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https://ifam2-my.sharepoint.com/personal/21927782_ifam2_onmicrosoft_com/Documents/IFAM/PROJETO BASICO/CAMPUS MANICORÉ/MEMORIAS DE CALCULO/"/>
    </mc:Choice>
  </mc:AlternateContent>
  <xr:revisionPtr revIDLastSave="12" documentId="8_{5763C360-0107-44FC-9A6E-DE3E662D3116}" xr6:coauthVersionLast="36" xr6:coauthVersionMax="36" xr10:uidLastSave="{09A18095-B345-4DAB-A8BC-A290B23F8C08}"/>
  <bookViews>
    <workbookView xWindow="0" yWindow="0" windowWidth="28800" windowHeight="12228" tabRatio="767" activeTab="11" xr2:uid="{00000000-000D-0000-FFFF-FFFF00000000}"/>
  </bookViews>
  <sheets>
    <sheet name="Lev Blocos" sheetId="23" r:id="rId1"/>
    <sheet name="Lev Pilares" sheetId="15" r:id="rId2"/>
    <sheet name="Lev. Vigas" sheetId="2" r:id="rId3"/>
    <sheet name="Lev Lajes" sheetId="18" r:id="rId4"/>
    <sheet name="RESUMO LEV." sheetId="14" r:id="rId5"/>
    <sheet name="Aço Estacas" sheetId="24" r:id="rId6"/>
    <sheet name="Aço Blocos" sheetId="11" r:id="rId7"/>
    <sheet name="Aço Pilares" sheetId="21" r:id="rId8"/>
    <sheet name=" Aço Vigas " sheetId="4" r:id="rId9"/>
    <sheet name="Aço Lajes" sheetId="20" r:id="rId10"/>
    <sheet name="RESUMO AÇO" sheetId="13" r:id="rId11"/>
    <sheet name="MEMÓRIA" sheetId="22" r:id="rId12"/>
  </sheets>
  <definedNames>
    <definedName name="_xlnm.Print_Area" localSheetId="8">' Aço Vigas '!$C$1:$Q$4494</definedName>
    <definedName name="_xlnm.Print_Area" localSheetId="6">'Aço Blocos'!$D$1:$Q$287</definedName>
    <definedName name="_xlnm.Print_Area" localSheetId="5">'Aço Estacas'!$D$1:$Q$141</definedName>
    <definedName name="_xlnm.Print_Area" localSheetId="9">'Aço Lajes'!$D$1:$Q$124</definedName>
    <definedName name="_xlnm.Print_Area" localSheetId="7">'Aço Pilares'!$D$1:$R$2197</definedName>
    <definedName name="_xlnm.Print_Area" localSheetId="0">'Lev Blocos'!$A$1:$R$310</definedName>
    <definedName name="_xlnm.Print_Area" localSheetId="3">'Lev Lajes'!$A$1:$L$107</definedName>
    <definedName name="_xlnm.Print_Area" localSheetId="1">'Lev Pilares'!$A$1:$K$493</definedName>
    <definedName name="_xlnm.Print_Area" localSheetId="2">'Lev. Vigas'!$A$1:$P$761</definedName>
    <definedName name="_xlnm.Print_Area" localSheetId="11">MEMÓRIA!$B$1:$I$91</definedName>
    <definedName name="_xlnm.Print_Area" localSheetId="10">'RESUMO AÇO'!$A$1:$K$30</definedName>
    <definedName name="_xlnm.Print_Area" localSheetId="4">'RESUMO LEV.'!$A$1:$J$16</definedName>
    <definedName name="_xlnm.Print_Titles" localSheetId="8">' Aço Vigas '!$1:$16</definedName>
    <definedName name="_xlnm.Print_Titles" localSheetId="6">'Aço Blocos'!$1:$23</definedName>
    <definedName name="_xlnm.Print_Titles" localSheetId="5">'Aço Estacas'!$1:$23</definedName>
    <definedName name="_xlnm.Print_Titles" localSheetId="9">'Aço Lajes'!$1:$22</definedName>
    <definedName name="_xlnm.Print_Titles" localSheetId="7">'Aço Pilares'!$1:$24</definedName>
    <definedName name="_xlnm.Print_Titles" localSheetId="0">'Lev Blocos'!$1:$13</definedName>
    <definedName name="_xlnm.Print_Titles" localSheetId="3">'Lev Lajes'!$1:$12</definedName>
    <definedName name="_xlnm.Print_Titles" localSheetId="1">'Lev Pilares'!$1:$14</definedName>
    <definedName name="_xlnm.Print_Titles" localSheetId="2">'Lev. Vigas'!$1:$14</definedName>
    <definedName name="_xlnm.Print_Titles" localSheetId="11">MEMÓRIA!$1:$15</definedName>
  </definedNames>
  <calcPr calcId="191029"/>
</workbook>
</file>

<file path=xl/calcChain.xml><?xml version="1.0" encoding="utf-8"?>
<calcChain xmlns="http://schemas.openxmlformats.org/spreadsheetml/2006/main">
  <c r="G80" i="22" l="1"/>
  <c r="H77" i="22" s="1"/>
  <c r="G79" i="22"/>
  <c r="G78" i="22"/>
  <c r="G77" i="22"/>
  <c r="G85" i="22"/>
  <c r="G76" i="22"/>
  <c r="G75" i="22"/>
  <c r="G74" i="22"/>
  <c r="G73" i="22"/>
  <c r="H73" i="22" l="1"/>
  <c r="G88" i="22"/>
  <c r="G87" i="22"/>
  <c r="G86" i="22"/>
  <c r="G84" i="22"/>
  <c r="G83" i="22"/>
  <c r="G82" i="22"/>
  <c r="G81" i="22"/>
  <c r="H81" i="22" l="1"/>
  <c r="H85" i="22"/>
  <c r="P108" i="20"/>
  <c r="O108" i="20"/>
  <c r="N108" i="20"/>
  <c r="M108" i="20"/>
  <c r="L108" i="20"/>
  <c r="K108" i="20"/>
  <c r="J108" i="20"/>
  <c r="P118" i="20"/>
  <c r="O118" i="20"/>
  <c r="N118" i="20"/>
  <c r="M118" i="20"/>
  <c r="L118" i="20"/>
  <c r="K118" i="20"/>
  <c r="J118" i="20"/>
  <c r="P117" i="20"/>
  <c r="O117" i="20"/>
  <c r="N117" i="20"/>
  <c r="M117" i="20"/>
  <c r="L117" i="20"/>
  <c r="K117" i="20"/>
  <c r="J117" i="20"/>
  <c r="P116" i="20"/>
  <c r="O116" i="20"/>
  <c r="N116" i="20"/>
  <c r="M116" i="20"/>
  <c r="L116" i="20"/>
  <c r="K116" i="20"/>
  <c r="J116" i="20"/>
  <c r="P115" i="20"/>
  <c r="O115" i="20"/>
  <c r="N115" i="20"/>
  <c r="M115" i="20"/>
  <c r="L115" i="20"/>
  <c r="K115" i="20"/>
  <c r="J115" i="20"/>
  <c r="P114" i="20"/>
  <c r="O114" i="20"/>
  <c r="N114" i="20"/>
  <c r="M114" i="20"/>
  <c r="L114" i="20"/>
  <c r="K114" i="20"/>
  <c r="J114" i="20"/>
  <c r="P113" i="20"/>
  <c r="O113" i="20"/>
  <c r="N113" i="20"/>
  <c r="M113" i="20"/>
  <c r="L113" i="20"/>
  <c r="K113" i="20"/>
  <c r="J113" i="20"/>
  <c r="P112" i="20"/>
  <c r="O112" i="20"/>
  <c r="N112" i="20"/>
  <c r="M112" i="20"/>
  <c r="L112" i="20"/>
  <c r="K112" i="20"/>
  <c r="J112" i="20"/>
  <c r="P111" i="20"/>
  <c r="O111" i="20"/>
  <c r="N111" i="20"/>
  <c r="M111" i="20"/>
  <c r="L111" i="20"/>
  <c r="K111" i="20"/>
  <c r="J111" i="20"/>
  <c r="P109" i="20"/>
  <c r="O109" i="20"/>
  <c r="N109" i="20"/>
  <c r="M109" i="20"/>
  <c r="J109" i="20"/>
  <c r="K109" i="20" s="1"/>
  <c r="P107" i="20"/>
  <c r="O107" i="20"/>
  <c r="N107" i="20"/>
  <c r="M107" i="20"/>
  <c r="L107" i="20"/>
  <c r="K107" i="20"/>
  <c r="J107" i="20"/>
  <c r="P105" i="20"/>
  <c r="O105" i="20"/>
  <c r="N105" i="20"/>
  <c r="M105" i="20"/>
  <c r="K105" i="20"/>
  <c r="J105" i="20"/>
  <c r="L105" i="20" s="1"/>
  <c r="P104" i="20"/>
  <c r="O104" i="20"/>
  <c r="N104" i="20"/>
  <c r="M104" i="20"/>
  <c r="L104" i="20"/>
  <c r="J104" i="20"/>
  <c r="K104" i="20" s="1"/>
  <c r="P103" i="20"/>
  <c r="O103" i="20"/>
  <c r="N103" i="20"/>
  <c r="M103" i="20"/>
  <c r="L103" i="20"/>
  <c r="J103" i="20"/>
  <c r="K103" i="20" s="1"/>
  <c r="P102" i="20"/>
  <c r="O102" i="20"/>
  <c r="N102" i="20"/>
  <c r="M102" i="20"/>
  <c r="L102" i="20"/>
  <c r="J102" i="20"/>
  <c r="K102" i="20" s="1"/>
  <c r="P101" i="20"/>
  <c r="O101" i="20"/>
  <c r="N101" i="20"/>
  <c r="M101" i="20"/>
  <c r="L101" i="20"/>
  <c r="K101" i="20"/>
  <c r="J101" i="20"/>
  <c r="P100" i="20"/>
  <c r="O100" i="20"/>
  <c r="N100" i="20"/>
  <c r="M100" i="20"/>
  <c r="L100" i="20"/>
  <c r="J100" i="20"/>
  <c r="K100" i="20" s="1"/>
  <c r="P99" i="20"/>
  <c r="O99" i="20"/>
  <c r="N99" i="20"/>
  <c r="M99" i="20"/>
  <c r="L99" i="20"/>
  <c r="K99" i="20"/>
  <c r="J99" i="20"/>
  <c r="G1798" i="21"/>
  <c r="G1799" i="21"/>
  <c r="G1800" i="21"/>
  <c r="L109" i="20" l="1"/>
  <c r="G1792" i="21"/>
  <c r="G1793" i="21"/>
  <c r="G1794" i="21"/>
  <c r="G1821" i="21"/>
  <c r="G1822" i="21"/>
  <c r="G1823" i="21"/>
  <c r="G1824" i="21"/>
  <c r="G1806" i="21"/>
  <c r="G1805" i="21"/>
  <c r="G1804" i="21"/>
  <c r="G1809" i="21"/>
  <c r="G1810" i="21"/>
  <c r="G1811" i="21"/>
  <c r="G1767" i="21"/>
  <c r="G1768" i="21"/>
  <c r="G1769" i="21"/>
  <c r="G1770" i="21"/>
  <c r="G207" i="11"/>
  <c r="G206" i="11"/>
  <c r="G1817" i="21"/>
  <c r="G1818" i="21"/>
  <c r="G1819" i="21"/>
  <c r="G1820" i="21"/>
  <c r="G1807" i="21"/>
  <c r="G1808" i="21"/>
  <c r="G1803" i="21"/>
  <c r="G1802" i="21"/>
  <c r="G1801" i="21"/>
  <c r="G1795" i="21"/>
  <c r="G1796" i="21"/>
  <c r="G1797" i="21"/>
  <c r="G1790" i="21"/>
  <c r="G1791" i="21"/>
  <c r="G1764" i="21"/>
  <c r="G1765" i="21"/>
  <c r="G1766" i="21"/>
  <c r="E1469" i="4"/>
  <c r="E1470" i="4"/>
  <c r="E1471" i="4"/>
  <c r="G53" i="24"/>
  <c r="G52" i="24"/>
  <c r="I754" i="2"/>
  <c r="G754" i="2"/>
  <c r="G753" i="2"/>
  <c r="G752" i="2"/>
  <c r="G751" i="2"/>
  <c r="G750" i="2"/>
  <c r="G745" i="2"/>
  <c r="G744" i="2"/>
  <c r="G743" i="2"/>
  <c r="H743" i="2"/>
  <c r="G749" i="2"/>
  <c r="G748" i="2"/>
  <c r="I746" i="2"/>
  <c r="G746" i="2"/>
  <c r="G747" i="2"/>
  <c r="D743" i="2"/>
  <c r="I326" i="2"/>
  <c r="G326" i="2"/>
  <c r="L326" i="2"/>
  <c r="L325" i="2"/>
  <c r="G325" i="2"/>
  <c r="G324" i="2"/>
  <c r="L324" i="2"/>
  <c r="L323" i="2"/>
  <c r="G322" i="2"/>
  <c r="G321" i="2"/>
  <c r="L319" i="2"/>
  <c r="L318" i="2" l="1"/>
  <c r="G313" i="2"/>
  <c r="L313" i="2"/>
  <c r="L312" i="2"/>
  <c r="D312" i="2"/>
  <c r="F427" i="15" l="1"/>
  <c r="G427" i="15" s="1"/>
  <c r="H441" i="15"/>
  <c r="G441" i="15"/>
  <c r="H440" i="15"/>
  <c r="G440" i="15"/>
  <c r="H439" i="15"/>
  <c r="G439" i="15"/>
  <c r="H438" i="15"/>
  <c r="G438" i="15"/>
  <c r="H437" i="15"/>
  <c r="G437" i="15"/>
  <c r="H436" i="15"/>
  <c r="G436" i="15"/>
  <c r="H435" i="15"/>
  <c r="G435" i="15"/>
  <c r="H434" i="15"/>
  <c r="G434" i="15"/>
  <c r="H433" i="15"/>
  <c r="G433" i="15"/>
  <c r="H432" i="15"/>
  <c r="G432" i="15"/>
  <c r="H431" i="15"/>
  <c r="G431" i="15"/>
  <c r="H430" i="15"/>
  <c r="G430" i="15"/>
  <c r="H429" i="15"/>
  <c r="G429" i="15"/>
  <c r="H428" i="15"/>
  <c r="G428" i="15"/>
  <c r="H427" i="15"/>
  <c r="K285" i="23"/>
  <c r="K284" i="23"/>
  <c r="H422" i="15"/>
  <c r="G422" i="15"/>
  <c r="H421" i="15"/>
  <c r="G421" i="15"/>
  <c r="H420" i="15"/>
  <c r="G420" i="15"/>
  <c r="H419" i="15"/>
  <c r="G419" i="15"/>
  <c r="H418" i="15"/>
  <c r="G418" i="15"/>
  <c r="P283" i="23" l="1"/>
  <c r="P282" i="23"/>
  <c r="P281" i="23"/>
  <c r="P280" i="23"/>
  <c r="P278" i="23"/>
  <c r="P279" i="23"/>
  <c r="P277" i="23"/>
  <c r="P276" i="23"/>
  <c r="P275" i="23"/>
  <c r="P273" i="23"/>
  <c r="P274" i="23"/>
  <c r="P272" i="23"/>
  <c r="P271" i="23"/>
  <c r="P270" i="23"/>
  <c r="P269" i="23"/>
  <c r="P268" i="23"/>
  <c r="P266" i="23"/>
  <c r="P267" i="23"/>
  <c r="P265" i="23"/>
  <c r="P264" i="23"/>
  <c r="P263" i="23"/>
  <c r="K279" i="23"/>
  <c r="K277" i="23"/>
  <c r="K270" i="23"/>
  <c r="P262" i="23"/>
  <c r="P261" i="23"/>
  <c r="P260" i="23"/>
  <c r="K261" i="23"/>
  <c r="L261" i="23"/>
  <c r="M261" i="23"/>
  <c r="N261" i="23"/>
  <c r="Q261" i="23"/>
  <c r="K262" i="23"/>
  <c r="L262" i="23"/>
  <c r="M262" i="23"/>
  <c r="N262" i="23"/>
  <c r="Q262" i="23"/>
  <c r="K263" i="23"/>
  <c r="L263" i="23"/>
  <c r="M263" i="23"/>
  <c r="N263" i="23"/>
  <c r="Q263" i="23"/>
  <c r="K264" i="23"/>
  <c r="L264" i="23"/>
  <c r="M264" i="23"/>
  <c r="N264" i="23"/>
  <c r="Q264" i="23"/>
  <c r="K265" i="23"/>
  <c r="L265" i="23"/>
  <c r="M265" i="23"/>
  <c r="N265" i="23"/>
  <c r="Q265" i="23"/>
  <c r="K266" i="23"/>
  <c r="L266" i="23"/>
  <c r="M266" i="23"/>
  <c r="N266" i="23"/>
  <c r="O266" i="23" s="1"/>
  <c r="Q266" i="23"/>
  <c r="K267" i="23"/>
  <c r="L267" i="23"/>
  <c r="M267" i="23"/>
  <c r="N267" i="23"/>
  <c r="Q267" i="23"/>
  <c r="K268" i="23"/>
  <c r="L268" i="23"/>
  <c r="M268" i="23"/>
  <c r="N268" i="23"/>
  <c r="Q268" i="23"/>
  <c r="K269" i="23"/>
  <c r="L269" i="23"/>
  <c r="M269" i="23"/>
  <c r="N269" i="23"/>
  <c r="Q269" i="23"/>
  <c r="L270" i="23"/>
  <c r="M270" i="23"/>
  <c r="N270" i="23"/>
  <c r="Q270" i="23"/>
  <c r="K271" i="23"/>
  <c r="L271" i="23"/>
  <c r="M271" i="23"/>
  <c r="N271" i="23"/>
  <c r="Q271" i="23"/>
  <c r="K272" i="23"/>
  <c r="L272" i="23"/>
  <c r="M272" i="23"/>
  <c r="N272" i="23"/>
  <c r="Q272" i="23"/>
  <c r="K273" i="23"/>
  <c r="L273" i="23"/>
  <c r="M273" i="23"/>
  <c r="N273" i="23"/>
  <c r="Q273" i="23"/>
  <c r="K274" i="23"/>
  <c r="L274" i="23"/>
  <c r="M274" i="23"/>
  <c r="N274" i="23"/>
  <c r="Q274" i="23"/>
  <c r="K275" i="23"/>
  <c r="L275" i="23"/>
  <c r="M275" i="23"/>
  <c r="N275" i="23"/>
  <c r="Q275" i="23"/>
  <c r="K276" i="23"/>
  <c r="L276" i="23"/>
  <c r="M276" i="23"/>
  <c r="N276" i="23"/>
  <c r="Q276" i="23"/>
  <c r="L277" i="23"/>
  <c r="M277" i="23"/>
  <c r="N277" i="23"/>
  <c r="Q277" i="23"/>
  <c r="K278" i="23"/>
  <c r="L278" i="23"/>
  <c r="M278" i="23"/>
  <c r="N278" i="23"/>
  <c r="Q278" i="23"/>
  <c r="L279" i="23"/>
  <c r="M279" i="23"/>
  <c r="N279" i="23"/>
  <c r="Q279" i="23"/>
  <c r="K280" i="23"/>
  <c r="L280" i="23"/>
  <c r="M280" i="23"/>
  <c r="N280" i="23"/>
  <c r="Q280" i="23"/>
  <c r="K281" i="23"/>
  <c r="L281" i="23"/>
  <c r="M281" i="23"/>
  <c r="N281" i="23"/>
  <c r="Q281" i="23"/>
  <c r="K282" i="23"/>
  <c r="L282" i="23"/>
  <c r="M282" i="23"/>
  <c r="N282" i="23"/>
  <c r="Q282" i="23"/>
  <c r="K283" i="23"/>
  <c r="L283" i="23"/>
  <c r="M283" i="23"/>
  <c r="N283" i="23"/>
  <c r="Q283" i="23"/>
  <c r="N260" i="23"/>
  <c r="K260" i="23"/>
  <c r="O282" i="23" l="1"/>
  <c r="O281" i="23"/>
  <c r="O278" i="23"/>
  <c r="O276" i="23"/>
  <c r="O270" i="23"/>
  <c r="O264" i="23"/>
  <c r="O279" i="23"/>
  <c r="O277" i="23"/>
  <c r="O283" i="23"/>
  <c r="O280" i="23"/>
  <c r="O275" i="23"/>
  <c r="O272" i="23"/>
  <c r="O273" i="23"/>
  <c r="O274" i="23"/>
  <c r="O271" i="23"/>
  <c r="O268" i="23"/>
  <c r="O269" i="23"/>
  <c r="O267" i="23"/>
  <c r="O265" i="23"/>
  <c r="O263" i="23"/>
  <c r="O262" i="23"/>
  <c r="O261" i="23"/>
  <c r="B377" i="2" l="1"/>
  <c r="B761" i="2"/>
  <c r="P288" i="23"/>
  <c r="K288" i="23"/>
  <c r="H4" i="14" s="1"/>
  <c r="J288" i="23"/>
  <c r="I4" i="14" s="1"/>
  <c r="H23" i="22" l="1"/>
  <c r="I7" i="14"/>
  <c r="H22" i="22"/>
  <c r="H7" i="14"/>
  <c r="J25" i="13"/>
  <c r="I25" i="13"/>
  <c r="E4398" i="4"/>
  <c r="H4398" i="4" s="1"/>
  <c r="L4398" i="4" s="1"/>
  <c r="E4397" i="4"/>
  <c r="H4397" i="4" s="1"/>
  <c r="L4397" i="4" s="1"/>
  <c r="E4396" i="4"/>
  <c r="Q1735" i="21"/>
  <c r="P1735" i="21"/>
  <c r="O1735" i="21"/>
  <c r="N1735" i="21"/>
  <c r="M1735" i="21"/>
  <c r="L1735" i="21"/>
  <c r="J1735" i="21"/>
  <c r="K1735" i="21" s="1"/>
  <c r="E4382" i="4"/>
  <c r="H4382" i="4" s="1"/>
  <c r="J4382" i="4" s="1"/>
  <c r="E4383" i="4"/>
  <c r="H4383" i="4" s="1"/>
  <c r="L4383" i="4" s="1"/>
  <c r="E4384" i="4"/>
  <c r="H4384" i="4" s="1"/>
  <c r="L4384" i="4" s="1"/>
  <c r="Q4435" i="4"/>
  <c r="P4435" i="4"/>
  <c r="O4435" i="4"/>
  <c r="N4435" i="4"/>
  <c r="M4435" i="4"/>
  <c r="L4435" i="4"/>
  <c r="K4435" i="4"/>
  <c r="J4435" i="4"/>
  <c r="I4435" i="4"/>
  <c r="H4435" i="4"/>
  <c r="Q4434" i="4"/>
  <c r="P4434" i="4"/>
  <c r="O4434" i="4"/>
  <c r="N4434" i="4"/>
  <c r="M4434" i="4"/>
  <c r="L4434" i="4"/>
  <c r="K4434" i="4"/>
  <c r="J4434" i="4"/>
  <c r="I4434" i="4"/>
  <c r="H4434" i="4"/>
  <c r="Q4433" i="4"/>
  <c r="P4433" i="4"/>
  <c r="O4433" i="4"/>
  <c r="N4433" i="4"/>
  <c r="M4433" i="4"/>
  <c r="L4433" i="4"/>
  <c r="K4433" i="4"/>
  <c r="J4433" i="4"/>
  <c r="I4433" i="4"/>
  <c r="H4433" i="4"/>
  <c r="Q4432" i="4"/>
  <c r="P4432" i="4"/>
  <c r="O4432" i="4"/>
  <c r="N4432" i="4"/>
  <c r="M4432" i="4"/>
  <c r="L4432" i="4"/>
  <c r="K4432" i="4"/>
  <c r="J4432" i="4"/>
  <c r="I4432" i="4"/>
  <c r="H4432" i="4"/>
  <c r="Q4431" i="4"/>
  <c r="P4431" i="4"/>
  <c r="O4431" i="4"/>
  <c r="N4431" i="4"/>
  <c r="M4431" i="4"/>
  <c r="L4431" i="4"/>
  <c r="K4431" i="4"/>
  <c r="J4431" i="4"/>
  <c r="I4431" i="4"/>
  <c r="H4431" i="4"/>
  <c r="Q4428" i="4"/>
  <c r="P4428" i="4"/>
  <c r="O4428" i="4"/>
  <c r="N4428" i="4"/>
  <c r="M4428" i="4"/>
  <c r="L4428" i="4"/>
  <c r="K4428" i="4"/>
  <c r="J4428" i="4"/>
  <c r="I4428" i="4"/>
  <c r="H4428" i="4"/>
  <c r="Q4427" i="4"/>
  <c r="P4427" i="4"/>
  <c r="O4427" i="4"/>
  <c r="N4427" i="4"/>
  <c r="M4427" i="4"/>
  <c r="L4427" i="4"/>
  <c r="K4427" i="4"/>
  <c r="J4427" i="4"/>
  <c r="I4427" i="4"/>
  <c r="H4427" i="4"/>
  <c r="Q4426" i="4"/>
  <c r="P4426" i="4"/>
  <c r="O4426" i="4"/>
  <c r="N4426" i="4"/>
  <c r="M4426" i="4"/>
  <c r="L4426" i="4"/>
  <c r="K4426" i="4"/>
  <c r="J4426" i="4"/>
  <c r="I4426" i="4"/>
  <c r="H4426" i="4"/>
  <c r="Q4425" i="4"/>
  <c r="P4425" i="4"/>
  <c r="O4425" i="4"/>
  <c r="N4425" i="4"/>
  <c r="M4425" i="4"/>
  <c r="L4425" i="4"/>
  <c r="K4425" i="4"/>
  <c r="J4425" i="4"/>
  <c r="I4425" i="4"/>
  <c r="H4425" i="4"/>
  <c r="Q4424" i="4"/>
  <c r="P4424" i="4"/>
  <c r="O4424" i="4"/>
  <c r="N4424" i="4"/>
  <c r="M4424" i="4"/>
  <c r="L4424" i="4"/>
  <c r="K4424" i="4"/>
  <c r="J4424" i="4"/>
  <c r="I4424" i="4"/>
  <c r="H4424" i="4"/>
  <c r="Q4421" i="4"/>
  <c r="P4421" i="4"/>
  <c r="O4421" i="4"/>
  <c r="N4421" i="4"/>
  <c r="M4421" i="4"/>
  <c r="L4421" i="4"/>
  <c r="K4421" i="4"/>
  <c r="J4421" i="4"/>
  <c r="I4421" i="4"/>
  <c r="H4421" i="4"/>
  <c r="Q4420" i="4"/>
  <c r="P4420" i="4"/>
  <c r="O4420" i="4"/>
  <c r="N4420" i="4"/>
  <c r="M4420" i="4"/>
  <c r="L4420" i="4"/>
  <c r="K4420" i="4"/>
  <c r="J4420" i="4"/>
  <c r="I4420" i="4"/>
  <c r="H4420" i="4"/>
  <c r="Q4419" i="4"/>
  <c r="P4419" i="4"/>
  <c r="O4419" i="4"/>
  <c r="N4419" i="4"/>
  <c r="M4419" i="4"/>
  <c r="L4419" i="4"/>
  <c r="K4419" i="4"/>
  <c r="J4419" i="4"/>
  <c r="I4419" i="4"/>
  <c r="H4419" i="4"/>
  <c r="Q4418" i="4"/>
  <c r="P4418" i="4"/>
  <c r="O4418" i="4"/>
  <c r="N4418" i="4"/>
  <c r="M4418" i="4"/>
  <c r="L4418" i="4"/>
  <c r="K4418" i="4"/>
  <c r="J4418" i="4"/>
  <c r="I4418" i="4"/>
  <c r="H4418" i="4"/>
  <c r="Q4417" i="4"/>
  <c r="P4417" i="4"/>
  <c r="O4417" i="4"/>
  <c r="N4417" i="4"/>
  <c r="M4417" i="4"/>
  <c r="L4417" i="4"/>
  <c r="K4417" i="4"/>
  <c r="J4417" i="4"/>
  <c r="I4417" i="4"/>
  <c r="H4417" i="4"/>
  <c r="Q4414" i="4"/>
  <c r="P4414" i="4"/>
  <c r="O4414" i="4"/>
  <c r="N4414" i="4"/>
  <c r="M4414" i="4"/>
  <c r="L4414" i="4"/>
  <c r="K4414" i="4"/>
  <c r="J4414" i="4"/>
  <c r="I4414" i="4"/>
  <c r="H4414" i="4"/>
  <c r="Q4413" i="4"/>
  <c r="P4413" i="4"/>
  <c r="O4413" i="4"/>
  <c r="N4413" i="4"/>
  <c r="M4413" i="4"/>
  <c r="L4413" i="4"/>
  <c r="K4413" i="4"/>
  <c r="J4413" i="4"/>
  <c r="I4413" i="4"/>
  <c r="H4413" i="4"/>
  <c r="Q4412" i="4"/>
  <c r="P4412" i="4"/>
  <c r="O4412" i="4"/>
  <c r="N4412" i="4"/>
  <c r="M4412" i="4"/>
  <c r="L4412" i="4"/>
  <c r="K4412" i="4"/>
  <c r="J4412" i="4"/>
  <c r="I4412" i="4"/>
  <c r="H4412" i="4"/>
  <c r="Q4411" i="4"/>
  <c r="P4411" i="4"/>
  <c r="O4411" i="4"/>
  <c r="N4411" i="4"/>
  <c r="M4411" i="4"/>
  <c r="L4411" i="4"/>
  <c r="K4411" i="4"/>
  <c r="J4411" i="4"/>
  <c r="I4411" i="4"/>
  <c r="H4411" i="4"/>
  <c r="Q4410" i="4"/>
  <c r="P4410" i="4"/>
  <c r="O4410" i="4"/>
  <c r="N4410" i="4"/>
  <c r="M4410" i="4"/>
  <c r="L4410" i="4"/>
  <c r="K4410" i="4"/>
  <c r="J4410" i="4"/>
  <c r="I4410" i="4"/>
  <c r="H4410" i="4"/>
  <c r="Q4407" i="4"/>
  <c r="P4407" i="4"/>
  <c r="O4407" i="4"/>
  <c r="N4407" i="4"/>
  <c r="M4407" i="4"/>
  <c r="K4407" i="4"/>
  <c r="J4407" i="4"/>
  <c r="I4407" i="4"/>
  <c r="H4407" i="4"/>
  <c r="L4407" i="4" s="1"/>
  <c r="Q4406" i="4"/>
  <c r="P4406" i="4"/>
  <c r="O4406" i="4"/>
  <c r="N4406" i="4"/>
  <c r="M4406" i="4"/>
  <c r="K4406" i="4"/>
  <c r="J4406" i="4"/>
  <c r="I4406" i="4"/>
  <c r="H4406" i="4"/>
  <c r="L4406" i="4" s="1"/>
  <c r="Q4405" i="4"/>
  <c r="P4405" i="4"/>
  <c r="O4405" i="4"/>
  <c r="N4405" i="4"/>
  <c r="M4405" i="4"/>
  <c r="K4405" i="4"/>
  <c r="J4405" i="4"/>
  <c r="I4405" i="4"/>
  <c r="H4405" i="4"/>
  <c r="L4405" i="4" s="1"/>
  <c r="Q4404" i="4"/>
  <c r="P4404" i="4"/>
  <c r="O4404" i="4"/>
  <c r="N4404" i="4"/>
  <c r="M4404" i="4"/>
  <c r="K4404" i="4"/>
  <c r="J4404" i="4"/>
  <c r="I4404" i="4"/>
  <c r="H4404" i="4"/>
  <c r="L4404" i="4" s="1"/>
  <c r="Q4403" i="4"/>
  <c r="P4403" i="4"/>
  <c r="O4403" i="4"/>
  <c r="N4403" i="4"/>
  <c r="M4403" i="4"/>
  <c r="L4403" i="4"/>
  <c r="K4403" i="4"/>
  <c r="I4403" i="4"/>
  <c r="H4403" i="4"/>
  <c r="J4403" i="4" s="1"/>
  <c r="Q4400" i="4"/>
  <c r="P4400" i="4"/>
  <c r="O4400" i="4"/>
  <c r="N4400" i="4"/>
  <c r="M4400" i="4"/>
  <c r="L4400" i="4"/>
  <c r="K4400" i="4"/>
  <c r="J4400" i="4"/>
  <c r="I4400" i="4"/>
  <c r="H4400" i="4"/>
  <c r="Q4399" i="4"/>
  <c r="P4399" i="4"/>
  <c r="O4399" i="4"/>
  <c r="N4399" i="4"/>
  <c r="M4399" i="4"/>
  <c r="L4399" i="4"/>
  <c r="K4399" i="4"/>
  <c r="J4399" i="4"/>
  <c r="I4399" i="4"/>
  <c r="H4399" i="4"/>
  <c r="Q4398" i="4"/>
  <c r="P4398" i="4"/>
  <c r="O4398" i="4"/>
  <c r="N4398" i="4"/>
  <c r="M4398" i="4"/>
  <c r="K4398" i="4"/>
  <c r="J4398" i="4"/>
  <c r="I4398" i="4"/>
  <c r="Q4397" i="4"/>
  <c r="P4397" i="4"/>
  <c r="O4397" i="4"/>
  <c r="N4397" i="4"/>
  <c r="M4397" i="4"/>
  <c r="K4397" i="4"/>
  <c r="J4397" i="4"/>
  <c r="I4397" i="4"/>
  <c r="Q4396" i="4"/>
  <c r="P4396" i="4"/>
  <c r="O4396" i="4"/>
  <c r="N4396" i="4"/>
  <c r="M4396" i="4"/>
  <c r="L4396" i="4"/>
  <c r="K4396" i="4"/>
  <c r="I4396" i="4"/>
  <c r="H4396" i="4"/>
  <c r="J4396" i="4" s="1"/>
  <c r="Q4393" i="4"/>
  <c r="P4393" i="4"/>
  <c r="O4393" i="4"/>
  <c r="N4393" i="4"/>
  <c r="M4393" i="4"/>
  <c r="K4393" i="4"/>
  <c r="J4393" i="4"/>
  <c r="I4393" i="4"/>
  <c r="H4393" i="4"/>
  <c r="L4393" i="4" s="1"/>
  <c r="Q4392" i="4"/>
  <c r="P4392" i="4"/>
  <c r="O4392" i="4"/>
  <c r="N4392" i="4"/>
  <c r="M4392" i="4"/>
  <c r="K4392" i="4"/>
  <c r="J4392" i="4"/>
  <c r="I4392" i="4"/>
  <c r="H4392" i="4"/>
  <c r="L4392" i="4" s="1"/>
  <c r="Q4391" i="4"/>
  <c r="P4391" i="4"/>
  <c r="O4391" i="4"/>
  <c r="N4391" i="4"/>
  <c r="M4391" i="4"/>
  <c r="K4391" i="4"/>
  <c r="J4391" i="4"/>
  <c r="I4391" i="4"/>
  <c r="H4391" i="4"/>
  <c r="L4391" i="4" s="1"/>
  <c r="Q4390" i="4"/>
  <c r="P4390" i="4"/>
  <c r="O4390" i="4"/>
  <c r="N4390" i="4"/>
  <c r="M4390" i="4"/>
  <c r="K4390" i="4"/>
  <c r="J4390" i="4"/>
  <c r="I4390" i="4"/>
  <c r="H4390" i="4"/>
  <c r="L4390" i="4" s="1"/>
  <c r="Q4389" i="4"/>
  <c r="P4389" i="4"/>
  <c r="O4389" i="4"/>
  <c r="N4389" i="4"/>
  <c r="M4389" i="4"/>
  <c r="L4389" i="4"/>
  <c r="K4389" i="4"/>
  <c r="I4389" i="4"/>
  <c r="H4389" i="4"/>
  <c r="J4389" i="4" s="1"/>
  <c r="Q4386" i="4"/>
  <c r="P4386" i="4"/>
  <c r="O4386" i="4"/>
  <c r="N4386" i="4"/>
  <c r="M4386" i="4"/>
  <c r="L4386" i="4"/>
  <c r="K4386" i="4"/>
  <c r="J4386" i="4"/>
  <c r="I4386" i="4"/>
  <c r="H4386" i="4"/>
  <c r="Q4385" i="4"/>
  <c r="P4385" i="4"/>
  <c r="O4385" i="4"/>
  <c r="N4385" i="4"/>
  <c r="M4385" i="4"/>
  <c r="L4385" i="4"/>
  <c r="K4385" i="4"/>
  <c r="J4385" i="4"/>
  <c r="I4385" i="4"/>
  <c r="H4385" i="4"/>
  <c r="Q4384" i="4"/>
  <c r="P4384" i="4"/>
  <c r="O4384" i="4"/>
  <c r="N4384" i="4"/>
  <c r="M4384" i="4"/>
  <c r="K4384" i="4"/>
  <c r="J4384" i="4"/>
  <c r="I4384" i="4"/>
  <c r="Q4383" i="4"/>
  <c r="P4383" i="4"/>
  <c r="O4383" i="4"/>
  <c r="N4383" i="4"/>
  <c r="M4383" i="4"/>
  <c r="K4383" i="4"/>
  <c r="J4383" i="4"/>
  <c r="I4383" i="4"/>
  <c r="Q4382" i="4"/>
  <c r="P4382" i="4"/>
  <c r="O4382" i="4"/>
  <c r="N4382" i="4"/>
  <c r="M4382" i="4"/>
  <c r="L4382" i="4"/>
  <c r="K4382" i="4"/>
  <c r="I4382" i="4"/>
  <c r="Q4463" i="4"/>
  <c r="P4463" i="4"/>
  <c r="O4463" i="4"/>
  <c r="N4463" i="4"/>
  <c r="M4463" i="4"/>
  <c r="L4463" i="4"/>
  <c r="K4463" i="4"/>
  <c r="J4463" i="4"/>
  <c r="I4463" i="4"/>
  <c r="H4463" i="4"/>
  <c r="Q4462" i="4"/>
  <c r="P4462" i="4"/>
  <c r="O4462" i="4"/>
  <c r="N4462" i="4"/>
  <c r="M4462" i="4"/>
  <c r="L4462" i="4"/>
  <c r="K4462" i="4"/>
  <c r="J4462" i="4"/>
  <c r="I4462" i="4"/>
  <c r="H4462" i="4"/>
  <c r="Q4461" i="4"/>
  <c r="P4461" i="4"/>
  <c r="O4461" i="4"/>
  <c r="N4461" i="4"/>
  <c r="M4461" i="4"/>
  <c r="L4461" i="4"/>
  <c r="K4461" i="4"/>
  <c r="J4461" i="4"/>
  <c r="I4461" i="4"/>
  <c r="H4461" i="4"/>
  <c r="Q4460" i="4"/>
  <c r="P4460" i="4"/>
  <c r="O4460" i="4"/>
  <c r="N4460" i="4"/>
  <c r="M4460" i="4"/>
  <c r="L4460" i="4"/>
  <c r="K4460" i="4"/>
  <c r="J4460" i="4"/>
  <c r="I4460" i="4"/>
  <c r="H4460" i="4"/>
  <c r="Q4459" i="4"/>
  <c r="P4459" i="4"/>
  <c r="O4459" i="4"/>
  <c r="N4459" i="4"/>
  <c r="M4459" i="4"/>
  <c r="L4459" i="4"/>
  <c r="K4459" i="4"/>
  <c r="J4459" i="4"/>
  <c r="I4459" i="4"/>
  <c r="H4459" i="4"/>
  <c r="Q4456" i="4"/>
  <c r="P4456" i="4"/>
  <c r="O4456" i="4"/>
  <c r="N4456" i="4"/>
  <c r="M4456" i="4"/>
  <c r="L4456" i="4"/>
  <c r="K4456" i="4"/>
  <c r="J4456" i="4"/>
  <c r="I4456" i="4"/>
  <c r="H4456" i="4"/>
  <c r="Q4455" i="4"/>
  <c r="P4455" i="4"/>
  <c r="O4455" i="4"/>
  <c r="N4455" i="4"/>
  <c r="M4455" i="4"/>
  <c r="L4455" i="4"/>
  <c r="K4455" i="4"/>
  <c r="J4455" i="4"/>
  <c r="I4455" i="4"/>
  <c r="H4455" i="4"/>
  <c r="Q4454" i="4"/>
  <c r="P4454" i="4"/>
  <c r="O4454" i="4"/>
  <c r="N4454" i="4"/>
  <c r="M4454" i="4"/>
  <c r="L4454" i="4"/>
  <c r="K4454" i="4"/>
  <c r="J4454" i="4"/>
  <c r="I4454" i="4"/>
  <c r="H4454" i="4"/>
  <c r="Q4453" i="4"/>
  <c r="P4453" i="4"/>
  <c r="O4453" i="4"/>
  <c r="N4453" i="4"/>
  <c r="M4453" i="4"/>
  <c r="L4453" i="4"/>
  <c r="K4453" i="4"/>
  <c r="J4453" i="4"/>
  <c r="I4453" i="4"/>
  <c r="H4453" i="4"/>
  <c r="Q4452" i="4"/>
  <c r="P4452" i="4"/>
  <c r="O4452" i="4"/>
  <c r="N4452" i="4"/>
  <c r="M4452" i="4"/>
  <c r="L4452" i="4"/>
  <c r="K4452" i="4"/>
  <c r="J4452" i="4"/>
  <c r="I4452" i="4"/>
  <c r="H4452" i="4"/>
  <c r="Q4449" i="4"/>
  <c r="P4449" i="4"/>
  <c r="O4449" i="4"/>
  <c r="N4449" i="4"/>
  <c r="M4449" i="4"/>
  <c r="L4449" i="4"/>
  <c r="K4449" i="4"/>
  <c r="J4449" i="4"/>
  <c r="I4449" i="4"/>
  <c r="H4449" i="4"/>
  <c r="Q4448" i="4"/>
  <c r="P4448" i="4"/>
  <c r="O4448" i="4"/>
  <c r="N4448" i="4"/>
  <c r="M4448" i="4"/>
  <c r="L4448" i="4"/>
  <c r="K4448" i="4"/>
  <c r="J4448" i="4"/>
  <c r="I4448" i="4"/>
  <c r="H4448" i="4"/>
  <c r="Q4447" i="4"/>
  <c r="P4447" i="4"/>
  <c r="O4447" i="4"/>
  <c r="N4447" i="4"/>
  <c r="M4447" i="4"/>
  <c r="L4447" i="4"/>
  <c r="K4447" i="4"/>
  <c r="J4447" i="4"/>
  <c r="I4447" i="4"/>
  <c r="H4447" i="4"/>
  <c r="Q4446" i="4"/>
  <c r="P4446" i="4"/>
  <c r="O4446" i="4"/>
  <c r="N4446" i="4"/>
  <c r="M4446" i="4"/>
  <c r="L4446" i="4"/>
  <c r="K4446" i="4"/>
  <c r="J4446" i="4"/>
  <c r="I4446" i="4"/>
  <c r="H4446" i="4"/>
  <c r="Q4445" i="4"/>
  <c r="P4445" i="4"/>
  <c r="O4445" i="4"/>
  <c r="N4445" i="4"/>
  <c r="M4445" i="4"/>
  <c r="L4445" i="4"/>
  <c r="K4445" i="4"/>
  <c r="J4445" i="4"/>
  <c r="I4445" i="4"/>
  <c r="H4445" i="4"/>
  <c r="Q4442" i="4"/>
  <c r="P4442" i="4"/>
  <c r="O4442" i="4"/>
  <c r="N4442" i="4"/>
  <c r="M4442" i="4"/>
  <c r="L4442" i="4"/>
  <c r="K4442" i="4"/>
  <c r="J4442" i="4"/>
  <c r="I4442" i="4"/>
  <c r="H4442" i="4"/>
  <c r="Q4441" i="4"/>
  <c r="P4441" i="4"/>
  <c r="O4441" i="4"/>
  <c r="N4441" i="4"/>
  <c r="M4441" i="4"/>
  <c r="L4441" i="4"/>
  <c r="K4441" i="4"/>
  <c r="J4441" i="4"/>
  <c r="I4441" i="4"/>
  <c r="H4441" i="4"/>
  <c r="Q4440" i="4"/>
  <c r="P4440" i="4"/>
  <c r="O4440" i="4"/>
  <c r="N4440" i="4"/>
  <c r="M4440" i="4"/>
  <c r="L4440" i="4"/>
  <c r="K4440" i="4"/>
  <c r="J4440" i="4"/>
  <c r="I4440" i="4"/>
  <c r="H4440" i="4"/>
  <c r="Q4439" i="4"/>
  <c r="P4439" i="4"/>
  <c r="O4439" i="4"/>
  <c r="N4439" i="4"/>
  <c r="M4439" i="4"/>
  <c r="L4439" i="4"/>
  <c r="K4439" i="4"/>
  <c r="J4439" i="4"/>
  <c r="I4439" i="4"/>
  <c r="H4439" i="4"/>
  <c r="Q4438" i="4"/>
  <c r="P4438" i="4"/>
  <c r="O4438" i="4"/>
  <c r="N4438" i="4"/>
  <c r="M4438" i="4"/>
  <c r="L4438" i="4"/>
  <c r="K4438" i="4"/>
  <c r="J4438" i="4"/>
  <c r="I4438" i="4"/>
  <c r="H4438" i="4"/>
  <c r="Q4477" i="4"/>
  <c r="P4477" i="4"/>
  <c r="O4477" i="4"/>
  <c r="N4477" i="4"/>
  <c r="M4477" i="4"/>
  <c r="L4477" i="4"/>
  <c r="K4477" i="4"/>
  <c r="J4477" i="4"/>
  <c r="I4477" i="4"/>
  <c r="H4477" i="4"/>
  <c r="Q4476" i="4"/>
  <c r="P4476" i="4"/>
  <c r="O4476" i="4"/>
  <c r="N4476" i="4"/>
  <c r="M4476" i="4"/>
  <c r="L4476" i="4"/>
  <c r="K4476" i="4"/>
  <c r="J4476" i="4"/>
  <c r="I4476" i="4"/>
  <c r="H4476" i="4"/>
  <c r="Q4475" i="4"/>
  <c r="P4475" i="4"/>
  <c r="O4475" i="4"/>
  <c r="N4475" i="4"/>
  <c r="M4475" i="4"/>
  <c r="L4475" i="4"/>
  <c r="K4475" i="4"/>
  <c r="J4475" i="4"/>
  <c r="I4475" i="4"/>
  <c r="H4475" i="4"/>
  <c r="Q4474" i="4"/>
  <c r="P4474" i="4"/>
  <c r="O4474" i="4"/>
  <c r="N4474" i="4"/>
  <c r="M4474" i="4"/>
  <c r="L4474" i="4"/>
  <c r="K4474" i="4"/>
  <c r="J4474" i="4"/>
  <c r="I4474" i="4"/>
  <c r="H4474" i="4"/>
  <c r="Q4473" i="4"/>
  <c r="P4473" i="4"/>
  <c r="O4473" i="4"/>
  <c r="N4473" i="4"/>
  <c r="M4473" i="4"/>
  <c r="L4473" i="4"/>
  <c r="K4473" i="4"/>
  <c r="J4473" i="4"/>
  <c r="I4473" i="4"/>
  <c r="H4473" i="4"/>
  <c r="Q4470" i="4"/>
  <c r="P4470" i="4"/>
  <c r="O4470" i="4"/>
  <c r="N4470" i="4"/>
  <c r="M4470" i="4"/>
  <c r="L4470" i="4"/>
  <c r="K4470" i="4"/>
  <c r="J4470" i="4"/>
  <c r="I4470" i="4"/>
  <c r="H4470" i="4"/>
  <c r="Q4469" i="4"/>
  <c r="P4469" i="4"/>
  <c r="O4469" i="4"/>
  <c r="N4469" i="4"/>
  <c r="M4469" i="4"/>
  <c r="L4469" i="4"/>
  <c r="K4469" i="4"/>
  <c r="J4469" i="4"/>
  <c r="I4469" i="4"/>
  <c r="H4469" i="4"/>
  <c r="Q4468" i="4"/>
  <c r="P4468" i="4"/>
  <c r="O4468" i="4"/>
  <c r="N4468" i="4"/>
  <c r="M4468" i="4"/>
  <c r="L4468" i="4"/>
  <c r="K4468" i="4"/>
  <c r="J4468" i="4"/>
  <c r="I4468" i="4"/>
  <c r="H4468" i="4"/>
  <c r="Q4467" i="4"/>
  <c r="P4467" i="4"/>
  <c r="O4467" i="4"/>
  <c r="N4467" i="4"/>
  <c r="M4467" i="4"/>
  <c r="L4467" i="4"/>
  <c r="K4467" i="4"/>
  <c r="J4467" i="4"/>
  <c r="I4467" i="4"/>
  <c r="H4467" i="4"/>
  <c r="Q4466" i="4"/>
  <c r="P4466" i="4"/>
  <c r="O4466" i="4"/>
  <c r="N4466" i="4"/>
  <c r="M4466" i="4"/>
  <c r="L4466" i="4"/>
  <c r="K4466" i="4"/>
  <c r="J4466" i="4"/>
  <c r="I4466" i="4"/>
  <c r="H4466" i="4"/>
  <c r="Q4484" i="4"/>
  <c r="P4484" i="4"/>
  <c r="O4484" i="4"/>
  <c r="N4484" i="4"/>
  <c r="M4484" i="4"/>
  <c r="L4484" i="4"/>
  <c r="K4484" i="4"/>
  <c r="J4484" i="4"/>
  <c r="I4484" i="4"/>
  <c r="H4484" i="4"/>
  <c r="Q4483" i="4"/>
  <c r="P4483" i="4"/>
  <c r="O4483" i="4"/>
  <c r="N4483" i="4"/>
  <c r="M4483" i="4"/>
  <c r="L4483" i="4"/>
  <c r="K4483" i="4"/>
  <c r="J4483" i="4"/>
  <c r="I4483" i="4"/>
  <c r="H4483" i="4"/>
  <c r="Q4482" i="4"/>
  <c r="P4482" i="4"/>
  <c r="O4482" i="4"/>
  <c r="N4482" i="4"/>
  <c r="M4482" i="4"/>
  <c r="L4482" i="4"/>
  <c r="K4482" i="4"/>
  <c r="J4482" i="4"/>
  <c r="I4482" i="4"/>
  <c r="H4482" i="4"/>
  <c r="Q4481" i="4"/>
  <c r="P4481" i="4"/>
  <c r="O4481" i="4"/>
  <c r="N4481" i="4"/>
  <c r="M4481" i="4"/>
  <c r="L4481" i="4"/>
  <c r="K4481" i="4"/>
  <c r="J4481" i="4"/>
  <c r="I4481" i="4"/>
  <c r="H4481" i="4"/>
  <c r="Q4480" i="4"/>
  <c r="P4480" i="4"/>
  <c r="O4480" i="4"/>
  <c r="N4480" i="4"/>
  <c r="M4480" i="4"/>
  <c r="L4480" i="4"/>
  <c r="K4480" i="4"/>
  <c r="J4480" i="4"/>
  <c r="I4480" i="4"/>
  <c r="H4480" i="4"/>
  <c r="E4349" i="4"/>
  <c r="E4348" i="4"/>
  <c r="E4347" i="4"/>
  <c r="G1729" i="21"/>
  <c r="J1729" i="21" s="1"/>
  <c r="K1729" i="21" s="1"/>
  <c r="G1730" i="21"/>
  <c r="G1731" i="21"/>
  <c r="Q1729" i="21"/>
  <c r="P1729" i="21"/>
  <c r="O1729" i="21"/>
  <c r="N1729" i="21"/>
  <c r="M1729" i="21"/>
  <c r="L1729" i="21"/>
  <c r="Q1728" i="21"/>
  <c r="P1728" i="21"/>
  <c r="N1728" i="21"/>
  <c r="M1728" i="21"/>
  <c r="L1728" i="21"/>
  <c r="K1728" i="21"/>
  <c r="G1728" i="21"/>
  <c r="J1728" i="21" s="1"/>
  <c r="O1728" i="21" s="1"/>
  <c r="Q1727" i="21"/>
  <c r="P1727" i="21"/>
  <c r="O1727" i="21"/>
  <c r="N1727" i="21"/>
  <c r="M1727" i="21"/>
  <c r="L1727" i="21"/>
  <c r="G1727" i="21"/>
  <c r="J1727" i="21" s="1"/>
  <c r="K1727" i="21" s="1"/>
  <c r="Q1733" i="21"/>
  <c r="P1733" i="21"/>
  <c r="N1733" i="21"/>
  <c r="M1733" i="21"/>
  <c r="L1733" i="21"/>
  <c r="K1733" i="21"/>
  <c r="J1733" i="21"/>
  <c r="O1733" i="21" s="1"/>
  <c r="Q1732" i="21"/>
  <c r="P1732" i="21"/>
  <c r="O1732" i="21"/>
  <c r="N1732" i="21"/>
  <c r="M1732" i="21"/>
  <c r="L1732" i="21"/>
  <c r="J1732" i="21"/>
  <c r="K1732" i="21" s="1"/>
  <c r="Q4430" i="4" l="1"/>
  <c r="O4423" i="4"/>
  <c r="J4451" i="4"/>
  <c r="P4430" i="4"/>
  <c r="J4444" i="4"/>
  <c r="P4451" i="4"/>
  <c r="Q4472" i="4"/>
  <c r="O4437" i="4"/>
  <c r="M4444" i="4"/>
  <c r="Q4444" i="4"/>
  <c r="K4451" i="4"/>
  <c r="M4451" i="4"/>
  <c r="I4458" i="4"/>
  <c r="J4430" i="4"/>
  <c r="P4437" i="4"/>
  <c r="O4430" i="4"/>
  <c r="Q4465" i="4"/>
  <c r="L4479" i="4"/>
  <c r="J4472" i="4"/>
  <c r="L4472" i="4"/>
  <c r="P4409" i="4"/>
  <c r="N4416" i="4"/>
  <c r="Q4409" i="4"/>
  <c r="O4416" i="4"/>
  <c r="Q4437" i="4"/>
  <c r="M4479" i="4"/>
  <c r="Q4479" i="4"/>
  <c r="P4479" i="4"/>
  <c r="N4409" i="4"/>
  <c r="M4409" i="4"/>
  <c r="P4423" i="4"/>
  <c r="K4444" i="4"/>
  <c r="I4451" i="4"/>
  <c r="M4472" i="4"/>
  <c r="J4458" i="4"/>
  <c r="O4479" i="4"/>
  <c r="K4458" i="4"/>
  <c r="Q4458" i="4"/>
  <c r="P4416" i="4"/>
  <c r="K4423" i="4"/>
  <c r="M4430" i="4"/>
  <c r="M4465" i="4"/>
  <c r="O4465" i="4"/>
  <c r="P4444" i="4"/>
  <c r="N4451" i="4"/>
  <c r="L4458" i="4"/>
  <c r="K4395" i="4"/>
  <c r="I4409" i="4"/>
  <c r="K4409" i="4"/>
  <c r="Q4416" i="4"/>
  <c r="K4416" i="4"/>
  <c r="M4416" i="4"/>
  <c r="I4430" i="4"/>
  <c r="K4430" i="4"/>
  <c r="L4451" i="4"/>
  <c r="M4423" i="4"/>
  <c r="N4465" i="4"/>
  <c r="P4465" i="4"/>
  <c r="N4437" i="4"/>
  <c r="O4451" i="4"/>
  <c r="M4458" i="4"/>
  <c r="I4416" i="4"/>
  <c r="M4437" i="4"/>
  <c r="K4479" i="4"/>
  <c r="N4472" i="4"/>
  <c r="P4472" i="4"/>
  <c r="J4437" i="4"/>
  <c r="Q4451" i="4"/>
  <c r="O4458" i="4"/>
  <c r="L4409" i="4"/>
  <c r="L4430" i="4"/>
  <c r="N4430" i="4"/>
  <c r="K4465" i="4"/>
  <c r="K4472" i="4"/>
  <c r="I4437" i="4"/>
  <c r="N4458" i="4"/>
  <c r="O4472" i="4"/>
  <c r="P4458" i="4"/>
  <c r="Q4423" i="4"/>
  <c r="I4423" i="4"/>
  <c r="N4479" i="4"/>
  <c r="I4472" i="4"/>
  <c r="J4479" i="4"/>
  <c r="K4437" i="4"/>
  <c r="I4479" i="4"/>
  <c r="L4437" i="4"/>
  <c r="I4444" i="4"/>
  <c r="O4444" i="4"/>
  <c r="J4416" i="4"/>
  <c r="L4416" i="4"/>
  <c r="L4423" i="4"/>
  <c r="N4423" i="4"/>
  <c r="O4409" i="4"/>
  <c r="I4465" i="4"/>
  <c r="L4444" i="4"/>
  <c r="N4444" i="4"/>
  <c r="J4465" i="4"/>
  <c r="L4465" i="4"/>
  <c r="J4409" i="4"/>
  <c r="J4423" i="4"/>
  <c r="M4402" i="4"/>
  <c r="L4402" i="4"/>
  <c r="K4402" i="4"/>
  <c r="J4402" i="4"/>
  <c r="O4402" i="4"/>
  <c r="I4402" i="4"/>
  <c r="N4402" i="4"/>
  <c r="P4402" i="4"/>
  <c r="Q4402" i="4"/>
  <c r="P4395" i="4"/>
  <c r="N4395" i="4"/>
  <c r="J4395" i="4"/>
  <c r="O4395" i="4"/>
  <c r="L4395" i="4"/>
  <c r="M4395" i="4"/>
  <c r="Q4395" i="4"/>
  <c r="I4395" i="4"/>
  <c r="K4388" i="4"/>
  <c r="J4388" i="4"/>
  <c r="I4388" i="4"/>
  <c r="L4388" i="4"/>
  <c r="M4388" i="4"/>
  <c r="N4388" i="4"/>
  <c r="O4388" i="4"/>
  <c r="Q4388" i="4"/>
  <c r="P4388" i="4"/>
  <c r="K4381" i="4"/>
  <c r="Q4381" i="4"/>
  <c r="J4381" i="4"/>
  <c r="I4381" i="4"/>
  <c r="O4381" i="4"/>
  <c r="L4381" i="4"/>
  <c r="M4381" i="4"/>
  <c r="N4381" i="4"/>
  <c r="P4381" i="4"/>
  <c r="G1642" i="21"/>
  <c r="G1641" i="21"/>
  <c r="G1640" i="21"/>
  <c r="G1639" i="21"/>
  <c r="G1585" i="21"/>
  <c r="G1586" i="21"/>
  <c r="G1587" i="21"/>
  <c r="G1588" i="21"/>
  <c r="G1670" i="21"/>
  <c r="G1669" i="21"/>
  <c r="G1668" i="21"/>
  <c r="G1667" i="21"/>
  <c r="G1680" i="21"/>
  <c r="G1679" i="21"/>
  <c r="G1678" i="21"/>
  <c r="G1677" i="21"/>
  <c r="G96" i="20"/>
  <c r="J96" i="20" s="1"/>
  <c r="K96" i="20" s="1"/>
  <c r="G93" i="20"/>
  <c r="J93" i="20" s="1"/>
  <c r="L93" i="20" s="1"/>
  <c r="P97" i="20"/>
  <c r="O97" i="20"/>
  <c r="N97" i="20"/>
  <c r="M97" i="20"/>
  <c r="L97" i="20"/>
  <c r="J97" i="20"/>
  <c r="K97" i="20" s="1"/>
  <c r="P96" i="20"/>
  <c r="O96" i="20"/>
  <c r="N96" i="20"/>
  <c r="M96" i="20"/>
  <c r="P94" i="20"/>
  <c r="O94" i="20"/>
  <c r="N94" i="20"/>
  <c r="M94" i="20"/>
  <c r="J94" i="20"/>
  <c r="K94" i="20" s="1"/>
  <c r="P93" i="20"/>
  <c r="O93" i="20"/>
  <c r="N93" i="20"/>
  <c r="M93" i="20"/>
  <c r="K93" i="20"/>
  <c r="J1734" i="21"/>
  <c r="K1734" i="21" s="1"/>
  <c r="L1734" i="21"/>
  <c r="M1734" i="21"/>
  <c r="N1734" i="21"/>
  <c r="O1734" i="21"/>
  <c r="P1734" i="21"/>
  <c r="Q1734" i="21"/>
  <c r="E3760" i="4"/>
  <c r="E3759" i="4"/>
  <c r="E3758" i="4"/>
  <c r="H3741" i="4"/>
  <c r="H3740" i="4"/>
  <c r="H3739" i="4"/>
  <c r="H3738" i="4"/>
  <c r="H3737" i="4"/>
  <c r="H3736" i="4"/>
  <c r="E3669" i="4"/>
  <c r="E3670" i="4"/>
  <c r="E3671" i="4"/>
  <c r="E3666" i="4"/>
  <c r="E3665" i="4"/>
  <c r="E3664" i="4"/>
  <c r="L96" i="20" l="1"/>
  <c r="L94" i="20"/>
  <c r="G1658" i="21"/>
  <c r="G1657" i="21"/>
  <c r="G1656" i="21"/>
  <c r="G1655" i="21"/>
  <c r="G1650" i="21"/>
  <c r="G1649" i="21"/>
  <c r="G1648" i="21"/>
  <c r="G1647" i="21"/>
  <c r="G1593" i="21"/>
  <c r="G1594" i="21"/>
  <c r="G1595" i="21"/>
  <c r="G1596" i="21"/>
  <c r="G1561" i="21"/>
  <c r="G1562" i="21"/>
  <c r="G1563" i="21"/>
  <c r="G1564" i="21"/>
  <c r="G1635" i="21"/>
  <c r="G1636" i="21"/>
  <c r="G1637" i="21"/>
  <c r="G1638" i="21"/>
  <c r="G1581" i="21"/>
  <c r="G1582" i="21"/>
  <c r="G1583" i="21"/>
  <c r="G1584" i="21"/>
  <c r="G1666" i="21"/>
  <c r="G1665" i="21"/>
  <c r="G1664" i="21"/>
  <c r="G1663" i="21"/>
  <c r="G1673" i="21"/>
  <c r="G1674" i="21"/>
  <c r="G1675" i="21"/>
  <c r="G1676" i="21"/>
  <c r="G1672" i="21" l="1"/>
  <c r="G1671" i="21"/>
  <c r="G1659" i="21"/>
  <c r="G1660" i="21"/>
  <c r="G1661" i="21"/>
  <c r="G1651" i="21"/>
  <c r="G1652" i="21"/>
  <c r="G1653" i="21"/>
  <c r="G1654" i="21"/>
  <c r="G1646" i="21"/>
  <c r="G1645" i="21"/>
  <c r="G1644" i="21"/>
  <c r="G1643" i="21"/>
  <c r="G1631" i="21"/>
  <c r="G1632" i="21"/>
  <c r="G1633" i="21"/>
  <c r="G1634" i="21"/>
  <c r="G1592" i="21"/>
  <c r="G1591" i="21"/>
  <c r="G1590" i="21"/>
  <c r="G1589" i="21"/>
  <c r="G1579" i="21"/>
  <c r="G1577" i="21"/>
  <c r="G1578" i="21"/>
  <c r="G1580" i="21"/>
  <c r="G1560" i="21"/>
  <c r="G1559" i="21"/>
  <c r="G1558" i="21"/>
  <c r="G1557" i="21"/>
  <c r="G198" i="11" l="1"/>
  <c r="G197" i="11"/>
  <c r="J197" i="11" s="1"/>
  <c r="L197" i="11" s="1"/>
  <c r="G196" i="11"/>
  <c r="P197" i="11"/>
  <c r="O197" i="11"/>
  <c r="N197" i="11"/>
  <c r="M197" i="11"/>
  <c r="K197" i="11"/>
  <c r="E1373" i="4"/>
  <c r="E1374" i="4"/>
  <c r="E1339" i="4"/>
  <c r="E1340" i="4"/>
  <c r="E1341" i="4"/>
  <c r="E1272" i="4" l="1"/>
  <c r="E1273" i="4"/>
  <c r="E1274" i="4"/>
  <c r="G50" i="24" l="1"/>
  <c r="G49" i="24"/>
  <c r="H94" i="18" l="1"/>
  <c r="G94" i="18"/>
  <c r="H93" i="18"/>
  <c r="G93" i="18"/>
  <c r="H92" i="18"/>
  <c r="G92" i="18"/>
  <c r="H90" i="18"/>
  <c r="G90" i="18"/>
  <c r="H89" i="18"/>
  <c r="G89" i="18"/>
  <c r="H88" i="18"/>
  <c r="G88" i="18"/>
  <c r="H97" i="18"/>
  <c r="G97" i="18"/>
  <c r="H96" i="18"/>
  <c r="G96" i="18"/>
  <c r="H95" i="18"/>
  <c r="G95" i="18"/>
  <c r="I741" i="2"/>
  <c r="G741" i="2"/>
  <c r="I740" i="2"/>
  <c r="H740" i="2"/>
  <c r="G740" i="2"/>
  <c r="G738" i="2"/>
  <c r="G739" i="2"/>
  <c r="I738" i="2"/>
  <c r="G736" i="2"/>
  <c r="G735" i="2"/>
  <c r="G737" i="2"/>
  <c r="I737" i="2"/>
  <c r="I736" i="2"/>
  <c r="I735" i="2" l="1"/>
  <c r="H735" i="2"/>
  <c r="I732" i="2"/>
  <c r="G732" i="2"/>
  <c r="H732" i="2" s="1"/>
  <c r="G733" i="2"/>
  <c r="H733" i="2" s="1"/>
  <c r="H741" i="2"/>
  <c r="H739" i="2"/>
  <c r="H738" i="2"/>
  <c r="H737" i="2"/>
  <c r="H736" i="2"/>
  <c r="H734" i="2"/>
  <c r="H731" i="2"/>
  <c r="H730" i="2"/>
  <c r="G729" i="2"/>
  <c r="D729" i="2"/>
  <c r="G728" i="2" l="1"/>
  <c r="G727" i="2"/>
  <c r="D727" i="2"/>
  <c r="I726" i="2"/>
  <c r="G726" i="2"/>
  <c r="G724" i="2"/>
  <c r="G722" i="2" l="1"/>
  <c r="G723" i="2"/>
  <c r="I722" i="2"/>
  <c r="D721" i="2"/>
  <c r="G720" i="2"/>
  <c r="G719" i="2"/>
  <c r="G718" i="2"/>
  <c r="I717" i="2"/>
  <c r="G717" i="2"/>
  <c r="G716" i="2" l="1"/>
  <c r="G715" i="2"/>
  <c r="G714" i="2"/>
  <c r="D714" i="2"/>
  <c r="G713" i="2"/>
  <c r="G712" i="2"/>
  <c r="G710" i="2"/>
  <c r="G707" i="2"/>
  <c r="I705" i="2"/>
  <c r="G705" i="2"/>
  <c r="J743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H729" i="2"/>
  <c r="J728" i="2"/>
  <c r="H728" i="2"/>
  <c r="J727" i="2"/>
  <c r="H727" i="2"/>
  <c r="J751" i="2"/>
  <c r="H751" i="2"/>
  <c r="J750" i="2"/>
  <c r="H750" i="2"/>
  <c r="J749" i="2"/>
  <c r="H749" i="2"/>
  <c r="J748" i="2"/>
  <c r="H748" i="2"/>
  <c r="J747" i="2"/>
  <c r="H747" i="2"/>
  <c r="J746" i="2"/>
  <c r="H746" i="2"/>
  <c r="J745" i="2"/>
  <c r="H745" i="2"/>
  <c r="J744" i="2"/>
  <c r="H744" i="2"/>
  <c r="D704" i="2"/>
  <c r="H443" i="15" l="1"/>
  <c r="G443" i="15"/>
  <c r="H442" i="15"/>
  <c r="G442" i="15"/>
  <c r="H426" i="15"/>
  <c r="G426" i="15"/>
  <c r="H425" i="15"/>
  <c r="G425" i="15"/>
  <c r="H424" i="15"/>
  <c r="G424" i="15"/>
  <c r="H423" i="15"/>
  <c r="G423" i="15"/>
  <c r="H416" i="15"/>
  <c r="G416" i="15"/>
  <c r="H415" i="15"/>
  <c r="G415" i="15"/>
  <c r="H447" i="15"/>
  <c r="G447" i="15"/>
  <c r="H446" i="15"/>
  <c r="G446" i="15"/>
  <c r="H445" i="15"/>
  <c r="G445" i="15"/>
  <c r="H444" i="15"/>
  <c r="G444" i="15"/>
  <c r="H449" i="15"/>
  <c r="G449" i="15"/>
  <c r="H448" i="15"/>
  <c r="G448" i="15"/>
  <c r="H399" i="15"/>
  <c r="G399" i="15"/>
  <c r="H398" i="15"/>
  <c r="G398" i="15"/>
  <c r="H397" i="15"/>
  <c r="G397" i="15"/>
  <c r="H396" i="15"/>
  <c r="G396" i="15"/>
  <c r="H395" i="15"/>
  <c r="G395" i="15"/>
  <c r="H394" i="15"/>
  <c r="G394" i="15"/>
  <c r="H407" i="15"/>
  <c r="G407" i="15"/>
  <c r="H406" i="15"/>
  <c r="G406" i="15"/>
  <c r="H405" i="15"/>
  <c r="G405" i="15"/>
  <c r="H404" i="15"/>
  <c r="G404" i="15"/>
  <c r="H403" i="15"/>
  <c r="G403" i="15"/>
  <c r="H402" i="15"/>
  <c r="G402" i="15"/>
  <c r="H401" i="15"/>
  <c r="G401" i="15"/>
  <c r="H400" i="15"/>
  <c r="G400" i="15"/>
  <c r="H393" i="15"/>
  <c r="G393" i="15"/>
  <c r="H392" i="15"/>
  <c r="G392" i="15"/>
  <c r="H391" i="15"/>
  <c r="G391" i="15"/>
  <c r="H388" i="15"/>
  <c r="G388" i="15"/>
  <c r="H387" i="15"/>
  <c r="G387" i="15"/>
  <c r="H386" i="15"/>
  <c r="G386" i="15"/>
  <c r="H385" i="15"/>
  <c r="G385" i="15"/>
  <c r="H384" i="15"/>
  <c r="G384" i="15"/>
  <c r="H383" i="15"/>
  <c r="G383" i="15"/>
  <c r="H382" i="15"/>
  <c r="G382" i="15"/>
  <c r="H381" i="15"/>
  <c r="G381" i="15"/>
  <c r="H380" i="15"/>
  <c r="G380" i="15"/>
  <c r="H379" i="15"/>
  <c r="G379" i="15"/>
  <c r="H378" i="15"/>
  <c r="G378" i="15"/>
  <c r="H377" i="15"/>
  <c r="G377" i="15"/>
  <c r="H376" i="15"/>
  <c r="G376" i="15"/>
  <c r="H410" i="15"/>
  <c r="G410" i="15"/>
  <c r="H409" i="15"/>
  <c r="G409" i="15"/>
  <c r="H408" i="15"/>
  <c r="G408" i="15"/>
  <c r="H390" i="15"/>
  <c r="G390" i="15"/>
  <c r="H389" i="15"/>
  <c r="G389" i="15"/>
  <c r="P258" i="23" l="1"/>
  <c r="P257" i="23"/>
  <c r="P256" i="23"/>
  <c r="P255" i="23"/>
  <c r="P254" i="23"/>
  <c r="P253" i="23"/>
  <c r="P252" i="23"/>
  <c r="P251" i="23"/>
  <c r="P250" i="23"/>
  <c r="P249" i="23"/>
  <c r="P248" i="23"/>
  <c r="P247" i="23"/>
  <c r="P246" i="23"/>
  <c r="P245" i="23"/>
  <c r="P244" i="23"/>
  <c r="P243" i="23"/>
  <c r="P242" i="23"/>
  <c r="P240" i="23"/>
  <c r="P241" i="23"/>
  <c r="P239" i="23"/>
  <c r="P238" i="23"/>
  <c r="P237" i="23"/>
  <c r="P236" i="23"/>
  <c r="N236" i="23"/>
  <c r="P235" i="23"/>
  <c r="P234" i="23"/>
  <c r="P233" i="23"/>
  <c r="P232" i="23"/>
  <c r="P231" i="23"/>
  <c r="P230" i="23"/>
  <c r="P229" i="23"/>
  <c r="P228" i="23"/>
  <c r="P227" i="23"/>
  <c r="P226" i="23"/>
  <c r="L310" i="2"/>
  <c r="I310" i="2"/>
  <c r="G310" i="2"/>
  <c r="D310" i="2"/>
  <c r="L309" i="2"/>
  <c r="I309" i="2"/>
  <c r="G309" i="2"/>
  <c r="L308" i="2"/>
  <c r="G308" i="2"/>
  <c r="I307" i="2"/>
  <c r="G307" i="2"/>
  <c r="L306" i="2" l="1"/>
  <c r="I306" i="2"/>
  <c r="G306" i="2"/>
  <c r="D306" i="2"/>
  <c r="L305" i="2"/>
  <c r="I305" i="2"/>
  <c r="G305" i="2"/>
  <c r="I304" i="2"/>
  <c r="G304" i="2"/>
  <c r="L303" i="2"/>
  <c r="I303" i="2"/>
  <c r="G303" i="2"/>
  <c r="L302" i="2"/>
  <c r="G302" i="2"/>
  <c r="D302" i="2"/>
  <c r="I301" i="2"/>
  <c r="G301" i="2"/>
  <c r="I300" i="2"/>
  <c r="G300" i="2"/>
  <c r="L299" i="2"/>
  <c r="I299" i="2"/>
  <c r="G299" i="2"/>
  <c r="G298" i="2"/>
  <c r="L297" i="2"/>
  <c r="I297" i="2"/>
  <c r="G297" i="2"/>
  <c r="L296" i="2"/>
  <c r="I296" i="2"/>
  <c r="G296" i="2"/>
  <c r="L295" i="2"/>
  <c r="G293" i="2"/>
  <c r="G295" i="2"/>
  <c r="I295" i="2"/>
  <c r="D295" i="2"/>
  <c r="L293" i="2"/>
  <c r="I293" i="2"/>
  <c r="L292" i="2"/>
  <c r="G292" i="2"/>
  <c r="G290" i="2"/>
  <c r="L288" i="2"/>
  <c r="G288" i="2"/>
  <c r="D288" i="2"/>
  <c r="L286" i="2"/>
  <c r="G286" i="2"/>
  <c r="D286" i="2"/>
  <c r="I285" i="2"/>
  <c r="G285" i="2"/>
  <c r="L284" i="2"/>
  <c r="D284" i="2"/>
  <c r="K226" i="23"/>
  <c r="N226" i="23"/>
  <c r="G1532" i="21" l="1"/>
  <c r="G1531" i="21"/>
  <c r="J1531" i="21" s="1"/>
  <c r="K1531" i="21" s="1"/>
  <c r="G1533" i="21"/>
  <c r="Q1531" i="21"/>
  <c r="P1531" i="21"/>
  <c r="O1531" i="21"/>
  <c r="N1531" i="21"/>
  <c r="M1531" i="21"/>
  <c r="L1531" i="21"/>
  <c r="Q1437" i="21"/>
  <c r="P1437" i="21"/>
  <c r="O1437" i="21"/>
  <c r="N1437" i="21"/>
  <c r="M1437" i="21"/>
  <c r="L1437" i="21"/>
  <c r="J1437" i="21"/>
  <c r="K1437" i="21" s="1"/>
  <c r="Q1436" i="21"/>
  <c r="P1436" i="21"/>
  <c r="O1436" i="21"/>
  <c r="N1436" i="21"/>
  <c r="M1436" i="21"/>
  <c r="L1436" i="21"/>
  <c r="J1436" i="21"/>
  <c r="K1436" i="21" s="1"/>
  <c r="Q1435" i="21"/>
  <c r="P1435" i="21"/>
  <c r="O1435" i="21"/>
  <c r="N1435" i="21"/>
  <c r="M1435" i="21"/>
  <c r="L1435" i="21"/>
  <c r="J1435" i="21"/>
  <c r="K1435" i="21" s="1"/>
  <c r="G1452" i="21"/>
  <c r="J1452" i="21" s="1"/>
  <c r="K1452" i="21" s="1"/>
  <c r="G1453" i="21"/>
  <c r="J1453" i="21" s="1"/>
  <c r="K1453" i="21" s="1"/>
  <c r="G1454" i="21"/>
  <c r="J1454" i="21" s="1"/>
  <c r="P1454" i="21" s="1"/>
  <c r="G1455" i="21"/>
  <c r="Q1454" i="21"/>
  <c r="O1454" i="21"/>
  <c r="N1454" i="21"/>
  <c r="M1454" i="21"/>
  <c r="L1454" i="21"/>
  <c r="Q1453" i="21"/>
  <c r="P1453" i="21"/>
  <c r="O1453" i="21"/>
  <c r="N1453" i="21"/>
  <c r="M1453" i="21"/>
  <c r="L1453" i="21"/>
  <c r="Q1452" i="21"/>
  <c r="P1452" i="21"/>
  <c r="O1452" i="21"/>
  <c r="N1452" i="21"/>
  <c r="M1452" i="21"/>
  <c r="L1452" i="21"/>
  <c r="Q1360" i="21"/>
  <c r="P1360" i="21"/>
  <c r="N1360" i="21"/>
  <c r="M1360" i="21"/>
  <c r="L1360" i="21"/>
  <c r="J1360" i="21"/>
  <c r="O1360" i="21" s="1"/>
  <c r="Q1359" i="21"/>
  <c r="P1359" i="21"/>
  <c r="O1359" i="21"/>
  <c r="N1359" i="21"/>
  <c r="M1359" i="21"/>
  <c r="L1359" i="21"/>
  <c r="J1359" i="21"/>
  <c r="K1359" i="21" s="1"/>
  <c r="Q1358" i="21"/>
  <c r="P1358" i="21"/>
  <c r="O1358" i="21"/>
  <c r="N1358" i="21"/>
  <c r="M1358" i="21"/>
  <c r="L1358" i="21"/>
  <c r="J1358" i="21"/>
  <c r="K1358" i="21" s="1"/>
  <c r="G1376" i="21"/>
  <c r="J1376" i="21" s="1"/>
  <c r="K1376" i="21" s="1"/>
  <c r="G1377" i="21"/>
  <c r="J1377" i="21" s="1"/>
  <c r="K1377" i="21" s="1"/>
  <c r="G1378" i="21"/>
  <c r="J1378" i="21" s="1"/>
  <c r="N1378" i="21" s="1"/>
  <c r="G1379" i="21"/>
  <c r="Q1378" i="21"/>
  <c r="P1378" i="21"/>
  <c r="O1378" i="21"/>
  <c r="M1378" i="21"/>
  <c r="L1378" i="21"/>
  <c r="Q1377" i="21"/>
  <c r="P1377" i="21"/>
  <c r="O1377" i="21"/>
  <c r="N1377" i="21"/>
  <c r="M1377" i="21"/>
  <c r="L1377" i="21"/>
  <c r="Q1376" i="21"/>
  <c r="P1376" i="21"/>
  <c r="O1376" i="21"/>
  <c r="N1376" i="21"/>
  <c r="M1376" i="21"/>
  <c r="L1376" i="21"/>
  <c r="Q1421" i="21"/>
  <c r="P1421" i="21"/>
  <c r="O1421" i="21"/>
  <c r="M1421" i="21"/>
  <c r="L1421" i="21"/>
  <c r="K1421" i="21"/>
  <c r="J1421" i="21"/>
  <c r="N1421" i="21" s="1"/>
  <c r="Q1420" i="21"/>
  <c r="P1420" i="21"/>
  <c r="O1420" i="21"/>
  <c r="N1420" i="21"/>
  <c r="M1420" i="21"/>
  <c r="L1420" i="21"/>
  <c r="J1420" i="21"/>
  <c r="K1420" i="21" s="1"/>
  <c r="Q1419" i="21"/>
  <c r="P1419" i="21"/>
  <c r="O1419" i="21"/>
  <c r="N1419" i="21"/>
  <c r="M1419" i="21"/>
  <c r="L1419" i="21"/>
  <c r="J1419" i="21"/>
  <c r="K1419" i="21" s="1"/>
  <c r="Q1418" i="21"/>
  <c r="P1418" i="21"/>
  <c r="O1418" i="21"/>
  <c r="N1418" i="21"/>
  <c r="M1418" i="21"/>
  <c r="L1418" i="21"/>
  <c r="J1418" i="21"/>
  <c r="K1418" i="21" s="1"/>
  <c r="Q1341" i="21"/>
  <c r="P1341" i="21"/>
  <c r="O1341" i="21"/>
  <c r="N1341" i="21"/>
  <c r="M1341" i="21"/>
  <c r="L1341" i="21"/>
  <c r="J1341" i="21"/>
  <c r="K1341" i="21" s="1"/>
  <c r="Q1342" i="21"/>
  <c r="P1342" i="21"/>
  <c r="O1342" i="21"/>
  <c r="N1342" i="21"/>
  <c r="M1342" i="21"/>
  <c r="L1342" i="21"/>
  <c r="J1342" i="21"/>
  <c r="K1342" i="21" s="1"/>
  <c r="Q1343" i="21"/>
  <c r="P1343" i="21"/>
  <c r="O1343" i="21"/>
  <c r="N1343" i="21"/>
  <c r="M1343" i="21"/>
  <c r="L1343" i="21"/>
  <c r="J1343" i="21"/>
  <c r="K1343" i="21" s="1"/>
  <c r="Q4338" i="4"/>
  <c r="P4338" i="4"/>
  <c r="O4338" i="4"/>
  <c r="N4338" i="4"/>
  <c r="M4338" i="4"/>
  <c r="K4338" i="4"/>
  <c r="J4338" i="4"/>
  <c r="I4338" i="4"/>
  <c r="H4338" i="4"/>
  <c r="L4338" i="4" s="1"/>
  <c r="Q4337" i="4"/>
  <c r="P4337" i="4"/>
  <c r="O4337" i="4"/>
  <c r="N4337" i="4"/>
  <c r="M4337" i="4"/>
  <c r="K4337" i="4"/>
  <c r="J4337" i="4"/>
  <c r="I4337" i="4"/>
  <c r="H4337" i="4"/>
  <c r="L4337" i="4" s="1"/>
  <c r="Q4336" i="4"/>
  <c r="P4336" i="4"/>
  <c r="O4336" i="4"/>
  <c r="N4336" i="4"/>
  <c r="M4336" i="4"/>
  <c r="L4336" i="4"/>
  <c r="K4336" i="4"/>
  <c r="I4336" i="4"/>
  <c r="H4336" i="4"/>
  <c r="J4336" i="4" s="1"/>
  <c r="Q4333" i="4"/>
  <c r="P4333" i="4"/>
  <c r="O4333" i="4"/>
  <c r="N4333" i="4"/>
  <c r="M4333" i="4"/>
  <c r="K4333" i="4"/>
  <c r="J4333" i="4"/>
  <c r="I4333" i="4"/>
  <c r="H4333" i="4"/>
  <c r="L4333" i="4" s="1"/>
  <c r="Q4332" i="4"/>
  <c r="P4332" i="4"/>
  <c r="O4332" i="4"/>
  <c r="N4332" i="4"/>
  <c r="M4332" i="4"/>
  <c r="K4332" i="4"/>
  <c r="J4332" i="4"/>
  <c r="I4332" i="4"/>
  <c r="H4332" i="4"/>
  <c r="L4332" i="4" s="1"/>
  <c r="Q4331" i="4"/>
  <c r="P4331" i="4"/>
  <c r="O4331" i="4"/>
  <c r="N4331" i="4"/>
  <c r="M4331" i="4"/>
  <c r="L4331" i="4"/>
  <c r="K4331" i="4"/>
  <c r="I4331" i="4"/>
  <c r="H4331" i="4"/>
  <c r="J4331" i="4" s="1"/>
  <c r="Q4328" i="4"/>
  <c r="P4328" i="4"/>
  <c r="O4328" i="4"/>
  <c r="N4328" i="4"/>
  <c r="M4328" i="4"/>
  <c r="K4328" i="4"/>
  <c r="J4328" i="4"/>
  <c r="I4328" i="4"/>
  <c r="H4328" i="4"/>
  <c r="L4328" i="4" s="1"/>
  <c r="Q4327" i="4"/>
  <c r="P4327" i="4"/>
  <c r="O4327" i="4"/>
  <c r="N4327" i="4"/>
  <c r="M4327" i="4"/>
  <c r="K4327" i="4"/>
  <c r="J4327" i="4"/>
  <c r="I4327" i="4"/>
  <c r="H4327" i="4"/>
  <c r="L4327" i="4" s="1"/>
  <c r="Q4326" i="4"/>
  <c r="P4326" i="4"/>
  <c r="O4326" i="4"/>
  <c r="N4326" i="4"/>
  <c r="M4326" i="4"/>
  <c r="L4326" i="4"/>
  <c r="K4326" i="4"/>
  <c r="I4326" i="4"/>
  <c r="H4326" i="4"/>
  <c r="J4326" i="4" s="1"/>
  <c r="Q4323" i="4"/>
  <c r="P4323" i="4"/>
  <c r="O4323" i="4"/>
  <c r="N4323" i="4"/>
  <c r="M4323" i="4"/>
  <c r="K4323" i="4"/>
  <c r="J4323" i="4"/>
  <c r="I4323" i="4"/>
  <c r="H4323" i="4"/>
  <c r="L4323" i="4" s="1"/>
  <c r="Q4322" i="4"/>
  <c r="P4322" i="4"/>
  <c r="O4322" i="4"/>
  <c r="N4322" i="4"/>
  <c r="M4322" i="4"/>
  <c r="K4322" i="4"/>
  <c r="J4322" i="4"/>
  <c r="I4322" i="4"/>
  <c r="H4322" i="4"/>
  <c r="L4322" i="4" s="1"/>
  <c r="Q4321" i="4"/>
  <c r="P4321" i="4"/>
  <c r="O4321" i="4"/>
  <c r="N4321" i="4"/>
  <c r="M4321" i="4"/>
  <c r="K4321" i="4"/>
  <c r="J4321" i="4"/>
  <c r="I4321" i="4"/>
  <c r="H4321" i="4"/>
  <c r="L4321" i="4" s="1"/>
  <c r="Q4320" i="4"/>
  <c r="P4320" i="4"/>
  <c r="O4320" i="4"/>
  <c r="N4320" i="4"/>
  <c r="M4320" i="4"/>
  <c r="K4320" i="4"/>
  <c r="J4320" i="4"/>
  <c r="I4320" i="4"/>
  <c r="H4320" i="4"/>
  <c r="L4320" i="4" s="1"/>
  <c r="Q4319" i="4"/>
  <c r="P4319" i="4"/>
  <c r="O4319" i="4"/>
  <c r="N4319" i="4"/>
  <c r="M4319" i="4"/>
  <c r="L4319" i="4"/>
  <c r="K4319" i="4"/>
  <c r="I4319" i="4"/>
  <c r="H4319" i="4"/>
  <c r="J4319" i="4" s="1"/>
  <c r="Q4316" i="4"/>
  <c r="P4316" i="4"/>
  <c r="O4316" i="4"/>
  <c r="N4316" i="4"/>
  <c r="M4316" i="4"/>
  <c r="K4316" i="4"/>
  <c r="J4316" i="4"/>
  <c r="I4316" i="4"/>
  <c r="H4316" i="4"/>
  <c r="L4316" i="4" s="1"/>
  <c r="Q4315" i="4"/>
  <c r="P4315" i="4"/>
  <c r="O4315" i="4"/>
  <c r="N4315" i="4"/>
  <c r="M4315" i="4"/>
  <c r="K4315" i="4"/>
  <c r="J4315" i="4"/>
  <c r="I4315" i="4"/>
  <c r="H4315" i="4"/>
  <c r="L4315" i="4" s="1"/>
  <c r="Q4314" i="4"/>
  <c r="P4314" i="4"/>
  <c r="O4314" i="4"/>
  <c r="N4314" i="4"/>
  <c r="M4314" i="4"/>
  <c r="K4314" i="4"/>
  <c r="J4314" i="4"/>
  <c r="I4314" i="4"/>
  <c r="H4314" i="4"/>
  <c r="L4314" i="4" s="1"/>
  <c r="Q4313" i="4"/>
  <c r="P4313" i="4"/>
  <c r="O4313" i="4"/>
  <c r="N4313" i="4"/>
  <c r="M4313" i="4"/>
  <c r="K4313" i="4"/>
  <c r="J4313" i="4"/>
  <c r="I4313" i="4"/>
  <c r="H4313" i="4"/>
  <c r="L4313" i="4" s="1"/>
  <c r="Q4312" i="4"/>
  <c r="P4312" i="4"/>
  <c r="O4312" i="4"/>
  <c r="N4312" i="4"/>
  <c r="M4312" i="4"/>
  <c r="L4312" i="4"/>
  <c r="K4312" i="4"/>
  <c r="I4312" i="4"/>
  <c r="H4312" i="4"/>
  <c r="J4312" i="4" s="1"/>
  <c r="Q4309" i="4"/>
  <c r="P4309" i="4"/>
  <c r="O4309" i="4"/>
  <c r="N4309" i="4"/>
  <c r="M4309" i="4"/>
  <c r="K4309" i="4"/>
  <c r="J4309" i="4"/>
  <c r="I4309" i="4"/>
  <c r="H4309" i="4"/>
  <c r="L4309" i="4" s="1"/>
  <c r="Q4308" i="4"/>
  <c r="P4308" i="4"/>
  <c r="O4308" i="4"/>
  <c r="N4308" i="4"/>
  <c r="M4308" i="4"/>
  <c r="K4308" i="4"/>
  <c r="J4308" i="4"/>
  <c r="I4308" i="4"/>
  <c r="H4308" i="4"/>
  <c r="L4308" i="4" s="1"/>
  <c r="Q4307" i="4"/>
  <c r="P4307" i="4"/>
  <c r="O4307" i="4"/>
  <c r="N4307" i="4"/>
  <c r="M4307" i="4"/>
  <c r="L4307" i="4"/>
  <c r="K4307" i="4"/>
  <c r="I4307" i="4"/>
  <c r="H4307" i="4"/>
  <c r="J4307" i="4" s="1"/>
  <c r="Q4358" i="4"/>
  <c r="P4358" i="4"/>
  <c r="O4358" i="4"/>
  <c r="N4358" i="4"/>
  <c r="M4358" i="4"/>
  <c r="L4358" i="4"/>
  <c r="K4358" i="4"/>
  <c r="J4358" i="4"/>
  <c r="I4358" i="4"/>
  <c r="H4358" i="4"/>
  <c r="Q4357" i="4"/>
  <c r="P4357" i="4"/>
  <c r="O4357" i="4"/>
  <c r="N4357" i="4"/>
  <c r="L4357" i="4"/>
  <c r="K4357" i="4"/>
  <c r="J4357" i="4"/>
  <c r="I4357" i="4"/>
  <c r="H4357" i="4"/>
  <c r="M4357" i="4" s="1"/>
  <c r="Q4356" i="4"/>
  <c r="P4356" i="4"/>
  <c r="O4356" i="4"/>
  <c r="N4356" i="4"/>
  <c r="L4356" i="4"/>
  <c r="K4356" i="4"/>
  <c r="J4356" i="4"/>
  <c r="I4356" i="4"/>
  <c r="H4356" i="4"/>
  <c r="M4356" i="4" s="1"/>
  <c r="Q4355" i="4"/>
  <c r="P4355" i="4"/>
  <c r="O4355" i="4"/>
  <c r="N4355" i="4"/>
  <c r="M4355" i="4"/>
  <c r="K4355" i="4"/>
  <c r="J4355" i="4"/>
  <c r="I4355" i="4"/>
  <c r="H4355" i="4"/>
  <c r="L4355" i="4" s="1"/>
  <c r="Q4354" i="4"/>
  <c r="P4354" i="4"/>
  <c r="O4354" i="4"/>
  <c r="N4354" i="4"/>
  <c r="M4354" i="4"/>
  <c r="L4354" i="4"/>
  <c r="K4354" i="4"/>
  <c r="I4354" i="4"/>
  <c r="H4354" i="4"/>
  <c r="J4354" i="4" s="1"/>
  <c r="Q4351" i="4"/>
  <c r="P4351" i="4"/>
  <c r="O4351" i="4"/>
  <c r="N4351" i="4"/>
  <c r="M4351" i="4"/>
  <c r="L4351" i="4"/>
  <c r="K4351" i="4"/>
  <c r="J4351" i="4"/>
  <c r="I4351" i="4"/>
  <c r="H4351" i="4"/>
  <c r="Q4350" i="4"/>
  <c r="P4350" i="4"/>
  <c r="O4350" i="4"/>
  <c r="N4350" i="4"/>
  <c r="M4350" i="4"/>
  <c r="L4350" i="4"/>
  <c r="K4350" i="4"/>
  <c r="J4350" i="4"/>
  <c r="I4350" i="4"/>
  <c r="H4350" i="4"/>
  <c r="Q4349" i="4"/>
  <c r="P4349" i="4"/>
  <c r="O4349" i="4"/>
  <c r="N4349" i="4"/>
  <c r="M4349" i="4"/>
  <c r="K4349" i="4"/>
  <c r="J4349" i="4"/>
  <c r="I4349" i="4"/>
  <c r="H4349" i="4"/>
  <c r="L4349" i="4" s="1"/>
  <c r="Q4348" i="4"/>
  <c r="P4348" i="4"/>
  <c r="O4348" i="4"/>
  <c r="N4348" i="4"/>
  <c r="M4348" i="4"/>
  <c r="K4348" i="4"/>
  <c r="J4348" i="4"/>
  <c r="I4348" i="4"/>
  <c r="H4348" i="4"/>
  <c r="L4348" i="4" s="1"/>
  <c r="Q4347" i="4"/>
  <c r="P4347" i="4"/>
  <c r="O4347" i="4"/>
  <c r="N4347" i="4"/>
  <c r="M4347" i="4"/>
  <c r="L4347" i="4"/>
  <c r="K4347" i="4"/>
  <c r="I4347" i="4"/>
  <c r="H4347" i="4"/>
  <c r="J4347" i="4" s="1"/>
  <c r="Q4343" i="4"/>
  <c r="P4343" i="4"/>
  <c r="O4343" i="4"/>
  <c r="N4343" i="4"/>
  <c r="M4343" i="4"/>
  <c r="K4343" i="4"/>
  <c r="J4343" i="4"/>
  <c r="I4343" i="4"/>
  <c r="H4343" i="4"/>
  <c r="L4343" i="4" s="1"/>
  <c r="Q4342" i="4"/>
  <c r="P4342" i="4"/>
  <c r="O4342" i="4"/>
  <c r="N4342" i="4"/>
  <c r="M4342" i="4"/>
  <c r="K4342" i="4"/>
  <c r="J4342" i="4"/>
  <c r="I4342" i="4"/>
  <c r="H4342" i="4"/>
  <c r="L4342" i="4" s="1"/>
  <c r="Q4341" i="4"/>
  <c r="P4341" i="4"/>
  <c r="O4341" i="4"/>
  <c r="N4341" i="4"/>
  <c r="M4341" i="4"/>
  <c r="L4341" i="4"/>
  <c r="K4341" i="4"/>
  <c r="I4341" i="4"/>
  <c r="H4341" i="4"/>
  <c r="J4341" i="4" s="1"/>
  <c r="G1529" i="21"/>
  <c r="G1530" i="21"/>
  <c r="G1449" i="21"/>
  <c r="G1450" i="21"/>
  <c r="G1451" i="21"/>
  <c r="G1373" i="21"/>
  <c r="G1374" i="21"/>
  <c r="G1375" i="21"/>
  <c r="G1388" i="21"/>
  <c r="J1388" i="21" s="1"/>
  <c r="K1388" i="21" s="1"/>
  <c r="G1387" i="21"/>
  <c r="J1387" i="21" s="1"/>
  <c r="K1387" i="21" s="1"/>
  <c r="G1389" i="21"/>
  <c r="J1389" i="21" s="1"/>
  <c r="N1389" i="21" s="1"/>
  <c r="G1446" i="21"/>
  <c r="J1446" i="21" s="1"/>
  <c r="K1446" i="21" s="1"/>
  <c r="G1447" i="21"/>
  <c r="J1447" i="21" s="1"/>
  <c r="K1447" i="21" s="1"/>
  <c r="G1448" i="21"/>
  <c r="J1448" i="21" s="1"/>
  <c r="P1448" i="21" s="1"/>
  <c r="Q1446" i="21"/>
  <c r="P1446" i="21"/>
  <c r="O1446" i="21"/>
  <c r="N1446" i="21"/>
  <c r="M1446" i="21"/>
  <c r="L1446" i="21"/>
  <c r="Q1447" i="21"/>
  <c r="P1447" i="21"/>
  <c r="O1447" i="21"/>
  <c r="N1447" i="21"/>
  <c r="M1447" i="21"/>
  <c r="L1447" i="21"/>
  <c r="Q1448" i="21"/>
  <c r="O1448" i="21"/>
  <c r="N1448" i="21"/>
  <c r="M1448" i="21"/>
  <c r="L1448" i="21"/>
  <c r="K1448" i="21"/>
  <c r="Q1387" i="21"/>
  <c r="P1387" i="21"/>
  <c r="O1387" i="21"/>
  <c r="N1387" i="21"/>
  <c r="M1387" i="21"/>
  <c r="L1387" i="21"/>
  <c r="Q1388" i="21"/>
  <c r="P1388" i="21"/>
  <c r="O1388" i="21"/>
  <c r="N1388" i="21"/>
  <c r="M1388" i="21"/>
  <c r="L1388" i="21"/>
  <c r="Q1389" i="21"/>
  <c r="P1389" i="21"/>
  <c r="O1389" i="21"/>
  <c r="M1389" i="21"/>
  <c r="L1389" i="21"/>
  <c r="K1389" i="21"/>
  <c r="Q1353" i="21"/>
  <c r="P1353" i="21"/>
  <c r="O1353" i="21"/>
  <c r="N1353" i="21"/>
  <c r="L1353" i="21"/>
  <c r="K1353" i="21"/>
  <c r="J1353" i="21"/>
  <c r="M1353" i="21" s="1"/>
  <c r="Q1354" i="21"/>
  <c r="P1354" i="21"/>
  <c r="N1354" i="21"/>
  <c r="M1354" i="21"/>
  <c r="L1354" i="21"/>
  <c r="K1354" i="21"/>
  <c r="J1354" i="21"/>
  <c r="O1354" i="21" s="1"/>
  <c r="G1370" i="21"/>
  <c r="J1370" i="21" s="1"/>
  <c r="K1370" i="21" s="1"/>
  <c r="G1371" i="21"/>
  <c r="J1371" i="21" s="1"/>
  <c r="K1371" i="21" s="1"/>
  <c r="G1372" i="21"/>
  <c r="J1372" i="21" s="1"/>
  <c r="N1372" i="21" s="1"/>
  <c r="Q1370" i="21"/>
  <c r="P1370" i="21"/>
  <c r="O1370" i="21"/>
  <c r="N1370" i="21"/>
  <c r="M1370" i="21"/>
  <c r="L1370" i="21"/>
  <c r="Q1371" i="21"/>
  <c r="P1371" i="21"/>
  <c r="O1371" i="21"/>
  <c r="N1371" i="21"/>
  <c r="M1371" i="21"/>
  <c r="L1371" i="21"/>
  <c r="Q1372" i="21"/>
  <c r="P1372" i="21"/>
  <c r="O1372" i="21"/>
  <c r="M1372" i="21"/>
  <c r="L1372" i="21"/>
  <c r="K1372" i="21"/>
  <c r="G1335" i="21"/>
  <c r="J1335" i="21" s="1"/>
  <c r="K1335" i="21" s="1"/>
  <c r="G1336" i="21"/>
  <c r="J1336" i="21" s="1"/>
  <c r="K1336" i="21" s="1"/>
  <c r="G1337" i="21"/>
  <c r="J1337" i="21" s="1"/>
  <c r="N1337" i="21" s="1"/>
  <c r="Q1335" i="21"/>
  <c r="P1335" i="21"/>
  <c r="O1335" i="21"/>
  <c r="N1335" i="21"/>
  <c r="M1335" i="21"/>
  <c r="L1335" i="21"/>
  <c r="Q1336" i="21"/>
  <c r="P1336" i="21"/>
  <c r="O1336" i="21"/>
  <c r="N1336" i="21"/>
  <c r="M1336" i="21"/>
  <c r="L1336" i="21"/>
  <c r="Q1337" i="21"/>
  <c r="P1337" i="21"/>
  <c r="O1337" i="21"/>
  <c r="M1337" i="21"/>
  <c r="L1337" i="21"/>
  <c r="K1337" i="21"/>
  <c r="Q1281" i="21"/>
  <c r="P1281" i="21"/>
  <c r="O1281" i="21"/>
  <c r="N1281" i="21"/>
  <c r="M1281" i="21"/>
  <c r="L1281" i="21"/>
  <c r="J1281" i="21"/>
  <c r="K1281" i="21" s="1"/>
  <c r="Q1282" i="21"/>
  <c r="P1282" i="21"/>
  <c r="N1282" i="21"/>
  <c r="M1282" i="21"/>
  <c r="L1282" i="21"/>
  <c r="K1282" i="21"/>
  <c r="J1282" i="21"/>
  <c r="O1282" i="21" s="1"/>
  <c r="Q1321" i="21"/>
  <c r="P1321" i="21"/>
  <c r="O1321" i="21"/>
  <c r="M1321" i="21"/>
  <c r="L1321" i="21"/>
  <c r="K1321" i="21"/>
  <c r="J1321" i="21"/>
  <c r="N1321" i="21" s="1"/>
  <c r="Q1320" i="21"/>
  <c r="P1320" i="21"/>
  <c r="O1320" i="21"/>
  <c r="N1320" i="21"/>
  <c r="M1320" i="21"/>
  <c r="L1320" i="21"/>
  <c r="J1320" i="21"/>
  <c r="K1320" i="21" s="1"/>
  <c r="Q1319" i="21"/>
  <c r="P1319" i="21"/>
  <c r="O1319" i="21"/>
  <c r="N1319" i="21"/>
  <c r="M1319" i="21"/>
  <c r="L1319" i="21"/>
  <c r="J1319" i="21"/>
  <c r="K1319" i="21" s="1"/>
  <c r="Q1266" i="21"/>
  <c r="P1266" i="21"/>
  <c r="O1266" i="21"/>
  <c r="N1266" i="21"/>
  <c r="M1266" i="21"/>
  <c r="L1266" i="21"/>
  <c r="J1266" i="21"/>
  <c r="K1266" i="21" s="1"/>
  <c r="Q1267" i="21"/>
  <c r="P1267" i="21"/>
  <c r="O1267" i="21"/>
  <c r="N1267" i="21"/>
  <c r="M1267" i="21"/>
  <c r="L1267" i="21"/>
  <c r="J1267" i="21"/>
  <c r="K1267" i="21" s="1"/>
  <c r="Q1268" i="21"/>
  <c r="P1268" i="21"/>
  <c r="O1268" i="21"/>
  <c r="M1268" i="21"/>
  <c r="L1268" i="21"/>
  <c r="K1268" i="21"/>
  <c r="J1268" i="21"/>
  <c r="N1268" i="21" s="1"/>
  <c r="Q1240" i="21"/>
  <c r="P1240" i="21"/>
  <c r="O1240" i="21"/>
  <c r="N1240" i="21"/>
  <c r="M1240" i="21"/>
  <c r="L1240" i="21"/>
  <c r="J1240" i="21"/>
  <c r="K1240" i="21" s="1"/>
  <c r="Q1514" i="21"/>
  <c r="P1514" i="21"/>
  <c r="M1514" i="21"/>
  <c r="L1514" i="21"/>
  <c r="K1514" i="21"/>
  <c r="J1514" i="21"/>
  <c r="O1514" i="21" s="1"/>
  <c r="Q1513" i="21"/>
  <c r="P1513" i="21"/>
  <c r="O1513" i="21"/>
  <c r="N1513" i="21"/>
  <c r="M1513" i="21"/>
  <c r="L1513" i="21"/>
  <c r="J1513" i="21"/>
  <c r="K1513" i="21" s="1"/>
  <c r="Q1512" i="21"/>
  <c r="P1512" i="21"/>
  <c r="O1512" i="21"/>
  <c r="N1512" i="21"/>
  <c r="M1512" i="21"/>
  <c r="L1512" i="21"/>
  <c r="J1512" i="21"/>
  <c r="K1512" i="21" s="1"/>
  <c r="Q1495" i="21"/>
  <c r="P1495" i="21"/>
  <c r="O1495" i="21"/>
  <c r="N1495" i="21"/>
  <c r="M1495" i="21"/>
  <c r="L1495" i="21"/>
  <c r="J1495" i="21"/>
  <c r="K1495" i="21" s="1"/>
  <c r="Q1496" i="21"/>
  <c r="P1496" i="21"/>
  <c r="O1496" i="21"/>
  <c r="N1496" i="21"/>
  <c r="M1496" i="21"/>
  <c r="L1496" i="21"/>
  <c r="J1496" i="21"/>
  <c r="K1496" i="21" s="1"/>
  <c r="Q1497" i="21"/>
  <c r="P1497" i="21"/>
  <c r="N1497" i="21"/>
  <c r="M1497" i="21"/>
  <c r="L1497" i="21"/>
  <c r="K1497" i="21"/>
  <c r="J1497" i="21"/>
  <c r="O1497" i="21" s="1"/>
  <c r="Q1479" i="21"/>
  <c r="P1479" i="21"/>
  <c r="O1479" i="21"/>
  <c r="N1479" i="21"/>
  <c r="M1479" i="21"/>
  <c r="L1479" i="21"/>
  <c r="J1479" i="21"/>
  <c r="K1479" i="21" s="1"/>
  <c r="Q1480" i="21"/>
  <c r="P1480" i="21"/>
  <c r="O1480" i="21"/>
  <c r="N1480" i="21"/>
  <c r="M1480" i="21"/>
  <c r="L1480" i="21"/>
  <c r="J1480" i="21"/>
  <c r="K1480" i="21" s="1"/>
  <c r="Q1481" i="21"/>
  <c r="O1481" i="21"/>
  <c r="N1481" i="21"/>
  <c r="M1481" i="21"/>
  <c r="L1481" i="21"/>
  <c r="K1481" i="21"/>
  <c r="J1481" i="21"/>
  <c r="P1481" i="21" s="1"/>
  <c r="Q1466" i="21"/>
  <c r="O1466" i="21"/>
  <c r="N1466" i="21"/>
  <c r="M1466" i="21"/>
  <c r="L1466" i="21"/>
  <c r="K1466" i="21"/>
  <c r="J1466" i="21"/>
  <c r="P1466" i="21" s="1"/>
  <c r="Q1465" i="21"/>
  <c r="P1465" i="21"/>
  <c r="O1465" i="21"/>
  <c r="N1465" i="21"/>
  <c r="M1465" i="21"/>
  <c r="L1465" i="21"/>
  <c r="J1465" i="21"/>
  <c r="K1465" i="21" s="1"/>
  <c r="Q1464" i="21"/>
  <c r="P1464" i="21"/>
  <c r="O1464" i="21"/>
  <c r="N1464" i="21"/>
  <c r="M1464" i="21"/>
  <c r="L1464" i="21"/>
  <c r="J1464" i="21"/>
  <c r="K1464" i="21" s="1"/>
  <c r="Q1404" i="21"/>
  <c r="O1404" i="21"/>
  <c r="N1404" i="21"/>
  <c r="M1404" i="21"/>
  <c r="L1404" i="21"/>
  <c r="K1404" i="21"/>
  <c r="J1404" i="21"/>
  <c r="P1404" i="21" s="1"/>
  <c r="Q1403" i="21"/>
  <c r="P1403" i="21"/>
  <c r="O1403" i="21"/>
  <c r="N1403" i="21"/>
  <c r="M1403" i="21"/>
  <c r="L1403" i="21"/>
  <c r="J1403" i="21"/>
  <c r="K1403" i="21" s="1"/>
  <c r="Q1402" i="21"/>
  <c r="P1402" i="21"/>
  <c r="O1402" i="21"/>
  <c r="N1402" i="21"/>
  <c r="M1402" i="21"/>
  <c r="L1402" i="21"/>
  <c r="J1402" i="21"/>
  <c r="K1402" i="21" s="1"/>
  <c r="Q1205" i="21"/>
  <c r="P1205" i="21"/>
  <c r="O1205" i="21"/>
  <c r="N1205" i="21"/>
  <c r="M1205" i="21"/>
  <c r="L1205" i="21"/>
  <c r="J1205" i="21"/>
  <c r="K1205" i="21" s="1"/>
  <c r="Q1206" i="21"/>
  <c r="P1206" i="21"/>
  <c r="O1206" i="21"/>
  <c r="N1206" i="21"/>
  <c r="M1206" i="21"/>
  <c r="L1206" i="21"/>
  <c r="J1206" i="21"/>
  <c r="K1206" i="21" s="1"/>
  <c r="Q1207" i="21"/>
  <c r="O1207" i="21"/>
  <c r="N1207" i="21"/>
  <c r="M1207" i="21"/>
  <c r="L1207" i="21"/>
  <c r="K1207" i="21"/>
  <c r="J1207" i="21"/>
  <c r="P1207" i="21" s="1"/>
  <c r="H3576" i="4"/>
  <c r="H3577" i="4"/>
  <c r="H3578" i="4"/>
  <c r="H3579" i="4"/>
  <c r="H3580" i="4"/>
  <c r="H3581" i="4"/>
  <c r="H3582" i="4"/>
  <c r="H3583" i="4"/>
  <c r="H3584" i="4"/>
  <c r="H3585" i="4"/>
  <c r="H3586" i="4"/>
  <c r="H3587" i="4"/>
  <c r="H3590" i="4"/>
  <c r="H3591" i="4"/>
  <c r="H3592" i="4"/>
  <c r="H3593" i="4"/>
  <c r="H3594" i="4"/>
  <c r="H3595" i="4"/>
  <c r="H3596" i="4"/>
  <c r="H3597" i="4"/>
  <c r="H3600" i="4"/>
  <c r="H3601" i="4"/>
  <c r="H3602" i="4"/>
  <c r="H3603" i="4"/>
  <c r="H3604" i="4"/>
  <c r="H3605" i="4"/>
  <c r="H3606" i="4"/>
  <c r="H3609" i="4"/>
  <c r="H3610" i="4"/>
  <c r="H3611" i="4"/>
  <c r="H3612" i="4"/>
  <c r="H3613" i="4"/>
  <c r="H3614" i="4"/>
  <c r="H3617" i="4"/>
  <c r="H3618" i="4"/>
  <c r="H3619" i="4"/>
  <c r="H3620" i="4"/>
  <c r="H3623" i="4"/>
  <c r="H3624" i="4"/>
  <c r="H3625" i="4"/>
  <c r="H3626" i="4"/>
  <c r="H3627" i="4"/>
  <c r="G1527" i="21"/>
  <c r="G1528" i="21"/>
  <c r="Q1429" i="21"/>
  <c r="P1429" i="21"/>
  <c r="O1429" i="21"/>
  <c r="N1429" i="21"/>
  <c r="M1429" i="21"/>
  <c r="L1429" i="21"/>
  <c r="J1429" i="21"/>
  <c r="K1429" i="21" s="1"/>
  <c r="Q1430" i="21"/>
  <c r="P1430" i="21"/>
  <c r="O1430" i="21"/>
  <c r="N1430" i="21"/>
  <c r="M1430" i="21"/>
  <c r="L1430" i="21"/>
  <c r="J1430" i="21"/>
  <c r="K1430" i="21" s="1"/>
  <c r="Q1431" i="21"/>
  <c r="O1431" i="21"/>
  <c r="N1431" i="21"/>
  <c r="M1431" i="21"/>
  <c r="L1431" i="21"/>
  <c r="K1431" i="21"/>
  <c r="J1431" i="21"/>
  <c r="P1431" i="21" s="1"/>
  <c r="Q3569" i="4"/>
  <c r="P3569" i="4"/>
  <c r="O3569" i="4"/>
  <c r="N3569" i="4"/>
  <c r="L3569" i="4"/>
  <c r="K3569" i="4"/>
  <c r="J3569" i="4"/>
  <c r="I3569" i="4"/>
  <c r="H3569" i="4"/>
  <c r="M3569" i="4" s="1"/>
  <c r="Q3485" i="4"/>
  <c r="P3485" i="4"/>
  <c r="O3485" i="4"/>
  <c r="N3485" i="4"/>
  <c r="L3485" i="4"/>
  <c r="K3485" i="4"/>
  <c r="J3485" i="4"/>
  <c r="I3485" i="4"/>
  <c r="H3485" i="4"/>
  <c r="M3485" i="4" s="1"/>
  <c r="Q3484" i="4"/>
  <c r="P3484" i="4"/>
  <c r="O3484" i="4"/>
  <c r="N3484" i="4"/>
  <c r="L3484" i="4"/>
  <c r="K3484" i="4"/>
  <c r="J3484" i="4"/>
  <c r="I3484" i="4"/>
  <c r="H3484" i="4"/>
  <c r="M3484" i="4" s="1"/>
  <c r="Q3483" i="4"/>
  <c r="P3483" i="4"/>
  <c r="O3483" i="4"/>
  <c r="N3483" i="4"/>
  <c r="L3483" i="4"/>
  <c r="K3483" i="4"/>
  <c r="J3483" i="4"/>
  <c r="I3483" i="4"/>
  <c r="H3483" i="4"/>
  <c r="M3483" i="4" s="1"/>
  <c r="Q3482" i="4"/>
  <c r="P3482" i="4"/>
  <c r="O3482" i="4"/>
  <c r="N3482" i="4"/>
  <c r="L3482" i="4"/>
  <c r="K3482" i="4"/>
  <c r="J3482" i="4"/>
  <c r="I3482" i="4"/>
  <c r="H3482" i="4"/>
  <c r="M3482" i="4" s="1"/>
  <c r="Q3481" i="4"/>
  <c r="P3481" i="4"/>
  <c r="O3481" i="4"/>
  <c r="N3481" i="4"/>
  <c r="L3481" i="4"/>
  <c r="K3481" i="4"/>
  <c r="J3481" i="4"/>
  <c r="I3481" i="4"/>
  <c r="H3481" i="4"/>
  <c r="M3481" i="4" s="1"/>
  <c r="Q3480" i="4"/>
  <c r="P3480" i="4"/>
  <c r="O3480" i="4"/>
  <c r="N3480" i="4"/>
  <c r="L3480" i="4"/>
  <c r="K3480" i="4"/>
  <c r="J3480" i="4"/>
  <c r="I3480" i="4"/>
  <c r="H3480" i="4"/>
  <c r="M3480" i="4" s="1"/>
  <c r="P4340" i="4" l="1"/>
  <c r="O4335" i="4"/>
  <c r="N4335" i="4"/>
  <c r="P4335" i="4"/>
  <c r="I4340" i="4"/>
  <c r="M4330" i="4"/>
  <c r="K4335" i="4"/>
  <c r="M4335" i="4"/>
  <c r="N4330" i="4"/>
  <c r="J4346" i="4"/>
  <c r="N4353" i="4"/>
  <c r="J4330" i="4"/>
  <c r="L4330" i="4"/>
  <c r="Q4340" i="4"/>
  <c r="O4311" i="4"/>
  <c r="Q4311" i="4"/>
  <c r="K4353" i="4"/>
  <c r="O4346" i="4"/>
  <c r="Q4346" i="4"/>
  <c r="M4353" i="4"/>
  <c r="O4330" i="4"/>
  <c r="L4340" i="4"/>
  <c r="N4325" i="4"/>
  <c r="M4325" i="4"/>
  <c r="Q4325" i="4"/>
  <c r="K1454" i="21"/>
  <c r="K1360" i="21"/>
  <c r="K1378" i="21"/>
  <c r="N1514" i="21"/>
  <c r="L4318" i="4"/>
  <c r="N4318" i="4"/>
  <c r="M4318" i="4"/>
  <c r="K4318" i="4"/>
  <c r="K4311" i="4"/>
  <c r="J4311" i="4"/>
  <c r="L4311" i="4"/>
  <c r="M4311" i="4"/>
  <c r="L4353" i="4"/>
  <c r="N4311" i="4"/>
  <c r="J4335" i="4"/>
  <c r="M4340" i="4"/>
  <c r="P4346" i="4"/>
  <c r="L4306" i="4"/>
  <c r="P4311" i="4"/>
  <c r="J4325" i="4"/>
  <c r="P4330" i="4"/>
  <c r="L4335" i="4"/>
  <c r="M4306" i="4"/>
  <c r="I4325" i="4"/>
  <c r="K4325" i="4"/>
  <c r="Q4330" i="4"/>
  <c r="P4353" i="4"/>
  <c r="J4340" i="4"/>
  <c r="M4346" i="4"/>
  <c r="Q4353" i="4"/>
  <c r="I4311" i="4"/>
  <c r="O4318" i="4"/>
  <c r="K4340" i="4"/>
  <c r="N4346" i="4"/>
  <c r="P4318" i="4"/>
  <c r="L4325" i="4"/>
  <c r="I4346" i="4"/>
  <c r="Q4318" i="4"/>
  <c r="I4330" i="4"/>
  <c r="Q4335" i="4"/>
  <c r="N4340" i="4"/>
  <c r="K4346" i="4"/>
  <c r="I4353" i="4"/>
  <c r="O4353" i="4"/>
  <c r="K4306" i="4"/>
  <c r="I4318" i="4"/>
  <c r="O4325" i="4"/>
  <c r="K4330" i="4"/>
  <c r="I4335" i="4"/>
  <c r="O4340" i="4"/>
  <c r="L4346" i="4"/>
  <c r="J4353" i="4"/>
  <c r="J4318" i="4"/>
  <c r="P4325" i="4"/>
  <c r="J4306" i="4"/>
  <c r="I4306" i="4"/>
  <c r="N4306" i="4"/>
  <c r="O4306" i="4"/>
  <c r="P4306" i="4"/>
  <c r="Q4306" i="4"/>
  <c r="G1445" i="21"/>
  <c r="G1444" i="21"/>
  <c r="G1443" i="21"/>
  <c r="G1384" i="21"/>
  <c r="G1385" i="21"/>
  <c r="G1386" i="21"/>
  <c r="G1366" i="21"/>
  <c r="G1367" i="21"/>
  <c r="G1368" i="21"/>
  <c r="G1369" i="21"/>
  <c r="G1216" i="21"/>
  <c r="G1217" i="21"/>
  <c r="G1218" i="21"/>
  <c r="G1219" i="21"/>
  <c r="Q1245" i="21"/>
  <c r="P1245" i="21"/>
  <c r="O1245" i="21"/>
  <c r="N1245" i="21"/>
  <c r="M1245" i="21"/>
  <c r="L1245" i="21"/>
  <c r="K1245" i="21"/>
  <c r="J1245" i="21"/>
  <c r="Q1244" i="21"/>
  <c r="P1244" i="21"/>
  <c r="O1244" i="21"/>
  <c r="N1244" i="21"/>
  <c r="M1244" i="21"/>
  <c r="L1244" i="21"/>
  <c r="K1244" i="21"/>
  <c r="J1244" i="21"/>
  <c r="Q1243" i="21"/>
  <c r="O1243" i="21"/>
  <c r="N1243" i="21"/>
  <c r="M1243" i="21"/>
  <c r="L1243" i="21"/>
  <c r="K1243" i="21"/>
  <c r="J1243" i="21"/>
  <c r="P1243" i="21" s="1"/>
  <c r="Q1242" i="21"/>
  <c r="P1242" i="21"/>
  <c r="O1242" i="21"/>
  <c r="N1242" i="21"/>
  <c r="M1242" i="21"/>
  <c r="L1242" i="21"/>
  <c r="J1242" i="21"/>
  <c r="K1242" i="21" s="1"/>
  <c r="Q1241" i="21"/>
  <c r="O1241" i="21"/>
  <c r="N1241" i="21"/>
  <c r="M1241" i="21"/>
  <c r="L1241" i="21"/>
  <c r="K1241" i="21"/>
  <c r="J1241" i="21"/>
  <c r="P1241" i="21" s="1"/>
  <c r="Q1239" i="21"/>
  <c r="O1239" i="21"/>
  <c r="N1239" i="21"/>
  <c r="M1239" i="21"/>
  <c r="L1239" i="21"/>
  <c r="K1239" i="21"/>
  <c r="J1239" i="21"/>
  <c r="P1239" i="21" s="1"/>
  <c r="Q1238" i="21"/>
  <c r="P1238" i="21"/>
  <c r="O1238" i="21"/>
  <c r="N1238" i="21"/>
  <c r="M1238" i="21"/>
  <c r="L1238" i="21"/>
  <c r="J1238" i="21"/>
  <c r="K1238" i="21" s="1"/>
  <c r="Q1237" i="21"/>
  <c r="P1237" i="21"/>
  <c r="O1237" i="21"/>
  <c r="N1237" i="21"/>
  <c r="M1237" i="21"/>
  <c r="L1237" i="21"/>
  <c r="J1237" i="21"/>
  <c r="K1237" i="21" s="1"/>
  <c r="Q1236" i="21"/>
  <c r="O1236" i="21"/>
  <c r="N1236" i="21"/>
  <c r="M1236" i="21"/>
  <c r="L1236" i="21"/>
  <c r="K1236" i="21"/>
  <c r="J1236" i="21"/>
  <c r="P1236" i="21" s="1"/>
  <c r="Q1235" i="21"/>
  <c r="P1235" i="21"/>
  <c r="O1235" i="21"/>
  <c r="N1235" i="21"/>
  <c r="M1235" i="21"/>
  <c r="L1235" i="21"/>
  <c r="J1235" i="21"/>
  <c r="K1235" i="21" s="1"/>
  <c r="Q1234" i="21"/>
  <c r="P1234" i="21"/>
  <c r="O1234" i="21"/>
  <c r="N1234" i="21"/>
  <c r="M1234" i="21"/>
  <c r="L1234" i="21"/>
  <c r="J1234" i="21"/>
  <c r="K1234" i="21" s="1"/>
  <c r="G187" i="11"/>
  <c r="Q1504" i="21"/>
  <c r="P1504" i="21"/>
  <c r="O1504" i="21"/>
  <c r="N1504" i="21"/>
  <c r="M1504" i="21"/>
  <c r="L1504" i="21"/>
  <c r="J1504" i="21"/>
  <c r="K1504" i="21" s="1"/>
  <c r="Q1503" i="21"/>
  <c r="P1503" i="21"/>
  <c r="O1503" i="21"/>
  <c r="N1503" i="21"/>
  <c r="M1503" i="21"/>
  <c r="L1503" i="21"/>
  <c r="J1503" i="21"/>
  <c r="K1503" i="21" s="1"/>
  <c r="Q1488" i="21"/>
  <c r="P1488" i="21"/>
  <c r="N1488" i="21"/>
  <c r="M1488" i="21"/>
  <c r="L1488" i="21"/>
  <c r="K1488" i="21"/>
  <c r="J1488" i="21"/>
  <c r="O1488" i="21" s="1"/>
  <c r="G1439" i="21"/>
  <c r="G1440" i="21"/>
  <c r="G1441" i="21"/>
  <c r="G1442" i="21"/>
  <c r="Q1425" i="21"/>
  <c r="O1425" i="21"/>
  <c r="N1425" i="21"/>
  <c r="M1425" i="21"/>
  <c r="L1425" i="21"/>
  <c r="K1425" i="21"/>
  <c r="J1425" i="21"/>
  <c r="P1425" i="21" s="1"/>
  <c r="G1383" i="21"/>
  <c r="G1382" i="21"/>
  <c r="G1381" i="21"/>
  <c r="G1380" i="21"/>
  <c r="G1362" i="21"/>
  <c r="G1363" i="21"/>
  <c r="G1364" i="21"/>
  <c r="G1365" i="21"/>
  <c r="Q1328" i="21"/>
  <c r="P1328" i="21"/>
  <c r="O1328" i="21"/>
  <c r="M1328" i="21"/>
  <c r="L1328" i="21"/>
  <c r="K1328" i="21"/>
  <c r="J1328" i="21"/>
  <c r="N1328" i="21" s="1"/>
  <c r="Q1275" i="21"/>
  <c r="P1275" i="21"/>
  <c r="N1275" i="21"/>
  <c r="M1275" i="21"/>
  <c r="L1275" i="21"/>
  <c r="K1275" i="21"/>
  <c r="J1275" i="21"/>
  <c r="O1275" i="21" s="1"/>
  <c r="G1212" i="21"/>
  <c r="G1213" i="21"/>
  <c r="G1214" i="21"/>
  <c r="G1215" i="21"/>
  <c r="G188" i="11"/>
  <c r="G189" i="11"/>
  <c r="Q1157" i="4" l="1"/>
  <c r="P1157" i="4"/>
  <c r="O1157" i="4"/>
  <c r="N1157" i="4"/>
  <c r="M1157" i="4"/>
  <c r="K1157" i="4"/>
  <c r="J1157" i="4"/>
  <c r="I1157" i="4"/>
  <c r="H1157" i="4"/>
  <c r="L1157" i="4" s="1"/>
  <c r="Q1156" i="4"/>
  <c r="P1156" i="4"/>
  <c r="O1156" i="4"/>
  <c r="N1156" i="4"/>
  <c r="M1156" i="4"/>
  <c r="K1156" i="4"/>
  <c r="J1156" i="4"/>
  <c r="I1156" i="4"/>
  <c r="H1156" i="4"/>
  <c r="L1156" i="4" s="1"/>
  <c r="Q1155" i="4"/>
  <c r="P1155" i="4"/>
  <c r="O1155" i="4"/>
  <c r="N1155" i="4"/>
  <c r="M1155" i="4"/>
  <c r="K1155" i="4"/>
  <c r="J1155" i="4"/>
  <c r="I1155" i="4"/>
  <c r="H1155" i="4"/>
  <c r="L1155" i="4" s="1"/>
  <c r="Q1154" i="4"/>
  <c r="P1154" i="4"/>
  <c r="O1154" i="4"/>
  <c r="N1154" i="4"/>
  <c r="M1154" i="4"/>
  <c r="K1154" i="4"/>
  <c r="J1154" i="4"/>
  <c r="I1154" i="4"/>
  <c r="H1154" i="4"/>
  <c r="L1154" i="4" s="1"/>
  <c r="G47" i="24"/>
  <c r="G46" i="24"/>
  <c r="E4294" i="4"/>
  <c r="E4295" i="4"/>
  <c r="E4296" i="4"/>
  <c r="Q4273" i="4" l="1"/>
  <c r="P4273" i="4"/>
  <c r="O4273" i="4"/>
  <c r="N4273" i="4"/>
  <c r="M4273" i="4"/>
  <c r="L4273" i="4"/>
  <c r="J4273" i="4"/>
  <c r="I4273" i="4"/>
  <c r="H4273" i="4"/>
  <c r="K4273" i="4" s="1"/>
  <c r="Q4272" i="4"/>
  <c r="P4272" i="4"/>
  <c r="O4272" i="4"/>
  <c r="N4272" i="4"/>
  <c r="M4272" i="4"/>
  <c r="L4272" i="4"/>
  <c r="J4272" i="4"/>
  <c r="I4272" i="4"/>
  <c r="H4272" i="4"/>
  <c r="K4272" i="4" s="1"/>
  <c r="Q4271" i="4"/>
  <c r="P4271" i="4"/>
  <c r="O4271" i="4"/>
  <c r="N4271" i="4"/>
  <c r="M4271" i="4"/>
  <c r="L4271" i="4"/>
  <c r="J4271" i="4"/>
  <c r="I4271" i="4"/>
  <c r="H4271" i="4"/>
  <c r="K4271" i="4" s="1"/>
  <c r="Q4270" i="4"/>
  <c r="P4270" i="4"/>
  <c r="O4270" i="4"/>
  <c r="N4270" i="4"/>
  <c r="M4270" i="4"/>
  <c r="L4270" i="4"/>
  <c r="J4270" i="4"/>
  <c r="I4270" i="4"/>
  <c r="H4270" i="4"/>
  <c r="K4270" i="4" s="1"/>
  <c r="Q4266" i="4"/>
  <c r="P4266" i="4"/>
  <c r="O4266" i="4"/>
  <c r="N4266" i="4"/>
  <c r="M4266" i="4"/>
  <c r="K4266" i="4"/>
  <c r="J4266" i="4"/>
  <c r="I4266" i="4"/>
  <c r="H4266" i="4"/>
  <c r="L4266" i="4" s="1"/>
  <c r="Q4265" i="4"/>
  <c r="P4265" i="4"/>
  <c r="O4265" i="4"/>
  <c r="N4265" i="4"/>
  <c r="M4265" i="4"/>
  <c r="L4265" i="4"/>
  <c r="J4265" i="4"/>
  <c r="I4265" i="4"/>
  <c r="H4265" i="4"/>
  <c r="K4265" i="4" s="1"/>
  <c r="Q4264" i="4"/>
  <c r="P4264" i="4"/>
  <c r="O4264" i="4"/>
  <c r="N4264" i="4"/>
  <c r="M4264" i="4"/>
  <c r="L4264" i="4"/>
  <c r="J4264" i="4"/>
  <c r="I4264" i="4"/>
  <c r="H4264" i="4"/>
  <c r="K4264" i="4" s="1"/>
  <c r="Q4263" i="4"/>
  <c r="P4263" i="4"/>
  <c r="O4263" i="4"/>
  <c r="N4263" i="4"/>
  <c r="M4263" i="4"/>
  <c r="L4263" i="4"/>
  <c r="J4263" i="4"/>
  <c r="I4263" i="4"/>
  <c r="H4263" i="4"/>
  <c r="K4263" i="4" s="1"/>
  <c r="Q4262" i="4"/>
  <c r="P4262" i="4"/>
  <c r="O4262" i="4"/>
  <c r="N4262" i="4"/>
  <c r="M4262" i="4"/>
  <c r="L4262" i="4"/>
  <c r="K4262" i="4"/>
  <c r="I4262" i="4"/>
  <c r="H4262" i="4"/>
  <c r="J4262" i="4" s="1"/>
  <c r="Q4259" i="4"/>
  <c r="P4259" i="4"/>
  <c r="O4259" i="4"/>
  <c r="N4259" i="4"/>
  <c r="M4259" i="4"/>
  <c r="K4259" i="4"/>
  <c r="J4259" i="4"/>
  <c r="I4259" i="4"/>
  <c r="H4259" i="4"/>
  <c r="L4259" i="4" s="1"/>
  <c r="Q4258" i="4"/>
  <c r="P4258" i="4"/>
  <c r="O4258" i="4"/>
  <c r="N4258" i="4"/>
  <c r="M4258" i="4"/>
  <c r="L4258" i="4"/>
  <c r="J4258" i="4"/>
  <c r="I4258" i="4"/>
  <c r="H4258" i="4"/>
  <c r="K4258" i="4" s="1"/>
  <c r="Q4257" i="4"/>
  <c r="P4257" i="4"/>
  <c r="O4257" i="4"/>
  <c r="N4257" i="4"/>
  <c r="M4257" i="4"/>
  <c r="L4257" i="4"/>
  <c r="J4257" i="4"/>
  <c r="I4257" i="4"/>
  <c r="H4257" i="4"/>
  <c r="K4257" i="4" s="1"/>
  <c r="Q4256" i="4"/>
  <c r="P4256" i="4"/>
  <c r="O4256" i="4"/>
  <c r="N4256" i="4"/>
  <c r="M4256" i="4"/>
  <c r="L4256" i="4"/>
  <c r="J4256" i="4"/>
  <c r="I4256" i="4"/>
  <c r="H4256" i="4"/>
  <c r="K4256" i="4" s="1"/>
  <c r="Q4255" i="4"/>
  <c r="P4255" i="4"/>
  <c r="O4255" i="4"/>
  <c r="N4255" i="4"/>
  <c r="M4255" i="4"/>
  <c r="L4255" i="4"/>
  <c r="K4255" i="4"/>
  <c r="I4255" i="4"/>
  <c r="H4255" i="4"/>
  <c r="J4255" i="4" s="1"/>
  <c r="Q4252" i="4"/>
  <c r="P4252" i="4"/>
  <c r="O4252" i="4"/>
  <c r="N4252" i="4"/>
  <c r="M4252" i="4"/>
  <c r="K4252" i="4"/>
  <c r="J4252" i="4"/>
  <c r="I4252" i="4"/>
  <c r="H4252" i="4"/>
  <c r="L4252" i="4" s="1"/>
  <c r="Q4251" i="4"/>
  <c r="P4251" i="4"/>
  <c r="O4251" i="4"/>
  <c r="N4251" i="4"/>
  <c r="M4251" i="4"/>
  <c r="K4251" i="4"/>
  <c r="J4251" i="4"/>
  <c r="I4251" i="4"/>
  <c r="H4251" i="4"/>
  <c r="L4251" i="4" s="1"/>
  <c r="Q4250" i="4"/>
  <c r="P4250" i="4"/>
  <c r="O4250" i="4"/>
  <c r="N4250" i="4"/>
  <c r="M4250" i="4"/>
  <c r="L4250" i="4"/>
  <c r="K4250" i="4"/>
  <c r="I4250" i="4"/>
  <c r="H4250" i="4"/>
  <c r="J4250" i="4" s="1"/>
  <c r="Q4247" i="4"/>
  <c r="P4247" i="4"/>
  <c r="O4247" i="4"/>
  <c r="N4247" i="4"/>
  <c r="M4247" i="4"/>
  <c r="K4247" i="4"/>
  <c r="J4247" i="4"/>
  <c r="I4247" i="4"/>
  <c r="H4247" i="4"/>
  <c r="L4247" i="4" s="1"/>
  <c r="Q4246" i="4"/>
  <c r="P4246" i="4"/>
  <c r="O4246" i="4"/>
  <c r="N4246" i="4"/>
  <c r="M4246" i="4"/>
  <c r="K4246" i="4"/>
  <c r="J4246" i="4"/>
  <c r="I4246" i="4"/>
  <c r="H4246" i="4"/>
  <c r="L4246" i="4" s="1"/>
  <c r="Q4245" i="4"/>
  <c r="P4245" i="4"/>
  <c r="O4245" i="4"/>
  <c r="N4245" i="4"/>
  <c r="M4245" i="4"/>
  <c r="L4245" i="4"/>
  <c r="K4245" i="4"/>
  <c r="I4245" i="4"/>
  <c r="H4245" i="4"/>
  <c r="J4245" i="4" s="1"/>
  <c r="Q4242" i="4"/>
  <c r="P4242" i="4"/>
  <c r="O4242" i="4"/>
  <c r="N4242" i="4"/>
  <c r="M4242" i="4"/>
  <c r="K4242" i="4"/>
  <c r="J4242" i="4"/>
  <c r="I4242" i="4"/>
  <c r="H4242" i="4"/>
  <c r="L4242" i="4" s="1"/>
  <c r="Q4241" i="4"/>
  <c r="P4241" i="4"/>
  <c r="O4241" i="4"/>
  <c r="N4241" i="4"/>
  <c r="M4241" i="4"/>
  <c r="K4241" i="4"/>
  <c r="J4241" i="4"/>
  <c r="I4241" i="4"/>
  <c r="H4241" i="4"/>
  <c r="L4241" i="4" s="1"/>
  <c r="Q4240" i="4"/>
  <c r="P4240" i="4"/>
  <c r="O4240" i="4"/>
  <c r="N4240" i="4"/>
  <c r="M4240" i="4"/>
  <c r="L4240" i="4"/>
  <c r="K4240" i="4"/>
  <c r="I4240" i="4"/>
  <c r="H4240" i="4"/>
  <c r="J4240" i="4" s="1"/>
  <c r="Q4237" i="4"/>
  <c r="P4237" i="4"/>
  <c r="O4237" i="4"/>
  <c r="N4237" i="4"/>
  <c r="M4237" i="4"/>
  <c r="K4237" i="4"/>
  <c r="J4237" i="4"/>
  <c r="I4237" i="4"/>
  <c r="H4237" i="4"/>
  <c r="L4237" i="4" s="1"/>
  <c r="Q4236" i="4"/>
  <c r="P4236" i="4"/>
  <c r="O4236" i="4"/>
  <c r="N4236" i="4"/>
  <c r="M4236" i="4"/>
  <c r="K4236" i="4"/>
  <c r="J4236" i="4"/>
  <c r="I4236" i="4"/>
  <c r="H4236" i="4"/>
  <c r="L4236" i="4" s="1"/>
  <c r="Q4235" i="4"/>
  <c r="P4235" i="4"/>
  <c r="O4235" i="4"/>
  <c r="N4235" i="4"/>
  <c r="M4235" i="4"/>
  <c r="L4235" i="4"/>
  <c r="K4235" i="4"/>
  <c r="I4235" i="4"/>
  <c r="H4235" i="4"/>
  <c r="J4235" i="4" s="1"/>
  <c r="Q4232" i="4"/>
  <c r="P4232" i="4"/>
  <c r="O4232" i="4"/>
  <c r="N4232" i="4"/>
  <c r="M4232" i="4"/>
  <c r="K4232" i="4"/>
  <c r="J4232" i="4"/>
  <c r="I4232" i="4"/>
  <c r="H4232" i="4"/>
  <c r="L4232" i="4" s="1"/>
  <c r="Q4231" i="4"/>
  <c r="P4231" i="4"/>
  <c r="O4231" i="4"/>
  <c r="N4231" i="4"/>
  <c r="M4231" i="4"/>
  <c r="K4231" i="4"/>
  <c r="J4231" i="4"/>
  <c r="I4231" i="4"/>
  <c r="H4231" i="4"/>
  <c r="L4231" i="4" s="1"/>
  <c r="Q4230" i="4"/>
  <c r="P4230" i="4"/>
  <c r="O4230" i="4"/>
  <c r="N4230" i="4"/>
  <c r="M4230" i="4"/>
  <c r="L4230" i="4"/>
  <c r="K4230" i="4"/>
  <c r="I4230" i="4"/>
  <c r="H4230" i="4"/>
  <c r="J4230" i="4" s="1"/>
  <c r="Q4227" i="4"/>
  <c r="P4227" i="4"/>
  <c r="O4227" i="4"/>
  <c r="N4227" i="4"/>
  <c r="M4227" i="4"/>
  <c r="K4227" i="4"/>
  <c r="J4227" i="4"/>
  <c r="I4227" i="4"/>
  <c r="H4227" i="4"/>
  <c r="L4227" i="4" s="1"/>
  <c r="Q4226" i="4"/>
  <c r="P4226" i="4"/>
  <c r="O4226" i="4"/>
  <c r="N4226" i="4"/>
  <c r="M4226" i="4"/>
  <c r="K4226" i="4"/>
  <c r="J4226" i="4"/>
  <c r="I4226" i="4"/>
  <c r="H4226" i="4"/>
  <c r="L4226" i="4" s="1"/>
  <c r="Q4225" i="4"/>
  <c r="P4225" i="4"/>
  <c r="O4225" i="4"/>
  <c r="N4225" i="4"/>
  <c r="M4225" i="4"/>
  <c r="L4225" i="4"/>
  <c r="K4225" i="4"/>
  <c r="I4225" i="4"/>
  <c r="H4225" i="4"/>
  <c r="J4225" i="4" s="1"/>
  <c r="Q4296" i="4"/>
  <c r="P4296" i="4"/>
  <c r="O4296" i="4"/>
  <c r="N4296" i="4"/>
  <c r="M4296" i="4"/>
  <c r="K4296" i="4"/>
  <c r="J4296" i="4"/>
  <c r="I4296" i="4"/>
  <c r="H4296" i="4"/>
  <c r="L4296" i="4" s="1"/>
  <c r="Q4295" i="4"/>
  <c r="P4295" i="4"/>
  <c r="O4295" i="4"/>
  <c r="N4295" i="4"/>
  <c r="M4295" i="4"/>
  <c r="K4295" i="4"/>
  <c r="J4295" i="4"/>
  <c r="I4295" i="4"/>
  <c r="H4295" i="4"/>
  <c r="L4295" i="4" s="1"/>
  <c r="Q4294" i="4"/>
  <c r="P4294" i="4"/>
  <c r="O4294" i="4"/>
  <c r="N4294" i="4"/>
  <c r="M4294" i="4"/>
  <c r="L4294" i="4"/>
  <c r="K4294" i="4"/>
  <c r="I4294" i="4"/>
  <c r="H4294" i="4"/>
  <c r="J4294" i="4" s="1"/>
  <c r="Q4291" i="4"/>
  <c r="P4291" i="4"/>
  <c r="O4291" i="4"/>
  <c r="N4291" i="4"/>
  <c r="M4291" i="4"/>
  <c r="K4291" i="4"/>
  <c r="J4291" i="4"/>
  <c r="I4291" i="4"/>
  <c r="H4291" i="4"/>
  <c r="L4291" i="4" s="1"/>
  <c r="Q4290" i="4"/>
  <c r="P4290" i="4"/>
  <c r="O4290" i="4"/>
  <c r="N4290" i="4"/>
  <c r="M4290" i="4"/>
  <c r="L4290" i="4"/>
  <c r="J4290" i="4"/>
  <c r="I4290" i="4"/>
  <c r="H4290" i="4"/>
  <c r="K4290" i="4" s="1"/>
  <c r="Q4289" i="4"/>
  <c r="P4289" i="4"/>
  <c r="O4289" i="4"/>
  <c r="N4289" i="4"/>
  <c r="M4289" i="4"/>
  <c r="L4289" i="4"/>
  <c r="J4289" i="4"/>
  <c r="I4289" i="4"/>
  <c r="H4289" i="4"/>
  <c r="K4289" i="4" s="1"/>
  <c r="Q4288" i="4"/>
  <c r="P4288" i="4"/>
  <c r="O4288" i="4"/>
  <c r="N4288" i="4"/>
  <c r="M4288" i="4"/>
  <c r="L4288" i="4"/>
  <c r="J4288" i="4"/>
  <c r="I4288" i="4"/>
  <c r="H4288" i="4"/>
  <c r="K4288" i="4" s="1"/>
  <c r="Q4287" i="4"/>
  <c r="P4287" i="4"/>
  <c r="O4287" i="4"/>
  <c r="N4287" i="4"/>
  <c r="M4287" i="4"/>
  <c r="L4287" i="4"/>
  <c r="K4287" i="4"/>
  <c r="I4287" i="4"/>
  <c r="H4287" i="4"/>
  <c r="J4287" i="4" s="1"/>
  <c r="Q4284" i="4"/>
  <c r="P4284" i="4"/>
  <c r="O4284" i="4"/>
  <c r="N4284" i="4"/>
  <c r="M4284" i="4"/>
  <c r="K4284" i="4"/>
  <c r="J4284" i="4"/>
  <c r="I4284" i="4"/>
  <c r="H4284" i="4"/>
  <c r="L4284" i="4" s="1"/>
  <c r="Q4283" i="4"/>
  <c r="P4283" i="4"/>
  <c r="O4283" i="4"/>
  <c r="N4283" i="4"/>
  <c r="M4283" i="4"/>
  <c r="K4283" i="4"/>
  <c r="J4283" i="4"/>
  <c r="I4283" i="4"/>
  <c r="H4283" i="4"/>
  <c r="L4283" i="4" s="1"/>
  <c r="Q4282" i="4"/>
  <c r="P4282" i="4"/>
  <c r="O4282" i="4"/>
  <c r="N4282" i="4"/>
  <c r="M4282" i="4"/>
  <c r="K4282" i="4"/>
  <c r="J4282" i="4"/>
  <c r="I4282" i="4"/>
  <c r="H4282" i="4"/>
  <c r="L4282" i="4" s="1"/>
  <c r="Q4281" i="4"/>
  <c r="P4281" i="4"/>
  <c r="O4281" i="4"/>
  <c r="N4281" i="4"/>
  <c r="M4281" i="4"/>
  <c r="K4281" i="4"/>
  <c r="J4281" i="4"/>
  <c r="I4281" i="4"/>
  <c r="H4281" i="4"/>
  <c r="L4281" i="4" s="1"/>
  <c r="Q4280" i="4"/>
  <c r="P4280" i="4"/>
  <c r="O4280" i="4"/>
  <c r="N4280" i="4"/>
  <c r="M4280" i="4"/>
  <c r="L4280" i="4"/>
  <c r="K4280" i="4"/>
  <c r="I4280" i="4"/>
  <c r="H4280" i="4"/>
  <c r="J4280" i="4" s="1"/>
  <c r="Q4277" i="4"/>
  <c r="P4277" i="4"/>
  <c r="O4277" i="4"/>
  <c r="N4277" i="4"/>
  <c r="M4277" i="4"/>
  <c r="K4277" i="4"/>
  <c r="J4277" i="4"/>
  <c r="I4277" i="4"/>
  <c r="H4277" i="4"/>
  <c r="L4277" i="4" s="1"/>
  <c r="Q4276" i="4"/>
  <c r="P4276" i="4"/>
  <c r="O4276" i="4"/>
  <c r="N4276" i="4"/>
  <c r="M4276" i="4"/>
  <c r="K4276" i="4"/>
  <c r="J4276" i="4"/>
  <c r="I4276" i="4"/>
  <c r="H4276" i="4"/>
  <c r="L4276" i="4" s="1"/>
  <c r="Q4275" i="4"/>
  <c r="P4275" i="4"/>
  <c r="O4275" i="4"/>
  <c r="N4275" i="4"/>
  <c r="M4275" i="4"/>
  <c r="K4275" i="4"/>
  <c r="J4275" i="4"/>
  <c r="I4275" i="4"/>
  <c r="H4275" i="4"/>
  <c r="L4275" i="4" s="1"/>
  <c r="Q4274" i="4"/>
  <c r="P4274" i="4"/>
  <c r="O4274" i="4"/>
  <c r="N4274" i="4"/>
  <c r="M4274" i="4"/>
  <c r="L4274" i="4"/>
  <c r="J4274" i="4"/>
  <c r="I4274" i="4"/>
  <c r="H4274" i="4"/>
  <c r="K4274" i="4" s="1"/>
  <c r="Q4269" i="4"/>
  <c r="P4269" i="4"/>
  <c r="O4269" i="4"/>
  <c r="N4269" i="4"/>
  <c r="M4269" i="4"/>
  <c r="L4269" i="4"/>
  <c r="K4269" i="4"/>
  <c r="I4269" i="4"/>
  <c r="H4269" i="4"/>
  <c r="J4269" i="4" s="1"/>
  <c r="Q4365" i="4"/>
  <c r="P4365" i="4"/>
  <c r="O4365" i="4"/>
  <c r="N4365" i="4"/>
  <c r="M4365" i="4"/>
  <c r="L4365" i="4"/>
  <c r="K4365" i="4"/>
  <c r="J4365" i="4"/>
  <c r="I4365" i="4"/>
  <c r="H4365" i="4"/>
  <c r="Q4364" i="4"/>
  <c r="P4364" i="4"/>
  <c r="O4364" i="4"/>
  <c r="N4364" i="4"/>
  <c r="M4364" i="4"/>
  <c r="L4364" i="4"/>
  <c r="K4364" i="4"/>
  <c r="J4364" i="4"/>
  <c r="I4364" i="4"/>
  <c r="H4364" i="4"/>
  <c r="Q4363" i="4"/>
  <c r="P4363" i="4"/>
  <c r="O4363" i="4"/>
  <c r="N4363" i="4"/>
  <c r="M4363" i="4"/>
  <c r="K4363" i="4"/>
  <c r="J4363" i="4"/>
  <c r="I4363" i="4"/>
  <c r="H4363" i="4"/>
  <c r="L4363" i="4" s="1"/>
  <c r="Q4362" i="4"/>
  <c r="P4362" i="4"/>
  <c r="O4362" i="4"/>
  <c r="N4362" i="4"/>
  <c r="M4362" i="4"/>
  <c r="K4362" i="4"/>
  <c r="J4362" i="4"/>
  <c r="I4362" i="4"/>
  <c r="H4362" i="4"/>
  <c r="L4362" i="4" s="1"/>
  <c r="Q4361" i="4"/>
  <c r="P4361" i="4"/>
  <c r="O4361" i="4"/>
  <c r="N4361" i="4"/>
  <c r="M4361" i="4"/>
  <c r="L4361" i="4"/>
  <c r="K4361" i="4"/>
  <c r="I4361" i="4"/>
  <c r="H4361" i="4"/>
  <c r="J4361" i="4" s="1"/>
  <c r="Q4303" i="4"/>
  <c r="P4303" i="4"/>
  <c r="O4303" i="4"/>
  <c r="N4303" i="4"/>
  <c r="M4303" i="4"/>
  <c r="K4303" i="4"/>
  <c r="J4303" i="4"/>
  <c r="I4303" i="4"/>
  <c r="H4303" i="4"/>
  <c r="L4303" i="4" s="1"/>
  <c r="Q4302" i="4"/>
  <c r="P4302" i="4"/>
  <c r="O4302" i="4"/>
  <c r="N4302" i="4"/>
  <c r="M4302" i="4"/>
  <c r="L4302" i="4"/>
  <c r="J4302" i="4"/>
  <c r="I4302" i="4"/>
  <c r="H4302" i="4"/>
  <c r="K4302" i="4" s="1"/>
  <c r="Q4301" i="4"/>
  <c r="P4301" i="4"/>
  <c r="O4301" i="4"/>
  <c r="N4301" i="4"/>
  <c r="M4301" i="4"/>
  <c r="L4301" i="4"/>
  <c r="J4301" i="4"/>
  <c r="I4301" i="4"/>
  <c r="H4301" i="4"/>
  <c r="K4301" i="4" s="1"/>
  <c r="Q4300" i="4"/>
  <c r="P4300" i="4"/>
  <c r="O4300" i="4"/>
  <c r="N4300" i="4"/>
  <c r="M4300" i="4"/>
  <c r="L4300" i="4"/>
  <c r="J4300" i="4"/>
  <c r="I4300" i="4"/>
  <c r="H4300" i="4"/>
  <c r="K4300" i="4" s="1"/>
  <c r="Q4299" i="4"/>
  <c r="P4299" i="4"/>
  <c r="O4299" i="4"/>
  <c r="N4299" i="4"/>
  <c r="M4299" i="4"/>
  <c r="L4299" i="4"/>
  <c r="K4299" i="4"/>
  <c r="I4299" i="4"/>
  <c r="H4299" i="4"/>
  <c r="J4299" i="4" s="1"/>
  <c r="Q4372" i="4"/>
  <c r="P4372" i="4"/>
  <c r="O4372" i="4"/>
  <c r="N4372" i="4"/>
  <c r="M4372" i="4"/>
  <c r="K4372" i="4"/>
  <c r="J4372" i="4"/>
  <c r="I4372" i="4"/>
  <c r="H4372" i="4"/>
  <c r="L4372" i="4" s="1"/>
  <c r="Q4371" i="4"/>
  <c r="P4371" i="4"/>
  <c r="O4371" i="4"/>
  <c r="N4371" i="4"/>
  <c r="M4371" i="4"/>
  <c r="K4371" i="4"/>
  <c r="J4371" i="4"/>
  <c r="I4371" i="4"/>
  <c r="H4371" i="4"/>
  <c r="L4371" i="4" s="1"/>
  <c r="Q4370" i="4"/>
  <c r="P4370" i="4"/>
  <c r="O4370" i="4"/>
  <c r="N4370" i="4"/>
  <c r="M4370" i="4"/>
  <c r="K4370" i="4"/>
  <c r="J4370" i="4"/>
  <c r="I4370" i="4"/>
  <c r="H4370" i="4"/>
  <c r="L4370" i="4" s="1"/>
  <c r="Q4369" i="4"/>
  <c r="P4369" i="4"/>
  <c r="O4369" i="4"/>
  <c r="N4369" i="4"/>
  <c r="M4369" i="4"/>
  <c r="K4369" i="4"/>
  <c r="J4369" i="4"/>
  <c r="I4369" i="4"/>
  <c r="H4369" i="4"/>
  <c r="L4369" i="4" s="1"/>
  <c r="Q4368" i="4"/>
  <c r="P4368" i="4"/>
  <c r="O4368" i="4"/>
  <c r="N4368" i="4"/>
  <c r="M4368" i="4"/>
  <c r="L4368" i="4"/>
  <c r="K4368" i="4"/>
  <c r="I4368" i="4"/>
  <c r="H4368" i="4"/>
  <c r="J4368" i="4" s="1"/>
  <c r="G1191" i="21"/>
  <c r="G1190" i="21"/>
  <c r="G1189" i="21"/>
  <c r="G1179" i="21"/>
  <c r="G1180" i="21"/>
  <c r="G1181" i="21"/>
  <c r="G1194" i="21"/>
  <c r="G1195" i="21"/>
  <c r="G1196" i="21"/>
  <c r="G1031" i="21"/>
  <c r="G1030" i="21"/>
  <c r="G1029" i="21"/>
  <c r="G1028" i="21"/>
  <c r="G1042" i="21"/>
  <c r="G1043" i="21"/>
  <c r="G1044" i="21"/>
  <c r="G1045" i="21"/>
  <c r="G1006" i="21"/>
  <c r="G1005" i="21"/>
  <c r="G1004" i="21"/>
  <c r="G1003" i="21"/>
  <c r="G1076" i="21"/>
  <c r="G1077" i="21"/>
  <c r="G1078" i="21"/>
  <c r="G1079" i="21"/>
  <c r="G1104" i="21"/>
  <c r="G1103" i="21"/>
  <c r="G1102" i="21"/>
  <c r="G1101" i="21"/>
  <c r="P4298" i="4" l="1"/>
  <c r="P4293" i="4"/>
  <c r="M4244" i="4"/>
  <c r="K4249" i="4"/>
  <c r="M4268" i="4"/>
  <c r="P4360" i="4"/>
  <c r="O4298" i="4"/>
  <c r="Q4293" i="4"/>
  <c r="P4239" i="4"/>
  <c r="I4261" i="4"/>
  <c r="P4234" i="4"/>
  <c r="M4234" i="4"/>
  <c r="J4293" i="4"/>
  <c r="M4254" i="4"/>
  <c r="K4286" i="4"/>
  <c r="N4239" i="4"/>
  <c r="Q4261" i="4"/>
  <c r="Q4244" i="4"/>
  <c r="J4261" i="4"/>
  <c r="N4279" i="4"/>
  <c r="O4279" i="4"/>
  <c r="O4234" i="4"/>
  <c r="O4286" i="4"/>
  <c r="P4286" i="4"/>
  <c r="Q4360" i="4"/>
  <c r="Q4367" i="4"/>
  <c r="I4286" i="4"/>
  <c r="N4268" i="4"/>
  <c r="M4249" i="4"/>
  <c r="L4249" i="4"/>
  <c r="J4254" i="4"/>
  <c r="P4254" i="4"/>
  <c r="N4229" i="4"/>
  <c r="O4229" i="4"/>
  <c r="K4367" i="4"/>
  <c r="K4268" i="4"/>
  <c r="I4279" i="4"/>
  <c r="P4229" i="4"/>
  <c r="I4239" i="4"/>
  <c r="K4261" i="4"/>
  <c r="J4367" i="4"/>
  <c r="N4360" i="4"/>
  <c r="N4367" i="4"/>
  <c r="L4268" i="4"/>
  <c r="L4293" i="4"/>
  <c r="Q4229" i="4"/>
  <c r="K4229" i="4"/>
  <c r="J4239" i="4"/>
  <c r="Q4249" i="4"/>
  <c r="O4254" i="4"/>
  <c r="L4261" i="4"/>
  <c r="J4298" i="4"/>
  <c r="K4234" i="4"/>
  <c r="M4367" i="4"/>
  <c r="Q4286" i="4"/>
  <c r="M4293" i="4"/>
  <c r="O4293" i="4"/>
  <c r="L4229" i="4"/>
  <c r="N4234" i="4"/>
  <c r="K4239" i="4"/>
  <c r="Q4239" i="4"/>
  <c r="N4244" i="4"/>
  <c r="M4261" i="4"/>
  <c r="O4261" i="4"/>
  <c r="J4268" i="4"/>
  <c r="N4286" i="4"/>
  <c r="L4367" i="4"/>
  <c r="J4360" i="4"/>
  <c r="J4279" i="4"/>
  <c r="N4293" i="4"/>
  <c r="L4239" i="4"/>
  <c r="I4244" i="4"/>
  <c r="O4244" i="4"/>
  <c r="N4261" i="4"/>
  <c r="O4367" i="4"/>
  <c r="K4298" i="4"/>
  <c r="I4360" i="4"/>
  <c r="K4360" i="4"/>
  <c r="O4268" i="4"/>
  <c r="K4279" i="4"/>
  <c r="J4244" i="4"/>
  <c r="P4367" i="4"/>
  <c r="L4298" i="4"/>
  <c r="N4298" i="4"/>
  <c r="P4268" i="4"/>
  <c r="L4279" i="4"/>
  <c r="J4286" i="4"/>
  <c r="I4229" i="4"/>
  <c r="Q4234" i="4"/>
  <c r="K4244" i="4"/>
  <c r="I4249" i="4"/>
  <c r="O4249" i="4"/>
  <c r="P4261" i="4"/>
  <c r="M4298" i="4"/>
  <c r="Q4268" i="4"/>
  <c r="M4279" i="4"/>
  <c r="J4229" i="4"/>
  <c r="L4234" i="4"/>
  <c r="O4239" i="4"/>
  <c r="L4244" i="4"/>
  <c r="J4249" i="4"/>
  <c r="P4249" i="4"/>
  <c r="I4254" i="4"/>
  <c r="L4360" i="4"/>
  <c r="P4279" i="4"/>
  <c r="L4286" i="4"/>
  <c r="M4229" i="4"/>
  <c r="I4234" i="4"/>
  <c r="K4254" i="4"/>
  <c r="Q4254" i="4"/>
  <c r="I4367" i="4"/>
  <c r="Q4298" i="4"/>
  <c r="I4298" i="4"/>
  <c r="M4360" i="4"/>
  <c r="O4360" i="4"/>
  <c r="I4268" i="4"/>
  <c r="Q4279" i="4"/>
  <c r="M4286" i="4"/>
  <c r="I4293" i="4"/>
  <c r="K4293" i="4"/>
  <c r="J4234" i="4"/>
  <c r="M4239" i="4"/>
  <c r="P4244" i="4"/>
  <c r="N4249" i="4"/>
  <c r="L4254" i="4"/>
  <c r="N4254" i="4"/>
  <c r="J4224" i="4"/>
  <c r="L4224" i="4"/>
  <c r="M4224" i="4"/>
  <c r="K4224" i="4"/>
  <c r="N4224" i="4"/>
  <c r="P4224" i="4"/>
  <c r="I4224" i="4"/>
  <c r="Q4224" i="4"/>
  <c r="O4224" i="4"/>
  <c r="P82" i="20"/>
  <c r="O82" i="20"/>
  <c r="N82" i="20"/>
  <c r="M82" i="20"/>
  <c r="L82" i="20"/>
  <c r="J82" i="20"/>
  <c r="K82" i="20" s="1"/>
  <c r="P81" i="20"/>
  <c r="O81" i="20"/>
  <c r="N81" i="20"/>
  <c r="M81" i="20"/>
  <c r="L81" i="20"/>
  <c r="J81" i="20"/>
  <c r="K81" i="20" s="1"/>
  <c r="P79" i="20"/>
  <c r="O79" i="20"/>
  <c r="N79" i="20"/>
  <c r="M79" i="20"/>
  <c r="K79" i="20"/>
  <c r="J79" i="20"/>
  <c r="L79" i="20" s="1"/>
  <c r="P78" i="20"/>
  <c r="O78" i="20"/>
  <c r="N78" i="20"/>
  <c r="M78" i="20"/>
  <c r="J78" i="20"/>
  <c r="L78" i="20" s="1"/>
  <c r="P77" i="20"/>
  <c r="O77" i="20"/>
  <c r="N77" i="20"/>
  <c r="M77" i="20"/>
  <c r="J77" i="20"/>
  <c r="L77" i="20" s="1"/>
  <c r="P76" i="20"/>
  <c r="O76" i="20"/>
  <c r="N76" i="20"/>
  <c r="M76" i="20"/>
  <c r="L76" i="20"/>
  <c r="J76" i="20"/>
  <c r="K76" i="20" s="1"/>
  <c r="P75" i="20"/>
  <c r="O75" i="20"/>
  <c r="N75" i="20"/>
  <c r="M75" i="20"/>
  <c r="L75" i="20"/>
  <c r="J75" i="20"/>
  <c r="K75" i="20" s="1"/>
  <c r="P74" i="20"/>
  <c r="O74" i="20"/>
  <c r="N74" i="20"/>
  <c r="M74" i="20"/>
  <c r="J74" i="20"/>
  <c r="L74" i="20" s="1"/>
  <c r="P73" i="20"/>
  <c r="O73" i="20"/>
  <c r="N73" i="20"/>
  <c r="M73" i="20"/>
  <c r="L73" i="20"/>
  <c r="J73" i="20"/>
  <c r="K73" i="20" s="1"/>
  <c r="E3388" i="4"/>
  <c r="E3389" i="4"/>
  <c r="E3390" i="4"/>
  <c r="E3391" i="4"/>
  <c r="G1192" i="21"/>
  <c r="G1193" i="21"/>
  <c r="E3354" i="4"/>
  <c r="E3355" i="4"/>
  <c r="E3356" i="4"/>
  <c r="E3357" i="4"/>
  <c r="Q3346" i="4"/>
  <c r="P3346" i="4"/>
  <c r="O3346" i="4"/>
  <c r="M3346" i="4"/>
  <c r="L3346" i="4"/>
  <c r="K3346" i="4"/>
  <c r="J3346" i="4"/>
  <c r="I3346" i="4"/>
  <c r="H3346" i="4"/>
  <c r="N3346" i="4" s="1"/>
  <c r="Q3345" i="4"/>
  <c r="P3345" i="4"/>
  <c r="O3345" i="4"/>
  <c r="M3345" i="4"/>
  <c r="L3345" i="4"/>
  <c r="K3345" i="4"/>
  <c r="J3345" i="4"/>
  <c r="I3345" i="4"/>
  <c r="H3345" i="4"/>
  <c r="N3345" i="4" s="1"/>
  <c r="Q3344" i="4"/>
  <c r="P3344" i="4"/>
  <c r="O3344" i="4"/>
  <c r="N3344" i="4"/>
  <c r="M3344" i="4"/>
  <c r="K3344" i="4"/>
  <c r="J3344" i="4"/>
  <c r="I3344" i="4"/>
  <c r="H3344" i="4"/>
  <c r="L3344" i="4" s="1"/>
  <c r="Q3343" i="4"/>
  <c r="P3343" i="4"/>
  <c r="O3343" i="4"/>
  <c r="N3343" i="4"/>
  <c r="M3343" i="4"/>
  <c r="K3343" i="4"/>
  <c r="J3343" i="4"/>
  <c r="I3343" i="4"/>
  <c r="H3343" i="4"/>
  <c r="L3343" i="4" s="1"/>
  <c r="G1177" i="21"/>
  <c r="G1178" i="21"/>
  <c r="Q3190" i="4"/>
  <c r="O3190" i="4"/>
  <c r="N3190" i="4"/>
  <c r="M3190" i="4"/>
  <c r="L3190" i="4"/>
  <c r="K3190" i="4"/>
  <c r="J3190" i="4"/>
  <c r="I3190" i="4"/>
  <c r="H3190" i="4"/>
  <c r="P3190" i="4" s="1"/>
  <c r="E3130" i="4"/>
  <c r="E3131" i="4"/>
  <c r="E3132" i="4"/>
  <c r="E3086" i="4"/>
  <c r="E3085" i="4"/>
  <c r="E3084" i="4"/>
  <c r="E3083" i="4"/>
  <c r="E3082" i="4"/>
  <c r="E3087" i="4"/>
  <c r="G1125" i="21"/>
  <c r="G1126" i="21"/>
  <c r="G1127" i="21"/>
  <c r="G1128" i="21"/>
  <c r="G1041" i="21"/>
  <c r="G1040" i="21"/>
  <c r="G1039" i="21"/>
  <c r="J1039" i="21" s="1"/>
  <c r="N1039" i="21" s="1"/>
  <c r="G1038" i="21"/>
  <c r="J1038" i="21" s="1"/>
  <c r="K1038" i="21" s="1"/>
  <c r="G1037" i="21"/>
  <c r="G1036" i="21"/>
  <c r="Q1039" i="21"/>
  <c r="P1039" i="21"/>
  <c r="O1039" i="21"/>
  <c r="M1039" i="21"/>
  <c r="L1039" i="21"/>
  <c r="K1039" i="21"/>
  <c r="Q1038" i="21"/>
  <c r="P1038" i="21"/>
  <c r="O1038" i="21"/>
  <c r="N1038" i="21"/>
  <c r="M1038" i="21"/>
  <c r="L1038" i="21"/>
  <c r="G1027" i="21"/>
  <c r="G1026" i="21"/>
  <c r="J1026" i="21" s="1"/>
  <c r="N1026" i="21" s="1"/>
  <c r="G1025" i="21"/>
  <c r="J1025" i="21" s="1"/>
  <c r="N1025" i="21" s="1"/>
  <c r="G1024" i="21"/>
  <c r="G1023" i="21"/>
  <c r="G1022" i="21"/>
  <c r="Q1026" i="21"/>
  <c r="P1026" i="21"/>
  <c r="O1026" i="21"/>
  <c r="M1026" i="21"/>
  <c r="L1026" i="21"/>
  <c r="K1026" i="21"/>
  <c r="Q1025" i="21"/>
  <c r="P1025" i="21"/>
  <c r="O1025" i="21"/>
  <c r="M1025" i="21"/>
  <c r="L1025" i="21"/>
  <c r="K1025" i="21"/>
  <c r="G1117" i="21"/>
  <c r="G1118" i="21"/>
  <c r="G1119" i="21"/>
  <c r="G1120" i="21"/>
  <c r="G991" i="21"/>
  <c r="G992" i="21"/>
  <c r="G993" i="21"/>
  <c r="G994" i="21"/>
  <c r="G999" i="21"/>
  <c r="G1000" i="21"/>
  <c r="G1001" i="21"/>
  <c r="G1002" i="21"/>
  <c r="G1109" i="21"/>
  <c r="G1110" i="21"/>
  <c r="G1111" i="21"/>
  <c r="G1112" i="21"/>
  <c r="G1089" i="21"/>
  <c r="G1090" i="21"/>
  <c r="G1091" i="21"/>
  <c r="G1092" i="21"/>
  <c r="G1072" i="21"/>
  <c r="G1073" i="21"/>
  <c r="G1074" i="21"/>
  <c r="G1075" i="21"/>
  <c r="G1100" i="21"/>
  <c r="G1099" i="21"/>
  <c r="G1098" i="21"/>
  <c r="G1097" i="21"/>
  <c r="K78" i="20" l="1"/>
  <c r="K77" i="20"/>
  <c r="K74" i="20"/>
  <c r="G1121" i="21"/>
  <c r="G1122" i="21"/>
  <c r="G1123" i="21"/>
  <c r="G1124" i="21"/>
  <c r="G1113" i="21"/>
  <c r="G1114" i="21"/>
  <c r="G1115" i="21"/>
  <c r="G1116" i="21"/>
  <c r="G1108" i="21"/>
  <c r="G1107" i="21"/>
  <c r="G1106" i="21"/>
  <c r="G1105" i="21"/>
  <c r="G1093" i="21"/>
  <c r="G1094" i="21"/>
  <c r="G1095" i="21"/>
  <c r="G1096" i="21"/>
  <c r="G1086" i="21"/>
  <c r="G1087" i="21"/>
  <c r="G1088" i="21"/>
  <c r="G1084" i="21"/>
  <c r="G1085" i="21"/>
  <c r="G1083" i="21"/>
  <c r="G1080" i="21"/>
  <c r="G1081" i="21"/>
  <c r="G1082" i="21"/>
  <c r="G1069" i="21"/>
  <c r="G1070" i="21"/>
  <c r="G1071" i="21"/>
  <c r="G184" i="11"/>
  <c r="G185" i="11"/>
  <c r="E1089" i="4"/>
  <c r="H1089" i="4" s="1"/>
  <c r="J1089" i="4" s="1"/>
  <c r="E1090" i="4"/>
  <c r="H1090" i="4" s="1"/>
  <c r="L1090" i="4" s="1"/>
  <c r="E1074" i="4"/>
  <c r="H1074" i="4" s="1"/>
  <c r="J1074" i="4" s="1"/>
  <c r="E1075" i="4"/>
  <c r="E1069" i="4"/>
  <c r="H1069" i="4" s="1"/>
  <c r="J1069" i="4" s="1"/>
  <c r="E1070" i="4"/>
  <c r="H1070" i="4" s="1"/>
  <c r="L1070" i="4" s="1"/>
  <c r="E1071" i="4"/>
  <c r="H1071" i="4" s="1"/>
  <c r="L1071" i="4" s="1"/>
  <c r="E1064" i="4"/>
  <c r="H1064" i="4" s="1"/>
  <c r="J1064" i="4" s="1"/>
  <c r="E1065" i="4"/>
  <c r="H1065" i="4" s="1"/>
  <c r="L1065" i="4" s="1"/>
  <c r="E1066" i="4"/>
  <c r="E1059" i="4"/>
  <c r="H1059" i="4" s="1"/>
  <c r="J1059" i="4" s="1"/>
  <c r="E1060" i="4"/>
  <c r="E1061" i="4"/>
  <c r="H1061" i="4" s="1"/>
  <c r="L1061" i="4" s="1"/>
  <c r="E1054" i="4"/>
  <c r="H1054" i="4" s="1"/>
  <c r="J1054" i="4" s="1"/>
  <c r="E1055" i="4"/>
  <c r="H1055" i="4" s="1"/>
  <c r="L1055" i="4" s="1"/>
  <c r="E1056" i="4"/>
  <c r="H1056" i="4" s="1"/>
  <c r="L1056" i="4" s="1"/>
  <c r="E1049" i="4"/>
  <c r="H1049" i="4" s="1"/>
  <c r="J1049" i="4" s="1"/>
  <c r="E1051" i="4"/>
  <c r="H1051" i="4" s="1"/>
  <c r="L1051" i="4" s="1"/>
  <c r="E1050" i="4"/>
  <c r="H1050" i="4" s="1"/>
  <c r="L1050" i="4" s="1"/>
  <c r="E1044" i="4"/>
  <c r="H1044" i="4" s="1"/>
  <c r="J1044" i="4" s="1"/>
  <c r="E1045" i="4"/>
  <c r="H1045" i="4" s="1"/>
  <c r="L1045" i="4" s="1"/>
  <c r="E1046" i="4"/>
  <c r="H1046" i="4" s="1"/>
  <c r="L1046" i="4" s="1"/>
  <c r="E1040" i="4"/>
  <c r="H1040" i="4" s="1"/>
  <c r="J1040" i="4" s="1"/>
  <c r="E1041" i="4"/>
  <c r="H1041" i="4" s="1"/>
  <c r="L1041" i="4" s="1"/>
  <c r="E1036" i="4"/>
  <c r="H1036" i="4" s="1"/>
  <c r="J1036" i="4" s="1"/>
  <c r="E1037" i="4"/>
  <c r="H1037" i="4" s="1"/>
  <c r="L1037" i="4" s="1"/>
  <c r="Q1398" i="4"/>
  <c r="P1398" i="4"/>
  <c r="O1398" i="4"/>
  <c r="N1398" i="4"/>
  <c r="M1398" i="4"/>
  <c r="K1398" i="4"/>
  <c r="J1398" i="4"/>
  <c r="I1398" i="4"/>
  <c r="H1398" i="4"/>
  <c r="L1398" i="4" s="1"/>
  <c r="Q1397" i="4"/>
  <c r="P1397" i="4"/>
  <c r="O1397" i="4"/>
  <c r="N1397" i="4"/>
  <c r="M1397" i="4"/>
  <c r="K1397" i="4"/>
  <c r="J1397" i="4"/>
  <c r="I1397" i="4"/>
  <c r="H1397" i="4"/>
  <c r="L1397" i="4" s="1"/>
  <c r="Q1396" i="4"/>
  <c r="P1396" i="4"/>
  <c r="O1396" i="4"/>
  <c r="N1396" i="4"/>
  <c r="M1396" i="4"/>
  <c r="K1396" i="4"/>
  <c r="J1396" i="4"/>
  <c r="I1396" i="4"/>
  <c r="H1396" i="4"/>
  <c r="L1396" i="4" s="1"/>
  <c r="Q1395" i="4"/>
  <c r="P1395" i="4"/>
  <c r="O1395" i="4"/>
  <c r="N1395" i="4"/>
  <c r="M1395" i="4"/>
  <c r="K1395" i="4"/>
  <c r="J1395" i="4"/>
  <c r="I1395" i="4"/>
  <c r="H1395" i="4"/>
  <c r="L1395" i="4" s="1"/>
  <c r="Q1394" i="4"/>
  <c r="P1394" i="4"/>
  <c r="O1394" i="4"/>
  <c r="N1394" i="4"/>
  <c r="M1394" i="4"/>
  <c r="L1394" i="4"/>
  <c r="K1394" i="4"/>
  <c r="I1394" i="4"/>
  <c r="H1394" i="4"/>
  <c r="J1394" i="4" s="1"/>
  <c r="Q1391" i="4"/>
  <c r="P1391" i="4"/>
  <c r="O1391" i="4"/>
  <c r="N1391" i="4"/>
  <c r="M1391" i="4"/>
  <c r="K1391" i="4"/>
  <c r="J1391" i="4"/>
  <c r="I1391" i="4"/>
  <c r="H1391" i="4"/>
  <c r="L1391" i="4" s="1"/>
  <c r="Q1390" i="4"/>
  <c r="P1390" i="4"/>
  <c r="O1390" i="4"/>
  <c r="N1390" i="4"/>
  <c r="M1390" i="4"/>
  <c r="K1390" i="4"/>
  <c r="J1390" i="4"/>
  <c r="I1390" i="4"/>
  <c r="H1390" i="4"/>
  <c r="L1390" i="4" s="1"/>
  <c r="Q1389" i="4"/>
  <c r="P1389" i="4"/>
  <c r="O1389" i="4"/>
  <c r="N1389" i="4"/>
  <c r="M1389" i="4"/>
  <c r="L1389" i="4"/>
  <c r="K1389" i="4"/>
  <c r="I1389" i="4"/>
  <c r="H1389" i="4"/>
  <c r="J1389" i="4" s="1"/>
  <c r="Q1386" i="4"/>
  <c r="P1386" i="4"/>
  <c r="O1386" i="4"/>
  <c r="N1386" i="4"/>
  <c r="M1386" i="4"/>
  <c r="K1386" i="4"/>
  <c r="J1386" i="4"/>
  <c r="I1386" i="4"/>
  <c r="H1386" i="4"/>
  <c r="L1386" i="4" s="1"/>
  <c r="Q1385" i="4"/>
  <c r="P1385" i="4"/>
  <c r="O1385" i="4"/>
  <c r="N1385" i="4"/>
  <c r="M1385" i="4"/>
  <c r="K1385" i="4"/>
  <c r="J1385" i="4"/>
  <c r="I1385" i="4"/>
  <c r="H1385" i="4"/>
  <c r="L1385" i="4" s="1"/>
  <c r="Q1384" i="4"/>
  <c r="P1384" i="4"/>
  <c r="O1384" i="4"/>
  <c r="N1384" i="4"/>
  <c r="M1384" i="4"/>
  <c r="L1384" i="4"/>
  <c r="K1384" i="4"/>
  <c r="I1384" i="4"/>
  <c r="H1384" i="4"/>
  <c r="J1384" i="4" s="1"/>
  <c r="Q1381" i="4"/>
  <c r="P1381" i="4"/>
  <c r="O1381" i="4"/>
  <c r="N1381" i="4"/>
  <c r="M1381" i="4"/>
  <c r="K1381" i="4"/>
  <c r="J1381" i="4"/>
  <c r="I1381" i="4"/>
  <c r="H1381" i="4"/>
  <c r="L1381" i="4" s="1"/>
  <c r="Q1380" i="4"/>
  <c r="P1380" i="4"/>
  <c r="O1380" i="4"/>
  <c r="N1380" i="4"/>
  <c r="M1380" i="4"/>
  <c r="K1380" i="4"/>
  <c r="J1380" i="4"/>
  <c r="I1380" i="4"/>
  <c r="H1380" i="4"/>
  <c r="L1380" i="4" s="1"/>
  <c r="Q1379" i="4"/>
  <c r="P1379" i="4"/>
  <c r="O1379" i="4"/>
  <c r="N1379" i="4"/>
  <c r="M1379" i="4"/>
  <c r="K1379" i="4"/>
  <c r="J1379" i="4"/>
  <c r="I1379" i="4"/>
  <c r="H1379" i="4"/>
  <c r="L1379" i="4" s="1"/>
  <c r="Q1378" i="4"/>
  <c r="P1378" i="4"/>
  <c r="O1378" i="4"/>
  <c r="N1378" i="4"/>
  <c r="M1378" i="4"/>
  <c r="K1378" i="4"/>
  <c r="J1378" i="4"/>
  <c r="I1378" i="4"/>
  <c r="H1378" i="4"/>
  <c r="L1378" i="4" s="1"/>
  <c r="Q1377" i="4"/>
  <c r="P1377" i="4"/>
  <c r="O1377" i="4"/>
  <c r="N1377" i="4"/>
  <c r="M1377" i="4"/>
  <c r="L1377" i="4"/>
  <c r="K1377" i="4"/>
  <c r="I1377" i="4"/>
  <c r="H1377" i="4"/>
  <c r="J1377" i="4" s="1"/>
  <c r="Q1374" i="4"/>
  <c r="P1374" i="4"/>
  <c r="O1374" i="4"/>
  <c r="N1374" i="4"/>
  <c r="M1374" i="4"/>
  <c r="K1374" i="4"/>
  <c r="J1374" i="4"/>
  <c r="I1374" i="4"/>
  <c r="H1374" i="4"/>
  <c r="L1374" i="4" s="1"/>
  <c r="Q1373" i="4"/>
  <c r="P1373" i="4"/>
  <c r="O1373" i="4"/>
  <c r="N1373" i="4"/>
  <c r="M1373" i="4"/>
  <c r="L1373" i="4"/>
  <c r="K1373" i="4"/>
  <c r="I1373" i="4"/>
  <c r="H1373" i="4"/>
  <c r="J1373" i="4" s="1"/>
  <c r="Q1370" i="4"/>
  <c r="P1370" i="4"/>
  <c r="O1370" i="4"/>
  <c r="N1370" i="4"/>
  <c r="M1370" i="4"/>
  <c r="K1370" i="4"/>
  <c r="J1370" i="4"/>
  <c r="I1370" i="4"/>
  <c r="H1370" i="4"/>
  <c r="L1370" i="4" s="1"/>
  <c r="Q1369" i="4"/>
  <c r="P1369" i="4"/>
  <c r="O1369" i="4"/>
  <c r="N1369" i="4"/>
  <c r="M1369" i="4"/>
  <c r="K1369" i="4"/>
  <c r="J1369" i="4"/>
  <c r="I1369" i="4"/>
  <c r="H1369" i="4"/>
  <c r="L1369" i="4" s="1"/>
  <c r="Q1368" i="4"/>
  <c r="P1368" i="4"/>
  <c r="O1368" i="4"/>
  <c r="N1368" i="4"/>
  <c r="M1368" i="4"/>
  <c r="K1368" i="4"/>
  <c r="J1368" i="4"/>
  <c r="I1368" i="4"/>
  <c r="H1368" i="4"/>
  <c r="L1368" i="4" s="1"/>
  <c r="Q1367" i="4"/>
  <c r="P1367" i="4"/>
  <c r="O1367" i="4"/>
  <c r="N1367" i="4"/>
  <c r="M1367" i="4"/>
  <c r="K1367" i="4"/>
  <c r="J1367" i="4"/>
  <c r="I1367" i="4"/>
  <c r="H1367" i="4"/>
  <c r="L1367" i="4" s="1"/>
  <c r="Q1366" i="4"/>
  <c r="P1366" i="4"/>
  <c r="O1366" i="4"/>
  <c r="N1366" i="4"/>
  <c r="M1366" i="4"/>
  <c r="K1366" i="4"/>
  <c r="J1366" i="4"/>
  <c r="I1366" i="4"/>
  <c r="H1366" i="4"/>
  <c r="L1366" i="4" s="1"/>
  <c r="Q1365" i="4"/>
  <c r="P1365" i="4"/>
  <c r="O1365" i="4"/>
  <c r="N1365" i="4"/>
  <c r="M1365" i="4"/>
  <c r="K1365" i="4"/>
  <c r="J1365" i="4"/>
  <c r="I1365" i="4"/>
  <c r="H1365" i="4"/>
  <c r="L1365" i="4" s="1"/>
  <c r="Q1364" i="4"/>
  <c r="P1364" i="4"/>
  <c r="O1364" i="4"/>
  <c r="N1364" i="4"/>
  <c r="M1364" i="4"/>
  <c r="L1364" i="4"/>
  <c r="K1364" i="4"/>
  <c r="I1364" i="4"/>
  <c r="H1364" i="4"/>
  <c r="J1364" i="4" s="1"/>
  <c r="Q1361" i="4"/>
  <c r="P1361" i="4"/>
  <c r="O1361" i="4"/>
  <c r="N1361" i="4"/>
  <c r="M1361" i="4"/>
  <c r="K1361" i="4"/>
  <c r="J1361" i="4"/>
  <c r="I1361" i="4"/>
  <c r="H1361" i="4"/>
  <c r="L1361" i="4" s="1"/>
  <c r="Q1360" i="4"/>
  <c r="P1360" i="4"/>
  <c r="O1360" i="4"/>
  <c r="N1360" i="4"/>
  <c r="M1360" i="4"/>
  <c r="K1360" i="4"/>
  <c r="J1360" i="4"/>
  <c r="I1360" i="4"/>
  <c r="H1360" i="4"/>
  <c r="L1360" i="4" s="1"/>
  <c r="Q1359" i="4"/>
  <c r="P1359" i="4"/>
  <c r="O1359" i="4"/>
  <c r="N1359" i="4"/>
  <c r="M1359" i="4"/>
  <c r="K1359" i="4"/>
  <c r="J1359" i="4"/>
  <c r="I1359" i="4"/>
  <c r="H1359" i="4"/>
  <c r="L1359" i="4" s="1"/>
  <c r="Q1358" i="4"/>
  <c r="P1358" i="4"/>
  <c r="O1358" i="4"/>
  <c r="N1358" i="4"/>
  <c r="M1358" i="4"/>
  <c r="K1358" i="4"/>
  <c r="J1358" i="4"/>
  <c r="I1358" i="4"/>
  <c r="H1358" i="4"/>
  <c r="L1358" i="4" s="1"/>
  <c r="Q1357" i="4"/>
  <c r="P1357" i="4"/>
  <c r="O1357" i="4"/>
  <c r="N1357" i="4"/>
  <c r="M1357" i="4"/>
  <c r="K1357" i="4"/>
  <c r="J1357" i="4"/>
  <c r="I1357" i="4"/>
  <c r="H1357" i="4"/>
  <c r="L1357" i="4" s="1"/>
  <c r="Q1356" i="4"/>
  <c r="P1356" i="4"/>
  <c r="O1356" i="4"/>
  <c r="N1356" i="4"/>
  <c r="M1356" i="4"/>
  <c r="L1356" i="4"/>
  <c r="K1356" i="4"/>
  <c r="I1356" i="4"/>
  <c r="H1356" i="4"/>
  <c r="J1356" i="4" s="1"/>
  <c r="Q1353" i="4"/>
  <c r="P1353" i="4"/>
  <c r="O1353" i="4"/>
  <c r="N1353" i="4"/>
  <c r="M1353" i="4"/>
  <c r="K1353" i="4"/>
  <c r="J1353" i="4"/>
  <c r="I1353" i="4"/>
  <c r="H1353" i="4"/>
  <c r="L1353" i="4" s="1"/>
  <c r="Q1352" i="4"/>
  <c r="P1352" i="4"/>
  <c r="O1352" i="4"/>
  <c r="N1352" i="4"/>
  <c r="M1352" i="4"/>
  <c r="K1352" i="4"/>
  <c r="J1352" i="4"/>
  <c r="I1352" i="4"/>
  <c r="H1352" i="4"/>
  <c r="L1352" i="4" s="1"/>
  <c r="Q1351" i="4"/>
  <c r="P1351" i="4"/>
  <c r="O1351" i="4"/>
  <c r="N1351" i="4"/>
  <c r="M1351" i="4"/>
  <c r="L1351" i="4"/>
  <c r="K1351" i="4"/>
  <c r="I1351" i="4"/>
  <c r="H1351" i="4"/>
  <c r="J1351" i="4" s="1"/>
  <c r="Q1348" i="4"/>
  <c r="P1348" i="4"/>
  <c r="O1348" i="4"/>
  <c r="N1348" i="4"/>
  <c r="M1348" i="4"/>
  <c r="K1348" i="4"/>
  <c r="J1348" i="4"/>
  <c r="I1348" i="4"/>
  <c r="H1348" i="4"/>
  <c r="L1348" i="4" s="1"/>
  <c r="Q1347" i="4"/>
  <c r="P1347" i="4"/>
  <c r="O1347" i="4"/>
  <c r="N1347" i="4"/>
  <c r="M1347" i="4"/>
  <c r="K1347" i="4"/>
  <c r="J1347" i="4"/>
  <c r="I1347" i="4"/>
  <c r="H1347" i="4"/>
  <c r="L1347" i="4" s="1"/>
  <c r="Q1346" i="4"/>
  <c r="P1346" i="4"/>
  <c r="O1346" i="4"/>
  <c r="N1346" i="4"/>
  <c r="M1346" i="4"/>
  <c r="K1346" i="4"/>
  <c r="J1346" i="4"/>
  <c r="I1346" i="4"/>
  <c r="H1346" i="4"/>
  <c r="L1346" i="4" s="1"/>
  <c r="Q1345" i="4"/>
  <c r="P1345" i="4"/>
  <c r="O1345" i="4"/>
  <c r="N1345" i="4"/>
  <c r="M1345" i="4"/>
  <c r="K1345" i="4"/>
  <c r="J1345" i="4"/>
  <c r="I1345" i="4"/>
  <c r="H1345" i="4"/>
  <c r="L1345" i="4" s="1"/>
  <c r="Q1344" i="4"/>
  <c r="P1344" i="4"/>
  <c r="O1344" i="4"/>
  <c r="N1344" i="4"/>
  <c r="M1344" i="4"/>
  <c r="L1344" i="4"/>
  <c r="K1344" i="4"/>
  <c r="I1344" i="4"/>
  <c r="H1344" i="4"/>
  <c r="J1344" i="4" s="1"/>
  <c r="Q1341" i="4"/>
  <c r="P1341" i="4"/>
  <c r="O1341" i="4"/>
  <c r="N1341" i="4"/>
  <c r="M1341" i="4"/>
  <c r="K1341" i="4"/>
  <c r="J1341" i="4"/>
  <c r="I1341" i="4"/>
  <c r="H1341" i="4"/>
  <c r="L1341" i="4" s="1"/>
  <c r="Q1340" i="4"/>
  <c r="P1340" i="4"/>
  <c r="O1340" i="4"/>
  <c r="N1340" i="4"/>
  <c r="M1340" i="4"/>
  <c r="K1340" i="4"/>
  <c r="J1340" i="4"/>
  <c r="I1340" i="4"/>
  <c r="H1340" i="4"/>
  <c r="L1340" i="4" s="1"/>
  <c r="Q1339" i="4"/>
  <c r="P1339" i="4"/>
  <c r="O1339" i="4"/>
  <c r="N1339" i="4"/>
  <c r="M1339" i="4"/>
  <c r="L1339" i="4"/>
  <c r="K1339" i="4"/>
  <c r="I1339" i="4"/>
  <c r="H1339" i="4"/>
  <c r="J1339" i="4" s="1"/>
  <c r="Q1336" i="4"/>
  <c r="P1336" i="4"/>
  <c r="O1336" i="4"/>
  <c r="N1336" i="4"/>
  <c r="L1336" i="4"/>
  <c r="K1336" i="4"/>
  <c r="J1336" i="4"/>
  <c r="I1336" i="4"/>
  <c r="H1336" i="4"/>
  <c r="M1336" i="4" s="1"/>
  <c r="Q1335" i="4"/>
  <c r="P1335" i="4"/>
  <c r="O1335" i="4"/>
  <c r="N1335" i="4"/>
  <c r="L1335" i="4"/>
  <c r="K1335" i="4"/>
  <c r="J1335" i="4"/>
  <c r="I1335" i="4"/>
  <c r="H1335" i="4"/>
  <c r="M1335" i="4" s="1"/>
  <c r="Q1334" i="4"/>
  <c r="P1334" i="4"/>
  <c r="O1334" i="4"/>
  <c r="N1334" i="4"/>
  <c r="M1334" i="4"/>
  <c r="L1334" i="4"/>
  <c r="K1334" i="4"/>
  <c r="I1334" i="4"/>
  <c r="H1334" i="4"/>
  <c r="J1334" i="4" s="1"/>
  <c r="Q1333" i="4"/>
  <c r="P1333" i="4"/>
  <c r="O1333" i="4"/>
  <c r="N1333" i="4"/>
  <c r="M1333" i="4"/>
  <c r="L1333" i="4"/>
  <c r="K1333" i="4"/>
  <c r="I1333" i="4"/>
  <c r="H1333" i="4"/>
  <c r="J1333" i="4" s="1"/>
  <c r="Q1330" i="4"/>
  <c r="P1330" i="4"/>
  <c r="O1330" i="4"/>
  <c r="N1330" i="4"/>
  <c r="L1330" i="4"/>
  <c r="K1330" i="4"/>
  <c r="J1330" i="4"/>
  <c r="I1330" i="4"/>
  <c r="H1330" i="4"/>
  <c r="M1330" i="4" s="1"/>
  <c r="Q1329" i="4"/>
  <c r="P1329" i="4"/>
  <c r="O1329" i="4"/>
  <c r="N1329" i="4"/>
  <c r="M1329" i="4"/>
  <c r="K1329" i="4"/>
  <c r="J1329" i="4"/>
  <c r="I1329" i="4"/>
  <c r="H1329" i="4"/>
  <c r="L1329" i="4" s="1"/>
  <c r="Q1328" i="4"/>
  <c r="P1328" i="4"/>
  <c r="O1328" i="4"/>
  <c r="N1328" i="4"/>
  <c r="M1328" i="4"/>
  <c r="L1328" i="4"/>
  <c r="K1328" i="4"/>
  <c r="I1328" i="4"/>
  <c r="H1328" i="4"/>
  <c r="J1328" i="4" s="1"/>
  <c r="Q1325" i="4"/>
  <c r="P1325" i="4"/>
  <c r="O1325" i="4"/>
  <c r="N1325" i="4"/>
  <c r="M1325" i="4"/>
  <c r="K1325" i="4"/>
  <c r="J1325" i="4"/>
  <c r="I1325" i="4"/>
  <c r="H1325" i="4"/>
  <c r="L1325" i="4" s="1"/>
  <c r="Q1324" i="4"/>
  <c r="P1324" i="4"/>
  <c r="O1324" i="4"/>
  <c r="N1324" i="4"/>
  <c r="M1324" i="4"/>
  <c r="K1324" i="4"/>
  <c r="J1324" i="4"/>
  <c r="I1324" i="4"/>
  <c r="H1324" i="4"/>
  <c r="L1324" i="4" s="1"/>
  <c r="Q1323" i="4"/>
  <c r="P1323" i="4"/>
  <c r="O1323" i="4"/>
  <c r="N1323" i="4"/>
  <c r="M1323" i="4"/>
  <c r="K1323" i="4"/>
  <c r="J1323" i="4"/>
  <c r="I1323" i="4"/>
  <c r="H1323" i="4"/>
  <c r="L1323" i="4" s="1"/>
  <c r="Q1322" i="4"/>
  <c r="P1322" i="4"/>
  <c r="O1322" i="4"/>
  <c r="N1322" i="4"/>
  <c r="M1322" i="4"/>
  <c r="K1322" i="4"/>
  <c r="J1322" i="4"/>
  <c r="I1322" i="4"/>
  <c r="H1322" i="4"/>
  <c r="L1322" i="4" s="1"/>
  <c r="Q1321" i="4"/>
  <c r="P1321" i="4"/>
  <c r="O1321" i="4"/>
  <c r="N1321" i="4"/>
  <c r="M1321" i="4"/>
  <c r="L1321" i="4"/>
  <c r="K1321" i="4"/>
  <c r="I1321" i="4"/>
  <c r="H1321" i="4"/>
  <c r="J1321" i="4" s="1"/>
  <c r="Q1318" i="4"/>
  <c r="P1318" i="4"/>
  <c r="O1318" i="4"/>
  <c r="N1318" i="4"/>
  <c r="M1318" i="4"/>
  <c r="K1318" i="4"/>
  <c r="J1318" i="4"/>
  <c r="I1318" i="4"/>
  <c r="H1318" i="4"/>
  <c r="L1318" i="4" s="1"/>
  <c r="Q1317" i="4"/>
  <c r="P1317" i="4"/>
  <c r="O1317" i="4"/>
  <c r="N1317" i="4"/>
  <c r="M1317" i="4"/>
  <c r="K1317" i="4"/>
  <c r="J1317" i="4"/>
  <c r="I1317" i="4"/>
  <c r="H1317" i="4"/>
  <c r="L1317" i="4" s="1"/>
  <c r="Q1316" i="4"/>
  <c r="P1316" i="4"/>
  <c r="O1316" i="4"/>
  <c r="N1316" i="4"/>
  <c r="M1316" i="4"/>
  <c r="K1316" i="4"/>
  <c r="J1316" i="4"/>
  <c r="I1316" i="4"/>
  <c r="H1316" i="4"/>
  <c r="L1316" i="4" s="1"/>
  <c r="Q1315" i="4"/>
  <c r="P1315" i="4"/>
  <c r="O1315" i="4"/>
  <c r="N1315" i="4"/>
  <c r="M1315" i="4"/>
  <c r="K1315" i="4"/>
  <c r="J1315" i="4"/>
  <c r="I1315" i="4"/>
  <c r="H1315" i="4"/>
  <c r="L1315" i="4" s="1"/>
  <c r="Q1314" i="4"/>
  <c r="P1314" i="4"/>
  <c r="O1314" i="4"/>
  <c r="N1314" i="4"/>
  <c r="M1314" i="4"/>
  <c r="L1314" i="4"/>
  <c r="K1314" i="4"/>
  <c r="I1314" i="4"/>
  <c r="H1314" i="4"/>
  <c r="J1314" i="4" s="1"/>
  <c r="Q1311" i="4"/>
  <c r="P1311" i="4"/>
  <c r="O1311" i="4"/>
  <c r="N1311" i="4"/>
  <c r="M1311" i="4"/>
  <c r="K1311" i="4"/>
  <c r="J1311" i="4"/>
  <c r="I1311" i="4"/>
  <c r="H1311" i="4"/>
  <c r="L1311" i="4" s="1"/>
  <c r="Q1310" i="4"/>
  <c r="P1310" i="4"/>
  <c r="O1310" i="4"/>
  <c r="N1310" i="4"/>
  <c r="M1310" i="4"/>
  <c r="K1310" i="4"/>
  <c r="J1310" i="4"/>
  <c r="I1310" i="4"/>
  <c r="H1310" i="4"/>
  <c r="L1310" i="4" s="1"/>
  <c r="Q1309" i="4"/>
  <c r="P1309" i="4"/>
  <c r="O1309" i="4"/>
  <c r="N1309" i="4"/>
  <c r="M1309" i="4"/>
  <c r="L1309" i="4"/>
  <c r="K1309" i="4"/>
  <c r="I1309" i="4"/>
  <c r="H1309" i="4"/>
  <c r="J1309" i="4" s="1"/>
  <c r="Q1306" i="4"/>
  <c r="P1306" i="4"/>
  <c r="O1306" i="4"/>
  <c r="N1306" i="4"/>
  <c r="M1306" i="4"/>
  <c r="K1306" i="4"/>
  <c r="J1306" i="4"/>
  <c r="I1306" i="4"/>
  <c r="H1306" i="4"/>
  <c r="L1306" i="4" s="1"/>
  <c r="Q1305" i="4"/>
  <c r="P1305" i="4"/>
  <c r="O1305" i="4"/>
  <c r="N1305" i="4"/>
  <c r="M1305" i="4"/>
  <c r="K1305" i="4"/>
  <c r="J1305" i="4"/>
  <c r="I1305" i="4"/>
  <c r="H1305" i="4"/>
  <c r="L1305" i="4" s="1"/>
  <c r="Q1304" i="4"/>
  <c r="P1304" i="4"/>
  <c r="O1304" i="4"/>
  <c r="N1304" i="4"/>
  <c r="M1304" i="4"/>
  <c r="K1304" i="4"/>
  <c r="J1304" i="4"/>
  <c r="I1304" i="4"/>
  <c r="H1304" i="4"/>
  <c r="L1304" i="4" s="1"/>
  <c r="Q1303" i="4"/>
  <c r="P1303" i="4"/>
  <c r="O1303" i="4"/>
  <c r="N1303" i="4"/>
  <c r="M1303" i="4"/>
  <c r="K1303" i="4"/>
  <c r="J1303" i="4"/>
  <c r="I1303" i="4"/>
  <c r="H1303" i="4"/>
  <c r="L1303" i="4" s="1"/>
  <c r="Q1302" i="4"/>
  <c r="P1302" i="4"/>
  <c r="O1302" i="4"/>
  <c r="N1302" i="4"/>
  <c r="M1302" i="4"/>
  <c r="L1302" i="4"/>
  <c r="K1302" i="4"/>
  <c r="I1302" i="4"/>
  <c r="H1302" i="4"/>
  <c r="J1302" i="4" s="1"/>
  <c r="Q1299" i="4"/>
  <c r="P1299" i="4"/>
  <c r="O1299" i="4"/>
  <c r="N1299" i="4"/>
  <c r="M1299" i="4"/>
  <c r="K1299" i="4"/>
  <c r="J1299" i="4"/>
  <c r="I1299" i="4"/>
  <c r="H1299" i="4"/>
  <c r="L1299" i="4" s="1"/>
  <c r="Q1298" i="4"/>
  <c r="P1298" i="4"/>
  <c r="O1298" i="4"/>
  <c r="N1298" i="4"/>
  <c r="M1298" i="4"/>
  <c r="K1298" i="4"/>
  <c r="J1298" i="4"/>
  <c r="I1298" i="4"/>
  <c r="H1298" i="4"/>
  <c r="L1298" i="4" s="1"/>
  <c r="Q1297" i="4"/>
  <c r="P1297" i="4"/>
  <c r="O1297" i="4"/>
  <c r="N1297" i="4"/>
  <c r="M1297" i="4"/>
  <c r="L1297" i="4"/>
  <c r="K1297" i="4"/>
  <c r="I1297" i="4"/>
  <c r="H1297" i="4"/>
  <c r="J1297" i="4" s="1"/>
  <c r="Q1294" i="4"/>
  <c r="P1294" i="4"/>
  <c r="O1294" i="4"/>
  <c r="N1294" i="4"/>
  <c r="M1294" i="4"/>
  <c r="K1294" i="4"/>
  <c r="J1294" i="4"/>
  <c r="I1294" i="4"/>
  <c r="H1294" i="4"/>
  <c r="L1294" i="4" s="1"/>
  <c r="Q1293" i="4"/>
  <c r="P1293" i="4"/>
  <c r="O1293" i="4"/>
  <c r="N1293" i="4"/>
  <c r="M1293" i="4"/>
  <c r="K1293" i="4"/>
  <c r="J1293" i="4"/>
  <c r="I1293" i="4"/>
  <c r="H1293" i="4"/>
  <c r="L1293" i="4" s="1"/>
  <c r="Q1292" i="4"/>
  <c r="P1292" i="4"/>
  <c r="O1292" i="4"/>
  <c r="N1292" i="4"/>
  <c r="M1292" i="4"/>
  <c r="L1292" i="4"/>
  <c r="K1292" i="4"/>
  <c r="I1292" i="4"/>
  <c r="H1292" i="4"/>
  <c r="J1292" i="4" s="1"/>
  <c r="Q1289" i="4"/>
  <c r="P1289" i="4"/>
  <c r="O1289" i="4"/>
  <c r="N1289" i="4"/>
  <c r="M1289" i="4"/>
  <c r="K1289" i="4"/>
  <c r="J1289" i="4"/>
  <c r="I1289" i="4"/>
  <c r="H1289" i="4"/>
  <c r="L1289" i="4" s="1"/>
  <c r="Q1288" i="4"/>
  <c r="P1288" i="4"/>
  <c r="O1288" i="4"/>
  <c r="N1288" i="4"/>
  <c r="M1288" i="4"/>
  <c r="K1288" i="4"/>
  <c r="J1288" i="4"/>
  <c r="I1288" i="4"/>
  <c r="H1288" i="4"/>
  <c r="L1288" i="4" s="1"/>
  <c r="Q1287" i="4"/>
  <c r="P1287" i="4"/>
  <c r="O1287" i="4"/>
  <c r="N1287" i="4"/>
  <c r="M1287" i="4"/>
  <c r="L1287" i="4"/>
  <c r="K1287" i="4"/>
  <c r="I1287" i="4"/>
  <c r="H1287" i="4"/>
  <c r="J1287" i="4" s="1"/>
  <c r="Q1284" i="4"/>
  <c r="P1284" i="4"/>
  <c r="O1284" i="4"/>
  <c r="N1284" i="4"/>
  <c r="M1284" i="4"/>
  <c r="K1284" i="4"/>
  <c r="J1284" i="4"/>
  <c r="I1284" i="4"/>
  <c r="H1284" i="4"/>
  <c r="L1284" i="4" s="1"/>
  <c r="Q1283" i="4"/>
  <c r="P1283" i="4"/>
  <c r="O1283" i="4"/>
  <c r="N1283" i="4"/>
  <c r="M1283" i="4"/>
  <c r="K1283" i="4"/>
  <c r="J1283" i="4"/>
  <c r="I1283" i="4"/>
  <c r="H1283" i="4"/>
  <c r="L1283" i="4" s="1"/>
  <c r="Q1282" i="4"/>
  <c r="P1282" i="4"/>
  <c r="O1282" i="4"/>
  <c r="N1282" i="4"/>
  <c r="M1282" i="4"/>
  <c r="L1282" i="4"/>
  <c r="K1282" i="4"/>
  <c r="I1282" i="4"/>
  <c r="H1282" i="4"/>
  <c r="J1282" i="4" s="1"/>
  <c r="Q1279" i="4"/>
  <c r="P1279" i="4"/>
  <c r="O1279" i="4"/>
  <c r="N1279" i="4"/>
  <c r="M1279" i="4"/>
  <c r="K1279" i="4"/>
  <c r="J1279" i="4"/>
  <c r="I1279" i="4"/>
  <c r="H1279" i="4"/>
  <c r="L1279" i="4" s="1"/>
  <c r="Q1278" i="4"/>
  <c r="P1278" i="4"/>
  <c r="O1278" i="4"/>
  <c r="N1278" i="4"/>
  <c r="M1278" i="4"/>
  <c r="K1278" i="4"/>
  <c r="J1278" i="4"/>
  <c r="I1278" i="4"/>
  <c r="H1278" i="4"/>
  <c r="L1278" i="4" s="1"/>
  <c r="Q1277" i="4"/>
  <c r="P1277" i="4"/>
  <c r="O1277" i="4"/>
  <c r="N1277" i="4"/>
  <c r="M1277" i="4"/>
  <c r="L1277" i="4"/>
  <c r="K1277" i="4"/>
  <c r="I1277" i="4"/>
  <c r="H1277" i="4"/>
  <c r="J1277" i="4" s="1"/>
  <c r="Q1274" i="4"/>
  <c r="P1274" i="4"/>
  <c r="O1274" i="4"/>
  <c r="N1274" i="4"/>
  <c r="M1274" i="4"/>
  <c r="K1274" i="4"/>
  <c r="J1274" i="4"/>
  <c r="I1274" i="4"/>
  <c r="H1274" i="4"/>
  <c r="L1274" i="4" s="1"/>
  <c r="Q1273" i="4"/>
  <c r="P1273" i="4"/>
  <c r="O1273" i="4"/>
  <c r="N1273" i="4"/>
  <c r="M1273" i="4"/>
  <c r="K1273" i="4"/>
  <c r="J1273" i="4"/>
  <c r="I1273" i="4"/>
  <c r="H1273" i="4"/>
  <c r="L1273" i="4" s="1"/>
  <c r="Q1272" i="4"/>
  <c r="P1272" i="4"/>
  <c r="O1272" i="4"/>
  <c r="N1272" i="4"/>
  <c r="M1272" i="4"/>
  <c r="L1272" i="4"/>
  <c r="K1272" i="4"/>
  <c r="I1272" i="4"/>
  <c r="H1272" i="4"/>
  <c r="J1272" i="4" s="1"/>
  <c r="Q1269" i="4"/>
  <c r="P1269" i="4"/>
  <c r="O1269" i="4"/>
  <c r="N1269" i="4"/>
  <c r="M1269" i="4"/>
  <c r="K1269" i="4"/>
  <c r="J1269" i="4"/>
  <c r="I1269" i="4"/>
  <c r="H1269" i="4"/>
  <c r="L1269" i="4" s="1"/>
  <c r="Q1268" i="4"/>
  <c r="P1268" i="4"/>
  <c r="O1268" i="4"/>
  <c r="N1268" i="4"/>
  <c r="M1268" i="4"/>
  <c r="K1268" i="4"/>
  <c r="J1268" i="4"/>
  <c r="I1268" i="4"/>
  <c r="H1268" i="4"/>
  <c r="L1268" i="4" s="1"/>
  <c r="Q1267" i="4"/>
  <c r="P1267" i="4"/>
  <c r="O1267" i="4"/>
  <c r="N1267" i="4"/>
  <c r="M1267" i="4"/>
  <c r="K1267" i="4"/>
  <c r="J1267" i="4"/>
  <c r="I1267" i="4"/>
  <c r="H1267" i="4"/>
  <c r="L1267" i="4" s="1"/>
  <c r="Q1266" i="4"/>
  <c r="P1266" i="4"/>
  <c r="O1266" i="4"/>
  <c r="N1266" i="4"/>
  <c r="M1266" i="4"/>
  <c r="K1266" i="4"/>
  <c r="J1266" i="4"/>
  <c r="I1266" i="4"/>
  <c r="H1266" i="4"/>
  <c r="L1266" i="4" s="1"/>
  <c r="Q1265" i="4"/>
  <c r="P1265" i="4"/>
  <c r="O1265" i="4"/>
  <c r="N1265" i="4"/>
  <c r="M1265" i="4"/>
  <c r="K1265" i="4"/>
  <c r="J1265" i="4"/>
  <c r="I1265" i="4"/>
  <c r="H1265" i="4"/>
  <c r="L1265" i="4" s="1"/>
  <c r="Q1264" i="4"/>
  <c r="P1264" i="4"/>
  <c r="O1264" i="4"/>
  <c r="N1264" i="4"/>
  <c r="M1264" i="4"/>
  <c r="K1264" i="4"/>
  <c r="J1264" i="4"/>
  <c r="I1264" i="4"/>
  <c r="H1264" i="4"/>
  <c r="L1264" i="4" s="1"/>
  <c r="Q1263" i="4"/>
  <c r="P1263" i="4"/>
  <c r="O1263" i="4"/>
  <c r="N1263" i="4"/>
  <c r="M1263" i="4"/>
  <c r="K1263" i="4"/>
  <c r="J1263" i="4"/>
  <c r="I1263" i="4"/>
  <c r="H1263" i="4"/>
  <c r="L1263" i="4" s="1"/>
  <c r="Q1262" i="4"/>
  <c r="P1262" i="4"/>
  <c r="O1262" i="4"/>
  <c r="N1262" i="4"/>
  <c r="M1262" i="4"/>
  <c r="L1262" i="4"/>
  <c r="K1262" i="4"/>
  <c r="I1262" i="4"/>
  <c r="H1262" i="4"/>
  <c r="J1262" i="4" s="1"/>
  <c r="Q1259" i="4"/>
  <c r="P1259" i="4"/>
  <c r="O1259" i="4"/>
  <c r="N1259" i="4"/>
  <c r="M1259" i="4"/>
  <c r="K1259" i="4"/>
  <c r="J1259" i="4"/>
  <c r="I1259" i="4"/>
  <c r="H1259" i="4"/>
  <c r="L1259" i="4" s="1"/>
  <c r="Q1258" i="4"/>
  <c r="P1258" i="4"/>
  <c r="O1258" i="4"/>
  <c r="N1258" i="4"/>
  <c r="M1258" i="4"/>
  <c r="K1258" i="4"/>
  <c r="J1258" i="4"/>
  <c r="I1258" i="4"/>
  <c r="H1258" i="4"/>
  <c r="L1258" i="4" s="1"/>
  <c r="Q1257" i="4"/>
  <c r="P1257" i="4"/>
  <c r="O1257" i="4"/>
  <c r="N1257" i="4"/>
  <c r="M1257" i="4"/>
  <c r="K1257" i="4"/>
  <c r="J1257" i="4"/>
  <c r="I1257" i="4"/>
  <c r="H1257" i="4"/>
  <c r="L1257" i="4" s="1"/>
  <c r="Q1256" i="4"/>
  <c r="P1256" i="4"/>
  <c r="O1256" i="4"/>
  <c r="N1256" i="4"/>
  <c r="M1256" i="4"/>
  <c r="L1256" i="4"/>
  <c r="K1256" i="4"/>
  <c r="I1256" i="4"/>
  <c r="H1256" i="4"/>
  <c r="J1256" i="4" s="1"/>
  <c r="Q1253" i="4"/>
  <c r="P1253" i="4"/>
  <c r="O1253" i="4"/>
  <c r="N1253" i="4"/>
  <c r="M1253" i="4"/>
  <c r="K1253" i="4"/>
  <c r="J1253" i="4"/>
  <c r="I1253" i="4"/>
  <c r="H1253" i="4"/>
  <c r="L1253" i="4" s="1"/>
  <c r="Q1252" i="4"/>
  <c r="P1252" i="4"/>
  <c r="O1252" i="4"/>
  <c r="N1252" i="4"/>
  <c r="M1252" i="4"/>
  <c r="K1252" i="4"/>
  <c r="J1252" i="4"/>
  <c r="I1252" i="4"/>
  <c r="H1252" i="4"/>
  <c r="L1252" i="4" s="1"/>
  <c r="Q1251" i="4"/>
  <c r="P1251" i="4"/>
  <c r="O1251" i="4"/>
  <c r="N1251" i="4"/>
  <c r="M1251" i="4"/>
  <c r="K1251" i="4"/>
  <c r="J1251" i="4"/>
  <c r="I1251" i="4"/>
  <c r="H1251" i="4"/>
  <c r="L1251" i="4" s="1"/>
  <c r="Q1250" i="4"/>
  <c r="P1250" i="4"/>
  <c r="O1250" i="4"/>
  <c r="N1250" i="4"/>
  <c r="M1250" i="4"/>
  <c r="K1250" i="4"/>
  <c r="J1250" i="4"/>
  <c r="I1250" i="4"/>
  <c r="H1250" i="4"/>
  <c r="L1250" i="4" s="1"/>
  <c r="Q1249" i="4"/>
  <c r="P1249" i="4"/>
  <c r="O1249" i="4"/>
  <c r="N1249" i="4"/>
  <c r="M1249" i="4"/>
  <c r="L1249" i="4"/>
  <c r="K1249" i="4"/>
  <c r="I1249" i="4"/>
  <c r="H1249" i="4"/>
  <c r="J1249" i="4" s="1"/>
  <c r="Q1246" i="4"/>
  <c r="P1246" i="4"/>
  <c r="O1246" i="4"/>
  <c r="N1246" i="4"/>
  <c r="M1246" i="4"/>
  <c r="K1246" i="4"/>
  <c r="J1246" i="4"/>
  <c r="I1246" i="4"/>
  <c r="H1246" i="4"/>
  <c r="L1246" i="4" s="1"/>
  <c r="Q1245" i="4"/>
  <c r="P1245" i="4"/>
  <c r="O1245" i="4"/>
  <c r="N1245" i="4"/>
  <c r="M1245" i="4"/>
  <c r="K1245" i="4"/>
  <c r="J1245" i="4"/>
  <c r="I1245" i="4"/>
  <c r="H1245" i="4"/>
  <c r="L1245" i="4" s="1"/>
  <c r="Q1244" i="4"/>
  <c r="P1244" i="4"/>
  <c r="O1244" i="4"/>
  <c r="N1244" i="4"/>
  <c r="M1244" i="4"/>
  <c r="K1244" i="4"/>
  <c r="J1244" i="4"/>
  <c r="I1244" i="4"/>
  <c r="H1244" i="4"/>
  <c r="L1244" i="4" s="1"/>
  <c r="Q1243" i="4"/>
  <c r="P1243" i="4"/>
  <c r="O1243" i="4"/>
  <c r="N1243" i="4"/>
  <c r="M1243" i="4"/>
  <c r="L1243" i="4"/>
  <c r="K1243" i="4"/>
  <c r="I1243" i="4"/>
  <c r="H1243" i="4"/>
  <c r="J1243" i="4" s="1"/>
  <c r="Q1240" i="4"/>
  <c r="P1240" i="4"/>
  <c r="O1240" i="4"/>
  <c r="N1240" i="4"/>
  <c r="M1240" i="4"/>
  <c r="K1240" i="4"/>
  <c r="J1240" i="4"/>
  <c r="I1240" i="4"/>
  <c r="H1240" i="4"/>
  <c r="L1240" i="4" s="1"/>
  <c r="Q1239" i="4"/>
  <c r="P1239" i="4"/>
  <c r="O1239" i="4"/>
  <c r="N1239" i="4"/>
  <c r="M1239" i="4"/>
  <c r="K1239" i="4"/>
  <c r="J1239" i="4"/>
  <c r="I1239" i="4"/>
  <c r="H1239" i="4"/>
  <c r="L1239" i="4" s="1"/>
  <c r="Q1238" i="4"/>
  <c r="P1238" i="4"/>
  <c r="O1238" i="4"/>
  <c r="N1238" i="4"/>
  <c r="M1238" i="4"/>
  <c r="K1238" i="4"/>
  <c r="J1238" i="4"/>
  <c r="I1238" i="4"/>
  <c r="H1238" i="4"/>
  <c r="L1238" i="4" s="1"/>
  <c r="Q1237" i="4"/>
  <c r="P1237" i="4"/>
  <c r="O1237" i="4"/>
  <c r="N1237" i="4"/>
  <c r="M1237" i="4"/>
  <c r="L1237" i="4"/>
  <c r="K1237" i="4"/>
  <c r="I1237" i="4"/>
  <c r="H1237" i="4"/>
  <c r="J1237" i="4" s="1"/>
  <c r="Q1233" i="4"/>
  <c r="P1233" i="4"/>
  <c r="O1233" i="4"/>
  <c r="N1233" i="4"/>
  <c r="M1233" i="4"/>
  <c r="L1233" i="4"/>
  <c r="K1233" i="4"/>
  <c r="J1233" i="4"/>
  <c r="I1233" i="4"/>
  <c r="H1233" i="4"/>
  <c r="Q1232" i="4"/>
  <c r="P1232" i="4"/>
  <c r="O1232" i="4"/>
  <c r="N1232" i="4"/>
  <c r="M1232" i="4"/>
  <c r="L1232" i="4"/>
  <c r="K1232" i="4"/>
  <c r="J1232" i="4"/>
  <c r="I1232" i="4"/>
  <c r="H1232" i="4"/>
  <c r="Q1231" i="4"/>
  <c r="P1231" i="4"/>
  <c r="O1231" i="4"/>
  <c r="N1231" i="4"/>
  <c r="M1231" i="4"/>
  <c r="L1231" i="4"/>
  <c r="K1231" i="4"/>
  <c r="J1231" i="4"/>
  <c r="I1231" i="4"/>
  <c r="H1231" i="4"/>
  <c r="Q1230" i="4"/>
  <c r="P1230" i="4"/>
  <c r="O1230" i="4"/>
  <c r="N1230" i="4"/>
  <c r="L1230" i="4"/>
  <c r="K1230" i="4"/>
  <c r="J1230" i="4"/>
  <c r="I1230" i="4"/>
  <c r="H1230" i="4"/>
  <c r="M1230" i="4" s="1"/>
  <c r="Q1229" i="4"/>
  <c r="P1229" i="4"/>
  <c r="O1229" i="4"/>
  <c r="N1229" i="4"/>
  <c r="L1229" i="4"/>
  <c r="K1229" i="4"/>
  <c r="J1229" i="4"/>
  <c r="I1229" i="4"/>
  <c r="H1229" i="4"/>
  <c r="M1229" i="4" s="1"/>
  <c r="Q1228" i="4"/>
  <c r="P1228" i="4"/>
  <c r="O1228" i="4"/>
  <c r="N1228" i="4"/>
  <c r="M1228" i="4"/>
  <c r="K1228" i="4"/>
  <c r="J1228" i="4"/>
  <c r="I1228" i="4"/>
  <c r="H1228" i="4"/>
  <c r="L1228" i="4" s="1"/>
  <c r="Q1227" i="4"/>
  <c r="P1227" i="4"/>
  <c r="O1227" i="4"/>
  <c r="N1227" i="4"/>
  <c r="M1227" i="4"/>
  <c r="K1227" i="4"/>
  <c r="J1227" i="4"/>
  <c r="I1227" i="4"/>
  <c r="H1227" i="4"/>
  <c r="L1227" i="4" s="1"/>
  <c r="Q1226" i="4"/>
  <c r="P1226" i="4"/>
  <c r="O1226" i="4"/>
  <c r="N1226" i="4"/>
  <c r="M1226" i="4"/>
  <c r="K1226" i="4"/>
  <c r="J1226" i="4"/>
  <c r="I1226" i="4"/>
  <c r="H1226" i="4"/>
  <c r="L1226" i="4" s="1"/>
  <c r="Q1225" i="4"/>
  <c r="P1225" i="4"/>
  <c r="O1225" i="4"/>
  <c r="N1225" i="4"/>
  <c r="M1225" i="4"/>
  <c r="K1225" i="4"/>
  <c r="J1225" i="4"/>
  <c r="I1225" i="4"/>
  <c r="H1225" i="4"/>
  <c r="L1225" i="4" s="1"/>
  <c r="Q1224" i="4"/>
  <c r="P1224" i="4"/>
  <c r="O1224" i="4"/>
  <c r="N1224" i="4"/>
  <c r="M1224" i="4"/>
  <c r="L1224" i="4"/>
  <c r="K1224" i="4"/>
  <c r="I1224" i="4"/>
  <c r="H1224" i="4"/>
  <c r="J1224" i="4" s="1"/>
  <c r="Q1221" i="4"/>
  <c r="P1221" i="4"/>
  <c r="O1221" i="4"/>
  <c r="N1221" i="4"/>
  <c r="L1221" i="4"/>
  <c r="K1221" i="4"/>
  <c r="J1221" i="4"/>
  <c r="I1221" i="4"/>
  <c r="H1221" i="4"/>
  <c r="M1221" i="4" s="1"/>
  <c r="Q1220" i="4"/>
  <c r="P1220" i="4"/>
  <c r="O1220" i="4"/>
  <c r="N1220" i="4"/>
  <c r="M1220" i="4"/>
  <c r="K1220" i="4"/>
  <c r="J1220" i="4"/>
  <c r="I1220" i="4"/>
  <c r="H1220" i="4"/>
  <c r="L1220" i="4" s="1"/>
  <c r="Q1219" i="4"/>
  <c r="P1219" i="4"/>
  <c r="O1219" i="4"/>
  <c r="N1219" i="4"/>
  <c r="M1219" i="4"/>
  <c r="L1219" i="4"/>
  <c r="K1219" i="4"/>
  <c r="I1219" i="4"/>
  <c r="H1219" i="4"/>
  <c r="J1219" i="4" s="1"/>
  <c r="Q1216" i="4"/>
  <c r="P1216" i="4"/>
  <c r="O1216" i="4"/>
  <c r="N1216" i="4"/>
  <c r="L1216" i="4"/>
  <c r="K1216" i="4"/>
  <c r="J1216" i="4"/>
  <c r="I1216" i="4"/>
  <c r="H1216" i="4"/>
  <c r="M1216" i="4" s="1"/>
  <c r="Q1215" i="4"/>
  <c r="P1215" i="4"/>
  <c r="O1215" i="4"/>
  <c r="N1215" i="4"/>
  <c r="L1215" i="4"/>
  <c r="K1215" i="4"/>
  <c r="J1215" i="4"/>
  <c r="I1215" i="4"/>
  <c r="H1215" i="4"/>
  <c r="M1215" i="4" s="1"/>
  <c r="Q1214" i="4"/>
  <c r="P1214" i="4"/>
  <c r="O1214" i="4"/>
  <c r="N1214" i="4"/>
  <c r="L1214" i="4"/>
  <c r="K1214" i="4"/>
  <c r="J1214" i="4"/>
  <c r="I1214" i="4"/>
  <c r="H1214" i="4"/>
  <c r="M1214" i="4" s="1"/>
  <c r="Q1213" i="4"/>
  <c r="P1213" i="4"/>
  <c r="O1213" i="4"/>
  <c r="N1213" i="4"/>
  <c r="M1213" i="4"/>
  <c r="K1213" i="4"/>
  <c r="J1213" i="4"/>
  <c r="I1213" i="4"/>
  <c r="H1213" i="4"/>
  <c r="L1213" i="4" s="1"/>
  <c r="Q1212" i="4"/>
  <c r="P1212" i="4"/>
  <c r="O1212" i="4"/>
  <c r="N1212" i="4"/>
  <c r="M1212" i="4"/>
  <c r="L1212" i="4"/>
  <c r="K1212" i="4"/>
  <c r="I1212" i="4"/>
  <c r="H1212" i="4"/>
  <c r="J1212" i="4" s="1"/>
  <c r="Q1209" i="4"/>
  <c r="P1209" i="4"/>
  <c r="O1209" i="4"/>
  <c r="N1209" i="4"/>
  <c r="M1209" i="4"/>
  <c r="K1209" i="4"/>
  <c r="J1209" i="4"/>
  <c r="I1209" i="4"/>
  <c r="H1209" i="4"/>
  <c r="L1209" i="4" s="1"/>
  <c r="Q1208" i="4"/>
  <c r="P1208" i="4"/>
  <c r="O1208" i="4"/>
  <c r="N1208" i="4"/>
  <c r="M1208" i="4"/>
  <c r="K1208" i="4"/>
  <c r="J1208" i="4"/>
  <c r="I1208" i="4"/>
  <c r="H1208" i="4"/>
  <c r="L1208" i="4" s="1"/>
  <c r="Q1207" i="4"/>
  <c r="P1207" i="4"/>
  <c r="O1207" i="4"/>
  <c r="N1207" i="4"/>
  <c r="M1207" i="4"/>
  <c r="L1207" i="4"/>
  <c r="K1207" i="4"/>
  <c r="I1207" i="4"/>
  <c r="H1207" i="4"/>
  <c r="J1207" i="4" s="1"/>
  <c r="Q1204" i="4"/>
  <c r="P1204" i="4"/>
  <c r="O1204" i="4"/>
  <c r="N1204" i="4"/>
  <c r="L1204" i="4"/>
  <c r="K1204" i="4"/>
  <c r="J1204" i="4"/>
  <c r="I1204" i="4"/>
  <c r="H1204" i="4"/>
  <c r="M1204" i="4" s="1"/>
  <c r="Q1203" i="4"/>
  <c r="P1203" i="4"/>
  <c r="O1203" i="4"/>
  <c r="N1203" i="4"/>
  <c r="M1203" i="4"/>
  <c r="K1203" i="4"/>
  <c r="J1203" i="4"/>
  <c r="I1203" i="4"/>
  <c r="H1203" i="4"/>
  <c r="L1203" i="4" s="1"/>
  <c r="Q1202" i="4"/>
  <c r="P1202" i="4"/>
  <c r="O1202" i="4"/>
  <c r="N1202" i="4"/>
  <c r="M1202" i="4"/>
  <c r="K1202" i="4"/>
  <c r="J1202" i="4"/>
  <c r="I1202" i="4"/>
  <c r="H1202" i="4"/>
  <c r="L1202" i="4" s="1"/>
  <c r="Q1201" i="4"/>
  <c r="P1201" i="4"/>
  <c r="O1201" i="4"/>
  <c r="N1201" i="4"/>
  <c r="M1201" i="4"/>
  <c r="K1201" i="4"/>
  <c r="J1201" i="4"/>
  <c r="I1201" i="4"/>
  <c r="H1201" i="4"/>
  <c r="L1201" i="4" s="1"/>
  <c r="Q1200" i="4"/>
  <c r="P1200" i="4"/>
  <c r="O1200" i="4"/>
  <c r="N1200" i="4"/>
  <c r="M1200" i="4"/>
  <c r="L1200" i="4"/>
  <c r="K1200" i="4"/>
  <c r="I1200" i="4"/>
  <c r="H1200" i="4"/>
  <c r="J1200" i="4" s="1"/>
  <c r="Q1197" i="4"/>
  <c r="P1197" i="4"/>
  <c r="O1197" i="4"/>
  <c r="N1197" i="4"/>
  <c r="M1197" i="4"/>
  <c r="K1197" i="4"/>
  <c r="J1197" i="4"/>
  <c r="I1197" i="4"/>
  <c r="H1197" i="4"/>
  <c r="L1197" i="4" s="1"/>
  <c r="Q1196" i="4"/>
  <c r="P1196" i="4"/>
  <c r="O1196" i="4"/>
  <c r="N1196" i="4"/>
  <c r="M1196" i="4"/>
  <c r="K1196" i="4"/>
  <c r="J1196" i="4"/>
  <c r="I1196" i="4"/>
  <c r="H1196" i="4"/>
  <c r="L1196" i="4" s="1"/>
  <c r="Q1195" i="4"/>
  <c r="P1195" i="4"/>
  <c r="O1195" i="4"/>
  <c r="N1195" i="4"/>
  <c r="M1195" i="4"/>
  <c r="K1195" i="4"/>
  <c r="J1195" i="4"/>
  <c r="I1195" i="4"/>
  <c r="H1195" i="4"/>
  <c r="L1195" i="4" s="1"/>
  <c r="Q1194" i="4"/>
  <c r="P1194" i="4"/>
  <c r="O1194" i="4"/>
  <c r="N1194" i="4"/>
  <c r="M1194" i="4"/>
  <c r="L1194" i="4"/>
  <c r="K1194" i="4"/>
  <c r="I1194" i="4"/>
  <c r="H1194" i="4"/>
  <c r="J1194" i="4" s="1"/>
  <c r="Q1191" i="4"/>
  <c r="P1191" i="4"/>
  <c r="O1191" i="4"/>
  <c r="N1191" i="4"/>
  <c r="L1191" i="4"/>
  <c r="K1191" i="4"/>
  <c r="J1191" i="4"/>
  <c r="I1191" i="4"/>
  <c r="H1191" i="4"/>
  <c r="M1191" i="4" s="1"/>
  <c r="Q1190" i="4"/>
  <c r="P1190" i="4"/>
  <c r="O1190" i="4"/>
  <c r="N1190" i="4"/>
  <c r="M1190" i="4"/>
  <c r="K1190" i="4"/>
  <c r="J1190" i="4"/>
  <c r="I1190" i="4"/>
  <c r="H1190" i="4"/>
  <c r="L1190" i="4" s="1"/>
  <c r="Q1189" i="4"/>
  <c r="P1189" i="4"/>
  <c r="O1189" i="4"/>
  <c r="N1189" i="4"/>
  <c r="M1189" i="4"/>
  <c r="K1189" i="4"/>
  <c r="J1189" i="4"/>
  <c r="I1189" i="4"/>
  <c r="H1189" i="4"/>
  <c r="L1189" i="4" s="1"/>
  <c r="Q1188" i="4"/>
  <c r="P1188" i="4"/>
  <c r="O1188" i="4"/>
  <c r="N1188" i="4"/>
  <c r="M1188" i="4"/>
  <c r="L1188" i="4"/>
  <c r="K1188" i="4"/>
  <c r="I1188" i="4"/>
  <c r="H1188" i="4"/>
  <c r="J1188" i="4" s="1"/>
  <c r="Q1185" i="4"/>
  <c r="P1185" i="4"/>
  <c r="O1185" i="4"/>
  <c r="N1185" i="4"/>
  <c r="M1185" i="4"/>
  <c r="K1185" i="4"/>
  <c r="J1185" i="4"/>
  <c r="I1185" i="4"/>
  <c r="H1185" i="4"/>
  <c r="L1185" i="4" s="1"/>
  <c r="Q1184" i="4"/>
  <c r="P1184" i="4"/>
  <c r="O1184" i="4"/>
  <c r="N1184" i="4"/>
  <c r="M1184" i="4"/>
  <c r="K1184" i="4"/>
  <c r="J1184" i="4"/>
  <c r="I1184" i="4"/>
  <c r="H1184" i="4"/>
  <c r="L1184" i="4" s="1"/>
  <c r="Q1183" i="4"/>
  <c r="P1183" i="4"/>
  <c r="O1183" i="4"/>
  <c r="N1183" i="4"/>
  <c r="M1183" i="4"/>
  <c r="K1183" i="4"/>
  <c r="J1183" i="4"/>
  <c r="I1183" i="4"/>
  <c r="H1183" i="4"/>
  <c r="L1183" i="4" s="1"/>
  <c r="Q1182" i="4"/>
  <c r="P1182" i="4"/>
  <c r="O1182" i="4"/>
  <c r="N1182" i="4"/>
  <c r="M1182" i="4"/>
  <c r="K1182" i="4"/>
  <c r="J1182" i="4"/>
  <c r="I1182" i="4"/>
  <c r="H1182" i="4"/>
  <c r="L1182" i="4" s="1"/>
  <c r="Q1181" i="4"/>
  <c r="P1181" i="4"/>
  <c r="O1181" i="4"/>
  <c r="N1181" i="4"/>
  <c r="M1181" i="4"/>
  <c r="K1181" i="4"/>
  <c r="J1181" i="4"/>
  <c r="I1181" i="4"/>
  <c r="H1181" i="4"/>
  <c r="L1181" i="4" s="1"/>
  <c r="Q1180" i="4"/>
  <c r="P1180" i="4"/>
  <c r="O1180" i="4"/>
  <c r="N1180" i="4"/>
  <c r="M1180" i="4"/>
  <c r="L1180" i="4"/>
  <c r="K1180" i="4"/>
  <c r="I1180" i="4"/>
  <c r="H1180" i="4"/>
  <c r="J1180" i="4" s="1"/>
  <c r="Q1177" i="4"/>
  <c r="P1177" i="4"/>
  <c r="O1177" i="4"/>
  <c r="N1177" i="4"/>
  <c r="L1177" i="4"/>
  <c r="K1177" i="4"/>
  <c r="J1177" i="4"/>
  <c r="I1177" i="4"/>
  <c r="H1177" i="4"/>
  <c r="M1177" i="4" s="1"/>
  <c r="Q1176" i="4"/>
  <c r="P1176" i="4"/>
  <c r="O1176" i="4"/>
  <c r="N1176" i="4"/>
  <c r="M1176" i="4"/>
  <c r="K1176" i="4"/>
  <c r="J1176" i="4"/>
  <c r="I1176" i="4"/>
  <c r="H1176" i="4"/>
  <c r="L1176" i="4" s="1"/>
  <c r="Q1175" i="4"/>
  <c r="P1175" i="4"/>
  <c r="O1175" i="4"/>
  <c r="N1175" i="4"/>
  <c r="M1175" i="4"/>
  <c r="K1175" i="4"/>
  <c r="J1175" i="4"/>
  <c r="I1175" i="4"/>
  <c r="H1175" i="4"/>
  <c r="L1175" i="4" s="1"/>
  <c r="Q1174" i="4"/>
  <c r="P1174" i="4"/>
  <c r="O1174" i="4"/>
  <c r="N1174" i="4"/>
  <c r="M1174" i="4"/>
  <c r="K1174" i="4"/>
  <c r="J1174" i="4"/>
  <c r="I1174" i="4"/>
  <c r="H1174" i="4"/>
  <c r="L1174" i="4" s="1"/>
  <c r="Q1173" i="4"/>
  <c r="P1173" i="4"/>
  <c r="O1173" i="4"/>
  <c r="N1173" i="4"/>
  <c r="M1173" i="4"/>
  <c r="K1173" i="4"/>
  <c r="J1173" i="4"/>
  <c r="I1173" i="4"/>
  <c r="H1173" i="4"/>
  <c r="L1173" i="4" s="1"/>
  <c r="Q1172" i="4"/>
  <c r="P1172" i="4"/>
  <c r="O1172" i="4"/>
  <c r="N1172" i="4"/>
  <c r="M1172" i="4"/>
  <c r="K1172" i="4"/>
  <c r="J1172" i="4"/>
  <c r="I1172" i="4"/>
  <c r="H1172" i="4"/>
  <c r="L1172" i="4" s="1"/>
  <c r="Q1171" i="4"/>
  <c r="P1171" i="4"/>
  <c r="O1171" i="4"/>
  <c r="N1171" i="4"/>
  <c r="M1171" i="4"/>
  <c r="L1171" i="4"/>
  <c r="K1171" i="4"/>
  <c r="I1171" i="4"/>
  <c r="H1171" i="4"/>
  <c r="J1171" i="4" s="1"/>
  <c r="Q1168" i="4"/>
  <c r="P1168" i="4"/>
  <c r="O1168" i="4"/>
  <c r="N1168" i="4"/>
  <c r="M1168" i="4"/>
  <c r="K1168" i="4"/>
  <c r="J1168" i="4"/>
  <c r="I1168" i="4"/>
  <c r="H1168" i="4"/>
  <c r="L1168" i="4" s="1"/>
  <c r="Q1167" i="4"/>
  <c r="P1167" i="4"/>
  <c r="O1167" i="4"/>
  <c r="N1167" i="4"/>
  <c r="M1167" i="4"/>
  <c r="K1167" i="4"/>
  <c r="J1167" i="4"/>
  <c r="I1167" i="4"/>
  <c r="H1167" i="4"/>
  <c r="L1167" i="4" s="1"/>
  <c r="Q1166" i="4"/>
  <c r="P1166" i="4"/>
  <c r="O1166" i="4"/>
  <c r="N1166" i="4"/>
  <c r="M1166" i="4"/>
  <c r="L1166" i="4"/>
  <c r="K1166" i="4"/>
  <c r="I1166" i="4"/>
  <c r="H1166" i="4"/>
  <c r="J1166" i="4" s="1"/>
  <c r="Q1163" i="4"/>
  <c r="P1163" i="4"/>
  <c r="O1163" i="4"/>
  <c r="N1163" i="4"/>
  <c r="L1163" i="4"/>
  <c r="K1163" i="4"/>
  <c r="J1163" i="4"/>
  <c r="I1163" i="4"/>
  <c r="H1163" i="4"/>
  <c r="M1163" i="4" s="1"/>
  <c r="Q1162" i="4"/>
  <c r="P1162" i="4"/>
  <c r="O1162" i="4"/>
  <c r="N1162" i="4"/>
  <c r="L1162" i="4"/>
  <c r="K1162" i="4"/>
  <c r="J1162" i="4"/>
  <c r="I1162" i="4"/>
  <c r="H1162" i="4"/>
  <c r="M1162" i="4" s="1"/>
  <c r="Q1161" i="4"/>
  <c r="P1161" i="4"/>
  <c r="O1161" i="4"/>
  <c r="N1161" i="4"/>
  <c r="L1161" i="4"/>
  <c r="K1161" i="4"/>
  <c r="J1161" i="4"/>
  <c r="I1161" i="4"/>
  <c r="H1161" i="4"/>
  <c r="M1161" i="4" s="1"/>
  <c r="Q1160" i="4"/>
  <c r="P1160" i="4"/>
  <c r="O1160" i="4"/>
  <c r="N1160" i="4"/>
  <c r="L1160" i="4"/>
  <c r="K1160" i="4"/>
  <c r="J1160" i="4"/>
  <c r="I1160" i="4"/>
  <c r="H1160" i="4"/>
  <c r="M1160" i="4" s="1"/>
  <c r="Q1159" i="4"/>
  <c r="P1159" i="4"/>
  <c r="O1159" i="4"/>
  <c r="N1159" i="4"/>
  <c r="L1159" i="4"/>
  <c r="K1159" i="4"/>
  <c r="J1159" i="4"/>
  <c r="I1159" i="4"/>
  <c r="H1159" i="4"/>
  <c r="M1159" i="4" s="1"/>
  <c r="Q1158" i="4"/>
  <c r="P1158" i="4"/>
  <c r="O1158" i="4"/>
  <c r="N1158" i="4"/>
  <c r="L1158" i="4"/>
  <c r="K1158" i="4"/>
  <c r="J1158" i="4"/>
  <c r="I1158" i="4"/>
  <c r="H1158" i="4"/>
  <c r="M1158" i="4" s="1"/>
  <c r="Q1153" i="4"/>
  <c r="P1153" i="4"/>
  <c r="O1153" i="4"/>
  <c r="N1153" i="4"/>
  <c r="M1153" i="4"/>
  <c r="K1153" i="4"/>
  <c r="J1153" i="4"/>
  <c r="I1153" i="4"/>
  <c r="H1153" i="4"/>
  <c r="L1153" i="4" s="1"/>
  <c r="Q1152" i="4"/>
  <c r="P1152" i="4"/>
  <c r="O1152" i="4"/>
  <c r="N1152" i="4"/>
  <c r="M1152" i="4"/>
  <c r="K1152" i="4"/>
  <c r="J1152" i="4"/>
  <c r="I1152" i="4"/>
  <c r="H1152" i="4"/>
  <c r="L1152" i="4" s="1"/>
  <c r="Q1151" i="4"/>
  <c r="P1151" i="4"/>
  <c r="O1151" i="4"/>
  <c r="N1151" i="4"/>
  <c r="M1151" i="4"/>
  <c r="L1151" i="4"/>
  <c r="K1151" i="4"/>
  <c r="I1151" i="4"/>
  <c r="H1151" i="4"/>
  <c r="J1151" i="4" s="1"/>
  <c r="Q1148" i="4"/>
  <c r="P1148" i="4"/>
  <c r="O1148" i="4"/>
  <c r="N1148" i="4"/>
  <c r="L1148" i="4"/>
  <c r="K1148" i="4"/>
  <c r="J1148" i="4"/>
  <c r="I1148" i="4"/>
  <c r="H1148" i="4"/>
  <c r="M1148" i="4" s="1"/>
  <c r="Q1147" i="4"/>
  <c r="P1147" i="4"/>
  <c r="O1147" i="4"/>
  <c r="N1147" i="4"/>
  <c r="L1147" i="4"/>
  <c r="K1147" i="4"/>
  <c r="J1147" i="4"/>
  <c r="I1147" i="4"/>
  <c r="H1147" i="4"/>
  <c r="M1147" i="4" s="1"/>
  <c r="Q1146" i="4"/>
  <c r="P1146" i="4"/>
  <c r="O1146" i="4"/>
  <c r="N1146" i="4"/>
  <c r="L1146" i="4"/>
  <c r="K1146" i="4"/>
  <c r="J1146" i="4"/>
  <c r="I1146" i="4"/>
  <c r="H1146" i="4"/>
  <c r="M1146" i="4" s="1"/>
  <c r="Q1145" i="4"/>
  <c r="P1145" i="4"/>
  <c r="O1145" i="4"/>
  <c r="N1145" i="4"/>
  <c r="M1145" i="4"/>
  <c r="K1145" i="4"/>
  <c r="J1145" i="4"/>
  <c r="I1145" i="4"/>
  <c r="H1145" i="4"/>
  <c r="L1145" i="4" s="1"/>
  <c r="Q1144" i="4"/>
  <c r="P1144" i="4"/>
  <c r="O1144" i="4"/>
  <c r="N1144" i="4"/>
  <c r="M1144" i="4"/>
  <c r="L1144" i="4"/>
  <c r="K1144" i="4"/>
  <c r="I1144" i="4"/>
  <c r="H1144" i="4"/>
  <c r="J1144" i="4" s="1"/>
  <c r="Q1141" i="4"/>
  <c r="P1141" i="4"/>
  <c r="O1141" i="4"/>
  <c r="N1141" i="4"/>
  <c r="L1141" i="4"/>
  <c r="K1141" i="4"/>
  <c r="J1141" i="4"/>
  <c r="I1141" i="4"/>
  <c r="H1141" i="4"/>
  <c r="M1141" i="4" s="1"/>
  <c r="Q1140" i="4"/>
  <c r="P1140" i="4"/>
  <c r="O1140" i="4"/>
  <c r="N1140" i="4"/>
  <c r="M1140" i="4"/>
  <c r="K1140" i="4"/>
  <c r="J1140" i="4"/>
  <c r="I1140" i="4"/>
  <c r="H1140" i="4"/>
  <c r="L1140" i="4" s="1"/>
  <c r="Q1139" i="4"/>
  <c r="P1139" i="4"/>
  <c r="O1139" i="4"/>
  <c r="N1139" i="4"/>
  <c r="M1139" i="4"/>
  <c r="K1139" i="4"/>
  <c r="J1139" i="4"/>
  <c r="I1139" i="4"/>
  <c r="H1139" i="4"/>
  <c r="L1139" i="4" s="1"/>
  <c r="Q1138" i="4"/>
  <c r="P1138" i="4"/>
  <c r="O1138" i="4"/>
  <c r="N1138" i="4"/>
  <c r="M1138" i="4"/>
  <c r="K1138" i="4"/>
  <c r="J1138" i="4"/>
  <c r="I1138" i="4"/>
  <c r="H1138" i="4"/>
  <c r="L1138" i="4" s="1"/>
  <c r="Q1137" i="4"/>
  <c r="P1137" i="4"/>
  <c r="O1137" i="4"/>
  <c r="N1137" i="4"/>
  <c r="M1137" i="4"/>
  <c r="L1137" i="4"/>
  <c r="K1137" i="4"/>
  <c r="I1137" i="4"/>
  <c r="H1137" i="4"/>
  <c r="J1137" i="4" s="1"/>
  <c r="Q1134" i="4"/>
  <c r="P1134" i="4"/>
  <c r="O1134" i="4"/>
  <c r="N1134" i="4"/>
  <c r="L1134" i="4"/>
  <c r="K1134" i="4"/>
  <c r="J1134" i="4"/>
  <c r="I1134" i="4"/>
  <c r="H1134" i="4"/>
  <c r="M1134" i="4" s="1"/>
  <c r="Q1133" i="4"/>
  <c r="P1133" i="4"/>
  <c r="O1133" i="4"/>
  <c r="N1133" i="4"/>
  <c r="M1133" i="4"/>
  <c r="K1133" i="4"/>
  <c r="J1133" i="4"/>
  <c r="I1133" i="4"/>
  <c r="H1133" i="4"/>
  <c r="L1133" i="4" s="1"/>
  <c r="Q1132" i="4"/>
  <c r="P1132" i="4"/>
  <c r="O1132" i="4"/>
  <c r="N1132" i="4"/>
  <c r="M1132" i="4"/>
  <c r="K1132" i="4"/>
  <c r="J1132" i="4"/>
  <c r="I1132" i="4"/>
  <c r="H1132" i="4"/>
  <c r="L1132" i="4" s="1"/>
  <c r="Q1131" i="4"/>
  <c r="P1131" i="4"/>
  <c r="O1131" i="4"/>
  <c r="N1131" i="4"/>
  <c r="M1131" i="4"/>
  <c r="K1131" i="4"/>
  <c r="J1131" i="4"/>
  <c r="I1131" i="4"/>
  <c r="H1131" i="4"/>
  <c r="L1131" i="4" s="1"/>
  <c r="Q1130" i="4"/>
  <c r="P1130" i="4"/>
  <c r="O1130" i="4"/>
  <c r="N1130" i="4"/>
  <c r="M1130" i="4"/>
  <c r="L1130" i="4"/>
  <c r="K1130" i="4"/>
  <c r="I1130" i="4"/>
  <c r="H1130" i="4"/>
  <c r="J1130" i="4" s="1"/>
  <c r="Q1127" i="4"/>
  <c r="P1127" i="4"/>
  <c r="O1127" i="4"/>
  <c r="N1127" i="4"/>
  <c r="L1127" i="4"/>
  <c r="K1127" i="4"/>
  <c r="J1127" i="4"/>
  <c r="I1127" i="4"/>
  <c r="H1127" i="4"/>
  <c r="M1127" i="4" s="1"/>
  <c r="Q1126" i="4"/>
  <c r="P1126" i="4"/>
  <c r="O1126" i="4"/>
  <c r="N1126" i="4"/>
  <c r="M1126" i="4"/>
  <c r="K1126" i="4"/>
  <c r="J1126" i="4"/>
  <c r="I1126" i="4"/>
  <c r="H1126" i="4"/>
  <c r="L1126" i="4" s="1"/>
  <c r="Q1125" i="4"/>
  <c r="P1125" i="4"/>
  <c r="O1125" i="4"/>
  <c r="N1125" i="4"/>
  <c r="M1125" i="4"/>
  <c r="L1125" i="4"/>
  <c r="K1125" i="4"/>
  <c r="I1125" i="4"/>
  <c r="H1125" i="4"/>
  <c r="J1125" i="4" s="1"/>
  <c r="Q1122" i="4"/>
  <c r="P1122" i="4"/>
  <c r="O1122" i="4"/>
  <c r="N1122" i="4"/>
  <c r="M1122" i="4"/>
  <c r="K1122" i="4"/>
  <c r="J1122" i="4"/>
  <c r="I1122" i="4"/>
  <c r="H1122" i="4"/>
  <c r="L1122" i="4" s="1"/>
  <c r="Q1121" i="4"/>
  <c r="P1121" i="4"/>
  <c r="O1121" i="4"/>
  <c r="N1121" i="4"/>
  <c r="M1121" i="4"/>
  <c r="K1121" i="4"/>
  <c r="J1121" i="4"/>
  <c r="I1121" i="4"/>
  <c r="H1121" i="4"/>
  <c r="L1121" i="4" s="1"/>
  <c r="Q1120" i="4"/>
  <c r="P1120" i="4"/>
  <c r="O1120" i="4"/>
  <c r="N1120" i="4"/>
  <c r="M1120" i="4"/>
  <c r="L1120" i="4"/>
  <c r="K1120" i="4"/>
  <c r="I1120" i="4"/>
  <c r="H1120" i="4"/>
  <c r="J1120" i="4" s="1"/>
  <c r="Q1117" i="4"/>
  <c r="P1117" i="4"/>
  <c r="O1117" i="4"/>
  <c r="N1117" i="4"/>
  <c r="M1117" i="4"/>
  <c r="K1117" i="4"/>
  <c r="J1117" i="4"/>
  <c r="I1117" i="4"/>
  <c r="H1117" i="4"/>
  <c r="L1117" i="4" s="1"/>
  <c r="Q1116" i="4"/>
  <c r="P1116" i="4"/>
  <c r="O1116" i="4"/>
  <c r="N1116" i="4"/>
  <c r="M1116" i="4"/>
  <c r="K1116" i="4"/>
  <c r="J1116" i="4"/>
  <c r="I1116" i="4"/>
  <c r="H1116" i="4"/>
  <c r="L1116" i="4" s="1"/>
  <c r="Q1115" i="4"/>
  <c r="P1115" i="4"/>
  <c r="O1115" i="4"/>
  <c r="N1115" i="4"/>
  <c r="M1115" i="4"/>
  <c r="L1115" i="4"/>
  <c r="K1115" i="4"/>
  <c r="I1115" i="4"/>
  <c r="H1115" i="4"/>
  <c r="J1115" i="4" s="1"/>
  <c r="Q1112" i="4"/>
  <c r="P1112" i="4"/>
  <c r="O1112" i="4"/>
  <c r="N1112" i="4"/>
  <c r="M1112" i="4"/>
  <c r="K1112" i="4"/>
  <c r="J1112" i="4"/>
  <c r="I1112" i="4"/>
  <c r="H1112" i="4"/>
  <c r="L1112" i="4" s="1"/>
  <c r="Q1111" i="4"/>
  <c r="P1111" i="4"/>
  <c r="O1111" i="4"/>
  <c r="N1111" i="4"/>
  <c r="M1111" i="4"/>
  <c r="K1111" i="4"/>
  <c r="J1111" i="4"/>
  <c r="I1111" i="4"/>
  <c r="H1111" i="4"/>
  <c r="L1111" i="4" s="1"/>
  <c r="Q1110" i="4"/>
  <c r="P1110" i="4"/>
  <c r="O1110" i="4"/>
  <c r="N1110" i="4"/>
  <c r="M1110" i="4"/>
  <c r="L1110" i="4"/>
  <c r="K1110" i="4"/>
  <c r="I1110" i="4"/>
  <c r="H1110" i="4"/>
  <c r="J1110" i="4" s="1"/>
  <c r="Q1107" i="4"/>
  <c r="P1107" i="4"/>
  <c r="O1107" i="4"/>
  <c r="N1107" i="4"/>
  <c r="M1107" i="4"/>
  <c r="K1107" i="4"/>
  <c r="J1107" i="4"/>
  <c r="I1107" i="4"/>
  <c r="H1107" i="4"/>
  <c r="L1107" i="4" s="1"/>
  <c r="Q1106" i="4"/>
  <c r="P1106" i="4"/>
  <c r="O1106" i="4"/>
  <c r="N1106" i="4"/>
  <c r="M1106" i="4"/>
  <c r="K1106" i="4"/>
  <c r="J1106" i="4"/>
  <c r="I1106" i="4"/>
  <c r="H1106" i="4"/>
  <c r="L1106" i="4" s="1"/>
  <c r="Q1105" i="4"/>
  <c r="P1105" i="4"/>
  <c r="O1105" i="4"/>
  <c r="N1105" i="4"/>
  <c r="M1105" i="4"/>
  <c r="L1105" i="4"/>
  <c r="K1105" i="4"/>
  <c r="I1105" i="4"/>
  <c r="H1105" i="4"/>
  <c r="J1105" i="4" s="1"/>
  <c r="Q1102" i="4"/>
  <c r="P1102" i="4"/>
  <c r="O1102" i="4"/>
  <c r="N1102" i="4"/>
  <c r="M1102" i="4"/>
  <c r="K1102" i="4"/>
  <c r="J1102" i="4"/>
  <c r="I1102" i="4"/>
  <c r="H1102" i="4"/>
  <c r="L1102" i="4" s="1"/>
  <c r="Q1101" i="4"/>
  <c r="P1101" i="4"/>
  <c r="O1101" i="4"/>
  <c r="N1101" i="4"/>
  <c r="M1101" i="4"/>
  <c r="K1101" i="4"/>
  <c r="J1101" i="4"/>
  <c r="I1101" i="4"/>
  <c r="H1101" i="4"/>
  <c r="L1101" i="4" s="1"/>
  <c r="Q1100" i="4"/>
  <c r="P1100" i="4"/>
  <c r="O1100" i="4"/>
  <c r="N1100" i="4"/>
  <c r="M1100" i="4"/>
  <c r="L1100" i="4"/>
  <c r="K1100" i="4"/>
  <c r="I1100" i="4"/>
  <c r="H1100" i="4"/>
  <c r="J1100" i="4" s="1"/>
  <c r="Q1096" i="4"/>
  <c r="P1096" i="4"/>
  <c r="O1096" i="4"/>
  <c r="N1096" i="4"/>
  <c r="M1096" i="4"/>
  <c r="K1096" i="4"/>
  <c r="J1096" i="4"/>
  <c r="I1096" i="4"/>
  <c r="H1096" i="4"/>
  <c r="L1096" i="4" s="1"/>
  <c r="Q1095" i="4"/>
  <c r="P1095" i="4"/>
  <c r="O1095" i="4"/>
  <c r="N1095" i="4"/>
  <c r="M1095" i="4"/>
  <c r="K1095" i="4"/>
  <c r="J1095" i="4"/>
  <c r="I1095" i="4"/>
  <c r="H1095" i="4"/>
  <c r="L1095" i="4" s="1"/>
  <c r="Q1094" i="4"/>
  <c r="P1094" i="4"/>
  <c r="O1094" i="4"/>
  <c r="N1094" i="4"/>
  <c r="M1094" i="4"/>
  <c r="K1094" i="4"/>
  <c r="J1094" i="4"/>
  <c r="I1094" i="4"/>
  <c r="H1094" i="4"/>
  <c r="L1094" i="4" s="1"/>
  <c r="Q1093" i="4"/>
  <c r="P1093" i="4"/>
  <c r="O1093" i="4"/>
  <c r="N1093" i="4"/>
  <c r="M1093" i="4"/>
  <c r="L1093" i="4"/>
  <c r="K1093" i="4"/>
  <c r="I1093" i="4"/>
  <c r="H1093" i="4"/>
  <c r="J1093" i="4" s="1"/>
  <c r="Q1090" i="4"/>
  <c r="P1090" i="4"/>
  <c r="O1090" i="4"/>
  <c r="N1090" i="4"/>
  <c r="M1090" i="4"/>
  <c r="K1090" i="4"/>
  <c r="J1090" i="4"/>
  <c r="I1090" i="4"/>
  <c r="Q1089" i="4"/>
  <c r="P1089" i="4"/>
  <c r="O1089" i="4"/>
  <c r="N1089" i="4"/>
  <c r="M1089" i="4"/>
  <c r="L1089" i="4"/>
  <c r="K1089" i="4"/>
  <c r="I1089" i="4"/>
  <c r="Q1086" i="4"/>
  <c r="P1086" i="4"/>
  <c r="O1086" i="4"/>
  <c r="N1086" i="4"/>
  <c r="M1086" i="4"/>
  <c r="K1086" i="4"/>
  <c r="J1086" i="4"/>
  <c r="I1086" i="4"/>
  <c r="H1086" i="4"/>
  <c r="L1086" i="4" s="1"/>
  <c r="Q1085" i="4"/>
  <c r="P1085" i="4"/>
  <c r="O1085" i="4"/>
  <c r="N1085" i="4"/>
  <c r="M1085" i="4"/>
  <c r="L1085" i="4"/>
  <c r="K1085" i="4"/>
  <c r="I1085" i="4"/>
  <c r="H1085" i="4"/>
  <c r="J1085" i="4" s="1"/>
  <c r="Q1082" i="4"/>
  <c r="P1082" i="4"/>
  <c r="O1082" i="4"/>
  <c r="N1082" i="4"/>
  <c r="L1082" i="4"/>
  <c r="K1082" i="4"/>
  <c r="J1082" i="4"/>
  <c r="I1082" i="4"/>
  <c r="H1082" i="4"/>
  <c r="M1082" i="4" s="1"/>
  <c r="Q1081" i="4"/>
  <c r="P1081" i="4"/>
  <c r="O1081" i="4"/>
  <c r="N1081" i="4"/>
  <c r="M1081" i="4"/>
  <c r="K1081" i="4"/>
  <c r="J1081" i="4"/>
  <c r="I1081" i="4"/>
  <c r="H1081" i="4"/>
  <c r="L1081" i="4" s="1"/>
  <c r="Q1080" i="4"/>
  <c r="P1080" i="4"/>
  <c r="O1080" i="4"/>
  <c r="N1080" i="4"/>
  <c r="M1080" i="4"/>
  <c r="K1080" i="4"/>
  <c r="J1080" i="4"/>
  <c r="I1080" i="4"/>
  <c r="H1080" i="4"/>
  <c r="L1080" i="4" s="1"/>
  <c r="Q1079" i="4"/>
  <c r="P1079" i="4"/>
  <c r="O1079" i="4"/>
  <c r="N1079" i="4"/>
  <c r="M1079" i="4"/>
  <c r="K1079" i="4"/>
  <c r="J1079" i="4"/>
  <c r="I1079" i="4"/>
  <c r="H1079" i="4"/>
  <c r="L1079" i="4" s="1"/>
  <c r="Q1078" i="4"/>
  <c r="P1078" i="4"/>
  <c r="O1078" i="4"/>
  <c r="N1078" i="4"/>
  <c r="M1078" i="4"/>
  <c r="L1078" i="4"/>
  <c r="K1078" i="4"/>
  <c r="I1078" i="4"/>
  <c r="H1078" i="4"/>
  <c r="J1078" i="4" s="1"/>
  <c r="Q1075" i="4"/>
  <c r="P1075" i="4"/>
  <c r="O1075" i="4"/>
  <c r="N1075" i="4"/>
  <c r="M1075" i="4"/>
  <c r="K1075" i="4"/>
  <c r="J1075" i="4"/>
  <c r="I1075" i="4"/>
  <c r="H1075" i="4"/>
  <c r="L1075" i="4" s="1"/>
  <c r="Q1074" i="4"/>
  <c r="P1074" i="4"/>
  <c r="O1074" i="4"/>
  <c r="N1074" i="4"/>
  <c r="M1074" i="4"/>
  <c r="L1074" i="4"/>
  <c r="K1074" i="4"/>
  <c r="I1074" i="4"/>
  <c r="Q1071" i="4"/>
  <c r="P1071" i="4"/>
  <c r="O1071" i="4"/>
  <c r="N1071" i="4"/>
  <c r="M1071" i="4"/>
  <c r="K1071" i="4"/>
  <c r="J1071" i="4"/>
  <c r="I1071" i="4"/>
  <c r="Q1070" i="4"/>
  <c r="P1070" i="4"/>
  <c r="O1070" i="4"/>
  <c r="N1070" i="4"/>
  <c r="M1070" i="4"/>
  <c r="K1070" i="4"/>
  <c r="J1070" i="4"/>
  <c r="I1070" i="4"/>
  <c r="Q1069" i="4"/>
  <c r="P1069" i="4"/>
  <c r="O1069" i="4"/>
  <c r="N1069" i="4"/>
  <c r="M1069" i="4"/>
  <c r="L1069" i="4"/>
  <c r="K1069" i="4"/>
  <c r="I1069" i="4"/>
  <c r="Q1066" i="4"/>
  <c r="P1066" i="4"/>
  <c r="O1066" i="4"/>
  <c r="N1066" i="4"/>
  <c r="M1066" i="4"/>
  <c r="K1066" i="4"/>
  <c r="J1066" i="4"/>
  <c r="I1066" i="4"/>
  <c r="H1066" i="4"/>
  <c r="L1066" i="4" s="1"/>
  <c r="Q1065" i="4"/>
  <c r="P1065" i="4"/>
  <c r="O1065" i="4"/>
  <c r="N1065" i="4"/>
  <c r="M1065" i="4"/>
  <c r="K1065" i="4"/>
  <c r="J1065" i="4"/>
  <c r="I1065" i="4"/>
  <c r="Q1064" i="4"/>
  <c r="P1064" i="4"/>
  <c r="O1064" i="4"/>
  <c r="N1064" i="4"/>
  <c r="M1064" i="4"/>
  <c r="L1064" i="4"/>
  <c r="K1064" i="4"/>
  <c r="I1064" i="4"/>
  <c r="Q1061" i="4"/>
  <c r="P1061" i="4"/>
  <c r="O1061" i="4"/>
  <c r="N1061" i="4"/>
  <c r="M1061" i="4"/>
  <c r="K1061" i="4"/>
  <c r="J1061" i="4"/>
  <c r="I1061" i="4"/>
  <c r="Q1060" i="4"/>
  <c r="P1060" i="4"/>
  <c r="O1060" i="4"/>
  <c r="N1060" i="4"/>
  <c r="M1060" i="4"/>
  <c r="K1060" i="4"/>
  <c r="J1060" i="4"/>
  <c r="I1060" i="4"/>
  <c r="H1060" i="4"/>
  <c r="L1060" i="4" s="1"/>
  <c r="Q1059" i="4"/>
  <c r="P1059" i="4"/>
  <c r="O1059" i="4"/>
  <c r="N1059" i="4"/>
  <c r="M1059" i="4"/>
  <c r="L1059" i="4"/>
  <c r="K1059" i="4"/>
  <c r="I1059" i="4"/>
  <c r="Q1056" i="4"/>
  <c r="P1056" i="4"/>
  <c r="O1056" i="4"/>
  <c r="N1056" i="4"/>
  <c r="M1056" i="4"/>
  <c r="K1056" i="4"/>
  <c r="J1056" i="4"/>
  <c r="I1056" i="4"/>
  <c r="Q1055" i="4"/>
  <c r="P1055" i="4"/>
  <c r="O1055" i="4"/>
  <c r="N1055" i="4"/>
  <c r="M1055" i="4"/>
  <c r="K1055" i="4"/>
  <c r="J1055" i="4"/>
  <c r="I1055" i="4"/>
  <c r="Q1054" i="4"/>
  <c r="P1054" i="4"/>
  <c r="O1054" i="4"/>
  <c r="N1054" i="4"/>
  <c r="M1054" i="4"/>
  <c r="L1054" i="4"/>
  <c r="K1054" i="4"/>
  <c r="I1054" i="4"/>
  <c r="Q1051" i="4"/>
  <c r="P1051" i="4"/>
  <c r="O1051" i="4"/>
  <c r="N1051" i="4"/>
  <c r="M1051" i="4"/>
  <c r="K1051" i="4"/>
  <c r="J1051" i="4"/>
  <c r="I1051" i="4"/>
  <c r="Q1050" i="4"/>
  <c r="P1050" i="4"/>
  <c r="O1050" i="4"/>
  <c r="N1050" i="4"/>
  <c r="M1050" i="4"/>
  <c r="K1050" i="4"/>
  <c r="J1050" i="4"/>
  <c r="I1050" i="4"/>
  <c r="Q1049" i="4"/>
  <c r="P1049" i="4"/>
  <c r="O1049" i="4"/>
  <c r="N1049" i="4"/>
  <c r="M1049" i="4"/>
  <c r="L1049" i="4"/>
  <c r="K1049" i="4"/>
  <c r="I1049" i="4"/>
  <c r="Q1046" i="4"/>
  <c r="P1046" i="4"/>
  <c r="O1046" i="4"/>
  <c r="N1046" i="4"/>
  <c r="M1046" i="4"/>
  <c r="K1046" i="4"/>
  <c r="J1046" i="4"/>
  <c r="I1046" i="4"/>
  <c r="Q1045" i="4"/>
  <c r="P1045" i="4"/>
  <c r="O1045" i="4"/>
  <c r="N1045" i="4"/>
  <c r="M1045" i="4"/>
  <c r="K1045" i="4"/>
  <c r="J1045" i="4"/>
  <c r="I1045" i="4"/>
  <c r="Q1044" i="4"/>
  <c r="P1044" i="4"/>
  <c r="O1044" i="4"/>
  <c r="N1044" i="4"/>
  <c r="M1044" i="4"/>
  <c r="L1044" i="4"/>
  <c r="K1044" i="4"/>
  <c r="I1044" i="4"/>
  <c r="Q1041" i="4"/>
  <c r="P1041" i="4"/>
  <c r="O1041" i="4"/>
  <c r="N1041" i="4"/>
  <c r="M1041" i="4"/>
  <c r="K1041" i="4"/>
  <c r="J1041" i="4"/>
  <c r="I1041" i="4"/>
  <c r="Q1040" i="4"/>
  <c r="P1040" i="4"/>
  <c r="O1040" i="4"/>
  <c r="N1040" i="4"/>
  <c r="M1040" i="4"/>
  <c r="L1040" i="4"/>
  <c r="K1040" i="4"/>
  <c r="I1040" i="4"/>
  <c r="Q1037" i="4"/>
  <c r="P1037" i="4"/>
  <c r="O1037" i="4"/>
  <c r="N1037" i="4"/>
  <c r="M1037" i="4"/>
  <c r="K1037" i="4"/>
  <c r="J1037" i="4"/>
  <c r="I1037" i="4"/>
  <c r="Q1036" i="4"/>
  <c r="P1036" i="4"/>
  <c r="O1036" i="4"/>
  <c r="N1036" i="4"/>
  <c r="M1036" i="4"/>
  <c r="L1036" i="4"/>
  <c r="K1036" i="4"/>
  <c r="I1036" i="4"/>
  <c r="Q1033" i="4"/>
  <c r="P1033" i="4"/>
  <c r="O1033" i="4"/>
  <c r="N1033" i="4"/>
  <c r="M1033" i="4"/>
  <c r="K1033" i="4"/>
  <c r="J1033" i="4"/>
  <c r="I1033" i="4"/>
  <c r="H1033" i="4"/>
  <c r="L1033" i="4" s="1"/>
  <c r="Q1032" i="4"/>
  <c r="P1032" i="4"/>
  <c r="O1032" i="4"/>
  <c r="N1032" i="4"/>
  <c r="M1032" i="4"/>
  <c r="L1032" i="4"/>
  <c r="K1032" i="4"/>
  <c r="I1032" i="4"/>
  <c r="H1032" i="4"/>
  <c r="J1032" i="4" s="1"/>
  <c r="Q1029" i="4"/>
  <c r="P1029" i="4"/>
  <c r="O1029" i="4"/>
  <c r="N1029" i="4"/>
  <c r="M1029" i="4"/>
  <c r="K1029" i="4"/>
  <c r="J1029" i="4"/>
  <c r="I1029" i="4"/>
  <c r="H1029" i="4"/>
  <c r="L1029" i="4" s="1"/>
  <c r="Q1028" i="4"/>
  <c r="P1028" i="4"/>
  <c r="O1028" i="4"/>
  <c r="N1028" i="4"/>
  <c r="M1028" i="4"/>
  <c r="K1028" i="4"/>
  <c r="J1028" i="4"/>
  <c r="I1028" i="4"/>
  <c r="H1028" i="4"/>
  <c r="L1028" i="4" s="1"/>
  <c r="Q1027" i="4"/>
  <c r="P1027" i="4"/>
  <c r="O1027" i="4"/>
  <c r="N1027" i="4"/>
  <c r="M1027" i="4"/>
  <c r="L1027" i="4"/>
  <c r="K1027" i="4"/>
  <c r="I1027" i="4"/>
  <c r="H1027" i="4"/>
  <c r="J1027" i="4" s="1"/>
  <c r="Q1024" i="4"/>
  <c r="P1024" i="4"/>
  <c r="O1024" i="4"/>
  <c r="N1024" i="4"/>
  <c r="M1024" i="4"/>
  <c r="K1024" i="4"/>
  <c r="J1024" i="4"/>
  <c r="I1024" i="4"/>
  <c r="H1024" i="4"/>
  <c r="L1024" i="4" s="1"/>
  <c r="Q1023" i="4"/>
  <c r="P1023" i="4"/>
  <c r="O1023" i="4"/>
  <c r="N1023" i="4"/>
  <c r="M1023" i="4"/>
  <c r="K1023" i="4"/>
  <c r="J1023" i="4"/>
  <c r="I1023" i="4"/>
  <c r="H1023" i="4"/>
  <c r="L1023" i="4" s="1"/>
  <c r="Q1022" i="4"/>
  <c r="P1022" i="4"/>
  <c r="O1022" i="4"/>
  <c r="N1022" i="4"/>
  <c r="M1022" i="4"/>
  <c r="L1022" i="4"/>
  <c r="K1022" i="4"/>
  <c r="I1022" i="4"/>
  <c r="H1022" i="4"/>
  <c r="J1022" i="4" s="1"/>
  <c r="Q1019" i="4"/>
  <c r="P1019" i="4"/>
  <c r="O1019" i="4"/>
  <c r="N1019" i="4"/>
  <c r="M1019" i="4"/>
  <c r="K1019" i="4"/>
  <c r="J1019" i="4"/>
  <c r="I1019" i="4"/>
  <c r="H1019" i="4"/>
  <c r="L1019" i="4" s="1"/>
  <c r="Q1018" i="4"/>
  <c r="P1018" i="4"/>
  <c r="O1018" i="4"/>
  <c r="N1018" i="4"/>
  <c r="M1018" i="4"/>
  <c r="L1018" i="4"/>
  <c r="K1018" i="4"/>
  <c r="I1018" i="4"/>
  <c r="H1018" i="4"/>
  <c r="J1018" i="4" s="1"/>
  <c r="Q1699" i="4"/>
  <c r="P1699" i="4"/>
  <c r="O1699" i="4"/>
  <c r="N1699" i="4"/>
  <c r="M1699" i="4"/>
  <c r="L1699" i="4"/>
  <c r="K1699" i="4"/>
  <c r="J1699" i="4"/>
  <c r="I1699" i="4"/>
  <c r="H1699" i="4"/>
  <c r="Q1698" i="4"/>
  <c r="P1698" i="4"/>
  <c r="O1698" i="4"/>
  <c r="N1698" i="4"/>
  <c r="M1698" i="4"/>
  <c r="L1698" i="4"/>
  <c r="K1698" i="4"/>
  <c r="J1698" i="4"/>
  <c r="I1698" i="4"/>
  <c r="H1698" i="4"/>
  <c r="Q1697" i="4"/>
  <c r="P1697" i="4"/>
  <c r="O1697" i="4"/>
  <c r="N1697" i="4"/>
  <c r="M1697" i="4"/>
  <c r="L1697" i="4"/>
  <c r="K1697" i="4"/>
  <c r="J1697" i="4"/>
  <c r="I1697" i="4"/>
  <c r="H1697" i="4"/>
  <c r="Q1696" i="4"/>
  <c r="P1696" i="4"/>
  <c r="O1696" i="4"/>
  <c r="N1696" i="4"/>
  <c r="M1696" i="4"/>
  <c r="L1696" i="4"/>
  <c r="K1696" i="4"/>
  <c r="J1696" i="4"/>
  <c r="I1696" i="4"/>
  <c r="H1696" i="4"/>
  <c r="Q1695" i="4"/>
  <c r="P1695" i="4"/>
  <c r="O1695" i="4"/>
  <c r="N1695" i="4"/>
  <c r="M1695" i="4"/>
  <c r="L1695" i="4"/>
  <c r="K1695" i="4"/>
  <c r="J1695" i="4"/>
  <c r="I1695" i="4"/>
  <c r="H1695" i="4"/>
  <c r="Q1694" i="4"/>
  <c r="P1694" i="4"/>
  <c r="O1694" i="4"/>
  <c r="N1694" i="4"/>
  <c r="M1694" i="4"/>
  <c r="L1694" i="4"/>
  <c r="K1694" i="4"/>
  <c r="J1694" i="4"/>
  <c r="I1694" i="4"/>
  <c r="H1694" i="4"/>
  <c r="Q1693" i="4"/>
  <c r="P1693" i="4"/>
  <c r="O1693" i="4"/>
  <c r="N1693" i="4"/>
  <c r="M1693" i="4"/>
  <c r="L1693" i="4"/>
  <c r="K1693" i="4"/>
  <c r="J1693" i="4"/>
  <c r="I1693" i="4"/>
  <c r="H1693" i="4"/>
  <c r="Q1692" i="4"/>
  <c r="P1692" i="4"/>
  <c r="O1692" i="4"/>
  <c r="N1692" i="4"/>
  <c r="M1692" i="4"/>
  <c r="L1692" i="4"/>
  <c r="K1692" i="4"/>
  <c r="J1692" i="4"/>
  <c r="I1692" i="4"/>
  <c r="H1692" i="4"/>
  <c r="Q1691" i="4"/>
  <c r="P1691" i="4"/>
  <c r="O1691" i="4"/>
  <c r="N1691" i="4"/>
  <c r="M1691" i="4"/>
  <c r="L1691" i="4"/>
  <c r="K1691" i="4"/>
  <c r="J1691" i="4"/>
  <c r="I1691" i="4"/>
  <c r="H1691" i="4"/>
  <c r="Q1690" i="4"/>
  <c r="P1690" i="4"/>
  <c r="O1690" i="4"/>
  <c r="N1690" i="4"/>
  <c r="M1690" i="4"/>
  <c r="L1690" i="4"/>
  <c r="K1690" i="4"/>
  <c r="J1690" i="4"/>
  <c r="I1690" i="4"/>
  <c r="H1690" i="4"/>
  <c r="Q1687" i="4"/>
  <c r="P1687" i="4"/>
  <c r="O1687" i="4"/>
  <c r="N1687" i="4"/>
  <c r="M1687" i="4"/>
  <c r="L1687" i="4"/>
  <c r="K1687" i="4"/>
  <c r="J1687" i="4"/>
  <c r="I1687" i="4"/>
  <c r="H1687" i="4"/>
  <c r="Q1686" i="4"/>
  <c r="P1686" i="4"/>
  <c r="O1686" i="4"/>
  <c r="N1686" i="4"/>
  <c r="M1686" i="4"/>
  <c r="L1686" i="4"/>
  <c r="K1686" i="4"/>
  <c r="J1686" i="4"/>
  <c r="I1686" i="4"/>
  <c r="H1686" i="4"/>
  <c r="Q1685" i="4"/>
  <c r="P1685" i="4"/>
  <c r="O1685" i="4"/>
  <c r="N1685" i="4"/>
  <c r="M1685" i="4"/>
  <c r="L1685" i="4"/>
  <c r="K1685" i="4"/>
  <c r="J1685" i="4"/>
  <c r="I1685" i="4"/>
  <c r="H1685" i="4"/>
  <c r="Q1684" i="4"/>
  <c r="P1684" i="4"/>
  <c r="O1684" i="4"/>
  <c r="N1684" i="4"/>
  <c r="M1684" i="4"/>
  <c r="L1684" i="4"/>
  <c r="K1684" i="4"/>
  <c r="J1684" i="4"/>
  <c r="I1684" i="4"/>
  <c r="H1684" i="4"/>
  <c r="Q1683" i="4"/>
  <c r="P1683" i="4"/>
  <c r="O1683" i="4"/>
  <c r="N1683" i="4"/>
  <c r="M1683" i="4"/>
  <c r="L1683" i="4"/>
  <c r="K1683" i="4"/>
  <c r="J1683" i="4"/>
  <c r="I1683" i="4"/>
  <c r="H1683" i="4"/>
  <c r="Q1682" i="4"/>
  <c r="P1682" i="4"/>
  <c r="O1682" i="4"/>
  <c r="N1682" i="4"/>
  <c r="M1682" i="4"/>
  <c r="L1682" i="4"/>
  <c r="K1682" i="4"/>
  <c r="J1682" i="4"/>
  <c r="I1682" i="4"/>
  <c r="H1682" i="4"/>
  <c r="Q1681" i="4"/>
  <c r="P1681" i="4"/>
  <c r="O1681" i="4"/>
  <c r="N1681" i="4"/>
  <c r="M1681" i="4"/>
  <c r="L1681" i="4"/>
  <c r="K1681" i="4"/>
  <c r="J1681" i="4"/>
  <c r="I1681" i="4"/>
  <c r="H1681" i="4"/>
  <c r="Q1680" i="4"/>
  <c r="P1680" i="4"/>
  <c r="O1680" i="4"/>
  <c r="N1680" i="4"/>
  <c r="M1680" i="4"/>
  <c r="L1680" i="4"/>
  <c r="K1680" i="4"/>
  <c r="J1680" i="4"/>
  <c r="I1680" i="4"/>
  <c r="H1680" i="4"/>
  <c r="Q1679" i="4"/>
  <c r="P1679" i="4"/>
  <c r="O1679" i="4"/>
  <c r="N1679" i="4"/>
  <c r="M1679" i="4"/>
  <c r="L1679" i="4"/>
  <c r="K1679" i="4"/>
  <c r="J1679" i="4"/>
  <c r="I1679" i="4"/>
  <c r="H1679" i="4"/>
  <c r="Q1678" i="4"/>
  <c r="P1678" i="4"/>
  <c r="O1678" i="4"/>
  <c r="N1678" i="4"/>
  <c r="M1678" i="4"/>
  <c r="L1678" i="4"/>
  <c r="K1678" i="4"/>
  <c r="J1678" i="4"/>
  <c r="I1678" i="4"/>
  <c r="H1678" i="4"/>
  <c r="Q1675" i="4"/>
  <c r="P1675" i="4"/>
  <c r="O1675" i="4"/>
  <c r="N1675" i="4"/>
  <c r="M1675" i="4"/>
  <c r="L1675" i="4"/>
  <c r="K1675" i="4"/>
  <c r="J1675" i="4"/>
  <c r="I1675" i="4"/>
  <c r="H1675" i="4"/>
  <c r="Q1674" i="4"/>
  <c r="P1674" i="4"/>
  <c r="O1674" i="4"/>
  <c r="N1674" i="4"/>
  <c r="M1674" i="4"/>
  <c r="L1674" i="4"/>
  <c r="K1674" i="4"/>
  <c r="J1674" i="4"/>
  <c r="I1674" i="4"/>
  <c r="H1674" i="4"/>
  <c r="Q1673" i="4"/>
  <c r="P1673" i="4"/>
  <c r="O1673" i="4"/>
  <c r="N1673" i="4"/>
  <c r="M1673" i="4"/>
  <c r="L1673" i="4"/>
  <c r="K1673" i="4"/>
  <c r="J1673" i="4"/>
  <c r="I1673" i="4"/>
  <c r="H1673" i="4"/>
  <c r="Q1672" i="4"/>
  <c r="P1672" i="4"/>
  <c r="O1672" i="4"/>
  <c r="N1672" i="4"/>
  <c r="M1672" i="4"/>
  <c r="L1672" i="4"/>
  <c r="K1672" i="4"/>
  <c r="J1672" i="4"/>
  <c r="I1672" i="4"/>
  <c r="H1672" i="4"/>
  <c r="Q1671" i="4"/>
  <c r="P1671" i="4"/>
  <c r="O1671" i="4"/>
  <c r="N1671" i="4"/>
  <c r="M1671" i="4"/>
  <c r="L1671" i="4"/>
  <c r="K1671" i="4"/>
  <c r="J1671" i="4"/>
  <c r="I1671" i="4"/>
  <c r="H1671" i="4"/>
  <c r="Q1670" i="4"/>
  <c r="P1670" i="4"/>
  <c r="O1670" i="4"/>
  <c r="N1670" i="4"/>
  <c r="M1670" i="4"/>
  <c r="L1670" i="4"/>
  <c r="K1670" i="4"/>
  <c r="J1670" i="4"/>
  <c r="I1670" i="4"/>
  <c r="H1670" i="4"/>
  <c r="Q1669" i="4"/>
  <c r="P1669" i="4"/>
  <c r="O1669" i="4"/>
  <c r="N1669" i="4"/>
  <c r="M1669" i="4"/>
  <c r="L1669" i="4"/>
  <c r="K1669" i="4"/>
  <c r="J1669" i="4"/>
  <c r="I1669" i="4"/>
  <c r="H1669" i="4"/>
  <c r="Q1668" i="4"/>
  <c r="P1668" i="4"/>
  <c r="O1668" i="4"/>
  <c r="N1668" i="4"/>
  <c r="M1668" i="4"/>
  <c r="L1668" i="4"/>
  <c r="K1668" i="4"/>
  <c r="J1668" i="4"/>
  <c r="I1668" i="4"/>
  <c r="H1668" i="4"/>
  <c r="Q1667" i="4"/>
  <c r="P1667" i="4"/>
  <c r="O1667" i="4"/>
  <c r="N1667" i="4"/>
  <c r="M1667" i="4"/>
  <c r="L1667" i="4"/>
  <c r="K1667" i="4"/>
  <c r="J1667" i="4"/>
  <c r="I1667" i="4"/>
  <c r="H1667" i="4"/>
  <c r="Q1666" i="4"/>
  <c r="P1666" i="4"/>
  <c r="O1666" i="4"/>
  <c r="N1666" i="4"/>
  <c r="M1666" i="4"/>
  <c r="L1666" i="4"/>
  <c r="K1666" i="4"/>
  <c r="J1666" i="4"/>
  <c r="I1666" i="4"/>
  <c r="H1666" i="4"/>
  <c r="Q1663" i="4"/>
  <c r="P1663" i="4"/>
  <c r="O1663" i="4"/>
  <c r="N1663" i="4"/>
  <c r="M1663" i="4"/>
  <c r="L1663" i="4"/>
  <c r="K1663" i="4"/>
  <c r="J1663" i="4"/>
  <c r="I1663" i="4"/>
  <c r="H1663" i="4"/>
  <c r="Q1662" i="4"/>
  <c r="P1662" i="4"/>
  <c r="O1662" i="4"/>
  <c r="N1662" i="4"/>
  <c r="M1662" i="4"/>
  <c r="L1662" i="4"/>
  <c r="K1662" i="4"/>
  <c r="J1662" i="4"/>
  <c r="I1662" i="4"/>
  <c r="H1662" i="4"/>
  <c r="Q1661" i="4"/>
  <c r="P1661" i="4"/>
  <c r="O1661" i="4"/>
  <c r="N1661" i="4"/>
  <c r="M1661" i="4"/>
  <c r="L1661" i="4"/>
  <c r="K1661" i="4"/>
  <c r="J1661" i="4"/>
  <c r="I1661" i="4"/>
  <c r="H1661" i="4"/>
  <c r="Q1660" i="4"/>
  <c r="P1660" i="4"/>
  <c r="O1660" i="4"/>
  <c r="N1660" i="4"/>
  <c r="M1660" i="4"/>
  <c r="L1660" i="4"/>
  <c r="K1660" i="4"/>
  <c r="J1660" i="4"/>
  <c r="I1660" i="4"/>
  <c r="H1660" i="4"/>
  <c r="Q1659" i="4"/>
  <c r="P1659" i="4"/>
  <c r="O1659" i="4"/>
  <c r="N1659" i="4"/>
  <c r="M1659" i="4"/>
  <c r="L1659" i="4"/>
  <c r="K1659" i="4"/>
  <c r="J1659" i="4"/>
  <c r="I1659" i="4"/>
  <c r="H1659" i="4"/>
  <c r="Q1658" i="4"/>
  <c r="P1658" i="4"/>
  <c r="O1658" i="4"/>
  <c r="N1658" i="4"/>
  <c r="M1658" i="4"/>
  <c r="L1658" i="4"/>
  <c r="K1658" i="4"/>
  <c r="J1658" i="4"/>
  <c r="I1658" i="4"/>
  <c r="H1658" i="4"/>
  <c r="Q1657" i="4"/>
  <c r="P1657" i="4"/>
  <c r="O1657" i="4"/>
  <c r="N1657" i="4"/>
  <c r="M1657" i="4"/>
  <c r="L1657" i="4"/>
  <c r="K1657" i="4"/>
  <c r="J1657" i="4"/>
  <c r="I1657" i="4"/>
  <c r="H1657" i="4"/>
  <c r="Q1656" i="4"/>
  <c r="P1656" i="4"/>
  <c r="O1656" i="4"/>
  <c r="N1656" i="4"/>
  <c r="M1656" i="4"/>
  <c r="L1656" i="4"/>
  <c r="K1656" i="4"/>
  <c r="J1656" i="4"/>
  <c r="I1656" i="4"/>
  <c r="H1656" i="4"/>
  <c r="Q1655" i="4"/>
  <c r="P1655" i="4"/>
  <c r="O1655" i="4"/>
  <c r="N1655" i="4"/>
  <c r="M1655" i="4"/>
  <c r="L1655" i="4"/>
  <c r="K1655" i="4"/>
  <c r="J1655" i="4"/>
  <c r="I1655" i="4"/>
  <c r="H1655" i="4"/>
  <c r="Q1654" i="4"/>
  <c r="P1654" i="4"/>
  <c r="O1654" i="4"/>
  <c r="N1654" i="4"/>
  <c r="M1654" i="4"/>
  <c r="L1654" i="4"/>
  <c r="K1654" i="4"/>
  <c r="J1654" i="4"/>
  <c r="I1654" i="4"/>
  <c r="H1654" i="4"/>
  <c r="Q1651" i="4"/>
  <c r="P1651" i="4"/>
  <c r="O1651" i="4"/>
  <c r="N1651" i="4"/>
  <c r="M1651" i="4"/>
  <c r="L1651" i="4"/>
  <c r="K1651" i="4"/>
  <c r="J1651" i="4"/>
  <c r="I1651" i="4"/>
  <c r="H1651" i="4"/>
  <c r="Q1650" i="4"/>
  <c r="P1650" i="4"/>
  <c r="O1650" i="4"/>
  <c r="N1650" i="4"/>
  <c r="M1650" i="4"/>
  <c r="L1650" i="4"/>
  <c r="K1650" i="4"/>
  <c r="J1650" i="4"/>
  <c r="I1650" i="4"/>
  <c r="H1650" i="4"/>
  <c r="Q1649" i="4"/>
  <c r="P1649" i="4"/>
  <c r="O1649" i="4"/>
  <c r="N1649" i="4"/>
  <c r="M1649" i="4"/>
  <c r="L1649" i="4"/>
  <c r="K1649" i="4"/>
  <c r="J1649" i="4"/>
  <c r="I1649" i="4"/>
  <c r="H1649" i="4"/>
  <c r="Q1648" i="4"/>
  <c r="P1648" i="4"/>
  <c r="O1648" i="4"/>
  <c r="N1648" i="4"/>
  <c r="M1648" i="4"/>
  <c r="L1648" i="4"/>
  <c r="K1648" i="4"/>
  <c r="J1648" i="4"/>
  <c r="I1648" i="4"/>
  <c r="H1648" i="4"/>
  <c r="Q1647" i="4"/>
  <c r="P1647" i="4"/>
  <c r="O1647" i="4"/>
  <c r="N1647" i="4"/>
  <c r="M1647" i="4"/>
  <c r="L1647" i="4"/>
  <c r="K1647" i="4"/>
  <c r="J1647" i="4"/>
  <c r="I1647" i="4"/>
  <c r="H1647" i="4"/>
  <c r="Q1646" i="4"/>
  <c r="P1646" i="4"/>
  <c r="O1646" i="4"/>
  <c r="N1646" i="4"/>
  <c r="M1646" i="4"/>
  <c r="L1646" i="4"/>
  <c r="K1646" i="4"/>
  <c r="J1646" i="4"/>
  <c r="I1646" i="4"/>
  <c r="H1646" i="4"/>
  <c r="Q1645" i="4"/>
  <c r="P1645" i="4"/>
  <c r="O1645" i="4"/>
  <c r="N1645" i="4"/>
  <c r="M1645" i="4"/>
  <c r="L1645" i="4"/>
  <c r="K1645" i="4"/>
  <c r="J1645" i="4"/>
  <c r="I1645" i="4"/>
  <c r="H1645" i="4"/>
  <c r="Q1644" i="4"/>
  <c r="P1644" i="4"/>
  <c r="O1644" i="4"/>
  <c r="N1644" i="4"/>
  <c r="M1644" i="4"/>
  <c r="L1644" i="4"/>
  <c r="K1644" i="4"/>
  <c r="J1644" i="4"/>
  <c r="I1644" i="4"/>
  <c r="H1644" i="4"/>
  <c r="Q1643" i="4"/>
  <c r="P1643" i="4"/>
  <c r="O1643" i="4"/>
  <c r="N1643" i="4"/>
  <c r="M1643" i="4"/>
  <c r="L1643" i="4"/>
  <c r="K1643" i="4"/>
  <c r="J1643" i="4"/>
  <c r="I1643" i="4"/>
  <c r="H1643" i="4"/>
  <c r="Q1642" i="4"/>
  <c r="P1642" i="4"/>
  <c r="O1642" i="4"/>
  <c r="N1642" i="4"/>
  <c r="M1642" i="4"/>
  <c r="L1642" i="4"/>
  <c r="K1642" i="4"/>
  <c r="J1642" i="4"/>
  <c r="I1642" i="4"/>
  <c r="H1642" i="4"/>
  <c r="Q1639" i="4"/>
  <c r="P1639" i="4"/>
  <c r="O1639" i="4"/>
  <c r="N1639" i="4"/>
  <c r="M1639" i="4"/>
  <c r="L1639" i="4"/>
  <c r="K1639" i="4"/>
  <c r="J1639" i="4"/>
  <c r="I1639" i="4"/>
  <c r="H1639" i="4"/>
  <c r="Q1638" i="4"/>
  <c r="P1638" i="4"/>
  <c r="O1638" i="4"/>
  <c r="N1638" i="4"/>
  <c r="M1638" i="4"/>
  <c r="L1638" i="4"/>
  <c r="K1638" i="4"/>
  <c r="J1638" i="4"/>
  <c r="I1638" i="4"/>
  <c r="H1638" i="4"/>
  <c r="Q1637" i="4"/>
  <c r="P1637" i="4"/>
  <c r="O1637" i="4"/>
  <c r="N1637" i="4"/>
  <c r="M1637" i="4"/>
  <c r="L1637" i="4"/>
  <c r="K1637" i="4"/>
  <c r="J1637" i="4"/>
  <c r="I1637" i="4"/>
  <c r="H1637" i="4"/>
  <c r="Q1636" i="4"/>
  <c r="P1636" i="4"/>
  <c r="O1636" i="4"/>
  <c r="N1636" i="4"/>
  <c r="M1636" i="4"/>
  <c r="L1636" i="4"/>
  <c r="K1636" i="4"/>
  <c r="J1636" i="4"/>
  <c r="I1636" i="4"/>
  <c r="H1636" i="4"/>
  <c r="Q1635" i="4"/>
  <c r="P1635" i="4"/>
  <c r="O1635" i="4"/>
  <c r="N1635" i="4"/>
  <c r="M1635" i="4"/>
  <c r="L1635" i="4"/>
  <c r="K1635" i="4"/>
  <c r="J1635" i="4"/>
  <c r="I1635" i="4"/>
  <c r="H1635" i="4"/>
  <c r="Q1634" i="4"/>
  <c r="P1634" i="4"/>
  <c r="O1634" i="4"/>
  <c r="N1634" i="4"/>
  <c r="M1634" i="4"/>
  <c r="L1634" i="4"/>
  <c r="K1634" i="4"/>
  <c r="J1634" i="4"/>
  <c r="I1634" i="4"/>
  <c r="H1634" i="4"/>
  <c r="Q1633" i="4"/>
  <c r="P1633" i="4"/>
  <c r="O1633" i="4"/>
  <c r="N1633" i="4"/>
  <c r="M1633" i="4"/>
  <c r="L1633" i="4"/>
  <c r="K1633" i="4"/>
  <c r="J1633" i="4"/>
  <c r="I1633" i="4"/>
  <c r="H1633" i="4"/>
  <c r="Q1632" i="4"/>
  <c r="P1632" i="4"/>
  <c r="O1632" i="4"/>
  <c r="N1632" i="4"/>
  <c r="M1632" i="4"/>
  <c r="L1632" i="4"/>
  <c r="K1632" i="4"/>
  <c r="J1632" i="4"/>
  <c r="I1632" i="4"/>
  <c r="H1632" i="4"/>
  <c r="Q1631" i="4"/>
  <c r="P1631" i="4"/>
  <c r="O1631" i="4"/>
  <c r="N1631" i="4"/>
  <c r="M1631" i="4"/>
  <c r="L1631" i="4"/>
  <c r="K1631" i="4"/>
  <c r="J1631" i="4"/>
  <c r="I1631" i="4"/>
  <c r="H1631" i="4"/>
  <c r="Q1630" i="4"/>
  <c r="P1630" i="4"/>
  <c r="O1630" i="4"/>
  <c r="N1630" i="4"/>
  <c r="M1630" i="4"/>
  <c r="L1630" i="4"/>
  <c r="K1630" i="4"/>
  <c r="J1630" i="4"/>
  <c r="I1630" i="4"/>
  <c r="H1630" i="4"/>
  <c r="Q1627" i="4"/>
  <c r="P1627" i="4"/>
  <c r="O1627" i="4"/>
  <c r="N1627" i="4"/>
  <c r="M1627" i="4"/>
  <c r="L1627" i="4"/>
  <c r="K1627" i="4"/>
  <c r="J1627" i="4"/>
  <c r="I1627" i="4"/>
  <c r="H1627" i="4"/>
  <c r="Q1626" i="4"/>
  <c r="P1626" i="4"/>
  <c r="O1626" i="4"/>
  <c r="N1626" i="4"/>
  <c r="M1626" i="4"/>
  <c r="L1626" i="4"/>
  <c r="K1626" i="4"/>
  <c r="J1626" i="4"/>
  <c r="I1626" i="4"/>
  <c r="H1626" i="4"/>
  <c r="Q1625" i="4"/>
  <c r="P1625" i="4"/>
  <c r="O1625" i="4"/>
  <c r="N1625" i="4"/>
  <c r="M1625" i="4"/>
  <c r="L1625" i="4"/>
  <c r="K1625" i="4"/>
  <c r="J1625" i="4"/>
  <c r="I1625" i="4"/>
  <c r="H1625" i="4"/>
  <c r="Q1624" i="4"/>
  <c r="P1624" i="4"/>
  <c r="O1624" i="4"/>
  <c r="N1624" i="4"/>
  <c r="M1624" i="4"/>
  <c r="L1624" i="4"/>
  <c r="K1624" i="4"/>
  <c r="J1624" i="4"/>
  <c r="I1624" i="4"/>
  <c r="H1624" i="4"/>
  <c r="Q1623" i="4"/>
  <c r="P1623" i="4"/>
  <c r="O1623" i="4"/>
  <c r="N1623" i="4"/>
  <c r="M1623" i="4"/>
  <c r="L1623" i="4"/>
  <c r="K1623" i="4"/>
  <c r="J1623" i="4"/>
  <c r="I1623" i="4"/>
  <c r="H1623" i="4"/>
  <c r="Q1622" i="4"/>
  <c r="P1622" i="4"/>
  <c r="O1622" i="4"/>
  <c r="N1622" i="4"/>
  <c r="M1622" i="4"/>
  <c r="L1622" i="4"/>
  <c r="K1622" i="4"/>
  <c r="J1622" i="4"/>
  <c r="I1622" i="4"/>
  <c r="H1622" i="4"/>
  <c r="Q1621" i="4"/>
  <c r="P1621" i="4"/>
  <c r="O1621" i="4"/>
  <c r="N1621" i="4"/>
  <c r="M1621" i="4"/>
  <c r="L1621" i="4"/>
  <c r="K1621" i="4"/>
  <c r="J1621" i="4"/>
  <c r="I1621" i="4"/>
  <c r="H1621" i="4"/>
  <c r="Q1620" i="4"/>
  <c r="P1620" i="4"/>
  <c r="O1620" i="4"/>
  <c r="N1620" i="4"/>
  <c r="M1620" i="4"/>
  <c r="L1620" i="4"/>
  <c r="K1620" i="4"/>
  <c r="J1620" i="4"/>
  <c r="I1620" i="4"/>
  <c r="H1620" i="4"/>
  <c r="Q1619" i="4"/>
  <c r="P1619" i="4"/>
  <c r="O1619" i="4"/>
  <c r="N1619" i="4"/>
  <c r="M1619" i="4"/>
  <c r="L1619" i="4"/>
  <c r="K1619" i="4"/>
  <c r="J1619" i="4"/>
  <c r="I1619" i="4"/>
  <c r="H1619" i="4"/>
  <c r="Q1618" i="4"/>
  <c r="P1618" i="4"/>
  <c r="O1618" i="4"/>
  <c r="N1618" i="4"/>
  <c r="M1618" i="4"/>
  <c r="L1618" i="4"/>
  <c r="K1618" i="4"/>
  <c r="J1618" i="4"/>
  <c r="I1618" i="4"/>
  <c r="H1618" i="4"/>
  <c r="Q1615" i="4"/>
  <c r="P1615" i="4"/>
  <c r="O1615" i="4"/>
  <c r="N1615" i="4"/>
  <c r="M1615" i="4"/>
  <c r="L1615" i="4"/>
  <c r="K1615" i="4"/>
  <c r="J1615" i="4"/>
  <c r="I1615" i="4"/>
  <c r="H1615" i="4"/>
  <c r="Q1614" i="4"/>
  <c r="P1614" i="4"/>
  <c r="O1614" i="4"/>
  <c r="N1614" i="4"/>
  <c r="M1614" i="4"/>
  <c r="L1614" i="4"/>
  <c r="K1614" i="4"/>
  <c r="J1614" i="4"/>
  <c r="I1614" i="4"/>
  <c r="H1614" i="4"/>
  <c r="Q1613" i="4"/>
  <c r="P1613" i="4"/>
  <c r="O1613" i="4"/>
  <c r="N1613" i="4"/>
  <c r="M1613" i="4"/>
  <c r="L1613" i="4"/>
  <c r="K1613" i="4"/>
  <c r="J1613" i="4"/>
  <c r="I1613" i="4"/>
  <c r="H1613" i="4"/>
  <c r="Q1612" i="4"/>
  <c r="P1612" i="4"/>
  <c r="O1612" i="4"/>
  <c r="N1612" i="4"/>
  <c r="M1612" i="4"/>
  <c r="L1612" i="4"/>
  <c r="K1612" i="4"/>
  <c r="J1612" i="4"/>
  <c r="I1612" i="4"/>
  <c r="H1612" i="4"/>
  <c r="Q1611" i="4"/>
  <c r="P1611" i="4"/>
  <c r="O1611" i="4"/>
  <c r="N1611" i="4"/>
  <c r="M1611" i="4"/>
  <c r="L1611" i="4"/>
  <c r="K1611" i="4"/>
  <c r="J1611" i="4"/>
  <c r="I1611" i="4"/>
  <c r="H1611" i="4"/>
  <c r="Q1610" i="4"/>
  <c r="P1610" i="4"/>
  <c r="O1610" i="4"/>
  <c r="N1610" i="4"/>
  <c r="M1610" i="4"/>
  <c r="L1610" i="4"/>
  <c r="K1610" i="4"/>
  <c r="J1610" i="4"/>
  <c r="I1610" i="4"/>
  <c r="H1610" i="4"/>
  <c r="Q1609" i="4"/>
  <c r="P1609" i="4"/>
  <c r="O1609" i="4"/>
  <c r="N1609" i="4"/>
  <c r="M1609" i="4"/>
  <c r="L1609" i="4"/>
  <c r="K1609" i="4"/>
  <c r="J1609" i="4"/>
  <c r="I1609" i="4"/>
  <c r="H1609" i="4"/>
  <c r="Q1608" i="4"/>
  <c r="P1608" i="4"/>
  <c r="O1608" i="4"/>
  <c r="N1608" i="4"/>
  <c r="M1608" i="4"/>
  <c r="L1608" i="4"/>
  <c r="K1608" i="4"/>
  <c r="J1608" i="4"/>
  <c r="I1608" i="4"/>
  <c r="H1608" i="4"/>
  <c r="Q1607" i="4"/>
  <c r="P1607" i="4"/>
  <c r="O1607" i="4"/>
  <c r="N1607" i="4"/>
  <c r="M1607" i="4"/>
  <c r="L1607" i="4"/>
  <c r="K1607" i="4"/>
  <c r="J1607" i="4"/>
  <c r="I1607" i="4"/>
  <c r="H1607" i="4"/>
  <c r="Q1606" i="4"/>
  <c r="P1606" i="4"/>
  <c r="O1606" i="4"/>
  <c r="N1606" i="4"/>
  <c r="M1606" i="4"/>
  <c r="L1606" i="4"/>
  <c r="K1606" i="4"/>
  <c r="J1606" i="4"/>
  <c r="I1606" i="4"/>
  <c r="H1606" i="4"/>
  <c r="Q1603" i="4"/>
  <c r="P1603" i="4"/>
  <c r="O1603" i="4"/>
  <c r="N1603" i="4"/>
  <c r="M1603" i="4"/>
  <c r="L1603" i="4"/>
  <c r="K1603" i="4"/>
  <c r="J1603" i="4"/>
  <c r="I1603" i="4"/>
  <c r="H1603" i="4"/>
  <c r="Q1602" i="4"/>
  <c r="P1602" i="4"/>
  <c r="O1602" i="4"/>
  <c r="N1602" i="4"/>
  <c r="M1602" i="4"/>
  <c r="L1602" i="4"/>
  <c r="K1602" i="4"/>
  <c r="J1602" i="4"/>
  <c r="I1602" i="4"/>
  <c r="H1602" i="4"/>
  <c r="Q1601" i="4"/>
  <c r="P1601" i="4"/>
  <c r="O1601" i="4"/>
  <c r="N1601" i="4"/>
  <c r="M1601" i="4"/>
  <c r="L1601" i="4"/>
  <c r="K1601" i="4"/>
  <c r="J1601" i="4"/>
  <c r="I1601" i="4"/>
  <c r="H1601" i="4"/>
  <c r="Q1600" i="4"/>
  <c r="P1600" i="4"/>
  <c r="O1600" i="4"/>
  <c r="N1600" i="4"/>
  <c r="M1600" i="4"/>
  <c r="L1600" i="4"/>
  <c r="K1600" i="4"/>
  <c r="J1600" i="4"/>
  <c r="I1600" i="4"/>
  <c r="H1600" i="4"/>
  <c r="Q1599" i="4"/>
  <c r="P1599" i="4"/>
  <c r="O1599" i="4"/>
  <c r="N1599" i="4"/>
  <c r="M1599" i="4"/>
  <c r="L1599" i="4"/>
  <c r="K1599" i="4"/>
  <c r="J1599" i="4"/>
  <c r="I1599" i="4"/>
  <c r="H1599" i="4"/>
  <c r="Q1598" i="4"/>
  <c r="P1598" i="4"/>
  <c r="O1598" i="4"/>
  <c r="N1598" i="4"/>
  <c r="M1598" i="4"/>
  <c r="L1598" i="4"/>
  <c r="K1598" i="4"/>
  <c r="J1598" i="4"/>
  <c r="I1598" i="4"/>
  <c r="H1598" i="4"/>
  <c r="Q1597" i="4"/>
  <c r="P1597" i="4"/>
  <c r="O1597" i="4"/>
  <c r="N1597" i="4"/>
  <c r="M1597" i="4"/>
  <c r="L1597" i="4"/>
  <c r="K1597" i="4"/>
  <c r="J1597" i="4"/>
  <c r="I1597" i="4"/>
  <c r="H1597" i="4"/>
  <c r="Q1596" i="4"/>
  <c r="P1596" i="4"/>
  <c r="O1596" i="4"/>
  <c r="N1596" i="4"/>
  <c r="M1596" i="4"/>
  <c r="L1596" i="4"/>
  <c r="K1596" i="4"/>
  <c r="J1596" i="4"/>
  <c r="I1596" i="4"/>
  <c r="H1596" i="4"/>
  <c r="Q1595" i="4"/>
  <c r="P1595" i="4"/>
  <c r="O1595" i="4"/>
  <c r="N1595" i="4"/>
  <c r="M1595" i="4"/>
  <c r="L1595" i="4"/>
  <c r="K1595" i="4"/>
  <c r="J1595" i="4"/>
  <c r="I1595" i="4"/>
  <c r="H1595" i="4"/>
  <c r="Q1594" i="4"/>
  <c r="P1594" i="4"/>
  <c r="O1594" i="4"/>
  <c r="N1594" i="4"/>
  <c r="M1594" i="4"/>
  <c r="L1594" i="4"/>
  <c r="K1594" i="4"/>
  <c r="J1594" i="4"/>
  <c r="I1594" i="4"/>
  <c r="H1594" i="4"/>
  <c r="Q1591" i="4"/>
  <c r="P1591" i="4"/>
  <c r="O1591" i="4"/>
  <c r="N1591" i="4"/>
  <c r="M1591" i="4"/>
  <c r="L1591" i="4"/>
  <c r="K1591" i="4"/>
  <c r="J1591" i="4"/>
  <c r="I1591" i="4"/>
  <c r="H1591" i="4"/>
  <c r="Q1590" i="4"/>
  <c r="P1590" i="4"/>
  <c r="O1590" i="4"/>
  <c r="N1590" i="4"/>
  <c r="M1590" i="4"/>
  <c r="L1590" i="4"/>
  <c r="K1590" i="4"/>
  <c r="J1590" i="4"/>
  <c r="I1590" i="4"/>
  <c r="H1590" i="4"/>
  <c r="Q1589" i="4"/>
  <c r="P1589" i="4"/>
  <c r="O1589" i="4"/>
  <c r="N1589" i="4"/>
  <c r="M1589" i="4"/>
  <c r="L1589" i="4"/>
  <c r="K1589" i="4"/>
  <c r="J1589" i="4"/>
  <c r="I1589" i="4"/>
  <c r="H1589" i="4"/>
  <c r="Q1588" i="4"/>
  <c r="P1588" i="4"/>
  <c r="O1588" i="4"/>
  <c r="N1588" i="4"/>
  <c r="M1588" i="4"/>
  <c r="L1588" i="4"/>
  <c r="K1588" i="4"/>
  <c r="J1588" i="4"/>
  <c r="I1588" i="4"/>
  <c r="H1588" i="4"/>
  <c r="Q1587" i="4"/>
  <c r="P1587" i="4"/>
  <c r="O1587" i="4"/>
  <c r="N1587" i="4"/>
  <c r="M1587" i="4"/>
  <c r="L1587" i="4"/>
  <c r="K1587" i="4"/>
  <c r="J1587" i="4"/>
  <c r="I1587" i="4"/>
  <c r="H1587" i="4"/>
  <c r="Q1586" i="4"/>
  <c r="P1586" i="4"/>
  <c r="O1586" i="4"/>
  <c r="N1586" i="4"/>
  <c r="M1586" i="4"/>
  <c r="L1586" i="4"/>
  <c r="K1586" i="4"/>
  <c r="J1586" i="4"/>
  <c r="I1586" i="4"/>
  <c r="H1586" i="4"/>
  <c r="Q1585" i="4"/>
  <c r="P1585" i="4"/>
  <c r="O1585" i="4"/>
  <c r="N1585" i="4"/>
  <c r="M1585" i="4"/>
  <c r="L1585" i="4"/>
  <c r="K1585" i="4"/>
  <c r="J1585" i="4"/>
  <c r="I1585" i="4"/>
  <c r="H1585" i="4"/>
  <c r="Q1584" i="4"/>
  <c r="P1584" i="4"/>
  <c r="O1584" i="4"/>
  <c r="N1584" i="4"/>
  <c r="M1584" i="4"/>
  <c r="L1584" i="4"/>
  <c r="K1584" i="4"/>
  <c r="J1584" i="4"/>
  <c r="I1584" i="4"/>
  <c r="H1584" i="4"/>
  <c r="Q1583" i="4"/>
  <c r="P1583" i="4"/>
  <c r="O1583" i="4"/>
  <c r="N1583" i="4"/>
  <c r="M1583" i="4"/>
  <c r="L1583" i="4"/>
  <c r="K1583" i="4"/>
  <c r="J1583" i="4"/>
  <c r="I1583" i="4"/>
  <c r="H1583" i="4"/>
  <c r="Q1582" i="4"/>
  <c r="P1582" i="4"/>
  <c r="O1582" i="4"/>
  <c r="N1582" i="4"/>
  <c r="M1582" i="4"/>
  <c r="L1582" i="4"/>
  <c r="K1582" i="4"/>
  <c r="J1582" i="4"/>
  <c r="I1582" i="4"/>
  <c r="H1582" i="4"/>
  <c r="Q1579" i="4"/>
  <c r="P1579" i="4"/>
  <c r="O1579" i="4"/>
  <c r="N1579" i="4"/>
  <c r="M1579" i="4"/>
  <c r="L1579" i="4"/>
  <c r="K1579" i="4"/>
  <c r="J1579" i="4"/>
  <c r="I1579" i="4"/>
  <c r="H1579" i="4"/>
  <c r="Q1578" i="4"/>
  <c r="P1578" i="4"/>
  <c r="O1578" i="4"/>
  <c r="N1578" i="4"/>
  <c r="M1578" i="4"/>
  <c r="L1578" i="4"/>
  <c r="K1578" i="4"/>
  <c r="J1578" i="4"/>
  <c r="I1578" i="4"/>
  <c r="H1578" i="4"/>
  <c r="Q1577" i="4"/>
  <c r="P1577" i="4"/>
  <c r="O1577" i="4"/>
  <c r="N1577" i="4"/>
  <c r="M1577" i="4"/>
  <c r="L1577" i="4"/>
  <c r="K1577" i="4"/>
  <c r="J1577" i="4"/>
  <c r="I1577" i="4"/>
  <c r="H1577" i="4"/>
  <c r="Q1576" i="4"/>
  <c r="P1576" i="4"/>
  <c r="O1576" i="4"/>
  <c r="N1576" i="4"/>
  <c r="M1576" i="4"/>
  <c r="L1576" i="4"/>
  <c r="K1576" i="4"/>
  <c r="J1576" i="4"/>
  <c r="I1576" i="4"/>
  <c r="H1576" i="4"/>
  <c r="Q1575" i="4"/>
  <c r="P1575" i="4"/>
  <c r="O1575" i="4"/>
  <c r="N1575" i="4"/>
  <c r="M1575" i="4"/>
  <c r="L1575" i="4"/>
  <c r="K1575" i="4"/>
  <c r="J1575" i="4"/>
  <c r="I1575" i="4"/>
  <c r="H1575" i="4"/>
  <c r="Q1574" i="4"/>
  <c r="P1574" i="4"/>
  <c r="O1574" i="4"/>
  <c r="N1574" i="4"/>
  <c r="M1574" i="4"/>
  <c r="L1574" i="4"/>
  <c r="K1574" i="4"/>
  <c r="J1574" i="4"/>
  <c r="I1574" i="4"/>
  <c r="H1574" i="4"/>
  <c r="Q1573" i="4"/>
  <c r="P1573" i="4"/>
  <c r="O1573" i="4"/>
  <c r="N1573" i="4"/>
  <c r="M1573" i="4"/>
  <c r="L1573" i="4"/>
  <c r="K1573" i="4"/>
  <c r="J1573" i="4"/>
  <c r="I1573" i="4"/>
  <c r="H1573" i="4"/>
  <c r="Q1572" i="4"/>
  <c r="P1572" i="4"/>
  <c r="O1572" i="4"/>
  <c r="N1572" i="4"/>
  <c r="M1572" i="4"/>
  <c r="L1572" i="4"/>
  <c r="K1572" i="4"/>
  <c r="J1572" i="4"/>
  <c r="I1572" i="4"/>
  <c r="H1572" i="4"/>
  <c r="Q1571" i="4"/>
  <c r="P1571" i="4"/>
  <c r="O1571" i="4"/>
  <c r="N1571" i="4"/>
  <c r="M1571" i="4"/>
  <c r="L1571" i="4"/>
  <c r="K1571" i="4"/>
  <c r="J1571" i="4"/>
  <c r="I1571" i="4"/>
  <c r="H1571" i="4"/>
  <c r="Q1570" i="4"/>
  <c r="P1570" i="4"/>
  <c r="O1570" i="4"/>
  <c r="N1570" i="4"/>
  <c r="M1570" i="4"/>
  <c r="L1570" i="4"/>
  <c r="K1570" i="4"/>
  <c r="J1570" i="4"/>
  <c r="I1570" i="4"/>
  <c r="H1570" i="4"/>
  <c r="Q1567" i="4"/>
  <c r="P1567" i="4"/>
  <c r="O1567" i="4"/>
  <c r="N1567" i="4"/>
  <c r="M1567" i="4"/>
  <c r="L1567" i="4"/>
  <c r="K1567" i="4"/>
  <c r="J1567" i="4"/>
  <c r="I1567" i="4"/>
  <c r="H1567" i="4"/>
  <c r="Q1566" i="4"/>
  <c r="P1566" i="4"/>
  <c r="O1566" i="4"/>
  <c r="N1566" i="4"/>
  <c r="M1566" i="4"/>
  <c r="L1566" i="4"/>
  <c r="K1566" i="4"/>
  <c r="J1566" i="4"/>
  <c r="I1566" i="4"/>
  <c r="H1566" i="4"/>
  <c r="Q1565" i="4"/>
  <c r="P1565" i="4"/>
  <c r="O1565" i="4"/>
  <c r="N1565" i="4"/>
  <c r="M1565" i="4"/>
  <c r="L1565" i="4"/>
  <c r="K1565" i="4"/>
  <c r="J1565" i="4"/>
  <c r="I1565" i="4"/>
  <c r="H1565" i="4"/>
  <c r="Q1564" i="4"/>
  <c r="P1564" i="4"/>
  <c r="O1564" i="4"/>
  <c r="N1564" i="4"/>
  <c r="M1564" i="4"/>
  <c r="L1564" i="4"/>
  <c r="K1564" i="4"/>
  <c r="J1564" i="4"/>
  <c r="I1564" i="4"/>
  <c r="H1564" i="4"/>
  <c r="Q1563" i="4"/>
  <c r="P1563" i="4"/>
  <c r="O1563" i="4"/>
  <c r="N1563" i="4"/>
  <c r="M1563" i="4"/>
  <c r="L1563" i="4"/>
  <c r="K1563" i="4"/>
  <c r="J1563" i="4"/>
  <c r="I1563" i="4"/>
  <c r="H1563" i="4"/>
  <c r="Q1562" i="4"/>
  <c r="P1562" i="4"/>
  <c r="O1562" i="4"/>
  <c r="N1562" i="4"/>
  <c r="M1562" i="4"/>
  <c r="L1562" i="4"/>
  <c r="K1562" i="4"/>
  <c r="J1562" i="4"/>
  <c r="I1562" i="4"/>
  <c r="H1562" i="4"/>
  <c r="Q1561" i="4"/>
  <c r="P1561" i="4"/>
  <c r="O1561" i="4"/>
  <c r="N1561" i="4"/>
  <c r="M1561" i="4"/>
  <c r="L1561" i="4"/>
  <c r="K1561" i="4"/>
  <c r="J1561" i="4"/>
  <c r="I1561" i="4"/>
  <c r="H1561" i="4"/>
  <c r="Q1560" i="4"/>
  <c r="P1560" i="4"/>
  <c r="O1560" i="4"/>
  <c r="N1560" i="4"/>
  <c r="M1560" i="4"/>
  <c r="L1560" i="4"/>
  <c r="K1560" i="4"/>
  <c r="J1560" i="4"/>
  <c r="I1560" i="4"/>
  <c r="H1560" i="4"/>
  <c r="Q1559" i="4"/>
  <c r="P1559" i="4"/>
  <c r="O1559" i="4"/>
  <c r="N1559" i="4"/>
  <c r="M1559" i="4"/>
  <c r="L1559" i="4"/>
  <c r="K1559" i="4"/>
  <c r="J1559" i="4"/>
  <c r="I1559" i="4"/>
  <c r="H1559" i="4"/>
  <c r="Q1558" i="4"/>
  <c r="P1558" i="4"/>
  <c r="O1558" i="4"/>
  <c r="N1558" i="4"/>
  <c r="M1558" i="4"/>
  <c r="L1558" i="4"/>
  <c r="K1558" i="4"/>
  <c r="J1558" i="4"/>
  <c r="I1558" i="4"/>
  <c r="H1558" i="4"/>
  <c r="Q1555" i="4"/>
  <c r="P1555" i="4"/>
  <c r="O1555" i="4"/>
  <c r="N1555" i="4"/>
  <c r="M1555" i="4"/>
  <c r="L1555" i="4"/>
  <c r="K1555" i="4"/>
  <c r="J1555" i="4"/>
  <c r="I1555" i="4"/>
  <c r="H1555" i="4"/>
  <c r="Q1554" i="4"/>
  <c r="P1554" i="4"/>
  <c r="O1554" i="4"/>
  <c r="N1554" i="4"/>
  <c r="M1554" i="4"/>
  <c r="L1554" i="4"/>
  <c r="K1554" i="4"/>
  <c r="J1554" i="4"/>
  <c r="I1554" i="4"/>
  <c r="H1554" i="4"/>
  <c r="Q1553" i="4"/>
  <c r="P1553" i="4"/>
  <c r="O1553" i="4"/>
  <c r="N1553" i="4"/>
  <c r="M1553" i="4"/>
  <c r="L1553" i="4"/>
  <c r="K1553" i="4"/>
  <c r="J1553" i="4"/>
  <c r="I1553" i="4"/>
  <c r="H1553" i="4"/>
  <c r="Q1552" i="4"/>
  <c r="P1552" i="4"/>
  <c r="O1552" i="4"/>
  <c r="N1552" i="4"/>
  <c r="M1552" i="4"/>
  <c r="L1552" i="4"/>
  <c r="K1552" i="4"/>
  <c r="J1552" i="4"/>
  <c r="I1552" i="4"/>
  <c r="H1552" i="4"/>
  <c r="Q1551" i="4"/>
  <c r="P1551" i="4"/>
  <c r="O1551" i="4"/>
  <c r="N1551" i="4"/>
  <c r="M1551" i="4"/>
  <c r="L1551" i="4"/>
  <c r="K1551" i="4"/>
  <c r="J1551" i="4"/>
  <c r="I1551" i="4"/>
  <c r="H1551" i="4"/>
  <c r="Q1550" i="4"/>
  <c r="P1550" i="4"/>
  <c r="O1550" i="4"/>
  <c r="N1550" i="4"/>
  <c r="M1550" i="4"/>
  <c r="L1550" i="4"/>
  <c r="K1550" i="4"/>
  <c r="J1550" i="4"/>
  <c r="I1550" i="4"/>
  <c r="H1550" i="4"/>
  <c r="Q1549" i="4"/>
  <c r="P1549" i="4"/>
  <c r="O1549" i="4"/>
  <c r="N1549" i="4"/>
  <c r="M1549" i="4"/>
  <c r="L1549" i="4"/>
  <c r="K1549" i="4"/>
  <c r="J1549" i="4"/>
  <c r="I1549" i="4"/>
  <c r="H1549" i="4"/>
  <c r="Q1548" i="4"/>
  <c r="P1548" i="4"/>
  <c r="O1548" i="4"/>
  <c r="N1548" i="4"/>
  <c r="M1548" i="4"/>
  <c r="L1548" i="4"/>
  <c r="K1548" i="4"/>
  <c r="J1548" i="4"/>
  <c r="I1548" i="4"/>
  <c r="H1548" i="4"/>
  <c r="Q1547" i="4"/>
  <c r="P1547" i="4"/>
  <c r="O1547" i="4"/>
  <c r="N1547" i="4"/>
  <c r="M1547" i="4"/>
  <c r="L1547" i="4"/>
  <c r="K1547" i="4"/>
  <c r="J1547" i="4"/>
  <c r="I1547" i="4"/>
  <c r="H1547" i="4"/>
  <c r="Q1546" i="4"/>
  <c r="P1546" i="4"/>
  <c r="O1546" i="4"/>
  <c r="N1546" i="4"/>
  <c r="M1546" i="4"/>
  <c r="L1546" i="4"/>
  <c r="K1546" i="4"/>
  <c r="J1546" i="4"/>
  <c r="I1546" i="4"/>
  <c r="H1546" i="4"/>
  <c r="Q1543" i="4"/>
  <c r="P1543" i="4"/>
  <c r="O1543" i="4"/>
  <c r="N1543" i="4"/>
  <c r="M1543" i="4"/>
  <c r="L1543" i="4"/>
  <c r="K1543" i="4"/>
  <c r="J1543" i="4"/>
  <c r="I1543" i="4"/>
  <c r="H1543" i="4"/>
  <c r="Q1542" i="4"/>
  <c r="P1542" i="4"/>
  <c r="O1542" i="4"/>
  <c r="N1542" i="4"/>
  <c r="M1542" i="4"/>
  <c r="L1542" i="4"/>
  <c r="K1542" i="4"/>
  <c r="J1542" i="4"/>
  <c r="I1542" i="4"/>
  <c r="H1542" i="4"/>
  <c r="Q1541" i="4"/>
  <c r="P1541" i="4"/>
  <c r="O1541" i="4"/>
  <c r="N1541" i="4"/>
  <c r="M1541" i="4"/>
  <c r="L1541" i="4"/>
  <c r="K1541" i="4"/>
  <c r="J1541" i="4"/>
  <c r="I1541" i="4"/>
  <c r="H1541" i="4"/>
  <c r="Q1540" i="4"/>
  <c r="P1540" i="4"/>
  <c r="O1540" i="4"/>
  <c r="N1540" i="4"/>
  <c r="M1540" i="4"/>
  <c r="L1540" i="4"/>
  <c r="K1540" i="4"/>
  <c r="J1540" i="4"/>
  <c r="I1540" i="4"/>
  <c r="H1540" i="4"/>
  <c r="Q1539" i="4"/>
  <c r="P1539" i="4"/>
  <c r="O1539" i="4"/>
  <c r="N1539" i="4"/>
  <c r="M1539" i="4"/>
  <c r="L1539" i="4"/>
  <c r="K1539" i="4"/>
  <c r="J1539" i="4"/>
  <c r="I1539" i="4"/>
  <c r="H1539" i="4"/>
  <c r="Q1538" i="4"/>
  <c r="P1538" i="4"/>
  <c r="O1538" i="4"/>
  <c r="N1538" i="4"/>
  <c r="M1538" i="4"/>
  <c r="L1538" i="4"/>
  <c r="K1538" i="4"/>
  <c r="J1538" i="4"/>
  <c r="I1538" i="4"/>
  <c r="H1538" i="4"/>
  <c r="Q1537" i="4"/>
  <c r="P1537" i="4"/>
  <c r="O1537" i="4"/>
  <c r="N1537" i="4"/>
  <c r="M1537" i="4"/>
  <c r="L1537" i="4"/>
  <c r="K1537" i="4"/>
  <c r="J1537" i="4"/>
  <c r="I1537" i="4"/>
  <c r="H1537" i="4"/>
  <c r="Q1536" i="4"/>
  <c r="P1536" i="4"/>
  <c r="O1536" i="4"/>
  <c r="N1536" i="4"/>
  <c r="M1536" i="4"/>
  <c r="L1536" i="4"/>
  <c r="K1536" i="4"/>
  <c r="J1536" i="4"/>
  <c r="I1536" i="4"/>
  <c r="H1536" i="4"/>
  <c r="Q1535" i="4"/>
  <c r="P1535" i="4"/>
  <c r="O1535" i="4"/>
  <c r="N1535" i="4"/>
  <c r="M1535" i="4"/>
  <c r="L1535" i="4"/>
  <c r="K1535" i="4"/>
  <c r="J1535" i="4"/>
  <c r="I1535" i="4"/>
  <c r="H1535" i="4"/>
  <c r="Q1534" i="4"/>
  <c r="P1534" i="4"/>
  <c r="O1534" i="4"/>
  <c r="N1534" i="4"/>
  <c r="M1534" i="4"/>
  <c r="L1534" i="4"/>
  <c r="K1534" i="4"/>
  <c r="J1534" i="4"/>
  <c r="I1534" i="4"/>
  <c r="H1534" i="4"/>
  <c r="Q1531" i="4"/>
  <c r="P1531" i="4"/>
  <c r="O1531" i="4"/>
  <c r="N1531" i="4"/>
  <c r="M1531" i="4"/>
  <c r="L1531" i="4"/>
  <c r="K1531" i="4"/>
  <c r="J1531" i="4"/>
  <c r="I1531" i="4"/>
  <c r="H1531" i="4"/>
  <c r="Q1530" i="4"/>
  <c r="P1530" i="4"/>
  <c r="O1530" i="4"/>
  <c r="N1530" i="4"/>
  <c r="M1530" i="4"/>
  <c r="L1530" i="4"/>
  <c r="K1530" i="4"/>
  <c r="J1530" i="4"/>
  <c r="I1530" i="4"/>
  <c r="H1530" i="4"/>
  <c r="Q1529" i="4"/>
  <c r="P1529" i="4"/>
  <c r="O1529" i="4"/>
  <c r="N1529" i="4"/>
  <c r="M1529" i="4"/>
  <c r="L1529" i="4"/>
  <c r="K1529" i="4"/>
  <c r="J1529" i="4"/>
  <c r="I1529" i="4"/>
  <c r="H1529" i="4"/>
  <c r="Q1528" i="4"/>
  <c r="P1528" i="4"/>
  <c r="O1528" i="4"/>
  <c r="N1528" i="4"/>
  <c r="M1528" i="4"/>
  <c r="L1528" i="4"/>
  <c r="K1528" i="4"/>
  <c r="J1528" i="4"/>
  <c r="I1528" i="4"/>
  <c r="H1528" i="4"/>
  <c r="Q1527" i="4"/>
  <c r="P1527" i="4"/>
  <c r="O1527" i="4"/>
  <c r="N1527" i="4"/>
  <c r="M1527" i="4"/>
  <c r="L1527" i="4"/>
  <c r="K1527" i="4"/>
  <c r="J1527" i="4"/>
  <c r="I1527" i="4"/>
  <c r="H1527" i="4"/>
  <c r="Q1526" i="4"/>
  <c r="P1526" i="4"/>
  <c r="O1526" i="4"/>
  <c r="N1526" i="4"/>
  <c r="M1526" i="4"/>
  <c r="L1526" i="4"/>
  <c r="K1526" i="4"/>
  <c r="J1526" i="4"/>
  <c r="I1526" i="4"/>
  <c r="H1526" i="4"/>
  <c r="Q1525" i="4"/>
  <c r="P1525" i="4"/>
  <c r="O1525" i="4"/>
  <c r="N1525" i="4"/>
  <c r="M1525" i="4"/>
  <c r="L1525" i="4"/>
  <c r="K1525" i="4"/>
  <c r="J1525" i="4"/>
  <c r="I1525" i="4"/>
  <c r="H1525" i="4"/>
  <c r="Q1524" i="4"/>
  <c r="P1524" i="4"/>
  <c r="O1524" i="4"/>
  <c r="N1524" i="4"/>
  <c r="M1524" i="4"/>
  <c r="L1524" i="4"/>
  <c r="K1524" i="4"/>
  <c r="J1524" i="4"/>
  <c r="I1524" i="4"/>
  <c r="H1524" i="4"/>
  <c r="Q1523" i="4"/>
  <c r="P1523" i="4"/>
  <c r="O1523" i="4"/>
  <c r="N1523" i="4"/>
  <c r="M1523" i="4"/>
  <c r="L1523" i="4"/>
  <c r="K1523" i="4"/>
  <c r="J1523" i="4"/>
  <c r="I1523" i="4"/>
  <c r="H1523" i="4"/>
  <c r="Q1522" i="4"/>
  <c r="P1522" i="4"/>
  <c r="O1522" i="4"/>
  <c r="N1522" i="4"/>
  <c r="M1522" i="4"/>
  <c r="L1522" i="4"/>
  <c r="K1522" i="4"/>
  <c r="J1522" i="4"/>
  <c r="I1522" i="4"/>
  <c r="H1522" i="4"/>
  <c r="Q1519" i="4"/>
  <c r="P1519" i="4"/>
  <c r="O1519" i="4"/>
  <c r="N1519" i="4"/>
  <c r="M1519" i="4"/>
  <c r="L1519" i="4"/>
  <c r="K1519" i="4"/>
  <c r="J1519" i="4"/>
  <c r="I1519" i="4"/>
  <c r="H1519" i="4"/>
  <c r="Q1518" i="4"/>
  <c r="P1518" i="4"/>
  <c r="O1518" i="4"/>
  <c r="N1518" i="4"/>
  <c r="M1518" i="4"/>
  <c r="L1518" i="4"/>
  <c r="K1518" i="4"/>
  <c r="J1518" i="4"/>
  <c r="I1518" i="4"/>
  <c r="H1518" i="4"/>
  <c r="Q1517" i="4"/>
  <c r="P1517" i="4"/>
  <c r="O1517" i="4"/>
  <c r="N1517" i="4"/>
  <c r="M1517" i="4"/>
  <c r="L1517" i="4"/>
  <c r="K1517" i="4"/>
  <c r="J1517" i="4"/>
  <c r="I1517" i="4"/>
  <c r="H1517" i="4"/>
  <c r="Q1516" i="4"/>
  <c r="P1516" i="4"/>
  <c r="O1516" i="4"/>
  <c r="N1516" i="4"/>
  <c r="M1516" i="4"/>
  <c r="L1516" i="4"/>
  <c r="K1516" i="4"/>
  <c r="J1516" i="4"/>
  <c r="I1516" i="4"/>
  <c r="H1516" i="4"/>
  <c r="Q1515" i="4"/>
  <c r="P1515" i="4"/>
  <c r="O1515" i="4"/>
  <c r="N1515" i="4"/>
  <c r="M1515" i="4"/>
  <c r="L1515" i="4"/>
  <c r="K1515" i="4"/>
  <c r="J1515" i="4"/>
  <c r="I1515" i="4"/>
  <c r="H1515" i="4"/>
  <c r="Q1514" i="4"/>
  <c r="P1514" i="4"/>
  <c r="O1514" i="4"/>
  <c r="N1514" i="4"/>
  <c r="M1514" i="4"/>
  <c r="L1514" i="4"/>
  <c r="K1514" i="4"/>
  <c r="J1514" i="4"/>
  <c r="I1514" i="4"/>
  <c r="H1514" i="4"/>
  <c r="Q1513" i="4"/>
  <c r="P1513" i="4"/>
  <c r="O1513" i="4"/>
  <c r="N1513" i="4"/>
  <c r="M1513" i="4"/>
  <c r="L1513" i="4"/>
  <c r="K1513" i="4"/>
  <c r="J1513" i="4"/>
  <c r="I1513" i="4"/>
  <c r="H1513" i="4"/>
  <c r="Q1512" i="4"/>
  <c r="P1512" i="4"/>
  <c r="O1512" i="4"/>
  <c r="N1512" i="4"/>
  <c r="M1512" i="4"/>
  <c r="L1512" i="4"/>
  <c r="K1512" i="4"/>
  <c r="J1512" i="4"/>
  <c r="I1512" i="4"/>
  <c r="H1512" i="4"/>
  <c r="Q1511" i="4"/>
  <c r="P1511" i="4"/>
  <c r="O1511" i="4"/>
  <c r="N1511" i="4"/>
  <c r="M1511" i="4"/>
  <c r="L1511" i="4"/>
  <c r="K1511" i="4"/>
  <c r="J1511" i="4"/>
  <c r="I1511" i="4"/>
  <c r="H1511" i="4"/>
  <c r="Q1510" i="4"/>
  <c r="P1510" i="4"/>
  <c r="O1510" i="4"/>
  <c r="N1510" i="4"/>
  <c r="M1510" i="4"/>
  <c r="L1510" i="4"/>
  <c r="K1510" i="4"/>
  <c r="J1510" i="4"/>
  <c r="I1510" i="4"/>
  <c r="H1510" i="4"/>
  <c r="Q1507" i="4"/>
  <c r="P1507" i="4"/>
  <c r="O1507" i="4"/>
  <c r="N1507" i="4"/>
  <c r="M1507" i="4"/>
  <c r="L1507" i="4"/>
  <c r="K1507" i="4"/>
  <c r="J1507" i="4"/>
  <c r="I1507" i="4"/>
  <c r="H1507" i="4"/>
  <c r="Q1506" i="4"/>
  <c r="P1506" i="4"/>
  <c r="O1506" i="4"/>
  <c r="N1506" i="4"/>
  <c r="M1506" i="4"/>
  <c r="L1506" i="4"/>
  <c r="K1506" i="4"/>
  <c r="J1506" i="4"/>
  <c r="I1506" i="4"/>
  <c r="H1506" i="4"/>
  <c r="Q1505" i="4"/>
  <c r="P1505" i="4"/>
  <c r="O1505" i="4"/>
  <c r="N1505" i="4"/>
  <c r="M1505" i="4"/>
  <c r="L1505" i="4"/>
  <c r="K1505" i="4"/>
  <c r="J1505" i="4"/>
  <c r="I1505" i="4"/>
  <c r="H1505" i="4"/>
  <c r="Q1504" i="4"/>
  <c r="P1504" i="4"/>
  <c r="O1504" i="4"/>
  <c r="N1504" i="4"/>
  <c r="M1504" i="4"/>
  <c r="L1504" i="4"/>
  <c r="K1504" i="4"/>
  <c r="J1504" i="4"/>
  <c r="I1504" i="4"/>
  <c r="H1504" i="4"/>
  <c r="Q1503" i="4"/>
  <c r="P1503" i="4"/>
  <c r="O1503" i="4"/>
  <c r="N1503" i="4"/>
  <c r="M1503" i="4"/>
  <c r="L1503" i="4"/>
  <c r="K1503" i="4"/>
  <c r="J1503" i="4"/>
  <c r="I1503" i="4"/>
  <c r="H1503" i="4"/>
  <c r="Q1502" i="4"/>
  <c r="P1502" i="4"/>
  <c r="O1502" i="4"/>
  <c r="N1502" i="4"/>
  <c r="M1502" i="4"/>
  <c r="L1502" i="4"/>
  <c r="K1502" i="4"/>
  <c r="J1502" i="4"/>
  <c r="I1502" i="4"/>
  <c r="H1502" i="4"/>
  <c r="Q1501" i="4"/>
  <c r="P1501" i="4"/>
  <c r="O1501" i="4"/>
  <c r="N1501" i="4"/>
  <c r="M1501" i="4"/>
  <c r="L1501" i="4"/>
  <c r="K1501" i="4"/>
  <c r="J1501" i="4"/>
  <c r="I1501" i="4"/>
  <c r="H1501" i="4"/>
  <c r="Q1500" i="4"/>
  <c r="P1500" i="4"/>
  <c r="O1500" i="4"/>
  <c r="N1500" i="4"/>
  <c r="M1500" i="4"/>
  <c r="L1500" i="4"/>
  <c r="K1500" i="4"/>
  <c r="J1500" i="4"/>
  <c r="I1500" i="4"/>
  <c r="H1500" i="4"/>
  <c r="Q1499" i="4"/>
  <c r="P1499" i="4"/>
  <c r="O1499" i="4"/>
  <c r="N1499" i="4"/>
  <c r="M1499" i="4"/>
  <c r="L1499" i="4"/>
  <c r="K1499" i="4"/>
  <c r="J1499" i="4"/>
  <c r="I1499" i="4"/>
  <c r="H1499" i="4"/>
  <c r="Q1498" i="4"/>
  <c r="P1498" i="4"/>
  <c r="O1498" i="4"/>
  <c r="N1498" i="4"/>
  <c r="M1498" i="4"/>
  <c r="L1498" i="4"/>
  <c r="K1498" i="4"/>
  <c r="J1498" i="4"/>
  <c r="I1498" i="4"/>
  <c r="H1498" i="4"/>
  <c r="Q1495" i="4"/>
  <c r="P1495" i="4"/>
  <c r="O1495" i="4"/>
  <c r="N1495" i="4"/>
  <c r="M1495" i="4"/>
  <c r="L1495" i="4"/>
  <c r="K1495" i="4"/>
  <c r="J1495" i="4"/>
  <c r="I1495" i="4"/>
  <c r="H1495" i="4"/>
  <c r="Q1494" i="4"/>
  <c r="P1494" i="4"/>
  <c r="O1494" i="4"/>
  <c r="N1494" i="4"/>
  <c r="M1494" i="4"/>
  <c r="L1494" i="4"/>
  <c r="K1494" i="4"/>
  <c r="J1494" i="4"/>
  <c r="I1494" i="4"/>
  <c r="H1494" i="4"/>
  <c r="Q1493" i="4"/>
  <c r="P1493" i="4"/>
  <c r="O1493" i="4"/>
  <c r="N1493" i="4"/>
  <c r="M1493" i="4"/>
  <c r="L1493" i="4"/>
  <c r="K1493" i="4"/>
  <c r="J1493" i="4"/>
  <c r="I1493" i="4"/>
  <c r="H1493" i="4"/>
  <c r="Q1492" i="4"/>
  <c r="P1492" i="4"/>
  <c r="O1492" i="4"/>
  <c r="N1492" i="4"/>
  <c r="M1492" i="4"/>
  <c r="L1492" i="4"/>
  <c r="K1492" i="4"/>
  <c r="J1492" i="4"/>
  <c r="I1492" i="4"/>
  <c r="H1492" i="4"/>
  <c r="Q1491" i="4"/>
  <c r="P1491" i="4"/>
  <c r="O1491" i="4"/>
  <c r="N1491" i="4"/>
  <c r="M1491" i="4"/>
  <c r="L1491" i="4"/>
  <c r="K1491" i="4"/>
  <c r="J1491" i="4"/>
  <c r="I1491" i="4"/>
  <c r="H1491" i="4"/>
  <c r="Q1490" i="4"/>
  <c r="P1490" i="4"/>
  <c r="O1490" i="4"/>
  <c r="N1490" i="4"/>
  <c r="M1490" i="4"/>
  <c r="L1490" i="4"/>
  <c r="K1490" i="4"/>
  <c r="J1490" i="4"/>
  <c r="I1490" i="4"/>
  <c r="H1490" i="4"/>
  <c r="Q1489" i="4"/>
  <c r="P1489" i="4"/>
  <c r="O1489" i="4"/>
  <c r="N1489" i="4"/>
  <c r="M1489" i="4"/>
  <c r="L1489" i="4"/>
  <c r="K1489" i="4"/>
  <c r="J1489" i="4"/>
  <c r="I1489" i="4"/>
  <c r="H1489" i="4"/>
  <c r="Q1488" i="4"/>
  <c r="P1488" i="4"/>
  <c r="O1488" i="4"/>
  <c r="N1488" i="4"/>
  <c r="M1488" i="4"/>
  <c r="L1488" i="4"/>
  <c r="K1488" i="4"/>
  <c r="J1488" i="4"/>
  <c r="I1488" i="4"/>
  <c r="H1488" i="4"/>
  <c r="Q1487" i="4"/>
  <c r="P1487" i="4"/>
  <c r="O1487" i="4"/>
  <c r="N1487" i="4"/>
  <c r="M1487" i="4"/>
  <c r="L1487" i="4"/>
  <c r="K1487" i="4"/>
  <c r="J1487" i="4"/>
  <c r="I1487" i="4"/>
  <c r="H1487" i="4"/>
  <c r="Q1486" i="4"/>
  <c r="P1486" i="4"/>
  <c r="O1486" i="4"/>
  <c r="N1486" i="4"/>
  <c r="M1486" i="4"/>
  <c r="L1486" i="4"/>
  <c r="K1486" i="4"/>
  <c r="J1486" i="4"/>
  <c r="I1486" i="4"/>
  <c r="H1486" i="4"/>
  <c r="Q1483" i="4"/>
  <c r="P1483" i="4"/>
  <c r="O1483" i="4"/>
  <c r="N1483" i="4"/>
  <c r="M1483" i="4"/>
  <c r="L1483" i="4"/>
  <c r="K1483" i="4"/>
  <c r="J1483" i="4"/>
  <c r="I1483" i="4"/>
  <c r="H1483" i="4"/>
  <c r="Q1482" i="4"/>
  <c r="P1482" i="4"/>
  <c r="O1482" i="4"/>
  <c r="N1482" i="4"/>
  <c r="M1482" i="4"/>
  <c r="L1482" i="4"/>
  <c r="K1482" i="4"/>
  <c r="J1482" i="4"/>
  <c r="I1482" i="4"/>
  <c r="H1482" i="4"/>
  <c r="Q1481" i="4"/>
  <c r="P1481" i="4"/>
  <c r="O1481" i="4"/>
  <c r="N1481" i="4"/>
  <c r="M1481" i="4"/>
  <c r="L1481" i="4"/>
  <c r="K1481" i="4"/>
  <c r="J1481" i="4"/>
  <c r="I1481" i="4"/>
  <c r="H1481" i="4"/>
  <c r="Q1480" i="4"/>
  <c r="P1480" i="4"/>
  <c r="O1480" i="4"/>
  <c r="N1480" i="4"/>
  <c r="M1480" i="4"/>
  <c r="L1480" i="4"/>
  <c r="K1480" i="4"/>
  <c r="J1480" i="4"/>
  <c r="I1480" i="4"/>
  <c r="H1480" i="4"/>
  <c r="Q1479" i="4"/>
  <c r="P1479" i="4"/>
  <c r="O1479" i="4"/>
  <c r="N1479" i="4"/>
  <c r="M1479" i="4"/>
  <c r="L1479" i="4"/>
  <c r="K1479" i="4"/>
  <c r="J1479" i="4"/>
  <c r="I1479" i="4"/>
  <c r="H1479" i="4"/>
  <c r="Q1478" i="4"/>
  <c r="P1478" i="4"/>
  <c r="O1478" i="4"/>
  <c r="N1478" i="4"/>
  <c r="M1478" i="4"/>
  <c r="K1478" i="4"/>
  <c r="J1478" i="4"/>
  <c r="I1478" i="4"/>
  <c r="H1478" i="4"/>
  <c r="L1478" i="4" s="1"/>
  <c r="Q1477" i="4"/>
  <c r="P1477" i="4"/>
  <c r="O1477" i="4"/>
  <c r="N1477" i="4"/>
  <c r="M1477" i="4"/>
  <c r="K1477" i="4"/>
  <c r="J1477" i="4"/>
  <c r="I1477" i="4"/>
  <c r="H1477" i="4"/>
  <c r="L1477" i="4" s="1"/>
  <c r="Q1476" i="4"/>
  <c r="P1476" i="4"/>
  <c r="O1476" i="4"/>
  <c r="N1476" i="4"/>
  <c r="M1476" i="4"/>
  <c r="K1476" i="4"/>
  <c r="J1476" i="4"/>
  <c r="I1476" i="4"/>
  <c r="H1476" i="4"/>
  <c r="L1476" i="4" s="1"/>
  <c r="Q1475" i="4"/>
  <c r="P1475" i="4"/>
  <c r="O1475" i="4"/>
  <c r="N1475" i="4"/>
  <c r="M1475" i="4"/>
  <c r="K1475" i="4"/>
  <c r="J1475" i="4"/>
  <c r="I1475" i="4"/>
  <c r="H1475" i="4"/>
  <c r="L1475" i="4" s="1"/>
  <c r="Q1474" i="4"/>
  <c r="P1474" i="4"/>
  <c r="O1474" i="4"/>
  <c r="N1474" i="4"/>
  <c r="M1474" i="4"/>
  <c r="L1474" i="4"/>
  <c r="K1474" i="4"/>
  <c r="I1474" i="4"/>
  <c r="H1474" i="4"/>
  <c r="J1474" i="4" s="1"/>
  <c r="Q1471" i="4"/>
  <c r="P1471" i="4"/>
  <c r="O1471" i="4"/>
  <c r="N1471" i="4"/>
  <c r="M1471" i="4"/>
  <c r="K1471" i="4"/>
  <c r="J1471" i="4"/>
  <c r="I1471" i="4"/>
  <c r="H1471" i="4"/>
  <c r="L1471" i="4" s="1"/>
  <c r="Q1470" i="4"/>
  <c r="P1470" i="4"/>
  <c r="O1470" i="4"/>
  <c r="N1470" i="4"/>
  <c r="M1470" i="4"/>
  <c r="K1470" i="4"/>
  <c r="J1470" i="4"/>
  <c r="I1470" i="4"/>
  <c r="H1470" i="4"/>
  <c r="L1470" i="4" s="1"/>
  <c r="Q1469" i="4"/>
  <c r="P1469" i="4"/>
  <c r="O1469" i="4"/>
  <c r="N1469" i="4"/>
  <c r="M1469" i="4"/>
  <c r="L1469" i="4"/>
  <c r="K1469" i="4"/>
  <c r="I1469" i="4"/>
  <c r="H1469" i="4"/>
  <c r="J1469" i="4" s="1"/>
  <c r="Q1466" i="4"/>
  <c r="P1466" i="4"/>
  <c r="O1466" i="4"/>
  <c r="N1466" i="4"/>
  <c r="M1466" i="4"/>
  <c r="K1466" i="4"/>
  <c r="J1466" i="4"/>
  <c r="I1466" i="4"/>
  <c r="H1466" i="4"/>
  <c r="L1466" i="4" s="1"/>
  <c r="Q1465" i="4"/>
  <c r="P1465" i="4"/>
  <c r="O1465" i="4"/>
  <c r="N1465" i="4"/>
  <c r="M1465" i="4"/>
  <c r="K1465" i="4"/>
  <c r="J1465" i="4"/>
  <c r="I1465" i="4"/>
  <c r="H1465" i="4"/>
  <c r="L1465" i="4" s="1"/>
  <c r="Q1464" i="4"/>
  <c r="P1464" i="4"/>
  <c r="O1464" i="4"/>
  <c r="N1464" i="4"/>
  <c r="M1464" i="4"/>
  <c r="L1464" i="4"/>
  <c r="K1464" i="4"/>
  <c r="I1464" i="4"/>
  <c r="H1464" i="4"/>
  <c r="J1464" i="4" s="1"/>
  <c r="Q1461" i="4"/>
  <c r="P1461" i="4"/>
  <c r="O1461" i="4"/>
  <c r="N1461" i="4"/>
  <c r="M1461" i="4"/>
  <c r="K1461" i="4"/>
  <c r="J1461" i="4"/>
  <c r="I1461" i="4"/>
  <c r="H1461" i="4"/>
  <c r="L1461" i="4" s="1"/>
  <c r="Q1460" i="4"/>
  <c r="P1460" i="4"/>
  <c r="O1460" i="4"/>
  <c r="N1460" i="4"/>
  <c r="M1460" i="4"/>
  <c r="K1460" i="4"/>
  <c r="J1460" i="4"/>
  <c r="I1460" i="4"/>
  <c r="H1460" i="4"/>
  <c r="L1460" i="4" s="1"/>
  <c r="Q1459" i="4"/>
  <c r="P1459" i="4"/>
  <c r="O1459" i="4"/>
  <c r="N1459" i="4"/>
  <c r="M1459" i="4"/>
  <c r="L1459" i="4"/>
  <c r="K1459" i="4"/>
  <c r="I1459" i="4"/>
  <c r="H1459" i="4"/>
  <c r="J1459" i="4" s="1"/>
  <c r="Q1456" i="4"/>
  <c r="P1456" i="4"/>
  <c r="O1456" i="4"/>
  <c r="N1456" i="4"/>
  <c r="M1456" i="4"/>
  <c r="K1456" i="4"/>
  <c r="J1456" i="4"/>
  <c r="I1456" i="4"/>
  <c r="H1456" i="4"/>
  <c r="L1456" i="4" s="1"/>
  <c r="Q1455" i="4"/>
  <c r="P1455" i="4"/>
  <c r="O1455" i="4"/>
  <c r="N1455" i="4"/>
  <c r="M1455" i="4"/>
  <c r="L1455" i="4"/>
  <c r="K1455" i="4"/>
  <c r="I1455" i="4"/>
  <c r="H1455" i="4"/>
  <c r="J1455" i="4" s="1"/>
  <c r="Q1452" i="4"/>
  <c r="P1452" i="4"/>
  <c r="O1452" i="4"/>
  <c r="N1452" i="4"/>
  <c r="M1452" i="4"/>
  <c r="K1452" i="4"/>
  <c r="J1452" i="4"/>
  <c r="I1452" i="4"/>
  <c r="H1452" i="4"/>
  <c r="L1452" i="4" s="1"/>
  <c r="Q1451" i="4"/>
  <c r="P1451" i="4"/>
  <c r="O1451" i="4"/>
  <c r="N1451" i="4"/>
  <c r="M1451" i="4"/>
  <c r="L1451" i="4"/>
  <c r="K1451" i="4"/>
  <c r="I1451" i="4"/>
  <c r="H1451" i="4"/>
  <c r="J1451" i="4" s="1"/>
  <c r="Q1448" i="4"/>
  <c r="P1448" i="4"/>
  <c r="O1448" i="4"/>
  <c r="N1448" i="4"/>
  <c r="M1448" i="4"/>
  <c r="K1448" i="4"/>
  <c r="J1448" i="4"/>
  <c r="I1448" i="4"/>
  <c r="H1448" i="4"/>
  <c r="L1448" i="4" s="1"/>
  <c r="Q1447" i="4"/>
  <c r="P1447" i="4"/>
  <c r="O1447" i="4"/>
  <c r="N1447" i="4"/>
  <c r="M1447" i="4"/>
  <c r="K1447" i="4"/>
  <c r="J1447" i="4"/>
  <c r="I1447" i="4"/>
  <c r="H1447" i="4"/>
  <c r="L1447" i="4" s="1"/>
  <c r="Q1446" i="4"/>
  <c r="P1446" i="4"/>
  <c r="O1446" i="4"/>
  <c r="N1446" i="4"/>
  <c r="M1446" i="4"/>
  <c r="K1446" i="4"/>
  <c r="J1446" i="4"/>
  <c r="I1446" i="4"/>
  <c r="H1446" i="4"/>
  <c r="L1446" i="4" s="1"/>
  <c r="Q1445" i="4"/>
  <c r="P1445" i="4"/>
  <c r="O1445" i="4"/>
  <c r="N1445" i="4"/>
  <c r="M1445" i="4"/>
  <c r="K1445" i="4"/>
  <c r="J1445" i="4"/>
  <c r="I1445" i="4"/>
  <c r="H1445" i="4"/>
  <c r="L1445" i="4" s="1"/>
  <c r="Q1444" i="4"/>
  <c r="P1444" i="4"/>
  <c r="O1444" i="4"/>
  <c r="N1444" i="4"/>
  <c r="M1444" i="4"/>
  <c r="L1444" i="4"/>
  <c r="K1444" i="4"/>
  <c r="I1444" i="4"/>
  <c r="H1444" i="4"/>
  <c r="J1444" i="4" s="1"/>
  <c r="Q1443" i="4"/>
  <c r="P1443" i="4"/>
  <c r="O1443" i="4"/>
  <c r="N1443" i="4"/>
  <c r="M1443" i="4"/>
  <c r="L1443" i="4"/>
  <c r="K1443" i="4"/>
  <c r="I1443" i="4"/>
  <c r="H1443" i="4"/>
  <c r="J1443" i="4" s="1"/>
  <c r="Q1440" i="4"/>
  <c r="P1440" i="4"/>
  <c r="O1440" i="4"/>
  <c r="N1440" i="4"/>
  <c r="M1440" i="4"/>
  <c r="K1440" i="4"/>
  <c r="J1440" i="4"/>
  <c r="I1440" i="4"/>
  <c r="H1440" i="4"/>
  <c r="L1440" i="4" s="1"/>
  <c r="Q1439" i="4"/>
  <c r="P1439" i="4"/>
  <c r="O1439" i="4"/>
  <c r="N1439" i="4"/>
  <c r="M1439" i="4"/>
  <c r="K1439" i="4"/>
  <c r="J1439" i="4"/>
  <c r="I1439" i="4"/>
  <c r="H1439" i="4"/>
  <c r="L1439" i="4" s="1"/>
  <c r="Q1438" i="4"/>
  <c r="P1438" i="4"/>
  <c r="O1438" i="4"/>
  <c r="N1438" i="4"/>
  <c r="M1438" i="4"/>
  <c r="K1438" i="4"/>
  <c r="J1438" i="4"/>
  <c r="I1438" i="4"/>
  <c r="H1438" i="4"/>
  <c r="L1438" i="4" s="1"/>
  <c r="Q1437" i="4"/>
  <c r="P1437" i="4"/>
  <c r="O1437" i="4"/>
  <c r="N1437" i="4"/>
  <c r="M1437" i="4"/>
  <c r="K1437" i="4"/>
  <c r="J1437" i="4"/>
  <c r="I1437" i="4"/>
  <c r="H1437" i="4"/>
  <c r="L1437" i="4" s="1"/>
  <c r="Q1436" i="4"/>
  <c r="P1436" i="4"/>
  <c r="O1436" i="4"/>
  <c r="N1436" i="4"/>
  <c r="M1436" i="4"/>
  <c r="L1436" i="4"/>
  <c r="K1436" i="4"/>
  <c r="I1436" i="4"/>
  <c r="H1436" i="4"/>
  <c r="J1436" i="4" s="1"/>
  <c r="Q1433" i="4"/>
  <c r="P1433" i="4"/>
  <c r="O1433" i="4"/>
  <c r="N1433" i="4"/>
  <c r="M1433" i="4"/>
  <c r="K1433" i="4"/>
  <c r="J1433" i="4"/>
  <c r="I1433" i="4"/>
  <c r="H1433" i="4"/>
  <c r="L1433" i="4" s="1"/>
  <c r="Q1432" i="4"/>
  <c r="P1432" i="4"/>
  <c r="O1432" i="4"/>
  <c r="N1432" i="4"/>
  <c r="M1432" i="4"/>
  <c r="K1432" i="4"/>
  <c r="J1432" i="4"/>
  <c r="I1432" i="4"/>
  <c r="H1432" i="4"/>
  <c r="L1432" i="4" s="1"/>
  <c r="Q1431" i="4"/>
  <c r="P1431" i="4"/>
  <c r="O1431" i="4"/>
  <c r="N1431" i="4"/>
  <c r="M1431" i="4"/>
  <c r="L1431" i="4"/>
  <c r="K1431" i="4"/>
  <c r="I1431" i="4"/>
  <c r="H1431" i="4"/>
  <c r="J1431" i="4" s="1"/>
  <c r="Q1430" i="4"/>
  <c r="P1430" i="4"/>
  <c r="O1430" i="4"/>
  <c r="N1430" i="4"/>
  <c r="M1430" i="4"/>
  <c r="L1430" i="4"/>
  <c r="K1430" i="4"/>
  <c r="I1430" i="4"/>
  <c r="H1430" i="4"/>
  <c r="J1430" i="4" s="1"/>
  <c r="Q1427" i="4"/>
  <c r="P1427" i="4"/>
  <c r="O1427" i="4"/>
  <c r="N1427" i="4"/>
  <c r="M1427" i="4"/>
  <c r="K1427" i="4"/>
  <c r="J1427" i="4"/>
  <c r="I1427" i="4"/>
  <c r="H1427" i="4"/>
  <c r="L1427" i="4" s="1"/>
  <c r="Q1426" i="4"/>
  <c r="P1426" i="4"/>
  <c r="O1426" i="4"/>
  <c r="N1426" i="4"/>
  <c r="M1426" i="4"/>
  <c r="K1426" i="4"/>
  <c r="J1426" i="4"/>
  <c r="I1426" i="4"/>
  <c r="H1426" i="4"/>
  <c r="L1426" i="4" s="1"/>
  <c r="Q1425" i="4"/>
  <c r="P1425" i="4"/>
  <c r="O1425" i="4"/>
  <c r="N1425" i="4"/>
  <c r="M1425" i="4"/>
  <c r="L1425" i="4"/>
  <c r="K1425" i="4"/>
  <c r="I1425" i="4"/>
  <c r="H1425" i="4"/>
  <c r="J1425" i="4" s="1"/>
  <c r="Q1422" i="4"/>
  <c r="P1422" i="4"/>
  <c r="O1422" i="4"/>
  <c r="N1422" i="4"/>
  <c r="M1422" i="4"/>
  <c r="K1422" i="4"/>
  <c r="J1422" i="4"/>
  <c r="I1422" i="4"/>
  <c r="H1422" i="4"/>
  <c r="L1422" i="4" s="1"/>
  <c r="Q1421" i="4"/>
  <c r="P1421" i="4"/>
  <c r="O1421" i="4"/>
  <c r="N1421" i="4"/>
  <c r="M1421" i="4"/>
  <c r="K1421" i="4"/>
  <c r="J1421" i="4"/>
  <c r="I1421" i="4"/>
  <c r="H1421" i="4"/>
  <c r="L1421" i="4" s="1"/>
  <c r="Q1420" i="4"/>
  <c r="P1420" i="4"/>
  <c r="O1420" i="4"/>
  <c r="N1420" i="4"/>
  <c r="M1420" i="4"/>
  <c r="K1420" i="4"/>
  <c r="I1420" i="4"/>
  <c r="H1420" i="4"/>
  <c r="L1420" i="4" s="1"/>
  <c r="Q1419" i="4"/>
  <c r="P1419" i="4"/>
  <c r="O1419" i="4"/>
  <c r="N1419" i="4"/>
  <c r="M1419" i="4"/>
  <c r="L1419" i="4"/>
  <c r="K1419" i="4"/>
  <c r="I1419" i="4"/>
  <c r="H1419" i="4"/>
  <c r="J1419" i="4" s="1"/>
  <c r="Q1416" i="4"/>
  <c r="P1416" i="4"/>
  <c r="O1416" i="4"/>
  <c r="N1416" i="4"/>
  <c r="M1416" i="4"/>
  <c r="K1416" i="4"/>
  <c r="J1416" i="4"/>
  <c r="I1416" i="4"/>
  <c r="H1416" i="4"/>
  <c r="L1416" i="4" s="1"/>
  <c r="Q1415" i="4"/>
  <c r="P1415" i="4"/>
  <c r="O1415" i="4"/>
  <c r="N1415" i="4"/>
  <c r="M1415" i="4"/>
  <c r="K1415" i="4"/>
  <c r="J1415" i="4"/>
  <c r="I1415" i="4"/>
  <c r="H1415" i="4"/>
  <c r="L1415" i="4" s="1"/>
  <c r="Q1414" i="4"/>
  <c r="P1414" i="4"/>
  <c r="O1414" i="4"/>
  <c r="N1414" i="4"/>
  <c r="M1414" i="4"/>
  <c r="L1414" i="4"/>
  <c r="K1414" i="4"/>
  <c r="I1414" i="4"/>
  <c r="H1414" i="4"/>
  <c r="J1414" i="4" s="1"/>
  <c r="Q1411" i="4"/>
  <c r="P1411" i="4"/>
  <c r="O1411" i="4"/>
  <c r="N1411" i="4"/>
  <c r="M1411" i="4"/>
  <c r="K1411" i="4"/>
  <c r="J1411" i="4"/>
  <c r="I1411" i="4"/>
  <c r="H1411" i="4"/>
  <c r="L1411" i="4" s="1"/>
  <c r="Q1410" i="4"/>
  <c r="P1410" i="4"/>
  <c r="O1410" i="4"/>
  <c r="N1410" i="4"/>
  <c r="M1410" i="4"/>
  <c r="K1410" i="4"/>
  <c r="J1410" i="4"/>
  <c r="I1410" i="4"/>
  <c r="H1410" i="4"/>
  <c r="L1410" i="4" s="1"/>
  <c r="Q1409" i="4"/>
  <c r="P1409" i="4"/>
  <c r="O1409" i="4"/>
  <c r="N1409" i="4"/>
  <c r="M1409" i="4"/>
  <c r="L1409" i="4"/>
  <c r="K1409" i="4"/>
  <c r="I1409" i="4"/>
  <c r="H1409" i="4"/>
  <c r="J1409" i="4" s="1"/>
  <c r="Q1406" i="4"/>
  <c r="P1406" i="4"/>
  <c r="O1406" i="4"/>
  <c r="N1406" i="4"/>
  <c r="M1406" i="4"/>
  <c r="K1406" i="4"/>
  <c r="J1406" i="4"/>
  <c r="I1406" i="4"/>
  <c r="H1406" i="4"/>
  <c r="L1406" i="4" s="1"/>
  <c r="Q1405" i="4"/>
  <c r="P1405" i="4"/>
  <c r="O1405" i="4"/>
  <c r="N1405" i="4"/>
  <c r="M1405" i="4"/>
  <c r="K1405" i="4"/>
  <c r="J1405" i="4"/>
  <c r="I1405" i="4"/>
  <c r="H1405" i="4"/>
  <c r="L1405" i="4" s="1"/>
  <c r="Q1404" i="4"/>
  <c r="P1404" i="4"/>
  <c r="O1404" i="4"/>
  <c r="N1404" i="4"/>
  <c r="M1404" i="4"/>
  <c r="K1404" i="4"/>
  <c r="J1404" i="4"/>
  <c r="I1404" i="4"/>
  <c r="H1404" i="4"/>
  <c r="L1404" i="4" s="1"/>
  <c r="Q1403" i="4"/>
  <c r="P1403" i="4"/>
  <c r="O1403" i="4"/>
  <c r="N1403" i="4"/>
  <c r="M1403" i="4"/>
  <c r="K1403" i="4"/>
  <c r="J1403" i="4"/>
  <c r="I1403" i="4"/>
  <c r="H1403" i="4"/>
  <c r="L1403" i="4" s="1"/>
  <c r="Q1402" i="4"/>
  <c r="P1402" i="4"/>
  <c r="O1402" i="4"/>
  <c r="N1402" i="4"/>
  <c r="M1402" i="4"/>
  <c r="L1402" i="4"/>
  <c r="K1402" i="4"/>
  <c r="I1402" i="4"/>
  <c r="H1402" i="4"/>
  <c r="J1402" i="4" s="1"/>
  <c r="Q1891" i="4"/>
  <c r="P1891" i="4"/>
  <c r="O1891" i="4"/>
  <c r="N1891" i="4"/>
  <c r="M1891" i="4"/>
  <c r="L1891" i="4"/>
  <c r="K1891" i="4"/>
  <c r="J1891" i="4"/>
  <c r="I1891" i="4"/>
  <c r="H1891" i="4"/>
  <c r="Q1890" i="4"/>
  <c r="P1890" i="4"/>
  <c r="O1890" i="4"/>
  <c r="N1890" i="4"/>
  <c r="M1890" i="4"/>
  <c r="L1890" i="4"/>
  <c r="K1890" i="4"/>
  <c r="J1890" i="4"/>
  <c r="I1890" i="4"/>
  <c r="H1890" i="4"/>
  <c r="Q1889" i="4"/>
  <c r="P1889" i="4"/>
  <c r="O1889" i="4"/>
  <c r="N1889" i="4"/>
  <c r="M1889" i="4"/>
  <c r="L1889" i="4"/>
  <c r="K1889" i="4"/>
  <c r="J1889" i="4"/>
  <c r="I1889" i="4"/>
  <c r="H1889" i="4"/>
  <c r="Q1888" i="4"/>
  <c r="P1888" i="4"/>
  <c r="O1888" i="4"/>
  <c r="N1888" i="4"/>
  <c r="M1888" i="4"/>
  <c r="L1888" i="4"/>
  <c r="K1888" i="4"/>
  <c r="J1888" i="4"/>
  <c r="I1888" i="4"/>
  <c r="H1888" i="4"/>
  <c r="Q1887" i="4"/>
  <c r="P1887" i="4"/>
  <c r="O1887" i="4"/>
  <c r="N1887" i="4"/>
  <c r="M1887" i="4"/>
  <c r="L1887" i="4"/>
  <c r="K1887" i="4"/>
  <c r="J1887" i="4"/>
  <c r="I1887" i="4"/>
  <c r="H1887" i="4"/>
  <c r="Q1886" i="4"/>
  <c r="P1886" i="4"/>
  <c r="O1886" i="4"/>
  <c r="N1886" i="4"/>
  <c r="M1886" i="4"/>
  <c r="L1886" i="4"/>
  <c r="K1886" i="4"/>
  <c r="J1886" i="4"/>
  <c r="I1886" i="4"/>
  <c r="H1886" i="4"/>
  <c r="Q1885" i="4"/>
  <c r="P1885" i="4"/>
  <c r="O1885" i="4"/>
  <c r="N1885" i="4"/>
  <c r="M1885" i="4"/>
  <c r="L1885" i="4"/>
  <c r="K1885" i="4"/>
  <c r="J1885" i="4"/>
  <c r="I1885" i="4"/>
  <c r="H1885" i="4"/>
  <c r="Q1884" i="4"/>
  <c r="P1884" i="4"/>
  <c r="O1884" i="4"/>
  <c r="N1884" i="4"/>
  <c r="M1884" i="4"/>
  <c r="L1884" i="4"/>
  <c r="K1884" i="4"/>
  <c r="J1884" i="4"/>
  <c r="I1884" i="4"/>
  <c r="H1884" i="4"/>
  <c r="Q1883" i="4"/>
  <c r="P1883" i="4"/>
  <c r="O1883" i="4"/>
  <c r="N1883" i="4"/>
  <c r="M1883" i="4"/>
  <c r="L1883" i="4"/>
  <c r="K1883" i="4"/>
  <c r="J1883" i="4"/>
  <c r="I1883" i="4"/>
  <c r="H1883" i="4"/>
  <c r="Q1882" i="4"/>
  <c r="P1882" i="4"/>
  <c r="O1882" i="4"/>
  <c r="N1882" i="4"/>
  <c r="M1882" i="4"/>
  <c r="L1882" i="4"/>
  <c r="K1882" i="4"/>
  <c r="J1882" i="4"/>
  <c r="I1882" i="4"/>
  <c r="H1882" i="4"/>
  <c r="Q1879" i="4"/>
  <c r="P1879" i="4"/>
  <c r="O1879" i="4"/>
  <c r="N1879" i="4"/>
  <c r="M1879" i="4"/>
  <c r="L1879" i="4"/>
  <c r="K1879" i="4"/>
  <c r="J1879" i="4"/>
  <c r="I1879" i="4"/>
  <c r="H1879" i="4"/>
  <c r="Q1878" i="4"/>
  <c r="P1878" i="4"/>
  <c r="O1878" i="4"/>
  <c r="N1878" i="4"/>
  <c r="M1878" i="4"/>
  <c r="L1878" i="4"/>
  <c r="K1878" i="4"/>
  <c r="J1878" i="4"/>
  <c r="I1878" i="4"/>
  <c r="H1878" i="4"/>
  <c r="Q1877" i="4"/>
  <c r="P1877" i="4"/>
  <c r="O1877" i="4"/>
  <c r="N1877" i="4"/>
  <c r="M1877" i="4"/>
  <c r="L1877" i="4"/>
  <c r="K1877" i="4"/>
  <c r="J1877" i="4"/>
  <c r="I1877" i="4"/>
  <c r="H1877" i="4"/>
  <c r="Q1876" i="4"/>
  <c r="P1876" i="4"/>
  <c r="O1876" i="4"/>
  <c r="N1876" i="4"/>
  <c r="M1876" i="4"/>
  <c r="L1876" i="4"/>
  <c r="K1876" i="4"/>
  <c r="J1876" i="4"/>
  <c r="I1876" i="4"/>
  <c r="H1876" i="4"/>
  <c r="Q1875" i="4"/>
  <c r="P1875" i="4"/>
  <c r="O1875" i="4"/>
  <c r="N1875" i="4"/>
  <c r="M1875" i="4"/>
  <c r="L1875" i="4"/>
  <c r="K1875" i="4"/>
  <c r="J1875" i="4"/>
  <c r="I1875" i="4"/>
  <c r="H1875" i="4"/>
  <c r="Q1874" i="4"/>
  <c r="P1874" i="4"/>
  <c r="O1874" i="4"/>
  <c r="N1874" i="4"/>
  <c r="M1874" i="4"/>
  <c r="L1874" i="4"/>
  <c r="K1874" i="4"/>
  <c r="J1874" i="4"/>
  <c r="I1874" i="4"/>
  <c r="H1874" i="4"/>
  <c r="Q1873" i="4"/>
  <c r="P1873" i="4"/>
  <c r="O1873" i="4"/>
  <c r="N1873" i="4"/>
  <c r="M1873" i="4"/>
  <c r="L1873" i="4"/>
  <c r="K1873" i="4"/>
  <c r="J1873" i="4"/>
  <c r="I1873" i="4"/>
  <c r="H1873" i="4"/>
  <c r="Q1872" i="4"/>
  <c r="P1872" i="4"/>
  <c r="O1872" i="4"/>
  <c r="N1872" i="4"/>
  <c r="M1872" i="4"/>
  <c r="L1872" i="4"/>
  <c r="K1872" i="4"/>
  <c r="J1872" i="4"/>
  <c r="I1872" i="4"/>
  <c r="H1872" i="4"/>
  <c r="Q1871" i="4"/>
  <c r="P1871" i="4"/>
  <c r="O1871" i="4"/>
  <c r="N1871" i="4"/>
  <c r="M1871" i="4"/>
  <c r="L1871" i="4"/>
  <c r="K1871" i="4"/>
  <c r="J1871" i="4"/>
  <c r="I1871" i="4"/>
  <c r="H1871" i="4"/>
  <c r="Q1870" i="4"/>
  <c r="P1870" i="4"/>
  <c r="O1870" i="4"/>
  <c r="N1870" i="4"/>
  <c r="M1870" i="4"/>
  <c r="L1870" i="4"/>
  <c r="K1870" i="4"/>
  <c r="J1870" i="4"/>
  <c r="I1870" i="4"/>
  <c r="H1870" i="4"/>
  <c r="Q1867" i="4"/>
  <c r="P1867" i="4"/>
  <c r="O1867" i="4"/>
  <c r="N1867" i="4"/>
  <c r="M1867" i="4"/>
  <c r="L1867" i="4"/>
  <c r="K1867" i="4"/>
  <c r="J1867" i="4"/>
  <c r="I1867" i="4"/>
  <c r="H1867" i="4"/>
  <c r="Q1866" i="4"/>
  <c r="P1866" i="4"/>
  <c r="O1866" i="4"/>
  <c r="N1866" i="4"/>
  <c r="M1866" i="4"/>
  <c r="L1866" i="4"/>
  <c r="K1866" i="4"/>
  <c r="J1866" i="4"/>
  <c r="I1866" i="4"/>
  <c r="H1866" i="4"/>
  <c r="Q1865" i="4"/>
  <c r="P1865" i="4"/>
  <c r="O1865" i="4"/>
  <c r="N1865" i="4"/>
  <c r="M1865" i="4"/>
  <c r="L1865" i="4"/>
  <c r="K1865" i="4"/>
  <c r="J1865" i="4"/>
  <c r="I1865" i="4"/>
  <c r="H1865" i="4"/>
  <c r="Q1864" i="4"/>
  <c r="P1864" i="4"/>
  <c r="O1864" i="4"/>
  <c r="N1864" i="4"/>
  <c r="M1864" i="4"/>
  <c r="L1864" i="4"/>
  <c r="K1864" i="4"/>
  <c r="J1864" i="4"/>
  <c r="I1864" i="4"/>
  <c r="H1864" i="4"/>
  <c r="Q1863" i="4"/>
  <c r="P1863" i="4"/>
  <c r="O1863" i="4"/>
  <c r="N1863" i="4"/>
  <c r="M1863" i="4"/>
  <c r="L1863" i="4"/>
  <c r="K1863" i="4"/>
  <c r="J1863" i="4"/>
  <c r="I1863" i="4"/>
  <c r="H1863" i="4"/>
  <c r="Q1862" i="4"/>
  <c r="P1862" i="4"/>
  <c r="O1862" i="4"/>
  <c r="N1862" i="4"/>
  <c r="M1862" i="4"/>
  <c r="L1862" i="4"/>
  <c r="K1862" i="4"/>
  <c r="J1862" i="4"/>
  <c r="I1862" i="4"/>
  <c r="H1862" i="4"/>
  <c r="Q1861" i="4"/>
  <c r="P1861" i="4"/>
  <c r="O1861" i="4"/>
  <c r="N1861" i="4"/>
  <c r="M1861" i="4"/>
  <c r="L1861" i="4"/>
  <c r="K1861" i="4"/>
  <c r="J1861" i="4"/>
  <c r="I1861" i="4"/>
  <c r="H1861" i="4"/>
  <c r="Q1860" i="4"/>
  <c r="P1860" i="4"/>
  <c r="O1860" i="4"/>
  <c r="N1860" i="4"/>
  <c r="M1860" i="4"/>
  <c r="L1860" i="4"/>
  <c r="K1860" i="4"/>
  <c r="J1860" i="4"/>
  <c r="I1860" i="4"/>
  <c r="H1860" i="4"/>
  <c r="Q1859" i="4"/>
  <c r="P1859" i="4"/>
  <c r="O1859" i="4"/>
  <c r="N1859" i="4"/>
  <c r="M1859" i="4"/>
  <c r="L1859" i="4"/>
  <c r="K1859" i="4"/>
  <c r="J1859" i="4"/>
  <c r="I1859" i="4"/>
  <c r="H1859" i="4"/>
  <c r="Q1858" i="4"/>
  <c r="P1858" i="4"/>
  <c r="O1858" i="4"/>
  <c r="N1858" i="4"/>
  <c r="M1858" i="4"/>
  <c r="L1858" i="4"/>
  <c r="K1858" i="4"/>
  <c r="J1858" i="4"/>
  <c r="I1858" i="4"/>
  <c r="H1858" i="4"/>
  <c r="Q1855" i="4"/>
  <c r="P1855" i="4"/>
  <c r="O1855" i="4"/>
  <c r="N1855" i="4"/>
  <c r="M1855" i="4"/>
  <c r="L1855" i="4"/>
  <c r="K1855" i="4"/>
  <c r="J1855" i="4"/>
  <c r="I1855" i="4"/>
  <c r="H1855" i="4"/>
  <c r="Q1854" i="4"/>
  <c r="P1854" i="4"/>
  <c r="O1854" i="4"/>
  <c r="N1854" i="4"/>
  <c r="M1854" i="4"/>
  <c r="L1854" i="4"/>
  <c r="K1854" i="4"/>
  <c r="J1854" i="4"/>
  <c r="I1854" i="4"/>
  <c r="H1854" i="4"/>
  <c r="Q1853" i="4"/>
  <c r="P1853" i="4"/>
  <c r="O1853" i="4"/>
  <c r="N1853" i="4"/>
  <c r="M1853" i="4"/>
  <c r="L1853" i="4"/>
  <c r="K1853" i="4"/>
  <c r="J1853" i="4"/>
  <c r="I1853" i="4"/>
  <c r="H1853" i="4"/>
  <c r="Q1852" i="4"/>
  <c r="P1852" i="4"/>
  <c r="O1852" i="4"/>
  <c r="N1852" i="4"/>
  <c r="M1852" i="4"/>
  <c r="L1852" i="4"/>
  <c r="K1852" i="4"/>
  <c r="J1852" i="4"/>
  <c r="I1852" i="4"/>
  <c r="H1852" i="4"/>
  <c r="Q1851" i="4"/>
  <c r="P1851" i="4"/>
  <c r="O1851" i="4"/>
  <c r="N1851" i="4"/>
  <c r="M1851" i="4"/>
  <c r="L1851" i="4"/>
  <c r="K1851" i="4"/>
  <c r="J1851" i="4"/>
  <c r="I1851" i="4"/>
  <c r="H1851" i="4"/>
  <c r="Q1850" i="4"/>
  <c r="P1850" i="4"/>
  <c r="O1850" i="4"/>
  <c r="N1850" i="4"/>
  <c r="M1850" i="4"/>
  <c r="L1850" i="4"/>
  <c r="K1850" i="4"/>
  <c r="J1850" i="4"/>
  <c r="I1850" i="4"/>
  <c r="H1850" i="4"/>
  <c r="Q1849" i="4"/>
  <c r="P1849" i="4"/>
  <c r="O1849" i="4"/>
  <c r="N1849" i="4"/>
  <c r="M1849" i="4"/>
  <c r="L1849" i="4"/>
  <c r="K1849" i="4"/>
  <c r="J1849" i="4"/>
  <c r="I1849" i="4"/>
  <c r="H1849" i="4"/>
  <c r="Q1848" i="4"/>
  <c r="P1848" i="4"/>
  <c r="O1848" i="4"/>
  <c r="N1848" i="4"/>
  <c r="M1848" i="4"/>
  <c r="L1848" i="4"/>
  <c r="K1848" i="4"/>
  <c r="J1848" i="4"/>
  <c r="I1848" i="4"/>
  <c r="H1848" i="4"/>
  <c r="Q1847" i="4"/>
  <c r="P1847" i="4"/>
  <c r="O1847" i="4"/>
  <c r="N1847" i="4"/>
  <c r="M1847" i="4"/>
  <c r="L1847" i="4"/>
  <c r="K1847" i="4"/>
  <c r="J1847" i="4"/>
  <c r="I1847" i="4"/>
  <c r="H1847" i="4"/>
  <c r="Q1846" i="4"/>
  <c r="P1846" i="4"/>
  <c r="O1846" i="4"/>
  <c r="N1846" i="4"/>
  <c r="M1846" i="4"/>
  <c r="L1846" i="4"/>
  <c r="K1846" i="4"/>
  <c r="J1846" i="4"/>
  <c r="I1846" i="4"/>
  <c r="H1846" i="4"/>
  <c r="Q1843" i="4"/>
  <c r="P1843" i="4"/>
  <c r="O1843" i="4"/>
  <c r="N1843" i="4"/>
  <c r="M1843" i="4"/>
  <c r="L1843" i="4"/>
  <c r="K1843" i="4"/>
  <c r="J1843" i="4"/>
  <c r="I1843" i="4"/>
  <c r="H1843" i="4"/>
  <c r="Q1842" i="4"/>
  <c r="P1842" i="4"/>
  <c r="O1842" i="4"/>
  <c r="N1842" i="4"/>
  <c r="M1842" i="4"/>
  <c r="L1842" i="4"/>
  <c r="K1842" i="4"/>
  <c r="J1842" i="4"/>
  <c r="I1842" i="4"/>
  <c r="H1842" i="4"/>
  <c r="Q1841" i="4"/>
  <c r="P1841" i="4"/>
  <c r="O1841" i="4"/>
  <c r="N1841" i="4"/>
  <c r="M1841" i="4"/>
  <c r="L1841" i="4"/>
  <c r="K1841" i="4"/>
  <c r="J1841" i="4"/>
  <c r="I1841" i="4"/>
  <c r="H1841" i="4"/>
  <c r="Q1840" i="4"/>
  <c r="P1840" i="4"/>
  <c r="O1840" i="4"/>
  <c r="N1840" i="4"/>
  <c r="M1840" i="4"/>
  <c r="L1840" i="4"/>
  <c r="K1840" i="4"/>
  <c r="J1840" i="4"/>
  <c r="I1840" i="4"/>
  <c r="H1840" i="4"/>
  <c r="Q1839" i="4"/>
  <c r="P1839" i="4"/>
  <c r="O1839" i="4"/>
  <c r="N1839" i="4"/>
  <c r="M1839" i="4"/>
  <c r="L1839" i="4"/>
  <c r="K1839" i="4"/>
  <c r="J1839" i="4"/>
  <c r="I1839" i="4"/>
  <c r="H1839" i="4"/>
  <c r="Q1838" i="4"/>
  <c r="P1838" i="4"/>
  <c r="O1838" i="4"/>
  <c r="N1838" i="4"/>
  <c r="M1838" i="4"/>
  <c r="L1838" i="4"/>
  <c r="K1838" i="4"/>
  <c r="J1838" i="4"/>
  <c r="I1838" i="4"/>
  <c r="H1838" i="4"/>
  <c r="Q1837" i="4"/>
  <c r="P1837" i="4"/>
  <c r="O1837" i="4"/>
  <c r="N1837" i="4"/>
  <c r="M1837" i="4"/>
  <c r="L1837" i="4"/>
  <c r="K1837" i="4"/>
  <c r="J1837" i="4"/>
  <c r="I1837" i="4"/>
  <c r="H1837" i="4"/>
  <c r="Q1836" i="4"/>
  <c r="P1836" i="4"/>
  <c r="O1836" i="4"/>
  <c r="N1836" i="4"/>
  <c r="M1836" i="4"/>
  <c r="L1836" i="4"/>
  <c r="K1836" i="4"/>
  <c r="J1836" i="4"/>
  <c r="I1836" i="4"/>
  <c r="H1836" i="4"/>
  <c r="Q1835" i="4"/>
  <c r="P1835" i="4"/>
  <c r="O1835" i="4"/>
  <c r="N1835" i="4"/>
  <c r="M1835" i="4"/>
  <c r="L1835" i="4"/>
  <c r="K1835" i="4"/>
  <c r="J1835" i="4"/>
  <c r="I1835" i="4"/>
  <c r="H1835" i="4"/>
  <c r="Q1834" i="4"/>
  <c r="P1834" i="4"/>
  <c r="O1834" i="4"/>
  <c r="N1834" i="4"/>
  <c r="M1834" i="4"/>
  <c r="L1834" i="4"/>
  <c r="K1834" i="4"/>
  <c r="J1834" i="4"/>
  <c r="I1834" i="4"/>
  <c r="H1834" i="4"/>
  <c r="Q1831" i="4"/>
  <c r="P1831" i="4"/>
  <c r="O1831" i="4"/>
  <c r="N1831" i="4"/>
  <c r="M1831" i="4"/>
  <c r="L1831" i="4"/>
  <c r="K1831" i="4"/>
  <c r="J1831" i="4"/>
  <c r="I1831" i="4"/>
  <c r="H1831" i="4"/>
  <c r="Q1830" i="4"/>
  <c r="P1830" i="4"/>
  <c r="O1830" i="4"/>
  <c r="N1830" i="4"/>
  <c r="M1830" i="4"/>
  <c r="L1830" i="4"/>
  <c r="K1830" i="4"/>
  <c r="J1830" i="4"/>
  <c r="I1830" i="4"/>
  <c r="H1830" i="4"/>
  <c r="Q1829" i="4"/>
  <c r="P1829" i="4"/>
  <c r="O1829" i="4"/>
  <c r="N1829" i="4"/>
  <c r="M1829" i="4"/>
  <c r="L1829" i="4"/>
  <c r="K1829" i="4"/>
  <c r="J1829" i="4"/>
  <c r="I1829" i="4"/>
  <c r="H1829" i="4"/>
  <c r="Q1828" i="4"/>
  <c r="P1828" i="4"/>
  <c r="O1828" i="4"/>
  <c r="N1828" i="4"/>
  <c r="M1828" i="4"/>
  <c r="L1828" i="4"/>
  <c r="K1828" i="4"/>
  <c r="J1828" i="4"/>
  <c r="I1828" i="4"/>
  <c r="H1828" i="4"/>
  <c r="Q1827" i="4"/>
  <c r="P1827" i="4"/>
  <c r="O1827" i="4"/>
  <c r="N1827" i="4"/>
  <c r="M1827" i="4"/>
  <c r="L1827" i="4"/>
  <c r="K1827" i="4"/>
  <c r="J1827" i="4"/>
  <c r="I1827" i="4"/>
  <c r="H1827" i="4"/>
  <c r="Q1826" i="4"/>
  <c r="P1826" i="4"/>
  <c r="O1826" i="4"/>
  <c r="N1826" i="4"/>
  <c r="M1826" i="4"/>
  <c r="L1826" i="4"/>
  <c r="K1826" i="4"/>
  <c r="J1826" i="4"/>
  <c r="I1826" i="4"/>
  <c r="H1826" i="4"/>
  <c r="Q1825" i="4"/>
  <c r="P1825" i="4"/>
  <c r="O1825" i="4"/>
  <c r="N1825" i="4"/>
  <c r="M1825" i="4"/>
  <c r="L1825" i="4"/>
  <c r="K1825" i="4"/>
  <c r="J1825" i="4"/>
  <c r="I1825" i="4"/>
  <c r="H1825" i="4"/>
  <c r="Q1824" i="4"/>
  <c r="P1824" i="4"/>
  <c r="O1824" i="4"/>
  <c r="N1824" i="4"/>
  <c r="M1824" i="4"/>
  <c r="L1824" i="4"/>
  <c r="K1824" i="4"/>
  <c r="J1824" i="4"/>
  <c r="I1824" i="4"/>
  <c r="H1824" i="4"/>
  <c r="Q1823" i="4"/>
  <c r="P1823" i="4"/>
  <c r="O1823" i="4"/>
  <c r="N1823" i="4"/>
  <c r="M1823" i="4"/>
  <c r="L1823" i="4"/>
  <c r="K1823" i="4"/>
  <c r="J1823" i="4"/>
  <c r="I1823" i="4"/>
  <c r="H1823" i="4"/>
  <c r="Q1822" i="4"/>
  <c r="P1822" i="4"/>
  <c r="O1822" i="4"/>
  <c r="N1822" i="4"/>
  <c r="M1822" i="4"/>
  <c r="L1822" i="4"/>
  <c r="K1822" i="4"/>
  <c r="J1822" i="4"/>
  <c r="I1822" i="4"/>
  <c r="H1822" i="4"/>
  <c r="Q1819" i="4"/>
  <c r="P1819" i="4"/>
  <c r="O1819" i="4"/>
  <c r="N1819" i="4"/>
  <c r="M1819" i="4"/>
  <c r="L1819" i="4"/>
  <c r="K1819" i="4"/>
  <c r="J1819" i="4"/>
  <c r="I1819" i="4"/>
  <c r="H1819" i="4"/>
  <c r="Q1818" i="4"/>
  <c r="P1818" i="4"/>
  <c r="O1818" i="4"/>
  <c r="N1818" i="4"/>
  <c r="M1818" i="4"/>
  <c r="L1818" i="4"/>
  <c r="K1818" i="4"/>
  <c r="J1818" i="4"/>
  <c r="I1818" i="4"/>
  <c r="H1818" i="4"/>
  <c r="Q1817" i="4"/>
  <c r="P1817" i="4"/>
  <c r="O1817" i="4"/>
  <c r="N1817" i="4"/>
  <c r="M1817" i="4"/>
  <c r="L1817" i="4"/>
  <c r="K1817" i="4"/>
  <c r="J1817" i="4"/>
  <c r="I1817" i="4"/>
  <c r="H1817" i="4"/>
  <c r="Q1816" i="4"/>
  <c r="P1816" i="4"/>
  <c r="O1816" i="4"/>
  <c r="N1816" i="4"/>
  <c r="M1816" i="4"/>
  <c r="L1816" i="4"/>
  <c r="K1816" i="4"/>
  <c r="J1816" i="4"/>
  <c r="I1816" i="4"/>
  <c r="H1816" i="4"/>
  <c r="Q1815" i="4"/>
  <c r="P1815" i="4"/>
  <c r="O1815" i="4"/>
  <c r="N1815" i="4"/>
  <c r="M1815" i="4"/>
  <c r="L1815" i="4"/>
  <c r="K1815" i="4"/>
  <c r="J1815" i="4"/>
  <c r="I1815" i="4"/>
  <c r="H1815" i="4"/>
  <c r="Q1814" i="4"/>
  <c r="P1814" i="4"/>
  <c r="O1814" i="4"/>
  <c r="N1814" i="4"/>
  <c r="M1814" i="4"/>
  <c r="L1814" i="4"/>
  <c r="K1814" i="4"/>
  <c r="J1814" i="4"/>
  <c r="I1814" i="4"/>
  <c r="H1814" i="4"/>
  <c r="Q1813" i="4"/>
  <c r="P1813" i="4"/>
  <c r="O1813" i="4"/>
  <c r="N1813" i="4"/>
  <c r="M1813" i="4"/>
  <c r="L1813" i="4"/>
  <c r="K1813" i="4"/>
  <c r="J1813" i="4"/>
  <c r="I1813" i="4"/>
  <c r="H1813" i="4"/>
  <c r="Q1812" i="4"/>
  <c r="P1812" i="4"/>
  <c r="O1812" i="4"/>
  <c r="N1812" i="4"/>
  <c r="M1812" i="4"/>
  <c r="L1812" i="4"/>
  <c r="K1812" i="4"/>
  <c r="J1812" i="4"/>
  <c r="I1812" i="4"/>
  <c r="H1812" i="4"/>
  <c r="Q1811" i="4"/>
  <c r="P1811" i="4"/>
  <c r="O1811" i="4"/>
  <c r="N1811" i="4"/>
  <c r="M1811" i="4"/>
  <c r="L1811" i="4"/>
  <c r="K1811" i="4"/>
  <c r="J1811" i="4"/>
  <c r="I1811" i="4"/>
  <c r="H1811" i="4"/>
  <c r="Q1810" i="4"/>
  <c r="P1810" i="4"/>
  <c r="O1810" i="4"/>
  <c r="N1810" i="4"/>
  <c r="M1810" i="4"/>
  <c r="L1810" i="4"/>
  <c r="K1810" i="4"/>
  <c r="J1810" i="4"/>
  <c r="I1810" i="4"/>
  <c r="H1810" i="4"/>
  <c r="Q1807" i="4"/>
  <c r="P1807" i="4"/>
  <c r="O1807" i="4"/>
  <c r="N1807" i="4"/>
  <c r="M1807" i="4"/>
  <c r="L1807" i="4"/>
  <c r="K1807" i="4"/>
  <c r="J1807" i="4"/>
  <c r="I1807" i="4"/>
  <c r="H1807" i="4"/>
  <c r="Q1806" i="4"/>
  <c r="P1806" i="4"/>
  <c r="O1806" i="4"/>
  <c r="N1806" i="4"/>
  <c r="M1806" i="4"/>
  <c r="L1806" i="4"/>
  <c r="K1806" i="4"/>
  <c r="J1806" i="4"/>
  <c r="I1806" i="4"/>
  <c r="H1806" i="4"/>
  <c r="Q1805" i="4"/>
  <c r="P1805" i="4"/>
  <c r="O1805" i="4"/>
  <c r="N1805" i="4"/>
  <c r="M1805" i="4"/>
  <c r="L1805" i="4"/>
  <c r="K1805" i="4"/>
  <c r="J1805" i="4"/>
  <c r="I1805" i="4"/>
  <c r="H1805" i="4"/>
  <c r="Q1804" i="4"/>
  <c r="P1804" i="4"/>
  <c r="O1804" i="4"/>
  <c r="N1804" i="4"/>
  <c r="M1804" i="4"/>
  <c r="L1804" i="4"/>
  <c r="K1804" i="4"/>
  <c r="J1804" i="4"/>
  <c r="I1804" i="4"/>
  <c r="H1804" i="4"/>
  <c r="Q1803" i="4"/>
  <c r="P1803" i="4"/>
  <c r="O1803" i="4"/>
  <c r="N1803" i="4"/>
  <c r="M1803" i="4"/>
  <c r="L1803" i="4"/>
  <c r="K1803" i="4"/>
  <c r="J1803" i="4"/>
  <c r="I1803" i="4"/>
  <c r="H1803" i="4"/>
  <c r="Q1802" i="4"/>
  <c r="P1802" i="4"/>
  <c r="O1802" i="4"/>
  <c r="N1802" i="4"/>
  <c r="M1802" i="4"/>
  <c r="L1802" i="4"/>
  <c r="K1802" i="4"/>
  <c r="J1802" i="4"/>
  <c r="I1802" i="4"/>
  <c r="H1802" i="4"/>
  <c r="Q1801" i="4"/>
  <c r="P1801" i="4"/>
  <c r="O1801" i="4"/>
  <c r="N1801" i="4"/>
  <c r="M1801" i="4"/>
  <c r="L1801" i="4"/>
  <c r="K1801" i="4"/>
  <c r="J1801" i="4"/>
  <c r="I1801" i="4"/>
  <c r="H1801" i="4"/>
  <c r="Q1800" i="4"/>
  <c r="P1800" i="4"/>
  <c r="O1800" i="4"/>
  <c r="N1800" i="4"/>
  <c r="M1800" i="4"/>
  <c r="L1800" i="4"/>
  <c r="K1800" i="4"/>
  <c r="J1800" i="4"/>
  <c r="I1800" i="4"/>
  <c r="H1800" i="4"/>
  <c r="Q1799" i="4"/>
  <c r="P1799" i="4"/>
  <c r="O1799" i="4"/>
  <c r="N1799" i="4"/>
  <c r="M1799" i="4"/>
  <c r="L1799" i="4"/>
  <c r="K1799" i="4"/>
  <c r="J1799" i="4"/>
  <c r="I1799" i="4"/>
  <c r="H1799" i="4"/>
  <c r="Q1798" i="4"/>
  <c r="P1798" i="4"/>
  <c r="O1798" i="4"/>
  <c r="N1798" i="4"/>
  <c r="M1798" i="4"/>
  <c r="L1798" i="4"/>
  <c r="K1798" i="4"/>
  <c r="J1798" i="4"/>
  <c r="I1798" i="4"/>
  <c r="H1798" i="4"/>
  <c r="Q1795" i="4"/>
  <c r="P1795" i="4"/>
  <c r="O1795" i="4"/>
  <c r="N1795" i="4"/>
  <c r="M1795" i="4"/>
  <c r="L1795" i="4"/>
  <c r="K1795" i="4"/>
  <c r="J1795" i="4"/>
  <c r="I1795" i="4"/>
  <c r="H1795" i="4"/>
  <c r="Q1794" i="4"/>
  <c r="P1794" i="4"/>
  <c r="O1794" i="4"/>
  <c r="N1794" i="4"/>
  <c r="M1794" i="4"/>
  <c r="L1794" i="4"/>
  <c r="K1794" i="4"/>
  <c r="J1794" i="4"/>
  <c r="I1794" i="4"/>
  <c r="H1794" i="4"/>
  <c r="Q1793" i="4"/>
  <c r="P1793" i="4"/>
  <c r="O1793" i="4"/>
  <c r="N1793" i="4"/>
  <c r="M1793" i="4"/>
  <c r="L1793" i="4"/>
  <c r="K1793" i="4"/>
  <c r="J1793" i="4"/>
  <c r="I1793" i="4"/>
  <c r="H1793" i="4"/>
  <c r="Q1792" i="4"/>
  <c r="P1792" i="4"/>
  <c r="O1792" i="4"/>
  <c r="N1792" i="4"/>
  <c r="M1792" i="4"/>
  <c r="L1792" i="4"/>
  <c r="K1792" i="4"/>
  <c r="J1792" i="4"/>
  <c r="I1792" i="4"/>
  <c r="H1792" i="4"/>
  <c r="Q1791" i="4"/>
  <c r="P1791" i="4"/>
  <c r="O1791" i="4"/>
  <c r="N1791" i="4"/>
  <c r="M1791" i="4"/>
  <c r="L1791" i="4"/>
  <c r="K1791" i="4"/>
  <c r="J1791" i="4"/>
  <c r="I1791" i="4"/>
  <c r="H1791" i="4"/>
  <c r="Q1790" i="4"/>
  <c r="P1790" i="4"/>
  <c r="O1790" i="4"/>
  <c r="N1790" i="4"/>
  <c r="M1790" i="4"/>
  <c r="L1790" i="4"/>
  <c r="K1790" i="4"/>
  <c r="J1790" i="4"/>
  <c r="I1790" i="4"/>
  <c r="H1790" i="4"/>
  <c r="Q1789" i="4"/>
  <c r="P1789" i="4"/>
  <c r="O1789" i="4"/>
  <c r="N1789" i="4"/>
  <c r="M1789" i="4"/>
  <c r="L1789" i="4"/>
  <c r="K1789" i="4"/>
  <c r="J1789" i="4"/>
  <c r="I1789" i="4"/>
  <c r="H1789" i="4"/>
  <c r="Q1788" i="4"/>
  <c r="P1788" i="4"/>
  <c r="O1788" i="4"/>
  <c r="N1788" i="4"/>
  <c r="M1788" i="4"/>
  <c r="L1788" i="4"/>
  <c r="K1788" i="4"/>
  <c r="J1788" i="4"/>
  <c r="I1788" i="4"/>
  <c r="H1788" i="4"/>
  <c r="Q1787" i="4"/>
  <c r="P1787" i="4"/>
  <c r="O1787" i="4"/>
  <c r="N1787" i="4"/>
  <c r="M1787" i="4"/>
  <c r="L1787" i="4"/>
  <c r="K1787" i="4"/>
  <c r="J1787" i="4"/>
  <c r="I1787" i="4"/>
  <c r="H1787" i="4"/>
  <c r="Q1786" i="4"/>
  <c r="P1786" i="4"/>
  <c r="O1786" i="4"/>
  <c r="N1786" i="4"/>
  <c r="M1786" i="4"/>
  <c r="L1786" i="4"/>
  <c r="K1786" i="4"/>
  <c r="J1786" i="4"/>
  <c r="I1786" i="4"/>
  <c r="H1786" i="4"/>
  <c r="Q1783" i="4"/>
  <c r="P1783" i="4"/>
  <c r="O1783" i="4"/>
  <c r="N1783" i="4"/>
  <c r="M1783" i="4"/>
  <c r="L1783" i="4"/>
  <c r="K1783" i="4"/>
  <c r="J1783" i="4"/>
  <c r="I1783" i="4"/>
  <c r="H1783" i="4"/>
  <c r="Q1782" i="4"/>
  <c r="P1782" i="4"/>
  <c r="O1782" i="4"/>
  <c r="N1782" i="4"/>
  <c r="M1782" i="4"/>
  <c r="L1782" i="4"/>
  <c r="K1782" i="4"/>
  <c r="J1782" i="4"/>
  <c r="I1782" i="4"/>
  <c r="H1782" i="4"/>
  <c r="Q1781" i="4"/>
  <c r="P1781" i="4"/>
  <c r="O1781" i="4"/>
  <c r="N1781" i="4"/>
  <c r="M1781" i="4"/>
  <c r="L1781" i="4"/>
  <c r="K1781" i="4"/>
  <c r="J1781" i="4"/>
  <c r="I1781" i="4"/>
  <c r="H1781" i="4"/>
  <c r="Q1780" i="4"/>
  <c r="P1780" i="4"/>
  <c r="O1780" i="4"/>
  <c r="N1780" i="4"/>
  <c r="M1780" i="4"/>
  <c r="L1780" i="4"/>
  <c r="K1780" i="4"/>
  <c r="J1780" i="4"/>
  <c r="I1780" i="4"/>
  <c r="H1780" i="4"/>
  <c r="Q1779" i="4"/>
  <c r="P1779" i="4"/>
  <c r="O1779" i="4"/>
  <c r="N1779" i="4"/>
  <c r="M1779" i="4"/>
  <c r="L1779" i="4"/>
  <c r="K1779" i="4"/>
  <c r="J1779" i="4"/>
  <c r="I1779" i="4"/>
  <c r="H1779" i="4"/>
  <c r="Q1778" i="4"/>
  <c r="P1778" i="4"/>
  <c r="O1778" i="4"/>
  <c r="N1778" i="4"/>
  <c r="M1778" i="4"/>
  <c r="L1778" i="4"/>
  <c r="K1778" i="4"/>
  <c r="J1778" i="4"/>
  <c r="I1778" i="4"/>
  <c r="H1778" i="4"/>
  <c r="Q1777" i="4"/>
  <c r="P1777" i="4"/>
  <c r="O1777" i="4"/>
  <c r="N1777" i="4"/>
  <c r="M1777" i="4"/>
  <c r="L1777" i="4"/>
  <c r="K1777" i="4"/>
  <c r="J1777" i="4"/>
  <c r="I1777" i="4"/>
  <c r="H1777" i="4"/>
  <c r="Q1776" i="4"/>
  <c r="P1776" i="4"/>
  <c r="O1776" i="4"/>
  <c r="N1776" i="4"/>
  <c r="M1776" i="4"/>
  <c r="L1776" i="4"/>
  <c r="K1776" i="4"/>
  <c r="J1776" i="4"/>
  <c r="I1776" i="4"/>
  <c r="H1776" i="4"/>
  <c r="Q1775" i="4"/>
  <c r="P1775" i="4"/>
  <c r="O1775" i="4"/>
  <c r="N1775" i="4"/>
  <c r="M1775" i="4"/>
  <c r="L1775" i="4"/>
  <c r="K1775" i="4"/>
  <c r="J1775" i="4"/>
  <c r="I1775" i="4"/>
  <c r="H1775" i="4"/>
  <c r="Q1774" i="4"/>
  <c r="P1774" i="4"/>
  <c r="O1774" i="4"/>
  <c r="N1774" i="4"/>
  <c r="M1774" i="4"/>
  <c r="L1774" i="4"/>
  <c r="K1774" i="4"/>
  <c r="J1774" i="4"/>
  <c r="I1774" i="4"/>
  <c r="H1774" i="4"/>
  <c r="Q1771" i="4"/>
  <c r="P1771" i="4"/>
  <c r="O1771" i="4"/>
  <c r="N1771" i="4"/>
  <c r="M1771" i="4"/>
  <c r="L1771" i="4"/>
  <c r="K1771" i="4"/>
  <c r="J1771" i="4"/>
  <c r="I1771" i="4"/>
  <c r="H1771" i="4"/>
  <c r="Q1770" i="4"/>
  <c r="P1770" i="4"/>
  <c r="O1770" i="4"/>
  <c r="N1770" i="4"/>
  <c r="M1770" i="4"/>
  <c r="L1770" i="4"/>
  <c r="K1770" i="4"/>
  <c r="J1770" i="4"/>
  <c r="I1770" i="4"/>
  <c r="H1770" i="4"/>
  <c r="Q1769" i="4"/>
  <c r="P1769" i="4"/>
  <c r="O1769" i="4"/>
  <c r="N1769" i="4"/>
  <c r="M1769" i="4"/>
  <c r="L1769" i="4"/>
  <c r="K1769" i="4"/>
  <c r="J1769" i="4"/>
  <c r="I1769" i="4"/>
  <c r="H1769" i="4"/>
  <c r="Q1768" i="4"/>
  <c r="P1768" i="4"/>
  <c r="O1768" i="4"/>
  <c r="N1768" i="4"/>
  <c r="M1768" i="4"/>
  <c r="L1768" i="4"/>
  <c r="K1768" i="4"/>
  <c r="J1768" i="4"/>
  <c r="I1768" i="4"/>
  <c r="H1768" i="4"/>
  <c r="Q1767" i="4"/>
  <c r="P1767" i="4"/>
  <c r="O1767" i="4"/>
  <c r="N1767" i="4"/>
  <c r="M1767" i="4"/>
  <c r="L1767" i="4"/>
  <c r="K1767" i="4"/>
  <c r="J1767" i="4"/>
  <c r="I1767" i="4"/>
  <c r="H1767" i="4"/>
  <c r="Q1766" i="4"/>
  <c r="P1766" i="4"/>
  <c r="O1766" i="4"/>
  <c r="N1766" i="4"/>
  <c r="M1766" i="4"/>
  <c r="L1766" i="4"/>
  <c r="K1766" i="4"/>
  <c r="J1766" i="4"/>
  <c r="I1766" i="4"/>
  <c r="H1766" i="4"/>
  <c r="Q1765" i="4"/>
  <c r="P1765" i="4"/>
  <c r="O1765" i="4"/>
  <c r="N1765" i="4"/>
  <c r="M1765" i="4"/>
  <c r="L1765" i="4"/>
  <c r="K1765" i="4"/>
  <c r="J1765" i="4"/>
  <c r="I1765" i="4"/>
  <c r="H1765" i="4"/>
  <c r="Q1764" i="4"/>
  <c r="P1764" i="4"/>
  <c r="O1764" i="4"/>
  <c r="N1764" i="4"/>
  <c r="M1764" i="4"/>
  <c r="L1764" i="4"/>
  <c r="K1764" i="4"/>
  <c r="J1764" i="4"/>
  <c r="I1764" i="4"/>
  <c r="H1764" i="4"/>
  <c r="Q1763" i="4"/>
  <c r="P1763" i="4"/>
  <c r="O1763" i="4"/>
  <c r="N1763" i="4"/>
  <c r="M1763" i="4"/>
  <c r="L1763" i="4"/>
  <c r="K1763" i="4"/>
  <c r="J1763" i="4"/>
  <c r="I1763" i="4"/>
  <c r="H1763" i="4"/>
  <c r="Q1762" i="4"/>
  <c r="P1762" i="4"/>
  <c r="O1762" i="4"/>
  <c r="N1762" i="4"/>
  <c r="M1762" i="4"/>
  <c r="L1762" i="4"/>
  <c r="K1762" i="4"/>
  <c r="J1762" i="4"/>
  <c r="I1762" i="4"/>
  <c r="H1762" i="4"/>
  <c r="Q1759" i="4"/>
  <c r="P1759" i="4"/>
  <c r="O1759" i="4"/>
  <c r="N1759" i="4"/>
  <c r="M1759" i="4"/>
  <c r="L1759" i="4"/>
  <c r="K1759" i="4"/>
  <c r="J1759" i="4"/>
  <c r="I1759" i="4"/>
  <c r="H1759" i="4"/>
  <c r="Q1758" i="4"/>
  <c r="P1758" i="4"/>
  <c r="O1758" i="4"/>
  <c r="N1758" i="4"/>
  <c r="M1758" i="4"/>
  <c r="L1758" i="4"/>
  <c r="K1758" i="4"/>
  <c r="J1758" i="4"/>
  <c r="I1758" i="4"/>
  <c r="H1758" i="4"/>
  <c r="Q1757" i="4"/>
  <c r="P1757" i="4"/>
  <c r="O1757" i="4"/>
  <c r="N1757" i="4"/>
  <c r="M1757" i="4"/>
  <c r="L1757" i="4"/>
  <c r="K1757" i="4"/>
  <c r="J1757" i="4"/>
  <c r="I1757" i="4"/>
  <c r="H1757" i="4"/>
  <c r="Q1756" i="4"/>
  <c r="P1756" i="4"/>
  <c r="O1756" i="4"/>
  <c r="N1756" i="4"/>
  <c r="M1756" i="4"/>
  <c r="L1756" i="4"/>
  <c r="K1756" i="4"/>
  <c r="J1756" i="4"/>
  <c r="I1756" i="4"/>
  <c r="H1756" i="4"/>
  <c r="Q1755" i="4"/>
  <c r="P1755" i="4"/>
  <c r="O1755" i="4"/>
  <c r="N1755" i="4"/>
  <c r="M1755" i="4"/>
  <c r="L1755" i="4"/>
  <c r="K1755" i="4"/>
  <c r="J1755" i="4"/>
  <c r="I1755" i="4"/>
  <c r="H1755" i="4"/>
  <c r="Q1754" i="4"/>
  <c r="P1754" i="4"/>
  <c r="O1754" i="4"/>
  <c r="N1754" i="4"/>
  <c r="M1754" i="4"/>
  <c r="L1754" i="4"/>
  <c r="K1754" i="4"/>
  <c r="J1754" i="4"/>
  <c r="I1754" i="4"/>
  <c r="H1754" i="4"/>
  <c r="Q1753" i="4"/>
  <c r="P1753" i="4"/>
  <c r="O1753" i="4"/>
  <c r="N1753" i="4"/>
  <c r="M1753" i="4"/>
  <c r="L1753" i="4"/>
  <c r="K1753" i="4"/>
  <c r="J1753" i="4"/>
  <c r="I1753" i="4"/>
  <c r="H1753" i="4"/>
  <c r="Q1752" i="4"/>
  <c r="P1752" i="4"/>
  <c r="O1752" i="4"/>
  <c r="N1752" i="4"/>
  <c r="M1752" i="4"/>
  <c r="L1752" i="4"/>
  <c r="K1752" i="4"/>
  <c r="J1752" i="4"/>
  <c r="I1752" i="4"/>
  <c r="H1752" i="4"/>
  <c r="Q1751" i="4"/>
  <c r="P1751" i="4"/>
  <c r="O1751" i="4"/>
  <c r="N1751" i="4"/>
  <c r="M1751" i="4"/>
  <c r="L1751" i="4"/>
  <c r="K1751" i="4"/>
  <c r="J1751" i="4"/>
  <c r="I1751" i="4"/>
  <c r="H1751" i="4"/>
  <c r="Q1750" i="4"/>
  <c r="P1750" i="4"/>
  <c r="O1750" i="4"/>
  <c r="N1750" i="4"/>
  <c r="M1750" i="4"/>
  <c r="L1750" i="4"/>
  <c r="K1750" i="4"/>
  <c r="J1750" i="4"/>
  <c r="I1750" i="4"/>
  <c r="H1750" i="4"/>
  <c r="Q1747" i="4"/>
  <c r="P1747" i="4"/>
  <c r="O1747" i="4"/>
  <c r="N1747" i="4"/>
  <c r="M1747" i="4"/>
  <c r="L1747" i="4"/>
  <c r="K1747" i="4"/>
  <c r="J1747" i="4"/>
  <c r="I1747" i="4"/>
  <c r="H1747" i="4"/>
  <c r="Q1746" i="4"/>
  <c r="P1746" i="4"/>
  <c r="O1746" i="4"/>
  <c r="N1746" i="4"/>
  <c r="M1746" i="4"/>
  <c r="L1746" i="4"/>
  <c r="K1746" i="4"/>
  <c r="J1746" i="4"/>
  <c r="I1746" i="4"/>
  <c r="H1746" i="4"/>
  <c r="Q1745" i="4"/>
  <c r="P1745" i="4"/>
  <c r="O1745" i="4"/>
  <c r="N1745" i="4"/>
  <c r="M1745" i="4"/>
  <c r="L1745" i="4"/>
  <c r="K1745" i="4"/>
  <c r="J1745" i="4"/>
  <c r="I1745" i="4"/>
  <c r="H1745" i="4"/>
  <c r="Q1744" i="4"/>
  <c r="P1744" i="4"/>
  <c r="O1744" i="4"/>
  <c r="N1744" i="4"/>
  <c r="M1744" i="4"/>
  <c r="L1744" i="4"/>
  <c r="K1744" i="4"/>
  <c r="J1744" i="4"/>
  <c r="I1744" i="4"/>
  <c r="H1744" i="4"/>
  <c r="Q1743" i="4"/>
  <c r="P1743" i="4"/>
  <c r="O1743" i="4"/>
  <c r="N1743" i="4"/>
  <c r="M1743" i="4"/>
  <c r="L1743" i="4"/>
  <c r="K1743" i="4"/>
  <c r="J1743" i="4"/>
  <c r="I1743" i="4"/>
  <c r="H1743" i="4"/>
  <c r="Q1742" i="4"/>
  <c r="P1742" i="4"/>
  <c r="O1742" i="4"/>
  <c r="N1742" i="4"/>
  <c r="M1742" i="4"/>
  <c r="L1742" i="4"/>
  <c r="K1742" i="4"/>
  <c r="J1742" i="4"/>
  <c r="I1742" i="4"/>
  <c r="H1742" i="4"/>
  <c r="Q1741" i="4"/>
  <c r="P1741" i="4"/>
  <c r="O1741" i="4"/>
  <c r="N1741" i="4"/>
  <c r="M1741" i="4"/>
  <c r="L1741" i="4"/>
  <c r="K1741" i="4"/>
  <c r="J1741" i="4"/>
  <c r="I1741" i="4"/>
  <c r="H1741" i="4"/>
  <c r="Q1740" i="4"/>
  <c r="P1740" i="4"/>
  <c r="O1740" i="4"/>
  <c r="N1740" i="4"/>
  <c r="M1740" i="4"/>
  <c r="L1740" i="4"/>
  <c r="K1740" i="4"/>
  <c r="J1740" i="4"/>
  <c r="I1740" i="4"/>
  <c r="H1740" i="4"/>
  <c r="Q1739" i="4"/>
  <c r="P1739" i="4"/>
  <c r="O1739" i="4"/>
  <c r="N1739" i="4"/>
  <c r="M1739" i="4"/>
  <c r="L1739" i="4"/>
  <c r="K1739" i="4"/>
  <c r="J1739" i="4"/>
  <c r="I1739" i="4"/>
  <c r="H1739" i="4"/>
  <c r="Q1738" i="4"/>
  <c r="P1738" i="4"/>
  <c r="O1738" i="4"/>
  <c r="N1738" i="4"/>
  <c r="M1738" i="4"/>
  <c r="L1738" i="4"/>
  <c r="K1738" i="4"/>
  <c r="J1738" i="4"/>
  <c r="I1738" i="4"/>
  <c r="H1738" i="4"/>
  <c r="Q1735" i="4"/>
  <c r="P1735" i="4"/>
  <c r="O1735" i="4"/>
  <c r="N1735" i="4"/>
  <c r="M1735" i="4"/>
  <c r="L1735" i="4"/>
  <c r="K1735" i="4"/>
  <c r="J1735" i="4"/>
  <c r="I1735" i="4"/>
  <c r="H1735" i="4"/>
  <c r="Q1734" i="4"/>
  <c r="P1734" i="4"/>
  <c r="O1734" i="4"/>
  <c r="N1734" i="4"/>
  <c r="M1734" i="4"/>
  <c r="L1734" i="4"/>
  <c r="K1734" i="4"/>
  <c r="J1734" i="4"/>
  <c r="I1734" i="4"/>
  <c r="H1734" i="4"/>
  <c r="Q1733" i="4"/>
  <c r="P1733" i="4"/>
  <c r="O1733" i="4"/>
  <c r="N1733" i="4"/>
  <c r="M1733" i="4"/>
  <c r="L1733" i="4"/>
  <c r="K1733" i="4"/>
  <c r="J1733" i="4"/>
  <c r="I1733" i="4"/>
  <c r="H1733" i="4"/>
  <c r="Q1732" i="4"/>
  <c r="P1732" i="4"/>
  <c r="O1732" i="4"/>
  <c r="N1732" i="4"/>
  <c r="M1732" i="4"/>
  <c r="L1732" i="4"/>
  <c r="K1732" i="4"/>
  <c r="J1732" i="4"/>
  <c r="I1732" i="4"/>
  <c r="H1732" i="4"/>
  <c r="Q1731" i="4"/>
  <c r="P1731" i="4"/>
  <c r="O1731" i="4"/>
  <c r="N1731" i="4"/>
  <c r="M1731" i="4"/>
  <c r="L1731" i="4"/>
  <c r="K1731" i="4"/>
  <c r="J1731" i="4"/>
  <c r="I1731" i="4"/>
  <c r="H1731" i="4"/>
  <c r="Q1730" i="4"/>
  <c r="P1730" i="4"/>
  <c r="O1730" i="4"/>
  <c r="N1730" i="4"/>
  <c r="M1730" i="4"/>
  <c r="L1730" i="4"/>
  <c r="K1730" i="4"/>
  <c r="J1730" i="4"/>
  <c r="I1730" i="4"/>
  <c r="H1730" i="4"/>
  <c r="Q1729" i="4"/>
  <c r="P1729" i="4"/>
  <c r="O1729" i="4"/>
  <c r="N1729" i="4"/>
  <c r="M1729" i="4"/>
  <c r="L1729" i="4"/>
  <c r="K1729" i="4"/>
  <c r="J1729" i="4"/>
  <c r="I1729" i="4"/>
  <c r="H1729" i="4"/>
  <c r="Q1728" i="4"/>
  <c r="P1728" i="4"/>
  <c r="O1728" i="4"/>
  <c r="N1728" i="4"/>
  <c r="M1728" i="4"/>
  <c r="L1728" i="4"/>
  <c r="K1728" i="4"/>
  <c r="J1728" i="4"/>
  <c r="I1728" i="4"/>
  <c r="H1728" i="4"/>
  <c r="Q1727" i="4"/>
  <c r="P1727" i="4"/>
  <c r="O1727" i="4"/>
  <c r="N1727" i="4"/>
  <c r="M1727" i="4"/>
  <c r="L1727" i="4"/>
  <c r="K1727" i="4"/>
  <c r="J1727" i="4"/>
  <c r="I1727" i="4"/>
  <c r="H1727" i="4"/>
  <c r="Q1726" i="4"/>
  <c r="P1726" i="4"/>
  <c r="O1726" i="4"/>
  <c r="N1726" i="4"/>
  <c r="M1726" i="4"/>
  <c r="L1726" i="4"/>
  <c r="K1726" i="4"/>
  <c r="J1726" i="4"/>
  <c r="I1726" i="4"/>
  <c r="H1726" i="4"/>
  <c r="Q1723" i="4"/>
  <c r="P1723" i="4"/>
  <c r="O1723" i="4"/>
  <c r="N1723" i="4"/>
  <c r="M1723" i="4"/>
  <c r="L1723" i="4"/>
  <c r="K1723" i="4"/>
  <c r="J1723" i="4"/>
  <c r="I1723" i="4"/>
  <c r="H1723" i="4"/>
  <c r="Q1722" i="4"/>
  <c r="P1722" i="4"/>
  <c r="O1722" i="4"/>
  <c r="N1722" i="4"/>
  <c r="M1722" i="4"/>
  <c r="L1722" i="4"/>
  <c r="K1722" i="4"/>
  <c r="J1722" i="4"/>
  <c r="I1722" i="4"/>
  <c r="H1722" i="4"/>
  <c r="Q1721" i="4"/>
  <c r="P1721" i="4"/>
  <c r="O1721" i="4"/>
  <c r="N1721" i="4"/>
  <c r="M1721" i="4"/>
  <c r="L1721" i="4"/>
  <c r="K1721" i="4"/>
  <c r="J1721" i="4"/>
  <c r="I1721" i="4"/>
  <c r="H1721" i="4"/>
  <c r="Q1720" i="4"/>
  <c r="P1720" i="4"/>
  <c r="O1720" i="4"/>
  <c r="N1720" i="4"/>
  <c r="M1720" i="4"/>
  <c r="L1720" i="4"/>
  <c r="K1720" i="4"/>
  <c r="J1720" i="4"/>
  <c r="I1720" i="4"/>
  <c r="H1720" i="4"/>
  <c r="Q1719" i="4"/>
  <c r="P1719" i="4"/>
  <c r="O1719" i="4"/>
  <c r="N1719" i="4"/>
  <c r="M1719" i="4"/>
  <c r="L1719" i="4"/>
  <c r="K1719" i="4"/>
  <c r="J1719" i="4"/>
  <c r="I1719" i="4"/>
  <c r="H1719" i="4"/>
  <c r="Q1718" i="4"/>
  <c r="P1718" i="4"/>
  <c r="O1718" i="4"/>
  <c r="N1718" i="4"/>
  <c r="M1718" i="4"/>
  <c r="L1718" i="4"/>
  <c r="K1718" i="4"/>
  <c r="J1718" i="4"/>
  <c r="I1718" i="4"/>
  <c r="H1718" i="4"/>
  <c r="Q1717" i="4"/>
  <c r="P1717" i="4"/>
  <c r="O1717" i="4"/>
  <c r="N1717" i="4"/>
  <c r="M1717" i="4"/>
  <c r="L1717" i="4"/>
  <c r="K1717" i="4"/>
  <c r="J1717" i="4"/>
  <c r="I1717" i="4"/>
  <c r="H1717" i="4"/>
  <c r="Q1716" i="4"/>
  <c r="P1716" i="4"/>
  <c r="O1716" i="4"/>
  <c r="N1716" i="4"/>
  <c r="M1716" i="4"/>
  <c r="L1716" i="4"/>
  <c r="K1716" i="4"/>
  <c r="J1716" i="4"/>
  <c r="I1716" i="4"/>
  <c r="H1716" i="4"/>
  <c r="Q1715" i="4"/>
  <c r="P1715" i="4"/>
  <c r="O1715" i="4"/>
  <c r="N1715" i="4"/>
  <c r="M1715" i="4"/>
  <c r="L1715" i="4"/>
  <c r="K1715" i="4"/>
  <c r="J1715" i="4"/>
  <c r="I1715" i="4"/>
  <c r="H1715" i="4"/>
  <c r="Q1714" i="4"/>
  <c r="P1714" i="4"/>
  <c r="O1714" i="4"/>
  <c r="N1714" i="4"/>
  <c r="M1714" i="4"/>
  <c r="L1714" i="4"/>
  <c r="K1714" i="4"/>
  <c r="J1714" i="4"/>
  <c r="I1714" i="4"/>
  <c r="H1714" i="4"/>
  <c r="Q1711" i="4"/>
  <c r="P1711" i="4"/>
  <c r="O1711" i="4"/>
  <c r="N1711" i="4"/>
  <c r="M1711" i="4"/>
  <c r="L1711" i="4"/>
  <c r="K1711" i="4"/>
  <c r="J1711" i="4"/>
  <c r="I1711" i="4"/>
  <c r="H1711" i="4"/>
  <c r="Q1710" i="4"/>
  <c r="P1710" i="4"/>
  <c r="O1710" i="4"/>
  <c r="N1710" i="4"/>
  <c r="M1710" i="4"/>
  <c r="L1710" i="4"/>
  <c r="K1710" i="4"/>
  <c r="J1710" i="4"/>
  <c r="I1710" i="4"/>
  <c r="H1710" i="4"/>
  <c r="Q1709" i="4"/>
  <c r="P1709" i="4"/>
  <c r="O1709" i="4"/>
  <c r="N1709" i="4"/>
  <c r="M1709" i="4"/>
  <c r="L1709" i="4"/>
  <c r="K1709" i="4"/>
  <c r="J1709" i="4"/>
  <c r="I1709" i="4"/>
  <c r="H1709" i="4"/>
  <c r="Q1708" i="4"/>
  <c r="P1708" i="4"/>
  <c r="O1708" i="4"/>
  <c r="N1708" i="4"/>
  <c r="M1708" i="4"/>
  <c r="L1708" i="4"/>
  <c r="K1708" i="4"/>
  <c r="J1708" i="4"/>
  <c r="I1708" i="4"/>
  <c r="H1708" i="4"/>
  <c r="Q1707" i="4"/>
  <c r="P1707" i="4"/>
  <c r="O1707" i="4"/>
  <c r="N1707" i="4"/>
  <c r="M1707" i="4"/>
  <c r="L1707" i="4"/>
  <c r="K1707" i="4"/>
  <c r="J1707" i="4"/>
  <c r="I1707" i="4"/>
  <c r="H1707" i="4"/>
  <c r="Q1706" i="4"/>
  <c r="P1706" i="4"/>
  <c r="O1706" i="4"/>
  <c r="N1706" i="4"/>
  <c r="M1706" i="4"/>
  <c r="L1706" i="4"/>
  <c r="K1706" i="4"/>
  <c r="J1706" i="4"/>
  <c r="I1706" i="4"/>
  <c r="H1706" i="4"/>
  <c r="Q1705" i="4"/>
  <c r="P1705" i="4"/>
  <c r="O1705" i="4"/>
  <c r="N1705" i="4"/>
  <c r="M1705" i="4"/>
  <c r="L1705" i="4"/>
  <c r="K1705" i="4"/>
  <c r="J1705" i="4"/>
  <c r="I1705" i="4"/>
  <c r="H1705" i="4"/>
  <c r="Q1704" i="4"/>
  <c r="P1704" i="4"/>
  <c r="O1704" i="4"/>
  <c r="N1704" i="4"/>
  <c r="M1704" i="4"/>
  <c r="L1704" i="4"/>
  <c r="K1704" i="4"/>
  <c r="J1704" i="4"/>
  <c r="I1704" i="4"/>
  <c r="H1704" i="4"/>
  <c r="Q1703" i="4"/>
  <c r="P1703" i="4"/>
  <c r="O1703" i="4"/>
  <c r="N1703" i="4"/>
  <c r="M1703" i="4"/>
  <c r="L1703" i="4"/>
  <c r="K1703" i="4"/>
  <c r="J1703" i="4"/>
  <c r="I1703" i="4"/>
  <c r="H1703" i="4"/>
  <c r="Q1702" i="4"/>
  <c r="P1702" i="4"/>
  <c r="O1702" i="4"/>
  <c r="N1702" i="4"/>
  <c r="M1702" i="4"/>
  <c r="L1702" i="4"/>
  <c r="K1702" i="4"/>
  <c r="J1702" i="4"/>
  <c r="I1702" i="4"/>
  <c r="H1702" i="4"/>
  <c r="Q1987" i="4"/>
  <c r="P1987" i="4"/>
  <c r="O1987" i="4"/>
  <c r="N1987" i="4"/>
  <c r="M1987" i="4"/>
  <c r="L1987" i="4"/>
  <c r="K1987" i="4"/>
  <c r="J1987" i="4"/>
  <c r="I1987" i="4"/>
  <c r="H1987" i="4"/>
  <c r="Q1986" i="4"/>
  <c r="P1986" i="4"/>
  <c r="O1986" i="4"/>
  <c r="N1986" i="4"/>
  <c r="M1986" i="4"/>
  <c r="L1986" i="4"/>
  <c r="K1986" i="4"/>
  <c r="J1986" i="4"/>
  <c r="I1986" i="4"/>
  <c r="H1986" i="4"/>
  <c r="Q1985" i="4"/>
  <c r="P1985" i="4"/>
  <c r="O1985" i="4"/>
  <c r="N1985" i="4"/>
  <c r="M1985" i="4"/>
  <c r="L1985" i="4"/>
  <c r="K1985" i="4"/>
  <c r="J1985" i="4"/>
  <c r="I1985" i="4"/>
  <c r="H1985" i="4"/>
  <c r="Q1984" i="4"/>
  <c r="P1984" i="4"/>
  <c r="O1984" i="4"/>
  <c r="N1984" i="4"/>
  <c r="M1984" i="4"/>
  <c r="L1984" i="4"/>
  <c r="K1984" i="4"/>
  <c r="J1984" i="4"/>
  <c r="I1984" i="4"/>
  <c r="H1984" i="4"/>
  <c r="Q1983" i="4"/>
  <c r="P1983" i="4"/>
  <c r="O1983" i="4"/>
  <c r="N1983" i="4"/>
  <c r="M1983" i="4"/>
  <c r="L1983" i="4"/>
  <c r="K1983" i="4"/>
  <c r="J1983" i="4"/>
  <c r="I1983" i="4"/>
  <c r="H1983" i="4"/>
  <c r="Q1982" i="4"/>
  <c r="P1982" i="4"/>
  <c r="O1982" i="4"/>
  <c r="N1982" i="4"/>
  <c r="M1982" i="4"/>
  <c r="L1982" i="4"/>
  <c r="K1982" i="4"/>
  <c r="J1982" i="4"/>
  <c r="I1982" i="4"/>
  <c r="H1982" i="4"/>
  <c r="Q1981" i="4"/>
  <c r="P1981" i="4"/>
  <c r="O1981" i="4"/>
  <c r="N1981" i="4"/>
  <c r="M1981" i="4"/>
  <c r="L1981" i="4"/>
  <c r="K1981" i="4"/>
  <c r="J1981" i="4"/>
  <c r="I1981" i="4"/>
  <c r="H1981" i="4"/>
  <c r="Q1980" i="4"/>
  <c r="P1980" i="4"/>
  <c r="O1980" i="4"/>
  <c r="N1980" i="4"/>
  <c r="M1980" i="4"/>
  <c r="L1980" i="4"/>
  <c r="K1980" i="4"/>
  <c r="J1980" i="4"/>
  <c r="I1980" i="4"/>
  <c r="H1980" i="4"/>
  <c r="Q1979" i="4"/>
  <c r="P1979" i="4"/>
  <c r="O1979" i="4"/>
  <c r="N1979" i="4"/>
  <c r="M1979" i="4"/>
  <c r="L1979" i="4"/>
  <c r="K1979" i="4"/>
  <c r="J1979" i="4"/>
  <c r="I1979" i="4"/>
  <c r="H1979" i="4"/>
  <c r="Q1978" i="4"/>
  <c r="P1978" i="4"/>
  <c r="O1978" i="4"/>
  <c r="N1978" i="4"/>
  <c r="M1978" i="4"/>
  <c r="L1978" i="4"/>
  <c r="K1978" i="4"/>
  <c r="J1978" i="4"/>
  <c r="I1978" i="4"/>
  <c r="H1978" i="4"/>
  <c r="Q1975" i="4"/>
  <c r="P1975" i="4"/>
  <c r="O1975" i="4"/>
  <c r="N1975" i="4"/>
  <c r="M1975" i="4"/>
  <c r="L1975" i="4"/>
  <c r="K1975" i="4"/>
  <c r="J1975" i="4"/>
  <c r="I1975" i="4"/>
  <c r="H1975" i="4"/>
  <c r="Q1974" i="4"/>
  <c r="P1974" i="4"/>
  <c r="O1974" i="4"/>
  <c r="N1974" i="4"/>
  <c r="M1974" i="4"/>
  <c r="L1974" i="4"/>
  <c r="K1974" i="4"/>
  <c r="J1974" i="4"/>
  <c r="I1974" i="4"/>
  <c r="H1974" i="4"/>
  <c r="Q1973" i="4"/>
  <c r="P1973" i="4"/>
  <c r="O1973" i="4"/>
  <c r="N1973" i="4"/>
  <c r="M1973" i="4"/>
  <c r="L1973" i="4"/>
  <c r="K1973" i="4"/>
  <c r="J1973" i="4"/>
  <c r="I1973" i="4"/>
  <c r="H1973" i="4"/>
  <c r="Q1972" i="4"/>
  <c r="P1972" i="4"/>
  <c r="O1972" i="4"/>
  <c r="N1972" i="4"/>
  <c r="M1972" i="4"/>
  <c r="L1972" i="4"/>
  <c r="K1972" i="4"/>
  <c r="J1972" i="4"/>
  <c r="I1972" i="4"/>
  <c r="H1972" i="4"/>
  <c r="Q1971" i="4"/>
  <c r="P1971" i="4"/>
  <c r="O1971" i="4"/>
  <c r="N1971" i="4"/>
  <c r="M1971" i="4"/>
  <c r="L1971" i="4"/>
  <c r="K1971" i="4"/>
  <c r="J1971" i="4"/>
  <c r="I1971" i="4"/>
  <c r="H1971" i="4"/>
  <c r="Q1970" i="4"/>
  <c r="P1970" i="4"/>
  <c r="O1970" i="4"/>
  <c r="N1970" i="4"/>
  <c r="M1970" i="4"/>
  <c r="L1970" i="4"/>
  <c r="K1970" i="4"/>
  <c r="J1970" i="4"/>
  <c r="I1970" i="4"/>
  <c r="H1970" i="4"/>
  <c r="Q1969" i="4"/>
  <c r="P1969" i="4"/>
  <c r="O1969" i="4"/>
  <c r="N1969" i="4"/>
  <c r="M1969" i="4"/>
  <c r="L1969" i="4"/>
  <c r="K1969" i="4"/>
  <c r="J1969" i="4"/>
  <c r="I1969" i="4"/>
  <c r="H1969" i="4"/>
  <c r="Q1968" i="4"/>
  <c r="P1968" i="4"/>
  <c r="O1968" i="4"/>
  <c r="N1968" i="4"/>
  <c r="M1968" i="4"/>
  <c r="L1968" i="4"/>
  <c r="K1968" i="4"/>
  <c r="J1968" i="4"/>
  <c r="I1968" i="4"/>
  <c r="H1968" i="4"/>
  <c r="Q1967" i="4"/>
  <c r="P1967" i="4"/>
  <c r="O1967" i="4"/>
  <c r="N1967" i="4"/>
  <c r="M1967" i="4"/>
  <c r="L1967" i="4"/>
  <c r="K1967" i="4"/>
  <c r="J1967" i="4"/>
  <c r="I1967" i="4"/>
  <c r="H1967" i="4"/>
  <c r="Q1966" i="4"/>
  <c r="P1966" i="4"/>
  <c r="O1966" i="4"/>
  <c r="N1966" i="4"/>
  <c r="M1966" i="4"/>
  <c r="L1966" i="4"/>
  <c r="K1966" i="4"/>
  <c r="J1966" i="4"/>
  <c r="I1966" i="4"/>
  <c r="H1966" i="4"/>
  <c r="Q1963" i="4"/>
  <c r="P1963" i="4"/>
  <c r="O1963" i="4"/>
  <c r="N1963" i="4"/>
  <c r="M1963" i="4"/>
  <c r="L1963" i="4"/>
  <c r="K1963" i="4"/>
  <c r="J1963" i="4"/>
  <c r="I1963" i="4"/>
  <c r="H1963" i="4"/>
  <c r="Q1962" i="4"/>
  <c r="P1962" i="4"/>
  <c r="O1962" i="4"/>
  <c r="N1962" i="4"/>
  <c r="M1962" i="4"/>
  <c r="L1962" i="4"/>
  <c r="K1962" i="4"/>
  <c r="J1962" i="4"/>
  <c r="I1962" i="4"/>
  <c r="H1962" i="4"/>
  <c r="Q1961" i="4"/>
  <c r="P1961" i="4"/>
  <c r="O1961" i="4"/>
  <c r="N1961" i="4"/>
  <c r="M1961" i="4"/>
  <c r="L1961" i="4"/>
  <c r="K1961" i="4"/>
  <c r="J1961" i="4"/>
  <c r="I1961" i="4"/>
  <c r="H1961" i="4"/>
  <c r="Q1960" i="4"/>
  <c r="P1960" i="4"/>
  <c r="O1960" i="4"/>
  <c r="N1960" i="4"/>
  <c r="M1960" i="4"/>
  <c r="L1960" i="4"/>
  <c r="K1960" i="4"/>
  <c r="J1960" i="4"/>
  <c r="I1960" i="4"/>
  <c r="H1960" i="4"/>
  <c r="Q1959" i="4"/>
  <c r="P1959" i="4"/>
  <c r="O1959" i="4"/>
  <c r="N1959" i="4"/>
  <c r="M1959" i="4"/>
  <c r="L1959" i="4"/>
  <c r="K1959" i="4"/>
  <c r="J1959" i="4"/>
  <c r="I1959" i="4"/>
  <c r="H1959" i="4"/>
  <c r="Q1958" i="4"/>
  <c r="P1958" i="4"/>
  <c r="O1958" i="4"/>
  <c r="N1958" i="4"/>
  <c r="M1958" i="4"/>
  <c r="L1958" i="4"/>
  <c r="K1958" i="4"/>
  <c r="J1958" i="4"/>
  <c r="I1958" i="4"/>
  <c r="H1958" i="4"/>
  <c r="Q1957" i="4"/>
  <c r="P1957" i="4"/>
  <c r="O1957" i="4"/>
  <c r="N1957" i="4"/>
  <c r="M1957" i="4"/>
  <c r="L1957" i="4"/>
  <c r="K1957" i="4"/>
  <c r="J1957" i="4"/>
  <c r="I1957" i="4"/>
  <c r="H1957" i="4"/>
  <c r="Q1956" i="4"/>
  <c r="P1956" i="4"/>
  <c r="O1956" i="4"/>
  <c r="N1956" i="4"/>
  <c r="M1956" i="4"/>
  <c r="L1956" i="4"/>
  <c r="K1956" i="4"/>
  <c r="J1956" i="4"/>
  <c r="I1956" i="4"/>
  <c r="H1956" i="4"/>
  <c r="Q1955" i="4"/>
  <c r="P1955" i="4"/>
  <c r="O1955" i="4"/>
  <c r="N1955" i="4"/>
  <c r="M1955" i="4"/>
  <c r="L1955" i="4"/>
  <c r="K1955" i="4"/>
  <c r="J1955" i="4"/>
  <c r="I1955" i="4"/>
  <c r="H1955" i="4"/>
  <c r="Q1954" i="4"/>
  <c r="P1954" i="4"/>
  <c r="O1954" i="4"/>
  <c r="N1954" i="4"/>
  <c r="M1954" i="4"/>
  <c r="L1954" i="4"/>
  <c r="K1954" i="4"/>
  <c r="J1954" i="4"/>
  <c r="I1954" i="4"/>
  <c r="H1954" i="4"/>
  <c r="Q1951" i="4"/>
  <c r="P1951" i="4"/>
  <c r="O1951" i="4"/>
  <c r="N1951" i="4"/>
  <c r="M1951" i="4"/>
  <c r="L1951" i="4"/>
  <c r="K1951" i="4"/>
  <c r="J1951" i="4"/>
  <c r="I1951" i="4"/>
  <c r="H1951" i="4"/>
  <c r="Q1950" i="4"/>
  <c r="P1950" i="4"/>
  <c r="O1950" i="4"/>
  <c r="N1950" i="4"/>
  <c r="M1950" i="4"/>
  <c r="L1950" i="4"/>
  <c r="K1950" i="4"/>
  <c r="J1950" i="4"/>
  <c r="I1950" i="4"/>
  <c r="H1950" i="4"/>
  <c r="Q1949" i="4"/>
  <c r="P1949" i="4"/>
  <c r="O1949" i="4"/>
  <c r="N1949" i="4"/>
  <c r="M1949" i="4"/>
  <c r="L1949" i="4"/>
  <c r="K1949" i="4"/>
  <c r="J1949" i="4"/>
  <c r="I1949" i="4"/>
  <c r="H1949" i="4"/>
  <c r="Q1948" i="4"/>
  <c r="P1948" i="4"/>
  <c r="O1948" i="4"/>
  <c r="N1948" i="4"/>
  <c r="M1948" i="4"/>
  <c r="L1948" i="4"/>
  <c r="K1948" i="4"/>
  <c r="J1948" i="4"/>
  <c r="I1948" i="4"/>
  <c r="H1948" i="4"/>
  <c r="Q1947" i="4"/>
  <c r="P1947" i="4"/>
  <c r="O1947" i="4"/>
  <c r="N1947" i="4"/>
  <c r="M1947" i="4"/>
  <c r="L1947" i="4"/>
  <c r="K1947" i="4"/>
  <c r="J1947" i="4"/>
  <c r="I1947" i="4"/>
  <c r="H1947" i="4"/>
  <c r="Q1946" i="4"/>
  <c r="P1946" i="4"/>
  <c r="O1946" i="4"/>
  <c r="N1946" i="4"/>
  <c r="M1946" i="4"/>
  <c r="L1946" i="4"/>
  <c r="K1946" i="4"/>
  <c r="J1946" i="4"/>
  <c r="I1946" i="4"/>
  <c r="H1946" i="4"/>
  <c r="Q1945" i="4"/>
  <c r="P1945" i="4"/>
  <c r="O1945" i="4"/>
  <c r="N1945" i="4"/>
  <c r="M1945" i="4"/>
  <c r="L1945" i="4"/>
  <c r="K1945" i="4"/>
  <c r="J1945" i="4"/>
  <c r="I1945" i="4"/>
  <c r="H1945" i="4"/>
  <c r="Q1944" i="4"/>
  <c r="P1944" i="4"/>
  <c r="O1944" i="4"/>
  <c r="N1944" i="4"/>
  <c r="M1944" i="4"/>
  <c r="L1944" i="4"/>
  <c r="K1944" i="4"/>
  <c r="J1944" i="4"/>
  <c r="I1944" i="4"/>
  <c r="H1944" i="4"/>
  <c r="Q1943" i="4"/>
  <c r="P1943" i="4"/>
  <c r="O1943" i="4"/>
  <c r="N1943" i="4"/>
  <c r="M1943" i="4"/>
  <c r="L1943" i="4"/>
  <c r="K1943" i="4"/>
  <c r="J1943" i="4"/>
  <c r="I1943" i="4"/>
  <c r="H1943" i="4"/>
  <c r="Q1942" i="4"/>
  <c r="P1942" i="4"/>
  <c r="O1942" i="4"/>
  <c r="N1942" i="4"/>
  <c r="M1942" i="4"/>
  <c r="L1942" i="4"/>
  <c r="K1942" i="4"/>
  <c r="J1942" i="4"/>
  <c r="I1942" i="4"/>
  <c r="H1942" i="4"/>
  <c r="Q1939" i="4"/>
  <c r="P1939" i="4"/>
  <c r="O1939" i="4"/>
  <c r="N1939" i="4"/>
  <c r="M1939" i="4"/>
  <c r="L1939" i="4"/>
  <c r="K1939" i="4"/>
  <c r="J1939" i="4"/>
  <c r="I1939" i="4"/>
  <c r="H1939" i="4"/>
  <c r="Q1938" i="4"/>
  <c r="P1938" i="4"/>
  <c r="O1938" i="4"/>
  <c r="N1938" i="4"/>
  <c r="M1938" i="4"/>
  <c r="L1938" i="4"/>
  <c r="K1938" i="4"/>
  <c r="J1938" i="4"/>
  <c r="I1938" i="4"/>
  <c r="H1938" i="4"/>
  <c r="Q1937" i="4"/>
  <c r="P1937" i="4"/>
  <c r="O1937" i="4"/>
  <c r="N1937" i="4"/>
  <c r="M1937" i="4"/>
  <c r="L1937" i="4"/>
  <c r="K1937" i="4"/>
  <c r="J1937" i="4"/>
  <c r="I1937" i="4"/>
  <c r="H1937" i="4"/>
  <c r="Q1936" i="4"/>
  <c r="P1936" i="4"/>
  <c r="O1936" i="4"/>
  <c r="N1936" i="4"/>
  <c r="M1936" i="4"/>
  <c r="L1936" i="4"/>
  <c r="K1936" i="4"/>
  <c r="J1936" i="4"/>
  <c r="I1936" i="4"/>
  <c r="H1936" i="4"/>
  <c r="Q1935" i="4"/>
  <c r="P1935" i="4"/>
  <c r="O1935" i="4"/>
  <c r="N1935" i="4"/>
  <c r="M1935" i="4"/>
  <c r="L1935" i="4"/>
  <c r="K1935" i="4"/>
  <c r="J1935" i="4"/>
  <c r="I1935" i="4"/>
  <c r="H1935" i="4"/>
  <c r="Q1934" i="4"/>
  <c r="P1934" i="4"/>
  <c r="O1934" i="4"/>
  <c r="N1934" i="4"/>
  <c r="M1934" i="4"/>
  <c r="L1934" i="4"/>
  <c r="K1934" i="4"/>
  <c r="J1934" i="4"/>
  <c r="I1934" i="4"/>
  <c r="H1934" i="4"/>
  <c r="Q1933" i="4"/>
  <c r="P1933" i="4"/>
  <c r="O1933" i="4"/>
  <c r="N1933" i="4"/>
  <c r="M1933" i="4"/>
  <c r="L1933" i="4"/>
  <c r="K1933" i="4"/>
  <c r="J1933" i="4"/>
  <c r="I1933" i="4"/>
  <c r="H1933" i="4"/>
  <c r="Q1932" i="4"/>
  <c r="P1932" i="4"/>
  <c r="O1932" i="4"/>
  <c r="N1932" i="4"/>
  <c r="M1932" i="4"/>
  <c r="L1932" i="4"/>
  <c r="K1932" i="4"/>
  <c r="J1932" i="4"/>
  <c r="I1932" i="4"/>
  <c r="H1932" i="4"/>
  <c r="Q1931" i="4"/>
  <c r="P1931" i="4"/>
  <c r="O1931" i="4"/>
  <c r="N1931" i="4"/>
  <c r="M1931" i="4"/>
  <c r="L1931" i="4"/>
  <c r="K1931" i="4"/>
  <c r="J1931" i="4"/>
  <c r="I1931" i="4"/>
  <c r="H1931" i="4"/>
  <c r="Q1930" i="4"/>
  <c r="P1930" i="4"/>
  <c r="O1930" i="4"/>
  <c r="N1930" i="4"/>
  <c r="M1930" i="4"/>
  <c r="L1930" i="4"/>
  <c r="K1930" i="4"/>
  <c r="J1930" i="4"/>
  <c r="I1930" i="4"/>
  <c r="H1930" i="4"/>
  <c r="Q1927" i="4"/>
  <c r="P1927" i="4"/>
  <c r="O1927" i="4"/>
  <c r="N1927" i="4"/>
  <c r="M1927" i="4"/>
  <c r="L1927" i="4"/>
  <c r="K1927" i="4"/>
  <c r="J1927" i="4"/>
  <c r="I1927" i="4"/>
  <c r="H1927" i="4"/>
  <c r="Q1926" i="4"/>
  <c r="P1926" i="4"/>
  <c r="O1926" i="4"/>
  <c r="N1926" i="4"/>
  <c r="M1926" i="4"/>
  <c r="L1926" i="4"/>
  <c r="K1926" i="4"/>
  <c r="J1926" i="4"/>
  <c r="I1926" i="4"/>
  <c r="H1926" i="4"/>
  <c r="Q1925" i="4"/>
  <c r="P1925" i="4"/>
  <c r="O1925" i="4"/>
  <c r="N1925" i="4"/>
  <c r="M1925" i="4"/>
  <c r="L1925" i="4"/>
  <c r="K1925" i="4"/>
  <c r="J1925" i="4"/>
  <c r="I1925" i="4"/>
  <c r="H1925" i="4"/>
  <c r="Q1924" i="4"/>
  <c r="P1924" i="4"/>
  <c r="O1924" i="4"/>
  <c r="N1924" i="4"/>
  <c r="M1924" i="4"/>
  <c r="L1924" i="4"/>
  <c r="K1924" i="4"/>
  <c r="J1924" i="4"/>
  <c r="I1924" i="4"/>
  <c r="H1924" i="4"/>
  <c r="Q1923" i="4"/>
  <c r="P1923" i="4"/>
  <c r="O1923" i="4"/>
  <c r="N1923" i="4"/>
  <c r="M1923" i="4"/>
  <c r="L1923" i="4"/>
  <c r="K1923" i="4"/>
  <c r="J1923" i="4"/>
  <c r="I1923" i="4"/>
  <c r="H1923" i="4"/>
  <c r="Q1922" i="4"/>
  <c r="P1922" i="4"/>
  <c r="O1922" i="4"/>
  <c r="N1922" i="4"/>
  <c r="M1922" i="4"/>
  <c r="L1922" i="4"/>
  <c r="K1922" i="4"/>
  <c r="J1922" i="4"/>
  <c r="I1922" i="4"/>
  <c r="H1922" i="4"/>
  <c r="Q1921" i="4"/>
  <c r="P1921" i="4"/>
  <c r="O1921" i="4"/>
  <c r="N1921" i="4"/>
  <c r="M1921" i="4"/>
  <c r="L1921" i="4"/>
  <c r="K1921" i="4"/>
  <c r="J1921" i="4"/>
  <c r="I1921" i="4"/>
  <c r="H1921" i="4"/>
  <c r="Q1920" i="4"/>
  <c r="P1920" i="4"/>
  <c r="O1920" i="4"/>
  <c r="N1920" i="4"/>
  <c r="M1920" i="4"/>
  <c r="L1920" i="4"/>
  <c r="K1920" i="4"/>
  <c r="J1920" i="4"/>
  <c r="I1920" i="4"/>
  <c r="H1920" i="4"/>
  <c r="Q1919" i="4"/>
  <c r="P1919" i="4"/>
  <c r="O1919" i="4"/>
  <c r="N1919" i="4"/>
  <c r="M1919" i="4"/>
  <c r="L1919" i="4"/>
  <c r="K1919" i="4"/>
  <c r="J1919" i="4"/>
  <c r="I1919" i="4"/>
  <c r="H1919" i="4"/>
  <c r="Q1918" i="4"/>
  <c r="P1918" i="4"/>
  <c r="O1918" i="4"/>
  <c r="N1918" i="4"/>
  <c r="M1918" i="4"/>
  <c r="L1918" i="4"/>
  <c r="K1918" i="4"/>
  <c r="J1918" i="4"/>
  <c r="I1918" i="4"/>
  <c r="H1918" i="4"/>
  <c r="Q1915" i="4"/>
  <c r="P1915" i="4"/>
  <c r="O1915" i="4"/>
  <c r="N1915" i="4"/>
  <c r="M1915" i="4"/>
  <c r="L1915" i="4"/>
  <c r="K1915" i="4"/>
  <c r="J1915" i="4"/>
  <c r="I1915" i="4"/>
  <c r="H1915" i="4"/>
  <c r="Q1914" i="4"/>
  <c r="P1914" i="4"/>
  <c r="O1914" i="4"/>
  <c r="N1914" i="4"/>
  <c r="M1914" i="4"/>
  <c r="L1914" i="4"/>
  <c r="K1914" i="4"/>
  <c r="J1914" i="4"/>
  <c r="I1914" i="4"/>
  <c r="H1914" i="4"/>
  <c r="Q1913" i="4"/>
  <c r="P1913" i="4"/>
  <c r="O1913" i="4"/>
  <c r="N1913" i="4"/>
  <c r="M1913" i="4"/>
  <c r="L1913" i="4"/>
  <c r="K1913" i="4"/>
  <c r="J1913" i="4"/>
  <c r="I1913" i="4"/>
  <c r="H1913" i="4"/>
  <c r="Q1912" i="4"/>
  <c r="P1912" i="4"/>
  <c r="O1912" i="4"/>
  <c r="N1912" i="4"/>
  <c r="M1912" i="4"/>
  <c r="L1912" i="4"/>
  <c r="K1912" i="4"/>
  <c r="J1912" i="4"/>
  <c r="I1912" i="4"/>
  <c r="H1912" i="4"/>
  <c r="Q1911" i="4"/>
  <c r="P1911" i="4"/>
  <c r="O1911" i="4"/>
  <c r="N1911" i="4"/>
  <c r="M1911" i="4"/>
  <c r="L1911" i="4"/>
  <c r="K1911" i="4"/>
  <c r="J1911" i="4"/>
  <c r="I1911" i="4"/>
  <c r="H1911" i="4"/>
  <c r="Q1910" i="4"/>
  <c r="P1910" i="4"/>
  <c r="O1910" i="4"/>
  <c r="N1910" i="4"/>
  <c r="M1910" i="4"/>
  <c r="L1910" i="4"/>
  <c r="K1910" i="4"/>
  <c r="J1910" i="4"/>
  <c r="I1910" i="4"/>
  <c r="H1910" i="4"/>
  <c r="Q1909" i="4"/>
  <c r="P1909" i="4"/>
  <c r="O1909" i="4"/>
  <c r="N1909" i="4"/>
  <c r="M1909" i="4"/>
  <c r="L1909" i="4"/>
  <c r="K1909" i="4"/>
  <c r="J1909" i="4"/>
  <c r="I1909" i="4"/>
  <c r="H1909" i="4"/>
  <c r="Q1908" i="4"/>
  <c r="P1908" i="4"/>
  <c r="O1908" i="4"/>
  <c r="N1908" i="4"/>
  <c r="M1908" i="4"/>
  <c r="L1908" i="4"/>
  <c r="K1908" i="4"/>
  <c r="J1908" i="4"/>
  <c r="I1908" i="4"/>
  <c r="H1908" i="4"/>
  <c r="Q1907" i="4"/>
  <c r="P1907" i="4"/>
  <c r="O1907" i="4"/>
  <c r="N1907" i="4"/>
  <c r="M1907" i="4"/>
  <c r="L1907" i="4"/>
  <c r="K1907" i="4"/>
  <c r="J1907" i="4"/>
  <c r="I1907" i="4"/>
  <c r="H1907" i="4"/>
  <c r="Q1906" i="4"/>
  <c r="P1906" i="4"/>
  <c r="O1906" i="4"/>
  <c r="N1906" i="4"/>
  <c r="M1906" i="4"/>
  <c r="L1906" i="4"/>
  <c r="K1906" i="4"/>
  <c r="J1906" i="4"/>
  <c r="I1906" i="4"/>
  <c r="H1906" i="4"/>
  <c r="Q1903" i="4"/>
  <c r="P1903" i="4"/>
  <c r="O1903" i="4"/>
  <c r="N1903" i="4"/>
  <c r="M1903" i="4"/>
  <c r="L1903" i="4"/>
  <c r="K1903" i="4"/>
  <c r="J1903" i="4"/>
  <c r="I1903" i="4"/>
  <c r="H1903" i="4"/>
  <c r="Q1902" i="4"/>
  <c r="P1902" i="4"/>
  <c r="O1902" i="4"/>
  <c r="N1902" i="4"/>
  <c r="M1902" i="4"/>
  <c r="L1902" i="4"/>
  <c r="K1902" i="4"/>
  <c r="J1902" i="4"/>
  <c r="I1902" i="4"/>
  <c r="H1902" i="4"/>
  <c r="Q1901" i="4"/>
  <c r="P1901" i="4"/>
  <c r="O1901" i="4"/>
  <c r="N1901" i="4"/>
  <c r="M1901" i="4"/>
  <c r="L1901" i="4"/>
  <c r="K1901" i="4"/>
  <c r="J1901" i="4"/>
  <c r="I1901" i="4"/>
  <c r="H1901" i="4"/>
  <c r="Q1900" i="4"/>
  <c r="P1900" i="4"/>
  <c r="O1900" i="4"/>
  <c r="N1900" i="4"/>
  <c r="M1900" i="4"/>
  <c r="L1900" i="4"/>
  <c r="K1900" i="4"/>
  <c r="J1900" i="4"/>
  <c r="I1900" i="4"/>
  <c r="H1900" i="4"/>
  <c r="Q1899" i="4"/>
  <c r="P1899" i="4"/>
  <c r="O1899" i="4"/>
  <c r="N1899" i="4"/>
  <c r="M1899" i="4"/>
  <c r="L1899" i="4"/>
  <c r="K1899" i="4"/>
  <c r="J1899" i="4"/>
  <c r="I1899" i="4"/>
  <c r="H1899" i="4"/>
  <c r="Q1898" i="4"/>
  <c r="P1898" i="4"/>
  <c r="O1898" i="4"/>
  <c r="N1898" i="4"/>
  <c r="M1898" i="4"/>
  <c r="L1898" i="4"/>
  <c r="K1898" i="4"/>
  <c r="J1898" i="4"/>
  <c r="I1898" i="4"/>
  <c r="H1898" i="4"/>
  <c r="Q1897" i="4"/>
  <c r="P1897" i="4"/>
  <c r="O1897" i="4"/>
  <c r="N1897" i="4"/>
  <c r="M1897" i="4"/>
  <c r="L1897" i="4"/>
  <c r="K1897" i="4"/>
  <c r="J1897" i="4"/>
  <c r="I1897" i="4"/>
  <c r="H1897" i="4"/>
  <c r="Q1896" i="4"/>
  <c r="P1896" i="4"/>
  <c r="O1896" i="4"/>
  <c r="N1896" i="4"/>
  <c r="M1896" i="4"/>
  <c r="L1896" i="4"/>
  <c r="K1896" i="4"/>
  <c r="J1896" i="4"/>
  <c r="I1896" i="4"/>
  <c r="H1896" i="4"/>
  <c r="Q1895" i="4"/>
  <c r="P1895" i="4"/>
  <c r="O1895" i="4"/>
  <c r="N1895" i="4"/>
  <c r="M1895" i="4"/>
  <c r="L1895" i="4"/>
  <c r="K1895" i="4"/>
  <c r="J1895" i="4"/>
  <c r="I1895" i="4"/>
  <c r="H1895" i="4"/>
  <c r="Q1894" i="4"/>
  <c r="P1894" i="4"/>
  <c r="O1894" i="4"/>
  <c r="N1894" i="4"/>
  <c r="M1894" i="4"/>
  <c r="L1894" i="4"/>
  <c r="K1894" i="4"/>
  <c r="J1894" i="4"/>
  <c r="I1894" i="4"/>
  <c r="H1894" i="4"/>
  <c r="Q2035" i="4"/>
  <c r="P2035" i="4"/>
  <c r="O2035" i="4"/>
  <c r="N2035" i="4"/>
  <c r="M2035" i="4"/>
  <c r="L2035" i="4"/>
  <c r="K2035" i="4"/>
  <c r="J2035" i="4"/>
  <c r="I2035" i="4"/>
  <c r="H2035" i="4"/>
  <c r="Q2034" i="4"/>
  <c r="P2034" i="4"/>
  <c r="O2034" i="4"/>
  <c r="N2034" i="4"/>
  <c r="M2034" i="4"/>
  <c r="L2034" i="4"/>
  <c r="K2034" i="4"/>
  <c r="J2034" i="4"/>
  <c r="I2034" i="4"/>
  <c r="H2034" i="4"/>
  <c r="Q2033" i="4"/>
  <c r="P2033" i="4"/>
  <c r="O2033" i="4"/>
  <c r="N2033" i="4"/>
  <c r="M2033" i="4"/>
  <c r="L2033" i="4"/>
  <c r="K2033" i="4"/>
  <c r="J2033" i="4"/>
  <c r="I2033" i="4"/>
  <c r="H2033" i="4"/>
  <c r="Q2032" i="4"/>
  <c r="P2032" i="4"/>
  <c r="O2032" i="4"/>
  <c r="N2032" i="4"/>
  <c r="M2032" i="4"/>
  <c r="L2032" i="4"/>
  <c r="K2032" i="4"/>
  <c r="J2032" i="4"/>
  <c r="I2032" i="4"/>
  <c r="H2032" i="4"/>
  <c r="Q2031" i="4"/>
  <c r="P2031" i="4"/>
  <c r="O2031" i="4"/>
  <c r="N2031" i="4"/>
  <c r="M2031" i="4"/>
  <c r="L2031" i="4"/>
  <c r="K2031" i="4"/>
  <c r="J2031" i="4"/>
  <c r="I2031" i="4"/>
  <c r="H2031" i="4"/>
  <c r="Q2030" i="4"/>
  <c r="P2030" i="4"/>
  <c r="O2030" i="4"/>
  <c r="N2030" i="4"/>
  <c r="M2030" i="4"/>
  <c r="L2030" i="4"/>
  <c r="K2030" i="4"/>
  <c r="J2030" i="4"/>
  <c r="I2030" i="4"/>
  <c r="H2030" i="4"/>
  <c r="Q2029" i="4"/>
  <c r="P2029" i="4"/>
  <c r="O2029" i="4"/>
  <c r="N2029" i="4"/>
  <c r="M2029" i="4"/>
  <c r="L2029" i="4"/>
  <c r="K2029" i="4"/>
  <c r="J2029" i="4"/>
  <c r="I2029" i="4"/>
  <c r="H2029" i="4"/>
  <c r="Q2028" i="4"/>
  <c r="P2028" i="4"/>
  <c r="O2028" i="4"/>
  <c r="N2028" i="4"/>
  <c r="M2028" i="4"/>
  <c r="L2028" i="4"/>
  <c r="K2028" i="4"/>
  <c r="J2028" i="4"/>
  <c r="I2028" i="4"/>
  <c r="H2028" i="4"/>
  <c r="Q2027" i="4"/>
  <c r="P2027" i="4"/>
  <c r="O2027" i="4"/>
  <c r="N2027" i="4"/>
  <c r="M2027" i="4"/>
  <c r="L2027" i="4"/>
  <c r="K2027" i="4"/>
  <c r="J2027" i="4"/>
  <c r="I2027" i="4"/>
  <c r="H2027" i="4"/>
  <c r="Q2026" i="4"/>
  <c r="P2026" i="4"/>
  <c r="O2026" i="4"/>
  <c r="N2026" i="4"/>
  <c r="M2026" i="4"/>
  <c r="L2026" i="4"/>
  <c r="K2026" i="4"/>
  <c r="J2026" i="4"/>
  <c r="I2026" i="4"/>
  <c r="H2026" i="4"/>
  <c r="Q2023" i="4"/>
  <c r="P2023" i="4"/>
  <c r="O2023" i="4"/>
  <c r="N2023" i="4"/>
  <c r="M2023" i="4"/>
  <c r="L2023" i="4"/>
  <c r="K2023" i="4"/>
  <c r="J2023" i="4"/>
  <c r="I2023" i="4"/>
  <c r="H2023" i="4"/>
  <c r="Q2022" i="4"/>
  <c r="P2022" i="4"/>
  <c r="O2022" i="4"/>
  <c r="N2022" i="4"/>
  <c r="M2022" i="4"/>
  <c r="L2022" i="4"/>
  <c r="K2022" i="4"/>
  <c r="J2022" i="4"/>
  <c r="I2022" i="4"/>
  <c r="H2022" i="4"/>
  <c r="Q2021" i="4"/>
  <c r="P2021" i="4"/>
  <c r="O2021" i="4"/>
  <c r="N2021" i="4"/>
  <c r="M2021" i="4"/>
  <c r="L2021" i="4"/>
  <c r="K2021" i="4"/>
  <c r="J2021" i="4"/>
  <c r="I2021" i="4"/>
  <c r="H2021" i="4"/>
  <c r="Q2020" i="4"/>
  <c r="P2020" i="4"/>
  <c r="O2020" i="4"/>
  <c r="N2020" i="4"/>
  <c r="M2020" i="4"/>
  <c r="L2020" i="4"/>
  <c r="K2020" i="4"/>
  <c r="J2020" i="4"/>
  <c r="I2020" i="4"/>
  <c r="H2020" i="4"/>
  <c r="Q2019" i="4"/>
  <c r="P2019" i="4"/>
  <c r="O2019" i="4"/>
  <c r="N2019" i="4"/>
  <c r="M2019" i="4"/>
  <c r="L2019" i="4"/>
  <c r="K2019" i="4"/>
  <c r="J2019" i="4"/>
  <c r="I2019" i="4"/>
  <c r="H2019" i="4"/>
  <c r="Q2018" i="4"/>
  <c r="P2018" i="4"/>
  <c r="O2018" i="4"/>
  <c r="N2018" i="4"/>
  <c r="M2018" i="4"/>
  <c r="L2018" i="4"/>
  <c r="K2018" i="4"/>
  <c r="J2018" i="4"/>
  <c r="I2018" i="4"/>
  <c r="H2018" i="4"/>
  <c r="Q2017" i="4"/>
  <c r="P2017" i="4"/>
  <c r="O2017" i="4"/>
  <c r="N2017" i="4"/>
  <c r="M2017" i="4"/>
  <c r="L2017" i="4"/>
  <c r="K2017" i="4"/>
  <c r="J2017" i="4"/>
  <c r="I2017" i="4"/>
  <c r="H2017" i="4"/>
  <c r="Q2016" i="4"/>
  <c r="P2016" i="4"/>
  <c r="O2016" i="4"/>
  <c r="N2016" i="4"/>
  <c r="M2016" i="4"/>
  <c r="L2016" i="4"/>
  <c r="K2016" i="4"/>
  <c r="J2016" i="4"/>
  <c r="I2016" i="4"/>
  <c r="H2016" i="4"/>
  <c r="Q2015" i="4"/>
  <c r="P2015" i="4"/>
  <c r="O2015" i="4"/>
  <c r="N2015" i="4"/>
  <c r="M2015" i="4"/>
  <c r="L2015" i="4"/>
  <c r="K2015" i="4"/>
  <c r="J2015" i="4"/>
  <c r="I2015" i="4"/>
  <c r="H2015" i="4"/>
  <c r="Q2014" i="4"/>
  <c r="P2014" i="4"/>
  <c r="O2014" i="4"/>
  <c r="N2014" i="4"/>
  <c r="M2014" i="4"/>
  <c r="L2014" i="4"/>
  <c r="K2014" i="4"/>
  <c r="J2014" i="4"/>
  <c r="I2014" i="4"/>
  <c r="H2014" i="4"/>
  <c r="Q2011" i="4"/>
  <c r="P2011" i="4"/>
  <c r="O2011" i="4"/>
  <c r="N2011" i="4"/>
  <c r="M2011" i="4"/>
  <c r="L2011" i="4"/>
  <c r="K2011" i="4"/>
  <c r="J2011" i="4"/>
  <c r="I2011" i="4"/>
  <c r="H2011" i="4"/>
  <c r="Q2010" i="4"/>
  <c r="P2010" i="4"/>
  <c r="O2010" i="4"/>
  <c r="N2010" i="4"/>
  <c r="M2010" i="4"/>
  <c r="L2010" i="4"/>
  <c r="K2010" i="4"/>
  <c r="J2010" i="4"/>
  <c r="I2010" i="4"/>
  <c r="H2010" i="4"/>
  <c r="Q2009" i="4"/>
  <c r="P2009" i="4"/>
  <c r="O2009" i="4"/>
  <c r="N2009" i="4"/>
  <c r="M2009" i="4"/>
  <c r="L2009" i="4"/>
  <c r="K2009" i="4"/>
  <c r="J2009" i="4"/>
  <c r="I2009" i="4"/>
  <c r="H2009" i="4"/>
  <c r="Q2008" i="4"/>
  <c r="P2008" i="4"/>
  <c r="O2008" i="4"/>
  <c r="N2008" i="4"/>
  <c r="M2008" i="4"/>
  <c r="L2008" i="4"/>
  <c r="K2008" i="4"/>
  <c r="J2008" i="4"/>
  <c r="I2008" i="4"/>
  <c r="H2008" i="4"/>
  <c r="Q2007" i="4"/>
  <c r="P2007" i="4"/>
  <c r="O2007" i="4"/>
  <c r="N2007" i="4"/>
  <c r="M2007" i="4"/>
  <c r="L2007" i="4"/>
  <c r="K2007" i="4"/>
  <c r="J2007" i="4"/>
  <c r="I2007" i="4"/>
  <c r="H2007" i="4"/>
  <c r="Q2006" i="4"/>
  <c r="P2006" i="4"/>
  <c r="O2006" i="4"/>
  <c r="N2006" i="4"/>
  <c r="M2006" i="4"/>
  <c r="L2006" i="4"/>
  <c r="K2006" i="4"/>
  <c r="J2006" i="4"/>
  <c r="I2006" i="4"/>
  <c r="H2006" i="4"/>
  <c r="Q2005" i="4"/>
  <c r="P2005" i="4"/>
  <c r="O2005" i="4"/>
  <c r="N2005" i="4"/>
  <c r="M2005" i="4"/>
  <c r="L2005" i="4"/>
  <c r="K2005" i="4"/>
  <c r="J2005" i="4"/>
  <c r="I2005" i="4"/>
  <c r="H2005" i="4"/>
  <c r="Q2004" i="4"/>
  <c r="P2004" i="4"/>
  <c r="O2004" i="4"/>
  <c r="N2004" i="4"/>
  <c r="M2004" i="4"/>
  <c r="L2004" i="4"/>
  <c r="K2004" i="4"/>
  <c r="J2004" i="4"/>
  <c r="I2004" i="4"/>
  <c r="H2004" i="4"/>
  <c r="Q2003" i="4"/>
  <c r="P2003" i="4"/>
  <c r="O2003" i="4"/>
  <c r="N2003" i="4"/>
  <c r="M2003" i="4"/>
  <c r="L2003" i="4"/>
  <c r="K2003" i="4"/>
  <c r="J2003" i="4"/>
  <c r="I2003" i="4"/>
  <c r="H2003" i="4"/>
  <c r="Q2002" i="4"/>
  <c r="P2002" i="4"/>
  <c r="O2002" i="4"/>
  <c r="N2002" i="4"/>
  <c r="M2002" i="4"/>
  <c r="L2002" i="4"/>
  <c r="K2002" i="4"/>
  <c r="J2002" i="4"/>
  <c r="I2002" i="4"/>
  <c r="H2002" i="4"/>
  <c r="Q1999" i="4"/>
  <c r="P1999" i="4"/>
  <c r="O1999" i="4"/>
  <c r="N1999" i="4"/>
  <c r="M1999" i="4"/>
  <c r="L1999" i="4"/>
  <c r="K1999" i="4"/>
  <c r="J1999" i="4"/>
  <c r="I1999" i="4"/>
  <c r="H1999" i="4"/>
  <c r="Q1998" i="4"/>
  <c r="P1998" i="4"/>
  <c r="O1998" i="4"/>
  <c r="N1998" i="4"/>
  <c r="M1998" i="4"/>
  <c r="L1998" i="4"/>
  <c r="K1998" i="4"/>
  <c r="J1998" i="4"/>
  <c r="I1998" i="4"/>
  <c r="H1998" i="4"/>
  <c r="Q1997" i="4"/>
  <c r="P1997" i="4"/>
  <c r="O1997" i="4"/>
  <c r="N1997" i="4"/>
  <c r="M1997" i="4"/>
  <c r="L1997" i="4"/>
  <c r="K1997" i="4"/>
  <c r="J1997" i="4"/>
  <c r="I1997" i="4"/>
  <c r="H1997" i="4"/>
  <c r="Q1996" i="4"/>
  <c r="P1996" i="4"/>
  <c r="O1996" i="4"/>
  <c r="N1996" i="4"/>
  <c r="M1996" i="4"/>
  <c r="L1996" i="4"/>
  <c r="K1996" i="4"/>
  <c r="J1996" i="4"/>
  <c r="I1996" i="4"/>
  <c r="H1996" i="4"/>
  <c r="Q1995" i="4"/>
  <c r="P1995" i="4"/>
  <c r="O1995" i="4"/>
  <c r="N1995" i="4"/>
  <c r="M1995" i="4"/>
  <c r="L1995" i="4"/>
  <c r="K1995" i="4"/>
  <c r="J1995" i="4"/>
  <c r="I1995" i="4"/>
  <c r="H1995" i="4"/>
  <c r="Q1994" i="4"/>
  <c r="P1994" i="4"/>
  <c r="O1994" i="4"/>
  <c r="N1994" i="4"/>
  <c r="M1994" i="4"/>
  <c r="L1994" i="4"/>
  <c r="K1994" i="4"/>
  <c r="J1994" i="4"/>
  <c r="I1994" i="4"/>
  <c r="H1994" i="4"/>
  <c r="Q1993" i="4"/>
  <c r="P1993" i="4"/>
  <c r="O1993" i="4"/>
  <c r="N1993" i="4"/>
  <c r="M1993" i="4"/>
  <c r="L1993" i="4"/>
  <c r="K1993" i="4"/>
  <c r="J1993" i="4"/>
  <c r="I1993" i="4"/>
  <c r="H1993" i="4"/>
  <c r="Q1992" i="4"/>
  <c r="P1992" i="4"/>
  <c r="O1992" i="4"/>
  <c r="N1992" i="4"/>
  <c r="M1992" i="4"/>
  <c r="L1992" i="4"/>
  <c r="K1992" i="4"/>
  <c r="J1992" i="4"/>
  <c r="I1992" i="4"/>
  <c r="H1992" i="4"/>
  <c r="Q1991" i="4"/>
  <c r="P1991" i="4"/>
  <c r="O1991" i="4"/>
  <c r="N1991" i="4"/>
  <c r="M1991" i="4"/>
  <c r="L1991" i="4"/>
  <c r="K1991" i="4"/>
  <c r="J1991" i="4"/>
  <c r="I1991" i="4"/>
  <c r="H1991" i="4"/>
  <c r="Q1990" i="4"/>
  <c r="P1990" i="4"/>
  <c r="O1990" i="4"/>
  <c r="N1990" i="4"/>
  <c r="M1990" i="4"/>
  <c r="L1990" i="4"/>
  <c r="K1990" i="4"/>
  <c r="J1990" i="4"/>
  <c r="I1990" i="4"/>
  <c r="H1990" i="4"/>
  <c r="Q2059" i="4"/>
  <c r="P2059" i="4"/>
  <c r="O2059" i="4"/>
  <c r="N2059" i="4"/>
  <c r="M2059" i="4"/>
  <c r="L2059" i="4"/>
  <c r="K2059" i="4"/>
  <c r="J2059" i="4"/>
  <c r="I2059" i="4"/>
  <c r="H2059" i="4"/>
  <c r="Q2058" i="4"/>
  <c r="P2058" i="4"/>
  <c r="O2058" i="4"/>
  <c r="N2058" i="4"/>
  <c r="M2058" i="4"/>
  <c r="L2058" i="4"/>
  <c r="K2058" i="4"/>
  <c r="J2058" i="4"/>
  <c r="I2058" i="4"/>
  <c r="H2058" i="4"/>
  <c r="Q2057" i="4"/>
  <c r="P2057" i="4"/>
  <c r="O2057" i="4"/>
  <c r="N2057" i="4"/>
  <c r="M2057" i="4"/>
  <c r="L2057" i="4"/>
  <c r="K2057" i="4"/>
  <c r="J2057" i="4"/>
  <c r="I2057" i="4"/>
  <c r="H2057" i="4"/>
  <c r="Q2056" i="4"/>
  <c r="P2056" i="4"/>
  <c r="O2056" i="4"/>
  <c r="N2056" i="4"/>
  <c r="M2056" i="4"/>
  <c r="L2056" i="4"/>
  <c r="K2056" i="4"/>
  <c r="J2056" i="4"/>
  <c r="I2056" i="4"/>
  <c r="H2056" i="4"/>
  <c r="Q2055" i="4"/>
  <c r="P2055" i="4"/>
  <c r="O2055" i="4"/>
  <c r="N2055" i="4"/>
  <c r="M2055" i="4"/>
  <c r="L2055" i="4"/>
  <c r="K2055" i="4"/>
  <c r="J2055" i="4"/>
  <c r="I2055" i="4"/>
  <c r="H2055" i="4"/>
  <c r="Q2054" i="4"/>
  <c r="P2054" i="4"/>
  <c r="O2054" i="4"/>
  <c r="N2054" i="4"/>
  <c r="M2054" i="4"/>
  <c r="L2054" i="4"/>
  <c r="K2054" i="4"/>
  <c r="J2054" i="4"/>
  <c r="I2054" i="4"/>
  <c r="H2054" i="4"/>
  <c r="Q2053" i="4"/>
  <c r="P2053" i="4"/>
  <c r="O2053" i="4"/>
  <c r="N2053" i="4"/>
  <c r="M2053" i="4"/>
  <c r="L2053" i="4"/>
  <c r="K2053" i="4"/>
  <c r="J2053" i="4"/>
  <c r="I2053" i="4"/>
  <c r="H2053" i="4"/>
  <c r="Q2052" i="4"/>
  <c r="P2052" i="4"/>
  <c r="O2052" i="4"/>
  <c r="N2052" i="4"/>
  <c r="M2052" i="4"/>
  <c r="L2052" i="4"/>
  <c r="K2052" i="4"/>
  <c r="J2052" i="4"/>
  <c r="I2052" i="4"/>
  <c r="H2052" i="4"/>
  <c r="Q2051" i="4"/>
  <c r="P2051" i="4"/>
  <c r="O2051" i="4"/>
  <c r="N2051" i="4"/>
  <c r="M2051" i="4"/>
  <c r="L2051" i="4"/>
  <c r="K2051" i="4"/>
  <c r="J2051" i="4"/>
  <c r="I2051" i="4"/>
  <c r="H2051" i="4"/>
  <c r="Q2050" i="4"/>
  <c r="P2050" i="4"/>
  <c r="O2050" i="4"/>
  <c r="N2050" i="4"/>
  <c r="M2050" i="4"/>
  <c r="L2050" i="4"/>
  <c r="K2050" i="4"/>
  <c r="J2050" i="4"/>
  <c r="I2050" i="4"/>
  <c r="H2050" i="4"/>
  <c r="Q2047" i="4"/>
  <c r="P2047" i="4"/>
  <c r="O2047" i="4"/>
  <c r="N2047" i="4"/>
  <c r="M2047" i="4"/>
  <c r="L2047" i="4"/>
  <c r="K2047" i="4"/>
  <c r="J2047" i="4"/>
  <c r="I2047" i="4"/>
  <c r="H2047" i="4"/>
  <c r="Q2046" i="4"/>
  <c r="P2046" i="4"/>
  <c r="O2046" i="4"/>
  <c r="N2046" i="4"/>
  <c r="M2046" i="4"/>
  <c r="L2046" i="4"/>
  <c r="K2046" i="4"/>
  <c r="J2046" i="4"/>
  <c r="I2046" i="4"/>
  <c r="H2046" i="4"/>
  <c r="Q2045" i="4"/>
  <c r="P2045" i="4"/>
  <c r="O2045" i="4"/>
  <c r="N2045" i="4"/>
  <c r="M2045" i="4"/>
  <c r="L2045" i="4"/>
  <c r="K2045" i="4"/>
  <c r="J2045" i="4"/>
  <c r="I2045" i="4"/>
  <c r="H2045" i="4"/>
  <c r="Q2044" i="4"/>
  <c r="P2044" i="4"/>
  <c r="O2044" i="4"/>
  <c r="N2044" i="4"/>
  <c r="M2044" i="4"/>
  <c r="L2044" i="4"/>
  <c r="K2044" i="4"/>
  <c r="J2044" i="4"/>
  <c r="I2044" i="4"/>
  <c r="H2044" i="4"/>
  <c r="Q2043" i="4"/>
  <c r="P2043" i="4"/>
  <c r="O2043" i="4"/>
  <c r="N2043" i="4"/>
  <c r="M2043" i="4"/>
  <c r="L2043" i="4"/>
  <c r="K2043" i="4"/>
  <c r="J2043" i="4"/>
  <c r="I2043" i="4"/>
  <c r="H2043" i="4"/>
  <c r="Q2042" i="4"/>
  <c r="P2042" i="4"/>
  <c r="O2042" i="4"/>
  <c r="N2042" i="4"/>
  <c r="M2042" i="4"/>
  <c r="L2042" i="4"/>
  <c r="K2042" i="4"/>
  <c r="J2042" i="4"/>
  <c r="I2042" i="4"/>
  <c r="H2042" i="4"/>
  <c r="Q2041" i="4"/>
  <c r="P2041" i="4"/>
  <c r="O2041" i="4"/>
  <c r="N2041" i="4"/>
  <c r="M2041" i="4"/>
  <c r="L2041" i="4"/>
  <c r="K2041" i="4"/>
  <c r="J2041" i="4"/>
  <c r="I2041" i="4"/>
  <c r="H2041" i="4"/>
  <c r="Q2040" i="4"/>
  <c r="P2040" i="4"/>
  <c r="O2040" i="4"/>
  <c r="N2040" i="4"/>
  <c r="M2040" i="4"/>
  <c r="L2040" i="4"/>
  <c r="K2040" i="4"/>
  <c r="J2040" i="4"/>
  <c r="I2040" i="4"/>
  <c r="H2040" i="4"/>
  <c r="Q2039" i="4"/>
  <c r="P2039" i="4"/>
  <c r="O2039" i="4"/>
  <c r="N2039" i="4"/>
  <c r="M2039" i="4"/>
  <c r="L2039" i="4"/>
  <c r="K2039" i="4"/>
  <c r="J2039" i="4"/>
  <c r="I2039" i="4"/>
  <c r="H2039" i="4"/>
  <c r="Q2038" i="4"/>
  <c r="P2038" i="4"/>
  <c r="O2038" i="4"/>
  <c r="N2038" i="4"/>
  <c r="M2038" i="4"/>
  <c r="L2038" i="4"/>
  <c r="K2038" i="4"/>
  <c r="J2038" i="4"/>
  <c r="I2038" i="4"/>
  <c r="H2038" i="4"/>
  <c r="Q2071" i="4"/>
  <c r="P2071" i="4"/>
  <c r="O2071" i="4"/>
  <c r="N2071" i="4"/>
  <c r="M2071" i="4"/>
  <c r="L2071" i="4"/>
  <c r="K2071" i="4"/>
  <c r="J2071" i="4"/>
  <c r="I2071" i="4"/>
  <c r="H2071" i="4"/>
  <c r="Q2070" i="4"/>
  <c r="P2070" i="4"/>
  <c r="O2070" i="4"/>
  <c r="N2070" i="4"/>
  <c r="M2070" i="4"/>
  <c r="L2070" i="4"/>
  <c r="K2070" i="4"/>
  <c r="J2070" i="4"/>
  <c r="I2070" i="4"/>
  <c r="H2070" i="4"/>
  <c r="Q2069" i="4"/>
  <c r="P2069" i="4"/>
  <c r="O2069" i="4"/>
  <c r="N2069" i="4"/>
  <c r="M2069" i="4"/>
  <c r="L2069" i="4"/>
  <c r="K2069" i="4"/>
  <c r="J2069" i="4"/>
  <c r="I2069" i="4"/>
  <c r="H2069" i="4"/>
  <c r="Q2068" i="4"/>
  <c r="P2068" i="4"/>
  <c r="O2068" i="4"/>
  <c r="N2068" i="4"/>
  <c r="M2068" i="4"/>
  <c r="L2068" i="4"/>
  <c r="K2068" i="4"/>
  <c r="J2068" i="4"/>
  <c r="I2068" i="4"/>
  <c r="H2068" i="4"/>
  <c r="Q2067" i="4"/>
  <c r="P2067" i="4"/>
  <c r="O2067" i="4"/>
  <c r="N2067" i="4"/>
  <c r="M2067" i="4"/>
  <c r="L2067" i="4"/>
  <c r="K2067" i="4"/>
  <c r="J2067" i="4"/>
  <c r="I2067" i="4"/>
  <c r="H2067" i="4"/>
  <c r="Q2066" i="4"/>
  <c r="P2066" i="4"/>
  <c r="O2066" i="4"/>
  <c r="N2066" i="4"/>
  <c r="M2066" i="4"/>
  <c r="L2066" i="4"/>
  <c r="K2066" i="4"/>
  <c r="J2066" i="4"/>
  <c r="I2066" i="4"/>
  <c r="H2066" i="4"/>
  <c r="Q2065" i="4"/>
  <c r="P2065" i="4"/>
  <c r="O2065" i="4"/>
  <c r="N2065" i="4"/>
  <c r="M2065" i="4"/>
  <c r="L2065" i="4"/>
  <c r="K2065" i="4"/>
  <c r="J2065" i="4"/>
  <c r="I2065" i="4"/>
  <c r="H2065" i="4"/>
  <c r="Q2064" i="4"/>
  <c r="P2064" i="4"/>
  <c r="O2064" i="4"/>
  <c r="N2064" i="4"/>
  <c r="M2064" i="4"/>
  <c r="L2064" i="4"/>
  <c r="K2064" i="4"/>
  <c r="J2064" i="4"/>
  <c r="I2064" i="4"/>
  <c r="H2064" i="4"/>
  <c r="Q2063" i="4"/>
  <c r="P2063" i="4"/>
  <c r="O2063" i="4"/>
  <c r="N2063" i="4"/>
  <c r="M2063" i="4"/>
  <c r="L2063" i="4"/>
  <c r="K2063" i="4"/>
  <c r="J2063" i="4"/>
  <c r="I2063" i="4"/>
  <c r="H2063" i="4"/>
  <c r="Q2062" i="4"/>
  <c r="P2062" i="4"/>
  <c r="O2062" i="4"/>
  <c r="N2062" i="4"/>
  <c r="M2062" i="4"/>
  <c r="L2062" i="4"/>
  <c r="K2062" i="4"/>
  <c r="J2062" i="4"/>
  <c r="I2062" i="4"/>
  <c r="H2062" i="4"/>
  <c r="Q2083" i="4"/>
  <c r="P2083" i="4"/>
  <c r="O2083" i="4"/>
  <c r="N2083" i="4"/>
  <c r="M2083" i="4"/>
  <c r="L2083" i="4"/>
  <c r="K2083" i="4"/>
  <c r="J2083" i="4"/>
  <c r="I2083" i="4"/>
  <c r="H2083" i="4"/>
  <c r="Q2082" i="4"/>
  <c r="P2082" i="4"/>
  <c r="O2082" i="4"/>
  <c r="N2082" i="4"/>
  <c r="L2082" i="4"/>
  <c r="K2082" i="4"/>
  <c r="J2082" i="4"/>
  <c r="I2082" i="4"/>
  <c r="H2082" i="4"/>
  <c r="M2082" i="4" s="1"/>
  <c r="Q2081" i="4"/>
  <c r="P2081" i="4"/>
  <c r="O2081" i="4"/>
  <c r="N2081" i="4"/>
  <c r="L2081" i="4"/>
  <c r="K2081" i="4"/>
  <c r="J2081" i="4"/>
  <c r="I2081" i="4"/>
  <c r="H2081" i="4"/>
  <c r="M2081" i="4" s="1"/>
  <c r="Q2080" i="4"/>
  <c r="P2080" i="4"/>
  <c r="O2080" i="4"/>
  <c r="N2080" i="4"/>
  <c r="L2080" i="4"/>
  <c r="K2080" i="4"/>
  <c r="J2080" i="4"/>
  <c r="I2080" i="4"/>
  <c r="H2080" i="4"/>
  <c r="M2080" i="4" s="1"/>
  <c r="Q2079" i="4"/>
  <c r="P2079" i="4"/>
  <c r="O2079" i="4"/>
  <c r="N2079" i="4"/>
  <c r="L2079" i="4"/>
  <c r="K2079" i="4"/>
  <c r="J2079" i="4"/>
  <c r="I2079" i="4"/>
  <c r="H2079" i="4"/>
  <c r="M2079" i="4" s="1"/>
  <c r="Q2078" i="4"/>
  <c r="P2078" i="4"/>
  <c r="O2078" i="4"/>
  <c r="N2078" i="4"/>
  <c r="M2078" i="4"/>
  <c r="K2078" i="4"/>
  <c r="J2078" i="4"/>
  <c r="I2078" i="4"/>
  <c r="H2078" i="4"/>
  <c r="L2078" i="4" s="1"/>
  <c r="Q2077" i="4"/>
  <c r="P2077" i="4"/>
  <c r="O2077" i="4"/>
  <c r="N2077" i="4"/>
  <c r="M2077" i="4"/>
  <c r="L2077" i="4"/>
  <c r="K2077" i="4"/>
  <c r="J2077" i="4"/>
  <c r="I2077" i="4"/>
  <c r="H2077" i="4"/>
  <c r="Q2076" i="4"/>
  <c r="P2076" i="4"/>
  <c r="O2076" i="4"/>
  <c r="N2076" i="4"/>
  <c r="M2076" i="4"/>
  <c r="L2076" i="4"/>
  <c r="K2076" i="4"/>
  <c r="J2076" i="4"/>
  <c r="I2076" i="4"/>
  <c r="H2076" i="4"/>
  <c r="Q2075" i="4"/>
  <c r="P2075" i="4"/>
  <c r="O2075" i="4"/>
  <c r="N2075" i="4"/>
  <c r="M2075" i="4"/>
  <c r="K2075" i="4"/>
  <c r="J2075" i="4"/>
  <c r="I2075" i="4"/>
  <c r="H2075" i="4"/>
  <c r="L2075" i="4" s="1"/>
  <c r="Q2074" i="4"/>
  <c r="P2074" i="4"/>
  <c r="O2074" i="4"/>
  <c r="N2074" i="4"/>
  <c r="M2074" i="4"/>
  <c r="L2074" i="4"/>
  <c r="K2074" i="4"/>
  <c r="J2074" i="4"/>
  <c r="I2074" i="4"/>
  <c r="H2074" i="4"/>
  <c r="Q994" i="4"/>
  <c r="P994" i="4"/>
  <c r="O994" i="4"/>
  <c r="N994" i="4"/>
  <c r="M994" i="4"/>
  <c r="K994" i="4"/>
  <c r="J994" i="4"/>
  <c r="I994" i="4"/>
  <c r="H994" i="4"/>
  <c r="L994" i="4" s="1"/>
  <c r="Q993" i="4"/>
  <c r="P993" i="4"/>
  <c r="O993" i="4"/>
  <c r="N993" i="4"/>
  <c r="M993" i="4"/>
  <c r="K993" i="4"/>
  <c r="J993" i="4"/>
  <c r="I993" i="4"/>
  <c r="H993" i="4"/>
  <c r="L993" i="4" s="1"/>
  <c r="Q992" i="4"/>
  <c r="P992" i="4"/>
  <c r="O992" i="4"/>
  <c r="N992" i="4"/>
  <c r="M992" i="4"/>
  <c r="K992" i="4"/>
  <c r="J992" i="4"/>
  <c r="I992" i="4"/>
  <c r="H992" i="4"/>
  <c r="L992" i="4" s="1"/>
  <c r="Q991" i="4"/>
  <c r="P991" i="4"/>
  <c r="O991" i="4"/>
  <c r="N991" i="4"/>
  <c r="M991" i="4"/>
  <c r="K991" i="4"/>
  <c r="J991" i="4"/>
  <c r="I991" i="4"/>
  <c r="H991" i="4"/>
  <c r="L991" i="4" s="1"/>
  <c r="Q996" i="4"/>
  <c r="P996" i="4"/>
  <c r="O996" i="4"/>
  <c r="N996" i="4"/>
  <c r="L996" i="4"/>
  <c r="K996" i="4"/>
  <c r="J996" i="4"/>
  <c r="I996" i="4"/>
  <c r="H996" i="4"/>
  <c r="M996" i="4" s="1"/>
  <c r="Q995" i="4"/>
  <c r="P995" i="4"/>
  <c r="O995" i="4"/>
  <c r="N995" i="4"/>
  <c r="L995" i="4"/>
  <c r="K995" i="4"/>
  <c r="J995" i="4"/>
  <c r="I995" i="4"/>
  <c r="H995" i="4"/>
  <c r="M995" i="4" s="1"/>
  <c r="Q970" i="4"/>
  <c r="P970" i="4"/>
  <c r="O970" i="4"/>
  <c r="N970" i="4"/>
  <c r="L970" i="4"/>
  <c r="K970" i="4"/>
  <c r="J970" i="4"/>
  <c r="I970" i="4"/>
  <c r="H970" i="4"/>
  <c r="M970" i="4" s="1"/>
  <c r="Q969" i="4"/>
  <c r="P969" i="4"/>
  <c r="O969" i="4"/>
  <c r="N969" i="4"/>
  <c r="M969" i="4"/>
  <c r="K969" i="4"/>
  <c r="J969" i="4"/>
  <c r="I969" i="4"/>
  <c r="H969" i="4"/>
  <c r="L969" i="4" s="1"/>
  <c r="Q972" i="4"/>
  <c r="P972" i="4"/>
  <c r="O972" i="4"/>
  <c r="N972" i="4"/>
  <c r="L972" i="4"/>
  <c r="K972" i="4"/>
  <c r="J972" i="4"/>
  <c r="I972" i="4"/>
  <c r="H972" i="4"/>
  <c r="M972" i="4" s="1"/>
  <c r="Q971" i="4"/>
  <c r="P971" i="4"/>
  <c r="O971" i="4"/>
  <c r="N971" i="4"/>
  <c r="L971" i="4"/>
  <c r="K971" i="4"/>
  <c r="J971" i="4"/>
  <c r="I971" i="4"/>
  <c r="H971" i="4"/>
  <c r="M971" i="4" s="1"/>
  <c r="Q947" i="4"/>
  <c r="P947" i="4"/>
  <c r="O947" i="4"/>
  <c r="N947" i="4"/>
  <c r="M947" i="4"/>
  <c r="K947" i="4"/>
  <c r="J947" i="4"/>
  <c r="I947" i="4"/>
  <c r="H947" i="4"/>
  <c r="L947" i="4" s="1"/>
  <c r="Q946" i="4"/>
  <c r="P946" i="4"/>
  <c r="O946" i="4"/>
  <c r="N946" i="4"/>
  <c r="M946" i="4"/>
  <c r="K946" i="4"/>
  <c r="J946" i="4"/>
  <c r="I946" i="4"/>
  <c r="H946" i="4"/>
  <c r="L946" i="4" s="1"/>
  <c r="Q937" i="4"/>
  <c r="P937" i="4"/>
  <c r="O937" i="4"/>
  <c r="N937" i="4"/>
  <c r="M937" i="4"/>
  <c r="K937" i="4"/>
  <c r="J937" i="4"/>
  <c r="I937" i="4"/>
  <c r="H937" i="4"/>
  <c r="L937" i="4" s="1"/>
  <c r="Q938" i="4"/>
  <c r="P938" i="4"/>
  <c r="O938" i="4"/>
  <c r="N938" i="4"/>
  <c r="M938" i="4"/>
  <c r="K938" i="4"/>
  <c r="J938" i="4"/>
  <c r="I938" i="4"/>
  <c r="H938" i="4"/>
  <c r="L938" i="4" s="1"/>
  <c r="Q939" i="4"/>
  <c r="P939" i="4"/>
  <c r="O939" i="4"/>
  <c r="N939" i="4"/>
  <c r="M939" i="4"/>
  <c r="K939" i="4"/>
  <c r="J939" i="4"/>
  <c r="I939" i="4"/>
  <c r="H939" i="4"/>
  <c r="L939" i="4" s="1"/>
  <c r="Q936" i="4"/>
  <c r="P936" i="4"/>
  <c r="O936" i="4"/>
  <c r="N936" i="4"/>
  <c r="M936" i="4"/>
  <c r="K936" i="4"/>
  <c r="J936" i="4"/>
  <c r="I936" i="4"/>
  <c r="H936" i="4"/>
  <c r="L936" i="4" s="1"/>
  <c r="Q928" i="4"/>
  <c r="P928" i="4"/>
  <c r="O928" i="4"/>
  <c r="N928" i="4"/>
  <c r="M928" i="4"/>
  <c r="K928" i="4"/>
  <c r="J928" i="4"/>
  <c r="I928" i="4"/>
  <c r="H928" i="4"/>
  <c r="L928" i="4" s="1"/>
  <c r="Q929" i="4"/>
  <c r="P929" i="4"/>
  <c r="O929" i="4"/>
  <c r="N929" i="4"/>
  <c r="M929" i="4"/>
  <c r="K929" i="4"/>
  <c r="J929" i="4"/>
  <c r="I929" i="4"/>
  <c r="H929" i="4"/>
  <c r="L929" i="4" s="1"/>
  <c r="Q927" i="4"/>
  <c r="P927" i="4"/>
  <c r="O927" i="4"/>
  <c r="N927" i="4"/>
  <c r="M927" i="4"/>
  <c r="K927" i="4"/>
  <c r="J927" i="4"/>
  <c r="I927" i="4"/>
  <c r="H927" i="4"/>
  <c r="L927" i="4" s="1"/>
  <c r="Q918" i="4"/>
  <c r="P918" i="4"/>
  <c r="O918" i="4"/>
  <c r="N918" i="4"/>
  <c r="M918" i="4"/>
  <c r="K918" i="4"/>
  <c r="J918" i="4"/>
  <c r="I918" i="4"/>
  <c r="H918" i="4"/>
  <c r="L918" i="4" s="1"/>
  <c r="Q917" i="4"/>
  <c r="P917" i="4"/>
  <c r="O917" i="4"/>
  <c r="N917" i="4"/>
  <c r="M917" i="4"/>
  <c r="K917" i="4"/>
  <c r="J917" i="4"/>
  <c r="I917" i="4"/>
  <c r="H917" i="4"/>
  <c r="L917" i="4" s="1"/>
  <c r="Q920" i="4"/>
  <c r="P920" i="4"/>
  <c r="O920" i="4"/>
  <c r="N920" i="4"/>
  <c r="L920" i="4"/>
  <c r="K920" i="4"/>
  <c r="J920" i="4"/>
  <c r="I920" i="4"/>
  <c r="H920" i="4"/>
  <c r="M920" i="4" s="1"/>
  <c r="Q919" i="4"/>
  <c r="P919" i="4"/>
  <c r="O919" i="4"/>
  <c r="N919" i="4"/>
  <c r="M919" i="4"/>
  <c r="K919" i="4"/>
  <c r="J919" i="4"/>
  <c r="I919" i="4"/>
  <c r="H919" i="4"/>
  <c r="L919" i="4" s="1"/>
  <c r="Q909" i="4"/>
  <c r="P909" i="4"/>
  <c r="O909" i="4"/>
  <c r="N909" i="4"/>
  <c r="M909" i="4"/>
  <c r="K909" i="4"/>
  <c r="J909" i="4"/>
  <c r="I909" i="4"/>
  <c r="H909" i="4"/>
  <c r="L909" i="4" s="1"/>
  <c r="Q908" i="4"/>
  <c r="P908" i="4"/>
  <c r="O908" i="4"/>
  <c r="N908" i="4"/>
  <c r="M908" i="4"/>
  <c r="K908" i="4"/>
  <c r="J908" i="4"/>
  <c r="I908" i="4"/>
  <c r="H908" i="4"/>
  <c r="L908" i="4" s="1"/>
  <c r="Q907" i="4"/>
  <c r="P907" i="4"/>
  <c r="O907" i="4"/>
  <c r="N907" i="4"/>
  <c r="M907" i="4"/>
  <c r="K907" i="4"/>
  <c r="J907" i="4"/>
  <c r="I907" i="4"/>
  <c r="H907" i="4"/>
  <c r="L907" i="4" s="1"/>
  <c r="Q910" i="4"/>
  <c r="P910" i="4"/>
  <c r="O910" i="4"/>
  <c r="N910" i="4"/>
  <c r="L910" i="4"/>
  <c r="K910" i="4"/>
  <c r="J910" i="4"/>
  <c r="I910" i="4"/>
  <c r="H910" i="4"/>
  <c r="M910" i="4" s="1"/>
  <c r="Q906" i="4"/>
  <c r="P906" i="4"/>
  <c r="O906" i="4"/>
  <c r="N906" i="4"/>
  <c r="M906" i="4"/>
  <c r="K906" i="4"/>
  <c r="J906" i="4"/>
  <c r="I906" i="4"/>
  <c r="H906" i="4"/>
  <c r="L906" i="4" s="1"/>
  <c r="E895" i="4"/>
  <c r="E894" i="4"/>
  <c r="E893" i="4"/>
  <c r="J1420" i="4" l="1"/>
  <c r="Q1058" i="4"/>
  <c r="P1124" i="4"/>
  <c r="J1442" i="4"/>
  <c r="L1442" i="4"/>
  <c r="N1665" i="4"/>
  <c r="K1689" i="4"/>
  <c r="K1350" i="4"/>
  <c r="I1388" i="4"/>
  <c r="Q1393" i="4"/>
  <c r="N1301" i="4"/>
  <c r="J1327" i="4"/>
  <c r="N1039" i="4"/>
  <c r="P1043" i="4"/>
  <c r="L1048" i="4"/>
  <c r="Q1119" i="4"/>
  <c r="P1893" i="4"/>
  <c r="O1545" i="4"/>
  <c r="K1881" i="4"/>
  <c r="I1977" i="4"/>
  <c r="Q1869" i="4"/>
  <c r="O1905" i="4"/>
  <c r="P1063" i="4"/>
  <c r="J1092" i="4"/>
  <c r="I1809" i="4"/>
  <c r="Q1857" i="4"/>
  <c r="L1869" i="4"/>
  <c r="L1343" i="4"/>
  <c r="P1418" i="4"/>
  <c r="P1497" i="4"/>
  <c r="N1521" i="4"/>
  <c r="P1641" i="4"/>
  <c r="K1114" i="4"/>
  <c r="I1629" i="4"/>
  <c r="M1689" i="4"/>
  <c r="O1689" i="4"/>
  <c r="L1276" i="4"/>
  <c r="M1393" i="4"/>
  <c r="O1393" i="4"/>
  <c r="P1941" i="4"/>
  <c r="J1557" i="4"/>
  <c r="K1119" i="4"/>
  <c r="J1150" i="4"/>
  <c r="L1150" i="4"/>
  <c r="P1211" i="4"/>
  <c r="J1218" i="4"/>
  <c r="L1218" i="4"/>
  <c r="J1372" i="4"/>
  <c r="L1372" i="4"/>
  <c r="P1653" i="4"/>
  <c r="I1073" i="4"/>
  <c r="K1073" i="4"/>
  <c r="Q1092" i="4"/>
  <c r="O1092" i="4"/>
  <c r="K1281" i="4"/>
  <c r="K1313" i="4"/>
  <c r="M1313" i="4"/>
  <c r="O1313" i="4"/>
  <c r="O1327" i="4"/>
  <c r="K2037" i="4"/>
  <c r="M1429" i="4"/>
  <c r="M1435" i="4"/>
  <c r="I1454" i="4"/>
  <c r="I1468" i="4"/>
  <c r="Q1473" i="4"/>
  <c r="L1242" i="4"/>
  <c r="N1761" i="4"/>
  <c r="L1785" i="4"/>
  <c r="L1797" i="4"/>
  <c r="L1857" i="4"/>
  <c r="N1857" i="4"/>
  <c r="N1881" i="4"/>
  <c r="P1881" i="4"/>
  <c r="J1401" i="4"/>
  <c r="L1677" i="4"/>
  <c r="K1043" i="4"/>
  <c r="M1043" i="4"/>
  <c r="Q1255" i="4"/>
  <c r="M1271" i="4"/>
  <c r="K1737" i="4"/>
  <c r="O1749" i="4"/>
  <c r="I1761" i="4"/>
  <c r="P1031" i="4"/>
  <c r="J1255" i="4"/>
  <c r="P2013" i="4"/>
  <c r="P1629" i="4"/>
  <c r="N1653" i="4"/>
  <c r="I1124" i="4"/>
  <c r="O1129" i="4"/>
  <c r="K1165" i="4"/>
  <c r="M1187" i="4"/>
  <c r="O1218" i="4"/>
  <c r="J1026" i="4"/>
  <c r="M2049" i="4"/>
  <c r="L2013" i="4"/>
  <c r="P1965" i="4"/>
  <c r="O1977" i="4"/>
  <c r="L1749" i="4"/>
  <c r="P1749" i="4"/>
  <c r="M1881" i="4"/>
  <c r="L1485" i="4"/>
  <c r="N1485" i="4"/>
  <c r="P1485" i="4"/>
  <c r="N1545" i="4"/>
  <c r="P1545" i="4"/>
  <c r="I1557" i="4"/>
  <c r="Q1605" i="4"/>
  <c r="O1641" i="4"/>
  <c r="J1653" i="4"/>
  <c r="L1653" i="4"/>
  <c r="P1026" i="4"/>
  <c r="J1048" i="4"/>
  <c r="N1053" i="4"/>
  <c r="M1143" i="4"/>
  <c r="I1179" i="4"/>
  <c r="I1291" i="4"/>
  <c r="Q1332" i="4"/>
  <c r="I1332" i="4"/>
  <c r="M1338" i="4"/>
  <c r="L1393" i="4"/>
  <c r="K1989" i="4"/>
  <c r="P1929" i="4"/>
  <c r="Q1809" i="4"/>
  <c r="Q1845" i="4"/>
  <c r="M1857" i="4"/>
  <c r="J1869" i="4"/>
  <c r="O1881" i="4"/>
  <c r="N1450" i="4"/>
  <c r="J1468" i="4"/>
  <c r="J1533" i="4"/>
  <c r="Q1617" i="4"/>
  <c r="N1677" i="4"/>
  <c r="I1035" i="4"/>
  <c r="K1035" i="4"/>
  <c r="P1039" i="4"/>
  <c r="N1068" i="4"/>
  <c r="P1068" i="4"/>
  <c r="J1088" i="4"/>
  <c r="L1088" i="4"/>
  <c r="N1088" i="4"/>
  <c r="J1109" i="4"/>
  <c r="M1114" i="4"/>
  <c r="O1114" i="4"/>
  <c r="K1150" i="4"/>
  <c r="M1150" i="4"/>
  <c r="O1150" i="4"/>
  <c r="Q1150" i="4"/>
  <c r="K1199" i="4"/>
  <c r="O1211" i="4"/>
  <c r="Q1211" i="4"/>
  <c r="I1211" i="4"/>
  <c r="N1376" i="4"/>
  <c r="L1725" i="4"/>
  <c r="J1833" i="4"/>
  <c r="L1833" i="4"/>
  <c r="I1869" i="4"/>
  <c r="P1413" i="4"/>
  <c r="K1454" i="4"/>
  <c r="O1463" i="4"/>
  <c r="Q1463" i="4"/>
  <c r="L1557" i="4"/>
  <c r="P1617" i="4"/>
  <c r="J1035" i="4"/>
  <c r="I1063" i="4"/>
  <c r="O1068" i="4"/>
  <c r="K1088" i="4"/>
  <c r="M1104" i="4"/>
  <c r="J1206" i="4"/>
  <c r="K1242" i="4"/>
  <c r="M1242" i="4"/>
  <c r="O1242" i="4"/>
  <c r="L1281" i="4"/>
  <c r="P1301" i="4"/>
  <c r="P1320" i="4"/>
  <c r="L1327" i="4"/>
  <c r="P1327" i="4"/>
  <c r="M1383" i="4"/>
  <c r="K1393" i="4"/>
  <c r="L2061" i="4"/>
  <c r="O2073" i="4"/>
  <c r="P2061" i="4"/>
  <c r="M1989" i="4"/>
  <c r="P1737" i="4"/>
  <c r="K1761" i="4"/>
  <c r="O1761" i="4"/>
  <c r="K1797" i="4"/>
  <c r="O1821" i="4"/>
  <c r="Q1821" i="4"/>
  <c r="I1581" i="4"/>
  <c r="I1605" i="4"/>
  <c r="M1605" i="4"/>
  <c r="O1605" i="4"/>
  <c r="L1629" i="4"/>
  <c r="Q1143" i="4"/>
  <c r="I1206" i="4"/>
  <c r="Q1206" i="4"/>
  <c r="Q1286" i="4"/>
  <c r="P1376" i="4"/>
  <c r="L1383" i="4"/>
  <c r="L1388" i="4"/>
  <c r="L2037" i="4"/>
  <c r="N1701" i="4"/>
  <c r="J2001" i="4"/>
  <c r="M2025" i="4"/>
  <c r="O2025" i="4"/>
  <c r="Q1749" i="4"/>
  <c r="P1821" i="4"/>
  <c r="Q1485" i="4"/>
  <c r="J1569" i="4"/>
  <c r="O1653" i="4"/>
  <c r="Q1084" i="4"/>
  <c r="J1136" i="4"/>
  <c r="I1271" i="4"/>
  <c r="K1271" i="4"/>
  <c r="N1276" i="4"/>
  <c r="P1276" i="4"/>
  <c r="Q1355" i="4"/>
  <c r="Q2061" i="4"/>
  <c r="Q2025" i="4"/>
  <c r="I1929" i="4"/>
  <c r="K1965" i="4"/>
  <c r="O1435" i="4"/>
  <c r="Q1435" i="4"/>
  <c r="K1458" i="4"/>
  <c r="K1545" i="4"/>
  <c r="L1665" i="4"/>
  <c r="K1077" i="4"/>
  <c r="L1187" i="4"/>
  <c r="N1261" i="4"/>
  <c r="P1291" i="4"/>
  <c r="L1313" i="4"/>
  <c r="O1363" i="4"/>
  <c r="Q1363" i="4"/>
  <c r="K2049" i="4"/>
  <c r="M2001" i="4"/>
  <c r="K2001" i="4"/>
  <c r="K1893" i="4"/>
  <c r="N1917" i="4"/>
  <c r="Q1977" i="4"/>
  <c r="Q1725" i="4"/>
  <c r="J1749" i="4"/>
  <c r="O1833" i="4"/>
  <c r="P1435" i="4"/>
  <c r="M1665" i="4"/>
  <c r="L1026" i="4"/>
  <c r="P1073" i="4"/>
  <c r="N1073" i="4"/>
  <c r="P1088" i="4"/>
  <c r="L1109" i="4"/>
  <c r="J1119" i="4"/>
  <c r="Q1179" i="4"/>
  <c r="Q1308" i="4"/>
  <c r="J1355" i="4"/>
  <c r="P1363" i="4"/>
  <c r="I2013" i="4"/>
  <c r="L1893" i="4"/>
  <c r="Q1953" i="4"/>
  <c r="J1977" i="4"/>
  <c r="O1869" i="4"/>
  <c r="M1424" i="4"/>
  <c r="O1424" i="4"/>
  <c r="I1429" i="4"/>
  <c r="K1429" i="4"/>
  <c r="I1450" i="4"/>
  <c r="K1450" i="4"/>
  <c r="I1463" i="4"/>
  <c r="O1533" i="4"/>
  <c r="Q1533" i="4"/>
  <c r="I1533" i="4"/>
  <c r="M1533" i="4"/>
  <c r="J1581" i="4"/>
  <c r="N1581" i="4"/>
  <c r="N1605" i="4"/>
  <c r="P1605" i="4"/>
  <c r="I1677" i="4"/>
  <c r="M1077" i="4"/>
  <c r="I1099" i="4"/>
  <c r="L1114" i="4"/>
  <c r="N1136" i="4"/>
  <c r="N1223" i="4"/>
  <c r="N1281" i="4"/>
  <c r="P1281" i="4"/>
  <c r="J1301" i="4"/>
  <c r="N1332" i="4"/>
  <c r="I1363" i="4"/>
  <c r="Q2073" i="4"/>
  <c r="M1713" i="4"/>
  <c r="M1773" i="4"/>
  <c r="I1821" i="4"/>
  <c r="N1424" i="4"/>
  <c r="J1450" i="4"/>
  <c r="Q1497" i="4"/>
  <c r="I1497" i="4"/>
  <c r="M1509" i="4"/>
  <c r="O1509" i="4"/>
  <c r="O1665" i="4"/>
  <c r="Q1665" i="4"/>
  <c r="N1026" i="4"/>
  <c r="K1031" i="4"/>
  <c r="K1058" i="4"/>
  <c r="N1063" i="4"/>
  <c r="J1084" i="4"/>
  <c r="O1170" i="4"/>
  <c r="M1236" i="4"/>
  <c r="P1248" i="4"/>
  <c r="Q1261" i="4"/>
  <c r="L1271" i="4"/>
  <c r="O1296" i="4"/>
  <c r="K1320" i="4"/>
  <c r="N1350" i="4"/>
  <c r="P1350" i="4"/>
  <c r="Q2001" i="4"/>
  <c r="L1941" i="4"/>
  <c r="L1965" i="4"/>
  <c r="P1701" i="4"/>
  <c r="J1809" i="4"/>
  <c r="N1845" i="4"/>
  <c r="L1413" i="4"/>
  <c r="J1497" i="4"/>
  <c r="L1497" i="4"/>
  <c r="P1665" i="4"/>
  <c r="O1026" i="4"/>
  <c r="Q1026" i="4"/>
  <c r="J1031" i="4"/>
  <c r="Q1048" i="4"/>
  <c r="M1053" i="4"/>
  <c r="O1053" i="4"/>
  <c r="K1053" i="4"/>
  <c r="J1058" i="4"/>
  <c r="K1099" i="4"/>
  <c r="O1099" i="4"/>
  <c r="P1165" i="4"/>
  <c r="L1199" i="4"/>
  <c r="P1223" i="4"/>
  <c r="L1236" i="4"/>
  <c r="N1236" i="4"/>
  <c r="P1236" i="4"/>
  <c r="L1338" i="4"/>
  <c r="O1372" i="4"/>
  <c r="M1021" i="4"/>
  <c r="P1021" i="4"/>
  <c r="O2037" i="4"/>
  <c r="J2061" i="4"/>
  <c r="P2037" i="4"/>
  <c r="K2061" i="4"/>
  <c r="L2049" i="4"/>
  <c r="J2049" i="4"/>
  <c r="L2001" i="4"/>
  <c r="L2025" i="4"/>
  <c r="N2025" i="4"/>
  <c r="J1893" i="4"/>
  <c r="M1905" i="4"/>
  <c r="O1929" i="4"/>
  <c r="Q1929" i="4"/>
  <c r="J1941" i="4"/>
  <c r="J1701" i="4"/>
  <c r="Q1713" i="4"/>
  <c r="K1725" i="4"/>
  <c r="M1725" i="4"/>
  <c r="Q1761" i="4"/>
  <c r="L1773" i="4"/>
  <c r="N1797" i="4"/>
  <c r="N1821" i="4"/>
  <c r="P1845" i="4"/>
  <c r="Q1408" i="4"/>
  <c r="O1442" i="4"/>
  <c r="J1043" i="4"/>
  <c r="N1043" i="4"/>
  <c r="L1084" i="4"/>
  <c r="Q1313" i="4"/>
  <c r="P2073" i="4"/>
  <c r="M2061" i="4"/>
  <c r="O2061" i="4"/>
  <c r="N2049" i="4"/>
  <c r="I1989" i="4"/>
  <c r="N2001" i="4"/>
  <c r="P2001" i="4"/>
  <c r="J2013" i="4"/>
  <c r="J1917" i="4"/>
  <c r="M1965" i="4"/>
  <c r="O1965" i="4"/>
  <c r="Q1965" i="4"/>
  <c r="I1965" i="4"/>
  <c r="L1701" i="4"/>
  <c r="M1749" i="4"/>
  <c r="I1785" i="4"/>
  <c r="M1785" i="4"/>
  <c r="P1797" i="4"/>
  <c r="K1833" i="4"/>
  <c r="N1099" i="4"/>
  <c r="I1261" i="4"/>
  <c r="J1989" i="4"/>
  <c r="I1893" i="4"/>
  <c r="M1917" i="4"/>
  <c r="O1917" i="4"/>
  <c r="I1917" i="4"/>
  <c r="J1953" i="4"/>
  <c r="L1953" i="4"/>
  <c r="N1965" i="4"/>
  <c r="M1701" i="4"/>
  <c r="O1701" i="4"/>
  <c r="N1725" i="4"/>
  <c r="N1749" i="4"/>
  <c r="J1761" i="4"/>
  <c r="O1773" i="4"/>
  <c r="Q1773" i="4"/>
  <c r="J1785" i="4"/>
  <c r="Q1797" i="4"/>
  <c r="O2049" i="4"/>
  <c r="K1917" i="4"/>
  <c r="P2049" i="4"/>
  <c r="P2025" i="4"/>
  <c r="Q1905" i="4"/>
  <c r="I1905" i="4"/>
  <c r="L1917" i="4"/>
  <c r="N1941" i="4"/>
  <c r="I1953" i="4"/>
  <c r="K1953" i="4"/>
  <c r="I1713" i="4"/>
  <c r="O1725" i="4"/>
  <c r="I1737" i="4"/>
  <c r="P1773" i="4"/>
  <c r="K1785" i="4"/>
  <c r="L1809" i="4"/>
  <c r="N1809" i="4"/>
  <c r="J1821" i="4"/>
  <c r="M1833" i="4"/>
  <c r="O1857" i="4"/>
  <c r="P1581" i="4"/>
  <c r="L1593" i="4"/>
  <c r="L1605" i="4"/>
  <c r="O1677" i="4"/>
  <c r="Q1677" i="4"/>
  <c r="J1689" i="4"/>
  <c r="L1689" i="4"/>
  <c r="O1031" i="4"/>
  <c r="M1058" i="4"/>
  <c r="P1084" i="4"/>
  <c r="P1099" i="4"/>
  <c r="I1136" i="4"/>
  <c r="K1136" i="4"/>
  <c r="Q1236" i="4"/>
  <c r="O1255" i="4"/>
  <c r="K1261" i="4"/>
  <c r="O1261" i="4"/>
  <c r="M1308" i="4"/>
  <c r="N2061" i="4"/>
  <c r="J2037" i="4"/>
  <c r="Q2049" i="4"/>
  <c r="O2001" i="4"/>
  <c r="K2013" i="4"/>
  <c r="Q2013" i="4"/>
  <c r="O1941" i="4"/>
  <c r="Q1941" i="4"/>
  <c r="J1713" i="4"/>
  <c r="P1725" i="4"/>
  <c r="J1737" i="4"/>
  <c r="L1737" i="4"/>
  <c r="M1809" i="4"/>
  <c r="N1833" i="4"/>
  <c r="P1833" i="4"/>
  <c r="I1845" i="4"/>
  <c r="K1845" i="4"/>
  <c r="P1857" i="4"/>
  <c r="J1413" i="4"/>
  <c r="K1497" i="4"/>
  <c r="M1497" i="4"/>
  <c r="O1497" i="4"/>
  <c r="I1569" i="4"/>
  <c r="I1665" i="4"/>
  <c r="K1665" i="4"/>
  <c r="K1048" i="4"/>
  <c r="N1129" i="4"/>
  <c r="P1129" i="4"/>
  <c r="J1165" i="4"/>
  <c r="L1165" i="4"/>
  <c r="N1165" i="4"/>
  <c r="N1179" i="4"/>
  <c r="N1199" i="4"/>
  <c r="J1223" i="4"/>
  <c r="L1223" i="4"/>
  <c r="K1713" i="4"/>
  <c r="J1845" i="4"/>
  <c r="I2049" i="4"/>
  <c r="N1989" i="4"/>
  <c r="L1989" i="4"/>
  <c r="M2013" i="4"/>
  <c r="O2013" i="4"/>
  <c r="I2025" i="4"/>
  <c r="M1893" i="4"/>
  <c r="O1893" i="4"/>
  <c r="J1929" i="4"/>
  <c r="L1929" i="4"/>
  <c r="N1929" i="4"/>
  <c r="Q1701" i="4"/>
  <c r="L1713" i="4"/>
  <c r="N1713" i="4"/>
  <c r="L1761" i="4"/>
  <c r="I1773" i="4"/>
  <c r="N1785" i="4"/>
  <c r="P1785" i="4"/>
  <c r="I1797" i="4"/>
  <c r="O1809" i="4"/>
  <c r="P1401" i="4"/>
  <c r="L1533" i="4"/>
  <c r="O1021" i="4"/>
  <c r="I1021" i="4"/>
  <c r="I1039" i="4"/>
  <c r="M1119" i="4"/>
  <c r="P1150" i="4"/>
  <c r="P1179" i="4"/>
  <c r="K1248" i="4"/>
  <c r="J1286" i="4"/>
  <c r="I2073" i="4"/>
  <c r="I2061" i="4"/>
  <c r="M2037" i="4"/>
  <c r="I2037" i="4"/>
  <c r="O1989" i="4"/>
  <c r="Q1989" i="4"/>
  <c r="N2013" i="4"/>
  <c r="N1893" i="4"/>
  <c r="P1917" i="4"/>
  <c r="K1929" i="4"/>
  <c r="M1929" i="4"/>
  <c r="M1953" i="4"/>
  <c r="K1977" i="4"/>
  <c r="I1725" i="4"/>
  <c r="M1737" i="4"/>
  <c r="Q1737" i="4"/>
  <c r="M1761" i="4"/>
  <c r="O1785" i="4"/>
  <c r="J1797" i="4"/>
  <c r="P1809" i="4"/>
  <c r="Q1833" i="4"/>
  <c r="I1833" i="4"/>
  <c r="L1845" i="4"/>
  <c r="N1869" i="4"/>
  <c r="I1435" i="4"/>
  <c r="K1442" i="4"/>
  <c r="O1629" i="4"/>
  <c r="Q1629" i="4"/>
  <c r="O1035" i="4"/>
  <c r="N2037" i="4"/>
  <c r="P1989" i="4"/>
  <c r="I2001" i="4"/>
  <c r="Q1917" i="4"/>
  <c r="N1953" i="4"/>
  <c r="P1953" i="4"/>
  <c r="J1965" i="4"/>
  <c r="L1977" i="4"/>
  <c r="N1977" i="4"/>
  <c r="P1977" i="4"/>
  <c r="N1737" i="4"/>
  <c r="K1821" i="4"/>
  <c r="M1821" i="4"/>
  <c r="M1845" i="4"/>
  <c r="O1845" i="4"/>
  <c r="J1857" i="4"/>
  <c r="L1458" i="4"/>
  <c r="N1533" i="4"/>
  <c r="I1617" i="4"/>
  <c r="J1170" i="4"/>
  <c r="Q1242" i="4"/>
  <c r="L1301" i="4"/>
  <c r="Q2037" i="4"/>
  <c r="O1953" i="4"/>
  <c r="M1977" i="4"/>
  <c r="O1713" i="4"/>
  <c r="O1737" i="4"/>
  <c r="I1749" i="4"/>
  <c r="K1749" i="4"/>
  <c r="J1773" i="4"/>
  <c r="N1773" i="4"/>
  <c r="Q1785" i="4"/>
  <c r="L1821" i="4"/>
  <c r="I1857" i="4"/>
  <c r="K1857" i="4"/>
  <c r="J2025" i="4"/>
  <c r="K1905" i="4"/>
  <c r="K2025" i="4"/>
  <c r="Q1893" i="4"/>
  <c r="L1905" i="4"/>
  <c r="N1905" i="4"/>
  <c r="P1905" i="4"/>
  <c r="J1905" i="4"/>
  <c r="I1941" i="4"/>
  <c r="K1941" i="4"/>
  <c r="M1941" i="4"/>
  <c r="I1701" i="4"/>
  <c r="K1701" i="4"/>
  <c r="P1713" i="4"/>
  <c r="J1725" i="4"/>
  <c r="P1761" i="4"/>
  <c r="K1773" i="4"/>
  <c r="M1797" i="4"/>
  <c r="O1797" i="4"/>
  <c r="K1809" i="4"/>
  <c r="L1545" i="4"/>
  <c r="O1454" i="4"/>
  <c r="J1665" i="4"/>
  <c r="K1408" i="4"/>
  <c r="N1413" i="4"/>
  <c r="L1454" i="4"/>
  <c r="N1454" i="4"/>
  <c r="P1454" i="4"/>
  <c r="J1454" i="4"/>
  <c r="K1473" i="4"/>
  <c r="I1521" i="4"/>
  <c r="K1521" i="4"/>
  <c r="P1533" i="4"/>
  <c r="J1545" i="4"/>
  <c r="K1569" i="4"/>
  <c r="O1569" i="4"/>
  <c r="J1605" i="4"/>
  <c r="Q1641" i="4"/>
  <c r="I1641" i="4"/>
  <c r="K1677" i="4"/>
  <c r="M1677" i="4"/>
  <c r="N1017" i="4"/>
  <c r="Q1021" i="4"/>
  <c r="K1026" i="4"/>
  <c r="M1026" i="4"/>
  <c r="Q1039" i="4"/>
  <c r="L1043" i="4"/>
  <c r="I1058" i="4"/>
  <c r="O1063" i="4"/>
  <c r="Q1063" i="4"/>
  <c r="J1068" i="4"/>
  <c r="L1068" i="4"/>
  <c r="L1077" i="4"/>
  <c r="N1077" i="4"/>
  <c r="P1077" i="4"/>
  <c r="I1104" i="4"/>
  <c r="K1104" i="4"/>
  <c r="N1109" i="4"/>
  <c r="P1109" i="4"/>
  <c r="O1119" i="4"/>
  <c r="L1170" i="4"/>
  <c r="P1170" i="4"/>
  <c r="I1193" i="4"/>
  <c r="M1193" i="4"/>
  <c r="P1199" i="4"/>
  <c r="K1218" i="4"/>
  <c r="M1218" i="4"/>
  <c r="I1242" i="4"/>
  <c r="M1248" i="4"/>
  <c r="Q1248" i="4"/>
  <c r="M1261" i="4"/>
  <c r="O1276" i="4"/>
  <c r="Q1276" i="4"/>
  <c r="J1281" i="4"/>
  <c r="P1286" i="4"/>
  <c r="Q1296" i="4"/>
  <c r="I1296" i="4"/>
  <c r="I1320" i="4"/>
  <c r="I1343" i="4"/>
  <c r="M1343" i="4"/>
  <c r="K1372" i="4"/>
  <c r="M1372" i="4"/>
  <c r="N1393" i="4"/>
  <c r="K1869" i="4"/>
  <c r="M1869" i="4"/>
  <c r="M1401" i="4"/>
  <c r="J1408" i="4"/>
  <c r="N1408" i="4"/>
  <c r="O1413" i="4"/>
  <c r="J1418" i="4"/>
  <c r="P1424" i="4"/>
  <c r="M1454" i="4"/>
  <c r="L1473" i="4"/>
  <c r="N1473" i="4"/>
  <c r="L1569" i="4"/>
  <c r="P1569" i="4"/>
  <c r="O1593" i="4"/>
  <c r="Q1593" i="4"/>
  <c r="K1605" i="4"/>
  <c r="N1629" i="4"/>
  <c r="J1641" i="4"/>
  <c r="L1641" i="4"/>
  <c r="I1689" i="4"/>
  <c r="L1035" i="4"/>
  <c r="P1035" i="4"/>
  <c r="P1053" i="4"/>
  <c r="K1068" i="4"/>
  <c r="I1084" i="4"/>
  <c r="M1088" i="4"/>
  <c r="Q1088" i="4"/>
  <c r="M1099" i="4"/>
  <c r="O1109" i="4"/>
  <c r="J1114" i="4"/>
  <c r="P1119" i="4"/>
  <c r="Q1129" i="4"/>
  <c r="I1129" i="4"/>
  <c r="L1136" i="4"/>
  <c r="Q1199" i="4"/>
  <c r="I1199" i="4"/>
  <c r="J1242" i="4"/>
  <c r="K1291" i="4"/>
  <c r="M1291" i="4"/>
  <c r="M1301" i="4"/>
  <c r="O1301" i="4"/>
  <c r="Q1301" i="4"/>
  <c r="J1308" i="4"/>
  <c r="N1313" i="4"/>
  <c r="N1327" i="4"/>
  <c r="J1332" i="4"/>
  <c r="L1332" i="4"/>
  <c r="O1338" i="4"/>
  <c r="Q1338" i="4"/>
  <c r="Q1350" i="4"/>
  <c r="I1350" i="4"/>
  <c r="N1383" i="4"/>
  <c r="P1383" i="4"/>
  <c r="J1388" i="4"/>
  <c r="N1401" i="4"/>
  <c r="I1408" i="4"/>
  <c r="K1418" i="4"/>
  <c r="M1418" i="4"/>
  <c r="Q1424" i="4"/>
  <c r="K1424" i="4"/>
  <c r="L1429" i="4"/>
  <c r="M1442" i="4"/>
  <c r="Q1442" i="4"/>
  <c r="J1458" i="4"/>
  <c r="N1458" i="4"/>
  <c r="N1468" i="4"/>
  <c r="P1468" i="4"/>
  <c r="I1473" i="4"/>
  <c r="O1485" i="4"/>
  <c r="P1509" i="4"/>
  <c r="N1509" i="4"/>
  <c r="M1569" i="4"/>
  <c r="K1617" i="4"/>
  <c r="M1653" i="4"/>
  <c r="I1031" i="4"/>
  <c r="M1035" i="4"/>
  <c r="I1048" i="4"/>
  <c r="M1048" i="4"/>
  <c r="Q1053" i="4"/>
  <c r="I1053" i="4"/>
  <c r="K1124" i="4"/>
  <c r="M1124" i="4"/>
  <c r="M1136" i="4"/>
  <c r="O1136" i="4"/>
  <c r="Q1136" i="4"/>
  <c r="J1143" i="4"/>
  <c r="N1150" i="4"/>
  <c r="N1170" i="4"/>
  <c r="J1179" i="4"/>
  <c r="L1179" i="4"/>
  <c r="O1187" i="4"/>
  <c r="Q1187" i="4"/>
  <c r="K1193" i="4"/>
  <c r="L1206" i="4"/>
  <c r="N1206" i="4"/>
  <c r="J1211" i="4"/>
  <c r="O1236" i="4"/>
  <c r="O1248" i="4"/>
  <c r="I1255" i="4"/>
  <c r="K1255" i="4"/>
  <c r="M1255" i="4"/>
  <c r="J1271" i="4"/>
  <c r="N1271" i="4"/>
  <c r="L1291" i="4"/>
  <c r="N1291" i="4"/>
  <c r="I1308" i="4"/>
  <c r="K1308" i="4"/>
  <c r="P1338" i="4"/>
  <c r="K1343" i="4"/>
  <c r="L1355" i="4"/>
  <c r="N1355" i="4"/>
  <c r="J1363" i="4"/>
  <c r="O1383" i="4"/>
  <c r="Q1383" i="4"/>
  <c r="I1881" i="4"/>
  <c r="J1435" i="4"/>
  <c r="N1442" i="4"/>
  <c r="P1442" i="4"/>
  <c r="M1458" i="4"/>
  <c r="O1458" i="4"/>
  <c r="Q1458" i="4"/>
  <c r="I1458" i="4"/>
  <c r="J1473" i="4"/>
  <c r="Q1509" i="4"/>
  <c r="I1509" i="4"/>
  <c r="K1509" i="4"/>
  <c r="L1521" i="4"/>
  <c r="M1545" i="4"/>
  <c r="Q1545" i="4"/>
  <c r="N1569" i="4"/>
  <c r="L1617" i="4"/>
  <c r="N1617" i="4"/>
  <c r="P1677" i="4"/>
  <c r="J1021" i="4"/>
  <c r="N1035" i="4"/>
  <c r="J1039" i="4"/>
  <c r="O1043" i="4"/>
  <c r="Q1043" i="4"/>
  <c r="L1058" i="4"/>
  <c r="N1058" i="4"/>
  <c r="J1063" i="4"/>
  <c r="M1068" i="4"/>
  <c r="O1077" i="4"/>
  <c r="O1088" i="4"/>
  <c r="I1092" i="4"/>
  <c r="K1092" i="4"/>
  <c r="M1092" i="4"/>
  <c r="J1104" i="4"/>
  <c r="N1104" i="4"/>
  <c r="Q1109" i="4"/>
  <c r="L1124" i="4"/>
  <c r="I1143" i="4"/>
  <c r="I1165" i="4"/>
  <c r="P1187" i="4"/>
  <c r="M1206" i="4"/>
  <c r="N1218" i="4"/>
  <c r="P1218" i="4"/>
  <c r="I1223" i="4"/>
  <c r="K1223" i="4"/>
  <c r="P1261" i="4"/>
  <c r="J1276" i="4"/>
  <c r="M1281" i="4"/>
  <c r="O1281" i="4"/>
  <c r="K1286" i="4"/>
  <c r="P1313" i="4"/>
  <c r="J1320" i="4"/>
  <c r="L1320" i="4"/>
  <c r="N1320" i="4"/>
  <c r="M1355" i="4"/>
  <c r="O1355" i="4"/>
  <c r="N1372" i="4"/>
  <c r="I1376" i="4"/>
  <c r="K1376" i="4"/>
  <c r="Q1327" i="4"/>
  <c r="K1332" i="4"/>
  <c r="O1332" i="4"/>
  <c r="J1350" i="4"/>
  <c r="L1350" i="4"/>
  <c r="J1376" i="4"/>
  <c r="L1376" i="4"/>
  <c r="K1388" i="4"/>
  <c r="Q1388" i="4"/>
  <c r="Q1401" i="4"/>
  <c r="L1408" i="4"/>
  <c r="I1413" i="4"/>
  <c r="M1413" i="4"/>
  <c r="Q1413" i="4"/>
  <c r="N1418" i="4"/>
  <c r="O1429" i="4"/>
  <c r="Q1454" i="4"/>
  <c r="M1463" i="4"/>
  <c r="Q1468" i="4"/>
  <c r="J1485" i="4"/>
  <c r="K1581" i="4"/>
  <c r="O1581" i="4"/>
  <c r="Q1581" i="4"/>
  <c r="J1617" i="4"/>
  <c r="L1031" i="4"/>
  <c r="L1053" i="4"/>
  <c r="J1073" i="4"/>
  <c r="Q1077" i="4"/>
  <c r="K1084" i="4"/>
  <c r="M1084" i="4"/>
  <c r="O1084" i="4"/>
  <c r="Q1099" i="4"/>
  <c r="L1104" i="4"/>
  <c r="N1114" i="4"/>
  <c r="N1124" i="4"/>
  <c r="P1136" i="4"/>
  <c r="K1143" i="4"/>
  <c r="Q1170" i="4"/>
  <c r="K1179" i="4"/>
  <c r="O1179" i="4"/>
  <c r="N1193" i="4"/>
  <c r="P1193" i="4"/>
  <c r="L1193" i="4"/>
  <c r="O1206" i="4"/>
  <c r="L1255" i="4"/>
  <c r="P1255" i="4"/>
  <c r="I1286" i="4"/>
  <c r="O1291" i="4"/>
  <c r="Q1291" i="4"/>
  <c r="J1296" i="4"/>
  <c r="L1296" i="4"/>
  <c r="L1308" i="4"/>
  <c r="N1308" i="4"/>
  <c r="P1308" i="4"/>
  <c r="I1338" i="4"/>
  <c r="K1338" i="4"/>
  <c r="N1343" i="4"/>
  <c r="P1343" i="4"/>
  <c r="P1372" i="4"/>
  <c r="I1393" i="4"/>
  <c r="P1869" i="4"/>
  <c r="J1881" i="4"/>
  <c r="L1881" i="4"/>
  <c r="M1408" i="4"/>
  <c r="I1424" i="4"/>
  <c r="P1429" i="4"/>
  <c r="J1429" i="4"/>
  <c r="N1429" i="4"/>
  <c r="K1435" i="4"/>
  <c r="J1463" i="4"/>
  <c r="L1463" i="4"/>
  <c r="N1463" i="4"/>
  <c r="P1463" i="4"/>
  <c r="M1473" i="4"/>
  <c r="O1473" i="4"/>
  <c r="I1485" i="4"/>
  <c r="K1485" i="4"/>
  <c r="M1485" i="4"/>
  <c r="O1521" i="4"/>
  <c r="M1521" i="4"/>
  <c r="Q1569" i="4"/>
  <c r="L1581" i="4"/>
  <c r="K1641" i="4"/>
  <c r="M1641" i="4"/>
  <c r="Q1653" i="4"/>
  <c r="I1653" i="4"/>
  <c r="K1653" i="4"/>
  <c r="K1021" i="4"/>
  <c r="Q1035" i="4"/>
  <c r="K1039" i="4"/>
  <c r="O1039" i="4"/>
  <c r="O1058" i="4"/>
  <c r="L1092" i="4"/>
  <c r="P1092" i="4"/>
  <c r="I1119" i="4"/>
  <c r="O1124" i="4"/>
  <c r="Q1124" i="4"/>
  <c r="J1129" i="4"/>
  <c r="L1129" i="4"/>
  <c r="L1143" i="4"/>
  <c r="N1143" i="4"/>
  <c r="P1143" i="4"/>
  <c r="I1187" i="4"/>
  <c r="K1187" i="4"/>
  <c r="O1193" i="4"/>
  <c r="J1199" i="4"/>
  <c r="P1206" i="4"/>
  <c r="Q1218" i="4"/>
  <c r="I1218" i="4"/>
  <c r="I1248" i="4"/>
  <c r="I1276" i="4"/>
  <c r="M1276" i="4"/>
  <c r="K1296" i="4"/>
  <c r="M1296" i="4"/>
  <c r="I1313" i="4"/>
  <c r="M1320" i="4"/>
  <c r="Q1320" i="4"/>
  <c r="M1332" i="4"/>
  <c r="O1343" i="4"/>
  <c r="Q1343" i="4"/>
  <c r="P1355" i="4"/>
  <c r="Q1372" i="4"/>
  <c r="I1372" i="4"/>
  <c r="M1388" i="4"/>
  <c r="O1388" i="4"/>
  <c r="J1424" i="4"/>
  <c r="L1424" i="4"/>
  <c r="Q1429" i="4"/>
  <c r="L1450" i="4"/>
  <c r="P1450" i="4"/>
  <c r="K1463" i="4"/>
  <c r="N1497" i="4"/>
  <c r="P1521" i="4"/>
  <c r="J1521" i="4"/>
  <c r="K1533" i="4"/>
  <c r="P1557" i="4"/>
  <c r="M1581" i="4"/>
  <c r="I1593" i="4"/>
  <c r="M1593" i="4"/>
  <c r="J1629" i="4"/>
  <c r="Q1689" i="4"/>
  <c r="I1017" i="4"/>
  <c r="L1021" i="4"/>
  <c r="N1021" i="4"/>
  <c r="L1039" i="4"/>
  <c r="I1043" i="4"/>
  <c r="N1048" i="4"/>
  <c r="P1048" i="4"/>
  <c r="J1053" i="4"/>
  <c r="P1058" i="4"/>
  <c r="Q1068" i="4"/>
  <c r="I1068" i="4"/>
  <c r="L1073" i="4"/>
  <c r="I1109" i="4"/>
  <c r="M1109" i="4"/>
  <c r="P1114" i="4"/>
  <c r="K1129" i="4"/>
  <c r="I1150" i="4"/>
  <c r="M1165" i="4"/>
  <c r="Q1165" i="4"/>
  <c r="M1179" i="4"/>
  <c r="K1211" i="4"/>
  <c r="M1211" i="4"/>
  <c r="M1223" i="4"/>
  <c r="O1223" i="4"/>
  <c r="Q1223" i="4"/>
  <c r="J1236" i="4"/>
  <c r="N1242" i="4"/>
  <c r="N1255" i="4"/>
  <c r="J1261" i="4"/>
  <c r="L1261" i="4"/>
  <c r="O1271" i="4"/>
  <c r="Q1271" i="4"/>
  <c r="Q1281" i="4"/>
  <c r="I1281" i="4"/>
  <c r="J1313" i="4"/>
  <c r="K1363" i="4"/>
  <c r="M1363" i="4"/>
  <c r="M1376" i="4"/>
  <c r="J1383" i="4"/>
  <c r="N1388" i="4"/>
  <c r="P1388" i="4"/>
  <c r="L1401" i="4"/>
  <c r="O1408" i="4"/>
  <c r="Q1418" i="4"/>
  <c r="I1418" i="4"/>
  <c r="O1418" i="4"/>
  <c r="I1442" i="4"/>
  <c r="M1450" i="4"/>
  <c r="O1450" i="4"/>
  <c r="Q1450" i="4"/>
  <c r="P1458" i="4"/>
  <c r="L1468" i="4"/>
  <c r="J1509" i="4"/>
  <c r="L1509" i="4"/>
  <c r="Q1521" i="4"/>
  <c r="M1557" i="4"/>
  <c r="O1557" i="4"/>
  <c r="Q1557" i="4"/>
  <c r="K1557" i="4"/>
  <c r="J1593" i="4"/>
  <c r="N1593" i="4"/>
  <c r="P1593" i="4"/>
  <c r="M1617" i="4"/>
  <c r="O1617" i="4"/>
  <c r="K1629" i="4"/>
  <c r="M1629" i="4"/>
  <c r="N1689" i="4"/>
  <c r="P1689" i="4"/>
  <c r="I1026" i="4"/>
  <c r="M1031" i="4"/>
  <c r="Q1031" i="4"/>
  <c r="M1039" i="4"/>
  <c r="O1048" i="4"/>
  <c r="K1063" i="4"/>
  <c r="M1063" i="4"/>
  <c r="M1073" i="4"/>
  <c r="O1073" i="4"/>
  <c r="Q1073" i="4"/>
  <c r="J1077" i="4"/>
  <c r="N1084" i="4"/>
  <c r="N1092" i="4"/>
  <c r="J1099" i="4"/>
  <c r="L1099" i="4"/>
  <c r="O1104" i="4"/>
  <c r="Q1104" i="4"/>
  <c r="Q1114" i="4"/>
  <c r="I1114" i="4"/>
  <c r="Q1193" i="4"/>
  <c r="L1211" i="4"/>
  <c r="N1211" i="4"/>
  <c r="I1236" i="4"/>
  <c r="K1236" i="4"/>
  <c r="P1271" i="4"/>
  <c r="K1276" i="4"/>
  <c r="L1286" i="4"/>
  <c r="N1286" i="4"/>
  <c r="J1291" i="4"/>
  <c r="O1308" i="4"/>
  <c r="O1320" i="4"/>
  <c r="I1327" i="4"/>
  <c r="K1327" i="4"/>
  <c r="M1327" i="4"/>
  <c r="J1338" i="4"/>
  <c r="N1338" i="4"/>
  <c r="L1363" i="4"/>
  <c r="N1363" i="4"/>
  <c r="I1383" i="4"/>
  <c r="K1383" i="4"/>
  <c r="J1393" i="4"/>
  <c r="P1393" i="4"/>
  <c r="Q1881" i="4"/>
  <c r="I1401" i="4"/>
  <c r="K1401" i="4"/>
  <c r="O1401" i="4"/>
  <c r="P1408" i="4"/>
  <c r="K1413" i="4"/>
  <c r="L1418" i="4"/>
  <c r="N1435" i="4"/>
  <c r="L1435" i="4"/>
  <c r="K1468" i="4"/>
  <c r="M1468" i="4"/>
  <c r="O1468" i="4"/>
  <c r="P1473" i="4"/>
  <c r="I1545" i="4"/>
  <c r="N1557" i="4"/>
  <c r="K1593" i="4"/>
  <c r="N1641" i="4"/>
  <c r="J1677" i="4"/>
  <c r="N1031" i="4"/>
  <c r="L1063" i="4"/>
  <c r="I1077" i="4"/>
  <c r="I1088" i="4"/>
  <c r="P1104" i="4"/>
  <c r="K1109" i="4"/>
  <c r="L1119" i="4"/>
  <c r="N1119" i="4"/>
  <c r="J1124" i="4"/>
  <c r="M1129" i="4"/>
  <c r="O1143" i="4"/>
  <c r="O1165" i="4"/>
  <c r="I1170" i="4"/>
  <c r="K1170" i="4"/>
  <c r="M1170" i="4"/>
  <c r="J1187" i="4"/>
  <c r="N1187" i="4"/>
  <c r="J1193" i="4"/>
  <c r="M1199" i="4"/>
  <c r="O1199" i="4"/>
  <c r="K1206" i="4"/>
  <c r="P1242" i="4"/>
  <c r="J1248" i="4"/>
  <c r="L1248" i="4"/>
  <c r="N1248" i="4"/>
  <c r="M1286" i="4"/>
  <c r="O1286" i="4"/>
  <c r="N1296" i="4"/>
  <c r="P1296" i="4"/>
  <c r="I1301" i="4"/>
  <c r="K1301" i="4"/>
  <c r="P1332" i="4"/>
  <c r="J1343" i="4"/>
  <c r="M1350" i="4"/>
  <c r="O1350" i="4"/>
  <c r="I1355" i="4"/>
  <c r="K1355" i="4"/>
  <c r="O1376" i="4"/>
  <c r="Q1376" i="4"/>
  <c r="J1017" i="4"/>
  <c r="K1017" i="4"/>
  <c r="O1017" i="4"/>
  <c r="L1017" i="4"/>
  <c r="M1017" i="4"/>
  <c r="P1017" i="4"/>
  <c r="Q1017" i="4"/>
  <c r="L2073" i="4"/>
  <c r="N2073" i="4"/>
  <c r="J2073" i="4"/>
  <c r="K2073" i="4"/>
  <c r="M2073" i="4"/>
  <c r="Q874" i="4"/>
  <c r="P874" i="4"/>
  <c r="O874" i="4"/>
  <c r="N874" i="4"/>
  <c r="L874" i="4"/>
  <c r="K874" i="4"/>
  <c r="J874" i="4"/>
  <c r="I874" i="4"/>
  <c r="H874" i="4"/>
  <c r="M874" i="4" s="1"/>
  <c r="Q873" i="4"/>
  <c r="P873" i="4"/>
  <c r="O873" i="4"/>
  <c r="N873" i="4"/>
  <c r="M873" i="4"/>
  <c r="K873" i="4"/>
  <c r="J873" i="4"/>
  <c r="I873" i="4"/>
  <c r="H873" i="4"/>
  <c r="L873" i="4" s="1"/>
  <c r="Q867" i="4"/>
  <c r="P867" i="4"/>
  <c r="O867" i="4"/>
  <c r="N867" i="4"/>
  <c r="M867" i="4"/>
  <c r="K867" i="4"/>
  <c r="J867" i="4"/>
  <c r="I867" i="4"/>
  <c r="H867" i="4"/>
  <c r="L867" i="4" s="1"/>
  <c r="Q859" i="4"/>
  <c r="P859" i="4"/>
  <c r="O859" i="4"/>
  <c r="N859" i="4"/>
  <c r="M859" i="4"/>
  <c r="K859" i="4"/>
  <c r="J859" i="4"/>
  <c r="I859" i="4"/>
  <c r="H859" i="4"/>
  <c r="L859" i="4" s="1"/>
  <c r="Q858" i="4"/>
  <c r="P858" i="4"/>
  <c r="O858" i="4"/>
  <c r="N858" i="4"/>
  <c r="M858" i="4"/>
  <c r="K858" i="4"/>
  <c r="J858" i="4"/>
  <c r="I858" i="4"/>
  <c r="H858" i="4"/>
  <c r="L858" i="4" s="1"/>
  <c r="Q857" i="4"/>
  <c r="P857" i="4"/>
  <c r="O857" i="4"/>
  <c r="N857" i="4"/>
  <c r="M857" i="4"/>
  <c r="K857" i="4"/>
  <c r="J857" i="4"/>
  <c r="I857" i="4"/>
  <c r="H857" i="4"/>
  <c r="L857" i="4" s="1"/>
  <c r="Q856" i="4"/>
  <c r="P856" i="4"/>
  <c r="O856" i="4"/>
  <c r="N856" i="4"/>
  <c r="M856" i="4"/>
  <c r="K856" i="4"/>
  <c r="J856" i="4"/>
  <c r="I856" i="4"/>
  <c r="H856" i="4"/>
  <c r="L856" i="4" s="1"/>
  <c r="Q850" i="4"/>
  <c r="P850" i="4"/>
  <c r="O850" i="4"/>
  <c r="N850" i="4"/>
  <c r="M850" i="4"/>
  <c r="K850" i="4"/>
  <c r="J850" i="4"/>
  <c r="I850" i="4"/>
  <c r="H850" i="4"/>
  <c r="L850" i="4" s="1"/>
  <c r="Q849" i="4"/>
  <c r="P849" i="4"/>
  <c r="O849" i="4"/>
  <c r="N849" i="4"/>
  <c r="M849" i="4"/>
  <c r="K849" i="4"/>
  <c r="J849" i="4"/>
  <c r="I849" i="4"/>
  <c r="H849" i="4"/>
  <c r="L849" i="4" s="1"/>
  <c r="Q843" i="4"/>
  <c r="P843" i="4"/>
  <c r="O843" i="4"/>
  <c r="N843" i="4"/>
  <c r="M843" i="4"/>
  <c r="K843" i="4"/>
  <c r="J843" i="4"/>
  <c r="I843" i="4"/>
  <c r="H843" i="4"/>
  <c r="L843" i="4" s="1"/>
  <c r="Q842" i="4"/>
  <c r="P842" i="4"/>
  <c r="O842" i="4"/>
  <c r="N842" i="4"/>
  <c r="M842" i="4"/>
  <c r="K842" i="4"/>
  <c r="J842" i="4"/>
  <c r="I842" i="4"/>
  <c r="H842" i="4"/>
  <c r="L842" i="4" s="1"/>
  <c r="Q835" i="4"/>
  <c r="P835" i="4"/>
  <c r="O835" i="4"/>
  <c r="N835" i="4"/>
  <c r="M835" i="4"/>
  <c r="K835" i="4"/>
  <c r="J835" i="4"/>
  <c r="I835" i="4"/>
  <c r="H835" i="4"/>
  <c r="L835" i="4" s="1"/>
  <c r="Q834" i="4"/>
  <c r="P834" i="4"/>
  <c r="O834" i="4"/>
  <c r="N834" i="4"/>
  <c r="M834" i="4"/>
  <c r="K834" i="4"/>
  <c r="J834" i="4"/>
  <c r="I834" i="4"/>
  <c r="H834" i="4"/>
  <c r="L834" i="4" s="1"/>
  <c r="Q833" i="4"/>
  <c r="P833" i="4"/>
  <c r="O833" i="4"/>
  <c r="N833" i="4"/>
  <c r="M833" i="4"/>
  <c r="K833" i="4"/>
  <c r="J833" i="4"/>
  <c r="I833" i="4"/>
  <c r="H833" i="4"/>
  <c r="L833" i="4" s="1"/>
  <c r="Q832" i="4"/>
  <c r="P832" i="4"/>
  <c r="O832" i="4"/>
  <c r="N832" i="4"/>
  <c r="M832" i="4"/>
  <c r="K832" i="4"/>
  <c r="J832" i="4"/>
  <c r="I832" i="4"/>
  <c r="H832" i="4"/>
  <c r="L832" i="4" s="1"/>
  <c r="Q837" i="4"/>
  <c r="P837" i="4"/>
  <c r="O837" i="4"/>
  <c r="N837" i="4"/>
  <c r="L837" i="4"/>
  <c r="K837" i="4"/>
  <c r="J837" i="4"/>
  <c r="I837" i="4"/>
  <c r="H837" i="4"/>
  <c r="M837" i="4" s="1"/>
  <c r="Q836" i="4"/>
  <c r="P836" i="4"/>
  <c r="O836" i="4"/>
  <c r="N836" i="4"/>
  <c r="M836" i="4"/>
  <c r="K836" i="4"/>
  <c r="J836" i="4"/>
  <c r="I836" i="4"/>
  <c r="H836" i="4"/>
  <c r="L836" i="4" s="1"/>
  <c r="Q828" i="4"/>
  <c r="P828" i="4"/>
  <c r="O828" i="4"/>
  <c r="N828" i="4"/>
  <c r="L828" i="4"/>
  <c r="K828" i="4"/>
  <c r="J828" i="4"/>
  <c r="I828" i="4"/>
  <c r="H828" i="4"/>
  <c r="M828" i="4" s="1"/>
  <c r="Q827" i="4"/>
  <c r="P827" i="4"/>
  <c r="O827" i="4"/>
  <c r="N827" i="4"/>
  <c r="L827" i="4"/>
  <c r="K827" i="4"/>
  <c r="J827" i="4"/>
  <c r="I827" i="4"/>
  <c r="H827" i="4"/>
  <c r="M827" i="4" s="1"/>
  <c r="Q826" i="4"/>
  <c r="P826" i="4"/>
  <c r="O826" i="4"/>
  <c r="N826" i="4"/>
  <c r="M826" i="4"/>
  <c r="K826" i="4"/>
  <c r="J826" i="4"/>
  <c r="I826" i="4"/>
  <c r="H826" i="4"/>
  <c r="L826" i="4" s="1"/>
  <c r="Q825" i="4"/>
  <c r="P825" i="4"/>
  <c r="O825" i="4"/>
  <c r="N825" i="4"/>
  <c r="M825" i="4"/>
  <c r="K825" i="4"/>
  <c r="J825" i="4"/>
  <c r="I825" i="4"/>
  <c r="H825" i="4"/>
  <c r="L825" i="4" s="1"/>
  <c r="Q824" i="4"/>
  <c r="P824" i="4"/>
  <c r="O824" i="4"/>
  <c r="N824" i="4"/>
  <c r="M824" i="4"/>
  <c r="L824" i="4"/>
  <c r="K824" i="4"/>
  <c r="I824" i="4"/>
  <c r="H824" i="4"/>
  <c r="J824" i="4" s="1"/>
  <c r="Q820" i="4"/>
  <c r="P820" i="4"/>
  <c r="O820" i="4"/>
  <c r="N820" i="4"/>
  <c r="L820" i="4"/>
  <c r="K820" i="4"/>
  <c r="J820" i="4"/>
  <c r="I820" i="4"/>
  <c r="H820" i="4"/>
  <c r="M820" i="4" s="1"/>
  <c r="Q819" i="4"/>
  <c r="P819" i="4"/>
  <c r="O819" i="4"/>
  <c r="N819" i="4"/>
  <c r="L819" i="4"/>
  <c r="K819" i="4"/>
  <c r="J819" i="4"/>
  <c r="I819" i="4"/>
  <c r="H819" i="4"/>
  <c r="M819" i="4" s="1"/>
  <c r="Q818" i="4"/>
  <c r="P818" i="4"/>
  <c r="O818" i="4"/>
  <c r="N818" i="4"/>
  <c r="M818" i="4"/>
  <c r="K818" i="4"/>
  <c r="J818" i="4"/>
  <c r="I818" i="4"/>
  <c r="H818" i="4"/>
  <c r="L818" i="4" s="1"/>
  <c r="Q817" i="4"/>
  <c r="P817" i="4"/>
  <c r="O817" i="4"/>
  <c r="N817" i="4"/>
  <c r="M817" i="4"/>
  <c r="K817" i="4"/>
  <c r="J817" i="4"/>
  <c r="I817" i="4"/>
  <c r="H817" i="4"/>
  <c r="L817" i="4" s="1"/>
  <c r="Q821" i="4"/>
  <c r="P821" i="4"/>
  <c r="O821" i="4"/>
  <c r="N821" i="4"/>
  <c r="L821" i="4"/>
  <c r="K821" i="4"/>
  <c r="J821" i="4"/>
  <c r="I821" i="4"/>
  <c r="H821" i="4"/>
  <c r="M821" i="4" s="1"/>
  <c r="G1032" i="21"/>
  <c r="G1033" i="21"/>
  <c r="G1034" i="21"/>
  <c r="G1035" i="21"/>
  <c r="G180" i="11"/>
  <c r="I180" i="11" s="1"/>
  <c r="J180" i="11" s="1"/>
  <c r="G179" i="11"/>
  <c r="I179" i="11" s="1"/>
  <c r="J179" i="11" s="1"/>
  <c r="M179" i="11" s="1"/>
  <c r="G178" i="11"/>
  <c r="J178" i="11" s="1"/>
  <c r="M178" i="11" s="1"/>
  <c r="G177" i="11"/>
  <c r="I177" i="11" s="1"/>
  <c r="J177" i="11" s="1"/>
  <c r="G176" i="11"/>
  <c r="I176" i="11" s="1"/>
  <c r="J176" i="11" s="1"/>
  <c r="G181" i="11"/>
  <c r="J181" i="11" s="1"/>
  <c r="O181" i="11" s="1"/>
  <c r="P178" i="11"/>
  <c r="O178" i="11"/>
  <c r="N178" i="11"/>
  <c r="L178" i="11"/>
  <c r="K178" i="11"/>
  <c r="G1018" i="21"/>
  <c r="G1019" i="21"/>
  <c r="G1020" i="21"/>
  <c r="G1021" i="21"/>
  <c r="G171" i="11"/>
  <c r="J171" i="11" s="1"/>
  <c r="L171" i="11" s="1"/>
  <c r="G172" i="11"/>
  <c r="J172" i="11" s="1"/>
  <c r="M172" i="11" s="1"/>
  <c r="G173" i="11"/>
  <c r="J173" i="11" s="1"/>
  <c r="M173" i="11" s="1"/>
  <c r="G174" i="11"/>
  <c r="J174" i="11" s="1"/>
  <c r="M174" i="11" s="1"/>
  <c r="G175" i="11"/>
  <c r="J175" i="11" s="1"/>
  <c r="P175" i="11" s="1"/>
  <c r="G995" i="21"/>
  <c r="G996" i="21"/>
  <c r="G997" i="21"/>
  <c r="G998" i="21"/>
  <c r="G987" i="21"/>
  <c r="G988" i="21"/>
  <c r="G989" i="21"/>
  <c r="G990" i="21"/>
  <c r="G166" i="11"/>
  <c r="J166" i="11" s="1"/>
  <c r="L166" i="11" s="1"/>
  <c r="G167" i="11"/>
  <c r="J167" i="11" s="1"/>
  <c r="M167" i="11" s="1"/>
  <c r="G168" i="11"/>
  <c r="J168" i="11" s="1"/>
  <c r="M168" i="11" s="1"/>
  <c r="G169" i="11"/>
  <c r="J169" i="11" s="1"/>
  <c r="M169" i="11" s="1"/>
  <c r="G170" i="11"/>
  <c r="J170" i="11" s="1"/>
  <c r="O170" i="11" s="1"/>
  <c r="P181" i="11"/>
  <c r="N181" i="11"/>
  <c r="M181" i="11"/>
  <c r="L181" i="11"/>
  <c r="K181" i="11"/>
  <c r="P180" i="11"/>
  <c r="O180" i="11"/>
  <c r="N180" i="11"/>
  <c r="L180" i="11"/>
  <c r="K180" i="11"/>
  <c r="P179" i="11"/>
  <c r="O179" i="11"/>
  <c r="N179" i="11"/>
  <c r="L179" i="11"/>
  <c r="K179" i="11"/>
  <c r="P177" i="11"/>
  <c r="O177" i="11"/>
  <c r="N177" i="11"/>
  <c r="M177" i="11"/>
  <c r="K177" i="11"/>
  <c r="P176" i="11"/>
  <c r="O176" i="11"/>
  <c r="N176" i="11"/>
  <c r="M176" i="11"/>
  <c r="K176" i="11"/>
  <c r="O175" i="11"/>
  <c r="N175" i="11"/>
  <c r="M175" i="11"/>
  <c r="L175" i="11"/>
  <c r="K175" i="11"/>
  <c r="P174" i="11"/>
  <c r="O174" i="11"/>
  <c r="N174" i="11"/>
  <c r="L174" i="11"/>
  <c r="K174" i="11"/>
  <c r="P173" i="11"/>
  <c r="O173" i="11"/>
  <c r="N173" i="11"/>
  <c r="L173" i="11"/>
  <c r="K173" i="11"/>
  <c r="P172" i="11"/>
  <c r="O172" i="11"/>
  <c r="N172" i="11"/>
  <c r="L172" i="11"/>
  <c r="K172" i="11"/>
  <c r="P171" i="11"/>
  <c r="O171" i="11"/>
  <c r="N171" i="11"/>
  <c r="M171" i="11"/>
  <c r="K171" i="11"/>
  <c r="P170" i="11"/>
  <c r="N170" i="11"/>
  <c r="M170" i="11"/>
  <c r="L170" i="11"/>
  <c r="K170" i="11"/>
  <c r="P169" i="11"/>
  <c r="O169" i="11"/>
  <c r="N169" i="11"/>
  <c r="L169" i="11"/>
  <c r="K169" i="11"/>
  <c r="P168" i="11"/>
  <c r="O168" i="11"/>
  <c r="N168" i="11"/>
  <c r="L168" i="11"/>
  <c r="K168" i="11"/>
  <c r="P167" i="11"/>
  <c r="O167" i="11"/>
  <c r="N167" i="11"/>
  <c r="L167" i="11"/>
  <c r="K167" i="11"/>
  <c r="P166" i="11"/>
  <c r="O166" i="11"/>
  <c r="N166" i="11"/>
  <c r="M166" i="11"/>
  <c r="K166" i="11"/>
  <c r="P165" i="11"/>
  <c r="N165" i="11"/>
  <c r="M165" i="11"/>
  <c r="L165" i="11"/>
  <c r="K165" i="11"/>
  <c r="J165" i="11"/>
  <c r="O165" i="11" s="1"/>
  <c r="P164" i="11"/>
  <c r="O164" i="11"/>
  <c r="N164" i="11"/>
  <c r="L164" i="11"/>
  <c r="K164" i="11"/>
  <c r="J164" i="11"/>
  <c r="M164" i="11" s="1"/>
  <c r="P163" i="11"/>
  <c r="O163" i="11"/>
  <c r="N163" i="11"/>
  <c r="L163" i="11"/>
  <c r="K163" i="11"/>
  <c r="J163" i="11"/>
  <c r="M163" i="11" s="1"/>
  <c r="P162" i="11"/>
  <c r="O162" i="11"/>
  <c r="N162" i="11"/>
  <c r="L162" i="11"/>
  <c r="K162" i="11"/>
  <c r="J162" i="11"/>
  <c r="M162" i="11" s="1"/>
  <c r="P161" i="11"/>
  <c r="O161" i="11"/>
  <c r="N161" i="11"/>
  <c r="M161" i="11"/>
  <c r="K161" i="11"/>
  <c r="J161" i="11"/>
  <c r="L161" i="11" s="1"/>
  <c r="P185" i="11"/>
  <c r="O185" i="11"/>
  <c r="N185" i="11"/>
  <c r="L185" i="11"/>
  <c r="K185" i="11"/>
  <c r="J185" i="11"/>
  <c r="M185" i="11" s="1"/>
  <c r="P184" i="11"/>
  <c r="O184" i="11"/>
  <c r="N184" i="11"/>
  <c r="M184" i="11"/>
  <c r="L184" i="11"/>
  <c r="K184" i="11"/>
  <c r="J184" i="11"/>
  <c r="P183" i="11"/>
  <c r="O183" i="11"/>
  <c r="N183" i="11"/>
  <c r="L183" i="11"/>
  <c r="K183" i="11"/>
  <c r="J183" i="11"/>
  <c r="M183" i="11" s="1"/>
  <c r="P182" i="11"/>
  <c r="O182" i="11"/>
  <c r="N182" i="11"/>
  <c r="L182" i="11"/>
  <c r="K182" i="11"/>
  <c r="J182" i="11"/>
  <c r="M182" i="11" s="1"/>
  <c r="G156" i="11"/>
  <c r="J156" i="11" s="1"/>
  <c r="L156" i="11" s="1"/>
  <c r="G157" i="11"/>
  <c r="J157" i="11" s="1"/>
  <c r="M157" i="11" s="1"/>
  <c r="G158" i="11"/>
  <c r="J158" i="11" s="1"/>
  <c r="M158" i="11" s="1"/>
  <c r="G159" i="11"/>
  <c r="J159" i="11" s="1"/>
  <c r="M159" i="11" s="1"/>
  <c r="G160" i="11"/>
  <c r="J160" i="11" s="1"/>
  <c r="O160" i="11" s="1"/>
  <c r="I145" i="11"/>
  <c r="J145" i="11" s="1"/>
  <c r="I146" i="11"/>
  <c r="J146" i="11" s="1"/>
  <c r="I148" i="11"/>
  <c r="J148" i="11" s="1"/>
  <c r="I149" i="11"/>
  <c r="J149" i="11" s="1"/>
  <c r="G138" i="11"/>
  <c r="G139" i="11"/>
  <c r="G140" i="11"/>
  <c r="G141" i="11"/>
  <c r="G142" i="11"/>
  <c r="G143" i="11"/>
  <c r="P147" i="11"/>
  <c r="O147" i="11"/>
  <c r="N147" i="11"/>
  <c r="L147" i="11"/>
  <c r="K147" i="11"/>
  <c r="J147" i="11"/>
  <c r="M147" i="11" s="1"/>
  <c r="J151" i="11"/>
  <c r="N151" i="11" s="1"/>
  <c r="P195" i="11"/>
  <c r="O195" i="11"/>
  <c r="N195" i="11"/>
  <c r="M195" i="11"/>
  <c r="L195" i="11"/>
  <c r="K195" i="11"/>
  <c r="J195" i="11"/>
  <c r="P194" i="11"/>
  <c r="O194" i="11"/>
  <c r="N194" i="11"/>
  <c r="M194" i="11"/>
  <c r="L194" i="11"/>
  <c r="K194" i="11"/>
  <c r="J194" i="11"/>
  <c r="P193" i="11"/>
  <c r="O193" i="11"/>
  <c r="N193" i="11"/>
  <c r="M193" i="11"/>
  <c r="L193" i="11"/>
  <c r="K193" i="11"/>
  <c r="J193" i="11"/>
  <c r="P192" i="11"/>
  <c r="O192" i="11"/>
  <c r="N192" i="11"/>
  <c r="M192" i="11"/>
  <c r="K192" i="11"/>
  <c r="J192" i="11"/>
  <c r="L192" i="11" s="1"/>
  <c r="P191" i="11"/>
  <c r="O191" i="11"/>
  <c r="N191" i="11"/>
  <c r="M191" i="11"/>
  <c r="K191" i="11"/>
  <c r="J191" i="11"/>
  <c r="L191" i="11" s="1"/>
  <c r="P189" i="11"/>
  <c r="O189" i="11"/>
  <c r="N189" i="11"/>
  <c r="L189" i="11"/>
  <c r="K189" i="11"/>
  <c r="J189" i="11"/>
  <c r="M189" i="11" s="1"/>
  <c r="P188" i="11"/>
  <c r="O188" i="11"/>
  <c r="N188" i="11"/>
  <c r="L188" i="11"/>
  <c r="K188" i="11"/>
  <c r="J188" i="11"/>
  <c r="M188" i="11" s="1"/>
  <c r="P187" i="11"/>
  <c r="O187" i="11"/>
  <c r="N187" i="11"/>
  <c r="L187" i="11"/>
  <c r="K187" i="11"/>
  <c r="J187" i="11"/>
  <c r="M187" i="11" s="1"/>
  <c r="P160" i="11"/>
  <c r="N160" i="11"/>
  <c r="M160" i="11"/>
  <c r="L160" i="11"/>
  <c r="K160" i="11"/>
  <c r="P159" i="11"/>
  <c r="O159" i="11"/>
  <c r="N159" i="11"/>
  <c r="L159" i="11"/>
  <c r="K159" i="11"/>
  <c r="P158" i="11"/>
  <c r="O158" i="11"/>
  <c r="N158" i="11"/>
  <c r="L158" i="11"/>
  <c r="K158" i="11"/>
  <c r="P157" i="11"/>
  <c r="O157" i="11"/>
  <c r="N157" i="11"/>
  <c r="L157" i="11"/>
  <c r="K157" i="11"/>
  <c r="P156" i="11"/>
  <c r="O156" i="11"/>
  <c r="N156" i="11"/>
  <c r="M156" i="11"/>
  <c r="K156" i="11"/>
  <c r="P155" i="11"/>
  <c r="O155" i="11"/>
  <c r="M155" i="11"/>
  <c r="L155" i="11"/>
  <c r="K155" i="11"/>
  <c r="J155" i="11"/>
  <c r="N155" i="11" s="1"/>
  <c r="P154" i="11"/>
  <c r="O154" i="11"/>
  <c r="N154" i="11"/>
  <c r="L154" i="11"/>
  <c r="K154" i="11"/>
  <c r="J154" i="11"/>
  <c r="M154" i="11" s="1"/>
  <c r="P153" i="11"/>
  <c r="O153" i="11"/>
  <c r="N153" i="11"/>
  <c r="L153" i="11"/>
  <c r="K153" i="11"/>
  <c r="J153" i="11"/>
  <c r="M153" i="11" s="1"/>
  <c r="P152" i="11"/>
  <c r="O152" i="11"/>
  <c r="N152" i="11"/>
  <c r="L152" i="11"/>
  <c r="K152" i="11"/>
  <c r="J152" i="11"/>
  <c r="M152" i="11" s="1"/>
  <c r="P151" i="11"/>
  <c r="O151" i="11"/>
  <c r="M151" i="11"/>
  <c r="K151" i="11"/>
  <c r="G44" i="24"/>
  <c r="G43" i="24"/>
  <c r="E4217" i="4"/>
  <c r="E4218" i="4"/>
  <c r="E4219" i="4"/>
  <c r="E4210" i="4"/>
  <c r="E4211" i="4"/>
  <c r="E4212" i="4"/>
  <c r="G857" i="21"/>
  <c r="G825" i="21"/>
  <c r="Q4171" i="4"/>
  <c r="P4171" i="4"/>
  <c r="O4171" i="4"/>
  <c r="N4171" i="4"/>
  <c r="M4171" i="4"/>
  <c r="L4171" i="4"/>
  <c r="J4171" i="4"/>
  <c r="I4171" i="4"/>
  <c r="H4171" i="4"/>
  <c r="K4171" i="4" s="1"/>
  <c r="Q4170" i="4"/>
  <c r="P4170" i="4"/>
  <c r="O4170" i="4"/>
  <c r="N4170" i="4"/>
  <c r="M4170" i="4"/>
  <c r="L4170" i="4"/>
  <c r="K4170" i="4"/>
  <c r="I4170" i="4"/>
  <c r="H4170" i="4"/>
  <c r="J4170" i="4" s="1"/>
  <c r="Q4169" i="4"/>
  <c r="P4169" i="4"/>
  <c r="O4169" i="4"/>
  <c r="N4169" i="4"/>
  <c r="M4169" i="4"/>
  <c r="L4169" i="4"/>
  <c r="K4169" i="4"/>
  <c r="I4169" i="4"/>
  <c r="H4169" i="4"/>
  <c r="J4169" i="4" s="1"/>
  <c r="Q4157" i="4"/>
  <c r="P4157" i="4"/>
  <c r="O4157" i="4"/>
  <c r="N4157" i="4"/>
  <c r="M4157" i="4"/>
  <c r="K4157" i="4"/>
  <c r="J4157" i="4"/>
  <c r="I4157" i="4"/>
  <c r="H4157" i="4"/>
  <c r="L4157" i="4" s="1"/>
  <c r="Q4156" i="4"/>
  <c r="P4156" i="4"/>
  <c r="O4156" i="4"/>
  <c r="N4156" i="4"/>
  <c r="M4156" i="4"/>
  <c r="L4156" i="4"/>
  <c r="K4156" i="4"/>
  <c r="I4156" i="4"/>
  <c r="H4156" i="4"/>
  <c r="J4156" i="4" s="1"/>
  <c r="Q4155" i="4"/>
  <c r="P4155" i="4"/>
  <c r="O4155" i="4"/>
  <c r="N4155" i="4"/>
  <c r="M4155" i="4"/>
  <c r="L4155" i="4"/>
  <c r="K4155" i="4"/>
  <c r="I4155" i="4"/>
  <c r="H4155" i="4"/>
  <c r="J4155" i="4" s="1"/>
  <c r="E4149" i="4"/>
  <c r="E4150" i="4"/>
  <c r="E4151" i="4"/>
  <c r="G927" i="21"/>
  <c r="G928" i="21"/>
  <c r="G929" i="21"/>
  <c r="G922" i="21"/>
  <c r="G923" i="21"/>
  <c r="G924" i="21"/>
  <c r="G933" i="21"/>
  <c r="G932" i="21"/>
  <c r="G934" i="21"/>
  <c r="G907" i="21"/>
  <c r="J907" i="21" s="1"/>
  <c r="G906" i="21"/>
  <c r="J906" i="21" s="1"/>
  <c r="G905" i="21"/>
  <c r="J905" i="21" s="1"/>
  <c r="G904" i="21"/>
  <c r="J904" i="21" s="1"/>
  <c r="G772" i="21"/>
  <c r="G773" i="21"/>
  <c r="G774" i="21"/>
  <c r="G775" i="21"/>
  <c r="G822" i="21"/>
  <c r="G823" i="21"/>
  <c r="G824" i="21"/>
  <c r="G795" i="21"/>
  <c r="G796" i="21"/>
  <c r="G797" i="21"/>
  <c r="G798" i="21"/>
  <c r="G854" i="21"/>
  <c r="G855" i="21"/>
  <c r="G856" i="21"/>
  <c r="J823" i="4" l="1"/>
  <c r="M823" i="4"/>
  <c r="P823" i="4"/>
  <c r="O823" i="4"/>
  <c r="L823" i="4"/>
  <c r="I823" i="4"/>
  <c r="K823" i="4"/>
  <c r="N823" i="4"/>
  <c r="Q823" i="4"/>
  <c r="M180" i="11"/>
  <c r="L177" i="11"/>
  <c r="L176" i="11"/>
  <c r="L151" i="11"/>
  <c r="P70" i="20"/>
  <c r="O70" i="20"/>
  <c r="N70" i="20"/>
  <c r="M70" i="20"/>
  <c r="K70" i="20"/>
  <c r="J70" i="20"/>
  <c r="L70" i="20" s="1"/>
  <c r="P69" i="20"/>
  <c r="O69" i="20"/>
  <c r="N69" i="20"/>
  <c r="M69" i="20"/>
  <c r="K69" i="20"/>
  <c r="J69" i="20"/>
  <c r="L69" i="20" s="1"/>
  <c r="P67" i="20"/>
  <c r="O67" i="20"/>
  <c r="N67" i="20"/>
  <c r="M67" i="20"/>
  <c r="K67" i="20"/>
  <c r="J67" i="20"/>
  <c r="L67" i="20" s="1"/>
  <c r="P66" i="20"/>
  <c r="O66" i="20"/>
  <c r="N66" i="20"/>
  <c r="M66" i="20"/>
  <c r="K66" i="20"/>
  <c r="J66" i="20"/>
  <c r="L66" i="20" s="1"/>
  <c r="P65" i="20"/>
  <c r="O65" i="20"/>
  <c r="N65" i="20"/>
  <c r="M65" i="20"/>
  <c r="K65" i="20"/>
  <c r="J65" i="20"/>
  <c r="L65" i="20" s="1"/>
  <c r="P64" i="20"/>
  <c r="O64" i="20"/>
  <c r="N64" i="20"/>
  <c r="M64" i="20"/>
  <c r="K64" i="20"/>
  <c r="J64" i="20"/>
  <c r="L64" i="20" s="1"/>
  <c r="P63" i="20"/>
  <c r="O63" i="20"/>
  <c r="N63" i="20"/>
  <c r="M63" i="20"/>
  <c r="K63" i="20"/>
  <c r="J63" i="20"/>
  <c r="L63" i="20" s="1"/>
  <c r="P62" i="20"/>
  <c r="O62" i="20"/>
  <c r="N62" i="20"/>
  <c r="M62" i="20"/>
  <c r="K62" i="20"/>
  <c r="J62" i="20"/>
  <c r="L62" i="20" s="1"/>
  <c r="P61" i="20"/>
  <c r="O61" i="20"/>
  <c r="N61" i="20"/>
  <c r="M61" i="20"/>
  <c r="K61" i="20"/>
  <c r="J61" i="20"/>
  <c r="L61" i="20" s="1"/>
  <c r="G930" i="21"/>
  <c r="G931" i="21"/>
  <c r="E3016" i="4"/>
  <c r="H3016" i="4" s="1"/>
  <c r="J3016" i="4" s="1"/>
  <c r="E3017" i="4"/>
  <c r="H3017" i="4" s="1"/>
  <c r="L3017" i="4" s="1"/>
  <c r="E3018" i="4"/>
  <c r="H3018" i="4" s="1"/>
  <c r="L3018" i="4" s="1"/>
  <c r="E3019" i="4"/>
  <c r="H3019" i="4" s="1"/>
  <c r="M3019" i="4" s="1"/>
  <c r="E2992" i="4"/>
  <c r="H2992" i="4" s="1"/>
  <c r="J2992" i="4" s="1"/>
  <c r="E2993" i="4"/>
  <c r="E2994" i="4"/>
  <c r="H2994" i="4" s="1"/>
  <c r="N2994" i="4" s="1"/>
  <c r="E2995" i="4"/>
  <c r="H2995" i="4" s="1"/>
  <c r="N2995" i="4" s="1"/>
  <c r="E2996" i="4"/>
  <c r="E2997" i="4"/>
  <c r="H2997" i="4" s="1"/>
  <c r="N2997" i="4" s="1"/>
  <c r="E2986" i="4"/>
  <c r="H2986" i="4" s="1"/>
  <c r="J2986" i="4" s="1"/>
  <c r="E2987" i="4"/>
  <c r="H2987" i="4" s="1"/>
  <c r="L2987" i="4" s="1"/>
  <c r="E2988" i="4"/>
  <c r="H2988" i="4" s="1"/>
  <c r="L2988" i="4" s="1"/>
  <c r="E2989" i="4"/>
  <c r="H2989" i="4" s="1"/>
  <c r="M2989" i="4" s="1"/>
  <c r="E2980" i="4"/>
  <c r="H2980" i="4" s="1"/>
  <c r="J2980" i="4" s="1"/>
  <c r="E2981" i="4"/>
  <c r="H2981" i="4" s="1"/>
  <c r="K2981" i="4" s="1"/>
  <c r="E2982" i="4"/>
  <c r="H2982" i="4" s="1"/>
  <c r="L2982" i="4" s="1"/>
  <c r="E2983" i="4"/>
  <c r="E2949" i="4"/>
  <c r="H2949" i="4" s="1"/>
  <c r="J2949" i="4" s="1"/>
  <c r="E2950" i="4"/>
  <c r="H2950" i="4" s="1"/>
  <c r="L2950" i="4" s="1"/>
  <c r="E2951" i="4"/>
  <c r="E2952" i="4"/>
  <c r="H2952" i="4" s="1"/>
  <c r="M2952" i="4" s="1"/>
  <c r="G926" i="21"/>
  <c r="G925" i="21"/>
  <c r="G920" i="21"/>
  <c r="G921" i="21"/>
  <c r="E2913" i="4"/>
  <c r="H2913" i="4" s="1"/>
  <c r="J2913" i="4" s="1"/>
  <c r="E2915" i="4"/>
  <c r="H2915" i="4" s="1"/>
  <c r="M2915" i="4" s="1"/>
  <c r="E2916" i="4"/>
  <c r="E2917" i="4"/>
  <c r="H2860" i="4"/>
  <c r="N2860" i="4" s="1"/>
  <c r="H2859" i="4"/>
  <c r="L2859" i="4" s="1"/>
  <c r="H2858" i="4"/>
  <c r="H2857" i="4"/>
  <c r="K2857" i="4" s="1"/>
  <c r="H2856" i="4"/>
  <c r="J2856" i="4" s="1"/>
  <c r="Q3385" i="4"/>
  <c r="P3385" i="4"/>
  <c r="O3385" i="4"/>
  <c r="M3385" i="4"/>
  <c r="L3385" i="4"/>
  <c r="K3385" i="4"/>
  <c r="J3385" i="4"/>
  <c r="I3385" i="4"/>
  <c r="H3385" i="4"/>
  <c r="N3385" i="4" s="1"/>
  <c r="Q3384" i="4"/>
  <c r="P3384" i="4"/>
  <c r="O3384" i="4"/>
  <c r="M3384" i="4"/>
  <c r="L3384" i="4"/>
  <c r="K3384" i="4"/>
  <c r="J3384" i="4"/>
  <c r="I3384" i="4"/>
  <c r="H3384" i="4"/>
  <c r="N3384" i="4" s="1"/>
  <c r="Q3383" i="4"/>
  <c r="P3383" i="4"/>
  <c r="O3383" i="4"/>
  <c r="N3383" i="4"/>
  <c r="L3383" i="4"/>
  <c r="K3383" i="4"/>
  <c r="J3383" i="4"/>
  <c r="I3383" i="4"/>
  <c r="H3383" i="4"/>
  <c r="M3383" i="4" s="1"/>
  <c r="Q3382" i="4"/>
  <c r="P3382" i="4"/>
  <c r="O3382" i="4"/>
  <c r="N3382" i="4"/>
  <c r="L3382" i="4"/>
  <c r="K3382" i="4"/>
  <c r="J3382" i="4"/>
  <c r="I3382" i="4"/>
  <c r="H3382" i="4"/>
  <c r="M3382" i="4" s="1"/>
  <c r="Q3381" i="4"/>
  <c r="P3381" i="4"/>
  <c r="O3381" i="4"/>
  <c r="N3381" i="4"/>
  <c r="L3381" i="4"/>
  <c r="K3381" i="4"/>
  <c r="J3381" i="4"/>
  <c r="I3381" i="4"/>
  <c r="H3381" i="4"/>
  <c r="M3381" i="4" s="1"/>
  <c r="Q3380" i="4"/>
  <c r="P3380" i="4"/>
  <c r="O3380" i="4"/>
  <c r="N3380" i="4"/>
  <c r="M3380" i="4"/>
  <c r="L3380" i="4"/>
  <c r="K3380" i="4"/>
  <c r="I3380" i="4"/>
  <c r="H3380" i="4"/>
  <c r="J3380" i="4" s="1"/>
  <c r="Q3377" i="4"/>
  <c r="P3377" i="4"/>
  <c r="O3377" i="4"/>
  <c r="M3377" i="4"/>
  <c r="L3377" i="4"/>
  <c r="K3377" i="4"/>
  <c r="J3377" i="4"/>
  <c r="I3377" i="4"/>
  <c r="H3377" i="4"/>
  <c r="N3377" i="4" s="1"/>
  <c r="Q3376" i="4"/>
  <c r="P3376" i="4"/>
  <c r="O3376" i="4"/>
  <c r="M3376" i="4"/>
  <c r="L3376" i="4"/>
  <c r="K3376" i="4"/>
  <c r="J3376" i="4"/>
  <c r="I3376" i="4"/>
  <c r="H3376" i="4"/>
  <c r="N3376" i="4" s="1"/>
  <c r="Q3375" i="4"/>
  <c r="P3375" i="4"/>
  <c r="O3375" i="4"/>
  <c r="M3375" i="4"/>
  <c r="L3375" i="4"/>
  <c r="K3375" i="4"/>
  <c r="J3375" i="4"/>
  <c r="I3375" i="4"/>
  <c r="H3375" i="4"/>
  <c r="N3375" i="4" s="1"/>
  <c r="Q3374" i="4"/>
  <c r="P3374" i="4"/>
  <c r="O3374" i="4"/>
  <c r="M3374" i="4"/>
  <c r="L3374" i="4"/>
  <c r="K3374" i="4"/>
  <c r="J3374" i="4"/>
  <c r="I3374" i="4"/>
  <c r="H3374" i="4"/>
  <c r="N3374" i="4" s="1"/>
  <c r="Q3373" i="4"/>
  <c r="P3373" i="4"/>
  <c r="O3373" i="4"/>
  <c r="N3373" i="4"/>
  <c r="M3373" i="4"/>
  <c r="L3373" i="4"/>
  <c r="K3373" i="4"/>
  <c r="I3373" i="4"/>
  <c r="H3373" i="4"/>
  <c r="J3373" i="4" s="1"/>
  <c r="Q3370" i="4"/>
  <c r="P3370" i="4"/>
  <c r="O3370" i="4"/>
  <c r="M3370" i="4"/>
  <c r="L3370" i="4"/>
  <c r="K3370" i="4"/>
  <c r="J3370" i="4"/>
  <c r="I3370" i="4"/>
  <c r="H3370" i="4"/>
  <c r="N3370" i="4" s="1"/>
  <c r="Q3369" i="4"/>
  <c r="P3369" i="4"/>
  <c r="O3369" i="4"/>
  <c r="M3369" i="4"/>
  <c r="L3369" i="4"/>
  <c r="K3369" i="4"/>
  <c r="J3369" i="4"/>
  <c r="I3369" i="4"/>
  <c r="H3369" i="4"/>
  <c r="N3369" i="4" s="1"/>
  <c r="Q3368" i="4"/>
  <c r="P3368" i="4"/>
  <c r="O3368" i="4"/>
  <c r="M3368" i="4"/>
  <c r="L3368" i="4"/>
  <c r="K3368" i="4"/>
  <c r="J3368" i="4"/>
  <c r="I3368" i="4"/>
  <c r="H3368" i="4"/>
  <c r="N3368" i="4" s="1"/>
  <c r="Q3367" i="4"/>
  <c r="P3367" i="4"/>
  <c r="O3367" i="4"/>
  <c r="M3367" i="4"/>
  <c r="L3367" i="4"/>
  <c r="K3367" i="4"/>
  <c r="J3367" i="4"/>
  <c r="I3367" i="4"/>
  <c r="H3367" i="4"/>
  <c r="N3367" i="4" s="1"/>
  <c r="Q3366" i="4"/>
  <c r="P3366" i="4"/>
  <c r="O3366" i="4"/>
  <c r="N3366" i="4"/>
  <c r="M3366" i="4"/>
  <c r="L3366" i="4"/>
  <c r="K3366" i="4"/>
  <c r="I3366" i="4"/>
  <c r="H3366" i="4"/>
  <c r="J3366" i="4" s="1"/>
  <c r="Q3363" i="4"/>
  <c r="P3363" i="4"/>
  <c r="O3363" i="4"/>
  <c r="N3363" i="4"/>
  <c r="L3363" i="4"/>
  <c r="K3363" i="4"/>
  <c r="J3363" i="4"/>
  <c r="I3363" i="4"/>
  <c r="H3363" i="4"/>
  <c r="M3363" i="4" s="1"/>
  <c r="Q3362" i="4"/>
  <c r="P3362" i="4"/>
  <c r="O3362" i="4"/>
  <c r="N3362" i="4"/>
  <c r="M3362" i="4"/>
  <c r="K3362" i="4"/>
  <c r="J3362" i="4"/>
  <c r="I3362" i="4"/>
  <c r="H3362" i="4"/>
  <c r="L3362" i="4" s="1"/>
  <c r="Q3361" i="4"/>
  <c r="P3361" i="4"/>
  <c r="O3361" i="4"/>
  <c r="N3361" i="4"/>
  <c r="M3361" i="4"/>
  <c r="K3361" i="4"/>
  <c r="J3361" i="4"/>
  <c r="I3361" i="4"/>
  <c r="H3361" i="4"/>
  <c r="L3361" i="4" s="1"/>
  <c r="Q3360" i="4"/>
  <c r="P3360" i="4"/>
  <c r="O3360" i="4"/>
  <c r="N3360" i="4"/>
  <c r="M3360" i="4"/>
  <c r="L3360" i="4"/>
  <c r="K3360" i="4"/>
  <c r="I3360" i="4"/>
  <c r="H3360" i="4"/>
  <c r="J3360" i="4" s="1"/>
  <c r="Q3357" i="4"/>
  <c r="P3357" i="4"/>
  <c r="O3357" i="4"/>
  <c r="N3357" i="4"/>
  <c r="L3357" i="4"/>
  <c r="K3357" i="4"/>
  <c r="J3357" i="4"/>
  <c r="I3357" i="4"/>
  <c r="H3357" i="4"/>
  <c r="M3357" i="4" s="1"/>
  <c r="Q3356" i="4"/>
  <c r="P3356" i="4"/>
  <c r="O3356" i="4"/>
  <c r="N3356" i="4"/>
  <c r="M3356" i="4"/>
  <c r="K3356" i="4"/>
  <c r="J3356" i="4"/>
  <c r="I3356" i="4"/>
  <c r="H3356" i="4"/>
  <c r="L3356" i="4" s="1"/>
  <c r="Q3355" i="4"/>
  <c r="P3355" i="4"/>
  <c r="O3355" i="4"/>
  <c r="N3355" i="4"/>
  <c r="M3355" i="4"/>
  <c r="L3355" i="4"/>
  <c r="J3355" i="4"/>
  <c r="I3355" i="4"/>
  <c r="H3355" i="4"/>
  <c r="K3355" i="4" s="1"/>
  <c r="Q3354" i="4"/>
  <c r="P3354" i="4"/>
  <c r="O3354" i="4"/>
  <c r="N3354" i="4"/>
  <c r="M3354" i="4"/>
  <c r="L3354" i="4"/>
  <c r="K3354" i="4"/>
  <c r="I3354" i="4"/>
  <c r="H3354" i="4"/>
  <c r="J3354" i="4" s="1"/>
  <c r="Q3351" i="4"/>
  <c r="P3351" i="4"/>
  <c r="O3351" i="4"/>
  <c r="M3351" i="4"/>
  <c r="L3351" i="4"/>
  <c r="K3351" i="4"/>
  <c r="J3351" i="4"/>
  <c r="I3351" i="4"/>
  <c r="H3351" i="4"/>
  <c r="N3351" i="4" s="1"/>
  <c r="Q3350" i="4"/>
  <c r="P3350" i="4"/>
  <c r="O3350" i="4"/>
  <c r="M3350" i="4"/>
  <c r="L3350" i="4"/>
  <c r="K3350" i="4"/>
  <c r="J3350" i="4"/>
  <c r="I3350" i="4"/>
  <c r="H3350" i="4"/>
  <c r="N3350" i="4" s="1"/>
  <c r="Q3349" i="4"/>
  <c r="P3349" i="4"/>
  <c r="O3349" i="4"/>
  <c r="M3349" i="4"/>
  <c r="L3349" i="4"/>
  <c r="K3349" i="4"/>
  <c r="J3349" i="4"/>
  <c r="I3349" i="4"/>
  <c r="H3349" i="4"/>
  <c r="N3349" i="4" s="1"/>
  <c r="Q3348" i="4"/>
  <c r="P3348" i="4"/>
  <c r="O3348" i="4"/>
  <c r="M3348" i="4"/>
  <c r="L3348" i="4"/>
  <c r="K3348" i="4"/>
  <c r="J3348" i="4"/>
  <c r="I3348" i="4"/>
  <c r="H3348" i="4"/>
  <c r="N3348" i="4" s="1"/>
  <c r="Q3347" i="4"/>
  <c r="P3347" i="4"/>
  <c r="O3347" i="4"/>
  <c r="M3347" i="4"/>
  <c r="L3347" i="4"/>
  <c r="K3347" i="4"/>
  <c r="J3347" i="4"/>
  <c r="I3347" i="4"/>
  <c r="H3347" i="4"/>
  <c r="N3347" i="4" s="1"/>
  <c r="Q3342" i="4"/>
  <c r="P3342" i="4"/>
  <c r="O3342" i="4"/>
  <c r="N3342" i="4"/>
  <c r="M3342" i="4"/>
  <c r="K3342" i="4"/>
  <c r="J3342" i="4"/>
  <c r="I3342" i="4"/>
  <c r="H3342" i="4"/>
  <c r="L3342" i="4" s="1"/>
  <c r="Q3341" i="4"/>
  <c r="P3341" i="4"/>
  <c r="O3341" i="4"/>
  <c r="N3341" i="4"/>
  <c r="M3341" i="4"/>
  <c r="K3341" i="4"/>
  <c r="J3341" i="4"/>
  <c r="I3341" i="4"/>
  <c r="H3341" i="4"/>
  <c r="L3341" i="4" s="1"/>
  <c r="Q3340" i="4"/>
  <c r="P3340" i="4"/>
  <c r="O3340" i="4"/>
  <c r="N3340" i="4"/>
  <c r="M3340" i="4"/>
  <c r="K3340" i="4"/>
  <c r="J3340" i="4"/>
  <c r="I3340" i="4"/>
  <c r="H3340" i="4"/>
  <c r="L3340" i="4" s="1"/>
  <c r="Q3339" i="4"/>
  <c r="P3339" i="4"/>
  <c r="O3339" i="4"/>
  <c r="N3339" i="4"/>
  <c r="M3339" i="4"/>
  <c r="K3339" i="4"/>
  <c r="J3339" i="4"/>
  <c r="I3339" i="4"/>
  <c r="H3339" i="4"/>
  <c r="L3339" i="4" s="1"/>
  <c r="Q3338" i="4"/>
  <c r="P3338" i="4"/>
  <c r="O3338" i="4"/>
  <c r="N3338" i="4"/>
  <c r="M3338" i="4"/>
  <c r="K3338" i="4"/>
  <c r="J3338" i="4"/>
  <c r="I3338" i="4"/>
  <c r="H3338" i="4"/>
  <c r="L3338" i="4" s="1"/>
  <c r="Q3337" i="4"/>
  <c r="P3337" i="4"/>
  <c r="O3337" i="4"/>
  <c r="N3337" i="4"/>
  <c r="M3337" i="4"/>
  <c r="L3337" i="4"/>
  <c r="K3337" i="4"/>
  <c r="I3337" i="4"/>
  <c r="H3337" i="4"/>
  <c r="J3337" i="4" s="1"/>
  <c r="Q3334" i="4"/>
  <c r="P3334" i="4"/>
  <c r="O3334" i="4"/>
  <c r="N3334" i="4"/>
  <c r="L3334" i="4"/>
  <c r="K3334" i="4"/>
  <c r="J3334" i="4"/>
  <c r="I3334" i="4"/>
  <c r="H3334" i="4"/>
  <c r="M3334" i="4" s="1"/>
  <c r="Q3333" i="4"/>
  <c r="P3333" i="4"/>
  <c r="O3333" i="4"/>
  <c r="N3333" i="4"/>
  <c r="L3333" i="4"/>
  <c r="K3333" i="4"/>
  <c r="J3333" i="4"/>
  <c r="I3333" i="4"/>
  <c r="H3333" i="4"/>
  <c r="M3333" i="4" s="1"/>
  <c r="Q3332" i="4"/>
  <c r="P3332" i="4"/>
  <c r="O3332" i="4"/>
  <c r="N3332" i="4"/>
  <c r="L3332" i="4"/>
  <c r="K3332" i="4"/>
  <c r="J3332" i="4"/>
  <c r="I3332" i="4"/>
  <c r="H3332" i="4"/>
  <c r="M3332" i="4" s="1"/>
  <c r="Q3331" i="4"/>
  <c r="P3331" i="4"/>
  <c r="O3331" i="4"/>
  <c r="N3331" i="4"/>
  <c r="M3331" i="4"/>
  <c r="K3331" i="4"/>
  <c r="J3331" i="4"/>
  <c r="I3331" i="4"/>
  <c r="H3331" i="4"/>
  <c r="L3331" i="4" s="1"/>
  <c r="Q3330" i="4"/>
  <c r="P3330" i="4"/>
  <c r="O3330" i="4"/>
  <c r="N3330" i="4"/>
  <c r="M3330" i="4"/>
  <c r="K3330" i="4"/>
  <c r="J3330" i="4"/>
  <c r="I3330" i="4"/>
  <c r="H3330" i="4"/>
  <c r="L3330" i="4" s="1"/>
  <c r="Q3329" i="4"/>
  <c r="P3329" i="4"/>
  <c r="O3329" i="4"/>
  <c r="N3329" i="4"/>
  <c r="M3329" i="4"/>
  <c r="K3329" i="4"/>
  <c r="J3329" i="4"/>
  <c r="I3329" i="4"/>
  <c r="H3329" i="4"/>
  <c r="L3329" i="4" s="1"/>
  <c r="Q3328" i="4"/>
  <c r="P3328" i="4"/>
  <c r="O3328" i="4"/>
  <c r="N3328" i="4"/>
  <c r="M3328" i="4"/>
  <c r="K3328" i="4"/>
  <c r="J3328" i="4"/>
  <c r="I3328" i="4"/>
  <c r="H3328" i="4"/>
  <c r="L3328" i="4" s="1"/>
  <c r="Q3327" i="4"/>
  <c r="P3327" i="4"/>
  <c r="O3327" i="4"/>
  <c r="N3327" i="4"/>
  <c r="M3327" i="4"/>
  <c r="K3327" i="4"/>
  <c r="J3327" i="4"/>
  <c r="I3327" i="4"/>
  <c r="H3327" i="4"/>
  <c r="L3327" i="4" s="1"/>
  <c r="Q3326" i="4"/>
  <c r="P3326" i="4"/>
  <c r="O3326" i="4"/>
  <c r="N3326" i="4"/>
  <c r="M3326" i="4"/>
  <c r="K3326" i="4"/>
  <c r="J3326" i="4"/>
  <c r="I3326" i="4"/>
  <c r="H3326" i="4"/>
  <c r="L3326" i="4" s="1"/>
  <c r="Q3325" i="4"/>
  <c r="P3325" i="4"/>
  <c r="O3325" i="4"/>
  <c r="N3325" i="4"/>
  <c r="M3325" i="4"/>
  <c r="K3325" i="4"/>
  <c r="J3325" i="4"/>
  <c r="I3325" i="4"/>
  <c r="H3325" i="4"/>
  <c r="L3325" i="4" s="1"/>
  <c r="Q3324" i="4"/>
  <c r="P3324" i="4"/>
  <c r="O3324" i="4"/>
  <c r="N3324" i="4"/>
  <c r="M3324" i="4"/>
  <c r="L3324" i="4"/>
  <c r="K3324" i="4"/>
  <c r="I3324" i="4"/>
  <c r="H3324" i="4"/>
  <c r="J3324" i="4" s="1"/>
  <c r="Q3321" i="4"/>
  <c r="P3321" i="4"/>
  <c r="O3321" i="4"/>
  <c r="N3321" i="4"/>
  <c r="L3321" i="4"/>
  <c r="K3321" i="4"/>
  <c r="J3321" i="4"/>
  <c r="I3321" i="4"/>
  <c r="H3321" i="4"/>
  <c r="M3321" i="4" s="1"/>
  <c r="Q3320" i="4"/>
  <c r="P3320" i="4"/>
  <c r="O3320" i="4"/>
  <c r="N3320" i="4"/>
  <c r="M3320" i="4"/>
  <c r="K3320" i="4"/>
  <c r="J3320" i="4"/>
  <c r="I3320" i="4"/>
  <c r="H3320" i="4"/>
  <c r="L3320" i="4" s="1"/>
  <c r="Q3319" i="4"/>
  <c r="P3319" i="4"/>
  <c r="O3319" i="4"/>
  <c r="N3319" i="4"/>
  <c r="M3319" i="4"/>
  <c r="L3319" i="4"/>
  <c r="K3319" i="4"/>
  <c r="I3319" i="4"/>
  <c r="H3319" i="4"/>
  <c r="J3319" i="4" s="1"/>
  <c r="Q3316" i="4"/>
  <c r="P3316" i="4"/>
  <c r="O3316" i="4"/>
  <c r="M3316" i="4"/>
  <c r="L3316" i="4"/>
  <c r="K3316" i="4"/>
  <c r="J3316" i="4"/>
  <c r="I3316" i="4"/>
  <c r="H3316" i="4"/>
  <c r="N3316" i="4" s="1"/>
  <c r="Q3315" i="4"/>
  <c r="P3315" i="4"/>
  <c r="O3315" i="4"/>
  <c r="M3315" i="4"/>
  <c r="L3315" i="4"/>
  <c r="K3315" i="4"/>
  <c r="J3315" i="4"/>
  <c r="I3315" i="4"/>
  <c r="H3315" i="4"/>
  <c r="N3315" i="4" s="1"/>
  <c r="Q3314" i="4"/>
  <c r="P3314" i="4"/>
  <c r="O3314" i="4"/>
  <c r="N3314" i="4"/>
  <c r="L3314" i="4"/>
  <c r="K3314" i="4"/>
  <c r="J3314" i="4"/>
  <c r="I3314" i="4"/>
  <c r="H3314" i="4"/>
  <c r="M3314" i="4" s="1"/>
  <c r="Q3313" i="4"/>
  <c r="P3313" i="4"/>
  <c r="O3313" i="4"/>
  <c r="N3313" i="4"/>
  <c r="L3313" i="4"/>
  <c r="K3313" i="4"/>
  <c r="J3313" i="4"/>
  <c r="I3313" i="4"/>
  <c r="H3313" i="4"/>
  <c r="M3313" i="4" s="1"/>
  <c r="Q3312" i="4"/>
  <c r="P3312" i="4"/>
  <c r="O3312" i="4"/>
  <c r="N3312" i="4"/>
  <c r="M3312" i="4"/>
  <c r="L3312" i="4"/>
  <c r="K3312" i="4"/>
  <c r="I3312" i="4"/>
  <c r="H3312" i="4"/>
  <c r="J3312" i="4" s="1"/>
  <c r="Q3309" i="4"/>
  <c r="P3309" i="4"/>
  <c r="O3309" i="4"/>
  <c r="M3309" i="4"/>
  <c r="L3309" i="4"/>
  <c r="K3309" i="4"/>
  <c r="J3309" i="4"/>
  <c r="I3309" i="4"/>
  <c r="H3309" i="4"/>
  <c r="N3309" i="4" s="1"/>
  <c r="Q3308" i="4"/>
  <c r="P3308" i="4"/>
  <c r="O3308" i="4"/>
  <c r="N3308" i="4"/>
  <c r="L3308" i="4"/>
  <c r="K3308" i="4"/>
  <c r="J3308" i="4"/>
  <c r="I3308" i="4"/>
  <c r="H3308" i="4"/>
  <c r="M3308" i="4" s="1"/>
  <c r="Q3307" i="4"/>
  <c r="P3307" i="4"/>
  <c r="O3307" i="4"/>
  <c r="N3307" i="4"/>
  <c r="L3307" i="4"/>
  <c r="K3307" i="4"/>
  <c r="J3307" i="4"/>
  <c r="I3307" i="4"/>
  <c r="H3307" i="4"/>
  <c r="M3307" i="4" s="1"/>
  <c r="Q3306" i="4"/>
  <c r="P3306" i="4"/>
  <c r="O3306" i="4"/>
  <c r="N3306" i="4"/>
  <c r="L3306" i="4"/>
  <c r="K3306" i="4"/>
  <c r="J3306" i="4"/>
  <c r="I3306" i="4"/>
  <c r="H3306" i="4"/>
  <c r="M3306" i="4" s="1"/>
  <c r="Q3305" i="4"/>
  <c r="P3305" i="4"/>
  <c r="O3305" i="4"/>
  <c r="N3305" i="4"/>
  <c r="M3305" i="4"/>
  <c r="L3305" i="4"/>
  <c r="K3305" i="4"/>
  <c r="I3305" i="4"/>
  <c r="H3305" i="4"/>
  <c r="J3305" i="4" s="1"/>
  <c r="Q3302" i="4"/>
  <c r="P3302" i="4"/>
  <c r="O3302" i="4"/>
  <c r="M3302" i="4"/>
  <c r="L3302" i="4"/>
  <c r="K3302" i="4"/>
  <c r="J3302" i="4"/>
  <c r="I3302" i="4"/>
  <c r="H3302" i="4"/>
  <c r="N3302" i="4" s="1"/>
  <c r="Q3301" i="4"/>
  <c r="P3301" i="4"/>
  <c r="O3301" i="4"/>
  <c r="M3301" i="4"/>
  <c r="L3301" i="4"/>
  <c r="K3301" i="4"/>
  <c r="J3301" i="4"/>
  <c r="I3301" i="4"/>
  <c r="H3301" i="4"/>
  <c r="N3301" i="4" s="1"/>
  <c r="Q3300" i="4"/>
  <c r="P3300" i="4"/>
  <c r="O3300" i="4"/>
  <c r="N3300" i="4"/>
  <c r="L3300" i="4"/>
  <c r="K3300" i="4"/>
  <c r="J3300" i="4"/>
  <c r="I3300" i="4"/>
  <c r="H3300" i="4"/>
  <c r="M3300" i="4" s="1"/>
  <c r="Q3299" i="4"/>
  <c r="P3299" i="4"/>
  <c r="O3299" i="4"/>
  <c r="N3299" i="4"/>
  <c r="L3299" i="4"/>
  <c r="K3299" i="4"/>
  <c r="J3299" i="4"/>
  <c r="I3299" i="4"/>
  <c r="H3299" i="4"/>
  <c r="M3299" i="4" s="1"/>
  <c r="Q3298" i="4"/>
  <c r="P3298" i="4"/>
  <c r="O3298" i="4"/>
  <c r="N3298" i="4"/>
  <c r="M3298" i="4"/>
  <c r="L3298" i="4"/>
  <c r="K3298" i="4"/>
  <c r="I3298" i="4"/>
  <c r="H3298" i="4"/>
  <c r="J3298" i="4" s="1"/>
  <c r="Q3295" i="4"/>
  <c r="P3295" i="4"/>
  <c r="O3295" i="4"/>
  <c r="N3295" i="4"/>
  <c r="L3295" i="4"/>
  <c r="K3295" i="4"/>
  <c r="J3295" i="4"/>
  <c r="I3295" i="4"/>
  <c r="H3295" i="4"/>
  <c r="M3295" i="4" s="1"/>
  <c r="Q3294" i="4"/>
  <c r="P3294" i="4"/>
  <c r="O3294" i="4"/>
  <c r="N3294" i="4"/>
  <c r="L3294" i="4"/>
  <c r="K3294" i="4"/>
  <c r="J3294" i="4"/>
  <c r="I3294" i="4"/>
  <c r="H3294" i="4"/>
  <c r="M3294" i="4" s="1"/>
  <c r="Q3293" i="4"/>
  <c r="P3293" i="4"/>
  <c r="O3293" i="4"/>
  <c r="N3293" i="4"/>
  <c r="L3293" i="4"/>
  <c r="K3293" i="4"/>
  <c r="J3293" i="4"/>
  <c r="I3293" i="4"/>
  <c r="H3293" i="4"/>
  <c r="M3293" i="4" s="1"/>
  <c r="Q3292" i="4"/>
  <c r="P3292" i="4"/>
  <c r="O3292" i="4"/>
  <c r="N3292" i="4"/>
  <c r="M3292" i="4"/>
  <c r="K3292" i="4"/>
  <c r="J3292" i="4"/>
  <c r="I3292" i="4"/>
  <c r="H3292" i="4"/>
  <c r="L3292" i="4" s="1"/>
  <c r="Q3291" i="4"/>
  <c r="P3291" i="4"/>
  <c r="O3291" i="4"/>
  <c r="N3291" i="4"/>
  <c r="M3291" i="4"/>
  <c r="K3291" i="4"/>
  <c r="J3291" i="4"/>
  <c r="I3291" i="4"/>
  <c r="H3291" i="4"/>
  <c r="L3291" i="4" s="1"/>
  <c r="Q3290" i="4"/>
  <c r="P3290" i="4"/>
  <c r="O3290" i="4"/>
  <c r="N3290" i="4"/>
  <c r="M3290" i="4"/>
  <c r="L3290" i="4"/>
  <c r="K3290" i="4"/>
  <c r="I3290" i="4"/>
  <c r="H3290" i="4"/>
  <c r="J3290" i="4" s="1"/>
  <c r="Q3287" i="4"/>
  <c r="P3287" i="4"/>
  <c r="O3287" i="4"/>
  <c r="N3287" i="4"/>
  <c r="L3287" i="4"/>
  <c r="K3287" i="4"/>
  <c r="J3287" i="4"/>
  <c r="I3287" i="4"/>
  <c r="H3287" i="4"/>
  <c r="M3287" i="4" s="1"/>
  <c r="Q3286" i="4"/>
  <c r="P3286" i="4"/>
  <c r="O3286" i="4"/>
  <c r="N3286" i="4"/>
  <c r="L3286" i="4"/>
  <c r="K3286" i="4"/>
  <c r="J3286" i="4"/>
  <c r="I3286" i="4"/>
  <c r="H3286" i="4"/>
  <c r="M3286" i="4" s="1"/>
  <c r="Q3285" i="4"/>
  <c r="P3285" i="4"/>
  <c r="O3285" i="4"/>
  <c r="N3285" i="4"/>
  <c r="L3285" i="4"/>
  <c r="K3285" i="4"/>
  <c r="J3285" i="4"/>
  <c r="I3285" i="4"/>
  <c r="H3285" i="4"/>
  <c r="M3285" i="4" s="1"/>
  <c r="Q3284" i="4"/>
  <c r="P3284" i="4"/>
  <c r="O3284" i="4"/>
  <c r="N3284" i="4"/>
  <c r="M3284" i="4"/>
  <c r="K3284" i="4"/>
  <c r="J3284" i="4"/>
  <c r="I3284" i="4"/>
  <c r="H3284" i="4"/>
  <c r="L3284" i="4" s="1"/>
  <c r="Q3283" i="4"/>
  <c r="P3283" i="4"/>
  <c r="O3283" i="4"/>
  <c r="N3283" i="4"/>
  <c r="M3283" i="4"/>
  <c r="K3283" i="4"/>
  <c r="J3283" i="4"/>
  <c r="I3283" i="4"/>
  <c r="H3283" i="4"/>
  <c r="L3283" i="4" s="1"/>
  <c r="Q3282" i="4"/>
  <c r="P3282" i="4"/>
  <c r="O3282" i="4"/>
  <c r="N3282" i="4"/>
  <c r="M3282" i="4"/>
  <c r="L3282" i="4"/>
  <c r="K3282" i="4"/>
  <c r="I3282" i="4"/>
  <c r="H3282" i="4"/>
  <c r="J3282" i="4" s="1"/>
  <c r="Q3279" i="4"/>
  <c r="P3279" i="4"/>
  <c r="O3279" i="4"/>
  <c r="N3279" i="4"/>
  <c r="L3279" i="4"/>
  <c r="K3279" i="4"/>
  <c r="J3279" i="4"/>
  <c r="I3279" i="4"/>
  <c r="H3279" i="4"/>
  <c r="M3279" i="4" s="1"/>
  <c r="Q3278" i="4"/>
  <c r="P3278" i="4"/>
  <c r="O3278" i="4"/>
  <c r="N3278" i="4"/>
  <c r="L3278" i="4"/>
  <c r="K3278" i="4"/>
  <c r="J3278" i="4"/>
  <c r="I3278" i="4"/>
  <c r="H3278" i="4"/>
  <c r="M3278" i="4" s="1"/>
  <c r="Q3277" i="4"/>
  <c r="P3277" i="4"/>
  <c r="O3277" i="4"/>
  <c r="N3277" i="4"/>
  <c r="L3277" i="4"/>
  <c r="K3277" i="4"/>
  <c r="J3277" i="4"/>
  <c r="I3277" i="4"/>
  <c r="H3277" i="4"/>
  <c r="M3277" i="4" s="1"/>
  <c r="Q3276" i="4"/>
  <c r="P3276" i="4"/>
  <c r="O3276" i="4"/>
  <c r="N3276" i="4"/>
  <c r="M3276" i="4"/>
  <c r="K3276" i="4"/>
  <c r="J3276" i="4"/>
  <c r="I3276" i="4"/>
  <c r="H3276" i="4"/>
  <c r="L3276" i="4" s="1"/>
  <c r="Q3275" i="4"/>
  <c r="P3275" i="4"/>
  <c r="O3275" i="4"/>
  <c r="N3275" i="4"/>
  <c r="M3275" i="4"/>
  <c r="K3275" i="4"/>
  <c r="J3275" i="4"/>
  <c r="I3275" i="4"/>
  <c r="H3275" i="4"/>
  <c r="L3275" i="4" s="1"/>
  <c r="Q3274" i="4"/>
  <c r="P3274" i="4"/>
  <c r="O3274" i="4"/>
  <c r="N3274" i="4"/>
  <c r="M3274" i="4"/>
  <c r="L3274" i="4"/>
  <c r="K3274" i="4"/>
  <c r="I3274" i="4"/>
  <c r="H3274" i="4"/>
  <c r="J3274" i="4" s="1"/>
  <c r="Q3271" i="4"/>
  <c r="P3271" i="4"/>
  <c r="O3271" i="4"/>
  <c r="N3271" i="4"/>
  <c r="L3271" i="4"/>
  <c r="K3271" i="4"/>
  <c r="J3271" i="4"/>
  <c r="I3271" i="4"/>
  <c r="H3271" i="4"/>
  <c r="M3271" i="4" s="1"/>
  <c r="Q3270" i="4"/>
  <c r="P3270" i="4"/>
  <c r="O3270" i="4"/>
  <c r="N3270" i="4"/>
  <c r="L3270" i="4"/>
  <c r="K3270" i="4"/>
  <c r="J3270" i="4"/>
  <c r="I3270" i="4"/>
  <c r="H3270" i="4"/>
  <c r="M3270" i="4" s="1"/>
  <c r="Q3269" i="4"/>
  <c r="P3269" i="4"/>
  <c r="O3269" i="4"/>
  <c r="N3269" i="4"/>
  <c r="L3269" i="4"/>
  <c r="K3269" i="4"/>
  <c r="J3269" i="4"/>
  <c r="I3269" i="4"/>
  <c r="H3269" i="4"/>
  <c r="M3269" i="4" s="1"/>
  <c r="Q3268" i="4"/>
  <c r="P3268" i="4"/>
  <c r="O3268" i="4"/>
  <c r="N3268" i="4"/>
  <c r="M3268" i="4"/>
  <c r="K3268" i="4"/>
  <c r="J3268" i="4"/>
  <c r="I3268" i="4"/>
  <c r="H3268" i="4"/>
  <c r="L3268" i="4" s="1"/>
  <c r="Q3267" i="4"/>
  <c r="P3267" i="4"/>
  <c r="O3267" i="4"/>
  <c r="N3267" i="4"/>
  <c r="M3267" i="4"/>
  <c r="K3267" i="4"/>
  <c r="J3267" i="4"/>
  <c r="I3267" i="4"/>
  <c r="H3267" i="4"/>
  <c r="L3267" i="4" s="1"/>
  <c r="Q3266" i="4"/>
  <c r="P3266" i="4"/>
  <c r="O3266" i="4"/>
  <c r="N3266" i="4"/>
  <c r="M3266" i="4"/>
  <c r="L3266" i="4"/>
  <c r="K3266" i="4"/>
  <c r="I3266" i="4"/>
  <c r="H3266" i="4"/>
  <c r="J3266" i="4" s="1"/>
  <c r="Q3263" i="4"/>
  <c r="P3263" i="4"/>
  <c r="O3263" i="4"/>
  <c r="N3263" i="4"/>
  <c r="L3263" i="4"/>
  <c r="K3263" i="4"/>
  <c r="J3263" i="4"/>
  <c r="I3263" i="4"/>
  <c r="H3263" i="4"/>
  <c r="M3263" i="4" s="1"/>
  <c r="Q3262" i="4"/>
  <c r="P3262" i="4"/>
  <c r="O3262" i="4"/>
  <c r="N3262" i="4"/>
  <c r="L3262" i="4"/>
  <c r="K3262" i="4"/>
  <c r="J3262" i="4"/>
  <c r="I3262" i="4"/>
  <c r="H3262" i="4"/>
  <c r="M3262" i="4" s="1"/>
  <c r="Q3261" i="4"/>
  <c r="P3261" i="4"/>
  <c r="O3261" i="4"/>
  <c r="N3261" i="4"/>
  <c r="L3261" i="4"/>
  <c r="K3261" i="4"/>
  <c r="J3261" i="4"/>
  <c r="I3261" i="4"/>
  <c r="H3261" i="4"/>
  <c r="M3261" i="4" s="1"/>
  <c r="Q3260" i="4"/>
  <c r="P3260" i="4"/>
  <c r="O3260" i="4"/>
  <c r="N3260" i="4"/>
  <c r="M3260" i="4"/>
  <c r="K3260" i="4"/>
  <c r="J3260" i="4"/>
  <c r="I3260" i="4"/>
  <c r="H3260" i="4"/>
  <c r="L3260" i="4" s="1"/>
  <c r="Q3259" i="4"/>
  <c r="P3259" i="4"/>
  <c r="O3259" i="4"/>
  <c r="N3259" i="4"/>
  <c r="M3259" i="4"/>
  <c r="K3259" i="4"/>
  <c r="J3259" i="4"/>
  <c r="I3259" i="4"/>
  <c r="H3259" i="4"/>
  <c r="L3259" i="4" s="1"/>
  <c r="Q3258" i="4"/>
  <c r="P3258" i="4"/>
  <c r="O3258" i="4"/>
  <c r="N3258" i="4"/>
  <c r="M3258" i="4"/>
  <c r="K3258" i="4"/>
  <c r="J3258" i="4"/>
  <c r="I3258" i="4"/>
  <c r="H3258" i="4"/>
  <c r="L3258" i="4" s="1"/>
  <c r="Q3257" i="4"/>
  <c r="P3257" i="4"/>
  <c r="O3257" i="4"/>
  <c r="N3257" i="4"/>
  <c r="M3257" i="4"/>
  <c r="L3257" i="4"/>
  <c r="K3257" i="4"/>
  <c r="I3257" i="4"/>
  <c r="H3257" i="4"/>
  <c r="J3257" i="4" s="1"/>
  <c r="Q3254" i="4"/>
  <c r="P3254" i="4"/>
  <c r="O3254" i="4"/>
  <c r="N3254" i="4"/>
  <c r="L3254" i="4"/>
  <c r="K3254" i="4"/>
  <c r="J3254" i="4"/>
  <c r="I3254" i="4"/>
  <c r="H3254" i="4"/>
  <c r="M3254" i="4" s="1"/>
  <c r="Q3253" i="4"/>
  <c r="P3253" i="4"/>
  <c r="O3253" i="4"/>
  <c r="N3253" i="4"/>
  <c r="L3253" i="4"/>
  <c r="K3253" i="4"/>
  <c r="J3253" i="4"/>
  <c r="I3253" i="4"/>
  <c r="H3253" i="4"/>
  <c r="M3253" i="4" s="1"/>
  <c r="Q3252" i="4"/>
  <c r="P3252" i="4"/>
  <c r="O3252" i="4"/>
  <c r="N3252" i="4"/>
  <c r="L3252" i="4"/>
  <c r="K3252" i="4"/>
  <c r="J3252" i="4"/>
  <c r="I3252" i="4"/>
  <c r="H3252" i="4"/>
  <c r="M3252" i="4" s="1"/>
  <c r="Q3251" i="4"/>
  <c r="P3251" i="4"/>
  <c r="O3251" i="4"/>
  <c r="N3251" i="4"/>
  <c r="L3251" i="4"/>
  <c r="K3251" i="4"/>
  <c r="J3251" i="4"/>
  <c r="I3251" i="4"/>
  <c r="H3251" i="4"/>
  <c r="M3251" i="4" s="1"/>
  <c r="Q3250" i="4"/>
  <c r="P3250" i="4"/>
  <c r="O3250" i="4"/>
  <c r="N3250" i="4"/>
  <c r="L3250" i="4"/>
  <c r="K3250" i="4"/>
  <c r="J3250" i="4"/>
  <c r="I3250" i="4"/>
  <c r="H3250" i="4"/>
  <c r="M3250" i="4" s="1"/>
  <c r="Q3249" i="4"/>
  <c r="P3249" i="4"/>
  <c r="O3249" i="4"/>
  <c r="N3249" i="4"/>
  <c r="L3249" i="4"/>
  <c r="K3249" i="4"/>
  <c r="J3249" i="4"/>
  <c r="I3249" i="4"/>
  <c r="H3249" i="4"/>
  <c r="M3249" i="4" s="1"/>
  <c r="Q3248" i="4"/>
  <c r="P3248" i="4"/>
  <c r="O3248" i="4"/>
  <c r="N3248" i="4"/>
  <c r="M3248" i="4"/>
  <c r="L3248" i="4"/>
  <c r="J3248" i="4"/>
  <c r="I3248" i="4"/>
  <c r="H3248" i="4"/>
  <c r="K3248" i="4" s="1"/>
  <c r="Q3247" i="4"/>
  <c r="P3247" i="4"/>
  <c r="O3247" i="4"/>
  <c r="N3247" i="4"/>
  <c r="M3247" i="4"/>
  <c r="L3247" i="4"/>
  <c r="K3247" i="4"/>
  <c r="I3247" i="4"/>
  <c r="H3247" i="4"/>
  <c r="J3247" i="4" s="1"/>
  <c r="Q3244" i="4"/>
  <c r="P3244" i="4"/>
  <c r="O3244" i="4"/>
  <c r="N3244" i="4"/>
  <c r="L3244" i="4"/>
  <c r="K3244" i="4"/>
  <c r="J3244" i="4"/>
  <c r="I3244" i="4"/>
  <c r="H3244" i="4"/>
  <c r="M3244" i="4" s="1"/>
  <c r="Q3243" i="4"/>
  <c r="P3243" i="4"/>
  <c r="O3243" i="4"/>
  <c r="N3243" i="4"/>
  <c r="L3243" i="4"/>
  <c r="K3243" i="4"/>
  <c r="J3243" i="4"/>
  <c r="I3243" i="4"/>
  <c r="H3243" i="4"/>
  <c r="M3243" i="4" s="1"/>
  <c r="Q3242" i="4"/>
  <c r="P3242" i="4"/>
  <c r="O3242" i="4"/>
  <c r="N3242" i="4"/>
  <c r="L3242" i="4"/>
  <c r="K3242" i="4"/>
  <c r="J3242" i="4"/>
  <c r="I3242" i="4"/>
  <c r="H3242" i="4"/>
  <c r="M3242" i="4" s="1"/>
  <c r="Q3241" i="4"/>
  <c r="P3241" i="4"/>
  <c r="O3241" i="4"/>
  <c r="N3241" i="4"/>
  <c r="L3241" i="4"/>
  <c r="K3241" i="4"/>
  <c r="J3241" i="4"/>
  <c r="I3241" i="4"/>
  <c r="H3241" i="4"/>
  <c r="M3241" i="4" s="1"/>
  <c r="Q3240" i="4"/>
  <c r="P3240" i="4"/>
  <c r="O3240" i="4"/>
  <c r="N3240" i="4"/>
  <c r="L3240" i="4"/>
  <c r="K3240" i="4"/>
  <c r="J3240" i="4"/>
  <c r="I3240" i="4"/>
  <c r="H3240" i="4"/>
  <c r="M3240" i="4" s="1"/>
  <c r="Q3239" i="4"/>
  <c r="P3239" i="4"/>
  <c r="O3239" i="4"/>
  <c r="N3239" i="4"/>
  <c r="M3239" i="4"/>
  <c r="L3239" i="4"/>
  <c r="J3239" i="4"/>
  <c r="I3239" i="4"/>
  <c r="H3239" i="4"/>
  <c r="K3239" i="4" s="1"/>
  <c r="Q3238" i="4"/>
  <c r="P3238" i="4"/>
  <c r="O3238" i="4"/>
  <c r="N3238" i="4"/>
  <c r="M3238" i="4"/>
  <c r="L3238" i="4"/>
  <c r="K3238" i="4"/>
  <c r="I3238" i="4"/>
  <c r="H3238" i="4"/>
  <c r="J3238" i="4" s="1"/>
  <c r="Q3235" i="4"/>
  <c r="P3235" i="4"/>
  <c r="O3235" i="4"/>
  <c r="N3235" i="4"/>
  <c r="L3235" i="4"/>
  <c r="K3235" i="4"/>
  <c r="J3235" i="4"/>
  <c r="I3235" i="4"/>
  <c r="H3235" i="4"/>
  <c r="M3235" i="4" s="1"/>
  <c r="Q3234" i="4"/>
  <c r="P3234" i="4"/>
  <c r="O3234" i="4"/>
  <c r="N3234" i="4"/>
  <c r="L3234" i="4"/>
  <c r="K3234" i="4"/>
  <c r="J3234" i="4"/>
  <c r="I3234" i="4"/>
  <c r="H3234" i="4"/>
  <c r="M3234" i="4" s="1"/>
  <c r="Q3233" i="4"/>
  <c r="P3233" i="4"/>
  <c r="O3233" i="4"/>
  <c r="N3233" i="4"/>
  <c r="L3233" i="4"/>
  <c r="K3233" i="4"/>
  <c r="J3233" i="4"/>
  <c r="I3233" i="4"/>
  <c r="H3233" i="4"/>
  <c r="M3233" i="4" s="1"/>
  <c r="Q3232" i="4"/>
  <c r="P3232" i="4"/>
  <c r="O3232" i="4"/>
  <c r="N3232" i="4"/>
  <c r="L3232" i="4"/>
  <c r="K3232" i="4"/>
  <c r="J3232" i="4"/>
  <c r="I3232" i="4"/>
  <c r="H3232" i="4"/>
  <c r="M3232" i="4" s="1"/>
  <c r="Q3231" i="4"/>
  <c r="P3231" i="4"/>
  <c r="O3231" i="4"/>
  <c r="N3231" i="4"/>
  <c r="L3231" i="4"/>
  <c r="K3231" i="4"/>
  <c r="J3231" i="4"/>
  <c r="I3231" i="4"/>
  <c r="H3231" i="4"/>
  <c r="M3231" i="4" s="1"/>
  <c r="Q3230" i="4"/>
  <c r="P3230" i="4"/>
  <c r="O3230" i="4"/>
  <c r="N3230" i="4"/>
  <c r="L3230" i="4"/>
  <c r="K3230" i="4"/>
  <c r="J3230" i="4"/>
  <c r="I3230" i="4"/>
  <c r="H3230" i="4"/>
  <c r="M3230" i="4" s="1"/>
  <c r="Q3229" i="4"/>
  <c r="P3229" i="4"/>
  <c r="O3229" i="4"/>
  <c r="N3229" i="4"/>
  <c r="M3229" i="4"/>
  <c r="L3229" i="4"/>
  <c r="J3229" i="4"/>
  <c r="I3229" i="4"/>
  <c r="H3229" i="4"/>
  <c r="K3229" i="4" s="1"/>
  <c r="Q3228" i="4"/>
  <c r="P3228" i="4"/>
  <c r="O3228" i="4"/>
  <c r="N3228" i="4"/>
  <c r="M3228" i="4"/>
  <c r="L3228" i="4"/>
  <c r="K3228" i="4"/>
  <c r="I3228" i="4"/>
  <c r="H3228" i="4"/>
  <c r="J3228" i="4" s="1"/>
  <c r="Q3225" i="4"/>
  <c r="P3225" i="4"/>
  <c r="O3225" i="4"/>
  <c r="N3225" i="4"/>
  <c r="L3225" i="4"/>
  <c r="K3225" i="4"/>
  <c r="J3225" i="4"/>
  <c r="I3225" i="4"/>
  <c r="H3225" i="4"/>
  <c r="M3225" i="4" s="1"/>
  <c r="Q3224" i="4"/>
  <c r="P3224" i="4"/>
  <c r="O3224" i="4"/>
  <c r="N3224" i="4"/>
  <c r="L3224" i="4"/>
  <c r="K3224" i="4"/>
  <c r="J3224" i="4"/>
  <c r="I3224" i="4"/>
  <c r="H3224" i="4"/>
  <c r="M3224" i="4" s="1"/>
  <c r="Q3223" i="4"/>
  <c r="P3223" i="4"/>
  <c r="O3223" i="4"/>
  <c r="N3223" i="4"/>
  <c r="L3223" i="4"/>
  <c r="K3223" i="4"/>
  <c r="J3223" i="4"/>
  <c r="I3223" i="4"/>
  <c r="H3223" i="4"/>
  <c r="M3223" i="4" s="1"/>
  <c r="Q3222" i="4"/>
  <c r="P3222" i="4"/>
  <c r="O3222" i="4"/>
  <c r="N3222" i="4"/>
  <c r="L3222" i="4"/>
  <c r="K3222" i="4"/>
  <c r="J3222" i="4"/>
  <c r="I3222" i="4"/>
  <c r="H3222" i="4"/>
  <c r="M3222" i="4" s="1"/>
  <c r="Q3221" i="4"/>
  <c r="P3221" i="4"/>
  <c r="O3221" i="4"/>
  <c r="N3221" i="4"/>
  <c r="L3221" i="4"/>
  <c r="K3221" i="4"/>
  <c r="J3221" i="4"/>
  <c r="I3221" i="4"/>
  <c r="H3221" i="4"/>
  <c r="M3221" i="4" s="1"/>
  <c r="Q3220" i="4"/>
  <c r="P3220" i="4"/>
  <c r="O3220" i="4"/>
  <c r="N3220" i="4"/>
  <c r="L3220" i="4"/>
  <c r="K3220" i="4"/>
  <c r="J3220" i="4"/>
  <c r="I3220" i="4"/>
  <c r="H3220" i="4"/>
  <c r="M3220" i="4" s="1"/>
  <c r="Q3219" i="4"/>
  <c r="P3219" i="4"/>
  <c r="O3219" i="4"/>
  <c r="N3219" i="4"/>
  <c r="L3219" i="4"/>
  <c r="K3219" i="4"/>
  <c r="J3219" i="4"/>
  <c r="I3219" i="4"/>
  <c r="H3219" i="4"/>
  <c r="M3219" i="4" s="1"/>
  <c r="Q3218" i="4"/>
  <c r="P3218" i="4"/>
  <c r="O3218" i="4"/>
  <c r="N3218" i="4"/>
  <c r="M3218" i="4"/>
  <c r="L3218" i="4"/>
  <c r="J3218" i="4"/>
  <c r="I3218" i="4"/>
  <c r="H3218" i="4"/>
  <c r="K3218" i="4" s="1"/>
  <c r="Q3217" i="4"/>
  <c r="P3217" i="4"/>
  <c r="O3217" i="4"/>
  <c r="N3217" i="4"/>
  <c r="M3217" i="4"/>
  <c r="L3217" i="4"/>
  <c r="K3217" i="4"/>
  <c r="I3217" i="4"/>
  <c r="H3217" i="4"/>
  <c r="J3217" i="4" s="1"/>
  <c r="Q3214" i="4"/>
  <c r="P3214" i="4"/>
  <c r="O3214" i="4"/>
  <c r="N3214" i="4"/>
  <c r="L3214" i="4"/>
  <c r="K3214" i="4"/>
  <c r="J3214" i="4"/>
  <c r="I3214" i="4"/>
  <c r="H3214" i="4"/>
  <c r="M3214" i="4" s="1"/>
  <c r="Q3213" i="4"/>
  <c r="P3213" i="4"/>
  <c r="O3213" i="4"/>
  <c r="N3213" i="4"/>
  <c r="L3213" i="4"/>
  <c r="K3213" i="4"/>
  <c r="J3213" i="4"/>
  <c r="I3213" i="4"/>
  <c r="H3213" i="4"/>
  <c r="M3213" i="4" s="1"/>
  <c r="Q3212" i="4"/>
  <c r="P3212" i="4"/>
  <c r="O3212" i="4"/>
  <c r="N3212" i="4"/>
  <c r="L3212" i="4"/>
  <c r="K3212" i="4"/>
  <c r="J3212" i="4"/>
  <c r="I3212" i="4"/>
  <c r="H3212" i="4"/>
  <c r="M3212" i="4" s="1"/>
  <c r="Q3211" i="4"/>
  <c r="P3211" i="4"/>
  <c r="O3211" i="4"/>
  <c r="N3211" i="4"/>
  <c r="L3211" i="4"/>
  <c r="K3211" i="4"/>
  <c r="J3211" i="4"/>
  <c r="I3211" i="4"/>
  <c r="H3211" i="4"/>
  <c r="M3211" i="4" s="1"/>
  <c r="Q3210" i="4"/>
  <c r="P3210" i="4"/>
  <c r="O3210" i="4"/>
  <c r="N3210" i="4"/>
  <c r="M3210" i="4"/>
  <c r="K3210" i="4"/>
  <c r="J3210" i="4"/>
  <c r="I3210" i="4"/>
  <c r="H3210" i="4"/>
  <c r="L3210" i="4" s="1"/>
  <c r="Q3209" i="4"/>
  <c r="P3209" i="4"/>
  <c r="O3209" i="4"/>
  <c r="N3209" i="4"/>
  <c r="M3209" i="4"/>
  <c r="K3209" i="4"/>
  <c r="J3209" i="4"/>
  <c r="I3209" i="4"/>
  <c r="H3209" i="4"/>
  <c r="L3209" i="4" s="1"/>
  <c r="Q3208" i="4"/>
  <c r="P3208" i="4"/>
  <c r="O3208" i="4"/>
  <c r="N3208" i="4"/>
  <c r="M3208" i="4"/>
  <c r="K3208" i="4"/>
  <c r="J3208" i="4"/>
  <c r="I3208" i="4"/>
  <c r="H3208" i="4"/>
  <c r="L3208" i="4" s="1"/>
  <c r="Q3207" i="4"/>
  <c r="P3207" i="4"/>
  <c r="O3207" i="4"/>
  <c r="N3207" i="4"/>
  <c r="M3207" i="4"/>
  <c r="K3207" i="4"/>
  <c r="J3207" i="4"/>
  <c r="I3207" i="4"/>
  <c r="H3207" i="4"/>
  <c r="L3207" i="4" s="1"/>
  <c r="Q3206" i="4"/>
  <c r="P3206" i="4"/>
  <c r="O3206" i="4"/>
  <c r="N3206" i="4"/>
  <c r="M3206" i="4"/>
  <c r="L3206" i="4"/>
  <c r="K3206" i="4"/>
  <c r="I3206" i="4"/>
  <c r="H3206" i="4"/>
  <c r="J3206" i="4" s="1"/>
  <c r="Q3203" i="4"/>
  <c r="O3203" i="4"/>
  <c r="N3203" i="4"/>
  <c r="M3203" i="4"/>
  <c r="L3203" i="4"/>
  <c r="K3203" i="4"/>
  <c r="J3203" i="4"/>
  <c r="I3203" i="4"/>
  <c r="H3203" i="4"/>
  <c r="P3203" i="4" s="1"/>
  <c r="Q3202" i="4"/>
  <c r="O3202" i="4"/>
  <c r="N3202" i="4"/>
  <c r="M3202" i="4"/>
  <c r="L3202" i="4"/>
  <c r="K3202" i="4"/>
  <c r="J3202" i="4"/>
  <c r="I3202" i="4"/>
  <c r="H3202" i="4"/>
  <c r="P3202" i="4" s="1"/>
  <c r="Q3201" i="4"/>
  <c r="P3201" i="4"/>
  <c r="O3201" i="4"/>
  <c r="M3201" i="4"/>
  <c r="L3201" i="4"/>
  <c r="K3201" i="4"/>
  <c r="J3201" i="4"/>
  <c r="I3201" i="4"/>
  <c r="H3201" i="4"/>
  <c r="N3201" i="4" s="1"/>
  <c r="Q3200" i="4"/>
  <c r="P3200" i="4"/>
  <c r="O3200" i="4"/>
  <c r="M3200" i="4"/>
  <c r="L3200" i="4"/>
  <c r="K3200" i="4"/>
  <c r="J3200" i="4"/>
  <c r="I3200" i="4"/>
  <c r="H3200" i="4"/>
  <c r="N3200" i="4" s="1"/>
  <c r="Q3199" i="4"/>
  <c r="P3199" i="4"/>
  <c r="O3199" i="4"/>
  <c r="M3199" i="4"/>
  <c r="L3199" i="4"/>
  <c r="K3199" i="4"/>
  <c r="J3199" i="4"/>
  <c r="I3199" i="4"/>
  <c r="H3199" i="4"/>
  <c r="N3199" i="4" s="1"/>
  <c r="Q3198" i="4"/>
  <c r="P3198" i="4"/>
  <c r="O3198" i="4"/>
  <c r="M3198" i="4"/>
  <c r="L3198" i="4"/>
  <c r="K3198" i="4"/>
  <c r="J3198" i="4"/>
  <c r="I3198" i="4"/>
  <c r="H3198" i="4"/>
  <c r="N3198" i="4" s="1"/>
  <c r="Q3197" i="4"/>
  <c r="P3197" i="4"/>
  <c r="O3197" i="4"/>
  <c r="M3197" i="4"/>
  <c r="L3197" i="4"/>
  <c r="K3197" i="4"/>
  <c r="J3197" i="4"/>
  <c r="I3197" i="4"/>
  <c r="H3197" i="4"/>
  <c r="N3197" i="4" s="1"/>
  <c r="Q3196" i="4"/>
  <c r="P3196" i="4"/>
  <c r="O3196" i="4"/>
  <c r="M3196" i="4"/>
  <c r="L3196" i="4"/>
  <c r="K3196" i="4"/>
  <c r="J3196" i="4"/>
  <c r="I3196" i="4"/>
  <c r="H3196" i="4"/>
  <c r="N3196" i="4" s="1"/>
  <c r="Q3195" i="4"/>
  <c r="P3195" i="4"/>
  <c r="O3195" i="4"/>
  <c r="M3195" i="4"/>
  <c r="L3195" i="4"/>
  <c r="K3195" i="4"/>
  <c r="J3195" i="4"/>
  <c r="I3195" i="4"/>
  <c r="H3195" i="4"/>
  <c r="N3195" i="4" s="1"/>
  <c r="Q3194" i="4"/>
  <c r="P3194" i="4"/>
  <c r="O3194" i="4"/>
  <c r="N3194" i="4"/>
  <c r="M3194" i="4"/>
  <c r="L3194" i="4"/>
  <c r="I3194" i="4"/>
  <c r="H3194" i="4"/>
  <c r="J3194" i="4" s="1"/>
  <c r="Q3191" i="4"/>
  <c r="O3191" i="4"/>
  <c r="N3191" i="4"/>
  <c r="M3191" i="4"/>
  <c r="L3191" i="4"/>
  <c r="K3191" i="4"/>
  <c r="J3191" i="4"/>
  <c r="I3191" i="4"/>
  <c r="H3191" i="4"/>
  <c r="P3191" i="4" s="1"/>
  <c r="Q3189" i="4"/>
  <c r="P3189" i="4"/>
  <c r="O3189" i="4"/>
  <c r="N3189" i="4"/>
  <c r="L3189" i="4"/>
  <c r="K3189" i="4"/>
  <c r="J3189" i="4"/>
  <c r="I3189" i="4"/>
  <c r="H3189" i="4"/>
  <c r="M3189" i="4" s="1"/>
  <c r="Q3188" i="4"/>
  <c r="P3188" i="4"/>
  <c r="O3188" i="4"/>
  <c r="N3188" i="4"/>
  <c r="L3188" i="4"/>
  <c r="K3188" i="4"/>
  <c r="J3188" i="4"/>
  <c r="I3188" i="4"/>
  <c r="H3188" i="4"/>
  <c r="M3188" i="4" s="1"/>
  <c r="Q3187" i="4"/>
  <c r="P3187" i="4"/>
  <c r="O3187" i="4"/>
  <c r="N3187" i="4"/>
  <c r="L3187" i="4"/>
  <c r="K3187" i="4"/>
  <c r="J3187" i="4"/>
  <c r="I3187" i="4"/>
  <c r="H3187" i="4"/>
  <c r="M3187" i="4" s="1"/>
  <c r="Q3186" i="4"/>
  <c r="P3186" i="4"/>
  <c r="O3186" i="4"/>
  <c r="N3186" i="4"/>
  <c r="L3186" i="4"/>
  <c r="K3186" i="4"/>
  <c r="J3186" i="4"/>
  <c r="I3186" i="4"/>
  <c r="H3186" i="4"/>
  <c r="M3186" i="4" s="1"/>
  <c r="Q3185" i="4"/>
  <c r="P3185" i="4"/>
  <c r="O3185" i="4"/>
  <c r="N3185" i="4"/>
  <c r="L3185" i="4"/>
  <c r="K3185" i="4"/>
  <c r="J3185" i="4"/>
  <c r="I3185" i="4"/>
  <c r="H3185" i="4"/>
  <c r="M3185" i="4" s="1"/>
  <c r="Q3184" i="4"/>
  <c r="P3184" i="4"/>
  <c r="O3184" i="4"/>
  <c r="N3184" i="4"/>
  <c r="L3184" i="4"/>
  <c r="K3184" i="4"/>
  <c r="J3184" i="4"/>
  <c r="I3184" i="4"/>
  <c r="H3184" i="4"/>
  <c r="M3184" i="4" s="1"/>
  <c r="Q3183" i="4"/>
  <c r="P3183" i="4"/>
  <c r="O3183" i="4"/>
  <c r="N3183" i="4"/>
  <c r="L3183" i="4"/>
  <c r="K3183" i="4"/>
  <c r="J3183" i="4"/>
  <c r="I3183" i="4"/>
  <c r="H3183" i="4"/>
  <c r="M3183" i="4" s="1"/>
  <c r="Q3182" i="4"/>
  <c r="P3182" i="4"/>
  <c r="O3182" i="4"/>
  <c r="N3182" i="4"/>
  <c r="L3182" i="4"/>
  <c r="K3182" i="4"/>
  <c r="J3182" i="4"/>
  <c r="I3182" i="4"/>
  <c r="H3182" i="4"/>
  <c r="M3182" i="4" s="1"/>
  <c r="Q3181" i="4"/>
  <c r="P3181" i="4"/>
  <c r="O3181" i="4"/>
  <c r="N3181" i="4"/>
  <c r="L3181" i="4"/>
  <c r="K3181" i="4"/>
  <c r="J3181" i="4"/>
  <c r="I3181" i="4"/>
  <c r="H3181" i="4"/>
  <c r="M3181" i="4" s="1"/>
  <c r="Q3180" i="4"/>
  <c r="P3180" i="4"/>
  <c r="O3180" i="4"/>
  <c r="N3180" i="4"/>
  <c r="L3180" i="4"/>
  <c r="K3180" i="4"/>
  <c r="J3180" i="4"/>
  <c r="I3180" i="4"/>
  <c r="H3180" i="4"/>
  <c r="M3180" i="4" s="1"/>
  <c r="Q3179" i="4"/>
  <c r="P3179" i="4"/>
  <c r="O3179" i="4"/>
  <c r="N3179" i="4"/>
  <c r="M3179" i="4"/>
  <c r="L3179" i="4"/>
  <c r="J3179" i="4"/>
  <c r="I3179" i="4"/>
  <c r="H3179" i="4"/>
  <c r="K3179" i="4" s="1"/>
  <c r="Q3176" i="4"/>
  <c r="O3176" i="4"/>
  <c r="N3176" i="4"/>
  <c r="M3176" i="4"/>
  <c r="L3176" i="4"/>
  <c r="K3176" i="4"/>
  <c r="J3176" i="4"/>
  <c r="I3176" i="4"/>
  <c r="H3176" i="4"/>
  <c r="P3176" i="4" s="1"/>
  <c r="Q3175" i="4"/>
  <c r="O3175" i="4"/>
  <c r="N3175" i="4"/>
  <c r="M3175" i="4"/>
  <c r="L3175" i="4"/>
  <c r="K3175" i="4"/>
  <c r="J3175" i="4"/>
  <c r="I3175" i="4"/>
  <c r="H3175" i="4"/>
  <c r="P3175" i="4" s="1"/>
  <c r="Q3174" i="4"/>
  <c r="P3174" i="4"/>
  <c r="N3174" i="4"/>
  <c r="M3174" i="4"/>
  <c r="L3174" i="4"/>
  <c r="K3174" i="4"/>
  <c r="J3174" i="4"/>
  <c r="I3174" i="4"/>
  <c r="H3174" i="4"/>
  <c r="O3174" i="4" s="1"/>
  <c r="Q3173" i="4"/>
  <c r="P3173" i="4"/>
  <c r="N3173" i="4"/>
  <c r="M3173" i="4"/>
  <c r="L3173" i="4"/>
  <c r="K3173" i="4"/>
  <c r="J3173" i="4"/>
  <c r="I3173" i="4"/>
  <c r="H3173" i="4"/>
  <c r="O3173" i="4" s="1"/>
  <c r="Q3172" i="4"/>
  <c r="P3172" i="4"/>
  <c r="N3172" i="4"/>
  <c r="M3172" i="4"/>
  <c r="L3172" i="4"/>
  <c r="K3172" i="4"/>
  <c r="J3172" i="4"/>
  <c r="I3172" i="4"/>
  <c r="H3172" i="4"/>
  <c r="O3172" i="4" s="1"/>
  <c r="Q3171" i="4"/>
  <c r="P3171" i="4"/>
  <c r="O3171" i="4"/>
  <c r="N3171" i="4"/>
  <c r="L3171" i="4"/>
  <c r="K3171" i="4"/>
  <c r="J3171" i="4"/>
  <c r="I3171" i="4"/>
  <c r="H3171" i="4"/>
  <c r="M3171" i="4" s="1"/>
  <c r="Q3170" i="4"/>
  <c r="P3170" i="4"/>
  <c r="O3170" i="4"/>
  <c r="N3170" i="4"/>
  <c r="L3170" i="4"/>
  <c r="K3170" i="4"/>
  <c r="J3170" i="4"/>
  <c r="I3170" i="4"/>
  <c r="H3170" i="4"/>
  <c r="M3170" i="4" s="1"/>
  <c r="Q3169" i="4"/>
  <c r="P3169" i="4"/>
  <c r="O3169" i="4"/>
  <c r="N3169" i="4"/>
  <c r="L3169" i="4"/>
  <c r="K3169" i="4"/>
  <c r="J3169" i="4"/>
  <c r="I3169" i="4"/>
  <c r="H3169" i="4"/>
  <c r="M3169" i="4" s="1"/>
  <c r="Q3168" i="4"/>
  <c r="P3168" i="4"/>
  <c r="O3168" i="4"/>
  <c r="N3168" i="4"/>
  <c r="L3168" i="4"/>
  <c r="K3168" i="4"/>
  <c r="J3168" i="4"/>
  <c r="I3168" i="4"/>
  <c r="H3168" i="4"/>
  <c r="M3168" i="4" s="1"/>
  <c r="Q3167" i="4"/>
  <c r="P3167" i="4"/>
  <c r="O3167" i="4"/>
  <c r="N3167" i="4"/>
  <c r="L3167" i="4"/>
  <c r="K3167" i="4"/>
  <c r="J3167" i="4"/>
  <c r="I3167" i="4"/>
  <c r="H3167" i="4"/>
  <c r="M3167" i="4" s="1"/>
  <c r="Q3166" i="4"/>
  <c r="P3166" i="4"/>
  <c r="O3166" i="4"/>
  <c r="N3166" i="4"/>
  <c r="L3166" i="4"/>
  <c r="K3166" i="4"/>
  <c r="J3166" i="4"/>
  <c r="I3166" i="4"/>
  <c r="H3166" i="4"/>
  <c r="M3166" i="4" s="1"/>
  <c r="Q3165" i="4"/>
  <c r="P3165" i="4"/>
  <c r="O3165" i="4"/>
  <c r="N3165" i="4"/>
  <c r="M3165" i="4"/>
  <c r="L3165" i="4"/>
  <c r="J3165" i="4"/>
  <c r="I3165" i="4"/>
  <c r="H3165" i="4"/>
  <c r="K3165" i="4" s="1"/>
  <c r="Q3162" i="4"/>
  <c r="O3162" i="4"/>
  <c r="N3162" i="4"/>
  <c r="M3162" i="4"/>
  <c r="L3162" i="4"/>
  <c r="K3162" i="4"/>
  <c r="J3162" i="4"/>
  <c r="I3162" i="4"/>
  <c r="H3162" i="4"/>
  <c r="P3162" i="4" s="1"/>
  <c r="Q3161" i="4"/>
  <c r="O3161" i="4"/>
  <c r="N3161" i="4"/>
  <c r="M3161" i="4"/>
  <c r="L3161" i="4"/>
  <c r="K3161" i="4"/>
  <c r="J3161" i="4"/>
  <c r="I3161" i="4"/>
  <c r="H3161" i="4"/>
  <c r="P3161" i="4" s="1"/>
  <c r="Q3160" i="4"/>
  <c r="O3160" i="4"/>
  <c r="N3160" i="4"/>
  <c r="M3160" i="4"/>
  <c r="L3160" i="4"/>
  <c r="K3160" i="4"/>
  <c r="J3160" i="4"/>
  <c r="I3160" i="4"/>
  <c r="H3160" i="4"/>
  <c r="P3160" i="4" s="1"/>
  <c r="Q3159" i="4"/>
  <c r="O3159" i="4"/>
  <c r="N3159" i="4"/>
  <c r="M3159" i="4"/>
  <c r="L3159" i="4"/>
  <c r="K3159" i="4"/>
  <c r="J3159" i="4"/>
  <c r="I3159" i="4"/>
  <c r="H3159" i="4"/>
  <c r="P3159" i="4" s="1"/>
  <c r="Q3158" i="4"/>
  <c r="P3158" i="4"/>
  <c r="O3158" i="4"/>
  <c r="M3158" i="4"/>
  <c r="L3158" i="4"/>
  <c r="K3158" i="4"/>
  <c r="J3158" i="4"/>
  <c r="I3158" i="4"/>
  <c r="H3158" i="4"/>
  <c r="N3158" i="4" s="1"/>
  <c r="Q3157" i="4"/>
  <c r="P3157" i="4"/>
  <c r="O3157" i="4"/>
  <c r="M3157" i="4"/>
  <c r="L3157" i="4"/>
  <c r="K3157" i="4"/>
  <c r="J3157" i="4"/>
  <c r="I3157" i="4"/>
  <c r="H3157" i="4"/>
  <c r="N3157" i="4" s="1"/>
  <c r="Q3156" i="4"/>
  <c r="P3156" i="4"/>
  <c r="O3156" i="4"/>
  <c r="M3156" i="4"/>
  <c r="L3156" i="4"/>
  <c r="K3156" i="4"/>
  <c r="J3156" i="4"/>
  <c r="I3156" i="4"/>
  <c r="H3156" i="4"/>
  <c r="N3156" i="4" s="1"/>
  <c r="Q3155" i="4"/>
  <c r="P3155" i="4"/>
  <c r="O3155" i="4"/>
  <c r="N3155" i="4"/>
  <c r="L3155" i="4"/>
  <c r="K3155" i="4"/>
  <c r="J3155" i="4"/>
  <c r="I3155" i="4"/>
  <c r="H3155" i="4"/>
  <c r="M3155" i="4" s="1"/>
  <c r="Q3154" i="4"/>
  <c r="P3154" i="4"/>
  <c r="O3154" i="4"/>
  <c r="N3154" i="4"/>
  <c r="M3154" i="4"/>
  <c r="L3154" i="4"/>
  <c r="J3154" i="4"/>
  <c r="I3154" i="4"/>
  <c r="H3154" i="4"/>
  <c r="K3154" i="4" s="1"/>
  <c r="Q3151" i="4"/>
  <c r="P3151" i="4"/>
  <c r="O3151" i="4"/>
  <c r="N3151" i="4"/>
  <c r="L3151" i="4"/>
  <c r="K3151" i="4"/>
  <c r="J3151" i="4"/>
  <c r="I3151" i="4"/>
  <c r="H3151" i="4"/>
  <c r="M3151" i="4" s="1"/>
  <c r="Q3150" i="4"/>
  <c r="P3150" i="4"/>
  <c r="O3150" i="4"/>
  <c r="N3150" i="4"/>
  <c r="L3150" i="4"/>
  <c r="K3150" i="4"/>
  <c r="J3150" i="4"/>
  <c r="I3150" i="4"/>
  <c r="H3150" i="4"/>
  <c r="M3150" i="4" s="1"/>
  <c r="Q3149" i="4"/>
  <c r="P3149" i="4"/>
  <c r="O3149" i="4"/>
  <c r="N3149" i="4"/>
  <c r="L3149" i="4"/>
  <c r="K3149" i="4"/>
  <c r="J3149" i="4"/>
  <c r="I3149" i="4"/>
  <c r="H3149" i="4"/>
  <c r="M3149" i="4" s="1"/>
  <c r="Q3148" i="4"/>
  <c r="P3148" i="4"/>
  <c r="O3148" i="4"/>
  <c r="N3148" i="4"/>
  <c r="M3148" i="4"/>
  <c r="K3148" i="4"/>
  <c r="J3148" i="4"/>
  <c r="I3148" i="4"/>
  <c r="H3148" i="4"/>
  <c r="L3148" i="4" s="1"/>
  <c r="Q3147" i="4"/>
  <c r="P3147" i="4"/>
  <c r="O3147" i="4"/>
  <c r="N3147" i="4"/>
  <c r="M3147" i="4"/>
  <c r="K3147" i="4"/>
  <c r="J3147" i="4"/>
  <c r="I3147" i="4"/>
  <c r="H3147" i="4"/>
  <c r="L3147" i="4" s="1"/>
  <c r="Q3146" i="4"/>
  <c r="P3146" i="4"/>
  <c r="O3146" i="4"/>
  <c r="N3146" i="4"/>
  <c r="M3146" i="4"/>
  <c r="L3146" i="4"/>
  <c r="K3146" i="4"/>
  <c r="I3146" i="4"/>
  <c r="H3146" i="4"/>
  <c r="J3146" i="4" s="1"/>
  <c r="Q3143" i="4"/>
  <c r="P3143" i="4"/>
  <c r="O3143" i="4"/>
  <c r="N3143" i="4"/>
  <c r="L3143" i="4"/>
  <c r="K3143" i="4"/>
  <c r="J3143" i="4"/>
  <c r="I3143" i="4"/>
  <c r="H3143" i="4"/>
  <c r="M3143" i="4" s="1"/>
  <c r="Q3142" i="4"/>
  <c r="P3142" i="4"/>
  <c r="O3142" i="4"/>
  <c r="N3142" i="4"/>
  <c r="L3142" i="4"/>
  <c r="K3142" i="4"/>
  <c r="J3142" i="4"/>
  <c r="I3142" i="4"/>
  <c r="H3142" i="4"/>
  <c r="M3142" i="4" s="1"/>
  <c r="Q3141" i="4"/>
  <c r="P3141" i="4"/>
  <c r="O3141" i="4"/>
  <c r="N3141" i="4"/>
  <c r="L3141" i="4"/>
  <c r="K3141" i="4"/>
  <c r="J3141" i="4"/>
  <c r="I3141" i="4"/>
  <c r="H3141" i="4"/>
  <c r="M3141" i="4" s="1"/>
  <c r="Q3140" i="4"/>
  <c r="P3140" i="4"/>
  <c r="O3140" i="4"/>
  <c r="N3140" i="4"/>
  <c r="L3140" i="4"/>
  <c r="K3140" i="4"/>
  <c r="J3140" i="4"/>
  <c r="I3140" i="4"/>
  <c r="H3140" i="4"/>
  <c r="M3140" i="4" s="1"/>
  <c r="Q3139" i="4"/>
  <c r="P3139" i="4"/>
  <c r="O3139" i="4"/>
  <c r="N3139" i="4"/>
  <c r="M3139" i="4"/>
  <c r="K3139" i="4"/>
  <c r="J3139" i="4"/>
  <c r="I3139" i="4"/>
  <c r="H3139" i="4"/>
  <c r="L3139" i="4" s="1"/>
  <c r="Q3138" i="4"/>
  <c r="P3138" i="4"/>
  <c r="O3138" i="4"/>
  <c r="N3138" i="4"/>
  <c r="M3138" i="4"/>
  <c r="K3138" i="4"/>
  <c r="J3138" i="4"/>
  <c r="I3138" i="4"/>
  <c r="H3138" i="4"/>
  <c r="L3138" i="4" s="1"/>
  <c r="Q3137" i="4"/>
  <c r="P3137" i="4"/>
  <c r="O3137" i="4"/>
  <c r="N3137" i="4"/>
  <c r="M3137" i="4"/>
  <c r="K3137" i="4"/>
  <c r="J3137" i="4"/>
  <c r="I3137" i="4"/>
  <c r="H3137" i="4"/>
  <c r="L3137" i="4" s="1"/>
  <c r="Q3136" i="4"/>
  <c r="P3136" i="4"/>
  <c r="O3136" i="4"/>
  <c r="N3136" i="4"/>
  <c r="M3136" i="4"/>
  <c r="K3136" i="4"/>
  <c r="J3136" i="4"/>
  <c r="I3136" i="4"/>
  <c r="H3136" i="4"/>
  <c r="L3136" i="4" s="1"/>
  <c r="Q3135" i="4"/>
  <c r="P3135" i="4"/>
  <c r="O3135" i="4"/>
  <c r="N3135" i="4"/>
  <c r="M3135" i="4"/>
  <c r="L3135" i="4"/>
  <c r="K3135" i="4"/>
  <c r="I3135" i="4"/>
  <c r="H3135" i="4"/>
  <c r="J3135" i="4" s="1"/>
  <c r="Q3132" i="4"/>
  <c r="P3132" i="4"/>
  <c r="O3132" i="4"/>
  <c r="N3132" i="4"/>
  <c r="L3132" i="4"/>
  <c r="K3132" i="4"/>
  <c r="J3132" i="4"/>
  <c r="I3132" i="4"/>
  <c r="H3132" i="4"/>
  <c r="M3132" i="4" s="1"/>
  <c r="Q3131" i="4"/>
  <c r="P3131" i="4"/>
  <c r="O3131" i="4"/>
  <c r="N3131" i="4"/>
  <c r="L3131" i="4"/>
  <c r="K3131" i="4"/>
  <c r="J3131" i="4"/>
  <c r="I3131" i="4"/>
  <c r="H3131" i="4"/>
  <c r="M3131" i="4" s="1"/>
  <c r="Q3130" i="4"/>
  <c r="P3130" i="4"/>
  <c r="O3130" i="4"/>
  <c r="N3130" i="4"/>
  <c r="M3130" i="4"/>
  <c r="L3130" i="4"/>
  <c r="K3130" i="4"/>
  <c r="I3130" i="4"/>
  <c r="H3130" i="4"/>
  <c r="J3130" i="4" s="1"/>
  <c r="Q3127" i="4"/>
  <c r="P3127" i="4"/>
  <c r="O3127" i="4"/>
  <c r="N3127" i="4"/>
  <c r="L3127" i="4"/>
  <c r="K3127" i="4"/>
  <c r="J3127" i="4"/>
  <c r="I3127" i="4"/>
  <c r="H3127" i="4"/>
  <c r="M3127" i="4" s="1"/>
  <c r="Q3126" i="4"/>
  <c r="P3126" i="4"/>
  <c r="O3126" i="4"/>
  <c r="N3126" i="4"/>
  <c r="L3126" i="4"/>
  <c r="K3126" i="4"/>
  <c r="J3126" i="4"/>
  <c r="I3126" i="4"/>
  <c r="H3126" i="4"/>
  <c r="M3126" i="4" s="1"/>
  <c r="Q3125" i="4"/>
  <c r="P3125" i="4"/>
  <c r="O3125" i="4"/>
  <c r="N3125" i="4"/>
  <c r="L3125" i="4"/>
  <c r="K3125" i="4"/>
  <c r="J3125" i="4"/>
  <c r="I3125" i="4"/>
  <c r="H3125" i="4"/>
  <c r="M3125" i="4" s="1"/>
  <c r="Q3124" i="4"/>
  <c r="P3124" i="4"/>
  <c r="O3124" i="4"/>
  <c r="N3124" i="4"/>
  <c r="L3124" i="4"/>
  <c r="K3124" i="4"/>
  <c r="J3124" i="4"/>
  <c r="I3124" i="4"/>
  <c r="H3124" i="4"/>
  <c r="M3124" i="4" s="1"/>
  <c r="Q3123" i="4"/>
  <c r="P3123" i="4"/>
  <c r="O3123" i="4"/>
  <c r="N3123" i="4"/>
  <c r="L3123" i="4"/>
  <c r="K3123" i="4"/>
  <c r="J3123" i="4"/>
  <c r="I3123" i="4"/>
  <c r="H3123" i="4"/>
  <c r="M3123" i="4" s="1"/>
  <c r="Q3122" i="4"/>
  <c r="P3122" i="4"/>
  <c r="O3122" i="4"/>
  <c r="N3122" i="4"/>
  <c r="M3122" i="4"/>
  <c r="L3122" i="4"/>
  <c r="K3122" i="4"/>
  <c r="I3122" i="4"/>
  <c r="H3122" i="4"/>
  <c r="J3122" i="4" s="1"/>
  <c r="Q3119" i="4"/>
  <c r="P3119" i="4"/>
  <c r="O3119" i="4"/>
  <c r="N3119" i="4"/>
  <c r="L3119" i="4"/>
  <c r="K3119" i="4"/>
  <c r="J3119" i="4"/>
  <c r="I3119" i="4"/>
  <c r="H3119" i="4"/>
  <c r="M3119" i="4" s="1"/>
  <c r="Q3118" i="4"/>
  <c r="P3118" i="4"/>
  <c r="O3118" i="4"/>
  <c r="N3118" i="4"/>
  <c r="L3118" i="4"/>
  <c r="K3118" i="4"/>
  <c r="J3118" i="4"/>
  <c r="I3118" i="4"/>
  <c r="H3118" i="4"/>
  <c r="M3118" i="4" s="1"/>
  <c r="Q3117" i="4"/>
  <c r="P3117" i="4"/>
  <c r="O3117" i="4"/>
  <c r="N3117" i="4"/>
  <c r="L3117" i="4"/>
  <c r="K3117" i="4"/>
  <c r="J3117" i="4"/>
  <c r="I3117" i="4"/>
  <c r="H3117" i="4"/>
  <c r="M3117" i="4" s="1"/>
  <c r="Q3116" i="4"/>
  <c r="P3116" i="4"/>
  <c r="O3116" i="4"/>
  <c r="N3116" i="4"/>
  <c r="L3116" i="4"/>
  <c r="K3116" i="4"/>
  <c r="J3116" i="4"/>
  <c r="I3116" i="4"/>
  <c r="H3116" i="4"/>
  <c r="M3116" i="4" s="1"/>
  <c r="Q3115" i="4"/>
  <c r="P3115" i="4"/>
  <c r="O3115" i="4"/>
  <c r="N3115" i="4"/>
  <c r="L3115" i="4"/>
  <c r="K3115" i="4"/>
  <c r="J3115" i="4"/>
  <c r="I3115" i="4"/>
  <c r="H3115" i="4"/>
  <c r="M3115" i="4" s="1"/>
  <c r="Q3114" i="4"/>
  <c r="P3114" i="4"/>
  <c r="O3114" i="4"/>
  <c r="N3114" i="4"/>
  <c r="M3114" i="4"/>
  <c r="K3114" i="4"/>
  <c r="J3114" i="4"/>
  <c r="I3114" i="4"/>
  <c r="H3114" i="4"/>
  <c r="L3114" i="4" s="1"/>
  <c r="Q3113" i="4"/>
  <c r="P3113" i="4"/>
  <c r="O3113" i="4"/>
  <c r="N3113" i="4"/>
  <c r="M3113" i="4"/>
  <c r="K3113" i="4"/>
  <c r="J3113" i="4"/>
  <c r="I3113" i="4"/>
  <c r="H3113" i="4"/>
  <c r="L3113" i="4" s="1"/>
  <c r="Q3112" i="4"/>
  <c r="P3112" i="4"/>
  <c r="O3112" i="4"/>
  <c r="N3112" i="4"/>
  <c r="M3112" i="4"/>
  <c r="L3112" i="4"/>
  <c r="J3112" i="4"/>
  <c r="I3112" i="4"/>
  <c r="H3112" i="4"/>
  <c r="K3112" i="4" s="1"/>
  <c r="Q3111" i="4"/>
  <c r="P3111" i="4"/>
  <c r="O3111" i="4"/>
  <c r="N3111" i="4"/>
  <c r="M3111" i="4"/>
  <c r="L3111" i="4"/>
  <c r="K3111" i="4"/>
  <c r="I3111" i="4"/>
  <c r="H3111" i="4"/>
  <c r="J3111" i="4" s="1"/>
  <c r="Q3110" i="4"/>
  <c r="P3110" i="4"/>
  <c r="O3110" i="4"/>
  <c r="N3110" i="4"/>
  <c r="M3110" i="4"/>
  <c r="L3110" i="4"/>
  <c r="K3110" i="4"/>
  <c r="I3110" i="4"/>
  <c r="H3110" i="4"/>
  <c r="J3110" i="4" s="1"/>
  <c r="Q3107" i="4"/>
  <c r="P3107" i="4"/>
  <c r="O3107" i="4"/>
  <c r="M3107" i="4"/>
  <c r="L3107" i="4"/>
  <c r="K3107" i="4"/>
  <c r="J3107" i="4"/>
  <c r="I3107" i="4"/>
  <c r="H3107" i="4"/>
  <c r="N3107" i="4" s="1"/>
  <c r="Q3106" i="4"/>
  <c r="P3106" i="4"/>
  <c r="O3106" i="4"/>
  <c r="N3106" i="4"/>
  <c r="L3106" i="4"/>
  <c r="K3106" i="4"/>
  <c r="J3106" i="4"/>
  <c r="I3106" i="4"/>
  <c r="H3106" i="4"/>
  <c r="M3106" i="4" s="1"/>
  <c r="Q3105" i="4"/>
  <c r="P3105" i="4"/>
  <c r="O3105" i="4"/>
  <c r="N3105" i="4"/>
  <c r="M3105" i="4"/>
  <c r="L3105" i="4"/>
  <c r="J3105" i="4"/>
  <c r="I3105" i="4"/>
  <c r="H3105" i="4"/>
  <c r="K3105" i="4" s="1"/>
  <c r="Q3104" i="4"/>
  <c r="P3104" i="4"/>
  <c r="O3104" i="4"/>
  <c r="N3104" i="4"/>
  <c r="M3104" i="4"/>
  <c r="L3104" i="4"/>
  <c r="K3104" i="4"/>
  <c r="I3104" i="4"/>
  <c r="H3104" i="4"/>
  <c r="J3104" i="4" s="1"/>
  <c r="Q3101" i="4"/>
  <c r="P3101" i="4"/>
  <c r="O3101" i="4"/>
  <c r="N3101" i="4"/>
  <c r="L3101" i="4"/>
  <c r="K3101" i="4"/>
  <c r="J3101" i="4"/>
  <c r="I3101" i="4"/>
  <c r="H3101" i="4"/>
  <c r="M3101" i="4" s="1"/>
  <c r="Q3100" i="4"/>
  <c r="P3100" i="4"/>
  <c r="O3100" i="4"/>
  <c r="N3100" i="4"/>
  <c r="L3100" i="4"/>
  <c r="K3100" i="4"/>
  <c r="J3100" i="4"/>
  <c r="I3100" i="4"/>
  <c r="H3100" i="4"/>
  <c r="M3100" i="4" s="1"/>
  <c r="Q3099" i="4"/>
  <c r="P3099" i="4"/>
  <c r="O3099" i="4"/>
  <c r="N3099" i="4"/>
  <c r="L3099" i="4"/>
  <c r="K3099" i="4"/>
  <c r="J3099" i="4"/>
  <c r="I3099" i="4"/>
  <c r="H3099" i="4"/>
  <c r="M3099" i="4" s="1"/>
  <c r="Q3098" i="4"/>
  <c r="P3098" i="4"/>
  <c r="O3098" i="4"/>
  <c r="N3098" i="4"/>
  <c r="L3098" i="4"/>
  <c r="K3098" i="4"/>
  <c r="J3098" i="4"/>
  <c r="I3098" i="4"/>
  <c r="H3098" i="4"/>
  <c r="M3098" i="4" s="1"/>
  <c r="Q3097" i="4"/>
  <c r="P3097" i="4"/>
  <c r="O3097" i="4"/>
  <c r="N3097" i="4"/>
  <c r="L3097" i="4"/>
  <c r="K3097" i="4"/>
  <c r="J3097" i="4"/>
  <c r="I3097" i="4"/>
  <c r="H3097" i="4"/>
  <c r="M3097" i="4" s="1"/>
  <c r="Q3096" i="4"/>
  <c r="P3096" i="4"/>
  <c r="O3096" i="4"/>
  <c r="N3096" i="4"/>
  <c r="L3096" i="4"/>
  <c r="K3096" i="4"/>
  <c r="J3096" i="4"/>
  <c r="I3096" i="4"/>
  <c r="H3096" i="4"/>
  <c r="M3096" i="4" s="1"/>
  <c r="Q3095" i="4"/>
  <c r="P3095" i="4"/>
  <c r="O3095" i="4"/>
  <c r="N3095" i="4"/>
  <c r="L3095" i="4"/>
  <c r="K3095" i="4"/>
  <c r="J3095" i="4"/>
  <c r="I3095" i="4"/>
  <c r="H3095" i="4"/>
  <c r="M3095" i="4" s="1"/>
  <c r="Q3094" i="4"/>
  <c r="P3094" i="4"/>
  <c r="O3094" i="4"/>
  <c r="N3094" i="4"/>
  <c r="L3094" i="4"/>
  <c r="K3094" i="4"/>
  <c r="J3094" i="4"/>
  <c r="I3094" i="4"/>
  <c r="H3094" i="4"/>
  <c r="M3094" i="4" s="1"/>
  <c r="Q3093" i="4"/>
  <c r="P3093" i="4"/>
  <c r="O3093" i="4"/>
  <c r="N3093" i="4"/>
  <c r="M3093" i="4"/>
  <c r="K3093" i="4"/>
  <c r="J3093" i="4"/>
  <c r="I3093" i="4"/>
  <c r="H3093" i="4"/>
  <c r="L3093" i="4" s="1"/>
  <c r="Q3092" i="4"/>
  <c r="P3092" i="4"/>
  <c r="O3092" i="4"/>
  <c r="N3092" i="4"/>
  <c r="M3092" i="4"/>
  <c r="L3092" i="4"/>
  <c r="J3092" i="4"/>
  <c r="I3092" i="4"/>
  <c r="H3092" i="4"/>
  <c r="K3092" i="4" s="1"/>
  <c r="Q3091" i="4"/>
  <c r="P3091" i="4"/>
  <c r="O3091" i="4"/>
  <c r="N3091" i="4"/>
  <c r="M3091" i="4"/>
  <c r="L3091" i="4"/>
  <c r="K3091" i="4"/>
  <c r="I3091" i="4"/>
  <c r="H3091" i="4"/>
  <c r="J3091" i="4" s="1"/>
  <c r="Q3090" i="4"/>
  <c r="P3090" i="4"/>
  <c r="O3090" i="4"/>
  <c r="N3090" i="4"/>
  <c r="M3090" i="4"/>
  <c r="L3090" i="4"/>
  <c r="K3090" i="4"/>
  <c r="I3090" i="4"/>
  <c r="H3090" i="4"/>
  <c r="J3090" i="4" s="1"/>
  <c r="Q3087" i="4"/>
  <c r="P3087" i="4"/>
  <c r="O3087" i="4"/>
  <c r="N3087" i="4"/>
  <c r="L3087" i="4"/>
  <c r="K3087" i="4"/>
  <c r="J3087" i="4"/>
  <c r="I3087" i="4"/>
  <c r="H3087" i="4"/>
  <c r="M3087" i="4" s="1"/>
  <c r="Q3086" i="4"/>
  <c r="P3086" i="4"/>
  <c r="O3086" i="4"/>
  <c r="N3086" i="4"/>
  <c r="L3086" i="4"/>
  <c r="K3086" i="4"/>
  <c r="J3086" i="4"/>
  <c r="I3086" i="4"/>
  <c r="H3086" i="4"/>
  <c r="M3086" i="4" s="1"/>
  <c r="Q3085" i="4"/>
  <c r="P3085" i="4"/>
  <c r="O3085" i="4"/>
  <c r="N3085" i="4"/>
  <c r="L3085" i="4"/>
  <c r="K3085" i="4"/>
  <c r="J3085" i="4"/>
  <c r="I3085" i="4"/>
  <c r="H3085" i="4"/>
  <c r="M3085" i="4" s="1"/>
  <c r="Q3084" i="4"/>
  <c r="P3084" i="4"/>
  <c r="O3084" i="4"/>
  <c r="N3084" i="4"/>
  <c r="L3084" i="4"/>
  <c r="K3084" i="4"/>
  <c r="J3084" i="4"/>
  <c r="I3084" i="4"/>
  <c r="H3084" i="4"/>
  <c r="M3084" i="4" s="1"/>
  <c r="Q3083" i="4"/>
  <c r="P3083" i="4"/>
  <c r="O3083" i="4"/>
  <c r="N3083" i="4"/>
  <c r="M3083" i="4"/>
  <c r="L3083" i="4"/>
  <c r="J3083" i="4"/>
  <c r="I3083" i="4"/>
  <c r="H3083" i="4"/>
  <c r="K3083" i="4" s="1"/>
  <c r="Q3082" i="4"/>
  <c r="P3082" i="4"/>
  <c r="O3082" i="4"/>
  <c r="N3082" i="4"/>
  <c r="M3082" i="4"/>
  <c r="L3082" i="4"/>
  <c r="K3082" i="4"/>
  <c r="I3082" i="4"/>
  <c r="H3082" i="4"/>
  <c r="J3082" i="4" s="1"/>
  <c r="Q3079" i="4"/>
  <c r="P3079" i="4"/>
  <c r="O3079" i="4"/>
  <c r="M3079" i="4"/>
  <c r="L3079" i="4"/>
  <c r="K3079" i="4"/>
  <c r="J3079" i="4"/>
  <c r="I3079" i="4"/>
  <c r="H3079" i="4"/>
  <c r="N3079" i="4" s="1"/>
  <c r="Q3078" i="4"/>
  <c r="P3078" i="4"/>
  <c r="O3078" i="4"/>
  <c r="M3078" i="4"/>
  <c r="L3078" i="4"/>
  <c r="K3078" i="4"/>
  <c r="J3078" i="4"/>
  <c r="I3078" i="4"/>
  <c r="H3078" i="4"/>
  <c r="N3078" i="4" s="1"/>
  <c r="Q3077" i="4"/>
  <c r="P3077" i="4"/>
  <c r="O3077" i="4"/>
  <c r="N3077" i="4"/>
  <c r="L3077" i="4"/>
  <c r="K3077" i="4"/>
  <c r="J3077" i="4"/>
  <c r="I3077" i="4"/>
  <c r="H3077" i="4"/>
  <c r="M3077" i="4" s="1"/>
  <c r="Q3076" i="4"/>
  <c r="P3076" i="4"/>
  <c r="O3076" i="4"/>
  <c r="N3076" i="4"/>
  <c r="M3076" i="4"/>
  <c r="L3076" i="4"/>
  <c r="J3076" i="4"/>
  <c r="I3076" i="4"/>
  <c r="H3076" i="4"/>
  <c r="K3076" i="4" s="1"/>
  <c r="Q3075" i="4"/>
  <c r="P3075" i="4"/>
  <c r="O3075" i="4"/>
  <c r="N3075" i="4"/>
  <c r="M3075" i="4"/>
  <c r="L3075" i="4"/>
  <c r="J3075" i="4"/>
  <c r="I3075" i="4"/>
  <c r="H3075" i="4"/>
  <c r="K3075" i="4" s="1"/>
  <c r="Q3074" i="4"/>
  <c r="P3074" i="4"/>
  <c r="O3074" i="4"/>
  <c r="N3074" i="4"/>
  <c r="M3074" i="4"/>
  <c r="L3074" i="4"/>
  <c r="K3074" i="4"/>
  <c r="I3074" i="4"/>
  <c r="H3074" i="4"/>
  <c r="J3074" i="4" s="1"/>
  <c r="Q3071" i="4"/>
  <c r="P3071" i="4"/>
  <c r="O3071" i="4"/>
  <c r="N3071" i="4"/>
  <c r="L3071" i="4"/>
  <c r="K3071" i="4"/>
  <c r="J3071" i="4"/>
  <c r="I3071" i="4"/>
  <c r="H3071" i="4"/>
  <c r="M3071" i="4" s="1"/>
  <c r="Q3070" i="4"/>
  <c r="P3070" i="4"/>
  <c r="O3070" i="4"/>
  <c r="N3070" i="4"/>
  <c r="L3070" i="4"/>
  <c r="K3070" i="4"/>
  <c r="J3070" i="4"/>
  <c r="I3070" i="4"/>
  <c r="H3070" i="4"/>
  <c r="M3070" i="4" s="1"/>
  <c r="Q3069" i="4"/>
  <c r="P3069" i="4"/>
  <c r="O3069" i="4"/>
  <c r="N3069" i="4"/>
  <c r="L3069" i="4"/>
  <c r="K3069" i="4"/>
  <c r="J3069" i="4"/>
  <c r="I3069" i="4"/>
  <c r="H3069" i="4"/>
  <c r="M3069" i="4" s="1"/>
  <c r="Q3068" i="4"/>
  <c r="P3068" i="4"/>
  <c r="O3068" i="4"/>
  <c r="N3068" i="4"/>
  <c r="M3068" i="4"/>
  <c r="K3068" i="4"/>
  <c r="J3068" i="4"/>
  <c r="I3068" i="4"/>
  <c r="H3068" i="4"/>
  <c r="L3068" i="4" s="1"/>
  <c r="Q3067" i="4"/>
  <c r="P3067" i="4"/>
  <c r="O3067" i="4"/>
  <c r="N3067" i="4"/>
  <c r="M3067" i="4"/>
  <c r="K3067" i="4"/>
  <c r="J3067" i="4"/>
  <c r="I3067" i="4"/>
  <c r="H3067" i="4"/>
  <c r="L3067" i="4" s="1"/>
  <c r="Q3066" i="4"/>
  <c r="P3066" i="4"/>
  <c r="O3066" i="4"/>
  <c r="N3066" i="4"/>
  <c r="M3066" i="4"/>
  <c r="L3066" i="4"/>
  <c r="K3066" i="4"/>
  <c r="I3066" i="4"/>
  <c r="H3066" i="4"/>
  <c r="J3066" i="4" s="1"/>
  <c r="Q3062" i="4"/>
  <c r="P3062" i="4"/>
  <c r="O3062" i="4"/>
  <c r="N3062" i="4"/>
  <c r="M3062" i="4"/>
  <c r="L3062" i="4"/>
  <c r="K3062" i="4"/>
  <c r="J3062" i="4"/>
  <c r="I3062" i="4"/>
  <c r="H3062" i="4"/>
  <c r="Q3061" i="4"/>
  <c r="P3061" i="4"/>
  <c r="O3061" i="4"/>
  <c r="N3061" i="4"/>
  <c r="M3061" i="4"/>
  <c r="L3061" i="4"/>
  <c r="K3061" i="4"/>
  <c r="J3061" i="4"/>
  <c r="I3061" i="4"/>
  <c r="H3061" i="4"/>
  <c r="Q3060" i="4"/>
  <c r="P3060" i="4"/>
  <c r="O3060" i="4"/>
  <c r="N3060" i="4"/>
  <c r="M3060" i="4"/>
  <c r="L3060" i="4"/>
  <c r="K3060" i="4"/>
  <c r="J3060" i="4"/>
  <c r="I3060" i="4"/>
  <c r="H3060" i="4"/>
  <c r="Q3059" i="4"/>
  <c r="P3059" i="4"/>
  <c r="N3059" i="4"/>
  <c r="M3059" i="4"/>
  <c r="L3059" i="4"/>
  <c r="K3059" i="4"/>
  <c r="J3059" i="4"/>
  <c r="I3059" i="4"/>
  <c r="H3059" i="4"/>
  <c r="O3059" i="4" s="1"/>
  <c r="Q3058" i="4"/>
  <c r="P3058" i="4"/>
  <c r="N3058" i="4"/>
  <c r="M3058" i="4"/>
  <c r="L3058" i="4"/>
  <c r="K3058" i="4"/>
  <c r="J3058" i="4"/>
  <c r="I3058" i="4"/>
  <c r="H3058" i="4"/>
  <c r="O3058" i="4" s="1"/>
  <c r="Q3057" i="4"/>
  <c r="P3057" i="4"/>
  <c r="N3057" i="4"/>
  <c r="M3057" i="4"/>
  <c r="L3057" i="4"/>
  <c r="K3057" i="4"/>
  <c r="J3057" i="4"/>
  <c r="I3057" i="4"/>
  <c r="H3057" i="4"/>
  <c r="O3057" i="4" s="1"/>
  <c r="Q3056" i="4"/>
  <c r="P3056" i="4"/>
  <c r="O3056" i="4"/>
  <c r="M3056" i="4"/>
  <c r="L3056" i="4"/>
  <c r="K3056" i="4"/>
  <c r="J3056" i="4"/>
  <c r="I3056" i="4"/>
  <c r="H3056" i="4"/>
  <c r="N3056" i="4" s="1"/>
  <c r="Q3055" i="4"/>
  <c r="P3055" i="4"/>
  <c r="O3055" i="4"/>
  <c r="M3055" i="4"/>
  <c r="L3055" i="4"/>
  <c r="K3055" i="4"/>
  <c r="J3055" i="4"/>
  <c r="I3055" i="4"/>
  <c r="H3055" i="4"/>
  <c r="N3055" i="4" s="1"/>
  <c r="Q3054" i="4"/>
  <c r="P3054" i="4"/>
  <c r="O3054" i="4"/>
  <c r="M3054" i="4"/>
  <c r="L3054" i="4"/>
  <c r="K3054" i="4"/>
  <c r="J3054" i="4"/>
  <c r="I3054" i="4"/>
  <c r="H3054" i="4"/>
  <c r="N3054" i="4" s="1"/>
  <c r="Q3053" i="4"/>
  <c r="P3053" i="4"/>
  <c r="O3053" i="4"/>
  <c r="M3053" i="4"/>
  <c r="L3053" i="4"/>
  <c r="K3053" i="4"/>
  <c r="J3053" i="4"/>
  <c r="I3053" i="4"/>
  <c r="H3053" i="4"/>
  <c r="N3053" i="4" s="1"/>
  <c r="Q3052" i="4"/>
  <c r="P3052" i="4"/>
  <c r="O3052" i="4"/>
  <c r="M3052" i="4"/>
  <c r="L3052" i="4"/>
  <c r="K3052" i="4"/>
  <c r="J3052" i="4"/>
  <c r="I3052" i="4"/>
  <c r="H3052" i="4"/>
  <c r="N3052" i="4" s="1"/>
  <c r="Q3051" i="4"/>
  <c r="P3051" i="4"/>
  <c r="O3051" i="4"/>
  <c r="N3051" i="4"/>
  <c r="M3051" i="4"/>
  <c r="L3051" i="4"/>
  <c r="K3051" i="4"/>
  <c r="I3051" i="4"/>
  <c r="H3051" i="4"/>
  <c r="J3051" i="4" s="1"/>
  <c r="Q3048" i="4"/>
  <c r="P3048" i="4"/>
  <c r="O3048" i="4"/>
  <c r="M3048" i="4"/>
  <c r="L3048" i="4"/>
  <c r="K3048" i="4"/>
  <c r="J3048" i="4"/>
  <c r="I3048" i="4"/>
  <c r="H3048" i="4"/>
  <c r="N3048" i="4" s="1"/>
  <c r="Q3047" i="4"/>
  <c r="P3047" i="4"/>
  <c r="O3047" i="4"/>
  <c r="M3047" i="4"/>
  <c r="L3047" i="4"/>
  <c r="K3047" i="4"/>
  <c r="J3047" i="4"/>
  <c r="I3047" i="4"/>
  <c r="H3047" i="4"/>
  <c r="N3047" i="4" s="1"/>
  <c r="Q3046" i="4"/>
  <c r="P3046" i="4"/>
  <c r="O3046" i="4"/>
  <c r="M3046" i="4"/>
  <c r="L3046" i="4"/>
  <c r="K3046" i="4"/>
  <c r="J3046" i="4"/>
  <c r="I3046" i="4"/>
  <c r="H3046" i="4"/>
  <c r="N3046" i="4" s="1"/>
  <c r="Q3045" i="4"/>
  <c r="P3045" i="4"/>
  <c r="O3045" i="4"/>
  <c r="N3045" i="4"/>
  <c r="L3045" i="4"/>
  <c r="K3045" i="4"/>
  <c r="J3045" i="4"/>
  <c r="I3045" i="4"/>
  <c r="H3045" i="4"/>
  <c r="M3045" i="4" s="1"/>
  <c r="Q3044" i="4"/>
  <c r="P3044" i="4"/>
  <c r="O3044" i="4"/>
  <c r="N3044" i="4"/>
  <c r="L3044" i="4"/>
  <c r="K3044" i="4"/>
  <c r="J3044" i="4"/>
  <c r="I3044" i="4"/>
  <c r="H3044" i="4"/>
  <c r="M3044" i="4" s="1"/>
  <c r="Q3043" i="4"/>
  <c r="P3043" i="4"/>
  <c r="O3043" i="4"/>
  <c r="N3043" i="4"/>
  <c r="L3043" i="4"/>
  <c r="K3043" i="4"/>
  <c r="J3043" i="4"/>
  <c r="I3043" i="4"/>
  <c r="H3043" i="4"/>
  <c r="M3043" i="4" s="1"/>
  <c r="Q3042" i="4"/>
  <c r="P3042" i="4"/>
  <c r="O3042" i="4"/>
  <c r="N3042" i="4"/>
  <c r="M3042" i="4"/>
  <c r="L3042" i="4"/>
  <c r="K3042" i="4"/>
  <c r="I3042" i="4"/>
  <c r="H3042" i="4"/>
  <c r="J3042" i="4" s="1"/>
  <c r="Q3039" i="4"/>
  <c r="P3039" i="4"/>
  <c r="O3039" i="4"/>
  <c r="M3039" i="4"/>
  <c r="L3039" i="4"/>
  <c r="K3039" i="4"/>
  <c r="J3039" i="4"/>
  <c r="I3039" i="4"/>
  <c r="H3039" i="4"/>
  <c r="N3039" i="4" s="1"/>
  <c r="Q3038" i="4"/>
  <c r="P3038" i="4"/>
  <c r="O3038" i="4"/>
  <c r="N3038" i="4"/>
  <c r="L3038" i="4"/>
  <c r="K3038" i="4"/>
  <c r="J3038" i="4"/>
  <c r="I3038" i="4"/>
  <c r="H3038" i="4"/>
  <c r="M3038" i="4" s="1"/>
  <c r="Q3037" i="4"/>
  <c r="P3037" i="4"/>
  <c r="O3037" i="4"/>
  <c r="N3037" i="4"/>
  <c r="L3037" i="4"/>
  <c r="K3037" i="4"/>
  <c r="J3037" i="4"/>
  <c r="I3037" i="4"/>
  <c r="H3037" i="4"/>
  <c r="M3037" i="4" s="1"/>
  <c r="Q3036" i="4"/>
  <c r="P3036" i="4"/>
  <c r="O3036" i="4"/>
  <c r="N3036" i="4"/>
  <c r="M3036" i="4"/>
  <c r="L3036" i="4"/>
  <c r="K3036" i="4"/>
  <c r="I3036" i="4"/>
  <c r="H3036" i="4"/>
  <c r="J3036" i="4" s="1"/>
  <c r="Q3033" i="4"/>
  <c r="P3033" i="4"/>
  <c r="O3033" i="4"/>
  <c r="N3033" i="4"/>
  <c r="M3033" i="4"/>
  <c r="L3033" i="4"/>
  <c r="K3033" i="4"/>
  <c r="J3033" i="4"/>
  <c r="I3033" i="4"/>
  <c r="H3033" i="4"/>
  <c r="Q3032" i="4"/>
  <c r="P3032" i="4"/>
  <c r="O3032" i="4"/>
  <c r="N3032" i="4"/>
  <c r="M3032" i="4"/>
  <c r="L3032" i="4"/>
  <c r="K3032" i="4"/>
  <c r="J3032" i="4"/>
  <c r="I3032" i="4"/>
  <c r="H3032" i="4"/>
  <c r="Q3031" i="4"/>
  <c r="P3031" i="4"/>
  <c r="O3031" i="4"/>
  <c r="M3031" i="4"/>
  <c r="L3031" i="4"/>
  <c r="K3031" i="4"/>
  <c r="J3031" i="4"/>
  <c r="I3031" i="4"/>
  <c r="H3031" i="4"/>
  <c r="N3031" i="4" s="1"/>
  <c r="Q3030" i="4"/>
  <c r="P3030" i="4"/>
  <c r="O3030" i="4"/>
  <c r="M3030" i="4"/>
  <c r="L3030" i="4"/>
  <c r="K3030" i="4"/>
  <c r="J3030" i="4"/>
  <c r="I3030" i="4"/>
  <c r="H3030" i="4"/>
  <c r="N3030" i="4" s="1"/>
  <c r="Q3029" i="4"/>
  <c r="P3029" i="4"/>
  <c r="O3029" i="4"/>
  <c r="M3029" i="4"/>
  <c r="L3029" i="4"/>
  <c r="K3029" i="4"/>
  <c r="J3029" i="4"/>
  <c r="I3029" i="4"/>
  <c r="H3029" i="4"/>
  <c r="N3029" i="4" s="1"/>
  <c r="Q3028" i="4"/>
  <c r="P3028" i="4"/>
  <c r="O3028" i="4"/>
  <c r="N3028" i="4"/>
  <c r="L3028" i="4"/>
  <c r="K3028" i="4"/>
  <c r="J3028" i="4"/>
  <c r="I3028" i="4"/>
  <c r="H3028" i="4"/>
  <c r="M3028" i="4" s="1"/>
  <c r="Q3027" i="4"/>
  <c r="P3027" i="4"/>
  <c r="O3027" i="4"/>
  <c r="N3027" i="4"/>
  <c r="L3027" i="4"/>
  <c r="K3027" i="4"/>
  <c r="J3027" i="4"/>
  <c r="I3027" i="4"/>
  <c r="H3027" i="4"/>
  <c r="M3027" i="4" s="1"/>
  <c r="Q3026" i="4"/>
  <c r="P3026" i="4"/>
  <c r="O3026" i="4"/>
  <c r="N3026" i="4"/>
  <c r="L3026" i="4"/>
  <c r="K3026" i="4"/>
  <c r="J3026" i="4"/>
  <c r="I3026" i="4"/>
  <c r="H3026" i="4"/>
  <c r="M3026" i="4" s="1"/>
  <c r="Q3025" i="4"/>
  <c r="P3025" i="4"/>
  <c r="O3025" i="4"/>
  <c r="N3025" i="4"/>
  <c r="L3025" i="4"/>
  <c r="K3025" i="4"/>
  <c r="J3025" i="4"/>
  <c r="I3025" i="4"/>
  <c r="H3025" i="4"/>
  <c r="M3025" i="4" s="1"/>
  <c r="Q3024" i="4"/>
  <c r="P3024" i="4"/>
  <c r="O3024" i="4"/>
  <c r="N3024" i="4"/>
  <c r="L3024" i="4"/>
  <c r="K3024" i="4"/>
  <c r="J3024" i="4"/>
  <c r="I3024" i="4"/>
  <c r="H3024" i="4"/>
  <c r="M3024" i="4" s="1"/>
  <c r="Q3023" i="4"/>
  <c r="P3023" i="4"/>
  <c r="O3023" i="4"/>
  <c r="N3023" i="4"/>
  <c r="L3023" i="4"/>
  <c r="K3023" i="4"/>
  <c r="J3023" i="4"/>
  <c r="I3023" i="4"/>
  <c r="H3023" i="4"/>
  <c r="M3023" i="4" s="1"/>
  <c r="Q3022" i="4"/>
  <c r="P3022" i="4"/>
  <c r="O3022" i="4"/>
  <c r="N3022" i="4"/>
  <c r="M3022" i="4"/>
  <c r="L3022" i="4"/>
  <c r="K3022" i="4"/>
  <c r="I3022" i="4"/>
  <c r="H3022" i="4"/>
  <c r="J3022" i="4" s="1"/>
  <c r="Q3019" i="4"/>
  <c r="P3019" i="4"/>
  <c r="O3019" i="4"/>
  <c r="N3019" i="4"/>
  <c r="L3019" i="4"/>
  <c r="K3019" i="4"/>
  <c r="J3019" i="4"/>
  <c r="I3019" i="4"/>
  <c r="Q3018" i="4"/>
  <c r="P3018" i="4"/>
  <c r="O3018" i="4"/>
  <c r="N3018" i="4"/>
  <c r="M3018" i="4"/>
  <c r="K3018" i="4"/>
  <c r="J3018" i="4"/>
  <c r="I3018" i="4"/>
  <c r="Q3017" i="4"/>
  <c r="P3017" i="4"/>
  <c r="O3017" i="4"/>
  <c r="N3017" i="4"/>
  <c r="M3017" i="4"/>
  <c r="K3017" i="4"/>
  <c r="J3017" i="4"/>
  <c r="I3017" i="4"/>
  <c r="Q3016" i="4"/>
  <c r="P3016" i="4"/>
  <c r="O3016" i="4"/>
  <c r="N3016" i="4"/>
  <c r="M3016" i="4"/>
  <c r="L3016" i="4"/>
  <c r="K3016" i="4"/>
  <c r="I3016" i="4"/>
  <c r="Q3013" i="4"/>
  <c r="P3013" i="4"/>
  <c r="O3013" i="4"/>
  <c r="M3013" i="4"/>
  <c r="L3013" i="4"/>
  <c r="K3013" i="4"/>
  <c r="J3013" i="4"/>
  <c r="I3013" i="4"/>
  <c r="H3013" i="4"/>
  <c r="N3013" i="4" s="1"/>
  <c r="Q3012" i="4"/>
  <c r="P3012" i="4"/>
  <c r="O3012" i="4"/>
  <c r="M3012" i="4"/>
  <c r="L3012" i="4"/>
  <c r="K3012" i="4"/>
  <c r="J3012" i="4"/>
  <c r="I3012" i="4"/>
  <c r="H3012" i="4"/>
  <c r="N3012" i="4" s="1"/>
  <c r="Q3011" i="4"/>
  <c r="P3011" i="4"/>
  <c r="O3011" i="4"/>
  <c r="M3011" i="4"/>
  <c r="L3011" i="4"/>
  <c r="K3011" i="4"/>
  <c r="J3011" i="4"/>
  <c r="I3011" i="4"/>
  <c r="H3011" i="4"/>
  <c r="N3011" i="4" s="1"/>
  <c r="Q3010" i="4"/>
  <c r="P3010" i="4"/>
  <c r="O3010" i="4"/>
  <c r="N3010" i="4"/>
  <c r="L3010" i="4"/>
  <c r="K3010" i="4"/>
  <c r="J3010" i="4"/>
  <c r="I3010" i="4"/>
  <c r="H3010" i="4"/>
  <c r="M3010" i="4" s="1"/>
  <c r="Q3009" i="4"/>
  <c r="P3009" i="4"/>
  <c r="O3009" i="4"/>
  <c r="N3009" i="4"/>
  <c r="L3009" i="4"/>
  <c r="K3009" i="4"/>
  <c r="J3009" i="4"/>
  <c r="I3009" i="4"/>
  <c r="H3009" i="4"/>
  <c r="M3009" i="4" s="1"/>
  <c r="Q3008" i="4"/>
  <c r="P3008" i="4"/>
  <c r="O3008" i="4"/>
  <c r="N3008" i="4"/>
  <c r="L3008" i="4"/>
  <c r="K3008" i="4"/>
  <c r="J3008" i="4"/>
  <c r="I3008" i="4"/>
  <c r="H3008" i="4"/>
  <c r="M3008" i="4" s="1"/>
  <c r="Q3007" i="4"/>
  <c r="P3007" i="4"/>
  <c r="O3007" i="4"/>
  <c r="N3007" i="4"/>
  <c r="M3007" i="4"/>
  <c r="L3007" i="4"/>
  <c r="K3007" i="4"/>
  <c r="I3007" i="4"/>
  <c r="H3007" i="4"/>
  <c r="J3007" i="4" s="1"/>
  <c r="Q3004" i="4"/>
  <c r="P3004" i="4"/>
  <c r="O3004" i="4"/>
  <c r="M3004" i="4"/>
  <c r="L3004" i="4"/>
  <c r="K3004" i="4"/>
  <c r="J3004" i="4"/>
  <c r="I3004" i="4"/>
  <c r="H3004" i="4"/>
  <c r="N3004" i="4" s="1"/>
  <c r="Q3003" i="4"/>
  <c r="P3003" i="4"/>
  <c r="O3003" i="4"/>
  <c r="M3003" i="4"/>
  <c r="L3003" i="4"/>
  <c r="K3003" i="4"/>
  <c r="J3003" i="4"/>
  <c r="I3003" i="4"/>
  <c r="H3003" i="4"/>
  <c r="N3003" i="4" s="1"/>
  <c r="Q3002" i="4"/>
  <c r="P3002" i="4"/>
  <c r="O3002" i="4"/>
  <c r="N3002" i="4"/>
  <c r="L3002" i="4"/>
  <c r="K3002" i="4"/>
  <c r="J3002" i="4"/>
  <c r="I3002" i="4"/>
  <c r="H3002" i="4"/>
  <c r="M3002" i="4" s="1"/>
  <c r="Q3001" i="4"/>
  <c r="P3001" i="4"/>
  <c r="O3001" i="4"/>
  <c r="N3001" i="4"/>
  <c r="L3001" i="4"/>
  <c r="K3001" i="4"/>
  <c r="J3001" i="4"/>
  <c r="I3001" i="4"/>
  <c r="H3001" i="4"/>
  <c r="M3001" i="4" s="1"/>
  <c r="Q3000" i="4"/>
  <c r="P3000" i="4"/>
  <c r="O3000" i="4"/>
  <c r="N3000" i="4"/>
  <c r="M3000" i="4"/>
  <c r="L3000" i="4"/>
  <c r="K3000" i="4"/>
  <c r="I3000" i="4"/>
  <c r="H3000" i="4"/>
  <c r="J3000" i="4" s="1"/>
  <c r="Q2997" i="4"/>
  <c r="P2997" i="4"/>
  <c r="O2997" i="4"/>
  <c r="M2997" i="4"/>
  <c r="L2997" i="4"/>
  <c r="K2997" i="4"/>
  <c r="J2997" i="4"/>
  <c r="I2997" i="4"/>
  <c r="Q2996" i="4"/>
  <c r="P2996" i="4"/>
  <c r="O2996" i="4"/>
  <c r="M2996" i="4"/>
  <c r="L2996" i="4"/>
  <c r="K2996" i="4"/>
  <c r="J2996" i="4"/>
  <c r="I2996" i="4"/>
  <c r="H2996" i="4"/>
  <c r="N2996" i="4" s="1"/>
  <c r="Q2995" i="4"/>
  <c r="P2995" i="4"/>
  <c r="O2995" i="4"/>
  <c r="M2995" i="4"/>
  <c r="L2995" i="4"/>
  <c r="K2995" i="4"/>
  <c r="J2995" i="4"/>
  <c r="I2995" i="4"/>
  <c r="Q2994" i="4"/>
  <c r="P2994" i="4"/>
  <c r="O2994" i="4"/>
  <c r="M2994" i="4"/>
  <c r="L2994" i="4"/>
  <c r="K2994" i="4"/>
  <c r="J2994" i="4"/>
  <c r="I2994" i="4"/>
  <c r="Q2993" i="4"/>
  <c r="P2993" i="4"/>
  <c r="O2993" i="4"/>
  <c r="M2993" i="4"/>
  <c r="L2993" i="4"/>
  <c r="K2993" i="4"/>
  <c r="J2993" i="4"/>
  <c r="I2993" i="4"/>
  <c r="H2993" i="4"/>
  <c r="N2993" i="4" s="1"/>
  <c r="Q2992" i="4"/>
  <c r="P2992" i="4"/>
  <c r="O2992" i="4"/>
  <c r="N2992" i="4"/>
  <c r="M2992" i="4"/>
  <c r="L2992" i="4"/>
  <c r="K2992" i="4"/>
  <c r="I2992" i="4"/>
  <c r="Q2989" i="4"/>
  <c r="P2989" i="4"/>
  <c r="O2989" i="4"/>
  <c r="N2989" i="4"/>
  <c r="L2989" i="4"/>
  <c r="K2989" i="4"/>
  <c r="J2989" i="4"/>
  <c r="I2989" i="4"/>
  <c r="Q2988" i="4"/>
  <c r="P2988" i="4"/>
  <c r="O2988" i="4"/>
  <c r="N2988" i="4"/>
  <c r="M2988" i="4"/>
  <c r="K2988" i="4"/>
  <c r="J2988" i="4"/>
  <c r="I2988" i="4"/>
  <c r="Q2987" i="4"/>
  <c r="P2987" i="4"/>
  <c r="O2987" i="4"/>
  <c r="N2987" i="4"/>
  <c r="M2987" i="4"/>
  <c r="K2987" i="4"/>
  <c r="J2987" i="4"/>
  <c r="I2987" i="4"/>
  <c r="Q2986" i="4"/>
  <c r="P2986" i="4"/>
  <c r="O2986" i="4"/>
  <c r="N2986" i="4"/>
  <c r="M2986" i="4"/>
  <c r="L2986" i="4"/>
  <c r="K2986" i="4"/>
  <c r="I2986" i="4"/>
  <c r="Q2983" i="4"/>
  <c r="P2983" i="4"/>
  <c r="O2983" i="4"/>
  <c r="N2983" i="4"/>
  <c r="L2983" i="4"/>
  <c r="K2983" i="4"/>
  <c r="J2983" i="4"/>
  <c r="I2983" i="4"/>
  <c r="H2983" i="4"/>
  <c r="M2983" i="4" s="1"/>
  <c r="Q2982" i="4"/>
  <c r="P2982" i="4"/>
  <c r="O2982" i="4"/>
  <c r="N2982" i="4"/>
  <c r="M2982" i="4"/>
  <c r="K2982" i="4"/>
  <c r="J2982" i="4"/>
  <c r="I2982" i="4"/>
  <c r="Q2981" i="4"/>
  <c r="P2981" i="4"/>
  <c r="O2981" i="4"/>
  <c r="N2981" i="4"/>
  <c r="M2981" i="4"/>
  <c r="L2981" i="4"/>
  <c r="J2981" i="4"/>
  <c r="I2981" i="4"/>
  <c r="Q2980" i="4"/>
  <c r="P2980" i="4"/>
  <c r="O2980" i="4"/>
  <c r="N2980" i="4"/>
  <c r="M2980" i="4"/>
  <c r="L2980" i="4"/>
  <c r="K2980" i="4"/>
  <c r="I2980" i="4"/>
  <c r="Q2977" i="4"/>
  <c r="P2977" i="4"/>
  <c r="O2977" i="4"/>
  <c r="M2977" i="4"/>
  <c r="L2977" i="4"/>
  <c r="K2977" i="4"/>
  <c r="J2977" i="4"/>
  <c r="I2977" i="4"/>
  <c r="H2977" i="4"/>
  <c r="N2977" i="4" s="1"/>
  <c r="Q2976" i="4"/>
  <c r="P2976" i="4"/>
  <c r="O2976" i="4"/>
  <c r="M2976" i="4"/>
  <c r="L2976" i="4"/>
  <c r="K2976" i="4"/>
  <c r="J2976" i="4"/>
  <c r="I2976" i="4"/>
  <c r="H2976" i="4"/>
  <c r="N2976" i="4" s="1"/>
  <c r="Q2975" i="4"/>
  <c r="P2975" i="4"/>
  <c r="O2975" i="4"/>
  <c r="M2975" i="4"/>
  <c r="L2975" i="4"/>
  <c r="K2975" i="4"/>
  <c r="J2975" i="4"/>
  <c r="I2975" i="4"/>
  <c r="H2975" i="4"/>
  <c r="N2975" i="4" s="1"/>
  <c r="Q2974" i="4"/>
  <c r="P2974" i="4"/>
  <c r="O2974" i="4"/>
  <c r="N2974" i="4"/>
  <c r="L2974" i="4"/>
  <c r="K2974" i="4"/>
  <c r="J2974" i="4"/>
  <c r="I2974" i="4"/>
  <c r="H2974" i="4"/>
  <c r="M2974" i="4" s="1"/>
  <c r="Q2973" i="4"/>
  <c r="P2973" i="4"/>
  <c r="O2973" i="4"/>
  <c r="N2973" i="4"/>
  <c r="L2973" i="4"/>
  <c r="K2973" i="4"/>
  <c r="J2973" i="4"/>
  <c r="I2973" i="4"/>
  <c r="H2973" i="4"/>
  <c r="M2973" i="4" s="1"/>
  <c r="Q2972" i="4"/>
  <c r="P2972" i="4"/>
  <c r="O2972" i="4"/>
  <c r="N2972" i="4"/>
  <c r="L2972" i="4"/>
  <c r="K2972" i="4"/>
  <c r="J2972" i="4"/>
  <c r="I2972" i="4"/>
  <c r="H2972" i="4"/>
  <c r="M2972" i="4" s="1"/>
  <c r="Q2971" i="4"/>
  <c r="P2971" i="4"/>
  <c r="O2971" i="4"/>
  <c r="N2971" i="4"/>
  <c r="L2971" i="4"/>
  <c r="K2971" i="4"/>
  <c r="J2971" i="4"/>
  <c r="I2971" i="4"/>
  <c r="H2971" i="4"/>
  <c r="M2971" i="4" s="1"/>
  <c r="Q2970" i="4"/>
  <c r="P2970" i="4"/>
  <c r="O2970" i="4"/>
  <c r="N2970" i="4"/>
  <c r="L2970" i="4"/>
  <c r="K2970" i="4"/>
  <c r="J2970" i="4"/>
  <c r="I2970" i="4"/>
  <c r="H2970" i="4"/>
  <c r="M2970" i="4" s="1"/>
  <c r="Q2969" i="4"/>
  <c r="P2969" i="4"/>
  <c r="O2969" i="4"/>
  <c r="N2969" i="4"/>
  <c r="M2969" i="4"/>
  <c r="L2969" i="4"/>
  <c r="K2969" i="4"/>
  <c r="I2969" i="4"/>
  <c r="H2969" i="4"/>
  <c r="J2969" i="4" s="1"/>
  <c r="Q2966" i="4"/>
  <c r="P2966" i="4"/>
  <c r="O2966" i="4"/>
  <c r="N2966" i="4"/>
  <c r="L2966" i="4"/>
  <c r="K2966" i="4"/>
  <c r="J2966" i="4"/>
  <c r="I2966" i="4"/>
  <c r="H2966" i="4"/>
  <c r="M2966" i="4" s="1"/>
  <c r="Q2965" i="4"/>
  <c r="P2965" i="4"/>
  <c r="O2965" i="4"/>
  <c r="N2965" i="4"/>
  <c r="L2965" i="4"/>
  <c r="K2965" i="4"/>
  <c r="J2965" i="4"/>
  <c r="I2965" i="4"/>
  <c r="H2965" i="4"/>
  <c r="M2965" i="4" s="1"/>
  <c r="Q2964" i="4"/>
  <c r="P2964" i="4"/>
  <c r="O2964" i="4"/>
  <c r="N2964" i="4"/>
  <c r="M2964" i="4"/>
  <c r="K2964" i="4"/>
  <c r="J2964" i="4"/>
  <c r="I2964" i="4"/>
  <c r="H2964" i="4"/>
  <c r="L2964" i="4" s="1"/>
  <c r="Q2963" i="4"/>
  <c r="P2963" i="4"/>
  <c r="O2963" i="4"/>
  <c r="N2963" i="4"/>
  <c r="M2963" i="4"/>
  <c r="L2963" i="4"/>
  <c r="K2963" i="4"/>
  <c r="I2963" i="4"/>
  <c r="H2963" i="4"/>
  <c r="J2963" i="4" s="1"/>
  <c r="Q2960" i="4"/>
  <c r="P2960" i="4"/>
  <c r="O2960" i="4"/>
  <c r="N2960" i="4"/>
  <c r="L2960" i="4"/>
  <c r="K2960" i="4"/>
  <c r="J2960" i="4"/>
  <c r="I2960" i="4"/>
  <c r="H2960" i="4"/>
  <c r="M2960" i="4" s="1"/>
  <c r="Q2959" i="4"/>
  <c r="P2959" i="4"/>
  <c r="O2959" i="4"/>
  <c r="N2959" i="4"/>
  <c r="L2959" i="4"/>
  <c r="K2959" i="4"/>
  <c r="J2959" i="4"/>
  <c r="I2959" i="4"/>
  <c r="H2959" i="4"/>
  <c r="M2959" i="4" s="1"/>
  <c r="Q2958" i="4"/>
  <c r="P2958" i="4"/>
  <c r="O2958" i="4"/>
  <c r="N2958" i="4"/>
  <c r="L2958" i="4"/>
  <c r="K2958" i="4"/>
  <c r="J2958" i="4"/>
  <c r="I2958" i="4"/>
  <c r="H2958" i="4"/>
  <c r="M2958" i="4" s="1"/>
  <c r="Q2957" i="4"/>
  <c r="P2957" i="4"/>
  <c r="O2957" i="4"/>
  <c r="N2957" i="4"/>
  <c r="L2957" i="4"/>
  <c r="K2957" i="4"/>
  <c r="J2957" i="4"/>
  <c r="I2957" i="4"/>
  <c r="H2957" i="4"/>
  <c r="M2957" i="4" s="1"/>
  <c r="Q2956" i="4"/>
  <c r="P2956" i="4"/>
  <c r="O2956" i="4"/>
  <c r="N2956" i="4"/>
  <c r="M2956" i="4"/>
  <c r="K2956" i="4"/>
  <c r="J2956" i="4"/>
  <c r="I2956" i="4"/>
  <c r="H2956" i="4"/>
  <c r="L2956" i="4" s="1"/>
  <c r="Q2955" i="4"/>
  <c r="P2955" i="4"/>
  <c r="O2955" i="4"/>
  <c r="N2955" i="4"/>
  <c r="M2955" i="4"/>
  <c r="L2955" i="4"/>
  <c r="K2955" i="4"/>
  <c r="I2955" i="4"/>
  <c r="H2955" i="4"/>
  <c r="J2955" i="4" s="1"/>
  <c r="Q2952" i="4"/>
  <c r="P2952" i="4"/>
  <c r="O2952" i="4"/>
  <c r="N2952" i="4"/>
  <c r="L2952" i="4"/>
  <c r="K2952" i="4"/>
  <c r="J2952" i="4"/>
  <c r="I2952" i="4"/>
  <c r="Q2951" i="4"/>
  <c r="P2951" i="4"/>
  <c r="O2951" i="4"/>
  <c r="N2951" i="4"/>
  <c r="L2951" i="4"/>
  <c r="K2951" i="4"/>
  <c r="J2951" i="4"/>
  <c r="I2951" i="4"/>
  <c r="H2951" i="4"/>
  <c r="M2951" i="4" s="1"/>
  <c r="Q2950" i="4"/>
  <c r="P2950" i="4"/>
  <c r="O2950" i="4"/>
  <c r="N2950" i="4"/>
  <c r="M2950" i="4"/>
  <c r="K2950" i="4"/>
  <c r="J2950" i="4"/>
  <c r="I2950" i="4"/>
  <c r="Q2949" i="4"/>
  <c r="P2949" i="4"/>
  <c r="O2949" i="4"/>
  <c r="N2949" i="4"/>
  <c r="M2949" i="4"/>
  <c r="L2949" i="4"/>
  <c r="K2949" i="4"/>
  <c r="I2949" i="4"/>
  <c r="Q2946" i="4"/>
  <c r="P2946" i="4"/>
  <c r="O2946" i="4"/>
  <c r="N2946" i="4"/>
  <c r="L2946" i="4"/>
  <c r="K2946" i="4"/>
  <c r="J2946" i="4"/>
  <c r="I2946" i="4"/>
  <c r="H2946" i="4"/>
  <c r="M2946" i="4" s="1"/>
  <c r="Q2945" i="4"/>
  <c r="P2945" i="4"/>
  <c r="O2945" i="4"/>
  <c r="N2945" i="4"/>
  <c r="L2945" i="4"/>
  <c r="K2945" i="4"/>
  <c r="J2945" i="4"/>
  <c r="I2945" i="4"/>
  <c r="H2945" i="4"/>
  <c r="M2945" i="4" s="1"/>
  <c r="Q2944" i="4"/>
  <c r="P2944" i="4"/>
  <c r="O2944" i="4"/>
  <c r="N2944" i="4"/>
  <c r="L2944" i="4"/>
  <c r="K2944" i="4"/>
  <c r="J2944" i="4"/>
  <c r="I2944" i="4"/>
  <c r="H2944" i="4"/>
  <c r="M2944" i="4" s="1"/>
  <c r="Q2943" i="4"/>
  <c r="P2943" i="4"/>
  <c r="O2943" i="4"/>
  <c r="N2943" i="4"/>
  <c r="L2943" i="4"/>
  <c r="K2943" i="4"/>
  <c r="J2943" i="4"/>
  <c r="I2943" i="4"/>
  <c r="H2943" i="4"/>
  <c r="M2943" i="4" s="1"/>
  <c r="Q2942" i="4"/>
  <c r="P2942" i="4"/>
  <c r="O2942" i="4"/>
  <c r="N2942" i="4"/>
  <c r="M2942" i="4"/>
  <c r="K2942" i="4"/>
  <c r="J2942" i="4"/>
  <c r="I2942" i="4"/>
  <c r="H2942" i="4"/>
  <c r="L2942" i="4" s="1"/>
  <c r="Q2941" i="4"/>
  <c r="P2941" i="4"/>
  <c r="O2941" i="4"/>
  <c r="N2941" i="4"/>
  <c r="M2941" i="4"/>
  <c r="L2941" i="4"/>
  <c r="K2941" i="4"/>
  <c r="I2941" i="4"/>
  <c r="H2941" i="4"/>
  <c r="J2941" i="4" s="1"/>
  <c r="Q2938" i="4"/>
  <c r="P2938" i="4"/>
  <c r="O2938" i="4"/>
  <c r="N2938" i="4"/>
  <c r="L2938" i="4"/>
  <c r="K2938" i="4"/>
  <c r="J2938" i="4"/>
  <c r="I2938" i="4"/>
  <c r="H2938" i="4"/>
  <c r="M2938" i="4" s="1"/>
  <c r="Q2937" i="4"/>
  <c r="P2937" i="4"/>
  <c r="O2937" i="4"/>
  <c r="N2937" i="4"/>
  <c r="L2937" i="4"/>
  <c r="K2937" i="4"/>
  <c r="J2937" i="4"/>
  <c r="I2937" i="4"/>
  <c r="H2937" i="4"/>
  <c r="M2937" i="4" s="1"/>
  <c r="Q2936" i="4"/>
  <c r="P2936" i="4"/>
  <c r="O2936" i="4"/>
  <c r="N2936" i="4"/>
  <c r="M2936" i="4"/>
  <c r="K2936" i="4"/>
  <c r="J2936" i="4"/>
  <c r="I2936" i="4"/>
  <c r="H2936" i="4"/>
  <c r="L2936" i="4" s="1"/>
  <c r="Q2935" i="4"/>
  <c r="P2935" i="4"/>
  <c r="O2935" i="4"/>
  <c r="N2935" i="4"/>
  <c r="M2935" i="4"/>
  <c r="L2935" i="4"/>
  <c r="K2935" i="4"/>
  <c r="I2935" i="4"/>
  <c r="H2935" i="4"/>
  <c r="J2935" i="4" s="1"/>
  <c r="Q2932" i="4"/>
  <c r="P2932" i="4"/>
  <c r="O2932" i="4"/>
  <c r="N2932" i="4"/>
  <c r="L2932" i="4"/>
  <c r="K2932" i="4"/>
  <c r="J2932" i="4"/>
  <c r="I2932" i="4"/>
  <c r="H2932" i="4"/>
  <c r="M2932" i="4" s="1"/>
  <c r="Q2931" i="4"/>
  <c r="P2931" i="4"/>
  <c r="O2931" i="4"/>
  <c r="N2931" i="4"/>
  <c r="M2931" i="4"/>
  <c r="K2931" i="4"/>
  <c r="J2931" i="4"/>
  <c r="I2931" i="4"/>
  <c r="H2931" i="4"/>
  <c r="L2931" i="4" s="1"/>
  <c r="Q2930" i="4"/>
  <c r="P2930" i="4"/>
  <c r="O2930" i="4"/>
  <c r="N2930" i="4"/>
  <c r="M2930" i="4"/>
  <c r="K2930" i="4"/>
  <c r="J2930" i="4"/>
  <c r="I2930" i="4"/>
  <c r="H2930" i="4"/>
  <c r="L2930" i="4" s="1"/>
  <c r="Q2929" i="4"/>
  <c r="P2929" i="4"/>
  <c r="O2929" i="4"/>
  <c r="N2929" i="4"/>
  <c r="M2929" i="4"/>
  <c r="K2929" i="4"/>
  <c r="J2929" i="4"/>
  <c r="I2929" i="4"/>
  <c r="H2929" i="4"/>
  <c r="L2929" i="4" s="1"/>
  <c r="Q2928" i="4"/>
  <c r="P2928" i="4"/>
  <c r="O2928" i="4"/>
  <c r="N2928" i="4"/>
  <c r="M2928" i="4"/>
  <c r="L2928" i="4"/>
  <c r="K2928" i="4"/>
  <c r="I2928" i="4"/>
  <c r="H2928" i="4"/>
  <c r="J2928" i="4" s="1"/>
  <c r="Q2925" i="4"/>
  <c r="P2925" i="4"/>
  <c r="O2925" i="4"/>
  <c r="N2925" i="4"/>
  <c r="L2925" i="4"/>
  <c r="K2925" i="4"/>
  <c r="J2925" i="4"/>
  <c r="I2925" i="4"/>
  <c r="H2925" i="4"/>
  <c r="M2925" i="4" s="1"/>
  <c r="Q2924" i="4"/>
  <c r="P2924" i="4"/>
  <c r="O2924" i="4"/>
  <c r="N2924" i="4"/>
  <c r="L2924" i="4"/>
  <c r="K2924" i="4"/>
  <c r="J2924" i="4"/>
  <c r="I2924" i="4"/>
  <c r="H2924" i="4"/>
  <c r="M2924" i="4" s="1"/>
  <c r="Q2923" i="4"/>
  <c r="P2923" i="4"/>
  <c r="O2923" i="4"/>
  <c r="N2923" i="4"/>
  <c r="L2923" i="4"/>
  <c r="K2923" i="4"/>
  <c r="J2923" i="4"/>
  <c r="I2923" i="4"/>
  <c r="H2923" i="4"/>
  <c r="M2923" i="4" s="1"/>
  <c r="Q2922" i="4"/>
  <c r="P2922" i="4"/>
  <c r="O2922" i="4"/>
  <c r="N2922" i="4"/>
  <c r="L2922" i="4"/>
  <c r="K2922" i="4"/>
  <c r="J2922" i="4"/>
  <c r="I2922" i="4"/>
  <c r="H2922" i="4"/>
  <c r="M2922" i="4" s="1"/>
  <c r="Q2921" i="4"/>
  <c r="P2921" i="4"/>
  <c r="O2921" i="4"/>
  <c r="N2921" i="4"/>
  <c r="M2921" i="4"/>
  <c r="L2921" i="4"/>
  <c r="J2921" i="4"/>
  <c r="I2921" i="4"/>
  <c r="H2921" i="4"/>
  <c r="K2921" i="4" s="1"/>
  <c r="Q2920" i="4"/>
  <c r="P2920" i="4"/>
  <c r="O2920" i="4"/>
  <c r="N2920" i="4"/>
  <c r="M2920" i="4"/>
  <c r="L2920" i="4"/>
  <c r="K2920" i="4"/>
  <c r="I2920" i="4"/>
  <c r="H2920" i="4"/>
  <c r="J2920" i="4" s="1"/>
  <c r="Q2917" i="4"/>
  <c r="P2917" i="4"/>
  <c r="O2917" i="4"/>
  <c r="N2917" i="4"/>
  <c r="L2917" i="4"/>
  <c r="K2917" i="4"/>
  <c r="J2917" i="4"/>
  <c r="I2917" i="4"/>
  <c r="H2917" i="4"/>
  <c r="M2917" i="4" s="1"/>
  <c r="Q2916" i="4"/>
  <c r="P2916" i="4"/>
  <c r="O2916" i="4"/>
  <c r="N2916" i="4"/>
  <c r="L2916" i="4"/>
  <c r="K2916" i="4"/>
  <c r="J2916" i="4"/>
  <c r="I2916" i="4"/>
  <c r="H2916" i="4"/>
  <c r="M2916" i="4" s="1"/>
  <c r="Q2915" i="4"/>
  <c r="P2915" i="4"/>
  <c r="O2915" i="4"/>
  <c r="N2915" i="4"/>
  <c r="L2915" i="4"/>
  <c r="K2915" i="4"/>
  <c r="J2915" i="4"/>
  <c r="I2915" i="4"/>
  <c r="Q2914" i="4"/>
  <c r="P2914" i="4"/>
  <c r="O2914" i="4"/>
  <c r="N2914" i="4"/>
  <c r="M2914" i="4"/>
  <c r="L2914" i="4"/>
  <c r="J2914" i="4"/>
  <c r="I2914" i="4"/>
  <c r="H2914" i="4"/>
  <c r="K2914" i="4" s="1"/>
  <c r="Q2913" i="4"/>
  <c r="P2913" i="4"/>
  <c r="O2913" i="4"/>
  <c r="N2913" i="4"/>
  <c r="M2913" i="4"/>
  <c r="L2913" i="4"/>
  <c r="K2913" i="4"/>
  <c r="I2913" i="4"/>
  <c r="Q2910" i="4"/>
  <c r="P2910" i="4"/>
  <c r="N2910" i="4"/>
  <c r="M2910" i="4"/>
  <c r="L2910" i="4"/>
  <c r="K2910" i="4"/>
  <c r="J2910" i="4"/>
  <c r="I2910" i="4"/>
  <c r="H2910" i="4"/>
  <c r="O2910" i="4" s="1"/>
  <c r="Q2909" i="4"/>
  <c r="P2909" i="4"/>
  <c r="N2909" i="4"/>
  <c r="M2909" i="4"/>
  <c r="L2909" i="4"/>
  <c r="K2909" i="4"/>
  <c r="J2909" i="4"/>
  <c r="I2909" i="4"/>
  <c r="H2909" i="4"/>
  <c r="O2909" i="4" s="1"/>
  <c r="Q2908" i="4"/>
  <c r="P2908" i="4"/>
  <c r="O2908" i="4"/>
  <c r="M2908" i="4"/>
  <c r="L2908" i="4"/>
  <c r="K2908" i="4"/>
  <c r="J2908" i="4"/>
  <c r="I2908" i="4"/>
  <c r="H2908" i="4"/>
  <c r="N2908" i="4" s="1"/>
  <c r="Q2907" i="4"/>
  <c r="P2907" i="4"/>
  <c r="O2907" i="4"/>
  <c r="M2907" i="4"/>
  <c r="L2907" i="4"/>
  <c r="K2907" i="4"/>
  <c r="J2907" i="4"/>
  <c r="I2907" i="4"/>
  <c r="H2907" i="4"/>
  <c r="N2907" i="4" s="1"/>
  <c r="Q2906" i="4"/>
  <c r="P2906" i="4"/>
  <c r="O2906" i="4"/>
  <c r="M2906" i="4"/>
  <c r="L2906" i="4"/>
  <c r="K2906" i="4"/>
  <c r="J2906" i="4"/>
  <c r="I2906" i="4"/>
  <c r="H2906" i="4"/>
  <c r="N2906" i="4" s="1"/>
  <c r="Q2905" i="4"/>
  <c r="P2905" i="4"/>
  <c r="O2905" i="4"/>
  <c r="M2905" i="4"/>
  <c r="L2905" i="4"/>
  <c r="K2905" i="4"/>
  <c r="J2905" i="4"/>
  <c r="I2905" i="4"/>
  <c r="H2905" i="4"/>
  <c r="N2905" i="4" s="1"/>
  <c r="Q2904" i="4"/>
  <c r="P2904" i="4"/>
  <c r="O2904" i="4"/>
  <c r="M2904" i="4"/>
  <c r="L2904" i="4"/>
  <c r="K2904" i="4"/>
  <c r="J2904" i="4"/>
  <c r="I2904" i="4"/>
  <c r="H2904" i="4"/>
  <c r="N2904" i="4" s="1"/>
  <c r="Q2903" i="4"/>
  <c r="P2903" i="4"/>
  <c r="O2903" i="4"/>
  <c r="M2903" i="4"/>
  <c r="L2903" i="4"/>
  <c r="K2903" i="4"/>
  <c r="J2903" i="4"/>
  <c r="I2903" i="4"/>
  <c r="H2903" i="4"/>
  <c r="N2903" i="4" s="1"/>
  <c r="Q2902" i="4"/>
  <c r="P2902" i="4"/>
  <c r="O2902" i="4"/>
  <c r="M2902" i="4"/>
  <c r="L2902" i="4"/>
  <c r="K2902" i="4"/>
  <c r="J2902" i="4"/>
  <c r="I2902" i="4"/>
  <c r="H2902" i="4"/>
  <c r="N2902" i="4" s="1"/>
  <c r="Q2901" i="4"/>
  <c r="P2901" i="4"/>
  <c r="O2901" i="4"/>
  <c r="N2901" i="4"/>
  <c r="M2901" i="4"/>
  <c r="L2901" i="4"/>
  <c r="K2901" i="4"/>
  <c r="I2901" i="4"/>
  <c r="H2901" i="4"/>
  <c r="J2901" i="4" s="1"/>
  <c r="Q2898" i="4"/>
  <c r="P2898" i="4"/>
  <c r="N2898" i="4"/>
  <c r="M2898" i="4"/>
  <c r="L2898" i="4"/>
  <c r="K2898" i="4"/>
  <c r="J2898" i="4"/>
  <c r="I2898" i="4"/>
  <c r="H2898" i="4"/>
  <c r="O2898" i="4" s="1"/>
  <c r="Q2897" i="4"/>
  <c r="P2897" i="4"/>
  <c r="N2897" i="4"/>
  <c r="M2897" i="4"/>
  <c r="L2897" i="4"/>
  <c r="K2897" i="4"/>
  <c r="J2897" i="4"/>
  <c r="I2897" i="4"/>
  <c r="H2897" i="4"/>
  <c r="O2897" i="4" s="1"/>
  <c r="Q2896" i="4"/>
  <c r="P2896" i="4"/>
  <c r="O2896" i="4"/>
  <c r="N2896" i="4"/>
  <c r="L2896" i="4"/>
  <c r="K2896" i="4"/>
  <c r="J2896" i="4"/>
  <c r="I2896" i="4"/>
  <c r="H2896" i="4"/>
  <c r="M2896" i="4" s="1"/>
  <c r="Q2895" i="4"/>
  <c r="P2895" i="4"/>
  <c r="O2895" i="4"/>
  <c r="N2895" i="4"/>
  <c r="L2895" i="4"/>
  <c r="K2895" i="4"/>
  <c r="J2895" i="4"/>
  <c r="I2895" i="4"/>
  <c r="H2895" i="4"/>
  <c r="M2895" i="4" s="1"/>
  <c r="Q2894" i="4"/>
  <c r="P2894" i="4"/>
  <c r="O2894" i="4"/>
  <c r="N2894" i="4"/>
  <c r="L2894" i="4"/>
  <c r="K2894" i="4"/>
  <c r="J2894" i="4"/>
  <c r="I2894" i="4"/>
  <c r="H2894" i="4"/>
  <c r="M2894" i="4" s="1"/>
  <c r="Q2893" i="4"/>
  <c r="P2893" i="4"/>
  <c r="O2893" i="4"/>
  <c r="N2893" i="4"/>
  <c r="L2893" i="4"/>
  <c r="K2893" i="4"/>
  <c r="J2893" i="4"/>
  <c r="I2893" i="4"/>
  <c r="H2893" i="4"/>
  <c r="M2893" i="4" s="1"/>
  <c r="Q2892" i="4"/>
  <c r="P2892" i="4"/>
  <c r="O2892" i="4"/>
  <c r="N2892" i="4"/>
  <c r="L2892" i="4"/>
  <c r="K2892" i="4"/>
  <c r="J2892" i="4"/>
  <c r="I2892" i="4"/>
  <c r="H2892" i="4"/>
  <c r="M2892" i="4" s="1"/>
  <c r="Q2891" i="4"/>
  <c r="P2891" i="4"/>
  <c r="O2891" i="4"/>
  <c r="N2891" i="4"/>
  <c r="L2891" i="4"/>
  <c r="K2891" i="4"/>
  <c r="J2891" i="4"/>
  <c r="I2891" i="4"/>
  <c r="H2891" i="4"/>
  <c r="M2891" i="4" s="1"/>
  <c r="Q2890" i="4"/>
  <c r="P2890" i="4"/>
  <c r="O2890" i="4"/>
  <c r="N2890" i="4"/>
  <c r="L2890" i="4"/>
  <c r="K2890" i="4"/>
  <c r="J2890" i="4"/>
  <c r="I2890" i="4"/>
  <c r="H2890" i="4"/>
  <c r="M2890" i="4" s="1"/>
  <c r="Q2889" i="4"/>
  <c r="P2889" i="4"/>
  <c r="O2889" i="4"/>
  <c r="N2889" i="4"/>
  <c r="L2889" i="4"/>
  <c r="K2889" i="4"/>
  <c r="J2889" i="4"/>
  <c r="I2889" i="4"/>
  <c r="H2889" i="4"/>
  <c r="M2889" i="4" s="1"/>
  <c r="Q2888" i="4"/>
  <c r="P2888" i="4"/>
  <c r="O2888" i="4"/>
  <c r="N2888" i="4"/>
  <c r="L2888" i="4"/>
  <c r="K2888" i="4"/>
  <c r="J2888" i="4"/>
  <c r="I2888" i="4"/>
  <c r="H2888" i="4"/>
  <c r="M2888" i="4" s="1"/>
  <c r="Q2887" i="4"/>
  <c r="P2887" i="4"/>
  <c r="O2887" i="4"/>
  <c r="N2887" i="4"/>
  <c r="M2887" i="4"/>
  <c r="L2887" i="4"/>
  <c r="K2887" i="4"/>
  <c r="I2887" i="4"/>
  <c r="H2887" i="4"/>
  <c r="J2887" i="4" s="1"/>
  <c r="Q2884" i="4"/>
  <c r="P2884" i="4"/>
  <c r="N2884" i="4"/>
  <c r="M2884" i="4"/>
  <c r="L2884" i="4"/>
  <c r="K2884" i="4"/>
  <c r="J2884" i="4"/>
  <c r="I2884" i="4"/>
  <c r="H2884" i="4"/>
  <c r="O2884" i="4" s="1"/>
  <c r="Q2883" i="4"/>
  <c r="P2883" i="4"/>
  <c r="N2883" i="4"/>
  <c r="M2883" i="4"/>
  <c r="L2883" i="4"/>
  <c r="K2883" i="4"/>
  <c r="J2883" i="4"/>
  <c r="I2883" i="4"/>
  <c r="H2883" i="4"/>
  <c r="O2883" i="4" s="1"/>
  <c r="Q2882" i="4"/>
  <c r="P2882" i="4"/>
  <c r="N2882" i="4"/>
  <c r="M2882" i="4"/>
  <c r="L2882" i="4"/>
  <c r="K2882" i="4"/>
  <c r="J2882" i="4"/>
  <c r="I2882" i="4"/>
  <c r="H2882" i="4"/>
  <c r="O2882" i="4" s="1"/>
  <c r="Q2881" i="4"/>
  <c r="P2881" i="4"/>
  <c r="N2881" i="4"/>
  <c r="M2881" i="4"/>
  <c r="L2881" i="4"/>
  <c r="K2881" i="4"/>
  <c r="J2881" i="4"/>
  <c r="I2881" i="4"/>
  <c r="H2881" i="4"/>
  <c r="O2881" i="4" s="1"/>
  <c r="Q2880" i="4"/>
  <c r="P2880" i="4"/>
  <c r="N2880" i="4"/>
  <c r="M2880" i="4"/>
  <c r="L2880" i="4"/>
  <c r="K2880" i="4"/>
  <c r="J2880" i="4"/>
  <c r="I2880" i="4"/>
  <c r="H2880" i="4"/>
  <c r="O2880" i="4" s="1"/>
  <c r="Q2879" i="4"/>
  <c r="P2879" i="4"/>
  <c r="O2879" i="4"/>
  <c r="N2879" i="4"/>
  <c r="L2879" i="4"/>
  <c r="K2879" i="4"/>
  <c r="J2879" i="4"/>
  <c r="I2879" i="4"/>
  <c r="H2879" i="4"/>
  <c r="M2879" i="4" s="1"/>
  <c r="Q2878" i="4"/>
  <c r="P2878" i="4"/>
  <c r="O2878" i="4"/>
  <c r="N2878" i="4"/>
  <c r="L2878" i="4"/>
  <c r="K2878" i="4"/>
  <c r="J2878" i="4"/>
  <c r="I2878" i="4"/>
  <c r="H2878" i="4"/>
  <c r="M2878" i="4" s="1"/>
  <c r="Q2877" i="4"/>
  <c r="P2877" i="4"/>
  <c r="O2877" i="4"/>
  <c r="N2877" i="4"/>
  <c r="L2877" i="4"/>
  <c r="K2877" i="4"/>
  <c r="J2877" i="4"/>
  <c r="I2877" i="4"/>
  <c r="H2877" i="4"/>
  <c r="M2877" i="4" s="1"/>
  <c r="Q2876" i="4"/>
  <c r="P2876" i="4"/>
  <c r="O2876" i="4"/>
  <c r="N2876" i="4"/>
  <c r="L2876" i="4"/>
  <c r="K2876" i="4"/>
  <c r="J2876" i="4"/>
  <c r="I2876" i="4"/>
  <c r="H2876" i="4"/>
  <c r="M2876" i="4" s="1"/>
  <c r="Q2875" i="4"/>
  <c r="P2875" i="4"/>
  <c r="O2875" i="4"/>
  <c r="N2875" i="4"/>
  <c r="L2875" i="4"/>
  <c r="K2875" i="4"/>
  <c r="J2875" i="4"/>
  <c r="I2875" i="4"/>
  <c r="H2875" i="4"/>
  <c r="M2875" i="4" s="1"/>
  <c r="Q2874" i="4"/>
  <c r="P2874" i="4"/>
  <c r="O2874" i="4"/>
  <c r="N2874" i="4"/>
  <c r="M2874" i="4"/>
  <c r="L2874" i="4"/>
  <c r="K2874" i="4"/>
  <c r="I2874" i="4"/>
  <c r="H2874" i="4"/>
  <c r="J2874" i="4" s="1"/>
  <c r="Q2871" i="4"/>
  <c r="O2871" i="4"/>
  <c r="N2871" i="4"/>
  <c r="M2871" i="4"/>
  <c r="L2871" i="4"/>
  <c r="K2871" i="4"/>
  <c r="J2871" i="4"/>
  <c r="I2871" i="4"/>
  <c r="H2871" i="4"/>
  <c r="P2871" i="4" s="1"/>
  <c r="Q2870" i="4"/>
  <c r="O2870" i="4"/>
  <c r="N2870" i="4"/>
  <c r="M2870" i="4"/>
  <c r="L2870" i="4"/>
  <c r="K2870" i="4"/>
  <c r="J2870" i="4"/>
  <c r="I2870" i="4"/>
  <c r="H2870" i="4"/>
  <c r="P2870" i="4" s="1"/>
  <c r="Q2869" i="4"/>
  <c r="P2869" i="4"/>
  <c r="N2869" i="4"/>
  <c r="M2869" i="4"/>
  <c r="L2869" i="4"/>
  <c r="K2869" i="4"/>
  <c r="J2869" i="4"/>
  <c r="I2869" i="4"/>
  <c r="H2869" i="4"/>
  <c r="O2869" i="4" s="1"/>
  <c r="Q2868" i="4"/>
  <c r="P2868" i="4"/>
  <c r="N2868" i="4"/>
  <c r="M2868" i="4"/>
  <c r="L2868" i="4"/>
  <c r="K2868" i="4"/>
  <c r="J2868" i="4"/>
  <c r="I2868" i="4"/>
  <c r="H2868" i="4"/>
  <c r="O2868" i="4" s="1"/>
  <c r="Q2867" i="4"/>
  <c r="P2867" i="4"/>
  <c r="O2867" i="4"/>
  <c r="M2867" i="4"/>
  <c r="L2867" i="4"/>
  <c r="K2867" i="4"/>
  <c r="J2867" i="4"/>
  <c r="I2867" i="4"/>
  <c r="H2867" i="4"/>
  <c r="N2867" i="4" s="1"/>
  <c r="Q2866" i="4"/>
  <c r="P2866" i="4"/>
  <c r="O2866" i="4"/>
  <c r="M2866" i="4"/>
  <c r="L2866" i="4"/>
  <c r="K2866" i="4"/>
  <c r="J2866" i="4"/>
  <c r="I2866" i="4"/>
  <c r="H2866" i="4"/>
  <c r="N2866" i="4" s="1"/>
  <c r="Q2865" i="4"/>
  <c r="P2865" i="4"/>
  <c r="O2865" i="4"/>
  <c r="M2865" i="4"/>
  <c r="L2865" i="4"/>
  <c r="K2865" i="4"/>
  <c r="J2865" i="4"/>
  <c r="I2865" i="4"/>
  <c r="H2865" i="4"/>
  <c r="N2865" i="4" s="1"/>
  <c r="Q2864" i="4"/>
  <c r="P2864" i="4"/>
  <c r="O2864" i="4"/>
  <c r="N2864" i="4"/>
  <c r="L2864" i="4"/>
  <c r="K2864" i="4"/>
  <c r="J2864" i="4"/>
  <c r="I2864" i="4"/>
  <c r="H2864" i="4"/>
  <c r="M2864" i="4" s="1"/>
  <c r="Q2863" i="4"/>
  <c r="P2863" i="4"/>
  <c r="O2863" i="4"/>
  <c r="N2863" i="4"/>
  <c r="M2863" i="4"/>
  <c r="L2863" i="4"/>
  <c r="K2863" i="4"/>
  <c r="I2863" i="4"/>
  <c r="H2863" i="4"/>
  <c r="J2863" i="4" s="1"/>
  <c r="Q2860" i="4"/>
  <c r="P2860" i="4"/>
  <c r="O2860" i="4"/>
  <c r="M2860" i="4"/>
  <c r="L2860" i="4"/>
  <c r="K2860" i="4"/>
  <c r="J2860" i="4"/>
  <c r="I2860" i="4"/>
  <c r="Q2859" i="4"/>
  <c r="P2859" i="4"/>
  <c r="O2859" i="4"/>
  <c r="N2859" i="4"/>
  <c r="M2859" i="4"/>
  <c r="K2859" i="4"/>
  <c r="J2859" i="4"/>
  <c r="I2859" i="4"/>
  <c r="Q2858" i="4"/>
  <c r="P2858" i="4"/>
  <c r="O2858" i="4"/>
  <c r="N2858" i="4"/>
  <c r="M2858" i="4"/>
  <c r="L2858" i="4"/>
  <c r="K2858" i="4"/>
  <c r="J2858" i="4"/>
  <c r="I2858" i="4"/>
  <c r="Q2857" i="4"/>
  <c r="P2857" i="4"/>
  <c r="O2857" i="4"/>
  <c r="N2857" i="4"/>
  <c r="M2857" i="4"/>
  <c r="L2857" i="4"/>
  <c r="J2857" i="4"/>
  <c r="I2857" i="4"/>
  <c r="Q2856" i="4"/>
  <c r="P2856" i="4"/>
  <c r="O2856" i="4"/>
  <c r="N2856" i="4"/>
  <c r="M2856" i="4"/>
  <c r="L2856" i="4"/>
  <c r="K2856" i="4"/>
  <c r="I2856" i="4"/>
  <c r="Q2853" i="4"/>
  <c r="P2853" i="4"/>
  <c r="O2853" i="4"/>
  <c r="M2853" i="4"/>
  <c r="L2853" i="4"/>
  <c r="K2853" i="4"/>
  <c r="J2853" i="4"/>
  <c r="I2853" i="4"/>
  <c r="H2853" i="4"/>
  <c r="N2853" i="4" s="1"/>
  <c r="Q2852" i="4"/>
  <c r="P2852" i="4"/>
  <c r="O2852" i="4"/>
  <c r="N2852" i="4"/>
  <c r="M2852" i="4"/>
  <c r="K2852" i="4"/>
  <c r="J2852" i="4"/>
  <c r="I2852" i="4"/>
  <c r="H2852" i="4"/>
  <c r="L2852" i="4" s="1"/>
  <c r="Q2851" i="4"/>
  <c r="P2851" i="4"/>
  <c r="O2851" i="4"/>
  <c r="N2851" i="4"/>
  <c r="M2851" i="4"/>
  <c r="K2851" i="4"/>
  <c r="J2851" i="4"/>
  <c r="I2851" i="4"/>
  <c r="H2851" i="4"/>
  <c r="L2851" i="4" s="1"/>
  <c r="Q2850" i="4"/>
  <c r="P2850" i="4"/>
  <c r="O2850" i="4"/>
  <c r="N2850" i="4"/>
  <c r="M2850" i="4"/>
  <c r="L2850" i="4"/>
  <c r="J2850" i="4"/>
  <c r="I2850" i="4"/>
  <c r="H2850" i="4"/>
  <c r="K2850" i="4" s="1"/>
  <c r="Q2849" i="4"/>
  <c r="P2849" i="4"/>
  <c r="O2849" i="4"/>
  <c r="N2849" i="4"/>
  <c r="M2849" i="4"/>
  <c r="L2849" i="4"/>
  <c r="K2849" i="4"/>
  <c r="I2849" i="4"/>
  <c r="H2849" i="4"/>
  <c r="J2849" i="4" s="1"/>
  <c r="Q2846" i="4"/>
  <c r="P2846" i="4"/>
  <c r="O2846" i="4"/>
  <c r="N2846" i="4"/>
  <c r="L2846" i="4"/>
  <c r="K2846" i="4"/>
  <c r="J2846" i="4"/>
  <c r="I2846" i="4"/>
  <c r="H2846" i="4"/>
  <c r="M2846" i="4" s="1"/>
  <c r="Q2845" i="4"/>
  <c r="P2845" i="4"/>
  <c r="O2845" i="4"/>
  <c r="N2845" i="4"/>
  <c r="L2845" i="4"/>
  <c r="K2845" i="4"/>
  <c r="J2845" i="4"/>
  <c r="I2845" i="4"/>
  <c r="H2845" i="4"/>
  <c r="M2845" i="4" s="1"/>
  <c r="Q2844" i="4"/>
  <c r="P2844" i="4"/>
  <c r="O2844" i="4"/>
  <c r="N2844" i="4"/>
  <c r="L2844" i="4"/>
  <c r="K2844" i="4"/>
  <c r="J2844" i="4"/>
  <c r="I2844" i="4"/>
  <c r="H2844" i="4"/>
  <c r="M2844" i="4" s="1"/>
  <c r="Q2843" i="4"/>
  <c r="P2843" i="4"/>
  <c r="O2843" i="4"/>
  <c r="N2843" i="4"/>
  <c r="L2843" i="4"/>
  <c r="K2843" i="4"/>
  <c r="J2843" i="4"/>
  <c r="I2843" i="4"/>
  <c r="H2843" i="4"/>
  <c r="M2843" i="4" s="1"/>
  <c r="Q2842" i="4"/>
  <c r="P2842" i="4"/>
  <c r="O2842" i="4"/>
  <c r="N2842" i="4"/>
  <c r="M2842" i="4"/>
  <c r="K2842" i="4"/>
  <c r="J2842" i="4"/>
  <c r="I2842" i="4"/>
  <c r="H2842" i="4"/>
  <c r="L2842" i="4" s="1"/>
  <c r="Q2841" i="4"/>
  <c r="P2841" i="4"/>
  <c r="O2841" i="4"/>
  <c r="N2841" i="4"/>
  <c r="M2841" i="4"/>
  <c r="K2841" i="4"/>
  <c r="J2841" i="4"/>
  <c r="I2841" i="4"/>
  <c r="H2841" i="4"/>
  <c r="L2841" i="4" s="1"/>
  <c r="Q2840" i="4"/>
  <c r="P2840" i="4"/>
  <c r="O2840" i="4"/>
  <c r="N2840" i="4"/>
  <c r="M2840" i="4"/>
  <c r="L2840" i="4"/>
  <c r="J2840" i="4"/>
  <c r="I2840" i="4"/>
  <c r="H2840" i="4"/>
  <c r="K2840" i="4" s="1"/>
  <c r="Q2839" i="4"/>
  <c r="P2839" i="4"/>
  <c r="O2839" i="4"/>
  <c r="N2839" i="4"/>
  <c r="M2839" i="4"/>
  <c r="L2839" i="4"/>
  <c r="K2839" i="4"/>
  <c r="I2839" i="4"/>
  <c r="H2839" i="4"/>
  <c r="J2839" i="4" s="1"/>
  <c r="Q2838" i="4"/>
  <c r="P2838" i="4"/>
  <c r="O2838" i="4"/>
  <c r="N2838" i="4"/>
  <c r="M2838" i="4"/>
  <c r="L2838" i="4"/>
  <c r="K2838" i="4"/>
  <c r="I2838" i="4"/>
  <c r="H2838" i="4"/>
  <c r="J2838" i="4" s="1"/>
  <c r="Q2835" i="4"/>
  <c r="P2835" i="4"/>
  <c r="O2835" i="4"/>
  <c r="M2835" i="4"/>
  <c r="L2835" i="4"/>
  <c r="K2835" i="4"/>
  <c r="J2835" i="4"/>
  <c r="I2835" i="4"/>
  <c r="H2835" i="4"/>
  <c r="N2835" i="4" s="1"/>
  <c r="Q2834" i="4"/>
  <c r="P2834" i="4"/>
  <c r="O2834" i="4"/>
  <c r="M2834" i="4"/>
  <c r="L2834" i="4"/>
  <c r="K2834" i="4"/>
  <c r="J2834" i="4"/>
  <c r="I2834" i="4"/>
  <c r="H2834" i="4"/>
  <c r="N2834" i="4" s="1"/>
  <c r="Q2833" i="4"/>
  <c r="P2833" i="4"/>
  <c r="O2833" i="4"/>
  <c r="M2833" i="4"/>
  <c r="L2833" i="4"/>
  <c r="K2833" i="4"/>
  <c r="J2833" i="4"/>
  <c r="I2833" i="4"/>
  <c r="H2833" i="4"/>
  <c r="N2833" i="4" s="1"/>
  <c r="Q2832" i="4"/>
  <c r="P2832" i="4"/>
  <c r="O2832" i="4"/>
  <c r="N2832" i="4"/>
  <c r="L2832" i="4"/>
  <c r="K2832" i="4"/>
  <c r="J2832" i="4"/>
  <c r="I2832" i="4"/>
  <c r="H2832" i="4"/>
  <c r="M2832" i="4" s="1"/>
  <c r="Q2831" i="4"/>
  <c r="P2831" i="4"/>
  <c r="O2831" i="4"/>
  <c r="N2831" i="4"/>
  <c r="L2831" i="4"/>
  <c r="K2831" i="4"/>
  <c r="J2831" i="4"/>
  <c r="I2831" i="4"/>
  <c r="H2831" i="4"/>
  <c r="M2831" i="4" s="1"/>
  <c r="Q2830" i="4"/>
  <c r="P2830" i="4"/>
  <c r="O2830" i="4"/>
  <c r="N2830" i="4"/>
  <c r="L2830" i="4"/>
  <c r="K2830" i="4"/>
  <c r="J2830" i="4"/>
  <c r="I2830" i="4"/>
  <c r="H2830" i="4"/>
  <c r="M2830" i="4" s="1"/>
  <c r="Q2829" i="4"/>
  <c r="P2829" i="4"/>
  <c r="O2829" i="4"/>
  <c r="N2829" i="4"/>
  <c r="L2829" i="4"/>
  <c r="K2829" i="4"/>
  <c r="J2829" i="4"/>
  <c r="I2829" i="4"/>
  <c r="H2829" i="4"/>
  <c r="M2829" i="4" s="1"/>
  <c r="Q2828" i="4"/>
  <c r="P2828" i="4"/>
  <c r="O2828" i="4"/>
  <c r="N2828" i="4"/>
  <c r="M2828" i="4"/>
  <c r="K2828" i="4"/>
  <c r="J2828" i="4"/>
  <c r="I2828" i="4"/>
  <c r="H2828" i="4"/>
  <c r="L2828" i="4" s="1"/>
  <c r="Q2827" i="4"/>
  <c r="P2827" i="4"/>
  <c r="O2827" i="4"/>
  <c r="N2827" i="4"/>
  <c r="M2827" i="4"/>
  <c r="K2827" i="4"/>
  <c r="J2827" i="4"/>
  <c r="I2827" i="4"/>
  <c r="H2827" i="4"/>
  <c r="L2827" i="4" s="1"/>
  <c r="Q2826" i="4"/>
  <c r="P2826" i="4"/>
  <c r="O2826" i="4"/>
  <c r="N2826" i="4"/>
  <c r="M2826" i="4"/>
  <c r="L2826" i="4"/>
  <c r="K2826" i="4"/>
  <c r="I2826" i="4"/>
  <c r="H2826" i="4"/>
  <c r="J2826" i="4" s="1"/>
  <c r="Q2825" i="4"/>
  <c r="P2825" i="4"/>
  <c r="O2825" i="4"/>
  <c r="N2825" i="4"/>
  <c r="M2825" i="4"/>
  <c r="L2825" i="4"/>
  <c r="K2825" i="4"/>
  <c r="I2825" i="4"/>
  <c r="H2825" i="4"/>
  <c r="J2825" i="4" s="1"/>
  <c r="Q2822" i="4"/>
  <c r="P2822" i="4"/>
  <c r="O2822" i="4"/>
  <c r="M2822" i="4"/>
  <c r="L2822" i="4"/>
  <c r="K2822" i="4"/>
  <c r="J2822" i="4"/>
  <c r="I2822" i="4"/>
  <c r="H2822" i="4"/>
  <c r="N2822" i="4" s="1"/>
  <c r="Q2821" i="4"/>
  <c r="P2821" i="4"/>
  <c r="O2821" i="4"/>
  <c r="N2821" i="4"/>
  <c r="L2821" i="4"/>
  <c r="K2821" i="4"/>
  <c r="J2821" i="4"/>
  <c r="I2821" i="4"/>
  <c r="H2821" i="4"/>
  <c r="M2821" i="4" s="1"/>
  <c r="Q2820" i="4"/>
  <c r="P2820" i="4"/>
  <c r="O2820" i="4"/>
  <c r="N2820" i="4"/>
  <c r="L2820" i="4"/>
  <c r="K2820" i="4"/>
  <c r="J2820" i="4"/>
  <c r="I2820" i="4"/>
  <c r="H2820" i="4"/>
  <c r="M2820" i="4" s="1"/>
  <c r="Q2819" i="4"/>
  <c r="P2819" i="4"/>
  <c r="O2819" i="4"/>
  <c r="N2819" i="4"/>
  <c r="L2819" i="4"/>
  <c r="K2819" i="4"/>
  <c r="J2819" i="4"/>
  <c r="I2819" i="4"/>
  <c r="H2819" i="4"/>
  <c r="M2819" i="4" s="1"/>
  <c r="Q2818" i="4"/>
  <c r="P2818" i="4"/>
  <c r="O2818" i="4"/>
  <c r="N2818" i="4"/>
  <c r="L2818" i="4"/>
  <c r="K2818" i="4"/>
  <c r="J2818" i="4"/>
  <c r="I2818" i="4"/>
  <c r="H2818" i="4"/>
  <c r="M2818" i="4" s="1"/>
  <c r="Q2817" i="4"/>
  <c r="P2817" i="4"/>
  <c r="O2817" i="4"/>
  <c r="N2817" i="4"/>
  <c r="M2817" i="4"/>
  <c r="K2817" i="4"/>
  <c r="J2817" i="4"/>
  <c r="I2817" i="4"/>
  <c r="H2817" i="4"/>
  <c r="L2817" i="4" s="1"/>
  <c r="Q2816" i="4"/>
  <c r="P2816" i="4"/>
  <c r="O2816" i="4"/>
  <c r="N2816" i="4"/>
  <c r="M2816" i="4"/>
  <c r="L2816" i="4"/>
  <c r="J2816" i="4"/>
  <c r="I2816" i="4"/>
  <c r="H2816" i="4"/>
  <c r="K2816" i="4" s="1"/>
  <c r="Q2815" i="4"/>
  <c r="P2815" i="4"/>
  <c r="O2815" i="4"/>
  <c r="N2815" i="4"/>
  <c r="M2815" i="4"/>
  <c r="L2815" i="4"/>
  <c r="J2815" i="4"/>
  <c r="I2815" i="4"/>
  <c r="H2815" i="4"/>
  <c r="K2815" i="4" s="1"/>
  <c r="Q2814" i="4"/>
  <c r="P2814" i="4"/>
  <c r="O2814" i="4"/>
  <c r="N2814" i="4"/>
  <c r="M2814" i="4"/>
  <c r="L2814" i="4"/>
  <c r="K2814" i="4"/>
  <c r="I2814" i="4"/>
  <c r="H2814" i="4"/>
  <c r="J2814" i="4" s="1"/>
  <c r="Q2813" i="4"/>
  <c r="P2813" i="4"/>
  <c r="O2813" i="4"/>
  <c r="N2813" i="4"/>
  <c r="M2813" i="4"/>
  <c r="L2813" i="4"/>
  <c r="K2813" i="4"/>
  <c r="I2813" i="4"/>
  <c r="H2813" i="4"/>
  <c r="J2813" i="4" s="1"/>
  <c r="Q2810" i="4"/>
  <c r="P2810" i="4"/>
  <c r="O2810" i="4"/>
  <c r="M2810" i="4"/>
  <c r="L2810" i="4"/>
  <c r="K2810" i="4"/>
  <c r="J2810" i="4"/>
  <c r="I2810" i="4"/>
  <c r="H2810" i="4"/>
  <c r="N2810" i="4" s="1"/>
  <c r="Q2809" i="4"/>
  <c r="P2809" i="4"/>
  <c r="O2809" i="4"/>
  <c r="M2809" i="4"/>
  <c r="L2809" i="4"/>
  <c r="K2809" i="4"/>
  <c r="J2809" i="4"/>
  <c r="I2809" i="4"/>
  <c r="H2809" i="4"/>
  <c r="N2809" i="4" s="1"/>
  <c r="Q2808" i="4"/>
  <c r="P2808" i="4"/>
  <c r="O2808" i="4"/>
  <c r="M2808" i="4"/>
  <c r="L2808" i="4"/>
  <c r="K2808" i="4"/>
  <c r="J2808" i="4"/>
  <c r="I2808" i="4"/>
  <c r="H2808" i="4"/>
  <c r="N2808" i="4" s="1"/>
  <c r="Q2807" i="4"/>
  <c r="P2807" i="4"/>
  <c r="O2807" i="4"/>
  <c r="N2807" i="4"/>
  <c r="L2807" i="4"/>
  <c r="K2807" i="4"/>
  <c r="J2807" i="4"/>
  <c r="I2807" i="4"/>
  <c r="H2807" i="4"/>
  <c r="M2807" i="4" s="1"/>
  <c r="Q2806" i="4"/>
  <c r="P2806" i="4"/>
  <c r="O2806" i="4"/>
  <c r="N2806" i="4"/>
  <c r="L2806" i="4"/>
  <c r="K2806" i="4"/>
  <c r="J2806" i="4"/>
  <c r="I2806" i="4"/>
  <c r="H2806" i="4"/>
  <c r="M2806" i="4" s="1"/>
  <c r="Q2805" i="4"/>
  <c r="P2805" i="4"/>
  <c r="O2805" i="4"/>
  <c r="N2805" i="4"/>
  <c r="L2805" i="4"/>
  <c r="K2805" i="4"/>
  <c r="J2805" i="4"/>
  <c r="I2805" i="4"/>
  <c r="H2805" i="4"/>
  <c r="M2805" i="4" s="1"/>
  <c r="Q2804" i="4"/>
  <c r="P2804" i="4"/>
  <c r="O2804" i="4"/>
  <c r="N2804" i="4"/>
  <c r="L2804" i="4"/>
  <c r="K2804" i="4"/>
  <c r="J2804" i="4"/>
  <c r="I2804" i="4"/>
  <c r="H2804" i="4"/>
  <c r="M2804" i="4" s="1"/>
  <c r="Q2803" i="4"/>
  <c r="P2803" i="4"/>
  <c r="O2803" i="4"/>
  <c r="N2803" i="4"/>
  <c r="L2803" i="4"/>
  <c r="K2803" i="4"/>
  <c r="J2803" i="4"/>
  <c r="I2803" i="4"/>
  <c r="H2803" i="4"/>
  <c r="M2803" i="4" s="1"/>
  <c r="Q2802" i="4"/>
  <c r="P2802" i="4"/>
  <c r="O2802" i="4"/>
  <c r="N2802" i="4"/>
  <c r="M2802" i="4"/>
  <c r="K2802" i="4"/>
  <c r="J2802" i="4"/>
  <c r="I2802" i="4"/>
  <c r="H2802" i="4"/>
  <c r="L2802" i="4" s="1"/>
  <c r="Q2801" i="4"/>
  <c r="P2801" i="4"/>
  <c r="O2801" i="4"/>
  <c r="N2801" i="4"/>
  <c r="M2801" i="4"/>
  <c r="L2801" i="4"/>
  <c r="K2801" i="4"/>
  <c r="I2801" i="4"/>
  <c r="H2801" i="4"/>
  <c r="J2801" i="4" s="1"/>
  <c r="Q2800" i="4"/>
  <c r="P2800" i="4"/>
  <c r="O2800" i="4"/>
  <c r="N2800" i="4"/>
  <c r="M2800" i="4"/>
  <c r="L2800" i="4"/>
  <c r="K2800" i="4"/>
  <c r="I2800" i="4"/>
  <c r="H2800" i="4"/>
  <c r="J2800" i="4" s="1"/>
  <c r="Q3676" i="4"/>
  <c r="P3676" i="4"/>
  <c r="O3676" i="4"/>
  <c r="N3676" i="4"/>
  <c r="L3676" i="4"/>
  <c r="K3676" i="4"/>
  <c r="J3676" i="4"/>
  <c r="I3676" i="4"/>
  <c r="H3676" i="4"/>
  <c r="M3676" i="4" s="1"/>
  <c r="Q3675" i="4"/>
  <c r="P3675" i="4"/>
  <c r="O3675" i="4"/>
  <c r="N3675" i="4"/>
  <c r="M3675" i="4"/>
  <c r="K3675" i="4"/>
  <c r="J3675" i="4"/>
  <c r="I3675" i="4"/>
  <c r="H3675" i="4"/>
  <c r="L3675" i="4" s="1"/>
  <c r="Q3674" i="4"/>
  <c r="P3674" i="4"/>
  <c r="O3674" i="4"/>
  <c r="N3674" i="4"/>
  <c r="M3674" i="4"/>
  <c r="L3674" i="4"/>
  <c r="K3674" i="4"/>
  <c r="I3674" i="4"/>
  <c r="H3674" i="4"/>
  <c r="J3674" i="4" s="1"/>
  <c r="Q3671" i="4"/>
  <c r="P3671" i="4"/>
  <c r="O3671" i="4"/>
  <c r="N3671" i="4"/>
  <c r="L3671" i="4"/>
  <c r="K3671" i="4"/>
  <c r="J3671" i="4"/>
  <c r="I3671" i="4"/>
  <c r="H3671" i="4"/>
  <c r="M3671" i="4" s="1"/>
  <c r="Q3670" i="4"/>
  <c r="P3670" i="4"/>
  <c r="O3670" i="4"/>
  <c r="N3670" i="4"/>
  <c r="M3670" i="4"/>
  <c r="K3670" i="4"/>
  <c r="J3670" i="4"/>
  <c r="I3670" i="4"/>
  <c r="H3670" i="4"/>
  <c r="L3670" i="4" s="1"/>
  <c r="Q3669" i="4"/>
  <c r="P3669" i="4"/>
  <c r="O3669" i="4"/>
  <c r="N3669" i="4"/>
  <c r="M3669" i="4"/>
  <c r="L3669" i="4"/>
  <c r="K3669" i="4"/>
  <c r="I3669" i="4"/>
  <c r="H3669" i="4"/>
  <c r="J3669" i="4" s="1"/>
  <c r="Q3666" i="4"/>
  <c r="P3666" i="4"/>
  <c r="O3666" i="4"/>
  <c r="N3666" i="4"/>
  <c r="L3666" i="4"/>
  <c r="K3666" i="4"/>
  <c r="J3666" i="4"/>
  <c r="I3666" i="4"/>
  <c r="H3666" i="4"/>
  <c r="M3666" i="4" s="1"/>
  <c r="Q3665" i="4"/>
  <c r="P3665" i="4"/>
  <c r="O3665" i="4"/>
  <c r="N3665" i="4"/>
  <c r="M3665" i="4"/>
  <c r="K3665" i="4"/>
  <c r="J3665" i="4"/>
  <c r="I3665" i="4"/>
  <c r="H3665" i="4"/>
  <c r="L3665" i="4" s="1"/>
  <c r="Q3664" i="4"/>
  <c r="P3664" i="4"/>
  <c r="O3664" i="4"/>
  <c r="N3664" i="4"/>
  <c r="M3664" i="4"/>
  <c r="L3664" i="4"/>
  <c r="K3664" i="4"/>
  <c r="I3664" i="4"/>
  <c r="H3664" i="4"/>
  <c r="J3664" i="4" s="1"/>
  <c r="Q3661" i="4"/>
  <c r="P3661" i="4"/>
  <c r="O3661" i="4"/>
  <c r="M3661" i="4"/>
  <c r="L3661" i="4"/>
  <c r="K3661" i="4"/>
  <c r="J3661" i="4"/>
  <c r="I3661" i="4"/>
  <c r="H3661" i="4"/>
  <c r="N3661" i="4" s="1"/>
  <c r="Q3660" i="4"/>
  <c r="P3660" i="4"/>
  <c r="O3660" i="4"/>
  <c r="N3660" i="4"/>
  <c r="L3660" i="4"/>
  <c r="K3660" i="4"/>
  <c r="J3660" i="4"/>
  <c r="I3660" i="4"/>
  <c r="H3660" i="4"/>
  <c r="M3660" i="4" s="1"/>
  <c r="Q3659" i="4"/>
  <c r="P3659" i="4"/>
  <c r="O3659" i="4"/>
  <c r="N3659" i="4"/>
  <c r="M3659" i="4"/>
  <c r="L3659" i="4"/>
  <c r="K3659" i="4"/>
  <c r="I3659" i="4"/>
  <c r="H3659" i="4"/>
  <c r="J3659" i="4" s="1"/>
  <c r="Q3656" i="4"/>
  <c r="P3656" i="4"/>
  <c r="O3656" i="4"/>
  <c r="M3656" i="4"/>
  <c r="L3656" i="4"/>
  <c r="K3656" i="4"/>
  <c r="J3656" i="4"/>
  <c r="I3656" i="4"/>
  <c r="H3656" i="4"/>
  <c r="N3656" i="4" s="1"/>
  <c r="Q3655" i="4"/>
  <c r="P3655" i="4"/>
  <c r="O3655" i="4"/>
  <c r="M3655" i="4"/>
  <c r="L3655" i="4"/>
  <c r="K3655" i="4"/>
  <c r="J3655" i="4"/>
  <c r="I3655" i="4"/>
  <c r="H3655" i="4"/>
  <c r="N3655" i="4" s="1"/>
  <c r="Q3654" i="4"/>
  <c r="P3654" i="4"/>
  <c r="O3654" i="4"/>
  <c r="M3654" i="4"/>
  <c r="L3654" i="4"/>
  <c r="K3654" i="4"/>
  <c r="J3654" i="4"/>
  <c r="I3654" i="4"/>
  <c r="H3654" i="4"/>
  <c r="N3654" i="4" s="1"/>
  <c r="Q3653" i="4"/>
  <c r="P3653" i="4"/>
  <c r="O3653" i="4"/>
  <c r="N3653" i="4"/>
  <c r="M3653" i="4"/>
  <c r="L3653" i="4"/>
  <c r="J3653" i="4"/>
  <c r="I3653" i="4"/>
  <c r="H3653" i="4"/>
  <c r="K3653" i="4" s="1"/>
  <c r="Q3652" i="4"/>
  <c r="P3652" i="4"/>
  <c r="O3652" i="4"/>
  <c r="N3652" i="4"/>
  <c r="M3652" i="4"/>
  <c r="L3652" i="4"/>
  <c r="K3652" i="4"/>
  <c r="I3652" i="4"/>
  <c r="H3652" i="4"/>
  <c r="J3652" i="4" s="1"/>
  <c r="Q3649" i="4"/>
  <c r="P3649" i="4"/>
  <c r="O3649" i="4"/>
  <c r="N3649" i="4"/>
  <c r="M3649" i="4"/>
  <c r="L3649" i="4"/>
  <c r="K3649" i="4"/>
  <c r="J3649" i="4"/>
  <c r="I3649" i="4"/>
  <c r="H3649" i="4"/>
  <c r="Q3648" i="4"/>
  <c r="P3648" i="4"/>
  <c r="O3648" i="4"/>
  <c r="N3648" i="4"/>
  <c r="M3648" i="4"/>
  <c r="L3648" i="4"/>
  <c r="K3648" i="4"/>
  <c r="J3648" i="4"/>
  <c r="I3648" i="4"/>
  <c r="H3648" i="4"/>
  <c r="Q3647" i="4"/>
  <c r="P3647" i="4"/>
  <c r="O3647" i="4"/>
  <c r="N3647" i="4"/>
  <c r="M3647" i="4"/>
  <c r="L3647" i="4"/>
  <c r="K3647" i="4"/>
  <c r="J3647" i="4"/>
  <c r="I3647" i="4"/>
  <c r="H3647" i="4"/>
  <c r="Q3646" i="4"/>
  <c r="P3646" i="4"/>
  <c r="O3646" i="4"/>
  <c r="N3646" i="4"/>
  <c r="M3646" i="4"/>
  <c r="L3646" i="4"/>
  <c r="K3646" i="4"/>
  <c r="J3646" i="4"/>
  <c r="I3646" i="4"/>
  <c r="H3646" i="4"/>
  <c r="Q3645" i="4"/>
  <c r="P3645" i="4"/>
  <c r="O3645" i="4"/>
  <c r="M3645" i="4"/>
  <c r="L3645" i="4"/>
  <c r="K3645" i="4"/>
  <c r="J3645" i="4"/>
  <c r="I3645" i="4"/>
  <c r="H3645" i="4"/>
  <c r="N3645" i="4" s="1"/>
  <c r="Q3644" i="4"/>
  <c r="P3644" i="4"/>
  <c r="O3644" i="4"/>
  <c r="M3644" i="4"/>
  <c r="L3644" i="4"/>
  <c r="K3644" i="4"/>
  <c r="J3644" i="4"/>
  <c r="I3644" i="4"/>
  <c r="H3644" i="4"/>
  <c r="N3644" i="4" s="1"/>
  <c r="Q3643" i="4"/>
  <c r="P3643" i="4"/>
  <c r="O3643" i="4"/>
  <c r="M3643" i="4"/>
  <c r="L3643" i="4"/>
  <c r="K3643" i="4"/>
  <c r="J3643" i="4"/>
  <c r="I3643" i="4"/>
  <c r="H3643" i="4"/>
  <c r="N3643" i="4" s="1"/>
  <c r="Q3642" i="4"/>
  <c r="P3642" i="4"/>
  <c r="O3642" i="4"/>
  <c r="M3642" i="4"/>
  <c r="L3642" i="4"/>
  <c r="K3642" i="4"/>
  <c r="J3642" i="4"/>
  <c r="I3642" i="4"/>
  <c r="H3642" i="4"/>
  <c r="N3642" i="4" s="1"/>
  <c r="Q3641" i="4"/>
  <c r="P3641" i="4"/>
  <c r="O3641" i="4"/>
  <c r="M3641" i="4"/>
  <c r="L3641" i="4"/>
  <c r="K3641" i="4"/>
  <c r="J3641" i="4"/>
  <c r="I3641" i="4"/>
  <c r="H3641" i="4"/>
  <c r="N3641" i="4" s="1"/>
  <c r="Q3640" i="4"/>
  <c r="P3640" i="4"/>
  <c r="O3640" i="4"/>
  <c r="M3640" i="4"/>
  <c r="L3640" i="4"/>
  <c r="K3640" i="4"/>
  <c r="J3640" i="4"/>
  <c r="I3640" i="4"/>
  <c r="H3640" i="4"/>
  <c r="N3640" i="4" s="1"/>
  <c r="Q3639" i="4"/>
  <c r="P3639" i="4"/>
  <c r="O3639" i="4"/>
  <c r="N3639" i="4"/>
  <c r="M3639" i="4"/>
  <c r="K3639" i="4"/>
  <c r="J3639" i="4"/>
  <c r="I3639" i="4"/>
  <c r="H3639" i="4"/>
  <c r="L3639" i="4" s="1"/>
  <c r="Q3638" i="4"/>
  <c r="P3638" i="4"/>
  <c r="O3638" i="4"/>
  <c r="N3638" i="4"/>
  <c r="M3638" i="4"/>
  <c r="L3638" i="4"/>
  <c r="K3638" i="4"/>
  <c r="I3638" i="4"/>
  <c r="H3638" i="4"/>
  <c r="J3638" i="4" s="1"/>
  <c r="Q3634" i="4"/>
  <c r="P3634" i="4"/>
  <c r="O3634" i="4"/>
  <c r="N3634" i="4"/>
  <c r="M3634" i="4"/>
  <c r="L3634" i="4"/>
  <c r="K3634" i="4"/>
  <c r="J3634" i="4"/>
  <c r="I3634" i="4"/>
  <c r="H3634" i="4"/>
  <c r="Q3633" i="4"/>
  <c r="P3633" i="4"/>
  <c r="O3633" i="4"/>
  <c r="N3633" i="4"/>
  <c r="M3633" i="4"/>
  <c r="L3633" i="4"/>
  <c r="K3633" i="4"/>
  <c r="J3633" i="4"/>
  <c r="I3633" i="4"/>
  <c r="H3633" i="4"/>
  <c r="Q3632" i="4"/>
  <c r="P3632" i="4"/>
  <c r="O3632" i="4"/>
  <c r="N3632" i="4"/>
  <c r="M3632" i="4"/>
  <c r="L3632" i="4"/>
  <c r="K3632" i="4"/>
  <c r="J3632" i="4"/>
  <c r="I3632" i="4"/>
  <c r="H3632" i="4"/>
  <c r="Q3631" i="4"/>
  <c r="P3631" i="4"/>
  <c r="O3631" i="4"/>
  <c r="N3631" i="4"/>
  <c r="M3631" i="4"/>
  <c r="L3631" i="4"/>
  <c r="K3631" i="4"/>
  <c r="J3631" i="4"/>
  <c r="I3631" i="4"/>
  <c r="H3631" i="4"/>
  <c r="Q3630" i="4"/>
  <c r="P3630" i="4"/>
  <c r="O3630" i="4"/>
  <c r="N3630" i="4"/>
  <c r="M3630" i="4"/>
  <c r="L3630" i="4"/>
  <c r="K3630" i="4"/>
  <c r="J3630" i="4"/>
  <c r="I3630" i="4"/>
  <c r="H3630" i="4"/>
  <c r="Q3629" i="4"/>
  <c r="P3629" i="4"/>
  <c r="O3629" i="4"/>
  <c r="N3629" i="4"/>
  <c r="M3629" i="4"/>
  <c r="L3629" i="4"/>
  <c r="K3629" i="4"/>
  <c r="J3629" i="4"/>
  <c r="I3629" i="4"/>
  <c r="H3629" i="4"/>
  <c r="Q3628" i="4"/>
  <c r="P3628" i="4"/>
  <c r="O3628" i="4"/>
  <c r="N3628" i="4"/>
  <c r="M3628" i="4"/>
  <c r="L3628" i="4"/>
  <c r="K3628" i="4"/>
  <c r="J3628" i="4"/>
  <c r="I3628" i="4"/>
  <c r="H3628" i="4"/>
  <c r="Q3627" i="4"/>
  <c r="P3627" i="4"/>
  <c r="O3627" i="4"/>
  <c r="N3627" i="4"/>
  <c r="M3627" i="4"/>
  <c r="L3627" i="4"/>
  <c r="K3627" i="4"/>
  <c r="J3627" i="4"/>
  <c r="I3627" i="4"/>
  <c r="Q3626" i="4"/>
  <c r="P3626" i="4"/>
  <c r="O3626" i="4"/>
  <c r="M3626" i="4"/>
  <c r="L3626" i="4"/>
  <c r="K3626" i="4"/>
  <c r="J3626" i="4"/>
  <c r="I3626" i="4"/>
  <c r="N3626" i="4"/>
  <c r="Q3625" i="4"/>
  <c r="P3625" i="4"/>
  <c r="O3625" i="4"/>
  <c r="M3625" i="4"/>
  <c r="L3625" i="4"/>
  <c r="K3625" i="4"/>
  <c r="J3625" i="4"/>
  <c r="I3625" i="4"/>
  <c r="N3625" i="4"/>
  <c r="Q3624" i="4"/>
  <c r="P3624" i="4"/>
  <c r="O3624" i="4"/>
  <c r="N3624" i="4"/>
  <c r="M3624" i="4"/>
  <c r="L3624" i="4"/>
  <c r="K3624" i="4"/>
  <c r="J3624" i="4"/>
  <c r="I3624" i="4"/>
  <c r="Q3623" i="4"/>
  <c r="P3623" i="4"/>
  <c r="O3623" i="4"/>
  <c r="N3623" i="4"/>
  <c r="M3623" i="4"/>
  <c r="L3623" i="4"/>
  <c r="K3623" i="4"/>
  <c r="J3623" i="4"/>
  <c r="I3623" i="4"/>
  <c r="Q3620" i="4"/>
  <c r="P3620" i="4"/>
  <c r="O3620" i="4"/>
  <c r="N3620" i="4"/>
  <c r="M3620" i="4"/>
  <c r="L3620" i="4"/>
  <c r="K3620" i="4"/>
  <c r="J3620" i="4"/>
  <c r="I3620" i="4"/>
  <c r="Q3619" i="4"/>
  <c r="P3619" i="4"/>
  <c r="O3619" i="4"/>
  <c r="M3619" i="4"/>
  <c r="L3619" i="4"/>
  <c r="K3619" i="4"/>
  <c r="J3619" i="4"/>
  <c r="I3619" i="4"/>
  <c r="N3619" i="4"/>
  <c r="Q3618" i="4"/>
  <c r="P3618" i="4"/>
  <c r="O3618" i="4"/>
  <c r="N3618" i="4"/>
  <c r="L3618" i="4"/>
  <c r="K3618" i="4"/>
  <c r="J3618" i="4"/>
  <c r="I3618" i="4"/>
  <c r="M3618" i="4"/>
  <c r="Q3617" i="4"/>
  <c r="P3617" i="4"/>
  <c r="O3617" i="4"/>
  <c r="N3617" i="4"/>
  <c r="M3617" i="4"/>
  <c r="L3617" i="4"/>
  <c r="K3617" i="4"/>
  <c r="I3617" i="4"/>
  <c r="J3617" i="4"/>
  <c r="Q3614" i="4"/>
  <c r="P3614" i="4"/>
  <c r="O3614" i="4"/>
  <c r="M3614" i="4"/>
  <c r="L3614" i="4"/>
  <c r="K3614" i="4"/>
  <c r="J3614" i="4"/>
  <c r="I3614" i="4"/>
  <c r="N3614" i="4"/>
  <c r="Q3613" i="4"/>
  <c r="P3613" i="4"/>
  <c r="O3613" i="4"/>
  <c r="M3613" i="4"/>
  <c r="L3613" i="4"/>
  <c r="K3613" i="4"/>
  <c r="J3613" i="4"/>
  <c r="I3613" i="4"/>
  <c r="N3613" i="4"/>
  <c r="Q3612" i="4"/>
  <c r="P3612" i="4"/>
  <c r="O3612" i="4"/>
  <c r="M3612" i="4"/>
  <c r="L3612" i="4"/>
  <c r="K3612" i="4"/>
  <c r="J3612" i="4"/>
  <c r="I3612" i="4"/>
  <c r="N3612" i="4"/>
  <c r="Q3611" i="4"/>
  <c r="P3611" i="4"/>
  <c r="O3611" i="4"/>
  <c r="N3611" i="4"/>
  <c r="L3611" i="4"/>
  <c r="K3611" i="4"/>
  <c r="J3611" i="4"/>
  <c r="I3611" i="4"/>
  <c r="M3611" i="4"/>
  <c r="Q3610" i="4"/>
  <c r="P3610" i="4"/>
  <c r="O3610" i="4"/>
  <c r="N3610" i="4"/>
  <c r="L3610" i="4"/>
  <c r="K3610" i="4"/>
  <c r="J3610" i="4"/>
  <c r="I3610" i="4"/>
  <c r="M3610" i="4"/>
  <c r="Q3609" i="4"/>
  <c r="P3609" i="4"/>
  <c r="O3609" i="4"/>
  <c r="N3609" i="4"/>
  <c r="M3609" i="4"/>
  <c r="L3609" i="4"/>
  <c r="K3609" i="4"/>
  <c r="J3609" i="4"/>
  <c r="I3609" i="4"/>
  <c r="Q3606" i="4"/>
  <c r="P3606" i="4"/>
  <c r="O3606" i="4"/>
  <c r="M3606" i="4"/>
  <c r="L3606" i="4"/>
  <c r="K3606" i="4"/>
  <c r="J3606" i="4"/>
  <c r="I3606" i="4"/>
  <c r="N3606" i="4"/>
  <c r="Q3605" i="4"/>
  <c r="P3605" i="4"/>
  <c r="O3605" i="4"/>
  <c r="M3605" i="4"/>
  <c r="L3605" i="4"/>
  <c r="K3605" i="4"/>
  <c r="J3605" i="4"/>
  <c r="I3605" i="4"/>
  <c r="N3605" i="4"/>
  <c r="Q3604" i="4"/>
  <c r="P3604" i="4"/>
  <c r="O3604" i="4"/>
  <c r="M3604" i="4"/>
  <c r="L3604" i="4"/>
  <c r="K3604" i="4"/>
  <c r="J3604" i="4"/>
  <c r="I3604" i="4"/>
  <c r="N3604" i="4"/>
  <c r="Q3603" i="4"/>
  <c r="P3603" i="4"/>
  <c r="O3603" i="4"/>
  <c r="M3603" i="4"/>
  <c r="L3603" i="4"/>
  <c r="K3603" i="4"/>
  <c r="J3603" i="4"/>
  <c r="I3603" i="4"/>
  <c r="N3603" i="4"/>
  <c r="Q3602" i="4"/>
  <c r="P3602" i="4"/>
  <c r="O3602" i="4"/>
  <c r="M3602" i="4"/>
  <c r="L3602" i="4"/>
  <c r="K3602" i="4"/>
  <c r="J3602" i="4"/>
  <c r="I3602" i="4"/>
  <c r="N3602" i="4"/>
  <c r="Q3601" i="4"/>
  <c r="P3601" i="4"/>
  <c r="O3601" i="4"/>
  <c r="M3601" i="4"/>
  <c r="L3601" i="4"/>
  <c r="K3601" i="4"/>
  <c r="J3601" i="4"/>
  <c r="I3601" i="4"/>
  <c r="N3601" i="4"/>
  <c r="Q3600" i="4"/>
  <c r="P3600" i="4"/>
  <c r="O3600" i="4"/>
  <c r="N3600" i="4"/>
  <c r="M3600" i="4"/>
  <c r="L3600" i="4"/>
  <c r="K3600" i="4"/>
  <c r="I3600" i="4"/>
  <c r="J3600" i="4"/>
  <c r="Q3597" i="4"/>
  <c r="P3597" i="4"/>
  <c r="O3597" i="4"/>
  <c r="M3597" i="4"/>
  <c r="L3597" i="4"/>
  <c r="K3597" i="4"/>
  <c r="J3597" i="4"/>
  <c r="I3597" i="4"/>
  <c r="N3597" i="4"/>
  <c r="Q3596" i="4"/>
  <c r="P3596" i="4"/>
  <c r="O3596" i="4"/>
  <c r="M3596" i="4"/>
  <c r="L3596" i="4"/>
  <c r="K3596" i="4"/>
  <c r="J3596" i="4"/>
  <c r="I3596" i="4"/>
  <c r="N3596" i="4"/>
  <c r="Q3595" i="4"/>
  <c r="P3595" i="4"/>
  <c r="O3595" i="4"/>
  <c r="M3595" i="4"/>
  <c r="L3595" i="4"/>
  <c r="K3595" i="4"/>
  <c r="J3595" i="4"/>
  <c r="I3595" i="4"/>
  <c r="N3595" i="4"/>
  <c r="Q3594" i="4"/>
  <c r="P3594" i="4"/>
  <c r="O3594" i="4"/>
  <c r="M3594" i="4"/>
  <c r="L3594" i="4"/>
  <c r="K3594" i="4"/>
  <c r="J3594" i="4"/>
  <c r="I3594" i="4"/>
  <c r="N3594" i="4"/>
  <c r="Q3593" i="4"/>
  <c r="P3593" i="4"/>
  <c r="O3593" i="4"/>
  <c r="M3593" i="4"/>
  <c r="L3593" i="4"/>
  <c r="K3593" i="4"/>
  <c r="J3593" i="4"/>
  <c r="I3593" i="4"/>
  <c r="N3593" i="4"/>
  <c r="Q3592" i="4"/>
  <c r="P3592" i="4"/>
  <c r="O3592" i="4"/>
  <c r="M3592" i="4"/>
  <c r="L3592" i="4"/>
  <c r="K3592" i="4"/>
  <c r="J3592" i="4"/>
  <c r="I3592" i="4"/>
  <c r="N3592" i="4"/>
  <c r="Q3591" i="4"/>
  <c r="P3591" i="4"/>
  <c r="O3591" i="4"/>
  <c r="M3591" i="4"/>
  <c r="L3591" i="4"/>
  <c r="K3591" i="4"/>
  <c r="J3591" i="4"/>
  <c r="I3591" i="4"/>
  <c r="N3591" i="4"/>
  <c r="Q3590" i="4"/>
  <c r="P3590" i="4"/>
  <c r="O3590" i="4"/>
  <c r="N3590" i="4"/>
  <c r="M3590" i="4"/>
  <c r="L3590" i="4"/>
  <c r="K3590" i="4"/>
  <c r="I3590" i="4"/>
  <c r="J3590" i="4"/>
  <c r="Q3587" i="4"/>
  <c r="P3587" i="4"/>
  <c r="O3587" i="4"/>
  <c r="N3587" i="4"/>
  <c r="M3587" i="4"/>
  <c r="L3587" i="4"/>
  <c r="K3587" i="4"/>
  <c r="J3587" i="4"/>
  <c r="I3587" i="4"/>
  <c r="Q3586" i="4"/>
  <c r="P3586" i="4"/>
  <c r="O3586" i="4"/>
  <c r="N3586" i="4"/>
  <c r="M3586" i="4"/>
  <c r="L3586" i="4"/>
  <c r="K3586" i="4"/>
  <c r="J3586" i="4"/>
  <c r="I3586" i="4"/>
  <c r="Q3585" i="4"/>
  <c r="P3585" i="4"/>
  <c r="O3585" i="4"/>
  <c r="N3585" i="4"/>
  <c r="M3585" i="4"/>
  <c r="L3585" i="4"/>
  <c r="K3585" i="4"/>
  <c r="J3585" i="4"/>
  <c r="I3585" i="4"/>
  <c r="Q3584" i="4"/>
  <c r="P3584" i="4"/>
  <c r="O3584" i="4"/>
  <c r="M3584" i="4"/>
  <c r="L3584" i="4"/>
  <c r="K3584" i="4"/>
  <c r="J3584" i="4"/>
  <c r="I3584" i="4"/>
  <c r="N3584" i="4"/>
  <c r="Q3583" i="4"/>
  <c r="P3583" i="4"/>
  <c r="O3583" i="4"/>
  <c r="M3583" i="4"/>
  <c r="L3583" i="4"/>
  <c r="K3583" i="4"/>
  <c r="J3583" i="4"/>
  <c r="I3583" i="4"/>
  <c r="N3583" i="4"/>
  <c r="Q3582" i="4"/>
  <c r="P3582" i="4"/>
  <c r="O3582" i="4"/>
  <c r="M3582" i="4"/>
  <c r="L3582" i="4"/>
  <c r="K3582" i="4"/>
  <c r="J3582" i="4"/>
  <c r="I3582" i="4"/>
  <c r="N3582" i="4"/>
  <c r="Q3581" i="4"/>
  <c r="P3581" i="4"/>
  <c r="O3581" i="4"/>
  <c r="M3581" i="4"/>
  <c r="L3581" i="4"/>
  <c r="K3581" i="4"/>
  <c r="J3581" i="4"/>
  <c r="I3581" i="4"/>
  <c r="N3581" i="4"/>
  <c r="Q3580" i="4"/>
  <c r="P3580" i="4"/>
  <c r="O3580" i="4"/>
  <c r="N3580" i="4"/>
  <c r="L3580" i="4"/>
  <c r="K3580" i="4"/>
  <c r="J3580" i="4"/>
  <c r="I3580" i="4"/>
  <c r="M3580" i="4"/>
  <c r="Q3579" i="4"/>
  <c r="P3579" i="4"/>
  <c r="O3579" i="4"/>
  <c r="N3579" i="4"/>
  <c r="L3579" i="4"/>
  <c r="K3579" i="4"/>
  <c r="J3579" i="4"/>
  <c r="I3579" i="4"/>
  <c r="M3579" i="4"/>
  <c r="Q3578" i="4"/>
  <c r="P3578" i="4"/>
  <c r="O3578" i="4"/>
  <c r="N3578" i="4"/>
  <c r="L3578" i="4"/>
  <c r="K3578" i="4"/>
  <c r="J3578" i="4"/>
  <c r="I3578" i="4"/>
  <c r="M3578" i="4"/>
  <c r="Q3577" i="4"/>
  <c r="P3577" i="4"/>
  <c r="O3577" i="4"/>
  <c r="N3577" i="4"/>
  <c r="M3577" i="4"/>
  <c r="L3577" i="4"/>
  <c r="J3577" i="4"/>
  <c r="I3577" i="4"/>
  <c r="K3577" i="4"/>
  <c r="Q3576" i="4"/>
  <c r="P3576" i="4"/>
  <c r="O3576" i="4"/>
  <c r="N3576" i="4"/>
  <c r="M3576" i="4"/>
  <c r="L3576" i="4"/>
  <c r="K3576" i="4"/>
  <c r="I3576" i="4"/>
  <c r="J3576" i="4"/>
  <c r="Q3573" i="4"/>
  <c r="P3573" i="4"/>
  <c r="N3573" i="4"/>
  <c r="M3573" i="4"/>
  <c r="L3573" i="4"/>
  <c r="K3573" i="4"/>
  <c r="J3573" i="4"/>
  <c r="I3573" i="4"/>
  <c r="H3573" i="4"/>
  <c r="O3573" i="4" s="1"/>
  <c r="Q3572" i="4"/>
  <c r="P3572" i="4"/>
  <c r="N3572" i="4"/>
  <c r="M3572" i="4"/>
  <c r="L3572" i="4"/>
  <c r="K3572" i="4"/>
  <c r="J3572" i="4"/>
  <c r="I3572" i="4"/>
  <c r="H3572" i="4"/>
  <c r="O3572" i="4" s="1"/>
  <c r="Q3571" i="4"/>
  <c r="P3571" i="4"/>
  <c r="N3571" i="4"/>
  <c r="M3571" i="4"/>
  <c r="L3571" i="4"/>
  <c r="K3571" i="4"/>
  <c r="J3571" i="4"/>
  <c r="I3571" i="4"/>
  <c r="H3571" i="4"/>
  <c r="O3571" i="4" s="1"/>
  <c r="Q3570" i="4"/>
  <c r="P3570" i="4"/>
  <c r="O3570" i="4"/>
  <c r="N3570" i="4"/>
  <c r="L3570" i="4"/>
  <c r="K3570" i="4"/>
  <c r="J3570" i="4"/>
  <c r="I3570" i="4"/>
  <c r="H3570" i="4"/>
  <c r="M3570" i="4" s="1"/>
  <c r="Q3568" i="4"/>
  <c r="P3568" i="4"/>
  <c r="O3568" i="4"/>
  <c r="N3568" i="4"/>
  <c r="L3568" i="4"/>
  <c r="K3568" i="4"/>
  <c r="J3568" i="4"/>
  <c r="I3568" i="4"/>
  <c r="H3568" i="4"/>
  <c r="M3568" i="4" s="1"/>
  <c r="Q3567" i="4"/>
  <c r="P3567" i="4"/>
  <c r="O3567" i="4"/>
  <c r="N3567" i="4"/>
  <c r="L3567" i="4"/>
  <c r="K3567" i="4"/>
  <c r="J3567" i="4"/>
  <c r="I3567" i="4"/>
  <c r="H3567" i="4"/>
  <c r="M3567" i="4" s="1"/>
  <c r="Q3566" i="4"/>
  <c r="P3566" i="4"/>
  <c r="O3566" i="4"/>
  <c r="N3566" i="4"/>
  <c r="L3566" i="4"/>
  <c r="K3566" i="4"/>
  <c r="J3566" i="4"/>
  <c r="I3566" i="4"/>
  <c r="H3566" i="4"/>
  <c r="M3566" i="4" s="1"/>
  <c r="Q3565" i="4"/>
  <c r="P3565" i="4"/>
  <c r="O3565" i="4"/>
  <c r="N3565" i="4"/>
  <c r="L3565" i="4"/>
  <c r="K3565" i="4"/>
  <c r="J3565" i="4"/>
  <c r="I3565" i="4"/>
  <c r="H3565" i="4"/>
  <c r="M3565" i="4" s="1"/>
  <c r="Q3564" i="4"/>
  <c r="P3564" i="4"/>
  <c r="O3564" i="4"/>
  <c r="N3564" i="4"/>
  <c r="L3564" i="4"/>
  <c r="K3564" i="4"/>
  <c r="J3564" i="4"/>
  <c r="I3564" i="4"/>
  <c r="H3564" i="4"/>
  <c r="M3564" i="4" s="1"/>
  <c r="Q3563" i="4"/>
  <c r="P3563" i="4"/>
  <c r="O3563" i="4"/>
  <c r="N3563" i="4"/>
  <c r="L3563" i="4"/>
  <c r="K3563" i="4"/>
  <c r="J3563" i="4"/>
  <c r="I3563" i="4"/>
  <c r="H3563" i="4"/>
  <c r="M3563" i="4" s="1"/>
  <c r="Q3562" i="4"/>
  <c r="P3562" i="4"/>
  <c r="O3562" i="4"/>
  <c r="N3562" i="4"/>
  <c r="L3562" i="4"/>
  <c r="K3562" i="4"/>
  <c r="J3562" i="4"/>
  <c r="I3562" i="4"/>
  <c r="H3562" i="4"/>
  <c r="M3562" i="4" s="1"/>
  <c r="Q3561" i="4"/>
  <c r="P3561" i="4"/>
  <c r="O3561" i="4"/>
  <c r="N3561" i="4"/>
  <c r="M3561" i="4"/>
  <c r="L3561" i="4"/>
  <c r="K3561" i="4"/>
  <c r="I3561" i="4"/>
  <c r="H3561" i="4"/>
  <c r="J3561" i="4" s="1"/>
  <c r="Q3558" i="4"/>
  <c r="O3558" i="4"/>
  <c r="N3558" i="4"/>
  <c r="M3558" i="4"/>
  <c r="L3558" i="4"/>
  <c r="K3558" i="4"/>
  <c r="J3558" i="4"/>
  <c r="I3558" i="4"/>
  <c r="H3558" i="4"/>
  <c r="P3558" i="4" s="1"/>
  <c r="Q3557" i="4"/>
  <c r="P3557" i="4"/>
  <c r="O3557" i="4"/>
  <c r="M3557" i="4"/>
  <c r="L3557" i="4"/>
  <c r="K3557" i="4"/>
  <c r="J3557" i="4"/>
  <c r="I3557" i="4"/>
  <c r="H3557" i="4"/>
  <c r="N3557" i="4" s="1"/>
  <c r="Q3556" i="4"/>
  <c r="P3556" i="4"/>
  <c r="O3556" i="4"/>
  <c r="M3556" i="4"/>
  <c r="L3556" i="4"/>
  <c r="K3556" i="4"/>
  <c r="J3556" i="4"/>
  <c r="I3556" i="4"/>
  <c r="H3556" i="4"/>
  <c r="N3556" i="4" s="1"/>
  <c r="Q3555" i="4"/>
  <c r="P3555" i="4"/>
  <c r="O3555" i="4"/>
  <c r="N3555" i="4"/>
  <c r="L3555" i="4"/>
  <c r="K3555" i="4"/>
  <c r="J3555" i="4"/>
  <c r="I3555" i="4"/>
  <c r="H3555" i="4"/>
  <c r="M3555" i="4" s="1"/>
  <c r="Q3554" i="4"/>
  <c r="P3554" i="4"/>
  <c r="O3554" i="4"/>
  <c r="N3554" i="4"/>
  <c r="L3554" i="4"/>
  <c r="K3554" i="4"/>
  <c r="J3554" i="4"/>
  <c r="I3554" i="4"/>
  <c r="H3554" i="4"/>
  <c r="M3554" i="4" s="1"/>
  <c r="Q3553" i="4"/>
  <c r="P3553" i="4"/>
  <c r="O3553" i="4"/>
  <c r="N3553" i="4"/>
  <c r="L3553" i="4"/>
  <c r="K3553" i="4"/>
  <c r="J3553" i="4"/>
  <c r="I3553" i="4"/>
  <c r="H3553" i="4"/>
  <c r="M3553" i="4" s="1"/>
  <c r="Q3552" i="4"/>
  <c r="P3552" i="4"/>
  <c r="O3552" i="4"/>
  <c r="N3552" i="4"/>
  <c r="M3552" i="4"/>
  <c r="L3552" i="4"/>
  <c r="K3552" i="4"/>
  <c r="I3552" i="4"/>
  <c r="H3552" i="4"/>
  <c r="J3552" i="4" s="1"/>
  <c r="Q3549" i="4"/>
  <c r="P3549" i="4"/>
  <c r="O3549" i="4"/>
  <c r="M3549" i="4"/>
  <c r="L3549" i="4"/>
  <c r="K3549" i="4"/>
  <c r="J3549" i="4"/>
  <c r="I3549" i="4"/>
  <c r="H3549" i="4"/>
  <c r="N3549" i="4" s="1"/>
  <c r="Q3548" i="4"/>
  <c r="P3548" i="4"/>
  <c r="O3548" i="4"/>
  <c r="M3548" i="4"/>
  <c r="L3548" i="4"/>
  <c r="K3548" i="4"/>
  <c r="J3548" i="4"/>
  <c r="I3548" i="4"/>
  <c r="H3548" i="4"/>
  <c r="N3548" i="4" s="1"/>
  <c r="Q3547" i="4"/>
  <c r="P3547" i="4"/>
  <c r="O3547" i="4"/>
  <c r="M3547" i="4"/>
  <c r="L3547" i="4"/>
  <c r="K3547" i="4"/>
  <c r="J3547" i="4"/>
  <c r="I3547" i="4"/>
  <c r="H3547" i="4"/>
  <c r="N3547" i="4" s="1"/>
  <c r="Q3546" i="4"/>
  <c r="P3546" i="4"/>
  <c r="O3546" i="4"/>
  <c r="M3546" i="4"/>
  <c r="L3546" i="4"/>
  <c r="K3546" i="4"/>
  <c r="J3546" i="4"/>
  <c r="I3546" i="4"/>
  <c r="H3546" i="4"/>
  <c r="N3546" i="4" s="1"/>
  <c r="Q3545" i="4"/>
  <c r="P3545" i="4"/>
  <c r="O3545" i="4"/>
  <c r="M3545" i="4"/>
  <c r="L3545" i="4"/>
  <c r="K3545" i="4"/>
  <c r="J3545" i="4"/>
  <c r="I3545" i="4"/>
  <c r="H3545" i="4"/>
  <c r="N3545" i="4" s="1"/>
  <c r="Q3544" i="4"/>
  <c r="P3544" i="4"/>
  <c r="O3544" i="4"/>
  <c r="M3544" i="4"/>
  <c r="L3544" i="4"/>
  <c r="K3544" i="4"/>
  <c r="J3544" i="4"/>
  <c r="I3544" i="4"/>
  <c r="H3544" i="4"/>
  <c r="N3544" i="4" s="1"/>
  <c r="Q3543" i="4"/>
  <c r="P3543" i="4"/>
  <c r="O3543" i="4"/>
  <c r="N3543" i="4"/>
  <c r="M3543" i="4"/>
  <c r="L3543" i="4"/>
  <c r="K3543" i="4"/>
  <c r="I3543" i="4"/>
  <c r="H3543" i="4"/>
  <c r="J3543" i="4" s="1"/>
  <c r="Q3540" i="4"/>
  <c r="P3540" i="4"/>
  <c r="N3540" i="4"/>
  <c r="M3540" i="4"/>
  <c r="L3540" i="4"/>
  <c r="K3540" i="4"/>
  <c r="J3540" i="4"/>
  <c r="I3540" i="4"/>
  <c r="H3540" i="4"/>
  <c r="O3540" i="4" s="1"/>
  <c r="Q3539" i="4"/>
  <c r="P3539" i="4"/>
  <c r="N3539" i="4"/>
  <c r="M3539" i="4"/>
  <c r="L3539" i="4"/>
  <c r="K3539" i="4"/>
  <c r="J3539" i="4"/>
  <c r="I3539" i="4"/>
  <c r="H3539" i="4"/>
  <c r="O3539" i="4" s="1"/>
  <c r="Q3538" i="4"/>
  <c r="P3538" i="4"/>
  <c r="O3538" i="4"/>
  <c r="M3538" i="4"/>
  <c r="L3538" i="4"/>
  <c r="K3538" i="4"/>
  <c r="J3538" i="4"/>
  <c r="I3538" i="4"/>
  <c r="H3538" i="4"/>
  <c r="N3538" i="4" s="1"/>
  <c r="Q3537" i="4"/>
  <c r="P3537" i="4"/>
  <c r="O3537" i="4"/>
  <c r="M3537" i="4"/>
  <c r="L3537" i="4"/>
  <c r="K3537" i="4"/>
  <c r="J3537" i="4"/>
  <c r="I3537" i="4"/>
  <c r="H3537" i="4"/>
  <c r="N3537" i="4" s="1"/>
  <c r="Q3536" i="4"/>
  <c r="P3536" i="4"/>
  <c r="O3536" i="4"/>
  <c r="M3536" i="4"/>
  <c r="L3536" i="4"/>
  <c r="K3536" i="4"/>
  <c r="J3536" i="4"/>
  <c r="I3536" i="4"/>
  <c r="H3536" i="4"/>
  <c r="N3536" i="4" s="1"/>
  <c r="Q3535" i="4"/>
  <c r="P3535" i="4"/>
  <c r="O3535" i="4"/>
  <c r="M3535" i="4"/>
  <c r="L3535" i="4"/>
  <c r="K3535" i="4"/>
  <c r="J3535" i="4"/>
  <c r="I3535" i="4"/>
  <c r="H3535" i="4"/>
  <c r="N3535" i="4" s="1"/>
  <c r="Q3534" i="4"/>
  <c r="P3534" i="4"/>
  <c r="O3534" i="4"/>
  <c r="M3534" i="4"/>
  <c r="L3534" i="4"/>
  <c r="K3534" i="4"/>
  <c r="J3534" i="4"/>
  <c r="I3534" i="4"/>
  <c r="H3534" i="4"/>
  <c r="N3534" i="4" s="1"/>
  <c r="Q3533" i="4"/>
  <c r="P3533" i="4"/>
  <c r="O3533" i="4"/>
  <c r="M3533" i="4"/>
  <c r="L3533" i="4"/>
  <c r="K3533" i="4"/>
  <c r="J3533" i="4"/>
  <c r="I3533" i="4"/>
  <c r="H3533" i="4"/>
  <c r="N3533" i="4" s="1"/>
  <c r="Q3532" i="4"/>
  <c r="P3532" i="4"/>
  <c r="O3532" i="4"/>
  <c r="N3532" i="4"/>
  <c r="L3532" i="4"/>
  <c r="K3532" i="4"/>
  <c r="J3532" i="4"/>
  <c r="I3532" i="4"/>
  <c r="H3532" i="4"/>
  <c r="M3532" i="4" s="1"/>
  <c r="Q3531" i="4"/>
  <c r="P3531" i="4"/>
  <c r="O3531" i="4"/>
  <c r="N3531" i="4"/>
  <c r="M3531" i="4"/>
  <c r="L3531" i="4"/>
  <c r="K3531" i="4"/>
  <c r="I3531" i="4"/>
  <c r="H3531" i="4"/>
  <c r="J3531" i="4" s="1"/>
  <c r="Q3528" i="4"/>
  <c r="P3528" i="4"/>
  <c r="O3528" i="4"/>
  <c r="M3528" i="4"/>
  <c r="L3528" i="4"/>
  <c r="K3528" i="4"/>
  <c r="J3528" i="4"/>
  <c r="I3528" i="4"/>
  <c r="H3528" i="4"/>
  <c r="N3528" i="4" s="1"/>
  <c r="Q3527" i="4"/>
  <c r="P3527" i="4"/>
  <c r="O3527" i="4"/>
  <c r="N3527" i="4"/>
  <c r="L3527" i="4"/>
  <c r="K3527" i="4"/>
  <c r="J3527" i="4"/>
  <c r="I3527" i="4"/>
  <c r="H3527" i="4"/>
  <c r="M3527" i="4" s="1"/>
  <c r="Q3526" i="4"/>
  <c r="P3526" i="4"/>
  <c r="O3526" i="4"/>
  <c r="N3526" i="4"/>
  <c r="L3526" i="4"/>
  <c r="K3526" i="4"/>
  <c r="J3526" i="4"/>
  <c r="I3526" i="4"/>
  <c r="H3526" i="4"/>
  <c r="M3526" i="4" s="1"/>
  <c r="Q3525" i="4"/>
  <c r="P3525" i="4"/>
  <c r="O3525" i="4"/>
  <c r="N3525" i="4"/>
  <c r="M3525" i="4"/>
  <c r="L3525" i="4"/>
  <c r="K3525" i="4"/>
  <c r="I3525" i="4"/>
  <c r="H3525" i="4"/>
  <c r="J3525" i="4" s="1"/>
  <c r="Q3522" i="4"/>
  <c r="P3522" i="4"/>
  <c r="N3522" i="4"/>
  <c r="M3522" i="4"/>
  <c r="L3522" i="4"/>
  <c r="K3522" i="4"/>
  <c r="J3522" i="4"/>
  <c r="I3522" i="4"/>
  <c r="H3522" i="4"/>
  <c r="O3522" i="4" s="1"/>
  <c r="Q3521" i="4"/>
  <c r="P3521" i="4"/>
  <c r="O3521" i="4"/>
  <c r="M3521" i="4"/>
  <c r="L3521" i="4"/>
  <c r="K3521" i="4"/>
  <c r="J3521" i="4"/>
  <c r="I3521" i="4"/>
  <c r="H3521" i="4"/>
  <c r="N3521" i="4" s="1"/>
  <c r="Q3520" i="4"/>
  <c r="P3520" i="4"/>
  <c r="O3520" i="4"/>
  <c r="M3520" i="4"/>
  <c r="L3520" i="4"/>
  <c r="K3520" i="4"/>
  <c r="J3520" i="4"/>
  <c r="I3520" i="4"/>
  <c r="H3520" i="4"/>
  <c r="N3520" i="4" s="1"/>
  <c r="Q3519" i="4"/>
  <c r="P3519" i="4"/>
  <c r="O3519" i="4"/>
  <c r="N3519" i="4"/>
  <c r="M3519" i="4"/>
  <c r="L3519" i="4"/>
  <c r="K3519" i="4"/>
  <c r="I3519" i="4"/>
  <c r="H3519" i="4"/>
  <c r="J3519" i="4" s="1"/>
  <c r="Q3516" i="4"/>
  <c r="P3516" i="4"/>
  <c r="N3516" i="4"/>
  <c r="M3516" i="4"/>
  <c r="L3516" i="4"/>
  <c r="K3516" i="4"/>
  <c r="J3516" i="4"/>
  <c r="I3516" i="4"/>
  <c r="H3516" i="4"/>
  <c r="O3516" i="4" s="1"/>
  <c r="Q3515" i="4"/>
  <c r="P3515" i="4"/>
  <c r="N3515" i="4"/>
  <c r="M3515" i="4"/>
  <c r="L3515" i="4"/>
  <c r="K3515" i="4"/>
  <c r="J3515" i="4"/>
  <c r="I3515" i="4"/>
  <c r="H3515" i="4"/>
  <c r="O3515" i="4" s="1"/>
  <c r="Q3514" i="4"/>
  <c r="P3514" i="4"/>
  <c r="N3514" i="4"/>
  <c r="M3514" i="4"/>
  <c r="L3514" i="4"/>
  <c r="K3514" i="4"/>
  <c r="J3514" i="4"/>
  <c r="I3514" i="4"/>
  <c r="H3514" i="4"/>
  <c r="O3514" i="4" s="1"/>
  <c r="Q3513" i="4"/>
  <c r="P3513" i="4"/>
  <c r="N3513" i="4"/>
  <c r="M3513" i="4"/>
  <c r="L3513" i="4"/>
  <c r="K3513" i="4"/>
  <c r="J3513" i="4"/>
  <c r="I3513" i="4"/>
  <c r="H3513" i="4"/>
  <c r="O3513" i="4" s="1"/>
  <c r="Q3512" i="4"/>
  <c r="P3512" i="4"/>
  <c r="O3512" i="4"/>
  <c r="N3512" i="4"/>
  <c r="M3512" i="4"/>
  <c r="L3512" i="4"/>
  <c r="K3512" i="4"/>
  <c r="I3512" i="4"/>
  <c r="H3512" i="4"/>
  <c r="J3512" i="4" s="1"/>
  <c r="Q3509" i="4"/>
  <c r="P3509" i="4"/>
  <c r="O3509" i="4"/>
  <c r="N3509" i="4"/>
  <c r="L3509" i="4"/>
  <c r="K3509" i="4"/>
  <c r="J3509" i="4"/>
  <c r="I3509" i="4"/>
  <c r="H3509" i="4"/>
  <c r="M3509" i="4" s="1"/>
  <c r="Q3508" i="4"/>
  <c r="P3508" i="4"/>
  <c r="O3508" i="4"/>
  <c r="N3508" i="4"/>
  <c r="M3508" i="4"/>
  <c r="K3508" i="4"/>
  <c r="J3508" i="4"/>
  <c r="I3508" i="4"/>
  <c r="H3508" i="4"/>
  <c r="L3508" i="4" s="1"/>
  <c r="Q3507" i="4"/>
  <c r="P3507" i="4"/>
  <c r="O3507" i="4"/>
  <c r="N3507" i="4"/>
  <c r="M3507" i="4"/>
  <c r="L3507" i="4"/>
  <c r="K3507" i="4"/>
  <c r="I3507" i="4"/>
  <c r="H3507" i="4"/>
  <c r="J3507" i="4" s="1"/>
  <c r="Q3504" i="4"/>
  <c r="P3504" i="4"/>
  <c r="O3504" i="4"/>
  <c r="M3504" i="4"/>
  <c r="L3504" i="4"/>
  <c r="K3504" i="4"/>
  <c r="J3504" i="4"/>
  <c r="I3504" i="4"/>
  <c r="H3504" i="4"/>
  <c r="N3504" i="4" s="1"/>
  <c r="Q3503" i="4"/>
  <c r="P3503" i="4"/>
  <c r="O3503" i="4"/>
  <c r="M3503" i="4"/>
  <c r="L3503" i="4"/>
  <c r="K3503" i="4"/>
  <c r="J3503" i="4"/>
  <c r="I3503" i="4"/>
  <c r="H3503" i="4"/>
  <c r="N3503" i="4" s="1"/>
  <c r="Q3502" i="4"/>
  <c r="P3502" i="4"/>
  <c r="O3502" i="4"/>
  <c r="M3502" i="4"/>
  <c r="L3502" i="4"/>
  <c r="K3502" i="4"/>
  <c r="J3502" i="4"/>
  <c r="I3502" i="4"/>
  <c r="H3502" i="4"/>
  <c r="N3502" i="4" s="1"/>
  <c r="Q3501" i="4"/>
  <c r="P3501" i="4"/>
  <c r="O3501" i="4"/>
  <c r="M3501" i="4"/>
  <c r="L3501" i="4"/>
  <c r="K3501" i="4"/>
  <c r="J3501" i="4"/>
  <c r="I3501" i="4"/>
  <c r="H3501" i="4"/>
  <c r="N3501" i="4" s="1"/>
  <c r="Q3500" i="4"/>
  <c r="P3500" i="4"/>
  <c r="O3500" i="4"/>
  <c r="M3500" i="4"/>
  <c r="L3500" i="4"/>
  <c r="K3500" i="4"/>
  <c r="J3500" i="4"/>
  <c r="I3500" i="4"/>
  <c r="H3500" i="4"/>
  <c r="N3500" i="4" s="1"/>
  <c r="Q3499" i="4"/>
  <c r="P3499" i="4"/>
  <c r="O3499" i="4"/>
  <c r="N3499" i="4"/>
  <c r="L3499" i="4"/>
  <c r="K3499" i="4"/>
  <c r="J3499" i="4"/>
  <c r="I3499" i="4"/>
  <c r="H3499" i="4"/>
  <c r="M3499" i="4" s="1"/>
  <c r="Q3498" i="4"/>
  <c r="P3498" i="4"/>
  <c r="O3498" i="4"/>
  <c r="N3498" i="4"/>
  <c r="L3498" i="4"/>
  <c r="K3498" i="4"/>
  <c r="J3498" i="4"/>
  <c r="I3498" i="4"/>
  <c r="H3498" i="4"/>
  <c r="M3498" i="4" s="1"/>
  <c r="Q3497" i="4"/>
  <c r="P3497" i="4"/>
  <c r="O3497" i="4"/>
  <c r="N3497" i="4"/>
  <c r="L3497" i="4"/>
  <c r="K3497" i="4"/>
  <c r="J3497" i="4"/>
  <c r="I3497" i="4"/>
  <c r="H3497" i="4"/>
  <c r="M3497" i="4" s="1"/>
  <c r="Q3496" i="4"/>
  <c r="P3496" i="4"/>
  <c r="O3496" i="4"/>
  <c r="N3496" i="4"/>
  <c r="L3496" i="4"/>
  <c r="K3496" i="4"/>
  <c r="J3496" i="4"/>
  <c r="I3496" i="4"/>
  <c r="H3496" i="4"/>
  <c r="M3496" i="4" s="1"/>
  <c r="Q3495" i="4"/>
  <c r="P3495" i="4"/>
  <c r="O3495" i="4"/>
  <c r="N3495" i="4"/>
  <c r="L3495" i="4"/>
  <c r="K3495" i="4"/>
  <c r="J3495" i="4"/>
  <c r="I3495" i="4"/>
  <c r="H3495" i="4"/>
  <c r="M3495" i="4" s="1"/>
  <c r="Q3494" i="4"/>
  <c r="P3494" i="4"/>
  <c r="O3494" i="4"/>
  <c r="N3494" i="4"/>
  <c r="M3494" i="4"/>
  <c r="L3494" i="4"/>
  <c r="K3494" i="4"/>
  <c r="I3494" i="4"/>
  <c r="H3494" i="4"/>
  <c r="J3494" i="4" s="1"/>
  <c r="Q3491" i="4"/>
  <c r="P3491" i="4"/>
  <c r="O3491" i="4"/>
  <c r="N3491" i="4"/>
  <c r="L3491" i="4"/>
  <c r="K3491" i="4"/>
  <c r="J3491" i="4"/>
  <c r="I3491" i="4"/>
  <c r="H3491" i="4"/>
  <c r="M3491" i="4" s="1"/>
  <c r="Q3490" i="4"/>
  <c r="P3490" i="4"/>
  <c r="O3490" i="4"/>
  <c r="N3490" i="4"/>
  <c r="L3490" i="4"/>
  <c r="K3490" i="4"/>
  <c r="J3490" i="4"/>
  <c r="I3490" i="4"/>
  <c r="H3490" i="4"/>
  <c r="M3490" i="4" s="1"/>
  <c r="Q3489" i="4"/>
  <c r="P3489" i="4"/>
  <c r="O3489" i="4"/>
  <c r="N3489" i="4"/>
  <c r="L3489" i="4"/>
  <c r="K3489" i="4"/>
  <c r="J3489" i="4"/>
  <c r="I3489" i="4"/>
  <c r="H3489" i="4"/>
  <c r="M3489" i="4" s="1"/>
  <c r="Q3488" i="4"/>
  <c r="P3488" i="4"/>
  <c r="O3488" i="4"/>
  <c r="N3488" i="4"/>
  <c r="L3488" i="4"/>
  <c r="K3488" i="4"/>
  <c r="J3488" i="4"/>
  <c r="I3488" i="4"/>
  <c r="H3488" i="4"/>
  <c r="M3488" i="4" s="1"/>
  <c r="Q3487" i="4"/>
  <c r="P3487" i="4"/>
  <c r="O3487" i="4"/>
  <c r="N3487" i="4"/>
  <c r="L3487" i="4"/>
  <c r="K3487" i="4"/>
  <c r="J3487" i="4"/>
  <c r="I3487" i="4"/>
  <c r="H3487" i="4"/>
  <c r="M3487" i="4" s="1"/>
  <c r="Q3486" i="4"/>
  <c r="P3486" i="4"/>
  <c r="O3486" i="4"/>
  <c r="N3486" i="4"/>
  <c r="L3486" i="4"/>
  <c r="K3486" i="4"/>
  <c r="J3486" i="4"/>
  <c r="I3486" i="4"/>
  <c r="H3486" i="4"/>
  <c r="M3486" i="4" s="1"/>
  <c r="Q3479" i="4"/>
  <c r="P3479" i="4"/>
  <c r="O3479" i="4"/>
  <c r="N3479" i="4"/>
  <c r="L3479" i="4"/>
  <c r="K3479" i="4"/>
  <c r="J3479" i="4"/>
  <c r="I3479" i="4"/>
  <c r="H3479" i="4"/>
  <c r="M3479" i="4" s="1"/>
  <c r="Q3478" i="4"/>
  <c r="P3478" i="4"/>
  <c r="O3478" i="4"/>
  <c r="N3478" i="4"/>
  <c r="L3478" i="4"/>
  <c r="K3478" i="4"/>
  <c r="J3478" i="4"/>
  <c r="I3478" i="4"/>
  <c r="H3478" i="4"/>
  <c r="M3478" i="4" s="1"/>
  <c r="Q3477" i="4"/>
  <c r="P3477" i="4"/>
  <c r="O3477" i="4"/>
  <c r="N3477" i="4"/>
  <c r="M3477" i="4"/>
  <c r="K3477" i="4"/>
  <c r="J3477" i="4"/>
  <c r="I3477" i="4"/>
  <c r="H3477" i="4"/>
  <c r="L3477" i="4" s="1"/>
  <c r="Q3476" i="4"/>
  <c r="P3476" i="4"/>
  <c r="O3476" i="4"/>
  <c r="N3476" i="4"/>
  <c r="M3476" i="4"/>
  <c r="L3476" i="4"/>
  <c r="K3476" i="4"/>
  <c r="I3476" i="4"/>
  <c r="H3476" i="4"/>
  <c r="J3476" i="4" s="1"/>
  <c r="Q3473" i="4"/>
  <c r="P3473" i="4"/>
  <c r="O3473" i="4"/>
  <c r="N3473" i="4"/>
  <c r="L3473" i="4"/>
  <c r="K3473" i="4"/>
  <c r="J3473" i="4"/>
  <c r="I3473" i="4"/>
  <c r="H3473" i="4"/>
  <c r="M3473" i="4" s="1"/>
  <c r="Q3472" i="4"/>
  <c r="P3472" i="4"/>
  <c r="O3472" i="4"/>
  <c r="N3472" i="4"/>
  <c r="L3472" i="4"/>
  <c r="K3472" i="4"/>
  <c r="J3472" i="4"/>
  <c r="I3472" i="4"/>
  <c r="H3472" i="4"/>
  <c r="M3472" i="4" s="1"/>
  <c r="Q3471" i="4"/>
  <c r="P3471" i="4"/>
  <c r="O3471" i="4"/>
  <c r="N3471" i="4"/>
  <c r="L3471" i="4"/>
  <c r="K3471" i="4"/>
  <c r="J3471" i="4"/>
  <c r="I3471" i="4"/>
  <c r="H3471" i="4"/>
  <c r="M3471" i="4" s="1"/>
  <c r="Q3470" i="4"/>
  <c r="P3470" i="4"/>
  <c r="O3470" i="4"/>
  <c r="N3470" i="4"/>
  <c r="L3470" i="4"/>
  <c r="K3470" i="4"/>
  <c r="J3470" i="4"/>
  <c r="I3470" i="4"/>
  <c r="H3470" i="4"/>
  <c r="M3470" i="4" s="1"/>
  <c r="Q3469" i="4"/>
  <c r="P3469" i="4"/>
  <c r="O3469" i="4"/>
  <c r="N3469" i="4"/>
  <c r="M3469" i="4"/>
  <c r="K3469" i="4"/>
  <c r="J3469" i="4"/>
  <c r="I3469" i="4"/>
  <c r="H3469" i="4"/>
  <c r="L3469" i="4" s="1"/>
  <c r="Q3468" i="4"/>
  <c r="P3468" i="4"/>
  <c r="O3468" i="4"/>
  <c r="N3468" i="4"/>
  <c r="M3468" i="4"/>
  <c r="K3468" i="4"/>
  <c r="J3468" i="4"/>
  <c r="I3468" i="4"/>
  <c r="H3468" i="4"/>
  <c r="L3468" i="4" s="1"/>
  <c r="Q3467" i="4"/>
  <c r="P3467" i="4"/>
  <c r="O3467" i="4"/>
  <c r="N3467" i="4"/>
  <c r="M3467" i="4"/>
  <c r="K3467" i="4"/>
  <c r="J3467" i="4"/>
  <c r="I3467" i="4"/>
  <c r="H3467" i="4"/>
  <c r="L3467" i="4" s="1"/>
  <c r="Q3466" i="4"/>
  <c r="P3466" i="4"/>
  <c r="O3466" i="4"/>
  <c r="N3466" i="4"/>
  <c r="M3466" i="4"/>
  <c r="K3466" i="4"/>
  <c r="J3466" i="4"/>
  <c r="I3466" i="4"/>
  <c r="H3466" i="4"/>
  <c r="L3466" i="4" s="1"/>
  <c r="Q3465" i="4"/>
  <c r="P3465" i="4"/>
  <c r="O3465" i="4"/>
  <c r="N3465" i="4"/>
  <c r="M3465" i="4"/>
  <c r="L3465" i="4"/>
  <c r="K3465" i="4"/>
  <c r="I3465" i="4"/>
  <c r="H3465" i="4"/>
  <c r="J3465" i="4" s="1"/>
  <c r="Q3462" i="4"/>
  <c r="P3462" i="4"/>
  <c r="O3462" i="4"/>
  <c r="M3462" i="4"/>
  <c r="L3462" i="4"/>
  <c r="K3462" i="4"/>
  <c r="J3462" i="4"/>
  <c r="I3462" i="4"/>
  <c r="H3462" i="4"/>
  <c r="N3462" i="4" s="1"/>
  <c r="Q3461" i="4"/>
  <c r="P3461" i="4"/>
  <c r="O3461" i="4"/>
  <c r="M3461" i="4"/>
  <c r="L3461" i="4"/>
  <c r="K3461" i="4"/>
  <c r="J3461" i="4"/>
  <c r="I3461" i="4"/>
  <c r="H3461" i="4"/>
  <c r="N3461" i="4" s="1"/>
  <c r="Q3460" i="4"/>
  <c r="P3460" i="4"/>
  <c r="O3460" i="4"/>
  <c r="M3460" i="4"/>
  <c r="L3460" i="4"/>
  <c r="K3460" i="4"/>
  <c r="J3460" i="4"/>
  <c r="I3460" i="4"/>
  <c r="H3460" i="4"/>
  <c r="N3460" i="4" s="1"/>
  <c r="Q3459" i="4"/>
  <c r="P3459" i="4"/>
  <c r="O3459" i="4"/>
  <c r="N3459" i="4"/>
  <c r="L3459" i="4"/>
  <c r="K3459" i="4"/>
  <c r="J3459" i="4"/>
  <c r="I3459" i="4"/>
  <c r="H3459" i="4"/>
  <c r="M3459" i="4" s="1"/>
  <c r="Q3458" i="4"/>
  <c r="P3458" i="4"/>
  <c r="O3458" i="4"/>
  <c r="N3458" i="4"/>
  <c r="L3458" i="4"/>
  <c r="K3458" i="4"/>
  <c r="J3458" i="4"/>
  <c r="I3458" i="4"/>
  <c r="H3458" i="4"/>
  <c r="M3458" i="4" s="1"/>
  <c r="Q3457" i="4"/>
  <c r="P3457" i="4"/>
  <c r="O3457" i="4"/>
  <c r="N3457" i="4"/>
  <c r="M3457" i="4"/>
  <c r="L3457" i="4"/>
  <c r="K3457" i="4"/>
  <c r="I3457" i="4"/>
  <c r="H3457" i="4"/>
  <c r="J3457" i="4" s="1"/>
  <c r="Q3454" i="4"/>
  <c r="P3454" i="4"/>
  <c r="O3454" i="4"/>
  <c r="N3454" i="4"/>
  <c r="L3454" i="4"/>
  <c r="K3454" i="4"/>
  <c r="J3454" i="4"/>
  <c r="I3454" i="4"/>
  <c r="H3454" i="4"/>
  <c r="M3454" i="4" s="1"/>
  <c r="Q3453" i="4"/>
  <c r="P3453" i="4"/>
  <c r="O3453" i="4"/>
  <c r="N3453" i="4"/>
  <c r="M3453" i="4"/>
  <c r="K3453" i="4"/>
  <c r="J3453" i="4"/>
  <c r="I3453" i="4"/>
  <c r="H3453" i="4"/>
  <c r="L3453" i="4" s="1"/>
  <c r="Q3452" i="4"/>
  <c r="P3452" i="4"/>
  <c r="O3452" i="4"/>
  <c r="N3452" i="4"/>
  <c r="M3452" i="4"/>
  <c r="K3452" i="4"/>
  <c r="J3452" i="4"/>
  <c r="I3452" i="4"/>
  <c r="H3452" i="4"/>
  <c r="L3452" i="4" s="1"/>
  <c r="Q3451" i="4"/>
  <c r="P3451" i="4"/>
  <c r="O3451" i="4"/>
  <c r="N3451" i="4"/>
  <c r="M3451" i="4"/>
  <c r="L3451" i="4"/>
  <c r="K3451" i="4"/>
  <c r="I3451" i="4"/>
  <c r="H3451" i="4"/>
  <c r="J3451" i="4" s="1"/>
  <c r="Q3448" i="4"/>
  <c r="P3448" i="4"/>
  <c r="O3448" i="4"/>
  <c r="M3448" i="4"/>
  <c r="L3448" i="4"/>
  <c r="K3448" i="4"/>
  <c r="J3448" i="4"/>
  <c r="I3448" i="4"/>
  <c r="H3448" i="4"/>
  <c r="N3448" i="4" s="1"/>
  <c r="Q3447" i="4"/>
  <c r="P3447" i="4"/>
  <c r="O3447" i="4"/>
  <c r="M3447" i="4"/>
  <c r="L3447" i="4"/>
  <c r="K3447" i="4"/>
  <c r="J3447" i="4"/>
  <c r="I3447" i="4"/>
  <c r="H3447" i="4"/>
  <c r="N3447" i="4" s="1"/>
  <c r="Q3446" i="4"/>
  <c r="P3446" i="4"/>
  <c r="O3446" i="4"/>
  <c r="M3446" i="4"/>
  <c r="L3446" i="4"/>
  <c r="K3446" i="4"/>
  <c r="J3446" i="4"/>
  <c r="I3446" i="4"/>
  <c r="H3446" i="4"/>
  <c r="N3446" i="4" s="1"/>
  <c r="Q3445" i="4"/>
  <c r="P3445" i="4"/>
  <c r="O3445" i="4"/>
  <c r="N3445" i="4"/>
  <c r="M3445" i="4"/>
  <c r="K3445" i="4"/>
  <c r="J3445" i="4"/>
  <c r="I3445" i="4"/>
  <c r="H3445" i="4"/>
  <c r="L3445" i="4" s="1"/>
  <c r="Q3444" i="4"/>
  <c r="P3444" i="4"/>
  <c r="O3444" i="4"/>
  <c r="N3444" i="4"/>
  <c r="M3444" i="4"/>
  <c r="K3444" i="4"/>
  <c r="J3444" i="4"/>
  <c r="I3444" i="4"/>
  <c r="H3444" i="4"/>
  <c r="L3444" i="4" s="1"/>
  <c r="Q3443" i="4"/>
  <c r="P3443" i="4"/>
  <c r="O3443" i="4"/>
  <c r="N3443" i="4"/>
  <c r="M3443" i="4"/>
  <c r="L3443" i="4"/>
  <c r="K3443" i="4"/>
  <c r="I3443" i="4"/>
  <c r="H3443" i="4"/>
  <c r="J3443" i="4" s="1"/>
  <c r="Q3439" i="4"/>
  <c r="P3439" i="4"/>
  <c r="O3439" i="4"/>
  <c r="N3439" i="4"/>
  <c r="M3439" i="4"/>
  <c r="L3439" i="4"/>
  <c r="K3439" i="4"/>
  <c r="J3439" i="4"/>
  <c r="I3439" i="4"/>
  <c r="H3439" i="4"/>
  <c r="Q3438" i="4"/>
  <c r="P3438" i="4"/>
  <c r="O3438" i="4"/>
  <c r="N3438" i="4"/>
  <c r="M3438" i="4"/>
  <c r="L3438" i="4"/>
  <c r="K3438" i="4"/>
  <c r="J3438" i="4"/>
  <c r="I3438" i="4"/>
  <c r="H3438" i="4"/>
  <c r="Q3437" i="4"/>
  <c r="P3437" i="4"/>
  <c r="O3437" i="4"/>
  <c r="N3437" i="4"/>
  <c r="M3437" i="4"/>
  <c r="L3437" i="4"/>
  <c r="K3437" i="4"/>
  <c r="J3437" i="4"/>
  <c r="I3437" i="4"/>
  <c r="H3437" i="4"/>
  <c r="Q3436" i="4"/>
  <c r="P3436" i="4"/>
  <c r="O3436" i="4"/>
  <c r="N3436" i="4"/>
  <c r="M3436" i="4"/>
  <c r="L3436" i="4"/>
  <c r="K3436" i="4"/>
  <c r="J3436" i="4"/>
  <c r="I3436" i="4"/>
  <c r="H3436" i="4"/>
  <c r="Q3435" i="4"/>
  <c r="P3435" i="4"/>
  <c r="O3435" i="4"/>
  <c r="N3435" i="4"/>
  <c r="M3435" i="4"/>
  <c r="L3435" i="4"/>
  <c r="K3435" i="4"/>
  <c r="J3435" i="4"/>
  <c r="I3435" i="4"/>
  <c r="H3435" i="4"/>
  <c r="Q3434" i="4"/>
  <c r="P3434" i="4"/>
  <c r="O3434" i="4"/>
  <c r="M3434" i="4"/>
  <c r="L3434" i="4"/>
  <c r="K3434" i="4"/>
  <c r="J3434" i="4"/>
  <c r="I3434" i="4"/>
  <c r="H3434" i="4"/>
  <c r="N3434" i="4" s="1"/>
  <c r="Q3433" i="4"/>
  <c r="P3433" i="4"/>
  <c r="O3433" i="4"/>
  <c r="M3433" i="4"/>
  <c r="L3433" i="4"/>
  <c r="K3433" i="4"/>
  <c r="J3433" i="4"/>
  <c r="I3433" i="4"/>
  <c r="H3433" i="4"/>
  <c r="N3433" i="4" s="1"/>
  <c r="Q3432" i="4"/>
  <c r="P3432" i="4"/>
  <c r="O3432" i="4"/>
  <c r="M3432" i="4"/>
  <c r="L3432" i="4"/>
  <c r="K3432" i="4"/>
  <c r="J3432" i="4"/>
  <c r="I3432" i="4"/>
  <c r="H3432" i="4"/>
  <c r="N3432" i="4" s="1"/>
  <c r="Q3431" i="4"/>
  <c r="P3431" i="4"/>
  <c r="O3431" i="4"/>
  <c r="M3431" i="4"/>
  <c r="L3431" i="4"/>
  <c r="K3431" i="4"/>
  <c r="J3431" i="4"/>
  <c r="I3431" i="4"/>
  <c r="H3431" i="4"/>
  <c r="N3431" i="4" s="1"/>
  <c r="Q3430" i="4"/>
  <c r="P3430" i="4"/>
  <c r="O3430" i="4"/>
  <c r="M3430" i="4"/>
  <c r="L3430" i="4"/>
  <c r="K3430" i="4"/>
  <c r="J3430" i="4"/>
  <c r="I3430" i="4"/>
  <c r="H3430" i="4"/>
  <c r="N3430" i="4" s="1"/>
  <c r="Q3429" i="4"/>
  <c r="P3429" i="4"/>
  <c r="O3429" i="4"/>
  <c r="M3429" i="4"/>
  <c r="L3429" i="4"/>
  <c r="K3429" i="4"/>
  <c r="J3429" i="4"/>
  <c r="I3429" i="4"/>
  <c r="H3429" i="4"/>
  <c r="N3429" i="4" s="1"/>
  <c r="Q3428" i="4"/>
  <c r="P3428" i="4"/>
  <c r="O3428" i="4"/>
  <c r="N3428" i="4"/>
  <c r="M3428" i="4"/>
  <c r="L3428" i="4"/>
  <c r="K3428" i="4"/>
  <c r="I3428" i="4"/>
  <c r="H3428" i="4"/>
  <c r="J3428" i="4" s="1"/>
  <c r="Q3425" i="4"/>
  <c r="P3425" i="4"/>
  <c r="O3425" i="4"/>
  <c r="M3425" i="4"/>
  <c r="L3425" i="4"/>
  <c r="K3425" i="4"/>
  <c r="J3425" i="4"/>
  <c r="I3425" i="4"/>
  <c r="H3425" i="4"/>
  <c r="N3425" i="4" s="1"/>
  <c r="Q3424" i="4"/>
  <c r="P3424" i="4"/>
  <c r="O3424" i="4"/>
  <c r="M3424" i="4"/>
  <c r="L3424" i="4"/>
  <c r="K3424" i="4"/>
  <c r="J3424" i="4"/>
  <c r="I3424" i="4"/>
  <c r="H3424" i="4"/>
  <c r="N3424" i="4" s="1"/>
  <c r="Q3423" i="4"/>
  <c r="P3423" i="4"/>
  <c r="O3423" i="4"/>
  <c r="N3423" i="4"/>
  <c r="L3423" i="4"/>
  <c r="K3423" i="4"/>
  <c r="J3423" i="4"/>
  <c r="I3423" i="4"/>
  <c r="H3423" i="4"/>
  <c r="M3423" i="4" s="1"/>
  <c r="Q3422" i="4"/>
  <c r="P3422" i="4"/>
  <c r="O3422" i="4"/>
  <c r="N3422" i="4"/>
  <c r="L3422" i="4"/>
  <c r="K3422" i="4"/>
  <c r="J3422" i="4"/>
  <c r="I3422" i="4"/>
  <c r="H3422" i="4"/>
  <c r="M3422" i="4" s="1"/>
  <c r="Q3421" i="4"/>
  <c r="P3421" i="4"/>
  <c r="O3421" i="4"/>
  <c r="N3421" i="4"/>
  <c r="L3421" i="4"/>
  <c r="K3421" i="4"/>
  <c r="J3421" i="4"/>
  <c r="I3421" i="4"/>
  <c r="H3421" i="4"/>
  <c r="M3421" i="4" s="1"/>
  <c r="Q3420" i="4"/>
  <c r="P3420" i="4"/>
  <c r="O3420" i="4"/>
  <c r="N3420" i="4"/>
  <c r="M3420" i="4"/>
  <c r="L3420" i="4"/>
  <c r="K3420" i="4"/>
  <c r="I3420" i="4"/>
  <c r="H3420" i="4"/>
  <c r="J3420" i="4" s="1"/>
  <c r="Q3417" i="4"/>
  <c r="P3417" i="4"/>
  <c r="O3417" i="4"/>
  <c r="M3417" i="4"/>
  <c r="L3417" i="4"/>
  <c r="K3417" i="4"/>
  <c r="J3417" i="4"/>
  <c r="I3417" i="4"/>
  <c r="H3417" i="4"/>
  <c r="N3417" i="4" s="1"/>
  <c r="Q3416" i="4"/>
  <c r="P3416" i="4"/>
  <c r="O3416" i="4"/>
  <c r="M3416" i="4"/>
  <c r="L3416" i="4"/>
  <c r="K3416" i="4"/>
  <c r="J3416" i="4"/>
  <c r="I3416" i="4"/>
  <c r="H3416" i="4"/>
  <c r="N3416" i="4" s="1"/>
  <c r="Q3415" i="4"/>
  <c r="P3415" i="4"/>
  <c r="O3415" i="4"/>
  <c r="M3415" i="4"/>
  <c r="L3415" i="4"/>
  <c r="K3415" i="4"/>
  <c r="J3415" i="4"/>
  <c r="I3415" i="4"/>
  <c r="H3415" i="4"/>
  <c r="N3415" i="4" s="1"/>
  <c r="Q3414" i="4"/>
  <c r="P3414" i="4"/>
  <c r="O3414" i="4"/>
  <c r="M3414" i="4"/>
  <c r="L3414" i="4"/>
  <c r="K3414" i="4"/>
  <c r="J3414" i="4"/>
  <c r="I3414" i="4"/>
  <c r="H3414" i="4"/>
  <c r="N3414" i="4" s="1"/>
  <c r="Q3413" i="4"/>
  <c r="P3413" i="4"/>
  <c r="O3413" i="4"/>
  <c r="N3413" i="4"/>
  <c r="M3413" i="4"/>
  <c r="L3413" i="4"/>
  <c r="K3413" i="4"/>
  <c r="I3413" i="4"/>
  <c r="H3413" i="4"/>
  <c r="J3413" i="4" s="1"/>
  <c r="Q3410" i="4"/>
  <c r="P3410" i="4"/>
  <c r="O3410" i="4"/>
  <c r="M3410" i="4"/>
  <c r="L3410" i="4"/>
  <c r="K3410" i="4"/>
  <c r="J3410" i="4"/>
  <c r="I3410" i="4"/>
  <c r="H3410" i="4"/>
  <c r="N3410" i="4" s="1"/>
  <c r="Q3409" i="4"/>
  <c r="P3409" i="4"/>
  <c r="O3409" i="4"/>
  <c r="M3409" i="4"/>
  <c r="L3409" i="4"/>
  <c r="K3409" i="4"/>
  <c r="J3409" i="4"/>
  <c r="I3409" i="4"/>
  <c r="H3409" i="4"/>
  <c r="N3409" i="4" s="1"/>
  <c r="Q3408" i="4"/>
  <c r="P3408" i="4"/>
  <c r="O3408" i="4"/>
  <c r="M3408" i="4"/>
  <c r="L3408" i="4"/>
  <c r="K3408" i="4"/>
  <c r="J3408" i="4"/>
  <c r="I3408" i="4"/>
  <c r="H3408" i="4"/>
  <c r="N3408" i="4" s="1"/>
  <c r="Q3407" i="4"/>
  <c r="P3407" i="4"/>
  <c r="O3407" i="4"/>
  <c r="M3407" i="4"/>
  <c r="L3407" i="4"/>
  <c r="K3407" i="4"/>
  <c r="J3407" i="4"/>
  <c r="I3407" i="4"/>
  <c r="H3407" i="4"/>
  <c r="N3407" i="4" s="1"/>
  <c r="Q3406" i="4"/>
  <c r="P3406" i="4"/>
  <c r="O3406" i="4"/>
  <c r="N3406" i="4"/>
  <c r="M3406" i="4"/>
  <c r="L3406" i="4"/>
  <c r="K3406" i="4"/>
  <c r="I3406" i="4"/>
  <c r="H3406" i="4"/>
  <c r="J3406" i="4" s="1"/>
  <c r="Q3403" i="4"/>
  <c r="P3403" i="4"/>
  <c r="O3403" i="4"/>
  <c r="M3403" i="4"/>
  <c r="L3403" i="4"/>
  <c r="K3403" i="4"/>
  <c r="J3403" i="4"/>
  <c r="I3403" i="4"/>
  <c r="H3403" i="4"/>
  <c r="N3403" i="4" s="1"/>
  <c r="Q3402" i="4"/>
  <c r="P3402" i="4"/>
  <c r="O3402" i="4"/>
  <c r="M3402" i="4"/>
  <c r="L3402" i="4"/>
  <c r="K3402" i="4"/>
  <c r="J3402" i="4"/>
  <c r="I3402" i="4"/>
  <c r="H3402" i="4"/>
  <c r="N3402" i="4" s="1"/>
  <c r="Q3401" i="4"/>
  <c r="P3401" i="4"/>
  <c r="O3401" i="4"/>
  <c r="M3401" i="4"/>
  <c r="L3401" i="4"/>
  <c r="K3401" i="4"/>
  <c r="J3401" i="4"/>
  <c r="I3401" i="4"/>
  <c r="H3401" i="4"/>
  <c r="N3401" i="4" s="1"/>
  <c r="Q3400" i="4"/>
  <c r="P3400" i="4"/>
  <c r="O3400" i="4"/>
  <c r="N3400" i="4"/>
  <c r="L3400" i="4"/>
  <c r="K3400" i="4"/>
  <c r="J3400" i="4"/>
  <c r="I3400" i="4"/>
  <c r="H3400" i="4"/>
  <c r="M3400" i="4" s="1"/>
  <c r="Q3399" i="4"/>
  <c r="P3399" i="4"/>
  <c r="O3399" i="4"/>
  <c r="N3399" i="4"/>
  <c r="L3399" i="4"/>
  <c r="K3399" i="4"/>
  <c r="J3399" i="4"/>
  <c r="I3399" i="4"/>
  <c r="H3399" i="4"/>
  <c r="M3399" i="4" s="1"/>
  <c r="Q3398" i="4"/>
  <c r="P3398" i="4"/>
  <c r="O3398" i="4"/>
  <c r="N3398" i="4"/>
  <c r="L3398" i="4"/>
  <c r="K3398" i="4"/>
  <c r="J3398" i="4"/>
  <c r="I3398" i="4"/>
  <c r="H3398" i="4"/>
  <c r="M3398" i="4" s="1"/>
  <c r="Q3397" i="4"/>
  <c r="P3397" i="4"/>
  <c r="O3397" i="4"/>
  <c r="N3397" i="4"/>
  <c r="L3397" i="4"/>
  <c r="K3397" i="4"/>
  <c r="J3397" i="4"/>
  <c r="I3397" i="4"/>
  <c r="H3397" i="4"/>
  <c r="M3397" i="4" s="1"/>
  <c r="Q3396" i="4"/>
  <c r="P3396" i="4"/>
  <c r="O3396" i="4"/>
  <c r="N3396" i="4"/>
  <c r="L3396" i="4"/>
  <c r="K3396" i="4"/>
  <c r="J3396" i="4"/>
  <c r="I3396" i="4"/>
  <c r="H3396" i="4"/>
  <c r="M3396" i="4" s="1"/>
  <c r="Q3395" i="4"/>
  <c r="P3395" i="4"/>
  <c r="O3395" i="4"/>
  <c r="N3395" i="4"/>
  <c r="L3395" i="4"/>
  <c r="K3395" i="4"/>
  <c r="J3395" i="4"/>
  <c r="I3395" i="4"/>
  <c r="H3395" i="4"/>
  <c r="M3395" i="4" s="1"/>
  <c r="Q3394" i="4"/>
  <c r="P3394" i="4"/>
  <c r="O3394" i="4"/>
  <c r="N3394" i="4"/>
  <c r="M3394" i="4"/>
  <c r="L3394" i="4"/>
  <c r="K3394" i="4"/>
  <c r="I3394" i="4"/>
  <c r="H3394" i="4"/>
  <c r="J3394" i="4" s="1"/>
  <c r="Q3391" i="4"/>
  <c r="P3391" i="4"/>
  <c r="O3391" i="4"/>
  <c r="N3391" i="4"/>
  <c r="L3391" i="4"/>
  <c r="K3391" i="4"/>
  <c r="J3391" i="4"/>
  <c r="I3391" i="4"/>
  <c r="H3391" i="4"/>
  <c r="M3391" i="4" s="1"/>
  <c r="Q3390" i="4"/>
  <c r="P3390" i="4"/>
  <c r="O3390" i="4"/>
  <c r="N3390" i="4"/>
  <c r="M3390" i="4"/>
  <c r="K3390" i="4"/>
  <c r="J3390" i="4"/>
  <c r="I3390" i="4"/>
  <c r="H3390" i="4"/>
  <c r="L3390" i="4" s="1"/>
  <c r="Q3389" i="4"/>
  <c r="P3389" i="4"/>
  <c r="O3389" i="4"/>
  <c r="N3389" i="4"/>
  <c r="M3389" i="4"/>
  <c r="K3389" i="4"/>
  <c r="J3389" i="4"/>
  <c r="I3389" i="4"/>
  <c r="H3389" i="4"/>
  <c r="L3389" i="4" s="1"/>
  <c r="Q3388" i="4"/>
  <c r="P3388" i="4"/>
  <c r="O3388" i="4"/>
  <c r="N3388" i="4"/>
  <c r="M3388" i="4"/>
  <c r="L3388" i="4"/>
  <c r="K3388" i="4"/>
  <c r="I3388" i="4"/>
  <c r="H3388" i="4"/>
  <c r="J3388" i="4" s="1"/>
  <c r="Q3822" i="4"/>
  <c r="P3822" i="4"/>
  <c r="O3822" i="4"/>
  <c r="M3822" i="4"/>
  <c r="L3822" i="4"/>
  <c r="K3822" i="4"/>
  <c r="J3822" i="4"/>
  <c r="I3822" i="4"/>
  <c r="H3822" i="4"/>
  <c r="N3822" i="4" s="1"/>
  <c r="Q3821" i="4"/>
  <c r="P3821" i="4"/>
  <c r="O3821" i="4"/>
  <c r="M3821" i="4"/>
  <c r="L3821" i="4"/>
  <c r="K3821" i="4"/>
  <c r="J3821" i="4"/>
  <c r="I3821" i="4"/>
  <c r="H3821" i="4"/>
  <c r="N3821" i="4" s="1"/>
  <c r="Q3820" i="4"/>
  <c r="P3820" i="4"/>
  <c r="O3820" i="4"/>
  <c r="M3820" i="4"/>
  <c r="L3820" i="4"/>
  <c r="K3820" i="4"/>
  <c r="J3820" i="4"/>
  <c r="I3820" i="4"/>
  <c r="H3820" i="4"/>
  <c r="N3820" i="4" s="1"/>
  <c r="Q3819" i="4"/>
  <c r="P3819" i="4"/>
  <c r="O3819" i="4"/>
  <c r="M3819" i="4"/>
  <c r="L3819" i="4"/>
  <c r="K3819" i="4"/>
  <c r="J3819" i="4"/>
  <c r="I3819" i="4"/>
  <c r="H3819" i="4"/>
  <c r="N3819" i="4" s="1"/>
  <c r="Q3818" i="4"/>
  <c r="P3818" i="4"/>
  <c r="O3818" i="4"/>
  <c r="M3818" i="4"/>
  <c r="L3818" i="4"/>
  <c r="K3818" i="4"/>
  <c r="J3818" i="4"/>
  <c r="I3818" i="4"/>
  <c r="H3818" i="4"/>
  <c r="N3818" i="4" s="1"/>
  <c r="Q3817" i="4"/>
  <c r="P3817" i="4"/>
  <c r="O3817" i="4"/>
  <c r="N3817" i="4"/>
  <c r="M3817" i="4"/>
  <c r="L3817" i="4"/>
  <c r="K3817" i="4"/>
  <c r="I3817" i="4"/>
  <c r="H3817" i="4"/>
  <c r="J3817" i="4" s="1"/>
  <c r="Q3814" i="4"/>
  <c r="P3814" i="4"/>
  <c r="O3814" i="4"/>
  <c r="N3814" i="4"/>
  <c r="L3814" i="4"/>
  <c r="K3814" i="4"/>
  <c r="J3814" i="4"/>
  <c r="I3814" i="4"/>
  <c r="H3814" i="4"/>
  <c r="M3814" i="4" s="1"/>
  <c r="Q3813" i="4"/>
  <c r="P3813" i="4"/>
  <c r="O3813" i="4"/>
  <c r="N3813" i="4"/>
  <c r="L3813" i="4"/>
  <c r="K3813" i="4"/>
  <c r="J3813" i="4"/>
  <c r="I3813" i="4"/>
  <c r="H3813" i="4"/>
  <c r="M3813" i="4" s="1"/>
  <c r="Q3812" i="4"/>
  <c r="P3812" i="4"/>
  <c r="O3812" i="4"/>
  <c r="N3812" i="4"/>
  <c r="M3812" i="4"/>
  <c r="L3812" i="4"/>
  <c r="K3812" i="4"/>
  <c r="I3812" i="4"/>
  <c r="H3812" i="4"/>
  <c r="J3812" i="4" s="1"/>
  <c r="Q3809" i="4"/>
  <c r="P3809" i="4"/>
  <c r="O3809" i="4"/>
  <c r="N3809" i="4"/>
  <c r="M3809" i="4"/>
  <c r="L3809" i="4"/>
  <c r="K3809" i="4"/>
  <c r="J3809" i="4"/>
  <c r="I3809" i="4"/>
  <c r="H3809" i="4"/>
  <c r="Q3808" i="4"/>
  <c r="P3808" i="4"/>
  <c r="O3808" i="4"/>
  <c r="M3808" i="4"/>
  <c r="L3808" i="4"/>
  <c r="K3808" i="4"/>
  <c r="J3808" i="4"/>
  <c r="I3808" i="4"/>
  <c r="H3808" i="4"/>
  <c r="N3808" i="4" s="1"/>
  <c r="Q3807" i="4"/>
  <c r="P3807" i="4"/>
  <c r="O3807" i="4"/>
  <c r="M3807" i="4"/>
  <c r="L3807" i="4"/>
  <c r="K3807" i="4"/>
  <c r="J3807" i="4"/>
  <c r="I3807" i="4"/>
  <c r="H3807" i="4"/>
  <c r="N3807" i="4" s="1"/>
  <c r="Q3806" i="4"/>
  <c r="P3806" i="4"/>
  <c r="O3806" i="4"/>
  <c r="M3806" i="4"/>
  <c r="L3806" i="4"/>
  <c r="K3806" i="4"/>
  <c r="J3806" i="4"/>
  <c r="I3806" i="4"/>
  <c r="H3806" i="4"/>
  <c r="N3806" i="4" s="1"/>
  <c r="Q3805" i="4"/>
  <c r="P3805" i="4"/>
  <c r="O3805" i="4"/>
  <c r="M3805" i="4"/>
  <c r="L3805" i="4"/>
  <c r="K3805" i="4"/>
  <c r="J3805" i="4"/>
  <c r="I3805" i="4"/>
  <c r="H3805" i="4"/>
  <c r="N3805" i="4" s="1"/>
  <c r="Q3804" i="4"/>
  <c r="P3804" i="4"/>
  <c r="O3804" i="4"/>
  <c r="M3804" i="4"/>
  <c r="L3804" i="4"/>
  <c r="K3804" i="4"/>
  <c r="J3804" i="4"/>
  <c r="I3804" i="4"/>
  <c r="H3804" i="4"/>
  <c r="N3804" i="4" s="1"/>
  <c r="Q3803" i="4"/>
  <c r="P3803" i="4"/>
  <c r="O3803" i="4"/>
  <c r="M3803" i="4"/>
  <c r="L3803" i="4"/>
  <c r="K3803" i="4"/>
  <c r="J3803" i="4"/>
  <c r="I3803" i="4"/>
  <c r="H3803" i="4"/>
  <c r="N3803" i="4" s="1"/>
  <c r="Q3802" i="4"/>
  <c r="P3802" i="4"/>
  <c r="O3802" i="4"/>
  <c r="M3802" i="4"/>
  <c r="L3802" i="4"/>
  <c r="K3802" i="4"/>
  <c r="J3802" i="4"/>
  <c r="I3802" i="4"/>
  <c r="H3802" i="4"/>
  <c r="N3802" i="4" s="1"/>
  <c r="Q3801" i="4"/>
  <c r="P3801" i="4"/>
  <c r="O3801" i="4"/>
  <c r="M3801" i="4"/>
  <c r="L3801" i="4"/>
  <c r="K3801" i="4"/>
  <c r="J3801" i="4"/>
  <c r="I3801" i="4"/>
  <c r="H3801" i="4"/>
  <c r="N3801" i="4" s="1"/>
  <c r="Q3800" i="4"/>
  <c r="P3800" i="4"/>
  <c r="O3800" i="4"/>
  <c r="N3800" i="4"/>
  <c r="L3800" i="4"/>
  <c r="K3800" i="4"/>
  <c r="J3800" i="4"/>
  <c r="I3800" i="4"/>
  <c r="H3800" i="4"/>
  <c r="M3800" i="4" s="1"/>
  <c r="Q3799" i="4"/>
  <c r="P3799" i="4"/>
  <c r="O3799" i="4"/>
  <c r="N3799" i="4"/>
  <c r="M3799" i="4"/>
  <c r="L3799" i="4"/>
  <c r="K3799" i="4"/>
  <c r="I3799" i="4"/>
  <c r="H3799" i="4"/>
  <c r="J3799" i="4" s="1"/>
  <c r="Q3798" i="4"/>
  <c r="P3798" i="4"/>
  <c r="O3798" i="4"/>
  <c r="N3798" i="4"/>
  <c r="M3798" i="4"/>
  <c r="L3798" i="4"/>
  <c r="K3798" i="4"/>
  <c r="I3798" i="4"/>
  <c r="H3798" i="4"/>
  <c r="J3798" i="4" s="1"/>
  <c r="Q3795" i="4"/>
  <c r="P3795" i="4"/>
  <c r="O3795" i="4"/>
  <c r="M3795" i="4"/>
  <c r="L3795" i="4"/>
  <c r="K3795" i="4"/>
  <c r="J3795" i="4"/>
  <c r="I3795" i="4"/>
  <c r="H3795" i="4"/>
  <c r="N3795" i="4" s="1"/>
  <c r="Q3794" i="4"/>
  <c r="P3794" i="4"/>
  <c r="O3794" i="4"/>
  <c r="N3794" i="4"/>
  <c r="L3794" i="4"/>
  <c r="K3794" i="4"/>
  <c r="J3794" i="4"/>
  <c r="I3794" i="4"/>
  <c r="H3794" i="4"/>
  <c r="M3794" i="4" s="1"/>
  <c r="Q3793" i="4"/>
  <c r="P3793" i="4"/>
  <c r="O3793" i="4"/>
  <c r="N3793" i="4"/>
  <c r="M3793" i="4"/>
  <c r="L3793" i="4"/>
  <c r="K3793" i="4"/>
  <c r="I3793" i="4"/>
  <c r="H3793" i="4"/>
  <c r="J3793" i="4" s="1"/>
  <c r="Q3790" i="4"/>
  <c r="P3790" i="4"/>
  <c r="O3790" i="4"/>
  <c r="N3790" i="4"/>
  <c r="M3790" i="4"/>
  <c r="L3790" i="4"/>
  <c r="K3790" i="4"/>
  <c r="J3790" i="4"/>
  <c r="I3790" i="4"/>
  <c r="H3790" i="4"/>
  <c r="Q3789" i="4"/>
  <c r="P3789" i="4"/>
  <c r="O3789" i="4"/>
  <c r="M3789" i="4"/>
  <c r="L3789" i="4"/>
  <c r="K3789" i="4"/>
  <c r="J3789" i="4"/>
  <c r="I3789" i="4"/>
  <c r="H3789" i="4"/>
  <c r="N3789" i="4" s="1"/>
  <c r="Q3788" i="4"/>
  <c r="P3788" i="4"/>
  <c r="O3788" i="4"/>
  <c r="M3788" i="4"/>
  <c r="L3788" i="4"/>
  <c r="K3788" i="4"/>
  <c r="J3788" i="4"/>
  <c r="I3788" i="4"/>
  <c r="H3788" i="4"/>
  <c r="N3788" i="4" s="1"/>
  <c r="Q3787" i="4"/>
  <c r="P3787" i="4"/>
  <c r="O3787" i="4"/>
  <c r="M3787" i="4"/>
  <c r="L3787" i="4"/>
  <c r="K3787" i="4"/>
  <c r="J3787" i="4"/>
  <c r="I3787" i="4"/>
  <c r="H3787" i="4"/>
  <c r="N3787" i="4" s="1"/>
  <c r="Q3786" i="4"/>
  <c r="P3786" i="4"/>
  <c r="O3786" i="4"/>
  <c r="M3786" i="4"/>
  <c r="L3786" i="4"/>
  <c r="K3786" i="4"/>
  <c r="J3786" i="4"/>
  <c r="I3786" i="4"/>
  <c r="H3786" i="4"/>
  <c r="N3786" i="4" s="1"/>
  <c r="Q3785" i="4"/>
  <c r="P3785" i="4"/>
  <c r="O3785" i="4"/>
  <c r="N3785" i="4"/>
  <c r="M3785" i="4"/>
  <c r="L3785" i="4"/>
  <c r="K3785" i="4"/>
  <c r="I3785" i="4"/>
  <c r="H3785" i="4"/>
  <c r="J3785" i="4" s="1"/>
  <c r="Q3782" i="4"/>
  <c r="P3782" i="4"/>
  <c r="O3782" i="4"/>
  <c r="N3782" i="4"/>
  <c r="M3782" i="4"/>
  <c r="L3782" i="4"/>
  <c r="K3782" i="4"/>
  <c r="J3782" i="4"/>
  <c r="I3782" i="4"/>
  <c r="H3782" i="4"/>
  <c r="Q3781" i="4"/>
  <c r="P3781" i="4"/>
  <c r="O3781" i="4"/>
  <c r="M3781" i="4"/>
  <c r="L3781" i="4"/>
  <c r="K3781" i="4"/>
  <c r="J3781" i="4"/>
  <c r="I3781" i="4"/>
  <c r="H3781" i="4"/>
  <c r="N3781" i="4" s="1"/>
  <c r="Q3780" i="4"/>
  <c r="P3780" i="4"/>
  <c r="O3780" i="4"/>
  <c r="M3780" i="4"/>
  <c r="L3780" i="4"/>
  <c r="K3780" i="4"/>
  <c r="J3780" i="4"/>
  <c r="I3780" i="4"/>
  <c r="H3780" i="4"/>
  <c r="N3780" i="4" s="1"/>
  <c r="Q3779" i="4"/>
  <c r="P3779" i="4"/>
  <c r="O3779" i="4"/>
  <c r="M3779" i="4"/>
  <c r="L3779" i="4"/>
  <c r="K3779" i="4"/>
  <c r="J3779" i="4"/>
  <c r="I3779" i="4"/>
  <c r="H3779" i="4"/>
  <c r="N3779" i="4" s="1"/>
  <c r="Q3778" i="4"/>
  <c r="P3778" i="4"/>
  <c r="O3778" i="4"/>
  <c r="M3778" i="4"/>
  <c r="L3778" i="4"/>
  <c r="K3778" i="4"/>
  <c r="J3778" i="4"/>
  <c r="I3778" i="4"/>
  <c r="H3778" i="4"/>
  <c r="N3778" i="4" s="1"/>
  <c r="Q3777" i="4"/>
  <c r="P3777" i="4"/>
  <c r="O3777" i="4"/>
  <c r="M3777" i="4"/>
  <c r="L3777" i="4"/>
  <c r="K3777" i="4"/>
  <c r="J3777" i="4"/>
  <c r="I3777" i="4"/>
  <c r="H3777" i="4"/>
  <c r="N3777" i="4" s="1"/>
  <c r="Q3776" i="4"/>
  <c r="P3776" i="4"/>
  <c r="O3776" i="4"/>
  <c r="M3776" i="4"/>
  <c r="L3776" i="4"/>
  <c r="K3776" i="4"/>
  <c r="J3776" i="4"/>
  <c r="I3776" i="4"/>
  <c r="H3776" i="4"/>
  <c r="N3776" i="4" s="1"/>
  <c r="Q3775" i="4"/>
  <c r="P3775" i="4"/>
  <c r="O3775" i="4"/>
  <c r="M3775" i="4"/>
  <c r="L3775" i="4"/>
  <c r="K3775" i="4"/>
  <c r="J3775" i="4"/>
  <c r="I3775" i="4"/>
  <c r="H3775" i="4"/>
  <c r="N3775" i="4" s="1"/>
  <c r="Q3774" i="4"/>
  <c r="P3774" i="4"/>
  <c r="O3774" i="4"/>
  <c r="M3774" i="4"/>
  <c r="L3774" i="4"/>
  <c r="K3774" i="4"/>
  <c r="J3774" i="4"/>
  <c r="I3774" i="4"/>
  <c r="H3774" i="4"/>
  <c r="N3774" i="4" s="1"/>
  <c r="Q3773" i="4"/>
  <c r="P3773" i="4"/>
  <c r="O3773" i="4"/>
  <c r="M3773" i="4"/>
  <c r="L3773" i="4"/>
  <c r="K3773" i="4"/>
  <c r="J3773" i="4"/>
  <c r="I3773" i="4"/>
  <c r="H3773" i="4"/>
  <c r="N3773" i="4" s="1"/>
  <c r="Q3772" i="4"/>
  <c r="P3772" i="4"/>
  <c r="O3772" i="4"/>
  <c r="M3772" i="4"/>
  <c r="L3772" i="4"/>
  <c r="K3772" i="4"/>
  <c r="J3772" i="4"/>
  <c r="I3772" i="4"/>
  <c r="H3772" i="4"/>
  <c r="N3772" i="4" s="1"/>
  <c r="Q3771" i="4"/>
  <c r="P3771" i="4"/>
  <c r="O3771" i="4"/>
  <c r="N3771" i="4"/>
  <c r="M3771" i="4"/>
  <c r="L3771" i="4"/>
  <c r="K3771" i="4"/>
  <c r="I3771" i="4"/>
  <c r="H3771" i="4"/>
  <c r="J3771" i="4" s="1"/>
  <c r="Q3768" i="4"/>
  <c r="P3768" i="4"/>
  <c r="O3768" i="4"/>
  <c r="M3768" i="4"/>
  <c r="L3768" i="4"/>
  <c r="K3768" i="4"/>
  <c r="J3768" i="4"/>
  <c r="I3768" i="4"/>
  <c r="H3768" i="4"/>
  <c r="N3768" i="4" s="1"/>
  <c r="Q3767" i="4"/>
  <c r="P3767" i="4"/>
  <c r="O3767" i="4"/>
  <c r="M3767" i="4"/>
  <c r="L3767" i="4"/>
  <c r="K3767" i="4"/>
  <c r="J3767" i="4"/>
  <c r="I3767" i="4"/>
  <c r="H3767" i="4"/>
  <c r="N3767" i="4" s="1"/>
  <c r="Q3766" i="4"/>
  <c r="P3766" i="4"/>
  <c r="O3766" i="4"/>
  <c r="M3766" i="4"/>
  <c r="L3766" i="4"/>
  <c r="K3766" i="4"/>
  <c r="J3766" i="4"/>
  <c r="I3766" i="4"/>
  <c r="H3766" i="4"/>
  <c r="N3766" i="4" s="1"/>
  <c r="Q3765" i="4"/>
  <c r="P3765" i="4"/>
  <c r="O3765" i="4"/>
  <c r="M3765" i="4"/>
  <c r="L3765" i="4"/>
  <c r="K3765" i="4"/>
  <c r="J3765" i="4"/>
  <c r="I3765" i="4"/>
  <c r="H3765" i="4"/>
  <c r="N3765" i="4" s="1"/>
  <c r="Q3764" i="4"/>
  <c r="P3764" i="4"/>
  <c r="O3764" i="4"/>
  <c r="M3764" i="4"/>
  <c r="L3764" i="4"/>
  <c r="K3764" i="4"/>
  <c r="J3764" i="4"/>
  <c r="I3764" i="4"/>
  <c r="H3764" i="4"/>
  <c r="N3764" i="4" s="1"/>
  <c r="Q3763" i="4"/>
  <c r="P3763" i="4"/>
  <c r="O3763" i="4"/>
  <c r="N3763" i="4"/>
  <c r="M3763" i="4"/>
  <c r="L3763" i="4"/>
  <c r="K3763" i="4"/>
  <c r="I3763" i="4"/>
  <c r="H3763" i="4"/>
  <c r="J3763" i="4" s="1"/>
  <c r="Q3760" i="4"/>
  <c r="P3760" i="4"/>
  <c r="O3760" i="4"/>
  <c r="M3760" i="4"/>
  <c r="L3760" i="4"/>
  <c r="K3760" i="4"/>
  <c r="J3760" i="4"/>
  <c r="I3760" i="4"/>
  <c r="H3760" i="4"/>
  <c r="N3760" i="4" s="1"/>
  <c r="Q3759" i="4"/>
  <c r="P3759" i="4"/>
  <c r="O3759" i="4"/>
  <c r="M3759" i="4"/>
  <c r="L3759" i="4"/>
  <c r="K3759" i="4"/>
  <c r="J3759" i="4"/>
  <c r="I3759" i="4"/>
  <c r="H3759" i="4"/>
  <c r="N3759" i="4" s="1"/>
  <c r="Q3758" i="4"/>
  <c r="P3758" i="4"/>
  <c r="O3758" i="4"/>
  <c r="N3758" i="4"/>
  <c r="M3758" i="4"/>
  <c r="L3758" i="4"/>
  <c r="K3758" i="4"/>
  <c r="I3758" i="4"/>
  <c r="H3758" i="4"/>
  <c r="J3758" i="4" s="1"/>
  <c r="Q3755" i="4"/>
  <c r="P3755" i="4"/>
  <c r="O3755" i="4"/>
  <c r="N3755" i="4"/>
  <c r="M3755" i="4"/>
  <c r="L3755" i="4"/>
  <c r="K3755" i="4"/>
  <c r="J3755" i="4"/>
  <c r="I3755" i="4"/>
  <c r="H3755" i="4"/>
  <c r="Q3754" i="4"/>
  <c r="P3754" i="4"/>
  <c r="O3754" i="4"/>
  <c r="N3754" i="4"/>
  <c r="M3754" i="4"/>
  <c r="L3754" i="4"/>
  <c r="K3754" i="4"/>
  <c r="J3754" i="4"/>
  <c r="I3754" i="4"/>
  <c r="H3754" i="4"/>
  <c r="Q3753" i="4"/>
  <c r="P3753" i="4"/>
  <c r="O3753" i="4"/>
  <c r="N3753" i="4"/>
  <c r="M3753" i="4"/>
  <c r="L3753" i="4"/>
  <c r="K3753" i="4"/>
  <c r="J3753" i="4"/>
  <c r="I3753" i="4"/>
  <c r="H3753" i="4"/>
  <c r="Q3752" i="4"/>
  <c r="P3752" i="4"/>
  <c r="O3752" i="4"/>
  <c r="M3752" i="4"/>
  <c r="L3752" i="4"/>
  <c r="K3752" i="4"/>
  <c r="J3752" i="4"/>
  <c r="I3752" i="4"/>
  <c r="H3752" i="4"/>
  <c r="N3752" i="4" s="1"/>
  <c r="Q3751" i="4"/>
  <c r="P3751" i="4"/>
  <c r="O3751" i="4"/>
  <c r="M3751" i="4"/>
  <c r="L3751" i="4"/>
  <c r="K3751" i="4"/>
  <c r="J3751" i="4"/>
  <c r="I3751" i="4"/>
  <c r="H3751" i="4"/>
  <c r="N3751" i="4" s="1"/>
  <c r="Q3750" i="4"/>
  <c r="P3750" i="4"/>
  <c r="O3750" i="4"/>
  <c r="M3750" i="4"/>
  <c r="L3750" i="4"/>
  <c r="K3750" i="4"/>
  <c r="J3750" i="4"/>
  <c r="I3750" i="4"/>
  <c r="H3750" i="4"/>
  <c r="N3750" i="4" s="1"/>
  <c r="Q3749" i="4"/>
  <c r="P3749" i="4"/>
  <c r="O3749" i="4"/>
  <c r="M3749" i="4"/>
  <c r="L3749" i="4"/>
  <c r="K3749" i="4"/>
  <c r="J3749" i="4"/>
  <c r="I3749" i="4"/>
  <c r="H3749" i="4"/>
  <c r="N3749" i="4" s="1"/>
  <c r="Q3748" i="4"/>
  <c r="P3748" i="4"/>
  <c r="O3748" i="4"/>
  <c r="M3748" i="4"/>
  <c r="L3748" i="4"/>
  <c r="K3748" i="4"/>
  <c r="J3748" i="4"/>
  <c r="I3748" i="4"/>
  <c r="H3748" i="4"/>
  <c r="N3748" i="4" s="1"/>
  <c r="Q3747" i="4"/>
  <c r="P3747" i="4"/>
  <c r="O3747" i="4"/>
  <c r="M3747" i="4"/>
  <c r="L3747" i="4"/>
  <c r="K3747" i="4"/>
  <c r="J3747" i="4"/>
  <c r="I3747" i="4"/>
  <c r="H3747" i="4"/>
  <c r="N3747" i="4" s="1"/>
  <c r="Q3746" i="4"/>
  <c r="P3746" i="4"/>
  <c r="O3746" i="4"/>
  <c r="M3746" i="4"/>
  <c r="L3746" i="4"/>
  <c r="K3746" i="4"/>
  <c r="J3746" i="4"/>
  <c r="I3746" i="4"/>
  <c r="H3746" i="4"/>
  <c r="N3746" i="4" s="1"/>
  <c r="Q3745" i="4"/>
  <c r="P3745" i="4"/>
  <c r="O3745" i="4"/>
  <c r="M3745" i="4"/>
  <c r="L3745" i="4"/>
  <c r="K3745" i="4"/>
  <c r="J3745" i="4"/>
  <c r="I3745" i="4"/>
  <c r="H3745" i="4"/>
  <c r="N3745" i="4" s="1"/>
  <c r="Q3744" i="4"/>
  <c r="P3744" i="4"/>
  <c r="O3744" i="4"/>
  <c r="N3744" i="4"/>
  <c r="M3744" i="4"/>
  <c r="L3744" i="4"/>
  <c r="K3744" i="4"/>
  <c r="I3744" i="4"/>
  <c r="H3744" i="4"/>
  <c r="J3744" i="4" s="1"/>
  <c r="Q3741" i="4"/>
  <c r="P3741" i="4"/>
  <c r="O3741" i="4"/>
  <c r="M3741" i="4"/>
  <c r="L3741" i="4"/>
  <c r="K3741" i="4"/>
  <c r="J3741" i="4"/>
  <c r="I3741" i="4"/>
  <c r="N3741" i="4"/>
  <c r="Q3740" i="4"/>
  <c r="P3740" i="4"/>
  <c r="O3740" i="4"/>
  <c r="N3740" i="4"/>
  <c r="M3740" i="4"/>
  <c r="L3740" i="4"/>
  <c r="K3740" i="4"/>
  <c r="J3740" i="4"/>
  <c r="I3740" i="4"/>
  <c r="Q3739" i="4"/>
  <c r="P3739" i="4"/>
  <c r="O3739" i="4"/>
  <c r="M3739" i="4"/>
  <c r="L3739" i="4"/>
  <c r="K3739" i="4"/>
  <c r="J3739" i="4"/>
  <c r="I3739" i="4"/>
  <c r="N3739" i="4"/>
  <c r="Q3738" i="4"/>
  <c r="P3738" i="4"/>
  <c r="O3738" i="4"/>
  <c r="N3738" i="4"/>
  <c r="M3738" i="4"/>
  <c r="L3738" i="4"/>
  <c r="K3738" i="4"/>
  <c r="J3738" i="4"/>
  <c r="I3738" i="4"/>
  <c r="Q3737" i="4"/>
  <c r="P3737" i="4"/>
  <c r="O3737" i="4"/>
  <c r="M3737" i="4"/>
  <c r="L3737" i="4"/>
  <c r="K3737" i="4"/>
  <c r="J3737" i="4"/>
  <c r="I3737" i="4"/>
  <c r="N3737" i="4"/>
  <c r="Q3736" i="4"/>
  <c r="P3736" i="4"/>
  <c r="O3736" i="4"/>
  <c r="N3736" i="4"/>
  <c r="M3736" i="4"/>
  <c r="L3736" i="4"/>
  <c r="K3736" i="4"/>
  <c r="I3736" i="4"/>
  <c r="J3736" i="4"/>
  <c r="Q3733" i="4"/>
  <c r="P3733" i="4"/>
  <c r="O3733" i="4"/>
  <c r="M3733" i="4"/>
  <c r="L3733" i="4"/>
  <c r="K3733" i="4"/>
  <c r="J3733" i="4"/>
  <c r="I3733" i="4"/>
  <c r="H3733" i="4"/>
  <c r="N3733" i="4" s="1"/>
  <c r="Q3732" i="4"/>
  <c r="P3732" i="4"/>
  <c r="O3732" i="4"/>
  <c r="M3732" i="4"/>
  <c r="L3732" i="4"/>
  <c r="K3732" i="4"/>
  <c r="J3732" i="4"/>
  <c r="I3732" i="4"/>
  <c r="H3732" i="4"/>
  <c r="N3732" i="4" s="1"/>
  <c r="Q3731" i="4"/>
  <c r="P3731" i="4"/>
  <c r="O3731" i="4"/>
  <c r="M3731" i="4"/>
  <c r="L3731" i="4"/>
  <c r="K3731" i="4"/>
  <c r="J3731" i="4"/>
  <c r="I3731" i="4"/>
  <c r="H3731" i="4"/>
  <c r="N3731" i="4" s="1"/>
  <c r="Q3730" i="4"/>
  <c r="P3730" i="4"/>
  <c r="O3730" i="4"/>
  <c r="M3730" i="4"/>
  <c r="L3730" i="4"/>
  <c r="K3730" i="4"/>
  <c r="J3730" i="4"/>
  <c r="I3730" i="4"/>
  <c r="H3730" i="4"/>
  <c r="N3730" i="4" s="1"/>
  <c r="Q3729" i="4"/>
  <c r="P3729" i="4"/>
  <c r="O3729" i="4"/>
  <c r="N3729" i="4"/>
  <c r="M3729" i="4"/>
  <c r="L3729" i="4"/>
  <c r="J3729" i="4"/>
  <c r="I3729" i="4"/>
  <c r="H3729" i="4"/>
  <c r="K3729" i="4" s="1"/>
  <c r="Q3728" i="4"/>
  <c r="P3728" i="4"/>
  <c r="O3728" i="4"/>
  <c r="N3728" i="4"/>
  <c r="M3728" i="4"/>
  <c r="L3728" i="4"/>
  <c r="J3728" i="4"/>
  <c r="I3728" i="4"/>
  <c r="H3728" i="4"/>
  <c r="K3728" i="4" s="1"/>
  <c r="Q3727" i="4"/>
  <c r="P3727" i="4"/>
  <c r="O3727" i="4"/>
  <c r="N3727" i="4"/>
  <c r="M3727" i="4"/>
  <c r="L3727" i="4"/>
  <c r="K3727" i="4"/>
  <c r="I3727" i="4"/>
  <c r="H3727" i="4"/>
  <c r="J3727" i="4" s="1"/>
  <c r="Q3724" i="4"/>
  <c r="P3724" i="4"/>
  <c r="O3724" i="4"/>
  <c r="N3724" i="4"/>
  <c r="L3724" i="4"/>
  <c r="K3724" i="4"/>
  <c r="J3724" i="4"/>
  <c r="I3724" i="4"/>
  <c r="H3724" i="4"/>
  <c r="M3724" i="4" s="1"/>
  <c r="Q3723" i="4"/>
  <c r="P3723" i="4"/>
  <c r="O3723" i="4"/>
  <c r="N3723" i="4"/>
  <c r="L3723" i="4"/>
  <c r="K3723" i="4"/>
  <c r="J3723" i="4"/>
  <c r="I3723" i="4"/>
  <c r="H3723" i="4"/>
  <c r="M3723" i="4" s="1"/>
  <c r="Q3722" i="4"/>
  <c r="P3722" i="4"/>
  <c r="O3722" i="4"/>
  <c r="N3722" i="4"/>
  <c r="M3722" i="4"/>
  <c r="K3722" i="4"/>
  <c r="J3722" i="4"/>
  <c r="I3722" i="4"/>
  <c r="H3722" i="4"/>
  <c r="L3722" i="4" s="1"/>
  <c r="Q3721" i="4"/>
  <c r="P3721" i="4"/>
  <c r="O3721" i="4"/>
  <c r="N3721" i="4"/>
  <c r="M3721" i="4"/>
  <c r="K3721" i="4"/>
  <c r="J3721" i="4"/>
  <c r="I3721" i="4"/>
  <c r="H3721" i="4"/>
  <c r="L3721" i="4" s="1"/>
  <c r="Q3720" i="4"/>
  <c r="P3720" i="4"/>
  <c r="O3720" i="4"/>
  <c r="N3720" i="4"/>
  <c r="M3720" i="4"/>
  <c r="L3720" i="4"/>
  <c r="K3720" i="4"/>
  <c r="I3720" i="4"/>
  <c r="H3720" i="4"/>
  <c r="J3720" i="4" s="1"/>
  <c r="Q3717" i="4"/>
  <c r="P3717" i="4"/>
  <c r="O3717" i="4"/>
  <c r="M3717" i="4"/>
  <c r="L3717" i="4"/>
  <c r="K3717" i="4"/>
  <c r="J3717" i="4"/>
  <c r="I3717" i="4"/>
  <c r="H3717" i="4"/>
  <c r="N3717" i="4" s="1"/>
  <c r="Q3716" i="4"/>
  <c r="P3716" i="4"/>
  <c r="O3716" i="4"/>
  <c r="M3716" i="4"/>
  <c r="L3716" i="4"/>
  <c r="K3716" i="4"/>
  <c r="J3716" i="4"/>
  <c r="I3716" i="4"/>
  <c r="H3716" i="4"/>
  <c r="N3716" i="4" s="1"/>
  <c r="Q3715" i="4"/>
  <c r="P3715" i="4"/>
  <c r="O3715" i="4"/>
  <c r="M3715" i="4"/>
  <c r="L3715" i="4"/>
  <c r="K3715" i="4"/>
  <c r="J3715" i="4"/>
  <c r="I3715" i="4"/>
  <c r="H3715" i="4"/>
  <c r="N3715" i="4" s="1"/>
  <c r="Q3714" i="4"/>
  <c r="P3714" i="4"/>
  <c r="O3714" i="4"/>
  <c r="M3714" i="4"/>
  <c r="L3714" i="4"/>
  <c r="K3714" i="4"/>
  <c r="J3714" i="4"/>
  <c r="I3714" i="4"/>
  <c r="H3714" i="4"/>
  <c r="N3714" i="4" s="1"/>
  <c r="Q3713" i="4"/>
  <c r="P3713" i="4"/>
  <c r="O3713" i="4"/>
  <c r="M3713" i="4"/>
  <c r="L3713" i="4"/>
  <c r="K3713" i="4"/>
  <c r="J3713" i="4"/>
  <c r="I3713" i="4"/>
  <c r="H3713" i="4"/>
  <c r="N3713" i="4" s="1"/>
  <c r="Q3712" i="4"/>
  <c r="P3712" i="4"/>
  <c r="O3712" i="4"/>
  <c r="M3712" i="4"/>
  <c r="L3712" i="4"/>
  <c r="K3712" i="4"/>
  <c r="J3712" i="4"/>
  <c r="I3712" i="4"/>
  <c r="H3712" i="4"/>
  <c r="N3712" i="4" s="1"/>
  <c r="Q3711" i="4"/>
  <c r="P3711" i="4"/>
  <c r="O3711" i="4"/>
  <c r="M3711" i="4"/>
  <c r="L3711" i="4"/>
  <c r="K3711" i="4"/>
  <c r="J3711" i="4"/>
  <c r="I3711" i="4"/>
  <c r="H3711" i="4"/>
  <c r="N3711" i="4" s="1"/>
  <c r="Q3710" i="4"/>
  <c r="P3710" i="4"/>
  <c r="O3710" i="4"/>
  <c r="M3710" i="4"/>
  <c r="L3710" i="4"/>
  <c r="K3710" i="4"/>
  <c r="J3710" i="4"/>
  <c r="I3710" i="4"/>
  <c r="H3710" i="4"/>
  <c r="N3710" i="4" s="1"/>
  <c r="Q3709" i="4"/>
  <c r="P3709" i="4"/>
  <c r="O3709" i="4"/>
  <c r="N3709" i="4"/>
  <c r="M3709" i="4"/>
  <c r="L3709" i="4"/>
  <c r="K3709" i="4"/>
  <c r="I3709" i="4"/>
  <c r="H3709" i="4"/>
  <c r="J3709" i="4" s="1"/>
  <c r="Q3706" i="4"/>
  <c r="P3706" i="4"/>
  <c r="O3706" i="4"/>
  <c r="N3706" i="4"/>
  <c r="M3706" i="4"/>
  <c r="L3706" i="4"/>
  <c r="K3706" i="4"/>
  <c r="J3706" i="4"/>
  <c r="I3706" i="4"/>
  <c r="H3706" i="4"/>
  <c r="Q3705" i="4"/>
  <c r="P3705" i="4"/>
  <c r="O3705" i="4"/>
  <c r="N3705" i="4"/>
  <c r="M3705" i="4"/>
  <c r="L3705" i="4"/>
  <c r="K3705" i="4"/>
  <c r="J3705" i="4"/>
  <c r="I3705" i="4"/>
  <c r="H3705" i="4"/>
  <c r="Q3704" i="4"/>
  <c r="P3704" i="4"/>
  <c r="O3704" i="4"/>
  <c r="N3704" i="4"/>
  <c r="M3704" i="4"/>
  <c r="L3704" i="4"/>
  <c r="K3704" i="4"/>
  <c r="J3704" i="4"/>
  <c r="I3704" i="4"/>
  <c r="H3704" i="4"/>
  <c r="Q3703" i="4"/>
  <c r="P3703" i="4"/>
  <c r="O3703" i="4"/>
  <c r="M3703" i="4"/>
  <c r="L3703" i="4"/>
  <c r="K3703" i="4"/>
  <c r="J3703" i="4"/>
  <c r="I3703" i="4"/>
  <c r="H3703" i="4"/>
  <c r="N3703" i="4" s="1"/>
  <c r="Q3702" i="4"/>
  <c r="P3702" i="4"/>
  <c r="O3702" i="4"/>
  <c r="M3702" i="4"/>
  <c r="L3702" i="4"/>
  <c r="K3702" i="4"/>
  <c r="J3702" i="4"/>
  <c r="I3702" i="4"/>
  <c r="H3702" i="4"/>
  <c r="N3702" i="4" s="1"/>
  <c r="Q3701" i="4"/>
  <c r="P3701" i="4"/>
  <c r="O3701" i="4"/>
  <c r="M3701" i="4"/>
  <c r="L3701" i="4"/>
  <c r="K3701" i="4"/>
  <c r="J3701" i="4"/>
  <c r="I3701" i="4"/>
  <c r="H3701" i="4"/>
  <c r="N3701" i="4" s="1"/>
  <c r="Q3700" i="4"/>
  <c r="P3700" i="4"/>
  <c r="O3700" i="4"/>
  <c r="M3700" i="4"/>
  <c r="L3700" i="4"/>
  <c r="K3700" i="4"/>
  <c r="J3700" i="4"/>
  <c r="I3700" i="4"/>
  <c r="H3700" i="4"/>
  <c r="N3700" i="4" s="1"/>
  <c r="Q3699" i="4"/>
  <c r="P3699" i="4"/>
  <c r="O3699" i="4"/>
  <c r="M3699" i="4"/>
  <c r="L3699" i="4"/>
  <c r="K3699" i="4"/>
  <c r="J3699" i="4"/>
  <c r="I3699" i="4"/>
  <c r="H3699" i="4"/>
  <c r="N3699" i="4" s="1"/>
  <c r="Q3698" i="4"/>
  <c r="P3698" i="4"/>
  <c r="O3698" i="4"/>
  <c r="M3698" i="4"/>
  <c r="L3698" i="4"/>
  <c r="K3698" i="4"/>
  <c r="J3698" i="4"/>
  <c r="I3698" i="4"/>
  <c r="H3698" i="4"/>
  <c r="N3698" i="4" s="1"/>
  <c r="Q3697" i="4"/>
  <c r="P3697" i="4"/>
  <c r="O3697" i="4"/>
  <c r="M3697" i="4"/>
  <c r="L3697" i="4"/>
  <c r="K3697" i="4"/>
  <c r="J3697" i="4"/>
  <c r="I3697" i="4"/>
  <c r="H3697" i="4"/>
  <c r="N3697" i="4" s="1"/>
  <c r="Q3696" i="4"/>
  <c r="P3696" i="4"/>
  <c r="O3696" i="4"/>
  <c r="M3696" i="4"/>
  <c r="L3696" i="4"/>
  <c r="K3696" i="4"/>
  <c r="J3696" i="4"/>
  <c r="I3696" i="4"/>
  <c r="H3696" i="4"/>
  <c r="N3696" i="4" s="1"/>
  <c r="Q3695" i="4"/>
  <c r="P3695" i="4"/>
  <c r="O3695" i="4"/>
  <c r="N3695" i="4"/>
  <c r="M3695" i="4"/>
  <c r="L3695" i="4"/>
  <c r="K3695" i="4"/>
  <c r="I3695" i="4"/>
  <c r="H3695" i="4"/>
  <c r="J3695" i="4" s="1"/>
  <c r="Q3692" i="4"/>
  <c r="P3692" i="4"/>
  <c r="O3692" i="4"/>
  <c r="M3692" i="4"/>
  <c r="L3692" i="4"/>
  <c r="K3692" i="4"/>
  <c r="J3692" i="4"/>
  <c r="I3692" i="4"/>
  <c r="H3692" i="4"/>
  <c r="N3692" i="4" s="1"/>
  <c r="Q3691" i="4"/>
  <c r="P3691" i="4"/>
  <c r="O3691" i="4"/>
  <c r="M3691" i="4"/>
  <c r="L3691" i="4"/>
  <c r="K3691" i="4"/>
  <c r="J3691" i="4"/>
  <c r="I3691" i="4"/>
  <c r="H3691" i="4"/>
  <c r="N3691" i="4" s="1"/>
  <c r="Q3690" i="4"/>
  <c r="P3690" i="4"/>
  <c r="O3690" i="4"/>
  <c r="M3690" i="4"/>
  <c r="L3690" i="4"/>
  <c r="K3690" i="4"/>
  <c r="J3690" i="4"/>
  <c r="I3690" i="4"/>
  <c r="H3690" i="4"/>
  <c r="N3690" i="4" s="1"/>
  <c r="Q3689" i="4"/>
  <c r="P3689" i="4"/>
  <c r="O3689" i="4"/>
  <c r="M3689" i="4"/>
  <c r="L3689" i="4"/>
  <c r="K3689" i="4"/>
  <c r="J3689" i="4"/>
  <c r="I3689" i="4"/>
  <c r="H3689" i="4"/>
  <c r="N3689" i="4" s="1"/>
  <c r="Q3688" i="4"/>
  <c r="P3688" i="4"/>
  <c r="O3688" i="4"/>
  <c r="M3688" i="4"/>
  <c r="L3688" i="4"/>
  <c r="K3688" i="4"/>
  <c r="J3688" i="4"/>
  <c r="I3688" i="4"/>
  <c r="H3688" i="4"/>
  <c r="N3688" i="4" s="1"/>
  <c r="Q3687" i="4"/>
  <c r="P3687" i="4"/>
  <c r="O3687" i="4"/>
  <c r="M3687" i="4"/>
  <c r="L3687" i="4"/>
  <c r="K3687" i="4"/>
  <c r="J3687" i="4"/>
  <c r="I3687" i="4"/>
  <c r="H3687" i="4"/>
  <c r="N3687" i="4" s="1"/>
  <c r="Q3686" i="4"/>
  <c r="P3686" i="4"/>
  <c r="O3686" i="4"/>
  <c r="M3686" i="4"/>
  <c r="L3686" i="4"/>
  <c r="K3686" i="4"/>
  <c r="J3686" i="4"/>
  <c r="I3686" i="4"/>
  <c r="H3686" i="4"/>
  <c r="N3686" i="4" s="1"/>
  <c r="Q3685" i="4"/>
  <c r="P3685" i="4"/>
  <c r="O3685" i="4"/>
  <c r="M3685" i="4"/>
  <c r="L3685" i="4"/>
  <c r="K3685" i="4"/>
  <c r="J3685" i="4"/>
  <c r="I3685" i="4"/>
  <c r="H3685" i="4"/>
  <c r="N3685" i="4" s="1"/>
  <c r="Q3684" i="4"/>
  <c r="P3684" i="4"/>
  <c r="O3684" i="4"/>
  <c r="N3684" i="4"/>
  <c r="M3684" i="4"/>
  <c r="L3684" i="4"/>
  <c r="K3684" i="4"/>
  <c r="I3684" i="4"/>
  <c r="H3684" i="4"/>
  <c r="J3684" i="4" s="1"/>
  <c r="Q3681" i="4"/>
  <c r="P3681" i="4"/>
  <c r="O3681" i="4"/>
  <c r="N3681" i="4"/>
  <c r="L3681" i="4"/>
  <c r="K3681" i="4"/>
  <c r="J3681" i="4"/>
  <c r="I3681" i="4"/>
  <c r="H3681" i="4"/>
  <c r="M3681" i="4" s="1"/>
  <c r="Q3680" i="4"/>
  <c r="P3680" i="4"/>
  <c r="O3680" i="4"/>
  <c r="N3680" i="4"/>
  <c r="L3680" i="4"/>
  <c r="K3680" i="4"/>
  <c r="J3680" i="4"/>
  <c r="I3680" i="4"/>
  <c r="H3680" i="4"/>
  <c r="M3680" i="4" s="1"/>
  <c r="Q3679" i="4"/>
  <c r="P3679" i="4"/>
  <c r="O3679" i="4"/>
  <c r="N3679" i="4"/>
  <c r="M3679" i="4"/>
  <c r="L3679" i="4"/>
  <c r="K3679" i="4"/>
  <c r="I3679" i="4"/>
  <c r="H3679" i="4"/>
  <c r="J3679" i="4" s="1"/>
  <c r="Q3880" i="4"/>
  <c r="P3880" i="4"/>
  <c r="O3880" i="4"/>
  <c r="N3880" i="4"/>
  <c r="M3880" i="4"/>
  <c r="K3880" i="4"/>
  <c r="J3880" i="4"/>
  <c r="I3880" i="4"/>
  <c r="H3880" i="4"/>
  <c r="L3880" i="4" s="1"/>
  <c r="Q3879" i="4"/>
  <c r="P3879" i="4"/>
  <c r="O3879" i="4"/>
  <c r="N3879" i="4"/>
  <c r="M3879" i="4"/>
  <c r="K3879" i="4"/>
  <c r="J3879" i="4"/>
  <c r="I3879" i="4"/>
  <c r="H3879" i="4"/>
  <c r="L3879" i="4" s="1"/>
  <c r="Q3878" i="4"/>
  <c r="P3878" i="4"/>
  <c r="O3878" i="4"/>
  <c r="N3878" i="4"/>
  <c r="M3878" i="4"/>
  <c r="K3878" i="4"/>
  <c r="J3878" i="4"/>
  <c r="I3878" i="4"/>
  <c r="H3878" i="4"/>
  <c r="L3878" i="4" s="1"/>
  <c r="Q3877" i="4"/>
  <c r="P3877" i="4"/>
  <c r="O3877" i="4"/>
  <c r="N3877" i="4"/>
  <c r="M3877" i="4"/>
  <c r="K3877" i="4"/>
  <c r="J3877" i="4"/>
  <c r="I3877" i="4"/>
  <c r="H3877" i="4"/>
  <c r="L3877" i="4" s="1"/>
  <c r="Q3876" i="4"/>
  <c r="P3876" i="4"/>
  <c r="O3876" i="4"/>
  <c r="N3876" i="4"/>
  <c r="M3876" i="4"/>
  <c r="L3876" i="4"/>
  <c r="K3876" i="4"/>
  <c r="I3876" i="4"/>
  <c r="H3876" i="4"/>
  <c r="J3876" i="4" s="1"/>
  <c r="Q3873" i="4"/>
  <c r="P3873" i="4"/>
  <c r="O3873" i="4"/>
  <c r="N3873" i="4"/>
  <c r="M3873" i="4"/>
  <c r="K3873" i="4"/>
  <c r="J3873" i="4"/>
  <c r="I3873" i="4"/>
  <c r="H3873" i="4"/>
  <c r="L3873" i="4" s="1"/>
  <c r="Q3872" i="4"/>
  <c r="P3872" i="4"/>
  <c r="O3872" i="4"/>
  <c r="N3872" i="4"/>
  <c r="M3872" i="4"/>
  <c r="K3872" i="4"/>
  <c r="J3872" i="4"/>
  <c r="I3872" i="4"/>
  <c r="H3872" i="4"/>
  <c r="L3872" i="4" s="1"/>
  <c r="Q3871" i="4"/>
  <c r="P3871" i="4"/>
  <c r="O3871" i="4"/>
  <c r="N3871" i="4"/>
  <c r="M3871" i="4"/>
  <c r="K3871" i="4"/>
  <c r="J3871" i="4"/>
  <c r="I3871" i="4"/>
  <c r="H3871" i="4"/>
  <c r="L3871" i="4" s="1"/>
  <c r="Q3870" i="4"/>
  <c r="P3870" i="4"/>
  <c r="O3870" i="4"/>
  <c r="N3870" i="4"/>
  <c r="M3870" i="4"/>
  <c r="K3870" i="4"/>
  <c r="J3870" i="4"/>
  <c r="I3870" i="4"/>
  <c r="H3870" i="4"/>
  <c r="L3870" i="4" s="1"/>
  <c r="Q3869" i="4"/>
  <c r="P3869" i="4"/>
  <c r="O3869" i="4"/>
  <c r="N3869" i="4"/>
  <c r="M3869" i="4"/>
  <c r="L3869" i="4"/>
  <c r="K3869" i="4"/>
  <c r="I3869" i="4"/>
  <c r="H3869" i="4"/>
  <c r="J3869" i="4" s="1"/>
  <c r="Q3866" i="4"/>
  <c r="P3866" i="4"/>
  <c r="O3866" i="4"/>
  <c r="N3866" i="4"/>
  <c r="M3866" i="4"/>
  <c r="K3866" i="4"/>
  <c r="J3866" i="4"/>
  <c r="I3866" i="4"/>
  <c r="H3866" i="4"/>
  <c r="L3866" i="4" s="1"/>
  <c r="Q3865" i="4"/>
  <c r="P3865" i="4"/>
  <c r="O3865" i="4"/>
  <c r="N3865" i="4"/>
  <c r="M3865" i="4"/>
  <c r="K3865" i="4"/>
  <c r="J3865" i="4"/>
  <c r="I3865" i="4"/>
  <c r="H3865" i="4"/>
  <c r="L3865" i="4" s="1"/>
  <c r="Q3864" i="4"/>
  <c r="P3864" i="4"/>
  <c r="O3864" i="4"/>
  <c r="N3864" i="4"/>
  <c r="M3864" i="4"/>
  <c r="L3864" i="4"/>
  <c r="K3864" i="4"/>
  <c r="I3864" i="4"/>
  <c r="H3864" i="4"/>
  <c r="J3864" i="4" s="1"/>
  <c r="Q3861" i="4"/>
  <c r="P3861" i="4"/>
  <c r="O3861" i="4"/>
  <c r="N3861" i="4"/>
  <c r="M3861" i="4"/>
  <c r="K3861" i="4"/>
  <c r="J3861" i="4"/>
  <c r="I3861" i="4"/>
  <c r="H3861" i="4"/>
  <c r="L3861" i="4" s="1"/>
  <c r="Q3860" i="4"/>
  <c r="P3860" i="4"/>
  <c r="O3860" i="4"/>
  <c r="N3860" i="4"/>
  <c r="M3860" i="4"/>
  <c r="K3860" i="4"/>
  <c r="J3860" i="4"/>
  <c r="I3860" i="4"/>
  <c r="H3860" i="4"/>
  <c r="L3860" i="4" s="1"/>
  <c r="Q3859" i="4"/>
  <c r="P3859" i="4"/>
  <c r="O3859" i="4"/>
  <c r="N3859" i="4"/>
  <c r="M3859" i="4"/>
  <c r="L3859" i="4"/>
  <c r="K3859" i="4"/>
  <c r="I3859" i="4"/>
  <c r="H3859" i="4"/>
  <c r="J3859" i="4" s="1"/>
  <c r="Q3856" i="4"/>
  <c r="P3856" i="4"/>
  <c r="O3856" i="4"/>
  <c r="N3856" i="4"/>
  <c r="L3856" i="4"/>
  <c r="K3856" i="4"/>
  <c r="J3856" i="4"/>
  <c r="I3856" i="4"/>
  <c r="H3856" i="4"/>
  <c r="M3856" i="4" s="1"/>
  <c r="Q3855" i="4"/>
  <c r="P3855" i="4"/>
  <c r="O3855" i="4"/>
  <c r="N3855" i="4"/>
  <c r="M3855" i="4"/>
  <c r="K3855" i="4"/>
  <c r="J3855" i="4"/>
  <c r="I3855" i="4"/>
  <c r="H3855" i="4"/>
  <c r="L3855" i="4" s="1"/>
  <c r="Q3854" i="4"/>
  <c r="P3854" i="4"/>
  <c r="O3854" i="4"/>
  <c r="N3854" i="4"/>
  <c r="M3854" i="4"/>
  <c r="K3854" i="4"/>
  <c r="J3854" i="4"/>
  <c r="I3854" i="4"/>
  <c r="H3854" i="4"/>
  <c r="L3854" i="4" s="1"/>
  <c r="Q3853" i="4"/>
  <c r="P3853" i="4"/>
  <c r="O3853" i="4"/>
  <c r="N3853" i="4"/>
  <c r="M3853" i="4"/>
  <c r="L3853" i="4"/>
  <c r="K3853" i="4"/>
  <c r="I3853" i="4"/>
  <c r="H3853" i="4"/>
  <c r="J3853" i="4" s="1"/>
  <c r="Q3850" i="4"/>
  <c r="P3850" i="4"/>
  <c r="O3850" i="4"/>
  <c r="N3850" i="4"/>
  <c r="L3850" i="4"/>
  <c r="K3850" i="4"/>
  <c r="J3850" i="4"/>
  <c r="I3850" i="4"/>
  <c r="H3850" i="4"/>
  <c r="M3850" i="4" s="1"/>
  <c r="Q3849" i="4"/>
  <c r="P3849" i="4"/>
  <c r="O3849" i="4"/>
  <c r="N3849" i="4"/>
  <c r="M3849" i="4"/>
  <c r="K3849" i="4"/>
  <c r="J3849" i="4"/>
  <c r="I3849" i="4"/>
  <c r="H3849" i="4"/>
  <c r="L3849" i="4" s="1"/>
  <c r="Q3848" i="4"/>
  <c r="P3848" i="4"/>
  <c r="O3848" i="4"/>
  <c r="N3848" i="4"/>
  <c r="M3848" i="4"/>
  <c r="K3848" i="4"/>
  <c r="J3848" i="4"/>
  <c r="I3848" i="4"/>
  <c r="H3848" i="4"/>
  <c r="L3848" i="4" s="1"/>
  <c r="Q3847" i="4"/>
  <c r="P3847" i="4"/>
  <c r="O3847" i="4"/>
  <c r="N3847" i="4"/>
  <c r="M3847" i="4"/>
  <c r="L3847" i="4"/>
  <c r="K3847" i="4"/>
  <c r="I3847" i="4"/>
  <c r="H3847" i="4"/>
  <c r="J3847" i="4" s="1"/>
  <c r="Q3844" i="4"/>
  <c r="P3844" i="4"/>
  <c r="O3844" i="4"/>
  <c r="N3844" i="4"/>
  <c r="L3844" i="4"/>
  <c r="K3844" i="4"/>
  <c r="J3844" i="4"/>
  <c r="I3844" i="4"/>
  <c r="H3844" i="4"/>
  <c r="M3844" i="4" s="1"/>
  <c r="Q3843" i="4"/>
  <c r="P3843" i="4"/>
  <c r="O3843" i="4"/>
  <c r="N3843" i="4"/>
  <c r="L3843" i="4"/>
  <c r="K3843" i="4"/>
  <c r="J3843" i="4"/>
  <c r="I3843" i="4"/>
  <c r="H3843" i="4"/>
  <c r="M3843" i="4" s="1"/>
  <c r="Q3842" i="4"/>
  <c r="P3842" i="4"/>
  <c r="O3842" i="4"/>
  <c r="N3842" i="4"/>
  <c r="M3842" i="4"/>
  <c r="K3842" i="4"/>
  <c r="J3842" i="4"/>
  <c r="I3842" i="4"/>
  <c r="H3842" i="4"/>
  <c r="L3842" i="4" s="1"/>
  <c r="Q3841" i="4"/>
  <c r="P3841" i="4"/>
  <c r="O3841" i="4"/>
  <c r="N3841" i="4"/>
  <c r="M3841" i="4"/>
  <c r="K3841" i="4"/>
  <c r="J3841" i="4"/>
  <c r="I3841" i="4"/>
  <c r="H3841" i="4"/>
  <c r="L3841" i="4" s="1"/>
  <c r="Q3840" i="4"/>
  <c r="P3840" i="4"/>
  <c r="O3840" i="4"/>
  <c r="N3840" i="4"/>
  <c r="M3840" i="4"/>
  <c r="L3840" i="4"/>
  <c r="K3840" i="4"/>
  <c r="I3840" i="4"/>
  <c r="H3840" i="4"/>
  <c r="J3840" i="4" s="1"/>
  <c r="Q3836" i="4"/>
  <c r="P3836" i="4"/>
  <c r="O3836" i="4"/>
  <c r="N3836" i="4"/>
  <c r="M3836" i="4"/>
  <c r="L3836" i="4"/>
  <c r="K3836" i="4"/>
  <c r="J3836" i="4"/>
  <c r="I3836" i="4"/>
  <c r="H3836" i="4"/>
  <c r="Q3835" i="4"/>
  <c r="P3835" i="4"/>
  <c r="O3835" i="4"/>
  <c r="N3835" i="4"/>
  <c r="M3835" i="4"/>
  <c r="L3835" i="4"/>
  <c r="K3835" i="4"/>
  <c r="J3835" i="4"/>
  <c r="I3835" i="4"/>
  <c r="H3835" i="4"/>
  <c r="Q3834" i="4"/>
  <c r="P3834" i="4"/>
  <c r="O3834" i="4"/>
  <c r="N3834" i="4"/>
  <c r="M3834" i="4"/>
  <c r="L3834" i="4"/>
  <c r="K3834" i="4"/>
  <c r="J3834" i="4"/>
  <c r="I3834" i="4"/>
  <c r="H3834" i="4"/>
  <c r="Q3833" i="4"/>
  <c r="P3833" i="4"/>
  <c r="O3833" i="4"/>
  <c r="M3833" i="4"/>
  <c r="L3833" i="4"/>
  <c r="K3833" i="4"/>
  <c r="J3833" i="4"/>
  <c r="I3833" i="4"/>
  <c r="H3833" i="4"/>
  <c r="N3833" i="4" s="1"/>
  <c r="Q3832" i="4"/>
  <c r="P3832" i="4"/>
  <c r="O3832" i="4"/>
  <c r="M3832" i="4"/>
  <c r="L3832" i="4"/>
  <c r="K3832" i="4"/>
  <c r="J3832" i="4"/>
  <c r="I3832" i="4"/>
  <c r="H3832" i="4"/>
  <c r="N3832" i="4" s="1"/>
  <c r="Q3831" i="4"/>
  <c r="P3831" i="4"/>
  <c r="O3831" i="4"/>
  <c r="M3831" i="4"/>
  <c r="L3831" i="4"/>
  <c r="K3831" i="4"/>
  <c r="J3831" i="4"/>
  <c r="I3831" i="4"/>
  <c r="H3831" i="4"/>
  <c r="N3831" i="4" s="1"/>
  <c r="Q3830" i="4"/>
  <c r="P3830" i="4"/>
  <c r="O3830" i="4"/>
  <c r="M3830" i="4"/>
  <c r="L3830" i="4"/>
  <c r="K3830" i="4"/>
  <c r="J3830" i="4"/>
  <c r="I3830" i="4"/>
  <c r="H3830" i="4"/>
  <c r="N3830" i="4" s="1"/>
  <c r="Q3829" i="4"/>
  <c r="P3829" i="4"/>
  <c r="O3829" i="4"/>
  <c r="M3829" i="4"/>
  <c r="L3829" i="4"/>
  <c r="K3829" i="4"/>
  <c r="J3829" i="4"/>
  <c r="I3829" i="4"/>
  <c r="H3829" i="4"/>
  <c r="N3829" i="4" s="1"/>
  <c r="Q3828" i="4"/>
  <c r="P3828" i="4"/>
  <c r="O3828" i="4"/>
  <c r="M3828" i="4"/>
  <c r="L3828" i="4"/>
  <c r="K3828" i="4"/>
  <c r="J3828" i="4"/>
  <c r="I3828" i="4"/>
  <c r="H3828" i="4"/>
  <c r="N3828" i="4" s="1"/>
  <c r="Q3827" i="4"/>
  <c r="P3827" i="4"/>
  <c r="O3827" i="4"/>
  <c r="M3827" i="4"/>
  <c r="L3827" i="4"/>
  <c r="K3827" i="4"/>
  <c r="J3827" i="4"/>
  <c r="I3827" i="4"/>
  <c r="H3827" i="4"/>
  <c r="N3827" i="4" s="1"/>
  <c r="Q3826" i="4"/>
  <c r="P3826" i="4"/>
  <c r="O3826" i="4"/>
  <c r="M3826" i="4"/>
  <c r="L3826" i="4"/>
  <c r="K3826" i="4"/>
  <c r="J3826" i="4"/>
  <c r="I3826" i="4"/>
  <c r="H3826" i="4"/>
  <c r="N3826" i="4" s="1"/>
  <c r="Q3825" i="4"/>
  <c r="P3825" i="4"/>
  <c r="O3825" i="4"/>
  <c r="N3825" i="4"/>
  <c r="M3825" i="4"/>
  <c r="L3825" i="4"/>
  <c r="K3825" i="4"/>
  <c r="I3825" i="4"/>
  <c r="H3825" i="4"/>
  <c r="J3825" i="4" s="1"/>
  <c r="G902" i="21"/>
  <c r="J902" i="21" s="1"/>
  <c r="N902" i="21" s="1"/>
  <c r="G770" i="21"/>
  <c r="J770" i="21" s="1"/>
  <c r="N770" i="21" s="1"/>
  <c r="G771" i="21"/>
  <c r="J771" i="21" s="1"/>
  <c r="N771" i="21" s="1"/>
  <c r="Q770" i="21"/>
  <c r="P770" i="21"/>
  <c r="O770" i="21"/>
  <c r="M770" i="21"/>
  <c r="L770" i="21"/>
  <c r="K770" i="21"/>
  <c r="Q771" i="21"/>
  <c r="P771" i="21"/>
  <c r="O771" i="21"/>
  <c r="M771" i="21"/>
  <c r="L771" i="21"/>
  <c r="K771" i="21"/>
  <c r="G903" i="21"/>
  <c r="J903" i="21" s="1"/>
  <c r="N903" i="21" s="1"/>
  <c r="Q902" i="21"/>
  <c r="P902" i="21"/>
  <c r="O902" i="21"/>
  <c r="M902" i="21"/>
  <c r="L902" i="21"/>
  <c r="K902" i="21"/>
  <c r="Q903" i="21"/>
  <c r="P903" i="21"/>
  <c r="O903" i="21"/>
  <c r="M903" i="21"/>
  <c r="L903" i="21"/>
  <c r="K903" i="21"/>
  <c r="K3194" i="4" l="1"/>
  <c r="K3193" i="4" s="1"/>
  <c r="J3379" i="4"/>
  <c r="L3379" i="4"/>
  <c r="K3265" i="4"/>
  <c r="M3265" i="4"/>
  <c r="O3372" i="4"/>
  <c r="Q3372" i="4"/>
  <c r="I3372" i="4"/>
  <c r="Q3379" i="4"/>
  <c r="J3770" i="4"/>
  <c r="K3134" i="4"/>
  <c r="I3164" i="4"/>
  <c r="M3365" i="4"/>
  <c r="J3015" i="4"/>
  <c r="N3109" i="4"/>
  <c r="P3304" i="4"/>
  <c r="J3359" i="4"/>
  <c r="K3103" i="4"/>
  <c r="J2886" i="4"/>
  <c r="L3134" i="4"/>
  <c r="M3227" i="4"/>
  <c r="P3035" i="4"/>
  <c r="O2900" i="4"/>
  <c r="Q2900" i="4"/>
  <c r="K2900" i="4"/>
  <c r="M2900" i="4"/>
  <c r="O2934" i="4"/>
  <c r="Q2934" i="4"/>
  <c r="K2934" i="4"/>
  <c r="P2886" i="4"/>
  <c r="P2927" i="4"/>
  <c r="P2940" i="4"/>
  <c r="P2999" i="4"/>
  <c r="O3021" i="4"/>
  <c r="Q3021" i="4"/>
  <c r="K3021" i="4"/>
  <c r="O3065" i="4"/>
  <c r="Q3065" i="4"/>
  <c r="K3065" i="4"/>
  <c r="M3065" i="4"/>
  <c r="O3073" i="4"/>
  <c r="O3145" i="4"/>
  <c r="O3193" i="4"/>
  <c r="L3256" i="4"/>
  <c r="J3256" i="4"/>
  <c r="K3336" i="4"/>
  <c r="M3336" i="4"/>
  <c r="O3336" i="4"/>
  <c r="K3353" i="4"/>
  <c r="M3353" i="4"/>
  <c r="O3353" i="4"/>
  <c r="L3622" i="4"/>
  <c r="L3658" i="4"/>
  <c r="Q2912" i="4"/>
  <c r="I2912" i="4"/>
  <c r="O2912" i="4"/>
  <c r="Q2999" i="4"/>
  <c r="I2999" i="4"/>
  <c r="O2999" i="4"/>
  <c r="P3015" i="4"/>
  <c r="P3050" i="4"/>
  <c r="P3073" i="4"/>
  <c r="N3145" i="4"/>
  <c r="L3359" i="4"/>
  <c r="M3651" i="4"/>
  <c r="O3651" i="4"/>
  <c r="I3651" i="4"/>
  <c r="M3658" i="4"/>
  <c r="O3658" i="4"/>
  <c r="Q3658" i="4"/>
  <c r="Q3035" i="4"/>
  <c r="I3035" i="4"/>
  <c r="O3035" i="4"/>
  <c r="O3134" i="4"/>
  <c r="Q3134" i="4"/>
  <c r="Q3153" i="4"/>
  <c r="N3237" i="4"/>
  <c r="P3237" i="4"/>
  <c r="N3265" i="4"/>
  <c r="P3265" i="4"/>
  <c r="L3265" i="4"/>
  <c r="M3323" i="4"/>
  <c r="L3365" i="4"/>
  <c r="L3506" i="4"/>
  <c r="N3530" i="4"/>
  <c r="L3530" i="4"/>
  <c r="N3542" i="4"/>
  <c r="J3542" i="4"/>
  <c r="L3542" i="4"/>
  <c r="J2873" i="4"/>
  <c r="L2873" i="4"/>
  <c r="Q3121" i="4"/>
  <c r="P3145" i="4"/>
  <c r="O3237" i="4"/>
  <c r="O3273" i="4"/>
  <c r="N3318" i="4"/>
  <c r="P3318" i="4"/>
  <c r="J3318" i="4"/>
  <c r="N3336" i="4"/>
  <c r="N3353" i="4"/>
  <c r="P3353" i="4"/>
  <c r="I3412" i="4"/>
  <c r="O3427" i="4"/>
  <c r="I3450" i="4"/>
  <c r="O3475" i="4"/>
  <c r="O3511" i="4"/>
  <c r="I2873" i="4"/>
  <c r="K2873" i="4"/>
  <c r="Q2873" i="4"/>
  <c r="P2968" i="4"/>
  <c r="J2979" i="4"/>
  <c r="L2979" i="4"/>
  <c r="J3006" i="4"/>
  <c r="L3006" i="4"/>
  <c r="Q3216" i="4"/>
  <c r="I3216" i="4"/>
  <c r="P3273" i="4"/>
  <c r="O3304" i="4"/>
  <c r="P3427" i="4"/>
  <c r="P3442" i="4"/>
  <c r="P2824" i="4"/>
  <c r="J2848" i="4"/>
  <c r="M2962" i="4"/>
  <c r="M2991" i="4"/>
  <c r="J3050" i="4"/>
  <c r="Q3237" i="4"/>
  <c r="I3237" i="4"/>
  <c r="Q3246" i="4"/>
  <c r="P3336" i="4"/>
  <c r="Q3824" i="4"/>
  <c r="Q3868" i="4"/>
  <c r="I3868" i="4"/>
  <c r="I3608" i="4"/>
  <c r="K2824" i="4"/>
  <c r="M2824" i="4"/>
  <c r="J2927" i="4"/>
  <c r="J2954" i="4"/>
  <c r="J2985" i="4"/>
  <c r="M3021" i="4"/>
  <c r="L3121" i="4"/>
  <c r="K2968" i="4"/>
  <c r="M2968" i="4"/>
  <c r="J3073" i="4"/>
  <c r="L3073" i="4"/>
  <c r="J3089" i="4"/>
  <c r="O3109" i="4"/>
  <c r="I3256" i="4"/>
  <c r="I3289" i="4"/>
  <c r="P3372" i="4"/>
  <c r="P2862" i="4"/>
  <c r="M2934" i="4"/>
  <c r="L3089" i="4"/>
  <c r="N3089" i="4"/>
  <c r="J3164" i="4"/>
  <c r="J3193" i="4"/>
  <c r="L3193" i="4"/>
  <c r="P3193" i="4"/>
  <c r="J3216" i="4"/>
  <c r="I3281" i="4"/>
  <c r="M3297" i="4"/>
  <c r="I3616" i="4"/>
  <c r="P2912" i="4"/>
  <c r="N2948" i="4"/>
  <c r="P2948" i="4"/>
  <c r="M3081" i="4"/>
  <c r="O3081" i="4"/>
  <c r="M3178" i="4"/>
  <c r="J3289" i="4"/>
  <c r="I3318" i="4"/>
  <c r="I3359" i="4"/>
  <c r="J2799" i="4"/>
  <c r="K2799" i="4"/>
  <c r="M2799" i="4"/>
  <c r="L2799" i="4"/>
  <c r="O2799" i="4"/>
  <c r="I2799" i="4"/>
  <c r="N2799" i="4"/>
  <c r="I2900" i="4"/>
  <c r="N2912" i="4"/>
  <c r="K2985" i="4"/>
  <c r="M2985" i="4"/>
  <c r="O2985" i="4"/>
  <c r="I2985" i="4"/>
  <c r="I3006" i="4"/>
  <c r="K3006" i="4"/>
  <c r="Q3006" i="4"/>
  <c r="I3021" i="4"/>
  <c r="N3035" i="4"/>
  <c r="N3081" i="4"/>
  <c r="P3081" i="4"/>
  <c r="J3109" i="4"/>
  <c r="L3109" i="4"/>
  <c r="I3121" i="4"/>
  <c r="K3121" i="4"/>
  <c r="I3134" i="4"/>
  <c r="Q3145" i="4"/>
  <c r="I3145" i="4"/>
  <c r="N3164" i="4"/>
  <c r="M3193" i="4"/>
  <c r="K3205" i="4"/>
  <c r="J3227" i="4"/>
  <c r="O3265" i="4"/>
  <c r="K3289" i="4"/>
  <c r="M3289" i="4"/>
  <c r="O3289" i="4"/>
  <c r="J3304" i="4"/>
  <c r="L3304" i="4"/>
  <c r="J3311" i="4"/>
  <c r="L3311" i="4"/>
  <c r="Q3323" i="4"/>
  <c r="I3323" i="4"/>
  <c r="K3365" i="4"/>
  <c r="I3379" i="4"/>
  <c r="K3379" i="4"/>
  <c r="M3379" i="4"/>
  <c r="O3379" i="4"/>
  <c r="I3419" i="4"/>
  <c r="P3511" i="4"/>
  <c r="P3518" i="4"/>
  <c r="K2848" i="4"/>
  <c r="M2848" i="4"/>
  <c r="O2848" i="4"/>
  <c r="I2848" i="4"/>
  <c r="N2962" i="4"/>
  <c r="P2962" i="4"/>
  <c r="L2962" i="4"/>
  <c r="M2979" i="4"/>
  <c r="O2979" i="4"/>
  <c r="L2985" i="4"/>
  <c r="N2985" i="4"/>
  <c r="J2999" i="4"/>
  <c r="L2999" i="4"/>
  <c r="M3103" i="4"/>
  <c r="K3109" i="4"/>
  <c r="M3109" i="4"/>
  <c r="J3129" i="4"/>
  <c r="J3134" i="4"/>
  <c r="N3178" i="4"/>
  <c r="P3178" i="4"/>
  <c r="L3178" i="4"/>
  <c r="N3273" i="4"/>
  <c r="N3281" i="4"/>
  <c r="P3281" i="4"/>
  <c r="L3289" i="4"/>
  <c r="K3297" i="4"/>
  <c r="I3311" i="4"/>
  <c r="N3359" i="4"/>
  <c r="P3359" i="4"/>
  <c r="Q3511" i="4"/>
  <c r="K3511" i="4"/>
  <c r="Q3518" i="4"/>
  <c r="M3518" i="4"/>
  <c r="O3518" i="4"/>
  <c r="O3622" i="4"/>
  <c r="O3637" i="4"/>
  <c r="N2812" i="4"/>
  <c r="P2812" i="4"/>
  <c r="L2812" i="4"/>
  <c r="M2837" i="4"/>
  <c r="O2837" i="4"/>
  <c r="L2848" i="4"/>
  <c r="N2848" i="4"/>
  <c r="J2919" i="4"/>
  <c r="L2919" i="4"/>
  <c r="Q2940" i="4"/>
  <c r="I2940" i="4"/>
  <c r="O2940" i="4"/>
  <c r="P2954" i="4"/>
  <c r="O2962" i="4"/>
  <c r="Q2962" i="4"/>
  <c r="K2962" i="4"/>
  <c r="J3041" i="4"/>
  <c r="L3041" i="4"/>
  <c r="N3103" i="4"/>
  <c r="P3103" i="4"/>
  <c r="L3103" i="4"/>
  <c r="K3129" i="4"/>
  <c r="M3129" i="4"/>
  <c r="O3129" i="4"/>
  <c r="I3129" i="4"/>
  <c r="P3164" i="4"/>
  <c r="O3178" i="4"/>
  <c r="M3205" i="4"/>
  <c r="O3205" i="4"/>
  <c r="K3216" i="4"/>
  <c r="M3216" i="4"/>
  <c r="O3216" i="4"/>
  <c r="J3237" i="4"/>
  <c r="L3237" i="4"/>
  <c r="J3246" i="4"/>
  <c r="L3246" i="4"/>
  <c r="Q3265" i="4"/>
  <c r="I3265" i="4"/>
  <c r="Q3336" i="4"/>
  <c r="I3336" i="4"/>
  <c r="Q3353" i="4"/>
  <c r="K3372" i="4"/>
  <c r="M3372" i="4"/>
  <c r="I3719" i="4"/>
  <c r="I3726" i="4"/>
  <c r="M3726" i="4"/>
  <c r="M3743" i="4"/>
  <c r="N3405" i="4"/>
  <c r="P3622" i="4"/>
  <c r="O2812" i="4"/>
  <c r="Q2812" i="4"/>
  <c r="K2812" i="4"/>
  <c r="M2812" i="4"/>
  <c r="K2886" i="4"/>
  <c r="M2886" i="4"/>
  <c r="O2886" i="4"/>
  <c r="I2886" i="4"/>
  <c r="I2919" i="4"/>
  <c r="K2919" i="4"/>
  <c r="Q2919" i="4"/>
  <c r="I2934" i="4"/>
  <c r="N2940" i="4"/>
  <c r="Q2954" i="4"/>
  <c r="K3015" i="4"/>
  <c r="M3015" i="4"/>
  <c r="O3015" i="4"/>
  <c r="I3015" i="4"/>
  <c r="I3041" i="4"/>
  <c r="K3041" i="4"/>
  <c r="Q3041" i="4"/>
  <c r="I3065" i="4"/>
  <c r="Q3073" i="4"/>
  <c r="I3073" i="4"/>
  <c r="P3089" i="4"/>
  <c r="O3103" i="4"/>
  <c r="Q3103" i="4"/>
  <c r="L3129" i="4"/>
  <c r="N3129" i="4"/>
  <c r="N3193" i="4"/>
  <c r="N3205" i="4"/>
  <c r="P3205" i="4"/>
  <c r="L3216" i="4"/>
  <c r="K3227" i="4"/>
  <c r="I3246" i="4"/>
  <c r="N3289" i="4"/>
  <c r="P3289" i="4"/>
  <c r="K3311" i="4"/>
  <c r="M3311" i="4"/>
  <c r="O3311" i="4"/>
  <c r="N3365" i="4"/>
  <c r="P3365" i="4"/>
  <c r="P3493" i="4"/>
  <c r="I3506" i="4"/>
  <c r="P2799" i="4"/>
  <c r="N2855" i="4"/>
  <c r="P2855" i="4"/>
  <c r="L2855" i="4"/>
  <c r="L2886" i="4"/>
  <c r="N2886" i="4"/>
  <c r="J2912" i="4"/>
  <c r="L2912" i="4"/>
  <c r="J2934" i="4"/>
  <c r="N2991" i="4"/>
  <c r="P2991" i="4"/>
  <c r="L2991" i="4"/>
  <c r="M3006" i="4"/>
  <c r="O3006" i="4"/>
  <c r="L3015" i="4"/>
  <c r="N3015" i="4"/>
  <c r="J3035" i="4"/>
  <c r="L3035" i="4"/>
  <c r="J3065" i="4"/>
  <c r="N3073" i="4"/>
  <c r="Q3089" i="4"/>
  <c r="M3121" i="4"/>
  <c r="O3121" i="4"/>
  <c r="J3153" i="4"/>
  <c r="L3153" i="4"/>
  <c r="Q3178" i="4"/>
  <c r="Q3273" i="4"/>
  <c r="I3273" i="4"/>
  <c r="Q3281" i="4"/>
  <c r="N3297" i="4"/>
  <c r="P3297" i="4"/>
  <c r="L3297" i="4"/>
  <c r="Q3359" i="4"/>
  <c r="O3365" i="4"/>
  <c r="I3365" i="4"/>
  <c r="P3412" i="4"/>
  <c r="J3387" i="4"/>
  <c r="L3387" i="4"/>
  <c r="I3493" i="4"/>
  <c r="N3599" i="4"/>
  <c r="Q2799" i="4"/>
  <c r="O2855" i="4"/>
  <c r="Q2855" i="4"/>
  <c r="K2855" i="4"/>
  <c r="M2855" i="4"/>
  <c r="N2873" i="4"/>
  <c r="P2873" i="4"/>
  <c r="K2912" i="4"/>
  <c r="M2912" i="4"/>
  <c r="J2948" i="4"/>
  <c r="L2948" i="4"/>
  <c r="Q2968" i="4"/>
  <c r="I2968" i="4"/>
  <c r="O2968" i="4"/>
  <c r="P2985" i="4"/>
  <c r="O2991" i="4"/>
  <c r="Q2991" i="4"/>
  <c r="K2991" i="4"/>
  <c r="N3006" i="4"/>
  <c r="P3006" i="4"/>
  <c r="K3035" i="4"/>
  <c r="M3035" i="4"/>
  <c r="N3121" i="4"/>
  <c r="J3145" i="4"/>
  <c r="L3145" i="4"/>
  <c r="I3153" i="4"/>
  <c r="N3216" i="4"/>
  <c r="P3216" i="4"/>
  <c r="K3246" i="4"/>
  <c r="M3246" i="4"/>
  <c r="O3246" i="4"/>
  <c r="O3297" i="4"/>
  <c r="K3318" i="4"/>
  <c r="M3318" i="4"/>
  <c r="O3318" i="4"/>
  <c r="J3336" i="4"/>
  <c r="L3336" i="4"/>
  <c r="J3353" i="4"/>
  <c r="L3353" i="4"/>
  <c r="N3372" i="4"/>
  <c r="N3379" i="4"/>
  <c r="P3379" i="4"/>
  <c r="L3708" i="4"/>
  <c r="K3387" i="4"/>
  <c r="L3464" i="4"/>
  <c r="J3475" i="4"/>
  <c r="L3475" i="4"/>
  <c r="I3524" i="4"/>
  <c r="I3560" i="4"/>
  <c r="I3575" i="4"/>
  <c r="P3608" i="4"/>
  <c r="Q2824" i="4"/>
  <c r="I2824" i="4"/>
  <c r="O2824" i="4"/>
  <c r="K2927" i="4"/>
  <c r="M2927" i="4"/>
  <c r="O2927" i="4"/>
  <c r="I2927" i="4"/>
  <c r="I2948" i="4"/>
  <c r="K2948" i="4"/>
  <c r="Q2948" i="4"/>
  <c r="I2962" i="4"/>
  <c r="N2968" i="4"/>
  <c r="K3050" i="4"/>
  <c r="M3050" i="4"/>
  <c r="O3050" i="4"/>
  <c r="I3050" i="4"/>
  <c r="J3081" i="4"/>
  <c r="L3081" i="4"/>
  <c r="P3109" i="4"/>
  <c r="M3134" i="4"/>
  <c r="I3178" i="4"/>
  <c r="Q3193" i="4"/>
  <c r="I3193" i="4"/>
  <c r="Q3205" i="4"/>
  <c r="N3227" i="4"/>
  <c r="P3227" i="4"/>
  <c r="L3227" i="4"/>
  <c r="Q3289" i="4"/>
  <c r="N3304" i="4"/>
  <c r="L3318" i="4"/>
  <c r="K3323" i="4"/>
  <c r="I3353" i="4"/>
  <c r="Q3365" i="4"/>
  <c r="L3797" i="4"/>
  <c r="L3811" i="4"/>
  <c r="P3811" i="4"/>
  <c r="L3393" i="4"/>
  <c r="J3575" i="4"/>
  <c r="L3575" i="4"/>
  <c r="P3673" i="4"/>
  <c r="N2824" i="4"/>
  <c r="N2900" i="4"/>
  <c r="P2900" i="4"/>
  <c r="L2900" i="4"/>
  <c r="M2919" i="4"/>
  <c r="O2919" i="4"/>
  <c r="L2927" i="4"/>
  <c r="N2927" i="4"/>
  <c r="J2940" i="4"/>
  <c r="L2940" i="4"/>
  <c r="N3021" i="4"/>
  <c r="P3021" i="4"/>
  <c r="L3021" i="4"/>
  <c r="M3041" i="4"/>
  <c r="O3041" i="4"/>
  <c r="L3050" i="4"/>
  <c r="N3050" i="4"/>
  <c r="I3081" i="4"/>
  <c r="K3081" i="4"/>
  <c r="Q3081" i="4"/>
  <c r="I3103" i="4"/>
  <c r="Q3109" i="4"/>
  <c r="I3109" i="4"/>
  <c r="P3129" i="4"/>
  <c r="N3134" i="4"/>
  <c r="P3134" i="4"/>
  <c r="K3153" i="4"/>
  <c r="O3227" i="4"/>
  <c r="K3256" i="4"/>
  <c r="M3256" i="4"/>
  <c r="O3256" i="4"/>
  <c r="J3273" i="4"/>
  <c r="L3273" i="4"/>
  <c r="J3281" i="4"/>
  <c r="L3281" i="4"/>
  <c r="Q3297" i="4"/>
  <c r="I3297" i="4"/>
  <c r="O3393" i="4"/>
  <c r="L3456" i="4"/>
  <c r="K3575" i="4"/>
  <c r="I3673" i="4"/>
  <c r="Q2862" i="4"/>
  <c r="I2862" i="4"/>
  <c r="O2862" i="4"/>
  <c r="P3792" i="4"/>
  <c r="M3456" i="4"/>
  <c r="O3456" i="4"/>
  <c r="Q3456" i="4"/>
  <c r="L3663" i="4"/>
  <c r="J3668" i="4"/>
  <c r="J2837" i="4"/>
  <c r="L2837" i="4"/>
  <c r="N2862" i="4"/>
  <c r="Q2886" i="4"/>
  <c r="K2954" i="4"/>
  <c r="M2954" i="4"/>
  <c r="O2954" i="4"/>
  <c r="I2954" i="4"/>
  <c r="I2979" i="4"/>
  <c r="K2979" i="4"/>
  <c r="Q2979" i="4"/>
  <c r="I2991" i="4"/>
  <c r="N2999" i="4"/>
  <c r="Q3015" i="4"/>
  <c r="M3153" i="4"/>
  <c r="O3153" i="4"/>
  <c r="K3164" i="4"/>
  <c r="M3164" i="4"/>
  <c r="O3164" i="4"/>
  <c r="J3205" i="4"/>
  <c r="L3205" i="4"/>
  <c r="Q3227" i="4"/>
  <c r="I3227" i="4"/>
  <c r="Q3304" i="4"/>
  <c r="I3304" i="4"/>
  <c r="Q3311" i="4"/>
  <c r="N3323" i="4"/>
  <c r="P3323" i="4"/>
  <c r="L3323" i="4"/>
  <c r="J3365" i="4"/>
  <c r="J3372" i="4"/>
  <c r="L3372" i="4"/>
  <c r="P3757" i="4"/>
  <c r="M3542" i="4"/>
  <c r="O3542" i="4"/>
  <c r="M3560" i="4"/>
  <c r="O3560" i="4"/>
  <c r="I2837" i="4"/>
  <c r="K2837" i="4"/>
  <c r="Q2837" i="4"/>
  <c r="J2855" i="4"/>
  <c r="N2934" i="4"/>
  <c r="P2934" i="4"/>
  <c r="L2934" i="4"/>
  <c r="M2948" i="4"/>
  <c r="O2948" i="4"/>
  <c r="L2954" i="4"/>
  <c r="N2954" i="4"/>
  <c r="J2968" i="4"/>
  <c r="L2968" i="4"/>
  <c r="J2991" i="4"/>
  <c r="N3065" i="4"/>
  <c r="P3065" i="4"/>
  <c r="L3065" i="4"/>
  <c r="K3089" i="4"/>
  <c r="M3089" i="4"/>
  <c r="O3089" i="4"/>
  <c r="I3089" i="4"/>
  <c r="L3164" i="4"/>
  <c r="K3178" i="4"/>
  <c r="I3205" i="4"/>
  <c r="N3256" i="4"/>
  <c r="P3256" i="4"/>
  <c r="K3273" i="4"/>
  <c r="M3273" i="4"/>
  <c r="K3281" i="4"/>
  <c r="M3281" i="4"/>
  <c r="O3281" i="4"/>
  <c r="J3297" i="4"/>
  <c r="O3323" i="4"/>
  <c r="K3359" i="4"/>
  <c r="M3359" i="4"/>
  <c r="O3359" i="4"/>
  <c r="O3792" i="4"/>
  <c r="J3875" i="4"/>
  <c r="L3875" i="4"/>
  <c r="L3511" i="4"/>
  <c r="L3589" i="4"/>
  <c r="J2862" i="4"/>
  <c r="L2862" i="4"/>
  <c r="O3464" i="4"/>
  <c r="O3589" i="4"/>
  <c r="I2812" i="4"/>
  <c r="K2862" i="4"/>
  <c r="M2862" i="4"/>
  <c r="K2940" i="4"/>
  <c r="M2940" i="4"/>
  <c r="K2999" i="4"/>
  <c r="M2999" i="4"/>
  <c r="K3073" i="4"/>
  <c r="M3073" i="4"/>
  <c r="P3121" i="4"/>
  <c r="K3145" i="4"/>
  <c r="M3145" i="4"/>
  <c r="O3770" i="4"/>
  <c r="J3694" i="4"/>
  <c r="L3616" i="4"/>
  <c r="J2812" i="4"/>
  <c r="P2848" i="4"/>
  <c r="J2900" i="4"/>
  <c r="J2962" i="4"/>
  <c r="J3021" i="4"/>
  <c r="J3103" i="4"/>
  <c r="K3237" i="4"/>
  <c r="M3237" i="4"/>
  <c r="K3304" i="4"/>
  <c r="M3304" i="4"/>
  <c r="I3456" i="4"/>
  <c r="Q2848" i="4"/>
  <c r="M2873" i="4"/>
  <c r="O2873" i="4"/>
  <c r="Q2927" i="4"/>
  <c r="Q2985" i="4"/>
  <c r="Q3050" i="4"/>
  <c r="Q3129" i="4"/>
  <c r="J3178" i="4"/>
  <c r="J3265" i="4"/>
  <c r="J3323" i="4"/>
  <c r="I3863" i="4"/>
  <c r="I3387" i="4"/>
  <c r="O3663" i="4"/>
  <c r="O3668" i="4"/>
  <c r="J3121" i="4"/>
  <c r="N3153" i="4"/>
  <c r="P3153" i="4"/>
  <c r="N3246" i="4"/>
  <c r="P3246" i="4"/>
  <c r="N3311" i="4"/>
  <c r="P3311" i="4"/>
  <c r="L3726" i="4"/>
  <c r="L3427" i="4"/>
  <c r="J2824" i="4"/>
  <c r="L2824" i="4"/>
  <c r="I2855" i="4"/>
  <c r="I3839" i="4"/>
  <c r="J3735" i="4"/>
  <c r="P3678" i="4"/>
  <c r="J3683" i="4"/>
  <c r="L3683" i="4"/>
  <c r="N3797" i="4"/>
  <c r="L3419" i="4"/>
  <c r="N2837" i="4"/>
  <c r="P2837" i="4"/>
  <c r="N2919" i="4"/>
  <c r="P2919" i="4"/>
  <c r="N2979" i="4"/>
  <c r="P2979" i="4"/>
  <c r="N3041" i="4"/>
  <c r="P3041" i="4"/>
  <c r="Q3164" i="4"/>
  <c r="Q3256" i="4"/>
  <c r="Q3318" i="4"/>
  <c r="J3405" i="4"/>
  <c r="L3405" i="4"/>
  <c r="Q3427" i="4"/>
  <c r="K3427" i="4"/>
  <c r="Q3442" i="4"/>
  <c r="M3442" i="4"/>
  <c r="O3442" i="4"/>
  <c r="N3456" i="4"/>
  <c r="J3493" i="4"/>
  <c r="L3493" i="4"/>
  <c r="N3493" i="4"/>
  <c r="P3530" i="4"/>
  <c r="J3599" i="4"/>
  <c r="L3599" i="4"/>
  <c r="Q3622" i="4"/>
  <c r="K3622" i="4"/>
  <c r="P3637" i="4"/>
  <c r="N3658" i="4"/>
  <c r="J3673" i="4"/>
  <c r="L3673" i="4"/>
  <c r="N3673" i="4"/>
  <c r="Q3757" i="4"/>
  <c r="Q3762" i="4"/>
  <c r="M3387" i="4"/>
  <c r="O3387" i="4"/>
  <c r="Q3387" i="4"/>
  <c r="J3412" i="4"/>
  <c r="L3412" i="4"/>
  <c r="N3412" i="4"/>
  <c r="M3464" i="4"/>
  <c r="K3493" i="4"/>
  <c r="Q3493" i="4"/>
  <c r="I3511" i="4"/>
  <c r="I3518" i="4"/>
  <c r="K3518" i="4"/>
  <c r="P3542" i="4"/>
  <c r="P3551" i="4"/>
  <c r="M3575" i="4"/>
  <c r="O3575" i="4"/>
  <c r="Q3575" i="4"/>
  <c r="J3608" i="4"/>
  <c r="L3608" i="4"/>
  <c r="N3608" i="4"/>
  <c r="Q3637" i="4"/>
  <c r="M3637" i="4"/>
  <c r="M3663" i="4"/>
  <c r="L3668" i="4"/>
  <c r="K3673" i="4"/>
  <c r="Q3673" i="4"/>
  <c r="M3784" i="4"/>
  <c r="I3792" i="4"/>
  <c r="N3387" i="4"/>
  <c r="K3412" i="4"/>
  <c r="Q3412" i="4"/>
  <c r="I3427" i="4"/>
  <c r="I3442" i="4"/>
  <c r="K3442" i="4"/>
  <c r="P3456" i="4"/>
  <c r="N3464" i="4"/>
  <c r="J3464" i="4"/>
  <c r="J3506" i="4"/>
  <c r="N3518" i="4"/>
  <c r="Q3542" i="4"/>
  <c r="K3542" i="4"/>
  <c r="Q3551" i="4"/>
  <c r="M3551" i="4"/>
  <c r="O3551" i="4"/>
  <c r="N3575" i="4"/>
  <c r="K3608" i="4"/>
  <c r="Q3608" i="4"/>
  <c r="I3622" i="4"/>
  <c r="P3658" i="4"/>
  <c r="N3663" i="4"/>
  <c r="J3663" i="4"/>
  <c r="M3393" i="4"/>
  <c r="J3419" i="4"/>
  <c r="N3442" i="4"/>
  <c r="M3493" i="4"/>
  <c r="O3493" i="4"/>
  <c r="K3506" i="4"/>
  <c r="P3524" i="4"/>
  <c r="M3589" i="4"/>
  <c r="J3616" i="4"/>
  <c r="I3637" i="4"/>
  <c r="K3637" i="4"/>
  <c r="M3673" i="4"/>
  <c r="O3673" i="4"/>
  <c r="P3387" i="4"/>
  <c r="N3393" i="4"/>
  <c r="J3393" i="4"/>
  <c r="M3412" i="4"/>
  <c r="O3412" i="4"/>
  <c r="K3419" i="4"/>
  <c r="P3450" i="4"/>
  <c r="P3464" i="4"/>
  <c r="J3518" i="4"/>
  <c r="L3518" i="4"/>
  <c r="I3542" i="4"/>
  <c r="I3551" i="4"/>
  <c r="K3551" i="4"/>
  <c r="P3575" i="4"/>
  <c r="N3589" i="4"/>
  <c r="J3589" i="4"/>
  <c r="M3608" i="4"/>
  <c r="O3608" i="4"/>
  <c r="K3616" i="4"/>
  <c r="N3637" i="4"/>
  <c r="P3663" i="4"/>
  <c r="M3708" i="4"/>
  <c r="K3735" i="4"/>
  <c r="J3743" i="4"/>
  <c r="P3743" i="4"/>
  <c r="I3757" i="4"/>
  <c r="M3811" i="4"/>
  <c r="J3442" i="4"/>
  <c r="L3442" i="4"/>
  <c r="Q3464" i="4"/>
  <c r="K3464" i="4"/>
  <c r="P3475" i="4"/>
  <c r="M3506" i="4"/>
  <c r="O3506" i="4"/>
  <c r="Q3506" i="4"/>
  <c r="J3524" i="4"/>
  <c r="L3524" i="4"/>
  <c r="N3524" i="4"/>
  <c r="N3551" i="4"/>
  <c r="P3651" i="4"/>
  <c r="Q3663" i="4"/>
  <c r="K3663" i="4"/>
  <c r="P3668" i="4"/>
  <c r="M3719" i="4"/>
  <c r="J3811" i="4"/>
  <c r="P3393" i="4"/>
  <c r="P3405" i="4"/>
  <c r="M3419" i="4"/>
  <c r="O3419" i="4"/>
  <c r="Q3419" i="4"/>
  <c r="J3450" i="4"/>
  <c r="L3450" i="4"/>
  <c r="N3450" i="4"/>
  <c r="Q3475" i="4"/>
  <c r="M3475" i="4"/>
  <c r="N3506" i="4"/>
  <c r="K3524" i="4"/>
  <c r="Q3524" i="4"/>
  <c r="J3530" i="4"/>
  <c r="P3560" i="4"/>
  <c r="P3589" i="4"/>
  <c r="P3599" i="4"/>
  <c r="M3616" i="4"/>
  <c r="O3616" i="4"/>
  <c r="Q3616" i="4"/>
  <c r="J3637" i="4"/>
  <c r="L3637" i="4"/>
  <c r="Q3668" i="4"/>
  <c r="M3668" i="4"/>
  <c r="K3846" i="4"/>
  <c r="O3852" i="4"/>
  <c r="O3683" i="4"/>
  <c r="Q3683" i="4"/>
  <c r="O3694" i="4"/>
  <c r="O3708" i="4"/>
  <c r="Q3708" i="4"/>
  <c r="I3811" i="4"/>
  <c r="O3811" i="4"/>
  <c r="Q3393" i="4"/>
  <c r="K3393" i="4"/>
  <c r="Q3405" i="4"/>
  <c r="M3405" i="4"/>
  <c r="O3405" i="4"/>
  <c r="N3419" i="4"/>
  <c r="K3450" i="4"/>
  <c r="Q3450" i="4"/>
  <c r="I3464" i="4"/>
  <c r="M3511" i="4"/>
  <c r="K3530" i="4"/>
  <c r="I3530" i="4"/>
  <c r="J3551" i="4"/>
  <c r="L3551" i="4"/>
  <c r="Q3589" i="4"/>
  <c r="K3589" i="4"/>
  <c r="Q3599" i="4"/>
  <c r="M3599" i="4"/>
  <c r="O3599" i="4"/>
  <c r="N3616" i="4"/>
  <c r="J3651" i="4"/>
  <c r="L3651" i="4"/>
  <c r="N3651" i="4"/>
  <c r="I3663" i="4"/>
  <c r="M3427" i="4"/>
  <c r="J3456" i="4"/>
  <c r="I3475" i="4"/>
  <c r="K3475" i="4"/>
  <c r="P3506" i="4"/>
  <c r="N3511" i="4"/>
  <c r="J3511" i="4"/>
  <c r="M3524" i="4"/>
  <c r="O3524" i="4"/>
  <c r="J3560" i="4"/>
  <c r="L3560" i="4"/>
  <c r="N3560" i="4"/>
  <c r="M3622" i="4"/>
  <c r="K3651" i="4"/>
  <c r="Q3651" i="4"/>
  <c r="J3658" i="4"/>
  <c r="I3668" i="4"/>
  <c r="K3668" i="4"/>
  <c r="P3719" i="4"/>
  <c r="K3797" i="4"/>
  <c r="K3816" i="4"/>
  <c r="M3816" i="4"/>
  <c r="I3393" i="4"/>
  <c r="I3405" i="4"/>
  <c r="K3405" i="4"/>
  <c r="P3419" i="4"/>
  <c r="N3427" i="4"/>
  <c r="J3427" i="4"/>
  <c r="M3450" i="4"/>
  <c r="O3450" i="4"/>
  <c r="K3456" i="4"/>
  <c r="N3475" i="4"/>
  <c r="M3530" i="4"/>
  <c r="O3530" i="4"/>
  <c r="Q3530" i="4"/>
  <c r="K3560" i="4"/>
  <c r="Q3560" i="4"/>
  <c r="I3589" i="4"/>
  <c r="I3599" i="4"/>
  <c r="K3599" i="4"/>
  <c r="P3616" i="4"/>
  <c r="N3622" i="4"/>
  <c r="J3622" i="4"/>
  <c r="K3658" i="4"/>
  <c r="I3658" i="4"/>
  <c r="N3668" i="4"/>
  <c r="Q3678" i="4"/>
  <c r="P3683" i="4"/>
  <c r="N3694" i="4"/>
  <c r="K3719" i="4"/>
  <c r="I3735" i="4"/>
  <c r="J3757" i="4"/>
  <c r="O3784" i="4"/>
  <c r="Q3784" i="4"/>
  <c r="M3792" i="4"/>
  <c r="N3708" i="4"/>
  <c r="L3719" i="4"/>
  <c r="N3719" i="4"/>
  <c r="K3726" i="4"/>
  <c r="I3743" i="4"/>
  <c r="Q3770" i="4"/>
  <c r="N3792" i="4"/>
  <c r="K3811" i="4"/>
  <c r="J3816" i="4"/>
  <c r="P3816" i="4"/>
  <c r="N3784" i="4"/>
  <c r="L3792" i="4"/>
  <c r="J3678" i="4"/>
  <c r="Q3694" i="4"/>
  <c r="L3735" i="4"/>
  <c r="P3735" i="4"/>
  <c r="K3743" i="4"/>
  <c r="I3762" i="4"/>
  <c r="M3762" i="4"/>
  <c r="M3770" i="4"/>
  <c r="O3797" i="4"/>
  <c r="L3816" i="4"/>
  <c r="J3868" i="4"/>
  <c r="O3719" i="4"/>
  <c r="N3726" i="4"/>
  <c r="L3743" i="4"/>
  <c r="Q3792" i="4"/>
  <c r="P3797" i="4"/>
  <c r="J3797" i="4"/>
  <c r="N3811" i="4"/>
  <c r="L3846" i="4"/>
  <c r="N3858" i="4"/>
  <c r="M3839" i="4"/>
  <c r="O3839" i="4"/>
  <c r="K3868" i="4"/>
  <c r="I3683" i="4"/>
  <c r="K3683" i="4"/>
  <c r="M3683" i="4"/>
  <c r="O3726" i="4"/>
  <c r="Q3726" i="4"/>
  <c r="N3735" i="4"/>
  <c r="K3757" i="4"/>
  <c r="K3762" i="4"/>
  <c r="I3770" i="4"/>
  <c r="J3792" i="4"/>
  <c r="Q3797" i="4"/>
  <c r="N3816" i="4"/>
  <c r="N3875" i="4"/>
  <c r="K3678" i="4"/>
  <c r="I3678" i="4"/>
  <c r="Q3719" i="4"/>
  <c r="P3726" i="4"/>
  <c r="J3726" i="4"/>
  <c r="N3743" i="4"/>
  <c r="L3757" i="4"/>
  <c r="I3784" i="4"/>
  <c r="O3816" i="4"/>
  <c r="I3816" i="4"/>
  <c r="L3868" i="4"/>
  <c r="N3852" i="4"/>
  <c r="L3678" i="4"/>
  <c r="N3678" i="4"/>
  <c r="I3694" i="4"/>
  <c r="M3694" i="4"/>
  <c r="J3719" i="4"/>
  <c r="O3743" i="4"/>
  <c r="M3757" i="4"/>
  <c r="K3770" i="4"/>
  <c r="J3784" i="4"/>
  <c r="P3784" i="4"/>
  <c r="Q3811" i="4"/>
  <c r="M3678" i="4"/>
  <c r="I3708" i="4"/>
  <c r="K3708" i="4"/>
  <c r="Q3735" i="4"/>
  <c r="O3735" i="4"/>
  <c r="N3757" i="4"/>
  <c r="N3762" i="4"/>
  <c r="L3762" i="4"/>
  <c r="L3770" i="4"/>
  <c r="P3770" i="4"/>
  <c r="K3784" i="4"/>
  <c r="Q3816" i="4"/>
  <c r="P3846" i="4"/>
  <c r="O3875" i="4"/>
  <c r="K3694" i="4"/>
  <c r="J3708" i="4"/>
  <c r="P3708" i="4"/>
  <c r="Q3743" i="4"/>
  <c r="O3757" i="4"/>
  <c r="O3762" i="4"/>
  <c r="L3784" i="4"/>
  <c r="I3797" i="4"/>
  <c r="M3797" i="4"/>
  <c r="I3824" i="4"/>
  <c r="O3824" i="4"/>
  <c r="Q3858" i="4"/>
  <c r="O3678" i="4"/>
  <c r="N3683" i="4"/>
  <c r="L3694" i="4"/>
  <c r="P3694" i="4"/>
  <c r="M3735" i="4"/>
  <c r="P3762" i="4"/>
  <c r="J3762" i="4"/>
  <c r="N3770" i="4"/>
  <c r="K3792" i="4"/>
  <c r="N3824" i="4"/>
  <c r="Q3846" i="4"/>
  <c r="I3846" i="4"/>
  <c r="M3863" i="4"/>
  <c r="I3875" i="4"/>
  <c r="P3852" i="4"/>
  <c r="P3863" i="4"/>
  <c r="J3824" i="4"/>
  <c r="Q3852" i="4"/>
  <c r="K3852" i="4"/>
  <c r="P3858" i="4"/>
  <c r="O3863" i="4"/>
  <c r="M3868" i="4"/>
  <c r="O3868" i="4"/>
  <c r="J3839" i="4"/>
  <c r="N3868" i="4"/>
  <c r="L3824" i="4"/>
  <c r="K3839" i="4"/>
  <c r="Q3839" i="4"/>
  <c r="I3852" i="4"/>
  <c r="M3875" i="4"/>
  <c r="J3846" i="4"/>
  <c r="J3852" i="4"/>
  <c r="L3852" i="4"/>
  <c r="I3858" i="4"/>
  <c r="P3868" i="4"/>
  <c r="N3863" i="4"/>
  <c r="K3824" i="4"/>
  <c r="N3839" i="4"/>
  <c r="P3839" i="4"/>
  <c r="P3875" i="4"/>
  <c r="P3824" i="4"/>
  <c r="M3846" i="4"/>
  <c r="O3846" i="4"/>
  <c r="J3858" i="4"/>
  <c r="L3858" i="4"/>
  <c r="Q3875" i="4"/>
  <c r="K3875" i="4"/>
  <c r="N3846" i="4"/>
  <c r="K3858" i="4"/>
  <c r="M3858" i="4"/>
  <c r="O3858" i="4"/>
  <c r="J3863" i="4"/>
  <c r="L3863" i="4"/>
  <c r="M3824" i="4"/>
  <c r="L3839" i="4"/>
  <c r="M3852" i="4"/>
  <c r="K3863" i="4"/>
  <c r="Q3863" i="4"/>
  <c r="G769" i="21"/>
  <c r="G768" i="21"/>
  <c r="G767" i="21"/>
  <c r="G766" i="21"/>
  <c r="G898" i="21"/>
  <c r="G899" i="21"/>
  <c r="G900" i="21"/>
  <c r="G901" i="21"/>
  <c r="G734" i="21"/>
  <c r="G735" i="21"/>
  <c r="G736" i="21"/>
  <c r="G737" i="21"/>
  <c r="G818" i="21"/>
  <c r="G819" i="21"/>
  <c r="G820" i="21"/>
  <c r="G821" i="21"/>
  <c r="G791" i="21"/>
  <c r="G792" i="21"/>
  <c r="G793" i="21"/>
  <c r="G794" i="21"/>
  <c r="G850" i="21"/>
  <c r="G851" i="21"/>
  <c r="G852" i="21"/>
  <c r="G853" i="21"/>
  <c r="I142" i="11"/>
  <c r="J142" i="11" s="1"/>
  <c r="I141" i="11"/>
  <c r="J141" i="11" s="1"/>
  <c r="I139" i="11"/>
  <c r="J139" i="11" s="1"/>
  <c r="I138" i="11"/>
  <c r="J138" i="11" s="1"/>
  <c r="G895" i="21"/>
  <c r="G894" i="21"/>
  <c r="G896" i="21"/>
  <c r="G897" i="21"/>
  <c r="V150" i="11"/>
  <c r="U149" i="11"/>
  <c r="T150" i="11"/>
  <c r="S149" i="11"/>
  <c r="P141" i="11"/>
  <c r="O141" i="11"/>
  <c r="N141" i="11"/>
  <c r="L141" i="11"/>
  <c r="K141" i="11"/>
  <c r="M141" i="11" l="1"/>
  <c r="G846" i="21"/>
  <c r="G847" i="21"/>
  <c r="G848" i="21"/>
  <c r="G849" i="21"/>
  <c r="G814" i="21"/>
  <c r="J814" i="21" s="1"/>
  <c r="K814" i="21" s="1"/>
  <c r="G815" i="21"/>
  <c r="G816" i="21"/>
  <c r="G817" i="21"/>
  <c r="J817" i="21" s="1"/>
  <c r="O817" i="21" s="1"/>
  <c r="Q1544" i="21"/>
  <c r="P1544" i="21"/>
  <c r="N1544" i="21"/>
  <c r="M1544" i="21"/>
  <c r="L1544" i="21"/>
  <c r="K1544" i="21"/>
  <c r="J1544" i="21"/>
  <c r="O1544" i="21" s="1"/>
  <c r="Q1543" i="21"/>
  <c r="P1543" i="21"/>
  <c r="O1543" i="21"/>
  <c r="N1543" i="21"/>
  <c r="M1543" i="21"/>
  <c r="L1543" i="21"/>
  <c r="J1543" i="21"/>
  <c r="K1543" i="21" s="1"/>
  <c r="Q1542" i="21"/>
  <c r="P1542" i="21"/>
  <c r="O1542" i="21"/>
  <c r="N1542" i="21"/>
  <c r="M1542" i="21"/>
  <c r="L1542" i="21"/>
  <c r="J1542" i="21"/>
  <c r="K1542" i="21" s="1"/>
  <c r="Q1541" i="21"/>
  <c r="P1541" i="21"/>
  <c r="N1541" i="21"/>
  <c r="M1541" i="21"/>
  <c r="L1541" i="21"/>
  <c r="K1541" i="21"/>
  <c r="J1541" i="21"/>
  <c r="O1541" i="21" s="1"/>
  <c r="Q1540" i="21"/>
  <c r="P1540" i="21"/>
  <c r="O1540" i="21"/>
  <c r="N1540" i="21"/>
  <c r="M1540" i="21"/>
  <c r="L1540" i="21"/>
  <c r="J1540" i="21"/>
  <c r="K1540" i="21" s="1"/>
  <c r="Q1539" i="21"/>
  <c r="P1539" i="21"/>
  <c r="O1539" i="21"/>
  <c r="N1539" i="21"/>
  <c r="M1539" i="21"/>
  <c r="L1539" i="21"/>
  <c r="J1539" i="21"/>
  <c r="K1539" i="21" s="1"/>
  <c r="Q1538" i="21"/>
  <c r="P1538" i="21"/>
  <c r="O1538" i="21"/>
  <c r="N1538" i="21"/>
  <c r="M1538" i="21"/>
  <c r="L1538" i="21"/>
  <c r="J1538" i="21"/>
  <c r="K1538" i="21" s="1"/>
  <c r="Q1537" i="21"/>
  <c r="P1537" i="21"/>
  <c r="N1537" i="21"/>
  <c r="M1537" i="21"/>
  <c r="L1537" i="21"/>
  <c r="K1537" i="21"/>
  <c r="J1537" i="21"/>
  <c r="O1537" i="21" s="1"/>
  <c r="Q1536" i="21"/>
  <c r="P1536" i="21"/>
  <c r="O1536" i="21"/>
  <c r="N1536" i="21"/>
  <c r="M1536" i="21"/>
  <c r="L1536" i="21"/>
  <c r="J1536" i="21"/>
  <c r="K1536" i="21" s="1"/>
  <c r="Q1535" i="21"/>
  <c r="P1535" i="21"/>
  <c r="O1535" i="21"/>
  <c r="N1535" i="21"/>
  <c r="M1535" i="21"/>
  <c r="L1535" i="21"/>
  <c r="J1535" i="21"/>
  <c r="K1535" i="21" s="1"/>
  <c r="Q1533" i="21"/>
  <c r="P1533" i="21"/>
  <c r="O1533" i="21"/>
  <c r="M1533" i="21"/>
  <c r="L1533" i="21"/>
  <c r="K1533" i="21"/>
  <c r="J1533" i="21"/>
  <c r="N1533" i="21" s="1"/>
  <c r="Q1532" i="21"/>
  <c r="P1532" i="21"/>
  <c r="O1532" i="21"/>
  <c r="N1532" i="21"/>
  <c r="M1532" i="21"/>
  <c r="L1532" i="21"/>
  <c r="J1532" i="21"/>
  <c r="K1532" i="21" s="1"/>
  <c r="Q1530" i="21"/>
  <c r="P1530" i="21"/>
  <c r="O1530" i="21"/>
  <c r="M1530" i="21"/>
  <c r="L1530" i="21"/>
  <c r="K1530" i="21"/>
  <c r="J1530" i="21"/>
  <c r="N1530" i="21" s="1"/>
  <c r="Q1529" i="21"/>
  <c r="P1529" i="21"/>
  <c r="O1529" i="21"/>
  <c r="N1529" i="21"/>
  <c r="M1529" i="21"/>
  <c r="L1529" i="21"/>
  <c r="J1529" i="21"/>
  <c r="K1529" i="21" s="1"/>
  <c r="Q1528" i="21"/>
  <c r="P1528" i="21"/>
  <c r="O1528" i="21"/>
  <c r="M1528" i="21"/>
  <c r="L1528" i="21"/>
  <c r="K1528" i="21"/>
  <c r="J1528" i="21"/>
  <c r="N1528" i="21" s="1"/>
  <c r="Q1527" i="21"/>
  <c r="P1527" i="21"/>
  <c r="O1527" i="21"/>
  <c r="N1527" i="21"/>
  <c r="M1527" i="21"/>
  <c r="L1527" i="21"/>
  <c r="J1527" i="21"/>
  <c r="K1527" i="21" s="1"/>
  <c r="Q1526" i="21"/>
  <c r="O1526" i="21"/>
  <c r="N1526" i="21"/>
  <c r="M1526" i="21"/>
  <c r="L1526" i="21"/>
  <c r="K1526" i="21"/>
  <c r="J1526" i="21"/>
  <c r="P1526" i="21" s="1"/>
  <c r="Q1525" i="21"/>
  <c r="P1525" i="21"/>
  <c r="O1525" i="21"/>
  <c r="N1525" i="21"/>
  <c r="M1525" i="21"/>
  <c r="L1525" i="21"/>
  <c r="J1525" i="21"/>
  <c r="K1525" i="21" s="1"/>
  <c r="Q1524" i="21"/>
  <c r="P1524" i="21"/>
  <c r="O1524" i="21"/>
  <c r="N1524" i="21"/>
  <c r="M1524" i="21"/>
  <c r="L1524" i="21"/>
  <c r="J1524" i="21"/>
  <c r="K1524" i="21" s="1"/>
  <c r="Q1523" i="21"/>
  <c r="P1523" i="21"/>
  <c r="O1523" i="21"/>
  <c r="N1523" i="21"/>
  <c r="M1523" i="21"/>
  <c r="L1523" i="21"/>
  <c r="J1523" i="21"/>
  <c r="K1523" i="21" s="1"/>
  <c r="Q1522" i="21"/>
  <c r="O1522" i="21"/>
  <c r="N1522" i="21"/>
  <c r="M1522" i="21"/>
  <c r="L1522" i="21"/>
  <c r="K1522" i="21"/>
  <c r="J1522" i="21"/>
  <c r="P1522" i="21" s="1"/>
  <c r="Q1521" i="21"/>
  <c r="P1521" i="21"/>
  <c r="O1521" i="21"/>
  <c r="N1521" i="21"/>
  <c r="M1521" i="21"/>
  <c r="L1521" i="21"/>
  <c r="J1521" i="21"/>
  <c r="K1521" i="21" s="1"/>
  <c r="Q1520" i="21"/>
  <c r="P1520" i="21"/>
  <c r="O1520" i="21"/>
  <c r="N1520" i="21"/>
  <c r="M1520" i="21"/>
  <c r="L1520" i="21"/>
  <c r="J1520" i="21"/>
  <c r="K1520" i="21" s="1"/>
  <c r="Q1519" i="21"/>
  <c r="P1519" i="21"/>
  <c r="O1519" i="21"/>
  <c r="N1519" i="21"/>
  <c r="M1519" i="21"/>
  <c r="L1519" i="21"/>
  <c r="J1519" i="21"/>
  <c r="K1519" i="21" s="1"/>
  <c r="Q1518" i="21"/>
  <c r="P1518" i="21"/>
  <c r="O1518" i="21"/>
  <c r="N1518" i="21"/>
  <c r="M1518" i="21"/>
  <c r="L1518" i="21"/>
  <c r="K1518" i="21"/>
  <c r="J1518" i="21"/>
  <c r="Q1517" i="21"/>
  <c r="P1517" i="21"/>
  <c r="O1517" i="21"/>
  <c r="M1517" i="21"/>
  <c r="L1517" i="21"/>
  <c r="K1517" i="21"/>
  <c r="J1517" i="21"/>
  <c r="N1517" i="21" s="1"/>
  <c r="Q1516" i="21"/>
  <c r="P1516" i="21"/>
  <c r="O1516" i="21"/>
  <c r="N1516" i="21"/>
  <c r="M1516" i="21"/>
  <c r="L1516" i="21"/>
  <c r="J1516" i="21"/>
  <c r="K1516" i="21" s="1"/>
  <c r="Q1515" i="21"/>
  <c r="P1515" i="21"/>
  <c r="O1515" i="21"/>
  <c r="N1515" i="21"/>
  <c r="M1515" i="21"/>
  <c r="L1515" i="21"/>
  <c r="J1515" i="21"/>
  <c r="K1515" i="21" s="1"/>
  <c r="Q1511" i="21"/>
  <c r="P1511" i="21"/>
  <c r="O1511" i="21"/>
  <c r="M1511" i="21"/>
  <c r="L1511" i="21"/>
  <c r="K1511" i="21"/>
  <c r="J1511" i="21"/>
  <c r="N1511" i="21" s="1"/>
  <c r="Q1510" i="21"/>
  <c r="P1510" i="21"/>
  <c r="O1510" i="21"/>
  <c r="N1510" i="21"/>
  <c r="M1510" i="21"/>
  <c r="L1510" i="21"/>
  <c r="J1510" i="21"/>
  <c r="K1510" i="21" s="1"/>
  <c r="Q1509" i="21"/>
  <c r="P1509" i="21"/>
  <c r="O1509" i="21"/>
  <c r="N1509" i="21"/>
  <c r="M1509" i="21"/>
  <c r="L1509" i="21"/>
  <c r="J1509" i="21"/>
  <c r="K1509" i="21" s="1"/>
  <c r="Q1508" i="21"/>
  <c r="P1508" i="21"/>
  <c r="O1508" i="21"/>
  <c r="N1508" i="21"/>
  <c r="M1508" i="21"/>
  <c r="L1508" i="21"/>
  <c r="J1508" i="21"/>
  <c r="K1508" i="21" s="1"/>
  <c r="Q1507" i="21"/>
  <c r="P1507" i="21"/>
  <c r="O1507" i="21"/>
  <c r="M1507" i="21"/>
  <c r="L1507" i="21"/>
  <c r="K1507" i="21"/>
  <c r="J1507" i="21"/>
  <c r="N1507" i="21" s="1"/>
  <c r="Q1506" i="21"/>
  <c r="P1506" i="21"/>
  <c r="O1506" i="21"/>
  <c r="M1506" i="21"/>
  <c r="L1506" i="21"/>
  <c r="K1506" i="21"/>
  <c r="J1506" i="21"/>
  <c r="N1506" i="21" s="1"/>
  <c r="Q1505" i="21"/>
  <c r="P1505" i="21"/>
  <c r="O1505" i="21"/>
  <c r="M1505" i="21"/>
  <c r="L1505" i="21"/>
  <c r="K1505" i="21"/>
  <c r="J1505" i="21"/>
  <c r="N1505" i="21" s="1"/>
  <c r="Q1502" i="21"/>
  <c r="P1502" i="21"/>
  <c r="O1502" i="21"/>
  <c r="N1502" i="21"/>
  <c r="M1502" i="21"/>
  <c r="L1502" i="21"/>
  <c r="J1502" i="21"/>
  <c r="K1502" i="21" s="1"/>
  <c r="Q1501" i="21"/>
  <c r="P1501" i="21"/>
  <c r="O1501" i="21"/>
  <c r="N1501" i="21"/>
  <c r="M1501" i="21"/>
  <c r="L1501" i="21"/>
  <c r="K1501" i="21"/>
  <c r="J1501" i="21"/>
  <c r="Q1500" i="21"/>
  <c r="P1500" i="21"/>
  <c r="N1500" i="21"/>
  <c r="M1500" i="21"/>
  <c r="L1500" i="21"/>
  <c r="K1500" i="21"/>
  <c r="J1500" i="21"/>
  <c r="O1500" i="21" s="1"/>
  <c r="Q1499" i="21"/>
  <c r="P1499" i="21"/>
  <c r="O1499" i="21"/>
  <c r="N1499" i="21"/>
  <c r="M1499" i="21"/>
  <c r="L1499" i="21"/>
  <c r="J1499" i="21"/>
  <c r="K1499" i="21" s="1"/>
  <c r="Q1498" i="21"/>
  <c r="P1498" i="21"/>
  <c r="O1498" i="21"/>
  <c r="N1498" i="21"/>
  <c r="M1498" i="21"/>
  <c r="L1498" i="21"/>
  <c r="J1498" i="21"/>
  <c r="K1498" i="21" s="1"/>
  <c r="Q1494" i="21"/>
  <c r="P1494" i="21"/>
  <c r="N1494" i="21"/>
  <c r="M1494" i="21"/>
  <c r="L1494" i="21"/>
  <c r="K1494" i="21"/>
  <c r="J1494" i="21"/>
  <c r="O1494" i="21" s="1"/>
  <c r="Q1493" i="21"/>
  <c r="P1493" i="21"/>
  <c r="O1493" i="21"/>
  <c r="N1493" i="21"/>
  <c r="M1493" i="21"/>
  <c r="L1493" i="21"/>
  <c r="J1493" i="21"/>
  <c r="K1493" i="21" s="1"/>
  <c r="Q1492" i="21"/>
  <c r="P1492" i="21"/>
  <c r="O1492" i="21"/>
  <c r="N1492" i="21"/>
  <c r="M1492" i="21"/>
  <c r="L1492" i="21"/>
  <c r="J1492" i="21"/>
  <c r="K1492" i="21" s="1"/>
  <c r="Q1491" i="21"/>
  <c r="P1491" i="21"/>
  <c r="O1491" i="21"/>
  <c r="N1491" i="21"/>
  <c r="M1491" i="21"/>
  <c r="L1491" i="21"/>
  <c r="J1491" i="21"/>
  <c r="K1491" i="21" s="1"/>
  <c r="Q1490" i="21"/>
  <c r="P1490" i="21"/>
  <c r="N1490" i="21"/>
  <c r="M1490" i="21"/>
  <c r="L1490" i="21"/>
  <c r="K1490" i="21"/>
  <c r="J1490" i="21"/>
  <c r="O1490" i="21" s="1"/>
  <c r="Q1489" i="21"/>
  <c r="P1489" i="21"/>
  <c r="N1489" i="21"/>
  <c r="M1489" i="21"/>
  <c r="L1489" i="21"/>
  <c r="K1489" i="21"/>
  <c r="J1489" i="21"/>
  <c r="O1489" i="21" s="1"/>
  <c r="Q1487" i="21"/>
  <c r="P1487" i="21"/>
  <c r="O1487" i="21"/>
  <c r="N1487" i="21"/>
  <c r="M1487" i="21"/>
  <c r="L1487" i="21"/>
  <c r="J1487" i="21"/>
  <c r="K1487" i="21" s="1"/>
  <c r="Q1486" i="21"/>
  <c r="P1486" i="21"/>
  <c r="O1486" i="21"/>
  <c r="N1486" i="21"/>
  <c r="M1486" i="21"/>
  <c r="L1486" i="21"/>
  <c r="J1486" i="21"/>
  <c r="K1486" i="21" s="1"/>
  <c r="Q1485" i="21"/>
  <c r="P1485" i="21"/>
  <c r="O1485" i="21"/>
  <c r="N1485" i="21"/>
  <c r="M1485" i="21"/>
  <c r="L1485" i="21"/>
  <c r="K1485" i="21"/>
  <c r="J1485" i="21"/>
  <c r="Q1484" i="21"/>
  <c r="O1484" i="21"/>
  <c r="N1484" i="21"/>
  <c r="M1484" i="21"/>
  <c r="L1484" i="21"/>
  <c r="K1484" i="21"/>
  <c r="J1484" i="21"/>
  <c r="P1484" i="21" s="1"/>
  <c r="Q1483" i="21"/>
  <c r="P1483" i="21"/>
  <c r="O1483" i="21"/>
  <c r="N1483" i="21"/>
  <c r="M1483" i="21"/>
  <c r="L1483" i="21"/>
  <c r="J1483" i="21"/>
  <c r="K1483" i="21" s="1"/>
  <c r="Q1482" i="21"/>
  <c r="P1482" i="21"/>
  <c r="O1482" i="21"/>
  <c r="N1482" i="21"/>
  <c r="M1482" i="21"/>
  <c r="L1482" i="21"/>
  <c r="J1482" i="21"/>
  <c r="K1482" i="21" s="1"/>
  <c r="Q1478" i="21"/>
  <c r="O1478" i="21"/>
  <c r="N1478" i="21"/>
  <c r="M1478" i="21"/>
  <c r="L1478" i="21"/>
  <c r="K1478" i="21"/>
  <c r="J1478" i="21"/>
  <c r="P1478" i="21" s="1"/>
  <c r="Q1477" i="21"/>
  <c r="P1477" i="21"/>
  <c r="O1477" i="21"/>
  <c r="N1477" i="21"/>
  <c r="M1477" i="21"/>
  <c r="L1477" i="21"/>
  <c r="J1477" i="21"/>
  <c r="K1477" i="21" s="1"/>
  <c r="Q1476" i="21"/>
  <c r="P1476" i="21"/>
  <c r="O1476" i="21"/>
  <c r="N1476" i="21"/>
  <c r="M1476" i="21"/>
  <c r="L1476" i="21"/>
  <c r="J1476" i="21"/>
  <c r="K1476" i="21" s="1"/>
  <c r="Q1475" i="21"/>
  <c r="P1475" i="21"/>
  <c r="O1475" i="21"/>
  <c r="N1475" i="21"/>
  <c r="M1475" i="21"/>
  <c r="L1475" i="21"/>
  <c r="J1475" i="21"/>
  <c r="K1475" i="21" s="1"/>
  <c r="Q1474" i="21"/>
  <c r="O1474" i="21"/>
  <c r="N1474" i="21"/>
  <c r="M1474" i="21"/>
  <c r="L1474" i="21"/>
  <c r="K1474" i="21"/>
  <c r="J1474" i="21"/>
  <c r="P1474" i="21" s="1"/>
  <c r="Q1473" i="21"/>
  <c r="P1473" i="21"/>
  <c r="O1473" i="21"/>
  <c r="N1473" i="21"/>
  <c r="M1473" i="21"/>
  <c r="L1473" i="21"/>
  <c r="J1473" i="21"/>
  <c r="K1473" i="21" s="1"/>
  <c r="Q1472" i="21"/>
  <c r="P1472" i="21"/>
  <c r="O1472" i="21"/>
  <c r="N1472" i="21"/>
  <c r="M1472" i="21"/>
  <c r="L1472" i="21"/>
  <c r="J1472" i="21"/>
  <c r="K1472" i="21" s="1"/>
  <c r="Q1471" i="21"/>
  <c r="P1471" i="21"/>
  <c r="O1471" i="21"/>
  <c r="N1471" i="21"/>
  <c r="M1471" i="21"/>
  <c r="L1471" i="21"/>
  <c r="J1471" i="21"/>
  <c r="K1471" i="21" s="1"/>
  <c r="Q1470" i="21"/>
  <c r="P1470" i="21"/>
  <c r="O1470" i="21"/>
  <c r="N1470" i="21"/>
  <c r="M1470" i="21"/>
  <c r="L1470" i="21"/>
  <c r="K1470" i="21"/>
  <c r="J1470" i="21"/>
  <c r="Q1469" i="21"/>
  <c r="O1469" i="21"/>
  <c r="N1469" i="21"/>
  <c r="M1469" i="21"/>
  <c r="L1469" i="21"/>
  <c r="K1469" i="21"/>
  <c r="J1469" i="21"/>
  <c r="P1469" i="21" s="1"/>
  <c r="Q1468" i="21"/>
  <c r="P1468" i="21"/>
  <c r="O1468" i="21"/>
  <c r="N1468" i="21"/>
  <c r="M1468" i="21"/>
  <c r="L1468" i="21"/>
  <c r="J1468" i="21"/>
  <c r="K1468" i="21" s="1"/>
  <c r="Q1467" i="21"/>
  <c r="P1467" i="21"/>
  <c r="O1467" i="21"/>
  <c r="N1467" i="21"/>
  <c r="M1467" i="21"/>
  <c r="L1467" i="21"/>
  <c r="J1467" i="21"/>
  <c r="K1467" i="21" s="1"/>
  <c r="Q1463" i="21"/>
  <c r="O1463" i="21"/>
  <c r="N1463" i="21"/>
  <c r="M1463" i="21"/>
  <c r="L1463" i="21"/>
  <c r="K1463" i="21"/>
  <c r="J1463" i="21"/>
  <c r="P1463" i="21" s="1"/>
  <c r="Q1462" i="21"/>
  <c r="P1462" i="21"/>
  <c r="O1462" i="21"/>
  <c r="N1462" i="21"/>
  <c r="M1462" i="21"/>
  <c r="L1462" i="21"/>
  <c r="J1462" i="21"/>
  <c r="K1462" i="21" s="1"/>
  <c r="Q1461" i="21"/>
  <c r="P1461" i="21"/>
  <c r="O1461" i="21"/>
  <c r="N1461" i="21"/>
  <c r="M1461" i="21"/>
  <c r="L1461" i="21"/>
  <c r="J1461" i="21"/>
  <c r="K1461" i="21" s="1"/>
  <c r="Q1460" i="21"/>
  <c r="P1460" i="21"/>
  <c r="O1460" i="21"/>
  <c r="N1460" i="21"/>
  <c r="M1460" i="21"/>
  <c r="L1460" i="21"/>
  <c r="J1460" i="21"/>
  <c r="K1460" i="21" s="1"/>
  <c r="Q1459" i="21"/>
  <c r="O1459" i="21"/>
  <c r="N1459" i="21"/>
  <c r="M1459" i="21"/>
  <c r="L1459" i="21"/>
  <c r="K1459" i="21"/>
  <c r="J1459" i="21"/>
  <c r="P1459" i="21" s="1"/>
  <c r="Q1458" i="21"/>
  <c r="P1458" i="21"/>
  <c r="O1458" i="21"/>
  <c r="N1458" i="21"/>
  <c r="M1458" i="21"/>
  <c r="L1458" i="21"/>
  <c r="J1458" i="21"/>
  <c r="K1458" i="21" s="1"/>
  <c r="Q1457" i="21"/>
  <c r="P1457" i="21"/>
  <c r="O1457" i="21"/>
  <c r="N1457" i="21"/>
  <c r="M1457" i="21"/>
  <c r="L1457" i="21"/>
  <c r="J1457" i="21"/>
  <c r="K1457" i="21" s="1"/>
  <c r="Q1456" i="21"/>
  <c r="P1456" i="21"/>
  <c r="O1456" i="21"/>
  <c r="N1456" i="21"/>
  <c r="M1456" i="21"/>
  <c r="L1456" i="21"/>
  <c r="J1456" i="21"/>
  <c r="K1456" i="21" s="1"/>
  <c r="Q1455" i="21"/>
  <c r="O1455" i="21"/>
  <c r="N1455" i="21"/>
  <c r="M1455" i="21"/>
  <c r="L1455" i="21"/>
  <c r="K1455" i="21"/>
  <c r="J1455" i="21"/>
  <c r="P1455" i="21" s="1"/>
  <c r="Q1451" i="21"/>
  <c r="O1451" i="21"/>
  <c r="N1451" i="21"/>
  <c r="M1451" i="21"/>
  <c r="L1451" i="21"/>
  <c r="K1451" i="21"/>
  <c r="J1451" i="21"/>
  <c r="P1451" i="21" s="1"/>
  <c r="Q1450" i="21"/>
  <c r="P1450" i="21"/>
  <c r="O1450" i="21"/>
  <c r="N1450" i="21"/>
  <c r="M1450" i="21"/>
  <c r="L1450" i="21"/>
  <c r="J1450" i="21"/>
  <c r="K1450" i="21" s="1"/>
  <c r="Q1449" i="21"/>
  <c r="P1449" i="21"/>
  <c r="O1449" i="21"/>
  <c r="N1449" i="21"/>
  <c r="M1449" i="21"/>
  <c r="L1449" i="21"/>
  <c r="J1449" i="21"/>
  <c r="K1449" i="21" s="1"/>
  <c r="Q1445" i="21"/>
  <c r="O1445" i="21"/>
  <c r="N1445" i="21"/>
  <c r="M1445" i="21"/>
  <c r="L1445" i="21"/>
  <c r="K1445" i="21"/>
  <c r="J1445" i="21"/>
  <c r="P1445" i="21" s="1"/>
  <c r="Q1444" i="21"/>
  <c r="P1444" i="21"/>
  <c r="O1444" i="21"/>
  <c r="N1444" i="21"/>
  <c r="M1444" i="21"/>
  <c r="L1444" i="21"/>
  <c r="J1444" i="21"/>
  <c r="K1444" i="21" s="1"/>
  <c r="Q1443" i="21"/>
  <c r="P1443" i="21"/>
  <c r="O1443" i="21"/>
  <c r="N1443" i="21"/>
  <c r="M1443" i="21"/>
  <c r="L1443" i="21"/>
  <c r="J1443" i="21"/>
  <c r="K1443" i="21" s="1"/>
  <c r="Q1442" i="21"/>
  <c r="O1442" i="21"/>
  <c r="N1442" i="21"/>
  <c r="M1442" i="21"/>
  <c r="L1442" i="21"/>
  <c r="K1442" i="21"/>
  <c r="J1442" i="21"/>
  <c r="P1442" i="21" s="1"/>
  <c r="Q1441" i="21"/>
  <c r="P1441" i="21"/>
  <c r="O1441" i="21"/>
  <c r="N1441" i="21"/>
  <c r="M1441" i="21"/>
  <c r="L1441" i="21"/>
  <c r="J1441" i="21"/>
  <c r="K1441" i="21" s="1"/>
  <c r="Q1440" i="21"/>
  <c r="P1440" i="21"/>
  <c r="O1440" i="21"/>
  <c r="N1440" i="21"/>
  <c r="M1440" i="21"/>
  <c r="L1440" i="21"/>
  <c r="J1440" i="21"/>
  <c r="K1440" i="21" s="1"/>
  <c r="Q1439" i="21"/>
  <c r="P1439" i="21"/>
  <c r="O1439" i="21"/>
  <c r="N1439" i="21"/>
  <c r="M1439" i="21"/>
  <c r="L1439" i="21"/>
  <c r="J1439" i="21"/>
  <c r="K1439" i="21" s="1"/>
  <c r="Q1438" i="21"/>
  <c r="O1438" i="21"/>
  <c r="N1438" i="21"/>
  <c r="M1438" i="21"/>
  <c r="L1438" i="21"/>
  <c r="K1438" i="21"/>
  <c r="J1438" i="21"/>
  <c r="P1438" i="21" s="1"/>
  <c r="Q1434" i="21"/>
  <c r="O1434" i="21"/>
  <c r="N1434" i="21"/>
  <c r="M1434" i="21"/>
  <c r="L1434" i="21"/>
  <c r="K1434" i="21"/>
  <c r="J1434" i="21"/>
  <c r="P1434" i="21" s="1"/>
  <c r="Q1433" i="21"/>
  <c r="P1433" i="21"/>
  <c r="O1433" i="21"/>
  <c r="N1433" i="21"/>
  <c r="M1433" i="21"/>
  <c r="L1433" i="21"/>
  <c r="J1433" i="21"/>
  <c r="K1433" i="21" s="1"/>
  <c r="Q1432" i="21"/>
  <c r="P1432" i="21"/>
  <c r="O1432" i="21"/>
  <c r="N1432" i="21"/>
  <c r="M1432" i="21"/>
  <c r="L1432" i="21"/>
  <c r="J1432" i="21"/>
  <c r="K1432" i="21" s="1"/>
  <c r="Q1428" i="21"/>
  <c r="O1428" i="21"/>
  <c r="N1428" i="21"/>
  <c r="M1428" i="21"/>
  <c r="L1428" i="21"/>
  <c r="K1428" i="21"/>
  <c r="J1428" i="21"/>
  <c r="P1428" i="21" s="1"/>
  <c r="Q1427" i="21"/>
  <c r="P1427" i="21"/>
  <c r="O1427" i="21"/>
  <c r="N1427" i="21"/>
  <c r="M1427" i="21"/>
  <c r="L1427" i="21"/>
  <c r="J1427" i="21"/>
  <c r="K1427" i="21" s="1"/>
  <c r="Q1426" i="21"/>
  <c r="P1426" i="21"/>
  <c r="O1426" i="21"/>
  <c r="N1426" i="21"/>
  <c r="M1426" i="21"/>
  <c r="L1426" i="21"/>
  <c r="J1426" i="21"/>
  <c r="K1426" i="21" s="1"/>
  <c r="Q1424" i="21"/>
  <c r="O1424" i="21"/>
  <c r="N1424" i="21"/>
  <c r="M1424" i="21"/>
  <c r="L1424" i="21"/>
  <c r="J1424" i="21"/>
  <c r="P1424" i="21" s="1"/>
  <c r="Q1423" i="21"/>
  <c r="P1423" i="21"/>
  <c r="O1423" i="21"/>
  <c r="N1423" i="21"/>
  <c r="M1423" i="21"/>
  <c r="L1423" i="21"/>
  <c r="J1423" i="21"/>
  <c r="K1423" i="21" s="1"/>
  <c r="Q1422" i="21"/>
  <c r="P1422" i="21"/>
  <c r="O1422" i="21"/>
  <c r="N1422" i="21"/>
  <c r="M1422" i="21"/>
  <c r="L1422" i="21"/>
  <c r="J1422" i="21"/>
  <c r="K1422" i="21" s="1"/>
  <c r="Q1417" i="21"/>
  <c r="P1417" i="21"/>
  <c r="O1417" i="21"/>
  <c r="M1417" i="21"/>
  <c r="L1417" i="21"/>
  <c r="K1417" i="21"/>
  <c r="J1417" i="21"/>
  <c r="N1417" i="21" s="1"/>
  <c r="Q1416" i="21"/>
  <c r="P1416" i="21"/>
  <c r="O1416" i="21"/>
  <c r="N1416" i="21"/>
  <c r="M1416" i="21"/>
  <c r="L1416" i="21"/>
  <c r="J1416" i="21"/>
  <c r="K1416" i="21" s="1"/>
  <c r="Q1415" i="21"/>
  <c r="P1415" i="21"/>
  <c r="O1415" i="21"/>
  <c r="N1415" i="21"/>
  <c r="M1415" i="21"/>
  <c r="L1415" i="21"/>
  <c r="J1415" i="21"/>
  <c r="K1415" i="21" s="1"/>
  <c r="Q1414" i="21"/>
  <c r="P1414" i="21"/>
  <c r="O1414" i="21"/>
  <c r="M1414" i="21"/>
  <c r="L1414" i="21"/>
  <c r="K1414" i="21"/>
  <c r="J1414" i="21"/>
  <c r="N1414" i="21" s="1"/>
  <c r="Q1413" i="21"/>
  <c r="P1413" i="21"/>
  <c r="O1413" i="21"/>
  <c r="N1413" i="21"/>
  <c r="M1413" i="21"/>
  <c r="L1413" i="21"/>
  <c r="J1413" i="21"/>
  <c r="K1413" i="21" s="1"/>
  <c r="Q1412" i="21"/>
  <c r="P1412" i="21"/>
  <c r="O1412" i="21"/>
  <c r="N1412" i="21"/>
  <c r="M1412" i="21"/>
  <c r="L1412" i="21"/>
  <c r="J1412" i="21"/>
  <c r="K1412" i="21" s="1"/>
  <c r="Q1411" i="21"/>
  <c r="P1411" i="21"/>
  <c r="O1411" i="21"/>
  <c r="M1411" i="21"/>
  <c r="L1411" i="21"/>
  <c r="K1411" i="21"/>
  <c r="J1411" i="21"/>
  <c r="N1411" i="21" s="1"/>
  <c r="Q1410" i="21"/>
  <c r="P1410" i="21"/>
  <c r="O1410" i="21"/>
  <c r="N1410" i="21"/>
  <c r="M1410" i="21"/>
  <c r="L1410" i="21"/>
  <c r="J1410" i="21"/>
  <c r="K1410" i="21" s="1"/>
  <c r="Q1409" i="21"/>
  <c r="P1409" i="21"/>
  <c r="O1409" i="21"/>
  <c r="N1409" i="21"/>
  <c r="M1409" i="21"/>
  <c r="L1409" i="21"/>
  <c r="J1409" i="21"/>
  <c r="K1409" i="21" s="1"/>
  <c r="Q1408" i="21"/>
  <c r="P1408" i="21"/>
  <c r="O1408" i="21"/>
  <c r="N1408" i="21"/>
  <c r="M1408" i="21"/>
  <c r="L1408" i="21"/>
  <c r="K1408" i="21"/>
  <c r="J1408" i="21"/>
  <c r="Q1407" i="21"/>
  <c r="O1407" i="21"/>
  <c r="N1407" i="21"/>
  <c r="M1407" i="21"/>
  <c r="L1407" i="21"/>
  <c r="K1407" i="21"/>
  <c r="J1407" i="21"/>
  <c r="P1407" i="21" s="1"/>
  <c r="Q1406" i="21"/>
  <c r="P1406" i="21"/>
  <c r="O1406" i="21"/>
  <c r="N1406" i="21"/>
  <c r="M1406" i="21"/>
  <c r="L1406" i="21"/>
  <c r="J1406" i="21"/>
  <c r="K1406" i="21" s="1"/>
  <c r="Q1405" i="21"/>
  <c r="P1405" i="21"/>
  <c r="O1405" i="21"/>
  <c r="N1405" i="21"/>
  <c r="M1405" i="21"/>
  <c r="L1405" i="21"/>
  <c r="J1405" i="21"/>
  <c r="K1405" i="21" s="1"/>
  <c r="Q1401" i="21"/>
  <c r="O1401" i="21"/>
  <c r="N1401" i="21"/>
  <c r="M1401" i="21"/>
  <c r="L1401" i="21"/>
  <c r="K1401" i="21"/>
  <c r="J1401" i="21"/>
  <c r="P1401" i="21" s="1"/>
  <c r="Q1400" i="21"/>
  <c r="P1400" i="21"/>
  <c r="O1400" i="21"/>
  <c r="N1400" i="21"/>
  <c r="M1400" i="21"/>
  <c r="L1400" i="21"/>
  <c r="J1400" i="21"/>
  <c r="K1400" i="21" s="1"/>
  <c r="Q1399" i="21"/>
  <c r="P1399" i="21"/>
  <c r="O1399" i="21"/>
  <c r="N1399" i="21"/>
  <c r="M1399" i="21"/>
  <c r="L1399" i="21"/>
  <c r="J1399" i="21"/>
  <c r="K1399" i="21" s="1"/>
  <c r="Q1398" i="21"/>
  <c r="P1398" i="21"/>
  <c r="O1398" i="21"/>
  <c r="N1398" i="21"/>
  <c r="M1398" i="21"/>
  <c r="L1398" i="21"/>
  <c r="J1398" i="21"/>
  <c r="K1398" i="21" s="1"/>
  <c r="Q1397" i="21"/>
  <c r="O1397" i="21"/>
  <c r="N1397" i="21"/>
  <c r="M1397" i="21"/>
  <c r="L1397" i="21"/>
  <c r="K1397" i="21"/>
  <c r="J1397" i="21"/>
  <c r="P1397" i="21" s="1"/>
  <c r="Q1396" i="21"/>
  <c r="P1396" i="21"/>
  <c r="O1396" i="21"/>
  <c r="N1396" i="21"/>
  <c r="M1396" i="21"/>
  <c r="L1396" i="21"/>
  <c r="J1396" i="21"/>
  <c r="K1396" i="21" s="1"/>
  <c r="Q1395" i="21"/>
  <c r="P1395" i="21"/>
  <c r="O1395" i="21"/>
  <c r="N1395" i="21"/>
  <c r="M1395" i="21"/>
  <c r="L1395" i="21"/>
  <c r="J1395" i="21"/>
  <c r="K1395" i="21" s="1"/>
  <c r="Q1394" i="21"/>
  <c r="P1394" i="21"/>
  <c r="O1394" i="21"/>
  <c r="N1394" i="21"/>
  <c r="M1394" i="21"/>
  <c r="L1394" i="21"/>
  <c r="J1394" i="21"/>
  <c r="K1394" i="21" s="1"/>
  <c r="Q1393" i="21"/>
  <c r="P1393" i="21"/>
  <c r="O1393" i="21"/>
  <c r="N1393" i="21"/>
  <c r="M1393" i="21"/>
  <c r="L1393" i="21"/>
  <c r="K1393" i="21"/>
  <c r="J1393" i="21"/>
  <c r="Q1392" i="21"/>
  <c r="P1392" i="21"/>
  <c r="O1392" i="21"/>
  <c r="N1392" i="21"/>
  <c r="M1392" i="21"/>
  <c r="L1392" i="21"/>
  <c r="K1392" i="21"/>
  <c r="J1392" i="21"/>
  <c r="Q1391" i="21"/>
  <c r="P1391" i="21"/>
  <c r="O1391" i="21"/>
  <c r="N1391" i="21"/>
  <c r="M1391" i="21"/>
  <c r="L1391" i="21"/>
  <c r="K1391" i="21"/>
  <c r="J1391" i="21"/>
  <c r="Q1390" i="21"/>
  <c r="P1390" i="21"/>
  <c r="O1390" i="21"/>
  <c r="N1390" i="21"/>
  <c r="M1390" i="21"/>
  <c r="L1390" i="21"/>
  <c r="K1390" i="21"/>
  <c r="J1390" i="21"/>
  <c r="Q1386" i="21"/>
  <c r="P1386" i="21"/>
  <c r="O1386" i="21"/>
  <c r="M1386" i="21"/>
  <c r="L1386" i="21"/>
  <c r="K1386" i="21"/>
  <c r="J1386" i="21"/>
  <c r="N1386" i="21" s="1"/>
  <c r="Q1385" i="21"/>
  <c r="P1385" i="21"/>
  <c r="O1385" i="21"/>
  <c r="N1385" i="21"/>
  <c r="M1385" i="21"/>
  <c r="L1385" i="21"/>
  <c r="J1385" i="21"/>
  <c r="K1385" i="21" s="1"/>
  <c r="Q1384" i="21"/>
  <c r="P1384" i="21"/>
  <c r="O1384" i="21"/>
  <c r="N1384" i="21"/>
  <c r="M1384" i="21"/>
  <c r="L1384" i="21"/>
  <c r="J1384" i="21"/>
  <c r="K1384" i="21" s="1"/>
  <c r="Q1383" i="21"/>
  <c r="P1383" i="21"/>
  <c r="O1383" i="21"/>
  <c r="M1383" i="21"/>
  <c r="L1383" i="21"/>
  <c r="K1383" i="21"/>
  <c r="J1383" i="21"/>
  <c r="N1383" i="21" s="1"/>
  <c r="Q1382" i="21"/>
  <c r="P1382" i="21"/>
  <c r="O1382" i="21"/>
  <c r="N1382" i="21"/>
  <c r="M1382" i="21"/>
  <c r="L1382" i="21"/>
  <c r="J1382" i="21"/>
  <c r="K1382" i="21" s="1"/>
  <c r="Q1381" i="21"/>
  <c r="P1381" i="21"/>
  <c r="O1381" i="21"/>
  <c r="N1381" i="21"/>
  <c r="M1381" i="21"/>
  <c r="L1381" i="21"/>
  <c r="J1381" i="21"/>
  <c r="K1381" i="21" s="1"/>
  <c r="Q1380" i="21"/>
  <c r="P1380" i="21"/>
  <c r="O1380" i="21"/>
  <c r="N1380" i="21"/>
  <c r="M1380" i="21"/>
  <c r="L1380" i="21"/>
  <c r="J1380" i="21"/>
  <c r="K1380" i="21" s="1"/>
  <c r="Q1379" i="21"/>
  <c r="P1379" i="21"/>
  <c r="O1379" i="21"/>
  <c r="M1379" i="21"/>
  <c r="L1379" i="21"/>
  <c r="K1379" i="21"/>
  <c r="J1379" i="21"/>
  <c r="N1379" i="21" s="1"/>
  <c r="Q1375" i="21"/>
  <c r="P1375" i="21"/>
  <c r="O1375" i="21"/>
  <c r="M1375" i="21"/>
  <c r="L1375" i="21"/>
  <c r="K1375" i="21"/>
  <c r="J1375" i="21"/>
  <c r="N1375" i="21" s="1"/>
  <c r="Q1374" i="21"/>
  <c r="P1374" i="21"/>
  <c r="O1374" i="21"/>
  <c r="N1374" i="21"/>
  <c r="M1374" i="21"/>
  <c r="L1374" i="21"/>
  <c r="J1374" i="21"/>
  <c r="K1374" i="21" s="1"/>
  <c r="Q1373" i="21"/>
  <c r="P1373" i="21"/>
  <c r="O1373" i="21"/>
  <c r="N1373" i="21"/>
  <c r="M1373" i="21"/>
  <c r="L1373" i="21"/>
  <c r="J1373" i="21"/>
  <c r="K1373" i="21" s="1"/>
  <c r="Q1369" i="21"/>
  <c r="P1369" i="21"/>
  <c r="O1369" i="21"/>
  <c r="M1369" i="21"/>
  <c r="L1369" i="21"/>
  <c r="K1369" i="21"/>
  <c r="J1369" i="21"/>
  <c r="N1369" i="21" s="1"/>
  <c r="Q1368" i="21"/>
  <c r="P1368" i="21"/>
  <c r="O1368" i="21"/>
  <c r="N1368" i="21"/>
  <c r="M1368" i="21"/>
  <c r="L1368" i="21"/>
  <c r="J1368" i="21"/>
  <c r="K1368" i="21" s="1"/>
  <c r="Q1367" i="21"/>
  <c r="P1367" i="21"/>
  <c r="O1367" i="21"/>
  <c r="N1367" i="21"/>
  <c r="M1367" i="21"/>
  <c r="L1367" i="21"/>
  <c r="J1367" i="21"/>
  <c r="K1367" i="21" s="1"/>
  <c r="Q1366" i="21"/>
  <c r="P1366" i="21"/>
  <c r="O1366" i="21"/>
  <c r="N1366" i="21"/>
  <c r="M1366" i="21"/>
  <c r="L1366" i="21"/>
  <c r="J1366" i="21"/>
  <c r="K1366" i="21" s="1"/>
  <c r="Q1365" i="21"/>
  <c r="P1365" i="21"/>
  <c r="O1365" i="21"/>
  <c r="M1365" i="21"/>
  <c r="L1365" i="21"/>
  <c r="K1365" i="21"/>
  <c r="J1365" i="21"/>
  <c r="N1365" i="21" s="1"/>
  <c r="Q1364" i="21"/>
  <c r="P1364" i="21"/>
  <c r="O1364" i="21"/>
  <c r="N1364" i="21"/>
  <c r="M1364" i="21"/>
  <c r="L1364" i="21"/>
  <c r="J1364" i="21"/>
  <c r="K1364" i="21" s="1"/>
  <c r="Q1363" i="21"/>
  <c r="P1363" i="21"/>
  <c r="O1363" i="21"/>
  <c r="N1363" i="21"/>
  <c r="M1363" i="21"/>
  <c r="L1363" i="21"/>
  <c r="J1363" i="21"/>
  <c r="K1363" i="21" s="1"/>
  <c r="Q1362" i="21"/>
  <c r="P1362" i="21"/>
  <c r="O1362" i="21"/>
  <c r="N1362" i="21"/>
  <c r="M1362" i="21"/>
  <c r="L1362" i="21"/>
  <c r="J1362" i="21"/>
  <c r="K1362" i="21" s="1"/>
  <c r="Q1361" i="21"/>
  <c r="P1361" i="21"/>
  <c r="N1361" i="21"/>
  <c r="M1361" i="21"/>
  <c r="L1361" i="21"/>
  <c r="K1361" i="21"/>
  <c r="J1361" i="21"/>
  <c r="O1361" i="21" s="1"/>
  <c r="Q1357" i="21"/>
  <c r="P1357" i="21"/>
  <c r="N1357" i="21"/>
  <c r="M1357" i="21"/>
  <c r="L1357" i="21"/>
  <c r="K1357" i="21"/>
  <c r="J1357" i="21"/>
  <c r="O1357" i="21" s="1"/>
  <c r="Q1356" i="21"/>
  <c r="P1356" i="21"/>
  <c r="O1356" i="21"/>
  <c r="N1356" i="21"/>
  <c r="M1356" i="21"/>
  <c r="L1356" i="21"/>
  <c r="J1356" i="21"/>
  <c r="K1356" i="21" s="1"/>
  <c r="Q1355" i="21"/>
  <c r="P1355" i="21"/>
  <c r="O1355" i="21"/>
  <c r="N1355" i="21"/>
  <c r="M1355" i="21"/>
  <c r="L1355" i="21"/>
  <c r="J1355" i="21"/>
  <c r="K1355" i="21" s="1"/>
  <c r="Q1352" i="21"/>
  <c r="P1352" i="21"/>
  <c r="N1352" i="21"/>
  <c r="M1352" i="21"/>
  <c r="L1352" i="21"/>
  <c r="K1352" i="21"/>
  <c r="J1352" i="21"/>
  <c r="O1352" i="21" s="1"/>
  <c r="Q1351" i="21"/>
  <c r="P1351" i="21"/>
  <c r="O1351" i="21"/>
  <c r="N1351" i="21"/>
  <c r="M1351" i="21"/>
  <c r="L1351" i="21"/>
  <c r="J1351" i="21"/>
  <c r="K1351" i="21" s="1"/>
  <c r="Q1350" i="21"/>
  <c r="P1350" i="21"/>
  <c r="O1350" i="21"/>
  <c r="N1350" i="21"/>
  <c r="M1350" i="21"/>
  <c r="L1350" i="21"/>
  <c r="J1350" i="21"/>
  <c r="K1350" i="21" s="1"/>
  <c r="Q1349" i="21"/>
  <c r="P1349" i="21"/>
  <c r="O1349" i="21"/>
  <c r="N1349" i="21"/>
  <c r="M1349" i="21"/>
  <c r="L1349" i="21"/>
  <c r="J1349" i="21"/>
  <c r="K1349" i="21" s="1"/>
  <c r="Q1348" i="21"/>
  <c r="P1348" i="21"/>
  <c r="N1348" i="21"/>
  <c r="M1348" i="21"/>
  <c r="L1348" i="21"/>
  <c r="K1348" i="21"/>
  <c r="J1348" i="21"/>
  <c r="O1348" i="21" s="1"/>
  <c r="Q1347" i="21"/>
  <c r="P1347" i="21"/>
  <c r="O1347" i="21"/>
  <c r="N1347" i="21"/>
  <c r="M1347" i="21"/>
  <c r="L1347" i="21"/>
  <c r="J1347" i="21"/>
  <c r="K1347" i="21" s="1"/>
  <c r="Q1346" i="21"/>
  <c r="P1346" i="21"/>
  <c r="O1346" i="21"/>
  <c r="N1346" i="21"/>
  <c r="M1346" i="21"/>
  <c r="L1346" i="21"/>
  <c r="J1346" i="21"/>
  <c r="K1346" i="21" s="1"/>
  <c r="Q1345" i="21"/>
  <c r="P1345" i="21"/>
  <c r="O1345" i="21"/>
  <c r="N1345" i="21"/>
  <c r="M1345" i="21"/>
  <c r="L1345" i="21"/>
  <c r="J1345" i="21"/>
  <c r="K1345" i="21" s="1"/>
  <c r="Q1344" i="21"/>
  <c r="P1344" i="21"/>
  <c r="O1344" i="21"/>
  <c r="M1344" i="21"/>
  <c r="L1344" i="21"/>
  <c r="K1344" i="21"/>
  <c r="J1344" i="21"/>
  <c r="N1344" i="21" s="1"/>
  <c r="Q1340" i="21"/>
  <c r="P1340" i="21"/>
  <c r="O1340" i="21"/>
  <c r="M1340" i="21"/>
  <c r="L1340" i="21"/>
  <c r="K1340" i="21"/>
  <c r="J1340" i="21"/>
  <c r="N1340" i="21" s="1"/>
  <c r="Q1339" i="21"/>
  <c r="P1339" i="21"/>
  <c r="O1339" i="21"/>
  <c r="N1339" i="21"/>
  <c r="M1339" i="21"/>
  <c r="L1339" i="21"/>
  <c r="J1339" i="21"/>
  <c r="K1339" i="21" s="1"/>
  <c r="Q1338" i="21"/>
  <c r="P1338" i="21"/>
  <c r="O1338" i="21"/>
  <c r="N1338" i="21"/>
  <c r="M1338" i="21"/>
  <c r="L1338" i="21"/>
  <c r="J1338" i="21"/>
  <c r="K1338" i="21" s="1"/>
  <c r="Q1334" i="21"/>
  <c r="P1334" i="21"/>
  <c r="O1334" i="21"/>
  <c r="M1334" i="21"/>
  <c r="L1334" i="21"/>
  <c r="K1334" i="21"/>
  <c r="J1334" i="21"/>
  <c r="N1334" i="21" s="1"/>
  <c r="Q1333" i="21"/>
  <c r="P1333" i="21"/>
  <c r="O1333" i="21"/>
  <c r="N1333" i="21"/>
  <c r="M1333" i="21"/>
  <c r="L1333" i="21"/>
  <c r="J1333" i="21"/>
  <c r="K1333" i="21" s="1"/>
  <c r="Q1332" i="21"/>
  <c r="P1332" i="21"/>
  <c r="O1332" i="21"/>
  <c r="N1332" i="21"/>
  <c r="M1332" i="21"/>
  <c r="L1332" i="21"/>
  <c r="J1332" i="21"/>
  <c r="K1332" i="21" s="1"/>
  <c r="Q1331" i="21"/>
  <c r="P1331" i="21"/>
  <c r="O1331" i="21"/>
  <c r="N1331" i="21"/>
  <c r="M1331" i="21"/>
  <c r="L1331" i="21"/>
  <c r="J1331" i="21"/>
  <c r="K1331" i="21" s="1"/>
  <c r="Q1330" i="21"/>
  <c r="P1330" i="21"/>
  <c r="O1330" i="21"/>
  <c r="M1330" i="21"/>
  <c r="L1330" i="21"/>
  <c r="K1330" i="21"/>
  <c r="J1330" i="21"/>
  <c r="N1330" i="21" s="1"/>
  <c r="Q1329" i="21"/>
  <c r="P1329" i="21"/>
  <c r="O1329" i="21"/>
  <c r="M1329" i="21"/>
  <c r="L1329" i="21"/>
  <c r="K1329" i="21"/>
  <c r="J1329" i="21"/>
  <c r="N1329" i="21" s="1"/>
  <c r="Q1327" i="21"/>
  <c r="P1327" i="21"/>
  <c r="O1327" i="21"/>
  <c r="N1327" i="21"/>
  <c r="M1327" i="21"/>
  <c r="L1327" i="21"/>
  <c r="J1327" i="21"/>
  <c r="K1327" i="21" s="1"/>
  <c r="Q1326" i="21"/>
  <c r="P1326" i="21"/>
  <c r="O1326" i="21"/>
  <c r="N1326" i="21"/>
  <c r="M1326" i="21"/>
  <c r="L1326" i="21"/>
  <c r="J1326" i="21"/>
  <c r="K1326" i="21" s="1"/>
  <c r="Q1325" i="21"/>
  <c r="P1325" i="21"/>
  <c r="O1325" i="21"/>
  <c r="N1325" i="21"/>
  <c r="M1325" i="21"/>
  <c r="L1325" i="21"/>
  <c r="K1325" i="21"/>
  <c r="J1325" i="21"/>
  <c r="Q1324" i="21"/>
  <c r="P1324" i="21"/>
  <c r="O1324" i="21"/>
  <c r="M1324" i="21"/>
  <c r="L1324" i="21"/>
  <c r="K1324" i="21"/>
  <c r="J1324" i="21"/>
  <c r="N1324" i="21" s="1"/>
  <c r="Q1323" i="21"/>
  <c r="P1323" i="21"/>
  <c r="O1323" i="21"/>
  <c r="N1323" i="21"/>
  <c r="M1323" i="21"/>
  <c r="L1323" i="21"/>
  <c r="J1323" i="21"/>
  <c r="K1323" i="21" s="1"/>
  <c r="Q1322" i="21"/>
  <c r="P1322" i="21"/>
  <c r="O1322" i="21"/>
  <c r="N1322" i="21"/>
  <c r="M1322" i="21"/>
  <c r="L1322" i="21"/>
  <c r="J1322" i="21"/>
  <c r="K1322" i="21" s="1"/>
  <c r="Q1318" i="21"/>
  <c r="P1318" i="21"/>
  <c r="O1318" i="21"/>
  <c r="M1318" i="21"/>
  <c r="L1318" i="21"/>
  <c r="K1318" i="21"/>
  <c r="J1318" i="21"/>
  <c r="N1318" i="21" s="1"/>
  <c r="Q1317" i="21"/>
  <c r="P1317" i="21"/>
  <c r="O1317" i="21"/>
  <c r="N1317" i="21"/>
  <c r="M1317" i="21"/>
  <c r="L1317" i="21"/>
  <c r="J1317" i="21"/>
  <c r="K1317" i="21" s="1"/>
  <c r="Q1316" i="21"/>
  <c r="P1316" i="21"/>
  <c r="O1316" i="21"/>
  <c r="N1316" i="21"/>
  <c r="M1316" i="21"/>
  <c r="L1316" i="21"/>
  <c r="J1316" i="21"/>
  <c r="K1316" i="21" s="1"/>
  <c r="Q1315" i="21"/>
  <c r="P1315" i="21"/>
  <c r="O1315" i="21"/>
  <c r="N1315" i="21"/>
  <c r="M1315" i="21"/>
  <c r="L1315" i="21"/>
  <c r="J1315" i="21"/>
  <c r="K1315" i="21" s="1"/>
  <c r="Q1314" i="21"/>
  <c r="P1314" i="21"/>
  <c r="O1314" i="21"/>
  <c r="M1314" i="21"/>
  <c r="L1314" i="21"/>
  <c r="K1314" i="21"/>
  <c r="J1314" i="21"/>
  <c r="N1314" i="21" s="1"/>
  <c r="Q1313" i="21"/>
  <c r="P1313" i="21"/>
  <c r="O1313" i="21"/>
  <c r="N1313" i="21"/>
  <c r="M1313" i="21"/>
  <c r="L1313" i="21"/>
  <c r="J1313" i="21"/>
  <c r="K1313" i="21" s="1"/>
  <c r="Q1312" i="21"/>
  <c r="P1312" i="21"/>
  <c r="O1312" i="21"/>
  <c r="N1312" i="21"/>
  <c r="M1312" i="21"/>
  <c r="L1312" i="21"/>
  <c r="J1312" i="21"/>
  <c r="K1312" i="21" s="1"/>
  <c r="Q1311" i="21"/>
  <c r="P1311" i="21"/>
  <c r="O1311" i="21"/>
  <c r="N1311" i="21"/>
  <c r="M1311" i="21"/>
  <c r="L1311" i="21"/>
  <c r="J1311" i="21"/>
  <c r="K1311" i="21" s="1"/>
  <c r="Q1310" i="21"/>
  <c r="P1310" i="21"/>
  <c r="O1310" i="21"/>
  <c r="N1310" i="21"/>
  <c r="M1310" i="21"/>
  <c r="L1310" i="21"/>
  <c r="K1310" i="21"/>
  <c r="J1310" i="21"/>
  <c r="Q1309" i="21"/>
  <c r="P1309" i="21"/>
  <c r="O1309" i="21"/>
  <c r="N1309" i="21"/>
  <c r="M1309" i="21"/>
  <c r="L1309" i="21"/>
  <c r="K1309" i="21"/>
  <c r="J1309" i="21"/>
  <c r="Q1308" i="21"/>
  <c r="P1308" i="21"/>
  <c r="O1308" i="21"/>
  <c r="N1308" i="21"/>
  <c r="M1308" i="21"/>
  <c r="L1308" i="21"/>
  <c r="K1308" i="21"/>
  <c r="J1308" i="21"/>
  <c r="Q1307" i="21"/>
  <c r="P1307" i="21"/>
  <c r="O1307" i="21"/>
  <c r="N1307" i="21"/>
  <c r="M1307" i="21"/>
  <c r="L1307" i="21"/>
  <c r="K1307" i="21"/>
  <c r="J1307" i="21"/>
  <c r="Q1306" i="21"/>
  <c r="P1306" i="21"/>
  <c r="O1306" i="21"/>
  <c r="M1306" i="21"/>
  <c r="L1306" i="21"/>
  <c r="K1306" i="21"/>
  <c r="J1306" i="21"/>
  <c r="N1306" i="21" s="1"/>
  <c r="Q1305" i="21"/>
  <c r="P1305" i="21"/>
  <c r="O1305" i="21"/>
  <c r="N1305" i="21"/>
  <c r="M1305" i="21"/>
  <c r="L1305" i="21"/>
  <c r="J1305" i="21"/>
  <c r="K1305" i="21" s="1"/>
  <c r="Q1304" i="21"/>
  <c r="P1304" i="21"/>
  <c r="O1304" i="21"/>
  <c r="N1304" i="21"/>
  <c r="M1304" i="21"/>
  <c r="L1304" i="21"/>
  <c r="J1304" i="21"/>
  <c r="K1304" i="21" s="1"/>
  <c r="Q1303" i="21"/>
  <c r="P1303" i="21"/>
  <c r="O1303" i="21"/>
  <c r="N1303" i="21"/>
  <c r="M1303" i="21"/>
  <c r="L1303" i="21"/>
  <c r="J1303" i="21"/>
  <c r="K1303" i="21" s="1"/>
  <c r="Q1302" i="21"/>
  <c r="P1302" i="21"/>
  <c r="O1302" i="21"/>
  <c r="M1302" i="21"/>
  <c r="L1302" i="21"/>
  <c r="K1302" i="21"/>
  <c r="J1302" i="21"/>
  <c r="N1302" i="21" s="1"/>
  <c r="Q1301" i="21"/>
  <c r="P1301" i="21"/>
  <c r="O1301" i="21"/>
  <c r="N1301" i="21"/>
  <c r="M1301" i="21"/>
  <c r="L1301" i="21"/>
  <c r="J1301" i="21"/>
  <c r="K1301" i="21" s="1"/>
  <c r="Q1300" i="21"/>
  <c r="P1300" i="21"/>
  <c r="O1300" i="21"/>
  <c r="N1300" i="21"/>
  <c r="M1300" i="21"/>
  <c r="L1300" i="21"/>
  <c r="J1300" i="21"/>
  <c r="K1300" i="21" s="1"/>
  <c r="Q1299" i="21"/>
  <c r="P1299" i="21"/>
  <c r="O1299" i="21"/>
  <c r="N1299" i="21"/>
  <c r="M1299" i="21"/>
  <c r="L1299" i="21"/>
  <c r="J1299" i="21"/>
  <c r="K1299" i="21" s="1"/>
  <c r="Q1298" i="21"/>
  <c r="P1298" i="21"/>
  <c r="O1298" i="21"/>
  <c r="N1298" i="21"/>
  <c r="M1298" i="21"/>
  <c r="L1298" i="21"/>
  <c r="K1298" i="21"/>
  <c r="J1298" i="21"/>
  <c r="Q1297" i="21"/>
  <c r="P1297" i="21"/>
  <c r="O1297" i="21"/>
  <c r="N1297" i="21"/>
  <c r="M1297" i="21"/>
  <c r="L1297" i="21"/>
  <c r="K1297" i="21"/>
  <c r="J1297" i="21"/>
  <c r="Q1296" i="21"/>
  <c r="P1296" i="21"/>
  <c r="O1296" i="21"/>
  <c r="N1296" i="21"/>
  <c r="M1296" i="21"/>
  <c r="L1296" i="21"/>
  <c r="K1296" i="21"/>
  <c r="J1296" i="21"/>
  <c r="Q1295" i="21"/>
  <c r="P1295" i="21"/>
  <c r="O1295" i="21"/>
  <c r="N1295" i="21"/>
  <c r="M1295" i="21"/>
  <c r="L1295" i="21"/>
  <c r="K1295" i="21"/>
  <c r="J1295" i="21"/>
  <c r="Q1294" i="21"/>
  <c r="P1294" i="21"/>
  <c r="N1294" i="21"/>
  <c r="M1294" i="21"/>
  <c r="L1294" i="21"/>
  <c r="K1294" i="21"/>
  <c r="J1294" i="21"/>
  <c r="O1294" i="21" s="1"/>
  <c r="Q1293" i="21"/>
  <c r="P1293" i="21"/>
  <c r="O1293" i="21"/>
  <c r="N1293" i="21"/>
  <c r="M1293" i="21"/>
  <c r="L1293" i="21"/>
  <c r="J1293" i="21"/>
  <c r="K1293" i="21" s="1"/>
  <c r="Q1292" i="21"/>
  <c r="P1292" i="21"/>
  <c r="O1292" i="21"/>
  <c r="N1292" i="21"/>
  <c r="M1292" i="21"/>
  <c r="L1292" i="21"/>
  <c r="J1292" i="21"/>
  <c r="K1292" i="21" s="1"/>
  <c r="Q1291" i="21"/>
  <c r="P1291" i="21"/>
  <c r="O1291" i="21"/>
  <c r="N1291" i="21"/>
  <c r="M1291" i="21"/>
  <c r="L1291" i="21"/>
  <c r="J1291" i="21"/>
  <c r="K1291" i="21" s="1"/>
  <c r="Q1290" i="21"/>
  <c r="P1290" i="21"/>
  <c r="N1290" i="21"/>
  <c r="M1290" i="21"/>
  <c r="L1290" i="21"/>
  <c r="K1290" i="21"/>
  <c r="J1290" i="21"/>
  <c r="O1290" i="21" s="1"/>
  <c r="Q1289" i="21"/>
  <c r="P1289" i="21"/>
  <c r="O1289" i="21"/>
  <c r="N1289" i="21"/>
  <c r="M1289" i="21"/>
  <c r="L1289" i="21"/>
  <c r="J1289" i="21"/>
  <c r="K1289" i="21" s="1"/>
  <c r="Q1288" i="21"/>
  <c r="P1288" i="21"/>
  <c r="O1288" i="21"/>
  <c r="N1288" i="21"/>
  <c r="M1288" i="21"/>
  <c r="L1288" i="21"/>
  <c r="J1288" i="21"/>
  <c r="K1288" i="21" s="1"/>
  <c r="Q1287" i="21"/>
  <c r="P1287" i="21"/>
  <c r="O1287" i="21"/>
  <c r="N1287" i="21"/>
  <c r="M1287" i="21"/>
  <c r="L1287" i="21"/>
  <c r="J1287" i="21"/>
  <c r="K1287" i="21" s="1"/>
  <c r="Q1286" i="21"/>
  <c r="P1286" i="21"/>
  <c r="O1286" i="21"/>
  <c r="N1286" i="21"/>
  <c r="M1286" i="21"/>
  <c r="L1286" i="21"/>
  <c r="K1286" i="21"/>
  <c r="J1286" i="21"/>
  <c r="Q1285" i="21"/>
  <c r="P1285" i="21"/>
  <c r="O1285" i="21"/>
  <c r="N1285" i="21"/>
  <c r="M1285" i="21"/>
  <c r="L1285" i="21"/>
  <c r="K1285" i="21"/>
  <c r="J1285" i="21"/>
  <c r="Q1284" i="21"/>
  <c r="P1284" i="21"/>
  <c r="N1284" i="21"/>
  <c r="M1284" i="21"/>
  <c r="L1284" i="21"/>
  <c r="K1284" i="21"/>
  <c r="J1284" i="21"/>
  <c r="O1284" i="21" s="1"/>
  <c r="Q1283" i="21"/>
  <c r="P1283" i="21"/>
  <c r="O1283" i="21"/>
  <c r="N1283" i="21"/>
  <c r="M1283" i="21"/>
  <c r="L1283" i="21"/>
  <c r="J1283" i="21"/>
  <c r="K1283" i="21" s="1"/>
  <c r="Q1280" i="21"/>
  <c r="P1280" i="21"/>
  <c r="N1280" i="21"/>
  <c r="M1280" i="21"/>
  <c r="L1280" i="21"/>
  <c r="K1280" i="21"/>
  <c r="J1280" i="21"/>
  <c r="O1280" i="21" s="1"/>
  <c r="Q1279" i="21"/>
  <c r="P1279" i="21"/>
  <c r="O1279" i="21"/>
  <c r="N1279" i="21"/>
  <c r="M1279" i="21"/>
  <c r="L1279" i="21"/>
  <c r="J1279" i="21"/>
  <c r="K1279" i="21" s="1"/>
  <c r="Q1278" i="21"/>
  <c r="P1278" i="21"/>
  <c r="O1278" i="21"/>
  <c r="N1278" i="21"/>
  <c r="M1278" i="21"/>
  <c r="L1278" i="21"/>
  <c r="J1278" i="21"/>
  <c r="K1278" i="21" s="1"/>
  <c r="Q1277" i="21"/>
  <c r="P1277" i="21"/>
  <c r="N1277" i="21"/>
  <c r="M1277" i="21"/>
  <c r="L1277" i="21"/>
  <c r="K1277" i="21"/>
  <c r="J1277" i="21"/>
  <c r="O1277" i="21" s="1"/>
  <c r="Q1276" i="21"/>
  <c r="P1276" i="21"/>
  <c r="N1276" i="21"/>
  <c r="M1276" i="21"/>
  <c r="L1276" i="21"/>
  <c r="K1276" i="21"/>
  <c r="J1276" i="21"/>
  <c r="O1276" i="21" s="1"/>
  <c r="Q1274" i="21"/>
  <c r="P1274" i="21"/>
  <c r="O1274" i="21"/>
  <c r="N1274" i="21"/>
  <c r="M1274" i="21"/>
  <c r="L1274" i="21"/>
  <c r="J1274" i="21"/>
  <c r="K1274" i="21" s="1"/>
  <c r="Q1273" i="21"/>
  <c r="P1273" i="21"/>
  <c r="O1273" i="21"/>
  <c r="N1273" i="21"/>
  <c r="M1273" i="21"/>
  <c r="L1273" i="21"/>
  <c r="J1273" i="21"/>
  <c r="K1273" i="21" s="1"/>
  <c r="Q1272" i="21"/>
  <c r="P1272" i="21"/>
  <c r="O1272" i="21"/>
  <c r="N1272" i="21"/>
  <c r="M1272" i="21"/>
  <c r="L1272" i="21"/>
  <c r="K1272" i="21"/>
  <c r="J1272" i="21"/>
  <c r="Q1271" i="21"/>
  <c r="P1271" i="21"/>
  <c r="O1271" i="21"/>
  <c r="M1271" i="21"/>
  <c r="L1271" i="21"/>
  <c r="K1271" i="21"/>
  <c r="J1271" i="21"/>
  <c r="N1271" i="21" s="1"/>
  <c r="Q1270" i="21"/>
  <c r="P1270" i="21"/>
  <c r="O1270" i="21"/>
  <c r="N1270" i="21"/>
  <c r="M1270" i="21"/>
  <c r="L1270" i="21"/>
  <c r="J1270" i="21"/>
  <c r="K1270" i="21" s="1"/>
  <c r="Q1269" i="21"/>
  <c r="P1269" i="21"/>
  <c r="O1269" i="21"/>
  <c r="N1269" i="21"/>
  <c r="M1269" i="21"/>
  <c r="L1269" i="21"/>
  <c r="J1269" i="21"/>
  <c r="K1269" i="21" s="1"/>
  <c r="Q1265" i="21"/>
  <c r="P1265" i="21"/>
  <c r="O1265" i="21"/>
  <c r="M1265" i="21"/>
  <c r="L1265" i="21"/>
  <c r="K1265" i="21"/>
  <c r="J1265" i="21"/>
  <c r="N1265" i="21" s="1"/>
  <c r="Q1264" i="21"/>
  <c r="P1264" i="21"/>
  <c r="O1264" i="21"/>
  <c r="N1264" i="21"/>
  <c r="M1264" i="21"/>
  <c r="L1264" i="21"/>
  <c r="J1264" i="21"/>
  <c r="K1264" i="21" s="1"/>
  <c r="Q1263" i="21"/>
  <c r="P1263" i="21"/>
  <c r="O1263" i="21"/>
  <c r="N1263" i="21"/>
  <c r="M1263" i="21"/>
  <c r="L1263" i="21"/>
  <c r="J1263" i="21"/>
  <c r="K1263" i="21" s="1"/>
  <c r="Q1262" i="21"/>
  <c r="P1262" i="21"/>
  <c r="O1262" i="21"/>
  <c r="N1262" i="21"/>
  <c r="M1262" i="21"/>
  <c r="L1262" i="21"/>
  <c r="J1262" i="21"/>
  <c r="K1262" i="21" s="1"/>
  <c r="Q1261" i="21"/>
  <c r="P1261" i="21"/>
  <c r="O1261" i="21"/>
  <c r="M1261" i="21"/>
  <c r="L1261" i="21"/>
  <c r="K1261" i="21"/>
  <c r="J1261" i="21"/>
  <c r="N1261" i="21" s="1"/>
  <c r="Q1260" i="21"/>
  <c r="P1260" i="21"/>
  <c r="O1260" i="21"/>
  <c r="N1260" i="21"/>
  <c r="M1260" i="21"/>
  <c r="L1260" i="21"/>
  <c r="J1260" i="21"/>
  <c r="K1260" i="21" s="1"/>
  <c r="Q1259" i="21"/>
  <c r="P1259" i="21"/>
  <c r="O1259" i="21"/>
  <c r="N1259" i="21"/>
  <c r="M1259" i="21"/>
  <c r="L1259" i="21"/>
  <c r="J1259" i="21"/>
  <c r="K1259" i="21" s="1"/>
  <c r="Q1258" i="21"/>
  <c r="P1258" i="21"/>
  <c r="O1258" i="21"/>
  <c r="N1258" i="21"/>
  <c r="M1258" i="21"/>
  <c r="L1258" i="21"/>
  <c r="J1258" i="21"/>
  <c r="K1258" i="21" s="1"/>
  <c r="Q1257" i="21"/>
  <c r="P1257" i="21"/>
  <c r="O1257" i="21"/>
  <c r="N1257" i="21"/>
  <c r="M1257" i="21"/>
  <c r="L1257" i="21"/>
  <c r="K1257" i="21"/>
  <c r="J1257" i="21"/>
  <c r="Q1256" i="21"/>
  <c r="P1256" i="21"/>
  <c r="O1256" i="21"/>
  <c r="N1256" i="21"/>
  <c r="M1256" i="21"/>
  <c r="L1256" i="21"/>
  <c r="K1256" i="21"/>
  <c r="J1256" i="21"/>
  <c r="Q1255" i="21"/>
  <c r="P1255" i="21"/>
  <c r="O1255" i="21"/>
  <c r="N1255" i="21"/>
  <c r="M1255" i="21"/>
  <c r="L1255" i="21"/>
  <c r="K1255" i="21"/>
  <c r="J1255" i="21"/>
  <c r="Q1254" i="21"/>
  <c r="P1254" i="21"/>
  <c r="O1254" i="21"/>
  <c r="N1254" i="21"/>
  <c r="M1254" i="21"/>
  <c r="L1254" i="21"/>
  <c r="K1254" i="21"/>
  <c r="J1254" i="21"/>
  <c r="Q1253" i="21"/>
  <c r="P1253" i="21"/>
  <c r="O1253" i="21"/>
  <c r="M1253" i="21"/>
  <c r="L1253" i="21"/>
  <c r="K1253" i="21"/>
  <c r="J1253" i="21"/>
  <c r="N1253" i="21" s="1"/>
  <c r="Q1252" i="21"/>
  <c r="P1252" i="21"/>
  <c r="O1252" i="21"/>
  <c r="N1252" i="21"/>
  <c r="M1252" i="21"/>
  <c r="L1252" i="21"/>
  <c r="J1252" i="21"/>
  <c r="K1252" i="21" s="1"/>
  <c r="Q1251" i="21"/>
  <c r="P1251" i="21"/>
  <c r="O1251" i="21"/>
  <c r="N1251" i="21"/>
  <c r="M1251" i="21"/>
  <c r="L1251" i="21"/>
  <c r="J1251" i="21"/>
  <c r="K1251" i="21" s="1"/>
  <c r="Q1250" i="21"/>
  <c r="P1250" i="21"/>
  <c r="O1250" i="21"/>
  <c r="N1250" i="21"/>
  <c r="M1250" i="21"/>
  <c r="L1250" i="21"/>
  <c r="J1250" i="21"/>
  <c r="K1250" i="21" s="1"/>
  <c r="Q1249" i="21"/>
  <c r="P1249" i="21"/>
  <c r="O1249" i="21"/>
  <c r="M1249" i="21"/>
  <c r="L1249" i="21"/>
  <c r="K1249" i="21"/>
  <c r="J1249" i="21"/>
  <c r="N1249" i="21" s="1"/>
  <c r="Q1248" i="21"/>
  <c r="P1248" i="21"/>
  <c r="O1248" i="21"/>
  <c r="N1248" i="21"/>
  <c r="M1248" i="21"/>
  <c r="L1248" i="21"/>
  <c r="J1248" i="21"/>
  <c r="K1248" i="21" s="1"/>
  <c r="Q1247" i="21"/>
  <c r="P1247" i="21"/>
  <c r="O1247" i="21"/>
  <c r="N1247" i="21"/>
  <c r="M1247" i="21"/>
  <c r="L1247" i="21"/>
  <c r="J1247" i="21"/>
  <c r="K1247" i="21" s="1"/>
  <c r="Q1246" i="21"/>
  <c r="P1246" i="21"/>
  <c r="O1246" i="21"/>
  <c r="N1246" i="21"/>
  <c r="M1246" i="21"/>
  <c r="L1246" i="21"/>
  <c r="J1246" i="21"/>
  <c r="K1246" i="21" s="1"/>
  <c r="Q1233" i="21"/>
  <c r="P1233" i="21"/>
  <c r="O1233" i="21"/>
  <c r="N1233" i="21"/>
  <c r="M1233" i="21"/>
  <c r="L1233" i="21"/>
  <c r="K1233" i="21"/>
  <c r="J1233" i="21"/>
  <c r="Q1232" i="21"/>
  <c r="P1232" i="21"/>
  <c r="O1232" i="21"/>
  <c r="N1232" i="21"/>
  <c r="M1232" i="21"/>
  <c r="L1232" i="21"/>
  <c r="K1232" i="21"/>
  <c r="J1232" i="21"/>
  <c r="Q1231" i="21"/>
  <c r="P1231" i="21"/>
  <c r="O1231" i="21"/>
  <c r="N1231" i="21"/>
  <c r="M1231" i="21"/>
  <c r="L1231" i="21"/>
  <c r="K1231" i="21"/>
  <c r="J1231" i="21"/>
  <c r="Q1230" i="21"/>
  <c r="P1230" i="21"/>
  <c r="O1230" i="21"/>
  <c r="N1230" i="21"/>
  <c r="M1230" i="21"/>
  <c r="L1230" i="21"/>
  <c r="K1230" i="21"/>
  <c r="J1230" i="21"/>
  <c r="Q1229" i="21"/>
  <c r="O1229" i="21"/>
  <c r="N1229" i="21"/>
  <c r="M1229" i="21"/>
  <c r="L1229" i="21"/>
  <c r="K1229" i="21"/>
  <c r="J1229" i="21"/>
  <c r="P1229" i="21" s="1"/>
  <c r="Q1228" i="21"/>
  <c r="P1228" i="21"/>
  <c r="O1228" i="21"/>
  <c r="N1228" i="21"/>
  <c r="M1228" i="21"/>
  <c r="L1228" i="21"/>
  <c r="J1228" i="21"/>
  <c r="K1228" i="21" s="1"/>
  <c r="Q1227" i="21"/>
  <c r="P1227" i="21"/>
  <c r="O1227" i="21"/>
  <c r="N1227" i="21"/>
  <c r="M1227" i="21"/>
  <c r="L1227" i="21"/>
  <c r="J1227" i="21"/>
  <c r="K1227" i="21" s="1"/>
  <c r="Q1226" i="21"/>
  <c r="O1226" i="21"/>
  <c r="N1226" i="21"/>
  <c r="M1226" i="21"/>
  <c r="L1226" i="21"/>
  <c r="K1226" i="21"/>
  <c r="J1226" i="21"/>
  <c r="P1226" i="21" s="1"/>
  <c r="Q1225" i="21"/>
  <c r="P1225" i="21"/>
  <c r="O1225" i="21"/>
  <c r="N1225" i="21"/>
  <c r="M1225" i="21"/>
  <c r="L1225" i="21"/>
  <c r="J1225" i="21"/>
  <c r="K1225" i="21" s="1"/>
  <c r="Q1224" i="21"/>
  <c r="P1224" i="21"/>
  <c r="O1224" i="21"/>
  <c r="N1224" i="21"/>
  <c r="M1224" i="21"/>
  <c r="L1224" i="21"/>
  <c r="J1224" i="21"/>
  <c r="K1224" i="21" s="1"/>
  <c r="Q1223" i="21"/>
  <c r="P1223" i="21"/>
  <c r="O1223" i="21"/>
  <c r="N1223" i="21"/>
  <c r="M1223" i="21"/>
  <c r="L1223" i="21"/>
  <c r="K1223" i="21"/>
  <c r="J1223" i="21"/>
  <c r="Q1222" i="21"/>
  <c r="P1222" i="21"/>
  <c r="O1222" i="21"/>
  <c r="N1222" i="21"/>
  <c r="M1222" i="21"/>
  <c r="L1222" i="21"/>
  <c r="K1222" i="21"/>
  <c r="J1222" i="21"/>
  <c r="Q1221" i="21"/>
  <c r="P1221" i="21"/>
  <c r="O1221" i="21"/>
  <c r="N1221" i="21"/>
  <c r="M1221" i="21"/>
  <c r="L1221" i="21"/>
  <c r="K1221" i="21"/>
  <c r="J1221" i="21"/>
  <c r="Q1220" i="21"/>
  <c r="P1220" i="21"/>
  <c r="O1220" i="21"/>
  <c r="N1220" i="21"/>
  <c r="M1220" i="21"/>
  <c r="L1220" i="21"/>
  <c r="K1220" i="21"/>
  <c r="J1220" i="21"/>
  <c r="Q1219" i="21"/>
  <c r="O1219" i="21"/>
  <c r="N1219" i="21"/>
  <c r="M1219" i="21"/>
  <c r="L1219" i="21"/>
  <c r="K1219" i="21"/>
  <c r="J1219" i="21"/>
  <c r="P1219" i="21" s="1"/>
  <c r="Q1218" i="21"/>
  <c r="P1218" i="21"/>
  <c r="O1218" i="21"/>
  <c r="N1218" i="21"/>
  <c r="M1218" i="21"/>
  <c r="L1218" i="21"/>
  <c r="J1218" i="21"/>
  <c r="K1218" i="21" s="1"/>
  <c r="Q1217" i="21"/>
  <c r="P1217" i="21"/>
  <c r="O1217" i="21"/>
  <c r="N1217" i="21"/>
  <c r="M1217" i="21"/>
  <c r="L1217" i="21"/>
  <c r="J1217" i="21"/>
  <c r="K1217" i="21" s="1"/>
  <c r="Q1216" i="21"/>
  <c r="P1216" i="21"/>
  <c r="O1216" i="21"/>
  <c r="N1216" i="21"/>
  <c r="M1216" i="21"/>
  <c r="L1216" i="21"/>
  <c r="J1216" i="21"/>
  <c r="K1216" i="21" s="1"/>
  <c r="Q1215" i="21"/>
  <c r="O1215" i="21"/>
  <c r="N1215" i="21"/>
  <c r="M1215" i="21"/>
  <c r="L1215" i="21"/>
  <c r="K1215" i="21"/>
  <c r="J1215" i="21"/>
  <c r="P1215" i="21" s="1"/>
  <c r="Q1214" i="21"/>
  <c r="P1214" i="21"/>
  <c r="O1214" i="21"/>
  <c r="N1214" i="21"/>
  <c r="M1214" i="21"/>
  <c r="L1214" i="21"/>
  <c r="J1214" i="21"/>
  <c r="K1214" i="21" s="1"/>
  <c r="Q1213" i="21"/>
  <c r="P1213" i="21"/>
  <c r="O1213" i="21"/>
  <c r="N1213" i="21"/>
  <c r="M1213" i="21"/>
  <c r="L1213" i="21"/>
  <c r="J1213" i="21"/>
  <c r="K1213" i="21" s="1"/>
  <c r="Q1212" i="21"/>
  <c r="P1212" i="21"/>
  <c r="O1212" i="21"/>
  <c r="N1212" i="21"/>
  <c r="M1212" i="21"/>
  <c r="L1212" i="21"/>
  <c r="J1212" i="21"/>
  <c r="K1212" i="21" s="1"/>
  <c r="Q1211" i="21"/>
  <c r="P1211" i="21"/>
  <c r="O1211" i="21"/>
  <c r="N1211" i="21"/>
  <c r="M1211" i="21"/>
  <c r="L1211" i="21"/>
  <c r="K1211" i="21"/>
  <c r="J1211" i="21"/>
  <c r="Q1210" i="21"/>
  <c r="O1210" i="21"/>
  <c r="N1210" i="21"/>
  <c r="M1210" i="21"/>
  <c r="L1210" i="21"/>
  <c r="K1210" i="21"/>
  <c r="J1210" i="21"/>
  <c r="P1210" i="21" s="1"/>
  <c r="Q1209" i="21"/>
  <c r="P1209" i="21"/>
  <c r="O1209" i="21"/>
  <c r="N1209" i="21"/>
  <c r="M1209" i="21"/>
  <c r="L1209" i="21"/>
  <c r="J1209" i="21"/>
  <c r="K1209" i="21" s="1"/>
  <c r="Q1208" i="21"/>
  <c r="P1208" i="21"/>
  <c r="O1208" i="21"/>
  <c r="N1208" i="21"/>
  <c r="M1208" i="21"/>
  <c r="L1208" i="21"/>
  <c r="J1208" i="21"/>
  <c r="K1208" i="21" s="1"/>
  <c r="Q1204" i="21"/>
  <c r="O1204" i="21"/>
  <c r="N1204" i="21"/>
  <c r="M1204" i="21"/>
  <c r="L1204" i="21"/>
  <c r="K1204" i="21"/>
  <c r="J1204" i="21"/>
  <c r="P1204" i="21" s="1"/>
  <c r="Q1203" i="21"/>
  <c r="P1203" i="21"/>
  <c r="O1203" i="21"/>
  <c r="N1203" i="21"/>
  <c r="M1203" i="21"/>
  <c r="L1203" i="21"/>
  <c r="J1203" i="21"/>
  <c r="K1203" i="21" s="1"/>
  <c r="Q1202" i="21"/>
  <c r="P1202" i="21"/>
  <c r="O1202" i="21"/>
  <c r="N1202" i="21"/>
  <c r="M1202" i="21"/>
  <c r="L1202" i="21"/>
  <c r="J1202" i="21"/>
  <c r="K1202" i="21" s="1"/>
  <c r="Q1201" i="21"/>
  <c r="P1201" i="21"/>
  <c r="O1201" i="21"/>
  <c r="N1201" i="21"/>
  <c r="M1201" i="21"/>
  <c r="L1201" i="21"/>
  <c r="J1201" i="21"/>
  <c r="K1201" i="21" s="1"/>
  <c r="Q1200" i="21"/>
  <c r="O1200" i="21"/>
  <c r="N1200" i="21"/>
  <c r="M1200" i="21"/>
  <c r="L1200" i="21"/>
  <c r="K1200" i="21"/>
  <c r="J1200" i="21"/>
  <c r="P1200" i="21" s="1"/>
  <c r="Q1199" i="21"/>
  <c r="P1199" i="21"/>
  <c r="O1199" i="21"/>
  <c r="N1199" i="21"/>
  <c r="M1199" i="21"/>
  <c r="L1199" i="21"/>
  <c r="J1199" i="21"/>
  <c r="K1199" i="21" s="1"/>
  <c r="Q1198" i="21"/>
  <c r="P1198" i="21"/>
  <c r="O1198" i="21"/>
  <c r="N1198" i="21"/>
  <c r="M1198" i="21"/>
  <c r="L1198" i="21"/>
  <c r="J1198" i="21"/>
  <c r="K1198" i="21" s="1"/>
  <c r="Q1196" i="21"/>
  <c r="P1196" i="21"/>
  <c r="N1196" i="21"/>
  <c r="M1196" i="21"/>
  <c r="L1196" i="21"/>
  <c r="K1196" i="21"/>
  <c r="J1196" i="21"/>
  <c r="O1196" i="21" s="1"/>
  <c r="Q1195" i="21"/>
  <c r="P1195" i="21"/>
  <c r="O1195" i="21"/>
  <c r="N1195" i="21"/>
  <c r="M1195" i="21"/>
  <c r="L1195" i="21"/>
  <c r="J1195" i="21"/>
  <c r="K1195" i="21" s="1"/>
  <c r="Q1194" i="21"/>
  <c r="P1194" i="21"/>
  <c r="O1194" i="21"/>
  <c r="N1194" i="21"/>
  <c r="M1194" i="21"/>
  <c r="L1194" i="21"/>
  <c r="J1194" i="21"/>
  <c r="K1194" i="21" s="1"/>
  <c r="Q1193" i="21"/>
  <c r="P1193" i="21"/>
  <c r="N1193" i="21"/>
  <c r="M1193" i="21"/>
  <c r="L1193" i="21"/>
  <c r="K1193" i="21"/>
  <c r="J1193" i="21"/>
  <c r="O1193" i="21" s="1"/>
  <c r="Q1192" i="21"/>
  <c r="P1192" i="21"/>
  <c r="O1192" i="21"/>
  <c r="N1192" i="21"/>
  <c r="M1192" i="21"/>
  <c r="L1192" i="21"/>
  <c r="J1192" i="21"/>
  <c r="K1192" i="21" s="1"/>
  <c r="Q1191" i="21"/>
  <c r="P1191" i="21"/>
  <c r="N1191" i="21"/>
  <c r="M1191" i="21"/>
  <c r="L1191" i="21"/>
  <c r="K1191" i="21"/>
  <c r="J1191" i="21"/>
  <c r="O1191" i="21" s="1"/>
  <c r="Q1190" i="21"/>
  <c r="P1190" i="21"/>
  <c r="O1190" i="21"/>
  <c r="N1190" i="21"/>
  <c r="M1190" i="21"/>
  <c r="L1190" i="21"/>
  <c r="J1190" i="21"/>
  <c r="K1190" i="21" s="1"/>
  <c r="Q1189" i="21"/>
  <c r="P1189" i="21"/>
  <c r="O1189" i="21"/>
  <c r="N1189" i="21"/>
  <c r="M1189" i="21"/>
  <c r="L1189" i="21"/>
  <c r="J1189" i="21"/>
  <c r="K1189" i="21" s="1"/>
  <c r="Q1188" i="21"/>
  <c r="P1188" i="21"/>
  <c r="N1188" i="21"/>
  <c r="M1188" i="21"/>
  <c r="L1188" i="21"/>
  <c r="K1188" i="21"/>
  <c r="J1188" i="21"/>
  <c r="O1188" i="21" s="1"/>
  <c r="Q1187" i="21"/>
  <c r="P1187" i="21"/>
  <c r="O1187" i="21"/>
  <c r="N1187" i="21"/>
  <c r="M1187" i="21"/>
  <c r="L1187" i="21"/>
  <c r="J1187" i="21"/>
  <c r="K1187" i="21" s="1"/>
  <c r="Q1186" i="21"/>
  <c r="P1186" i="21"/>
  <c r="N1186" i="21"/>
  <c r="M1186" i="21"/>
  <c r="L1186" i="21"/>
  <c r="K1186" i="21"/>
  <c r="J1186" i="21"/>
  <c r="O1186" i="21" s="1"/>
  <c r="Q1185" i="21"/>
  <c r="P1185" i="21"/>
  <c r="O1185" i="21"/>
  <c r="N1185" i="21"/>
  <c r="M1185" i="21"/>
  <c r="L1185" i="21"/>
  <c r="J1185" i="21"/>
  <c r="K1185" i="21" s="1"/>
  <c r="Q1184" i="21"/>
  <c r="P1184" i="21"/>
  <c r="O1184" i="21"/>
  <c r="N1184" i="21"/>
  <c r="M1184" i="21"/>
  <c r="L1184" i="21"/>
  <c r="J1184" i="21"/>
  <c r="K1184" i="21" s="1"/>
  <c r="Q1183" i="21"/>
  <c r="P1183" i="21"/>
  <c r="N1183" i="21"/>
  <c r="M1183" i="21"/>
  <c r="L1183" i="21"/>
  <c r="K1183" i="21"/>
  <c r="J1183" i="21"/>
  <c r="O1183" i="21" s="1"/>
  <c r="Q1182" i="21"/>
  <c r="P1182" i="21"/>
  <c r="O1182" i="21"/>
  <c r="N1182" i="21"/>
  <c r="M1182" i="21"/>
  <c r="L1182" i="21"/>
  <c r="J1182" i="21"/>
  <c r="K1182" i="21" s="1"/>
  <c r="Q1181" i="21"/>
  <c r="P1181" i="21"/>
  <c r="N1181" i="21"/>
  <c r="M1181" i="21"/>
  <c r="L1181" i="21"/>
  <c r="K1181" i="21"/>
  <c r="J1181" i="21"/>
  <c r="O1181" i="21" s="1"/>
  <c r="Q1180" i="21"/>
  <c r="P1180" i="21"/>
  <c r="O1180" i="21"/>
  <c r="N1180" i="21"/>
  <c r="M1180" i="21"/>
  <c r="L1180" i="21"/>
  <c r="J1180" i="21"/>
  <c r="K1180" i="21" s="1"/>
  <c r="Q1179" i="21"/>
  <c r="P1179" i="21"/>
  <c r="O1179" i="21"/>
  <c r="N1179" i="21"/>
  <c r="M1179" i="21"/>
  <c r="L1179" i="21"/>
  <c r="J1179" i="21"/>
  <c r="K1179" i="21" s="1"/>
  <c r="Q1178" i="21"/>
  <c r="P1178" i="21"/>
  <c r="N1178" i="21"/>
  <c r="M1178" i="21"/>
  <c r="L1178" i="21"/>
  <c r="K1178" i="21"/>
  <c r="J1178" i="21"/>
  <c r="O1178" i="21" s="1"/>
  <c r="Q1177" i="21"/>
  <c r="P1177" i="21"/>
  <c r="O1177" i="21"/>
  <c r="N1177" i="21"/>
  <c r="M1177" i="21"/>
  <c r="L1177" i="21"/>
  <c r="J1177" i="21"/>
  <c r="K1177" i="21" s="1"/>
  <c r="Q1176" i="21"/>
  <c r="P1176" i="21"/>
  <c r="N1176" i="21"/>
  <c r="M1176" i="21"/>
  <c r="L1176" i="21"/>
  <c r="K1176" i="21"/>
  <c r="J1176" i="21"/>
  <c r="O1176" i="21" s="1"/>
  <c r="Q1175" i="21"/>
  <c r="P1175" i="21"/>
  <c r="O1175" i="21"/>
  <c r="N1175" i="21"/>
  <c r="M1175" i="21"/>
  <c r="L1175" i="21"/>
  <c r="J1175" i="21"/>
  <c r="K1175" i="21" s="1"/>
  <c r="Q1174" i="21"/>
  <c r="P1174" i="21"/>
  <c r="O1174" i="21"/>
  <c r="N1174" i="21"/>
  <c r="M1174" i="21"/>
  <c r="L1174" i="21"/>
  <c r="J1174" i="21"/>
  <c r="K1174" i="21" s="1"/>
  <c r="Q1173" i="21"/>
  <c r="P1173" i="21"/>
  <c r="O1173" i="21"/>
  <c r="N1173" i="21"/>
  <c r="M1173" i="21"/>
  <c r="L1173" i="21"/>
  <c r="J1173" i="21"/>
  <c r="K1173" i="21" s="1"/>
  <c r="Q1172" i="21"/>
  <c r="P1172" i="21"/>
  <c r="N1172" i="21"/>
  <c r="M1172" i="21"/>
  <c r="L1172" i="21"/>
  <c r="K1172" i="21"/>
  <c r="J1172" i="21"/>
  <c r="O1172" i="21" s="1"/>
  <c r="Q1171" i="21"/>
  <c r="P1171" i="21"/>
  <c r="O1171" i="21"/>
  <c r="N1171" i="21"/>
  <c r="M1171" i="21"/>
  <c r="L1171" i="21"/>
  <c r="J1171" i="21"/>
  <c r="K1171" i="21" s="1"/>
  <c r="Q1170" i="21"/>
  <c r="P1170" i="21"/>
  <c r="O1170" i="21"/>
  <c r="N1170" i="21"/>
  <c r="M1170" i="21"/>
  <c r="L1170" i="21"/>
  <c r="J1170" i="21"/>
  <c r="K1170" i="21" s="1"/>
  <c r="Q1169" i="21"/>
  <c r="P1169" i="21"/>
  <c r="O1169" i="21"/>
  <c r="N1169" i="21"/>
  <c r="M1169" i="21"/>
  <c r="L1169" i="21"/>
  <c r="J1169" i="21"/>
  <c r="K1169" i="21" s="1"/>
  <c r="Q1168" i="21"/>
  <c r="P1168" i="21"/>
  <c r="N1168" i="21"/>
  <c r="M1168" i="21"/>
  <c r="L1168" i="21"/>
  <c r="K1168" i="21"/>
  <c r="J1168" i="21"/>
  <c r="O1168" i="21" s="1"/>
  <c r="Q1167" i="21"/>
  <c r="P1167" i="21"/>
  <c r="O1167" i="21"/>
  <c r="N1167" i="21"/>
  <c r="M1167" i="21"/>
  <c r="L1167" i="21"/>
  <c r="J1167" i="21"/>
  <c r="K1167" i="21" s="1"/>
  <c r="Q1166" i="21"/>
  <c r="P1166" i="21"/>
  <c r="O1166" i="21"/>
  <c r="N1166" i="21"/>
  <c r="M1166" i="21"/>
  <c r="L1166" i="21"/>
  <c r="J1166" i="21"/>
  <c r="K1166" i="21" s="1"/>
  <c r="Q1165" i="21"/>
  <c r="P1165" i="21"/>
  <c r="O1165" i="21"/>
  <c r="N1165" i="21"/>
  <c r="M1165" i="21"/>
  <c r="L1165" i="21"/>
  <c r="J1165" i="21"/>
  <c r="K1165" i="21" s="1"/>
  <c r="Q1164" i="21"/>
  <c r="P1164" i="21"/>
  <c r="N1164" i="21"/>
  <c r="M1164" i="21"/>
  <c r="L1164" i="21"/>
  <c r="K1164" i="21"/>
  <c r="J1164" i="21"/>
  <c r="O1164" i="21" s="1"/>
  <c r="Q1163" i="21"/>
  <c r="P1163" i="21"/>
  <c r="O1163" i="21"/>
  <c r="N1163" i="21"/>
  <c r="M1163" i="21"/>
  <c r="L1163" i="21"/>
  <c r="J1163" i="21"/>
  <c r="K1163" i="21" s="1"/>
  <c r="Q1162" i="21"/>
  <c r="P1162" i="21"/>
  <c r="O1162" i="21"/>
  <c r="N1162" i="21"/>
  <c r="M1162" i="21"/>
  <c r="L1162" i="21"/>
  <c r="J1162" i="21"/>
  <c r="K1162" i="21" s="1"/>
  <c r="Q1161" i="21"/>
  <c r="P1161" i="21"/>
  <c r="O1161" i="21"/>
  <c r="N1161" i="21"/>
  <c r="M1161" i="21"/>
  <c r="L1161" i="21"/>
  <c r="J1161" i="21"/>
  <c r="K1161" i="21" s="1"/>
  <c r="Q1160" i="21"/>
  <c r="P1160" i="21"/>
  <c r="N1160" i="21"/>
  <c r="M1160" i="21"/>
  <c r="L1160" i="21"/>
  <c r="K1160" i="21"/>
  <c r="J1160" i="21"/>
  <c r="O1160" i="21" s="1"/>
  <c r="Q1159" i="21"/>
  <c r="P1159" i="21"/>
  <c r="O1159" i="21"/>
  <c r="N1159" i="21"/>
  <c r="M1159" i="21"/>
  <c r="L1159" i="21"/>
  <c r="J1159" i="21"/>
  <c r="K1159" i="21" s="1"/>
  <c r="Q1158" i="21"/>
  <c r="P1158" i="21"/>
  <c r="O1158" i="21"/>
  <c r="N1158" i="21"/>
  <c r="M1158" i="21"/>
  <c r="L1158" i="21"/>
  <c r="J1158" i="21"/>
  <c r="K1158" i="21" s="1"/>
  <c r="Q1157" i="21"/>
  <c r="P1157" i="21"/>
  <c r="O1157" i="21"/>
  <c r="N1157" i="21"/>
  <c r="M1157" i="21"/>
  <c r="L1157" i="21"/>
  <c r="J1157" i="21"/>
  <c r="K1157" i="21" s="1"/>
  <c r="Q1156" i="21"/>
  <c r="P1156" i="21"/>
  <c r="N1156" i="21"/>
  <c r="M1156" i="21"/>
  <c r="L1156" i="21"/>
  <c r="K1156" i="21"/>
  <c r="J1156" i="21"/>
  <c r="O1156" i="21" s="1"/>
  <c r="Q1155" i="21"/>
  <c r="P1155" i="21"/>
  <c r="O1155" i="21"/>
  <c r="N1155" i="21"/>
  <c r="M1155" i="21"/>
  <c r="L1155" i="21"/>
  <c r="J1155" i="21"/>
  <c r="K1155" i="21" s="1"/>
  <c r="Q1154" i="21"/>
  <c r="P1154" i="21"/>
  <c r="O1154" i="21"/>
  <c r="N1154" i="21"/>
  <c r="M1154" i="21"/>
  <c r="L1154" i="21"/>
  <c r="J1154" i="21"/>
  <c r="K1154" i="21" s="1"/>
  <c r="Q1153" i="21"/>
  <c r="P1153" i="21"/>
  <c r="O1153" i="21"/>
  <c r="N1153" i="21"/>
  <c r="M1153" i="21"/>
  <c r="L1153" i="21"/>
  <c r="J1153" i="21"/>
  <c r="K1153" i="21" s="1"/>
  <c r="Q1152" i="21"/>
  <c r="P1152" i="21"/>
  <c r="N1152" i="21"/>
  <c r="M1152" i="21"/>
  <c r="L1152" i="21"/>
  <c r="K1152" i="21"/>
  <c r="J1152" i="21"/>
  <c r="O1152" i="21" s="1"/>
  <c r="Q1151" i="21"/>
  <c r="P1151" i="21"/>
  <c r="O1151" i="21"/>
  <c r="N1151" i="21"/>
  <c r="M1151" i="21"/>
  <c r="L1151" i="21"/>
  <c r="J1151" i="21"/>
  <c r="K1151" i="21" s="1"/>
  <c r="Q1150" i="21"/>
  <c r="P1150" i="21"/>
  <c r="O1150" i="21"/>
  <c r="N1150" i="21"/>
  <c r="M1150" i="21"/>
  <c r="L1150" i="21"/>
  <c r="J1150" i="21"/>
  <c r="K1150" i="21" s="1"/>
  <c r="Q1149" i="21"/>
  <c r="P1149" i="21"/>
  <c r="O1149" i="21"/>
  <c r="N1149" i="21"/>
  <c r="M1149" i="21"/>
  <c r="L1149" i="21"/>
  <c r="J1149" i="21"/>
  <c r="K1149" i="21" s="1"/>
  <c r="Q1148" i="21"/>
  <c r="P1148" i="21"/>
  <c r="N1148" i="21"/>
  <c r="M1148" i="21"/>
  <c r="L1148" i="21"/>
  <c r="K1148" i="21"/>
  <c r="J1148" i="21"/>
  <c r="O1148" i="21" s="1"/>
  <c r="Q1147" i="21"/>
  <c r="P1147" i="21"/>
  <c r="O1147" i="21"/>
  <c r="N1147" i="21"/>
  <c r="M1147" i="21"/>
  <c r="L1147" i="21"/>
  <c r="J1147" i="21"/>
  <c r="K1147" i="21" s="1"/>
  <c r="Q1146" i="21"/>
  <c r="P1146" i="21"/>
  <c r="O1146" i="21"/>
  <c r="N1146" i="21"/>
  <c r="M1146" i="21"/>
  <c r="L1146" i="21"/>
  <c r="J1146" i="21"/>
  <c r="K1146" i="21" s="1"/>
  <c r="Q1145" i="21"/>
  <c r="P1145" i="21"/>
  <c r="O1145" i="21"/>
  <c r="N1145" i="21"/>
  <c r="M1145" i="21"/>
  <c r="L1145" i="21"/>
  <c r="J1145" i="21"/>
  <c r="K1145" i="21" s="1"/>
  <c r="Q1144" i="21"/>
  <c r="P1144" i="21"/>
  <c r="N1144" i="21"/>
  <c r="M1144" i="21"/>
  <c r="L1144" i="21"/>
  <c r="K1144" i="21"/>
  <c r="J1144" i="21"/>
  <c r="O1144" i="21" s="1"/>
  <c r="Q1143" i="21"/>
  <c r="P1143" i="21"/>
  <c r="O1143" i="21"/>
  <c r="N1143" i="21"/>
  <c r="M1143" i="21"/>
  <c r="L1143" i="21"/>
  <c r="J1143" i="21"/>
  <c r="K1143" i="21" s="1"/>
  <c r="Q1142" i="21"/>
  <c r="P1142" i="21"/>
  <c r="O1142" i="21"/>
  <c r="N1142" i="21"/>
  <c r="M1142" i="21"/>
  <c r="L1142" i="21"/>
  <c r="J1142" i="21"/>
  <c r="K1142" i="21" s="1"/>
  <c r="Q1141" i="21"/>
  <c r="P1141" i="21"/>
  <c r="O1141" i="21"/>
  <c r="N1141" i="21"/>
  <c r="M1141" i="21"/>
  <c r="L1141" i="21"/>
  <c r="J1141" i="21"/>
  <c r="K1141" i="21" s="1"/>
  <c r="Q1140" i="21"/>
  <c r="P1140" i="21"/>
  <c r="N1140" i="21"/>
  <c r="M1140" i="21"/>
  <c r="L1140" i="21"/>
  <c r="K1140" i="21"/>
  <c r="J1140" i="21"/>
  <c r="O1140" i="21" s="1"/>
  <c r="Q1139" i="21"/>
  <c r="P1139" i="21"/>
  <c r="O1139" i="21"/>
  <c r="N1139" i="21"/>
  <c r="M1139" i="21"/>
  <c r="L1139" i="21"/>
  <c r="J1139" i="21"/>
  <c r="K1139" i="21" s="1"/>
  <c r="Q1138" i="21"/>
  <c r="P1138" i="21"/>
  <c r="O1138" i="21"/>
  <c r="N1138" i="21"/>
  <c r="M1138" i="21"/>
  <c r="L1138" i="21"/>
  <c r="J1138" i="21"/>
  <c r="K1138" i="21" s="1"/>
  <c r="Q1137" i="21"/>
  <c r="P1137" i="21"/>
  <c r="O1137" i="21"/>
  <c r="N1137" i="21"/>
  <c r="M1137" i="21"/>
  <c r="L1137" i="21"/>
  <c r="J1137" i="21"/>
  <c r="K1137" i="21" s="1"/>
  <c r="Q1136" i="21"/>
  <c r="P1136" i="21"/>
  <c r="N1136" i="21"/>
  <c r="M1136" i="21"/>
  <c r="L1136" i="21"/>
  <c r="K1136" i="21"/>
  <c r="J1136" i="21"/>
  <c r="O1136" i="21" s="1"/>
  <c r="Q1135" i="21"/>
  <c r="P1135" i="21"/>
  <c r="O1135" i="21"/>
  <c r="N1135" i="21"/>
  <c r="M1135" i="21"/>
  <c r="L1135" i="21"/>
  <c r="J1135" i="21"/>
  <c r="K1135" i="21" s="1"/>
  <c r="Q1134" i="21"/>
  <c r="P1134" i="21"/>
  <c r="O1134" i="21"/>
  <c r="N1134" i="21"/>
  <c r="M1134" i="21"/>
  <c r="L1134" i="21"/>
  <c r="J1134" i="21"/>
  <c r="K1134" i="21" s="1"/>
  <c r="Q1133" i="21"/>
  <c r="P1133" i="21"/>
  <c r="O1133" i="21"/>
  <c r="N1133" i="21"/>
  <c r="M1133" i="21"/>
  <c r="L1133" i="21"/>
  <c r="J1133" i="21"/>
  <c r="K1133" i="21" s="1"/>
  <c r="Q1132" i="21"/>
  <c r="P1132" i="21"/>
  <c r="N1132" i="21"/>
  <c r="M1132" i="21"/>
  <c r="L1132" i="21"/>
  <c r="K1132" i="21"/>
  <c r="J1132" i="21"/>
  <c r="O1132" i="21" s="1"/>
  <c r="Q1131" i="21"/>
  <c r="P1131" i="21"/>
  <c r="O1131" i="21"/>
  <c r="N1131" i="21"/>
  <c r="M1131" i="21"/>
  <c r="L1131" i="21"/>
  <c r="J1131" i="21"/>
  <c r="K1131" i="21" s="1"/>
  <c r="Q1130" i="21"/>
  <c r="P1130" i="21"/>
  <c r="O1130" i="21"/>
  <c r="N1130" i="21"/>
  <c r="M1130" i="21"/>
  <c r="L1130" i="21"/>
  <c r="J1130" i="21"/>
  <c r="K1130" i="21" s="1"/>
  <c r="Q1129" i="21"/>
  <c r="P1129" i="21"/>
  <c r="O1129" i="21"/>
  <c r="N1129" i="21"/>
  <c r="M1129" i="21"/>
  <c r="L1129" i="21"/>
  <c r="J1129" i="21"/>
  <c r="K1129" i="21" s="1"/>
  <c r="Q1128" i="21"/>
  <c r="P1128" i="21"/>
  <c r="O1128" i="21"/>
  <c r="M1128" i="21"/>
  <c r="L1128" i="21"/>
  <c r="K1128" i="21"/>
  <c r="J1128" i="21"/>
  <c r="N1128" i="21" s="1"/>
  <c r="Q1127" i="21"/>
  <c r="P1127" i="21"/>
  <c r="O1127" i="21"/>
  <c r="N1127" i="21"/>
  <c r="M1127" i="21"/>
  <c r="L1127" i="21"/>
  <c r="J1127" i="21"/>
  <c r="K1127" i="21" s="1"/>
  <c r="Q1126" i="21"/>
  <c r="P1126" i="21"/>
  <c r="O1126" i="21"/>
  <c r="N1126" i="21"/>
  <c r="M1126" i="21"/>
  <c r="L1126" i="21"/>
  <c r="J1126" i="21"/>
  <c r="K1126" i="21" s="1"/>
  <c r="Q1125" i="21"/>
  <c r="P1125" i="21"/>
  <c r="O1125" i="21"/>
  <c r="N1125" i="21"/>
  <c r="M1125" i="21"/>
  <c r="L1125" i="21"/>
  <c r="J1125" i="21"/>
  <c r="K1125" i="21" s="1"/>
  <c r="Q1124" i="21"/>
  <c r="P1124" i="21"/>
  <c r="O1124" i="21"/>
  <c r="M1124" i="21"/>
  <c r="L1124" i="21"/>
  <c r="K1124" i="21"/>
  <c r="J1124" i="21"/>
  <c r="N1124" i="21" s="1"/>
  <c r="Q1123" i="21"/>
  <c r="P1123" i="21"/>
  <c r="O1123" i="21"/>
  <c r="N1123" i="21"/>
  <c r="M1123" i="21"/>
  <c r="L1123" i="21"/>
  <c r="J1123" i="21"/>
  <c r="K1123" i="21" s="1"/>
  <c r="Q1122" i="21"/>
  <c r="P1122" i="21"/>
  <c r="O1122" i="21"/>
  <c r="N1122" i="21"/>
  <c r="M1122" i="21"/>
  <c r="L1122" i="21"/>
  <c r="J1122" i="21"/>
  <c r="K1122" i="21" s="1"/>
  <c r="Q1121" i="21"/>
  <c r="P1121" i="21"/>
  <c r="O1121" i="21"/>
  <c r="N1121" i="21"/>
  <c r="M1121" i="21"/>
  <c r="L1121" i="21"/>
  <c r="J1121" i="21"/>
  <c r="K1121" i="21" s="1"/>
  <c r="Q1120" i="21"/>
  <c r="P1120" i="21"/>
  <c r="O1120" i="21"/>
  <c r="M1120" i="21"/>
  <c r="L1120" i="21"/>
  <c r="K1120" i="21"/>
  <c r="J1120" i="21"/>
  <c r="N1120" i="21" s="1"/>
  <c r="Q1119" i="21"/>
  <c r="P1119" i="21"/>
  <c r="O1119" i="21"/>
  <c r="N1119" i="21"/>
  <c r="M1119" i="21"/>
  <c r="L1119" i="21"/>
  <c r="J1119" i="21"/>
  <c r="K1119" i="21" s="1"/>
  <c r="Q1118" i="21"/>
  <c r="P1118" i="21"/>
  <c r="O1118" i="21"/>
  <c r="N1118" i="21"/>
  <c r="M1118" i="21"/>
  <c r="L1118" i="21"/>
  <c r="J1118" i="21"/>
  <c r="K1118" i="21" s="1"/>
  <c r="Q1117" i="21"/>
  <c r="P1117" i="21"/>
  <c r="O1117" i="21"/>
  <c r="N1117" i="21"/>
  <c r="M1117" i="21"/>
  <c r="L1117" i="21"/>
  <c r="J1117" i="21"/>
  <c r="K1117" i="21" s="1"/>
  <c r="Q1116" i="21"/>
  <c r="P1116" i="21"/>
  <c r="O1116" i="21"/>
  <c r="M1116" i="21"/>
  <c r="L1116" i="21"/>
  <c r="K1116" i="21"/>
  <c r="J1116" i="21"/>
  <c r="N1116" i="21" s="1"/>
  <c r="Q1115" i="21"/>
  <c r="P1115" i="21"/>
  <c r="O1115" i="21"/>
  <c r="N1115" i="21"/>
  <c r="M1115" i="21"/>
  <c r="L1115" i="21"/>
  <c r="J1115" i="21"/>
  <c r="K1115" i="21" s="1"/>
  <c r="Q1114" i="21"/>
  <c r="P1114" i="21"/>
  <c r="O1114" i="21"/>
  <c r="N1114" i="21"/>
  <c r="M1114" i="21"/>
  <c r="L1114" i="21"/>
  <c r="J1114" i="21"/>
  <c r="K1114" i="21" s="1"/>
  <c r="Q1113" i="21"/>
  <c r="P1113" i="21"/>
  <c r="O1113" i="21"/>
  <c r="N1113" i="21"/>
  <c r="M1113" i="21"/>
  <c r="L1113" i="21"/>
  <c r="J1113" i="21"/>
  <c r="K1113" i="21" s="1"/>
  <c r="Q1112" i="21"/>
  <c r="P1112" i="21"/>
  <c r="N1112" i="21"/>
  <c r="M1112" i="21"/>
  <c r="L1112" i="21"/>
  <c r="K1112" i="21"/>
  <c r="J1112" i="21"/>
  <c r="O1112" i="21" s="1"/>
  <c r="Q1111" i="21"/>
  <c r="P1111" i="21"/>
  <c r="O1111" i="21"/>
  <c r="N1111" i="21"/>
  <c r="M1111" i="21"/>
  <c r="L1111" i="21"/>
  <c r="J1111" i="21"/>
  <c r="K1111" i="21" s="1"/>
  <c r="Q1110" i="21"/>
  <c r="P1110" i="21"/>
  <c r="O1110" i="21"/>
  <c r="N1110" i="21"/>
  <c r="M1110" i="21"/>
  <c r="L1110" i="21"/>
  <c r="J1110" i="21"/>
  <c r="K1110" i="21" s="1"/>
  <c r="Q1109" i="21"/>
  <c r="P1109" i="21"/>
  <c r="O1109" i="21"/>
  <c r="N1109" i="21"/>
  <c r="M1109" i="21"/>
  <c r="L1109" i="21"/>
  <c r="J1109" i="21"/>
  <c r="K1109" i="21" s="1"/>
  <c r="Q1108" i="21"/>
  <c r="P1108" i="21"/>
  <c r="N1108" i="21"/>
  <c r="M1108" i="21"/>
  <c r="L1108" i="21"/>
  <c r="K1108" i="21"/>
  <c r="J1108" i="21"/>
  <c r="O1108" i="21" s="1"/>
  <c r="Q1107" i="21"/>
  <c r="P1107" i="21"/>
  <c r="O1107" i="21"/>
  <c r="N1107" i="21"/>
  <c r="M1107" i="21"/>
  <c r="L1107" i="21"/>
  <c r="J1107" i="21"/>
  <c r="K1107" i="21" s="1"/>
  <c r="Q1106" i="21"/>
  <c r="P1106" i="21"/>
  <c r="O1106" i="21"/>
  <c r="N1106" i="21"/>
  <c r="M1106" i="21"/>
  <c r="L1106" i="21"/>
  <c r="J1106" i="21"/>
  <c r="K1106" i="21" s="1"/>
  <c r="Q1105" i="21"/>
  <c r="P1105" i="21"/>
  <c r="O1105" i="21"/>
  <c r="N1105" i="21"/>
  <c r="M1105" i="21"/>
  <c r="L1105" i="21"/>
  <c r="J1105" i="21"/>
  <c r="K1105" i="21" s="1"/>
  <c r="Q1104" i="21"/>
  <c r="P1104" i="21"/>
  <c r="N1104" i="21"/>
  <c r="M1104" i="21"/>
  <c r="L1104" i="21"/>
  <c r="K1104" i="21"/>
  <c r="J1104" i="21"/>
  <c r="O1104" i="21" s="1"/>
  <c r="Q1103" i="21"/>
  <c r="P1103" i="21"/>
  <c r="O1103" i="21"/>
  <c r="N1103" i="21"/>
  <c r="M1103" i="21"/>
  <c r="L1103" i="21"/>
  <c r="J1103" i="21"/>
  <c r="K1103" i="21" s="1"/>
  <c r="Q1102" i="21"/>
  <c r="P1102" i="21"/>
  <c r="O1102" i="21"/>
  <c r="N1102" i="21"/>
  <c r="M1102" i="21"/>
  <c r="L1102" i="21"/>
  <c r="J1102" i="21"/>
  <c r="K1102" i="21" s="1"/>
  <c r="Q1101" i="21"/>
  <c r="P1101" i="21"/>
  <c r="O1101" i="21"/>
  <c r="N1101" i="21"/>
  <c r="M1101" i="21"/>
  <c r="L1101" i="21"/>
  <c r="J1101" i="21"/>
  <c r="K1101" i="21" s="1"/>
  <c r="Q1100" i="21"/>
  <c r="P1100" i="21"/>
  <c r="N1100" i="21"/>
  <c r="M1100" i="21"/>
  <c r="L1100" i="21"/>
  <c r="K1100" i="21"/>
  <c r="J1100" i="21"/>
  <c r="O1100" i="21" s="1"/>
  <c r="Q1099" i="21"/>
  <c r="P1099" i="21"/>
  <c r="O1099" i="21"/>
  <c r="N1099" i="21"/>
  <c r="M1099" i="21"/>
  <c r="L1099" i="21"/>
  <c r="J1099" i="21"/>
  <c r="K1099" i="21" s="1"/>
  <c r="Q1098" i="21"/>
  <c r="P1098" i="21"/>
  <c r="O1098" i="21"/>
  <c r="N1098" i="21"/>
  <c r="M1098" i="21"/>
  <c r="L1098" i="21"/>
  <c r="J1098" i="21"/>
  <c r="K1098" i="21" s="1"/>
  <c r="Q1097" i="21"/>
  <c r="P1097" i="21"/>
  <c r="O1097" i="21"/>
  <c r="N1097" i="21"/>
  <c r="M1097" i="21"/>
  <c r="L1097" i="21"/>
  <c r="J1097" i="21"/>
  <c r="K1097" i="21" s="1"/>
  <c r="Q1096" i="21"/>
  <c r="P1096" i="21"/>
  <c r="N1096" i="21"/>
  <c r="M1096" i="21"/>
  <c r="L1096" i="21"/>
  <c r="K1096" i="21"/>
  <c r="J1096" i="21"/>
  <c r="O1096" i="21" s="1"/>
  <c r="Q1095" i="21"/>
  <c r="P1095" i="21"/>
  <c r="O1095" i="21"/>
  <c r="N1095" i="21"/>
  <c r="M1095" i="21"/>
  <c r="L1095" i="21"/>
  <c r="J1095" i="21"/>
  <c r="K1095" i="21" s="1"/>
  <c r="Q1094" i="21"/>
  <c r="P1094" i="21"/>
  <c r="O1094" i="21"/>
  <c r="N1094" i="21"/>
  <c r="M1094" i="21"/>
  <c r="L1094" i="21"/>
  <c r="J1094" i="21"/>
  <c r="K1094" i="21" s="1"/>
  <c r="Q1093" i="21"/>
  <c r="P1093" i="21"/>
  <c r="O1093" i="21"/>
  <c r="N1093" i="21"/>
  <c r="M1093" i="21"/>
  <c r="L1093" i="21"/>
  <c r="J1093" i="21"/>
  <c r="K1093" i="21" s="1"/>
  <c r="Q1092" i="21"/>
  <c r="P1092" i="21"/>
  <c r="O1092" i="21"/>
  <c r="M1092" i="21"/>
  <c r="L1092" i="21"/>
  <c r="K1092" i="21"/>
  <c r="J1092" i="21"/>
  <c r="N1092" i="21" s="1"/>
  <c r="Q1091" i="21"/>
  <c r="P1091" i="21"/>
  <c r="O1091" i="21"/>
  <c r="N1091" i="21"/>
  <c r="M1091" i="21"/>
  <c r="L1091" i="21"/>
  <c r="J1091" i="21"/>
  <c r="K1091" i="21" s="1"/>
  <c r="Q1090" i="21"/>
  <c r="P1090" i="21"/>
  <c r="O1090" i="21"/>
  <c r="N1090" i="21"/>
  <c r="M1090" i="21"/>
  <c r="L1090" i="21"/>
  <c r="J1090" i="21"/>
  <c r="K1090" i="21" s="1"/>
  <c r="Q1089" i="21"/>
  <c r="P1089" i="21"/>
  <c r="O1089" i="21"/>
  <c r="N1089" i="21"/>
  <c r="M1089" i="21"/>
  <c r="L1089" i="21"/>
  <c r="J1089" i="21"/>
  <c r="K1089" i="21" s="1"/>
  <c r="Q1088" i="21"/>
  <c r="P1088" i="21"/>
  <c r="O1088" i="21"/>
  <c r="M1088" i="21"/>
  <c r="L1088" i="21"/>
  <c r="K1088" i="21"/>
  <c r="J1088" i="21"/>
  <c r="N1088" i="21" s="1"/>
  <c r="Q1087" i="21"/>
  <c r="P1087" i="21"/>
  <c r="O1087" i="21"/>
  <c r="N1087" i="21"/>
  <c r="M1087" i="21"/>
  <c r="L1087" i="21"/>
  <c r="J1087" i="21"/>
  <c r="K1087" i="21" s="1"/>
  <c r="Q1086" i="21"/>
  <c r="P1086" i="21"/>
  <c r="O1086" i="21"/>
  <c r="N1086" i="21"/>
  <c r="M1086" i="21"/>
  <c r="L1086" i="21"/>
  <c r="J1086" i="21"/>
  <c r="K1086" i="21" s="1"/>
  <c r="Q1085" i="21"/>
  <c r="P1085" i="21"/>
  <c r="N1085" i="21"/>
  <c r="M1085" i="21"/>
  <c r="L1085" i="21"/>
  <c r="K1085" i="21"/>
  <c r="J1085" i="21"/>
  <c r="O1085" i="21" s="1"/>
  <c r="Q1084" i="21"/>
  <c r="P1084" i="21"/>
  <c r="O1084" i="21"/>
  <c r="N1084" i="21"/>
  <c r="M1084" i="21"/>
  <c r="L1084" i="21"/>
  <c r="J1084" i="21"/>
  <c r="K1084" i="21" s="1"/>
  <c r="Q1083" i="21"/>
  <c r="P1083" i="21"/>
  <c r="O1083" i="21"/>
  <c r="N1083" i="21"/>
  <c r="M1083" i="21"/>
  <c r="L1083" i="21"/>
  <c r="J1083" i="21"/>
  <c r="K1083" i="21" s="1"/>
  <c r="Q1082" i="21"/>
  <c r="P1082" i="21"/>
  <c r="N1082" i="21"/>
  <c r="M1082" i="21"/>
  <c r="L1082" i="21"/>
  <c r="K1082" i="21"/>
  <c r="J1082" i="21"/>
  <c r="O1082" i="21" s="1"/>
  <c r="Q1081" i="21"/>
  <c r="P1081" i="21"/>
  <c r="O1081" i="21"/>
  <c r="N1081" i="21"/>
  <c r="M1081" i="21"/>
  <c r="L1081" i="21"/>
  <c r="J1081" i="21"/>
  <c r="K1081" i="21" s="1"/>
  <c r="Q1080" i="21"/>
  <c r="P1080" i="21"/>
  <c r="O1080" i="21"/>
  <c r="N1080" i="21"/>
  <c r="M1080" i="21"/>
  <c r="L1080" i="21"/>
  <c r="J1080" i="21"/>
  <c r="K1080" i="21" s="1"/>
  <c r="Q1079" i="21"/>
  <c r="P1079" i="21"/>
  <c r="O1079" i="21"/>
  <c r="M1079" i="21"/>
  <c r="L1079" i="21"/>
  <c r="K1079" i="21"/>
  <c r="J1079" i="21"/>
  <c r="N1079" i="21" s="1"/>
  <c r="Q1078" i="21"/>
  <c r="P1078" i="21"/>
  <c r="O1078" i="21"/>
  <c r="N1078" i="21"/>
  <c r="M1078" i="21"/>
  <c r="L1078" i="21"/>
  <c r="J1078" i="21"/>
  <c r="K1078" i="21" s="1"/>
  <c r="Q1077" i="21"/>
  <c r="P1077" i="21"/>
  <c r="O1077" i="21"/>
  <c r="N1077" i="21"/>
  <c r="M1077" i="21"/>
  <c r="L1077" i="21"/>
  <c r="J1077" i="21"/>
  <c r="K1077" i="21" s="1"/>
  <c r="Q1076" i="21"/>
  <c r="P1076" i="21"/>
  <c r="O1076" i="21"/>
  <c r="N1076" i="21"/>
  <c r="M1076" i="21"/>
  <c r="L1076" i="21"/>
  <c r="J1076" i="21"/>
  <c r="K1076" i="21" s="1"/>
  <c r="Q1075" i="21"/>
  <c r="P1075" i="21"/>
  <c r="O1075" i="21"/>
  <c r="M1075" i="21"/>
  <c r="L1075" i="21"/>
  <c r="K1075" i="21"/>
  <c r="J1075" i="21"/>
  <c r="N1075" i="21" s="1"/>
  <c r="Q1074" i="21"/>
  <c r="P1074" i="21"/>
  <c r="O1074" i="21"/>
  <c r="N1074" i="21"/>
  <c r="M1074" i="21"/>
  <c r="L1074" i="21"/>
  <c r="J1074" i="21"/>
  <c r="K1074" i="21" s="1"/>
  <c r="Q1073" i="21"/>
  <c r="P1073" i="21"/>
  <c r="O1073" i="21"/>
  <c r="N1073" i="21"/>
  <c r="M1073" i="21"/>
  <c r="L1073" i="21"/>
  <c r="J1073" i="21"/>
  <c r="K1073" i="21" s="1"/>
  <c r="Q1072" i="21"/>
  <c r="P1072" i="21"/>
  <c r="O1072" i="21"/>
  <c r="N1072" i="21"/>
  <c r="M1072" i="21"/>
  <c r="L1072" i="21"/>
  <c r="J1072" i="21"/>
  <c r="K1072" i="21" s="1"/>
  <c r="Q1071" i="21"/>
  <c r="P1071" i="21"/>
  <c r="O1071" i="21"/>
  <c r="M1071" i="21"/>
  <c r="L1071" i="21"/>
  <c r="K1071" i="21"/>
  <c r="J1071" i="21"/>
  <c r="N1071" i="21" s="1"/>
  <c r="Q1070" i="21"/>
  <c r="P1070" i="21"/>
  <c r="O1070" i="21"/>
  <c r="N1070" i="21"/>
  <c r="M1070" i="21"/>
  <c r="L1070" i="21"/>
  <c r="J1070" i="21"/>
  <c r="K1070" i="21" s="1"/>
  <c r="Q1069" i="21"/>
  <c r="P1069" i="21"/>
  <c r="O1069" i="21"/>
  <c r="N1069" i="21"/>
  <c r="M1069" i="21"/>
  <c r="L1069" i="21"/>
  <c r="J1069" i="21"/>
  <c r="K1069" i="21" s="1"/>
  <c r="Q1068" i="21"/>
  <c r="P1068" i="21"/>
  <c r="O1068" i="21"/>
  <c r="M1068" i="21"/>
  <c r="L1068" i="21"/>
  <c r="K1068" i="21"/>
  <c r="J1068" i="21"/>
  <c r="N1068" i="21" s="1"/>
  <c r="Q1067" i="21"/>
  <c r="P1067" i="21"/>
  <c r="O1067" i="21"/>
  <c r="N1067" i="21"/>
  <c r="M1067" i="21"/>
  <c r="L1067" i="21"/>
  <c r="J1067" i="21"/>
  <c r="K1067" i="21" s="1"/>
  <c r="Q1066" i="21"/>
  <c r="P1066" i="21"/>
  <c r="O1066" i="21"/>
  <c r="N1066" i="21"/>
  <c r="M1066" i="21"/>
  <c r="L1066" i="21"/>
  <c r="J1066" i="21"/>
  <c r="K1066" i="21" s="1"/>
  <c r="Q1065" i="21"/>
  <c r="P1065" i="21"/>
  <c r="O1065" i="21"/>
  <c r="N1065" i="21"/>
  <c r="M1065" i="21"/>
  <c r="L1065" i="21"/>
  <c r="J1065" i="21"/>
  <c r="K1065" i="21" s="1"/>
  <c r="Q1064" i="21"/>
  <c r="P1064" i="21"/>
  <c r="O1064" i="21"/>
  <c r="M1064" i="21"/>
  <c r="L1064" i="21"/>
  <c r="K1064" i="21"/>
  <c r="J1064" i="21"/>
  <c r="N1064" i="21" s="1"/>
  <c r="Q1063" i="21"/>
  <c r="P1063" i="21"/>
  <c r="O1063" i="21"/>
  <c r="N1063" i="21"/>
  <c r="M1063" i="21"/>
  <c r="L1063" i="21"/>
  <c r="J1063" i="21"/>
  <c r="K1063" i="21" s="1"/>
  <c r="Q1062" i="21"/>
  <c r="P1062" i="21"/>
  <c r="O1062" i="21"/>
  <c r="N1062" i="21"/>
  <c r="M1062" i="21"/>
  <c r="L1062" i="21"/>
  <c r="J1062" i="21"/>
  <c r="K1062" i="21" s="1"/>
  <c r="Q1061" i="21"/>
  <c r="P1061" i="21"/>
  <c r="O1061" i="21"/>
  <c r="N1061" i="21"/>
  <c r="M1061" i="21"/>
  <c r="L1061" i="21"/>
  <c r="J1061" i="21"/>
  <c r="K1061" i="21" s="1"/>
  <c r="Q1060" i="21"/>
  <c r="P1060" i="21"/>
  <c r="O1060" i="21"/>
  <c r="M1060" i="21"/>
  <c r="L1060" i="21"/>
  <c r="K1060" i="21"/>
  <c r="J1060" i="21"/>
  <c r="N1060" i="21" s="1"/>
  <c r="Q1059" i="21"/>
  <c r="P1059" i="21"/>
  <c r="O1059" i="21"/>
  <c r="N1059" i="21"/>
  <c r="M1059" i="21"/>
  <c r="L1059" i="21"/>
  <c r="J1059" i="21"/>
  <c r="K1059" i="21" s="1"/>
  <c r="Q1058" i="21"/>
  <c r="P1058" i="21"/>
  <c r="O1058" i="21"/>
  <c r="N1058" i="21"/>
  <c r="M1058" i="21"/>
  <c r="L1058" i="21"/>
  <c r="J1058" i="21"/>
  <c r="K1058" i="21" s="1"/>
  <c r="Q1057" i="21"/>
  <c r="P1057" i="21"/>
  <c r="O1057" i="21"/>
  <c r="N1057" i="21"/>
  <c r="M1057" i="21"/>
  <c r="L1057" i="21"/>
  <c r="J1057" i="21"/>
  <c r="K1057" i="21" s="1"/>
  <c r="Q1056" i="21"/>
  <c r="P1056" i="21"/>
  <c r="N1056" i="21"/>
  <c r="M1056" i="21"/>
  <c r="L1056" i="21"/>
  <c r="K1056" i="21"/>
  <c r="J1056" i="21"/>
  <c r="O1056" i="21" s="1"/>
  <c r="Q1055" i="21"/>
  <c r="P1055" i="21"/>
  <c r="O1055" i="21"/>
  <c r="N1055" i="21"/>
  <c r="M1055" i="21"/>
  <c r="L1055" i="21"/>
  <c r="J1055" i="21"/>
  <c r="K1055" i="21" s="1"/>
  <c r="Q1054" i="21"/>
  <c r="P1054" i="21"/>
  <c r="O1054" i="21"/>
  <c r="N1054" i="21"/>
  <c r="M1054" i="21"/>
  <c r="L1054" i="21"/>
  <c r="J1054" i="21"/>
  <c r="K1054" i="21" s="1"/>
  <c r="Q1053" i="21"/>
  <c r="P1053" i="21"/>
  <c r="O1053" i="21"/>
  <c r="N1053" i="21"/>
  <c r="M1053" i="21"/>
  <c r="L1053" i="21"/>
  <c r="J1053" i="21"/>
  <c r="K1053" i="21" s="1"/>
  <c r="Q1052" i="21"/>
  <c r="P1052" i="21"/>
  <c r="N1052" i="21"/>
  <c r="M1052" i="21"/>
  <c r="L1052" i="21"/>
  <c r="K1052" i="21"/>
  <c r="J1052" i="21"/>
  <c r="O1052" i="21" s="1"/>
  <c r="Q1051" i="21"/>
  <c r="P1051" i="21"/>
  <c r="O1051" i="21"/>
  <c r="N1051" i="21"/>
  <c r="M1051" i="21"/>
  <c r="L1051" i="21"/>
  <c r="J1051" i="21"/>
  <c r="K1051" i="21" s="1"/>
  <c r="Q1050" i="21"/>
  <c r="P1050" i="21"/>
  <c r="O1050" i="21"/>
  <c r="N1050" i="21"/>
  <c r="M1050" i="21"/>
  <c r="L1050" i="21"/>
  <c r="J1050" i="21"/>
  <c r="K1050" i="21" s="1"/>
  <c r="Q1049" i="21"/>
  <c r="P1049" i="21"/>
  <c r="O1049" i="21"/>
  <c r="N1049" i="21"/>
  <c r="M1049" i="21"/>
  <c r="L1049" i="21"/>
  <c r="J1049" i="21"/>
  <c r="K1049" i="21" s="1"/>
  <c r="Q1048" i="21"/>
  <c r="P1048" i="21"/>
  <c r="N1048" i="21"/>
  <c r="M1048" i="21"/>
  <c r="L1048" i="21"/>
  <c r="K1048" i="21"/>
  <c r="J1048" i="21"/>
  <c r="O1048" i="21" s="1"/>
  <c r="Q1047" i="21"/>
  <c r="P1047" i="21"/>
  <c r="O1047" i="21"/>
  <c r="N1047" i="21"/>
  <c r="M1047" i="21"/>
  <c r="L1047" i="21"/>
  <c r="J1047" i="21"/>
  <c r="K1047" i="21" s="1"/>
  <c r="Q1046" i="21"/>
  <c r="P1046" i="21"/>
  <c r="O1046" i="21"/>
  <c r="N1046" i="21"/>
  <c r="M1046" i="21"/>
  <c r="L1046" i="21"/>
  <c r="J1046" i="21"/>
  <c r="K1046" i="21" s="1"/>
  <c r="Q1045" i="21"/>
  <c r="P1045" i="21"/>
  <c r="O1045" i="21"/>
  <c r="M1045" i="21"/>
  <c r="L1045" i="21"/>
  <c r="K1045" i="21"/>
  <c r="J1045" i="21"/>
  <c r="N1045" i="21" s="1"/>
  <c r="Q1044" i="21"/>
  <c r="P1044" i="21"/>
  <c r="O1044" i="21"/>
  <c r="N1044" i="21"/>
  <c r="M1044" i="21"/>
  <c r="L1044" i="21"/>
  <c r="J1044" i="21"/>
  <c r="K1044" i="21" s="1"/>
  <c r="Q1043" i="21"/>
  <c r="P1043" i="21"/>
  <c r="O1043" i="21"/>
  <c r="N1043" i="21"/>
  <c r="M1043" i="21"/>
  <c r="L1043" i="21"/>
  <c r="J1043" i="21"/>
  <c r="K1043" i="21" s="1"/>
  <c r="Q1042" i="21"/>
  <c r="P1042" i="21"/>
  <c r="O1042" i="21"/>
  <c r="N1042" i="21"/>
  <c r="M1042" i="21"/>
  <c r="L1042" i="21"/>
  <c r="J1042" i="21"/>
  <c r="K1042" i="21" s="1"/>
  <c r="Q1041" i="21"/>
  <c r="P1041" i="21"/>
  <c r="O1041" i="21"/>
  <c r="M1041" i="21"/>
  <c r="L1041" i="21"/>
  <c r="K1041" i="21"/>
  <c r="J1041" i="21"/>
  <c r="N1041" i="21" s="1"/>
  <c r="Q1040" i="21"/>
  <c r="P1040" i="21"/>
  <c r="O1040" i="21"/>
  <c r="M1040" i="21"/>
  <c r="L1040" i="21"/>
  <c r="K1040" i="21"/>
  <c r="J1040" i="21"/>
  <c r="N1040" i="21" s="1"/>
  <c r="Q1037" i="21"/>
  <c r="P1037" i="21"/>
  <c r="O1037" i="21"/>
  <c r="N1037" i="21"/>
  <c r="M1037" i="21"/>
  <c r="L1037" i="21"/>
  <c r="J1037" i="21"/>
  <c r="K1037" i="21" s="1"/>
  <c r="Q1036" i="21"/>
  <c r="P1036" i="21"/>
  <c r="O1036" i="21"/>
  <c r="N1036" i="21"/>
  <c r="M1036" i="21"/>
  <c r="L1036" i="21"/>
  <c r="J1036" i="21"/>
  <c r="K1036" i="21" s="1"/>
  <c r="Q1035" i="21"/>
  <c r="P1035" i="21"/>
  <c r="O1035" i="21"/>
  <c r="M1035" i="21"/>
  <c r="L1035" i="21"/>
  <c r="K1035" i="21"/>
  <c r="J1035" i="21"/>
  <c r="N1035" i="21" s="1"/>
  <c r="Q1034" i="21"/>
  <c r="P1034" i="21"/>
  <c r="O1034" i="21"/>
  <c r="N1034" i="21"/>
  <c r="M1034" i="21"/>
  <c r="L1034" i="21"/>
  <c r="J1034" i="21"/>
  <c r="K1034" i="21" s="1"/>
  <c r="Q1033" i="21"/>
  <c r="P1033" i="21"/>
  <c r="O1033" i="21"/>
  <c r="N1033" i="21"/>
  <c r="M1033" i="21"/>
  <c r="L1033" i="21"/>
  <c r="J1033" i="21"/>
  <c r="K1033" i="21" s="1"/>
  <c r="Q1032" i="21"/>
  <c r="P1032" i="21"/>
  <c r="O1032" i="21"/>
  <c r="N1032" i="21"/>
  <c r="M1032" i="21"/>
  <c r="L1032" i="21"/>
  <c r="J1032" i="21"/>
  <c r="K1032" i="21" s="1"/>
  <c r="Q1031" i="21"/>
  <c r="P1031" i="21"/>
  <c r="O1031" i="21"/>
  <c r="M1031" i="21"/>
  <c r="L1031" i="21"/>
  <c r="K1031" i="21"/>
  <c r="J1031" i="21"/>
  <c r="N1031" i="21" s="1"/>
  <c r="Q1030" i="21"/>
  <c r="P1030" i="21"/>
  <c r="O1030" i="21"/>
  <c r="N1030" i="21"/>
  <c r="M1030" i="21"/>
  <c r="L1030" i="21"/>
  <c r="J1030" i="21"/>
  <c r="K1030" i="21" s="1"/>
  <c r="Q1029" i="21"/>
  <c r="P1029" i="21"/>
  <c r="O1029" i="21"/>
  <c r="N1029" i="21"/>
  <c r="M1029" i="21"/>
  <c r="L1029" i="21"/>
  <c r="J1029" i="21"/>
  <c r="K1029" i="21" s="1"/>
  <c r="Q1028" i="21"/>
  <c r="P1028" i="21"/>
  <c r="O1028" i="21"/>
  <c r="N1028" i="21"/>
  <c r="M1028" i="21"/>
  <c r="L1028" i="21"/>
  <c r="J1028" i="21"/>
  <c r="K1028" i="21" s="1"/>
  <c r="Q1027" i="21"/>
  <c r="P1027" i="21"/>
  <c r="O1027" i="21"/>
  <c r="M1027" i="21"/>
  <c r="L1027" i="21"/>
  <c r="K1027" i="21"/>
  <c r="J1027" i="21"/>
  <c r="N1027" i="21" s="1"/>
  <c r="Q1024" i="21"/>
  <c r="P1024" i="21"/>
  <c r="O1024" i="21"/>
  <c r="N1024" i="21"/>
  <c r="M1024" i="21"/>
  <c r="L1024" i="21"/>
  <c r="J1024" i="21"/>
  <c r="K1024" i="21" s="1"/>
  <c r="Q1023" i="21"/>
  <c r="P1023" i="21"/>
  <c r="O1023" i="21"/>
  <c r="N1023" i="21"/>
  <c r="M1023" i="21"/>
  <c r="L1023" i="21"/>
  <c r="J1023" i="21"/>
  <c r="K1023" i="21" s="1"/>
  <c r="Q1022" i="21"/>
  <c r="P1022" i="21"/>
  <c r="O1022" i="21"/>
  <c r="N1022" i="21"/>
  <c r="M1022" i="21"/>
  <c r="L1022" i="21"/>
  <c r="J1022" i="21"/>
  <c r="K1022" i="21" s="1"/>
  <c r="Q1021" i="21"/>
  <c r="P1021" i="21"/>
  <c r="O1021" i="21"/>
  <c r="M1021" i="21"/>
  <c r="L1021" i="21"/>
  <c r="K1021" i="21"/>
  <c r="J1021" i="21"/>
  <c r="N1021" i="21" s="1"/>
  <c r="Q1020" i="21"/>
  <c r="P1020" i="21"/>
  <c r="O1020" i="21"/>
  <c r="N1020" i="21"/>
  <c r="M1020" i="21"/>
  <c r="L1020" i="21"/>
  <c r="J1020" i="21"/>
  <c r="K1020" i="21" s="1"/>
  <c r="Q1019" i="21"/>
  <c r="P1019" i="21"/>
  <c r="O1019" i="21"/>
  <c r="N1019" i="21"/>
  <c r="M1019" i="21"/>
  <c r="L1019" i="21"/>
  <c r="J1019" i="21"/>
  <c r="K1019" i="21" s="1"/>
  <c r="Q1018" i="21"/>
  <c r="P1018" i="21"/>
  <c r="O1018" i="21"/>
  <c r="N1018" i="21"/>
  <c r="M1018" i="21"/>
  <c r="L1018" i="21"/>
  <c r="J1018" i="21"/>
  <c r="K1018" i="21" s="1"/>
  <c r="Q1017" i="21"/>
  <c r="P1017" i="21"/>
  <c r="O1017" i="21"/>
  <c r="M1017" i="21"/>
  <c r="L1017" i="21"/>
  <c r="K1017" i="21"/>
  <c r="J1017" i="21"/>
  <c r="N1017" i="21" s="1"/>
  <c r="Q1016" i="21"/>
  <c r="P1016" i="21"/>
  <c r="O1016" i="21"/>
  <c r="N1016" i="21"/>
  <c r="M1016" i="21"/>
  <c r="L1016" i="21"/>
  <c r="J1016" i="21"/>
  <c r="K1016" i="21" s="1"/>
  <c r="Q1015" i="21"/>
  <c r="P1015" i="21"/>
  <c r="O1015" i="21"/>
  <c r="N1015" i="21"/>
  <c r="M1015" i="21"/>
  <c r="L1015" i="21"/>
  <c r="J1015" i="21"/>
  <c r="K1015" i="21" s="1"/>
  <c r="Q1014" i="21"/>
  <c r="P1014" i="21"/>
  <c r="O1014" i="21"/>
  <c r="N1014" i="21"/>
  <c r="M1014" i="21"/>
  <c r="L1014" i="21"/>
  <c r="J1014" i="21"/>
  <c r="K1014" i="21" s="1"/>
  <c r="Q1013" i="21"/>
  <c r="P1013" i="21"/>
  <c r="O1013" i="21"/>
  <c r="M1013" i="21"/>
  <c r="L1013" i="21"/>
  <c r="K1013" i="21"/>
  <c r="J1013" i="21"/>
  <c r="N1013" i="21" s="1"/>
  <c r="Q1012" i="21"/>
  <c r="P1012" i="21"/>
  <c r="O1012" i="21"/>
  <c r="N1012" i="21"/>
  <c r="M1012" i="21"/>
  <c r="L1012" i="21"/>
  <c r="J1012" i="21"/>
  <c r="K1012" i="21" s="1"/>
  <c r="Q1011" i="21"/>
  <c r="P1011" i="21"/>
  <c r="O1011" i="21"/>
  <c r="N1011" i="21"/>
  <c r="M1011" i="21"/>
  <c r="L1011" i="21"/>
  <c r="J1011" i="21"/>
  <c r="K1011" i="21" s="1"/>
  <c r="Q1010" i="21"/>
  <c r="P1010" i="21"/>
  <c r="O1010" i="21"/>
  <c r="N1010" i="21"/>
  <c r="M1010" i="21"/>
  <c r="L1010" i="21"/>
  <c r="J1010" i="21"/>
  <c r="K1010" i="21" s="1"/>
  <c r="Q1009" i="21"/>
  <c r="P1009" i="21"/>
  <c r="O1009" i="21"/>
  <c r="M1009" i="21"/>
  <c r="L1009" i="21"/>
  <c r="K1009" i="21"/>
  <c r="J1009" i="21"/>
  <c r="N1009" i="21" s="1"/>
  <c r="Q1008" i="21"/>
  <c r="P1008" i="21"/>
  <c r="O1008" i="21"/>
  <c r="N1008" i="21"/>
  <c r="M1008" i="21"/>
  <c r="L1008" i="21"/>
  <c r="J1008" i="21"/>
  <c r="K1008" i="21" s="1"/>
  <c r="Q1007" i="21"/>
  <c r="P1007" i="21"/>
  <c r="O1007" i="21"/>
  <c r="N1007" i="21"/>
  <c r="M1007" i="21"/>
  <c r="L1007" i="21"/>
  <c r="J1007" i="21"/>
  <c r="K1007" i="21" s="1"/>
  <c r="P1006" i="21"/>
  <c r="O1006" i="21"/>
  <c r="N1006" i="21"/>
  <c r="M1006" i="21"/>
  <c r="L1006" i="21"/>
  <c r="K1006" i="21"/>
  <c r="J1006" i="21"/>
  <c r="Q1006" i="21" s="1"/>
  <c r="Q1005" i="21"/>
  <c r="P1005" i="21"/>
  <c r="O1005" i="21"/>
  <c r="N1005" i="21"/>
  <c r="M1005" i="21"/>
  <c r="L1005" i="21"/>
  <c r="J1005" i="21"/>
  <c r="K1005" i="21" s="1"/>
  <c r="Q1004" i="21"/>
  <c r="P1004" i="21"/>
  <c r="O1004" i="21"/>
  <c r="N1004" i="21"/>
  <c r="M1004" i="21"/>
  <c r="L1004" i="21"/>
  <c r="J1004" i="21"/>
  <c r="K1004" i="21" s="1"/>
  <c r="Q1003" i="21"/>
  <c r="P1003" i="21"/>
  <c r="O1003" i="21"/>
  <c r="N1003" i="21"/>
  <c r="M1003" i="21"/>
  <c r="L1003" i="21"/>
  <c r="J1003" i="21"/>
  <c r="K1003" i="21" s="1"/>
  <c r="P1002" i="21"/>
  <c r="O1002" i="21"/>
  <c r="N1002" i="21"/>
  <c r="M1002" i="21"/>
  <c r="L1002" i="21"/>
  <c r="K1002" i="21"/>
  <c r="J1002" i="21"/>
  <c r="Q1002" i="21" s="1"/>
  <c r="Q1001" i="21"/>
  <c r="P1001" i="21"/>
  <c r="O1001" i="21"/>
  <c r="N1001" i="21"/>
  <c r="M1001" i="21"/>
  <c r="L1001" i="21"/>
  <c r="J1001" i="21"/>
  <c r="K1001" i="21" s="1"/>
  <c r="Q1000" i="21"/>
  <c r="P1000" i="21"/>
  <c r="O1000" i="21"/>
  <c r="N1000" i="21"/>
  <c r="M1000" i="21"/>
  <c r="L1000" i="21"/>
  <c r="J1000" i="21"/>
  <c r="K1000" i="21" s="1"/>
  <c r="Q999" i="21"/>
  <c r="P999" i="21"/>
  <c r="O999" i="21"/>
  <c r="N999" i="21"/>
  <c r="M999" i="21"/>
  <c r="L999" i="21"/>
  <c r="J999" i="21"/>
  <c r="K999" i="21" s="1"/>
  <c r="P998" i="21"/>
  <c r="O998" i="21"/>
  <c r="N998" i="21"/>
  <c r="M998" i="21"/>
  <c r="L998" i="21"/>
  <c r="K998" i="21"/>
  <c r="J998" i="21"/>
  <c r="Q998" i="21" s="1"/>
  <c r="Q997" i="21"/>
  <c r="P997" i="21"/>
  <c r="O997" i="21"/>
  <c r="N997" i="21"/>
  <c r="M997" i="21"/>
  <c r="L997" i="21"/>
  <c r="J997" i="21"/>
  <c r="K997" i="21" s="1"/>
  <c r="Q996" i="21"/>
  <c r="P996" i="21"/>
  <c r="O996" i="21"/>
  <c r="N996" i="21"/>
  <c r="M996" i="21"/>
  <c r="L996" i="21"/>
  <c r="J996" i="21"/>
  <c r="K996" i="21" s="1"/>
  <c r="Q995" i="21"/>
  <c r="P995" i="21"/>
  <c r="O995" i="21"/>
  <c r="N995" i="21"/>
  <c r="M995" i="21"/>
  <c r="L995" i="21"/>
  <c r="J995" i="21"/>
  <c r="K995" i="21" s="1"/>
  <c r="Q994" i="21"/>
  <c r="O994" i="21"/>
  <c r="N994" i="21"/>
  <c r="M994" i="21"/>
  <c r="L994" i="21"/>
  <c r="K994" i="21"/>
  <c r="J994" i="21"/>
  <c r="P994" i="21" s="1"/>
  <c r="Q993" i="21"/>
  <c r="P993" i="21"/>
  <c r="O993" i="21"/>
  <c r="N993" i="21"/>
  <c r="M993" i="21"/>
  <c r="L993" i="21"/>
  <c r="J993" i="21"/>
  <c r="K993" i="21" s="1"/>
  <c r="Q992" i="21"/>
  <c r="P992" i="21"/>
  <c r="O992" i="21"/>
  <c r="N992" i="21"/>
  <c r="M992" i="21"/>
  <c r="L992" i="21"/>
  <c r="J992" i="21"/>
  <c r="K992" i="21" s="1"/>
  <c r="Q991" i="21"/>
  <c r="P991" i="21"/>
  <c r="O991" i="21"/>
  <c r="N991" i="21"/>
  <c r="M991" i="21"/>
  <c r="L991" i="21"/>
  <c r="J991" i="21"/>
  <c r="K991" i="21" s="1"/>
  <c r="Q990" i="21"/>
  <c r="O990" i="21"/>
  <c r="N990" i="21"/>
  <c r="M990" i="21"/>
  <c r="L990" i="21"/>
  <c r="K990" i="21"/>
  <c r="J990" i="21"/>
  <c r="P990" i="21" s="1"/>
  <c r="Q989" i="21"/>
  <c r="P989" i="21"/>
  <c r="O989" i="21"/>
  <c r="N989" i="21"/>
  <c r="M989" i="21"/>
  <c r="L989" i="21"/>
  <c r="J989" i="21"/>
  <c r="K989" i="21" s="1"/>
  <c r="Q988" i="21"/>
  <c r="P988" i="21"/>
  <c r="O988" i="21"/>
  <c r="N988" i="21"/>
  <c r="M988" i="21"/>
  <c r="L988" i="21"/>
  <c r="J988" i="21"/>
  <c r="K988" i="21" s="1"/>
  <c r="Q987" i="21"/>
  <c r="P987" i="21"/>
  <c r="O987" i="21"/>
  <c r="N987" i="21"/>
  <c r="M987" i="21"/>
  <c r="L987" i="21"/>
  <c r="J987" i="21"/>
  <c r="K987" i="21" s="1"/>
  <c r="Q986" i="21"/>
  <c r="P986" i="21"/>
  <c r="O986" i="21"/>
  <c r="M986" i="21"/>
  <c r="L986" i="21"/>
  <c r="K986" i="21"/>
  <c r="J986" i="21"/>
  <c r="N986" i="21" s="1"/>
  <c r="Q985" i="21"/>
  <c r="P985" i="21"/>
  <c r="O985" i="21"/>
  <c r="N985" i="21"/>
  <c r="M985" i="21"/>
  <c r="L985" i="21"/>
  <c r="J985" i="21"/>
  <c r="K985" i="21" s="1"/>
  <c r="Q984" i="21"/>
  <c r="P984" i="21"/>
  <c r="O984" i="21"/>
  <c r="N984" i="21"/>
  <c r="M984" i="21"/>
  <c r="L984" i="21"/>
  <c r="J984" i="21"/>
  <c r="K984" i="21" s="1"/>
  <c r="Q983" i="21"/>
  <c r="P983" i="21"/>
  <c r="O983" i="21"/>
  <c r="N983" i="21"/>
  <c r="M983" i="21"/>
  <c r="L983" i="21"/>
  <c r="J983" i="21"/>
  <c r="K983" i="21" s="1"/>
  <c r="Q982" i="21"/>
  <c r="P982" i="21"/>
  <c r="O982" i="21"/>
  <c r="M982" i="21"/>
  <c r="L982" i="21"/>
  <c r="K982" i="21"/>
  <c r="J982" i="21"/>
  <c r="N982" i="21" s="1"/>
  <c r="Q981" i="21"/>
  <c r="P981" i="21"/>
  <c r="O981" i="21"/>
  <c r="N981" i="21"/>
  <c r="M981" i="21"/>
  <c r="L981" i="21"/>
  <c r="J981" i="21"/>
  <c r="K981" i="21" s="1"/>
  <c r="Q980" i="21"/>
  <c r="P980" i="21"/>
  <c r="O980" i="21"/>
  <c r="N980" i="21"/>
  <c r="M980" i="21"/>
  <c r="L980" i="21"/>
  <c r="J980" i="21"/>
  <c r="K980" i="21" s="1"/>
  <c r="Q979" i="21"/>
  <c r="P979" i="21"/>
  <c r="N979" i="21"/>
  <c r="M979" i="21"/>
  <c r="L979" i="21"/>
  <c r="K979" i="21"/>
  <c r="J979" i="21"/>
  <c r="O979" i="21" s="1"/>
  <c r="Q978" i="21"/>
  <c r="P978" i="21"/>
  <c r="O978" i="21"/>
  <c r="N978" i="21"/>
  <c r="M978" i="21"/>
  <c r="L978" i="21"/>
  <c r="J978" i="21"/>
  <c r="K978" i="21" s="1"/>
  <c r="Q977" i="21"/>
  <c r="P977" i="21"/>
  <c r="O977" i="21"/>
  <c r="N977" i="21"/>
  <c r="M977" i="21"/>
  <c r="L977" i="21"/>
  <c r="J977" i="21"/>
  <c r="K977" i="21" s="1"/>
  <c r="Q976" i="21"/>
  <c r="P976" i="21"/>
  <c r="O976" i="21"/>
  <c r="N976" i="21"/>
  <c r="M976" i="21"/>
  <c r="L976" i="21"/>
  <c r="J976" i="21"/>
  <c r="K976" i="21" s="1"/>
  <c r="Q975" i="21"/>
  <c r="P975" i="21"/>
  <c r="N975" i="21"/>
  <c r="M975" i="21"/>
  <c r="L975" i="21"/>
  <c r="K975" i="21"/>
  <c r="J975" i="21"/>
  <c r="O975" i="21" s="1"/>
  <c r="Q974" i="21"/>
  <c r="P974" i="21"/>
  <c r="O974" i="21"/>
  <c r="N974" i="21"/>
  <c r="M974" i="21"/>
  <c r="L974" i="21"/>
  <c r="J974" i="21"/>
  <c r="K974" i="21" s="1"/>
  <c r="Q973" i="21"/>
  <c r="P973" i="21"/>
  <c r="O973" i="21"/>
  <c r="N973" i="21"/>
  <c r="M973" i="21"/>
  <c r="L973" i="21"/>
  <c r="J973" i="21"/>
  <c r="K973" i="21" s="1"/>
  <c r="Q972" i="21"/>
  <c r="P972" i="21"/>
  <c r="O972" i="21"/>
  <c r="N972" i="21"/>
  <c r="M972" i="21"/>
  <c r="L972" i="21"/>
  <c r="J972" i="21"/>
  <c r="K972" i="21" s="1"/>
  <c r="Q971" i="21"/>
  <c r="P971" i="21"/>
  <c r="N971" i="21"/>
  <c r="M971" i="21"/>
  <c r="L971" i="21"/>
  <c r="K971" i="21"/>
  <c r="J971" i="21"/>
  <c r="O971" i="21" s="1"/>
  <c r="Q970" i="21"/>
  <c r="P970" i="21"/>
  <c r="O970" i="21"/>
  <c r="N970" i="21"/>
  <c r="M970" i="21"/>
  <c r="L970" i="21"/>
  <c r="J970" i="21"/>
  <c r="K970" i="21" s="1"/>
  <c r="Q969" i="21"/>
  <c r="P969" i="21"/>
  <c r="O969" i="21"/>
  <c r="N969" i="21"/>
  <c r="M969" i="21"/>
  <c r="L969" i="21"/>
  <c r="J969" i="21"/>
  <c r="K969" i="21" s="1"/>
  <c r="Q968" i="21"/>
  <c r="P968" i="21"/>
  <c r="O968" i="21"/>
  <c r="N968" i="21"/>
  <c r="M968" i="21"/>
  <c r="L968" i="21"/>
  <c r="J968" i="21"/>
  <c r="K968" i="21" s="1"/>
  <c r="Q967" i="21"/>
  <c r="P967" i="21"/>
  <c r="N967" i="21"/>
  <c r="M967" i="21"/>
  <c r="L967" i="21"/>
  <c r="K967" i="21"/>
  <c r="J967" i="21"/>
  <c r="O967" i="21" s="1"/>
  <c r="Q966" i="21"/>
  <c r="P966" i="21"/>
  <c r="O966" i="21"/>
  <c r="N966" i="21"/>
  <c r="M966" i="21"/>
  <c r="L966" i="21"/>
  <c r="J966" i="21"/>
  <c r="K966" i="21" s="1"/>
  <c r="Q965" i="21"/>
  <c r="P965" i="21"/>
  <c r="O965" i="21"/>
  <c r="N965" i="21"/>
  <c r="M965" i="21"/>
  <c r="L965" i="21"/>
  <c r="J965" i="21"/>
  <c r="K965" i="21" s="1"/>
  <c r="Q964" i="21"/>
  <c r="P964" i="21"/>
  <c r="O964" i="21"/>
  <c r="N964" i="21"/>
  <c r="M964" i="21"/>
  <c r="L964" i="21"/>
  <c r="J964" i="21"/>
  <c r="K964" i="21" s="1"/>
  <c r="Q963" i="21"/>
  <c r="P963" i="21"/>
  <c r="N963" i="21"/>
  <c r="M963" i="21"/>
  <c r="L963" i="21"/>
  <c r="K963" i="21"/>
  <c r="J963" i="21"/>
  <c r="O963" i="21" s="1"/>
  <c r="Q962" i="21"/>
  <c r="P962" i="21"/>
  <c r="O962" i="21"/>
  <c r="N962" i="21"/>
  <c r="M962" i="21"/>
  <c r="L962" i="21"/>
  <c r="J962" i="21"/>
  <c r="K962" i="21" s="1"/>
  <c r="Q961" i="21"/>
  <c r="P961" i="21"/>
  <c r="O961" i="21"/>
  <c r="N961" i="21"/>
  <c r="M961" i="21"/>
  <c r="L961" i="21"/>
  <c r="J961" i="21"/>
  <c r="K961" i="21" s="1"/>
  <c r="Q960" i="21"/>
  <c r="P960" i="21"/>
  <c r="O960" i="21"/>
  <c r="N960" i="21"/>
  <c r="M960" i="21"/>
  <c r="L960" i="21"/>
  <c r="J960" i="21"/>
  <c r="K960" i="21" s="1"/>
  <c r="Q959" i="21"/>
  <c r="P959" i="21"/>
  <c r="N959" i="21"/>
  <c r="M959" i="21"/>
  <c r="L959" i="21"/>
  <c r="K959" i="21"/>
  <c r="J959" i="21"/>
  <c r="O959" i="21" s="1"/>
  <c r="Q958" i="21"/>
  <c r="P958" i="21"/>
  <c r="O958" i="21"/>
  <c r="N958" i="21"/>
  <c r="M958" i="21"/>
  <c r="L958" i="21"/>
  <c r="J958" i="21"/>
  <c r="K958" i="21" s="1"/>
  <c r="Q957" i="21"/>
  <c r="P957" i="21"/>
  <c r="O957" i="21"/>
  <c r="N957" i="21"/>
  <c r="M957" i="21"/>
  <c r="L957" i="21"/>
  <c r="J957" i="21"/>
  <c r="K957" i="21" s="1"/>
  <c r="Q956" i="21"/>
  <c r="P956" i="21"/>
  <c r="O956" i="21"/>
  <c r="N956" i="21"/>
  <c r="M956" i="21"/>
  <c r="L956" i="21"/>
  <c r="J956" i="21"/>
  <c r="K956" i="21" s="1"/>
  <c r="Q955" i="21"/>
  <c r="P955" i="21"/>
  <c r="N955" i="21"/>
  <c r="M955" i="21"/>
  <c r="L955" i="21"/>
  <c r="K955" i="21"/>
  <c r="J955" i="21"/>
  <c r="O955" i="21" s="1"/>
  <c r="Q954" i="21"/>
  <c r="P954" i="21"/>
  <c r="O954" i="21"/>
  <c r="N954" i="21"/>
  <c r="M954" i="21"/>
  <c r="L954" i="21"/>
  <c r="J954" i="21"/>
  <c r="K954" i="21" s="1"/>
  <c r="Q953" i="21"/>
  <c r="P953" i="21"/>
  <c r="O953" i="21"/>
  <c r="N953" i="21"/>
  <c r="M953" i="21"/>
  <c r="L953" i="21"/>
  <c r="J953" i="21"/>
  <c r="K953" i="21" s="1"/>
  <c r="Q952" i="21"/>
  <c r="P952" i="21"/>
  <c r="O952" i="21"/>
  <c r="N952" i="21"/>
  <c r="M952" i="21"/>
  <c r="L952" i="21"/>
  <c r="J952" i="21"/>
  <c r="K952" i="21" s="1"/>
  <c r="Q951" i="21"/>
  <c r="P951" i="21"/>
  <c r="N951" i="21"/>
  <c r="M951" i="21"/>
  <c r="L951" i="21"/>
  <c r="K951" i="21"/>
  <c r="J951" i="21"/>
  <c r="O951" i="21" s="1"/>
  <c r="Q950" i="21"/>
  <c r="P950" i="21"/>
  <c r="O950" i="21"/>
  <c r="N950" i="21"/>
  <c r="M950" i="21"/>
  <c r="L950" i="21"/>
  <c r="J950" i="21"/>
  <c r="K950" i="21" s="1"/>
  <c r="Q949" i="21"/>
  <c r="P949" i="21"/>
  <c r="O949" i="21"/>
  <c r="N949" i="21"/>
  <c r="M949" i="21"/>
  <c r="L949" i="21"/>
  <c r="J949" i="21"/>
  <c r="K949" i="21" s="1"/>
  <c r="Q948" i="21"/>
  <c r="P948" i="21"/>
  <c r="O948" i="21"/>
  <c r="N948" i="21"/>
  <c r="M948" i="21"/>
  <c r="L948" i="21"/>
  <c r="J948" i="21"/>
  <c r="K948" i="21" s="1"/>
  <c r="Q947" i="21"/>
  <c r="P947" i="21"/>
  <c r="N947" i="21"/>
  <c r="M947" i="21"/>
  <c r="L947" i="21"/>
  <c r="K947" i="21"/>
  <c r="J947" i="21"/>
  <c r="O947" i="21" s="1"/>
  <c r="Q946" i="21"/>
  <c r="P946" i="21"/>
  <c r="O946" i="21"/>
  <c r="N946" i="21"/>
  <c r="M946" i="21"/>
  <c r="L946" i="21"/>
  <c r="J946" i="21"/>
  <c r="K946" i="21" s="1"/>
  <c r="Q945" i="21"/>
  <c r="P945" i="21"/>
  <c r="O945" i="21"/>
  <c r="N945" i="21"/>
  <c r="M945" i="21"/>
  <c r="L945" i="21"/>
  <c r="J945" i="21"/>
  <c r="K945" i="21" s="1"/>
  <c r="Q944" i="21"/>
  <c r="P944" i="21"/>
  <c r="O944" i="21"/>
  <c r="N944" i="21"/>
  <c r="M944" i="21"/>
  <c r="L944" i="21"/>
  <c r="J944" i="21"/>
  <c r="K944" i="21" s="1"/>
  <c r="Q943" i="21"/>
  <c r="P943" i="21"/>
  <c r="N943" i="21"/>
  <c r="M943" i="21"/>
  <c r="L943" i="21"/>
  <c r="K943" i="21"/>
  <c r="J943" i="21"/>
  <c r="O943" i="21" s="1"/>
  <c r="Q942" i="21"/>
  <c r="P942" i="21"/>
  <c r="O942" i="21"/>
  <c r="N942" i="21"/>
  <c r="M942" i="21"/>
  <c r="L942" i="21"/>
  <c r="J942" i="21"/>
  <c r="K942" i="21" s="1"/>
  <c r="Q941" i="21"/>
  <c r="P941" i="21"/>
  <c r="O941" i="21"/>
  <c r="N941" i="21"/>
  <c r="M941" i="21"/>
  <c r="L941" i="21"/>
  <c r="J941" i="21"/>
  <c r="K941" i="21" s="1"/>
  <c r="Q940" i="21"/>
  <c r="P940" i="21"/>
  <c r="O940" i="21"/>
  <c r="N940" i="21"/>
  <c r="M940" i="21"/>
  <c r="L940" i="21"/>
  <c r="J940" i="21"/>
  <c r="K940" i="21" s="1"/>
  <c r="Q939" i="21"/>
  <c r="P939" i="21"/>
  <c r="N939" i="21"/>
  <c r="M939" i="21"/>
  <c r="L939" i="21"/>
  <c r="K939" i="21"/>
  <c r="J939" i="21"/>
  <c r="O939" i="21" s="1"/>
  <c r="Q938" i="21"/>
  <c r="P938" i="21"/>
  <c r="O938" i="21"/>
  <c r="N938" i="21"/>
  <c r="M938" i="21"/>
  <c r="L938" i="21"/>
  <c r="J938" i="21"/>
  <c r="K938" i="21" s="1"/>
  <c r="Q937" i="21"/>
  <c r="P937" i="21"/>
  <c r="O937" i="21"/>
  <c r="N937" i="21"/>
  <c r="M937" i="21"/>
  <c r="L937" i="21"/>
  <c r="J937" i="21"/>
  <c r="K937" i="21" s="1"/>
  <c r="Q936" i="21"/>
  <c r="P936" i="21"/>
  <c r="O936" i="21"/>
  <c r="N936" i="21"/>
  <c r="M936" i="21"/>
  <c r="L936" i="21"/>
  <c r="J936" i="21"/>
  <c r="K936" i="21" s="1"/>
  <c r="Q934" i="21"/>
  <c r="P934" i="21"/>
  <c r="N934" i="21"/>
  <c r="M934" i="21"/>
  <c r="L934" i="21"/>
  <c r="K934" i="21"/>
  <c r="J934" i="21"/>
  <c r="O934" i="21" s="1"/>
  <c r="Q933" i="21"/>
  <c r="P933" i="21"/>
  <c r="O933" i="21"/>
  <c r="N933" i="21"/>
  <c r="M933" i="21"/>
  <c r="L933" i="21"/>
  <c r="J933" i="21"/>
  <c r="K933" i="21" s="1"/>
  <c r="Q932" i="21"/>
  <c r="P932" i="21"/>
  <c r="O932" i="21"/>
  <c r="N932" i="21"/>
  <c r="M932" i="21"/>
  <c r="L932" i="21"/>
  <c r="J932" i="21"/>
  <c r="K932" i="21" s="1"/>
  <c r="Q931" i="21"/>
  <c r="P931" i="21"/>
  <c r="N931" i="21"/>
  <c r="M931" i="21"/>
  <c r="L931" i="21"/>
  <c r="K931" i="21"/>
  <c r="J931" i="21"/>
  <c r="O931" i="21" s="1"/>
  <c r="Q930" i="21"/>
  <c r="P930" i="21"/>
  <c r="N930" i="21"/>
  <c r="M930" i="21"/>
  <c r="L930" i="21"/>
  <c r="J930" i="21"/>
  <c r="O930" i="21" s="1"/>
  <c r="Q929" i="21"/>
  <c r="P929" i="21"/>
  <c r="N929" i="21"/>
  <c r="M929" i="21"/>
  <c r="L929" i="21"/>
  <c r="K929" i="21"/>
  <c r="J929" i="21"/>
  <c r="O929" i="21" s="1"/>
  <c r="Q928" i="21"/>
  <c r="P928" i="21"/>
  <c r="O928" i="21"/>
  <c r="N928" i="21"/>
  <c r="M928" i="21"/>
  <c r="L928" i="21"/>
  <c r="J928" i="21"/>
  <c r="K928" i="21" s="1"/>
  <c r="Q927" i="21"/>
  <c r="P927" i="21"/>
  <c r="O927" i="21"/>
  <c r="N927" i="21"/>
  <c r="M927" i="21"/>
  <c r="L927" i="21"/>
  <c r="J927" i="21"/>
  <c r="K927" i="21" s="1"/>
  <c r="Q926" i="21"/>
  <c r="P926" i="21"/>
  <c r="N926" i="21"/>
  <c r="M926" i="21"/>
  <c r="L926" i="21"/>
  <c r="K926" i="21"/>
  <c r="J926" i="21"/>
  <c r="O926" i="21" s="1"/>
  <c r="Q925" i="21"/>
  <c r="P925" i="21"/>
  <c r="O925" i="21"/>
  <c r="N925" i="21"/>
  <c r="M925" i="21"/>
  <c r="L925" i="21"/>
  <c r="J925" i="21"/>
  <c r="K925" i="21" s="1"/>
  <c r="Q924" i="21"/>
  <c r="P924" i="21"/>
  <c r="N924" i="21"/>
  <c r="M924" i="21"/>
  <c r="L924" i="21"/>
  <c r="K924" i="21"/>
  <c r="J924" i="21"/>
  <c r="O924" i="21" s="1"/>
  <c r="Q923" i="21"/>
  <c r="P923" i="21"/>
  <c r="O923" i="21"/>
  <c r="N923" i="21"/>
  <c r="M923" i="21"/>
  <c r="L923" i="21"/>
  <c r="J923" i="21"/>
  <c r="K923" i="21" s="1"/>
  <c r="Q922" i="21"/>
  <c r="P922" i="21"/>
  <c r="O922" i="21"/>
  <c r="N922" i="21"/>
  <c r="M922" i="21"/>
  <c r="L922" i="21"/>
  <c r="J922" i="21"/>
  <c r="K922" i="21" s="1"/>
  <c r="Q921" i="21"/>
  <c r="P921" i="21"/>
  <c r="N921" i="21"/>
  <c r="M921" i="21"/>
  <c r="L921" i="21"/>
  <c r="K921" i="21"/>
  <c r="J921" i="21"/>
  <c r="O921" i="21" s="1"/>
  <c r="Q920" i="21"/>
  <c r="P920" i="21"/>
  <c r="O920" i="21"/>
  <c r="N920" i="21"/>
  <c r="M920" i="21"/>
  <c r="L920" i="21"/>
  <c r="J920" i="21"/>
  <c r="K920" i="21" s="1"/>
  <c r="P919" i="21"/>
  <c r="O919" i="21"/>
  <c r="N919" i="21"/>
  <c r="M919" i="21"/>
  <c r="L919" i="21"/>
  <c r="K919" i="21"/>
  <c r="J919" i="21"/>
  <c r="Q919" i="21" s="1"/>
  <c r="Q918" i="21"/>
  <c r="P918" i="21"/>
  <c r="O918" i="21"/>
  <c r="N918" i="21"/>
  <c r="M918" i="21"/>
  <c r="L918" i="21"/>
  <c r="J918" i="21"/>
  <c r="K918" i="21" s="1"/>
  <c r="Q917" i="21"/>
  <c r="P917" i="21"/>
  <c r="O917" i="21"/>
  <c r="N917" i="21"/>
  <c r="M917" i="21"/>
  <c r="L917" i="21"/>
  <c r="J917" i="21"/>
  <c r="K917" i="21" s="1"/>
  <c r="Q916" i="21"/>
  <c r="P916" i="21"/>
  <c r="O916" i="21"/>
  <c r="N916" i="21"/>
  <c r="M916" i="21"/>
  <c r="L916" i="21"/>
  <c r="J916" i="21"/>
  <c r="K916" i="21" s="1"/>
  <c r="P915" i="21"/>
  <c r="O915" i="21"/>
  <c r="N915" i="21"/>
  <c r="M915" i="21"/>
  <c r="L915" i="21"/>
  <c r="K915" i="21"/>
  <c r="J915" i="21"/>
  <c r="Q915" i="21" s="1"/>
  <c r="Q914" i="21"/>
  <c r="P914" i="21"/>
  <c r="O914" i="21"/>
  <c r="N914" i="21"/>
  <c r="M914" i="21"/>
  <c r="L914" i="21"/>
  <c r="J914" i="21"/>
  <c r="K914" i="21" s="1"/>
  <c r="Q913" i="21"/>
  <c r="P913" i="21"/>
  <c r="O913" i="21"/>
  <c r="N913" i="21"/>
  <c r="M913" i="21"/>
  <c r="L913" i="21"/>
  <c r="J913" i="21"/>
  <c r="K913" i="21" s="1"/>
  <c r="Q912" i="21"/>
  <c r="P912" i="21"/>
  <c r="O912" i="21"/>
  <c r="N912" i="21"/>
  <c r="M912" i="21"/>
  <c r="L912" i="21"/>
  <c r="J912" i="21"/>
  <c r="K912" i="21" s="1"/>
  <c r="P911" i="21"/>
  <c r="O911" i="21"/>
  <c r="N911" i="21"/>
  <c r="M911" i="21"/>
  <c r="L911" i="21"/>
  <c r="K911" i="21"/>
  <c r="J911" i="21"/>
  <c r="Q911" i="21" s="1"/>
  <c r="Q910" i="21"/>
  <c r="P910" i="21"/>
  <c r="O910" i="21"/>
  <c r="N910" i="21"/>
  <c r="M910" i="21"/>
  <c r="L910" i="21"/>
  <c r="J910" i="21"/>
  <c r="K910" i="21" s="1"/>
  <c r="Q909" i="21"/>
  <c r="P909" i="21"/>
  <c r="O909" i="21"/>
  <c r="N909" i="21"/>
  <c r="M909" i="21"/>
  <c r="L909" i="21"/>
  <c r="J909" i="21"/>
  <c r="K909" i="21" s="1"/>
  <c r="Q908" i="21"/>
  <c r="P908" i="21"/>
  <c r="O908" i="21"/>
  <c r="N908" i="21"/>
  <c r="M908" i="21"/>
  <c r="L908" i="21"/>
  <c r="J908" i="21"/>
  <c r="K908" i="21" s="1"/>
  <c r="Q907" i="21"/>
  <c r="P907" i="21"/>
  <c r="O907" i="21"/>
  <c r="N907" i="21"/>
  <c r="M907" i="21"/>
  <c r="L907" i="21"/>
  <c r="K907" i="21"/>
  <c r="Q906" i="21"/>
  <c r="P906" i="21"/>
  <c r="O906" i="21"/>
  <c r="N906" i="21"/>
  <c r="M906" i="21"/>
  <c r="L906" i="21"/>
  <c r="K906" i="21"/>
  <c r="Q905" i="21"/>
  <c r="P905" i="21"/>
  <c r="O905" i="21"/>
  <c r="N905" i="21"/>
  <c r="M905" i="21"/>
  <c r="L905" i="21"/>
  <c r="K905" i="21"/>
  <c r="Q904" i="21"/>
  <c r="P904" i="21"/>
  <c r="O904" i="21"/>
  <c r="N904" i="21"/>
  <c r="M904" i="21"/>
  <c r="L904" i="21"/>
  <c r="K904" i="21"/>
  <c r="Q901" i="21"/>
  <c r="P901" i="21"/>
  <c r="O901" i="21"/>
  <c r="M901" i="21"/>
  <c r="L901" i="21"/>
  <c r="K901" i="21"/>
  <c r="J901" i="21"/>
  <c r="N901" i="21" s="1"/>
  <c r="Q900" i="21"/>
  <c r="P900" i="21"/>
  <c r="O900" i="21"/>
  <c r="N900" i="21"/>
  <c r="M900" i="21"/>
  <c r="L900" i="21"/>
  <c r="J900" i="21"/>
  <c r="K900" i="21" s="1"/>
  <c r="Q899" i="21"/>
  <c r="P899" i="21"/>
  <c r="O899" i="21"/>
  <c r="N899" i="21"/>
  <c r="M899" i="21"/>
  <c r="L899" i="21"/>
  <c r="J899" i="21"/>
  <c r="K899" i="21" s="1"/>
  <c r="Q898" i="21"/>
  <c r="P898" i="21"/>
  <c r="O898" i="21"/>
  <c r="N898" i="21"/>
  <c r="M898" i="21"/>
  <c r="L898" i="21"/>
  <c r="J898" i="21"/>
  <c r="K898" i="21" s="1"/>
  <c r="Q897" i="21"/>
  <c r="P897" i="21"/>
  <c r="O897" i="21"/>
  <c r="M897" i="21"/>
  <c r="L897" i="21"/>
  <c r="K897" i="21"/>
  <c r="J897" i="21"/>
  <c r="N897" i="21" s="1"/>
  <c r="Q896" i="21"/>
  <c r="P896" i="21"/>
  <c r="O896" i="21"/>
  <c r="N896" i="21"/>
  <c r="M896" i="21"/>
  <c r="L896" i="21"/>
  <c r="J896" i="21"/>
  <c r="K896" i="21" s="1"/>
  <c r="Q895" i="21"/>
  <c r="P895" i="21"/>
  <c r="O895" i="21"/>
  <c r="N895" i="21"/>
  <c r="M895" i="21"/>
  <c r="L895" i="21"/>
  <c r="J895" i="21"/>
  <c r="K895" i="21" s="1"/>
  <c r="Q894" i="21"/>
  <c r="P894" i="21"/>
  <c r="O894" i="21"/>
  <c r="N894" i="21"/>
  <c r="M894" i="21"/>
  <c r="L894" i="21"/>
  <c r="J894" i="21"/>
  <c r="K894" i="21" s="1"/>
  <c r="Q893" i="21"/>
  <c r="O893" i="21"/>
  <c r="N893" i="21"/>
  <c r="M893" i="21"/>
  <c r="L893" i="21"/>
  <c r="K893" i="21"/>
  <c r="J893" i="21"/>
  <c r="P893" i="21" s="1"/>
  <c r="Q892" i="21"/>
  <c r="P892" i="21"/>
  <c r="O892" i="21"/>
  <c r="N892" i="21"/>
  <c r="M892" i="21"/>
  <c r="L892" i="21"/>
  <c r="J892" i="21"/>
  <c r="K892" i="21" s="1"/>
  <c r="Q891" i="21"/>
  <c r="P891" i="21"/>
  <c r="O891" i="21"/>
  <c r="N891" i="21"/>
  <c r="M891" i="21"/>
  <c r="L891" i="21"/>
  <c r="J891" i="21"/>
  <c r="K891" i="21" s="1"/>
  <c r="Q890" i="21"/>
  <c r="P890" i="21"/>
  <c r="O890" i="21"/>
  <c r="N890" i="21"/>
  <c r="M890" i="21"/>
  <c r="L890" i="21"/>
  <c r="J890" i="21"/>
  <c r="K890" i="21" s="1"/>
  <c r="Q889" i="21"/>
  <c r="O889" i="21"/>
  <c r="N889" i="21"/>
  <c r="M889" i="21"/>
  <c r="L889" i="21"/>
  <c r="K889" i="21"/>
  <c r="J889" i="21"/>
  <c r="P889" i="21" s="1"/>
  <c r="Q888" i="21"/>
  <c r="P888" i="21"/>
  <c r="O888" i="21"/>
  <c r="N888" i="21"/>
  <c r="M888" i="21"/>
  <c r="L888" i="21"/>
  <c r="J888" i="21"/>
  <c r="K888" i="21" s="1"/>
  <c r="Q887" i="21"/>
  <c r="P887" i="21"/>
  <c r="O887" i="21"/>
  <c r="N887" i="21"/>
  <c r="M887" i="21"/>
  <c r="L887" i="21"/>
  <c r="J887" i="21"/>
  <c r="K887" i="21" s="1"/>
  <c r="Q886" i="21"/>
  <c r="P886" i="21"/>
  <c r="O886" i="21"/>
  <c r="N886" i="21"/>
  <c r="M886" i="21"/>
  <c r="L886" i="21"/>
  <c r="J886" i="21"/>
  <c r="K886" i="21" s="1"/>
  <c r="Q885" i="21"/>
  <c r="O885" i="21"/>
  <c r="N885" i="21"/>
  <c r="M885" i="21"/>
  <c r="L885" i="21"/>
  <c r="K885" i="21"/>
  <c r="J885" i="21"/>
  <c r="P885" i="21" s="1"/>
  <c r="Q884" i="21"/>
  <c r="P884" i="21"/>
  <c r="O884" i="21"/>
  <c r="N884" i="21"/>
  <c r="M884" i="21"/>
  <c r="L884" i="21"/>
  <c r="J884" i="21"/>
  <c r="K884" i="21" s="1"/>
  <c r="Q883" i="21"/>
  <c r="P883" i="21"/>
  <c r="O883" i="21"/>
  <c r="N883" i="21"/>
  <c r="M883" i="21"/>
  <c r="L883" i="21"/>
  <c r="J883" i="21"/>
  <c r="K883" i="21" s="1"/>
  <c r="Q882" i="21"/>
  <c r="P882" i="21"/>
  <c r="O882" i="21"/>
  <c r="N882" i="21"/>
  <c r="M882" i="21"/>
  <c r="L882" i="21"/>
  <c r="J882" i="21"/>
  <c r="K882" i="21" s="1"/>
  <c r="P881" i="21"/>
  <c r="O881" i="21"/>
  <c r="N881" i="21"/>
  <c r="M881" i="21"/>
  <c r="L881" i="21"/>
  <c r="K881" i="21"/>
  <c r="J881" i="21"/>
  <c r="Q881" i="21" s="1"/>
  <c r="Q880" i="21"/>
  <c r="P880" i="21"/>
  <c r="O880" i="21"/>
  <c r="N880" i="21"/>
  <c r="M880" i="21"/>
  <c r="L880" i="21"/>
  <c r="J880" i="21"/>
  <c r="K880" i="21" s="1"/>
  <c r="Q879" i="21"/>
  <c r="P879" i="21"/>
  <c r="O879" i="21"/>
  <c r="N879" i="21"/>
  <c r="M879" i="21"/>
  <c r="L879" i="21"/>
  <c r="J879" i="21"/>
  <c r="K879" i="21" s="1"/>
  <c r="Q878" i="21"/>
  <c r="P878" i="21"/>
  <c r="O878" i="21"/>
  <c r="N878" i="21"/>
  <c r="M878" i="21"/>
  <c r="L878" i="21"/>
  <c r="J878" i="21"/>
  <c r="K878" i="21" s="1"/>
  <c r="P877" i="21"/>
  <c r="O877" i="21"/>
  <c r="N877" i="21"/>
  <c r="M877" i="21"/>
  <c r="L877" i="21"/>
  <c r="K877" i="21"/>
  <c r="J877" i="21"/>
  <c r="Q877" i="21" s="1"/>
  <c r="Q876" i="21"/>
  <c r="P876" i="21"/>
  <c r="O876" i="21"/>
  <c r="N876" i="21"/>
  <c r="M876" i="21"/>
  <c r="L876" i="21"/>
  <c r="J876" i="21"/>
  <c r="K876" i="21" s="1"/>
  <c r="Q875" i="21"/>
  <c r="P875" i="21"/>
  <c r="O875" i="21"/>
  <c r="N875" i="21"/>
  <c r="M875" i="21"/>
  <c r="L875" i="21"/>
  <c r="J875" i="21"/>
  <c r="K875" i="21" s="1"/>
  <c r="Q874" i="21"/>
  <c r="P874" i="21"/>
  <c r="O874" i="21"/>
  <c r="N874" i="21"/>
  <c r="M874" i="21"/>
  <c r="L874" i="21"/>
  <c r="J874" i="21"/>
  <c r="K874" i="21" s="1"/>
  <c r="P873" i="21"/>
  <c r="O873" i="21"/>
  <c r="N873" i="21"/>
  <c r="M873" i="21"/>
  <c r="L873" i="21"/>
  <c r="K873" i="21"/>
  <c r="J873" i="21"/>
  <c r="Q873" i="21" s="1"/>
  <c r="Q872" i="21"/>
  <c r="P872" i="21"/>
  <c r="O872" i="21"/>
  <c r="N872" i="21"/>
  <c r="M872" i="21"/>
  <c r="L872" i="21"/>
  <c r="J872" i="21"/>
  <c r="K872" i="21" s="1"/>
  <c r="Q871" i="21"/>
  <c r="P871" i="21"/>
  <c r="O871" i="21"/>
  <c r="N871" i="21"/>
  <c r="M871" i="21"/>
  <c r="L871" i="21"/>
  <c r="J871" i="21"/>
  <c r="K871" i="21" s="1"/>
  <c r="Q870" i="21"/>
  <c r="P870" i="21"/>
  <c r="O870" i="21"/>
  <c r="N870" i="21"/>
  <c r="M870" i="21"/>
  <c r="L870" i="21"/>
  <c r="J870" i="21"/>
  <c r="K870" i="21" s="1"/>
  <c r="Q869" i="21"/>
  <c r="P869" i="21"/>
  <c r="N869" i="21"/>
  <c r="M869" i="21"/>
  <c r="L869" i="21"/>
  <c r="K869" i="21"/>
  <c r="J869" i="21"/>
  <c r="O869" i="21" s="1"/>
  <c r="Q868" i="21"/>
  <c r="P868" i="21"/>
  <c r="O868" i="21"/>
  <c r="N868" i="21"/>
  <c r="M868" i="21"/>
  <c r="L868" i="21"/>
  <c r="J868" i="21"/>
  <c r="K868" i="21" s="1"/>
  <c r="Q867" i="21"/>
  <c r="P867" i="21"/>
  <c r="O867" i="21"/>
  <c r="N867" i="21"/>
  <c r="M867" i="21"/>
  <c r="L867" i="21"/>
  <c r="J867" i="21"/>
  <c r="K867" i="21" s="1"/>
  <c r="Q866" i="21"/>
  <c r="P866" i="21"/>
  <c r="O866" i="21"/>
  <c r="N866" i="21"/>
  <c r="M866" i="21"/>
  <c r="L866" i="21"/>
  <c r="J866" i="21"/>
  <c r="K866" i="21" s="1"/>
  <c r="Q865" i="21"/>
  <c r="P865" i="21"/>
  <c r="N865" i="21"/>
  <c r="M865" i="21"/>
  <c r="L865" i="21"/>
  <c r="K865" i="21"/>
  <c r="J865" i="21"/>
  <c r="O865" i="21" s="1"/>
  <c r="Q864" i="21"/>
  <c r="P864" i="21"/>
  <c r="O864" i="21"/>
  <c r="N864" i="21"/>
  <c r="M864" i="21"/>
  <c r="L864" i="21"/>
  <c r="J864" i="21"/>
  <c r="K864" i="21" s="1"/>
  <c r="Q863" i="21"/>
  <c r="P863" i="21"/>
  <c r="O863" i="21"/>
  <c r="N863" i="21"/>
  <c r="M863" i="21"/>
  <c r="L863" i="21"/>
  <c r="J863" i="21"/>
  <c r="K863" i="21" s="1"/>
  <c r="Q862" i="21"/>
  <c r="P862" i="21"/>
  <c r="O862" i="21"/>
  <c r="N862" i="21"/>
  <c r="M862" i="21"/>
  <c r="L862" i="21"/>
  <c r="J862" i="21"/>
  <c r="K862" i="21" s="1"/>
  <c r="Q861" i="21"/>
  <c r="P861" i="21"/>
  <c r="N861" i="21"/>
  <c r="M861" i="21"/>
  <c r="L861" i="21"/>
  <c r="K861" i="21"/>
  <c r="J861" i="21"/>
  <c r="O861" i="21" s="1"/>
  <c r="Q860" i="21"/>
  <c r="P860" i="21"/>
  <c r="O860" i="21"/>
  <c r="N860" i="21"/>
  <c r="M860" i="21"/>
  <c r="L860" i="21"/>
  <c r="J860" i="21"/>
  <c r="K860" i="21" s="1"/>
  <c r="Q859" i="21"/>
  <c r="P859" i="21"/>
  <c r="O859" i="21"/>
  <c r="N859" i="21"/>
  <c r="M859" i="21"/>
  <c r="L859" i="21"/>
  <c r="J859" i="21"/>
  <c r="K859" i="21" s="1"/>
  <c r="Q858" i="21"/>
  <c r="P858" i="21"/>
  <c r="O858" i="21"/>
  <c r="N858" i="21"/>
  <c r="M858" i="21"/>
  <c r="L858" i="21"/>
  <c r="J858" i="21"/>
  <c r="K858" i="21" s="1"/>
  <c r="Q857" i="21"/>
  <c r="P857" i="21"/>
  <c r="N857" i="21"/>
  <c r="M857" i="21"/>
  <c r="L857" i="21"/>
  <c r="K857" i="21"/>
  <c r="J857" i="21"/>
  <c r="O857" i="21" s="1"/>
  <c r="Q856" i="21"/>
  <c r="P856" i="21"/>
  <c r="O856" i="21"/>
  <c r="N856" i="21"/>
  <c r="M856" i="21"/>
  <c r="L856" i="21"/>
  <c r="J856" i="21"/>
  <c r="K856" i="21" s="1"/>
  <c r="Q855" i="21"/>
  <c r="P855" i="21"/>
  <c r="O855" i="21"/>
  <c r="N855" i="21"/>
  <c r="M855" i="21"/>
  <c r="L855" i="21"/>
  <c r="J855" i="21"/>
  <c r="K855" i="21" s="1"/>
  <c r="Q854" i="21"/>
  <c r="P854" i="21"/>
  <c r="O854" i="21"/>
  <c r="N854" i="21"/>
  <c r="M854" i="21"/>
  <c r="L854" i="21"/>
  <c r="J854" i="21"/>
  <c r="K854" i="21" s="1"/>
  <c r="Q853" i="21"/>
  <c r="P853" i="21"/>
  <c r="N853" i="21"/>
  <c r="M853" i="21"/>
  <c r="L853" i="21"/>
  <c r="K853" i="21"/>
  <c r="J853" i="21"/>
  <c r="O853" i="21" s="1"/>
  <c r="Q852" i="21"/>
  <c r="P852" i="21"/>
  <c r="O852" i="21"/>
  <c r="N852" i="21"/>
  <c r="M852" i="21"/>
  <c r="L852" i="21"/>
  <c r="J852" i="21"/>
  <c r="K852" i="21" s="1"/>
  <c r="Q851" i="21"/>
  <c r="P851" i="21"/>
  <c r="O851" i="21"/>
  <c r="N851" i="21"/>
  <c r="M851" i="21"/>
  <c r="L851" i="21"/>
  <c r="J851" i="21"/>
  <c r="K851" i="21" s="1"/>
  <c r="Q850" i="21"/>
  <c r="P850" i="21"/>
  <c r="O850" i="21"/>
  <c r="N850" i="21"/>
  <c r="M850" i="21"/>
  <c r="L850" i="21"/>
  <c r="J850" i="21"/>
  <c r="K850" i="21" s="1"/>
  <c r="Q849" i="21"/>
  <c r="P849" i="21"/>
  <c r="N849" i="21"/>
  <c r="M849" i="21"/>
  <c r="L849" i="21"/>
  <c r="K849" i="21"/>
  <c r="J849" i="21"/>
  <c r="O849" i="21" s="1"/>
  <c r="Q848" i="21"/>
  <c r="P848" i="21"/>
  <c r="O848" i="21"/>
  <c r="N848" i="21"/>
  <c r="M848" i="21"/>
  <c r="L848" i="21"/>
  <c r="J848" i="21"/>
  <c r="K848" i="21" s="1"/>
  <c r="Q847" i="21"/>
  <c r="P847" i="21"/>
  <c r="O847" i="21"/>
  <c r="N847" i="21"/>
  <c r="M847" i="21"/>
  <c r="L847" i="21"/>
  <c r="J847" i="21"/>
  <c r="K847" i="21" s="1"/>
  <c r="Q846" i="21"/>
  <c r="P846" i="21"/>
  <c r="O846" i="21"/>
  <c r="N846" i="21"/>
  <c r="M846" i="21"/>
  <c r="L846" i="21"/>
  <c r="J846" i="21"/>
  <c r="K846" i="21" s="1"/>
  <c r="Q845" i="21"/>
  <c r="P845" i="21"/>
  <c r="N845" i="21"/>
  <c r="M845" i="21"/>
  <c r="L845" i="21"/>
  <c r="K845" i="21"/>
  <c r="J845" i="21"/>
  <c r="O845" i="21" s="1"/>
  <c r="Q844" i="21"/>
  <c r="P844" i="21"/>
  <c r="O844" i="21"/>
  <c r="N844" i="21"/>
  <c r="M844" i="21"/>
  <c r="L844" i="21"/>
  <c r="J844" i="21"/>
  <c r="K844" i="21" s="1"/>
  <c r="Q843" i="21"/>
  <c r="P843" i="21"/>
  <c r="O843" i="21"/>
  <c r="N843" i="21"/>
  <c r="M843" i="21"/>
  <c r="L843" i="21"/>
  <c r="J843" i="21"/>
  <c r="K843" i="21" s="1"/>
  <c r="Q842" i="21"/>
  <c r="P842" i="21"/>
  <c r="O842" i="21"/>
  <c r="N842" i="21"/>
  <c r="M842" i="21"/>
  <c r="L842" i="21"/>
  <c r="J842" i="21"/>
  <c r="K842" i="21" s="1"/>
  <c r="Q841" i="21"/>
  <c r="P841" i="21"/>
  <c r="N841" i="21"/>
  <c r="M841" i="21"/>
  <c r="L841" i="21"/>
  <c r="K841" i="21"/>
  <c r="J841" i="21"/>
  <c r="O841" i="21" s="1"/>
  <c r="Q840" i="21"/>
  <c r="P840" i="21"/>
  <c r="O840" i="21"/>
  <c r="N840" i="21"/>
  <c r="M840" i="21"/>
  <c r="L840" i="21"/>
  <c r="J840" i="21"/>
  <c r="K840" i="21" s="1"/>
  <c r="Q839" i="21"/>
  <c r="P839" i="21"/>
  <c r="O839" i="21"/>
  <c r="N839" i="21"/>
  <c r="M839" i="21"/>
  <c r="L839" i="21"/>
  <c r="J839" i="21"/>
  <c r="K839" i="21" s="1"/>
  <c r="Q838" i="21"/>
  <c r="P838" i="21"/>
  <c r="O838" i="21"/>
  <c r="N838" i="21"/>
  <c r="M838" i="21"/>
  <c r="L838" i="21"/>
  <c r="J838" i="21"/>
  <c r="K838" i="21" s="1"/>
  <c r="Q837" i="21"/>
  <c r="P837" i="21"/>
  <c r="N837" i="21"/>
  <c r="M837" i="21"/>
  <c r="L837" i="21"/>
  <c r="K837" i="21"/>
  <c r="J837" i="21"/>
  <c r="O837" i="21" s="1"/>
  <c r="Q836" i="21"/>
  <c r="P836" i="21"/>
  <c r="O836" i="21"/>
  <c r="N836" i="21"/>
  <c r="M836" i="21"/>
  <c r="L836" i="21"/>
  <c r="J836" i="21"/>
  <c r="K836" i="21" s="1"/>
  <c r="Q835" i="21"/>
  <c r="P835" i="21"/>
  <c r="O835" i="21"/>
  <c r="N835" i="21"/>
  <c r="M835" i="21"/>
  <c r="L835" i="21"/>
  <c r="J835" i="21"/>
  <c r="K835" i="21" s="1"/>
  <c r="Q834" i="21"/>
  <c r="P834" i="21"/>
  <c r="O834" i="21"/>
  <c r="N834" i="21"/>
  <c r="M834" i="21"/>
  <c r="L834" i="21"/>
  <c r="J834" i="21"/>
  <c r="K834" i="21" s="1"/>
  <c r="Q833" i="21"/>
  <c r="P833" i="21"/>
  <c r="O833" i="21"/>
  <c r="M833" i="21"/>
  <c r="L833" i="21"/>
  <c r="K833" i="21"/>
  <c r="J833" i="21"/>
  <c r="N833" i="21" s="1"/>
  <c r="Q832" i="21"/>
  <c r="P832" i="21"/>
  <c r="O832" i="21"/>
  <c r="N832" i="21"/>
  <c r="M832" i="21"/>
  <c r="L832" i="21"/>
  <c r="J832" i="21"/>
  <c r="K832" i="21" s="1"/>
  <c r="Q831" i="21"/>
  <c r="P831" i="21"/>
  <c r="O831" i="21"/>
  <c r="N831" i="21"/>
  <c r="M831" i="21"/>
  <c r="L831" i="21"/>
  <c r="J831" i="21"/>
  <c r="K831" i="21" s="1"/>
  <c r="Q830" i="21"/>
  <c r="P830" i="21"/>
  <c r="O830" i="21"/>
  <c r="N830" i="21"/>
  <c r="M830" i="21"/>
  <c r="L830" i="21"/>
  <c r="J830" i="21"/>
  <c r="K830" i="21" s="1"/>
  <c r="Q829" i="21"/>
  <c r="P829" i="21"/>
  <c r="O829" i="21"/>
  <c r="M829" i="21"/>
  <c r="L829" i="21"/>
  <c r="K829" i="21"/>
  <c r="J829" i="21"/>
  <c r="N829" i="21" s="1"/>
  <c r="Q828" i="21"/>
  <c r="P828" i="21"/>
  <c r="O828" i="21"/>
  <c r="N828" i="21"/>
  <c r="M828" i="21"/>
  <c r="L828" i="21"/>
  <c r="J828" i="21"/>
  <c r="K828" i="21" s="1"/>
  <c r="Q827" i="21"/>
  <c r="P827" i="21"/>
  <c r="O827" i="21"/>
  <c r="N827" i="21"/>
  <c r="M827" i="21"/>
  <c r="L827" i="21"/>
  <c r="J827" i="21"/>
  <c r="K827" i="21" s="1"/>
  <c r="Q826" i="21"/>
  <c r="P826" i="21"/>
  <c r="O826" i="21"/>
  <c r="N826" i="21"/>
  <c r="M826" i="21"/>
  <c r="L826" i="21"/>
  <c r="J826" i="21"/>
  <c r="K826" i="21" s="1"/>
  <c r="Q825" i="21"/>
  <c r="P825" i="21"/>
  <c r="N825" i="21"/>
  <c r="M825" i="21"/>
  <c r="L825" i="21"/>
  <c r="K825" i="21"/>
  <c r="J825" i="21"/>
  <c r="O825" i="21" s="1"/>
  <c r="Q824" i="21"/>
  <c r="P824" i="21"/>
  <c r="O824" i="21"/>
  <c r="N824" i="21"/>
  <c r="M824" i="21"/>
  <c r="L824" i="21"/>
  <c r="J824" i="21"/>
  <c r="K824" i="21" s="1"/>
  <c r="Q823" i="21"/>
  <c r="P823" i="21"/>
  <c r="O823" i="21"/>
  <c r="N823" i="21"/>
  <c r="M823" i="21"/>
  <c r="L823" i="21"/>
  <c r="J823" i="21"/>
  <c r="K823" i="21" s="1"/>
  <c r="Q822" i="21"/>
  <c r="P822" i="21"/>
  <c r="O822" i="21"/>
  <c r="N822" i="21"/>
  <c r="M822" i="21"/>
  <c r="L822" i="21"/>
  <c r="J822" i="21"/>
  <c r="K822" i="21" s="1"/>
  <c r="Q821" i="21"/>
  <c r="P821" i="21"/>
  <c r="N821" i="21"/>
  <c r="M821" i="21"/>
  <c r="L821" i="21"/>
  <c r="K821" i="21"/>
  <c r="J821" i="21"/>
  <c r="O821" i="21" s="1"/>
  <c r="Q820" i="21"/>
  <c r="P820" i="21"/>
  <c r="O820" i="21"/>
  <c r="N820" i="21"/>
  <c r="M820" i="21"/>
  <c r="L820" i="21"/>
  <c r="J820" i="21"/>
  <c r="K820" i="21" s="1"/>
  <c r="Q819" i="21"/>
  <c r="P819" i="21"/>
  <c r="O819" i="21"/>
  <c r="N819" i="21"/>
  <c r="M819" i="21"/>
  <c r="L819" i="21"/>
  <c r="J819" i="21"/>
  <c r="K819" i="21" s="1"/>
  <c r="Q818" i="21"/>
  <c r="P818" i="21"/>
  <c r="O818" i="21"/>
  <c r="N818" i="21"/>
  <c r="M818" i="21"/>
  <c r="L818" i="21"/>
  <c r="J818" i="21"/>
  <c r="K818" i="21" s="1"/>
  <c r="Q817" i="21"/>
  <c r="P817" i="21"/>
  <c r="N817" i="21"/>
  <c r="M817" i="21"/>
  <c r="L817" i="21"/>
  <c r="K817" i="21"/>
  <c r="Q816" i="21"/>
  <c r="P816" i="21"/>
  <c r="O816" i="21"/>
  <c r="N816" i="21"/>
  <c r="M816" i="21"/>
  <c r="L816" i="21"/>
  <c r="J816" i="21"/>
  <c r="K816" i="21" s="1"/>
  <c r="Q815" i="21"/>
  <c r="P815" i="21"/>
  <c r="O815" i="21"/>
  <c r="N815" i="21"/>
  <c r="M815" i="21"/>
  <c r="L815" i="21"/>
  <c r="J815" i="21"/>
  <c r="K815" i="21" s="1"/>
  <c r="Q814" i="21"/>
  <c r="P814" i="21"/>
  <c r="O814" i="21"/>
  <c r="N814" i="21"/>
  <c r="M814" i="21"/>
  <c r="L814" i="21"/>
  <c r="Q1811" i="21"/>
  <c r="P1811" i="21"/>
  <c r="O1811" i="21"/>
  <c r="M1811" i="21"/>
  <c r="L1811" i="21"/>
  <c r="K1811" i="21"/>
  <c r="J1811" i="21"/>
  <c r="N1811" i="21" s="1"/>
  <c r="Q1810" i="21"/>
  <c r="P1810" i="21"/>
  <c r="O1810" i="21"/>
  <c r="N1810" i="21"/>
  <c r="M1810" i="21"/>
  <c r="L1810" i="21"/>
  <c r="J1810" i="21"/>
  <c r="K1810" i="21" s="1"/>
  <c r="Q1809" i="21"/>
  <c r="P1809" i="21"/>
  <c r="O1809" i="21"/>
  <c r="N1809" i="21"/>
  <c r="M1809" i="21"/>
  <c r="L1809" i="21"/>
  <c r="J1809" i="21"/>
  <c r="K1809" i="21" s="1"/>
  <c r="Q1808" i="21"/>
  <c r="P1808" i="21"/>
  <c r="O1808" i="21"/>
  <c r="M1808" i="21"/>
  <c r="L1808" i="21"/>
  <c r="K1808" i="21"/>
  <c r="J1808" i="21"/>
  <c r="N1808" i="21" s="1"/>
  <c r="Q1807" i="21"/>
  <c r="P1807" i="21"/>
  <c r="O1807" i="21"/>
  <c r="N1807" i="21"/>
  <c r="M1807" i="21"/>
  <c r="L1807" i="21"/>
  <c r="J1807" i="21"/>
  <c r="K1807" i="21" s="1"/>
  <c r="Q1806" i="21"/>
  <c r="P1806" i="21"/>
  <c r="O1806" i="21"/>
  <c r="M1806" i="21"/>
  <c r="L1806" i="21"/>
  <c r="K1806" i="21"/>
  <c r="J1806" i="21"/>
  <c r="N1806" i="21" s="1"/>
  <c r="Q1805" i="21"/>
  <c r="P1805" i="21"/>
  <c r="O1805" i="21"/>
  <c r="N1805" i="21"/>
  <c r="M1805" i="21"/>
  <c r="L1805" i="21"/>
  <c r="J1805" i="21"/>
  <c r="K1805" i="21" s="1"/>
  <c r="Q1804" i="21"/>
  <c r="P1804" i="21"/>
  <c r="O1804" i="21"/>
  <c r="N1804" i="21"/>
  <c r="M1804" i="21"/>
  <c r="L1804" i="21"/>
  <c r="J1804" i="21"/>
  <c r="K1804" i="21" s="1"/>
  <c r="Q1803" i="21"/>
  <c r="P1803" i="21"/>
  <c r="O1803" i="21"/>
  <c r="M1803" i="21"/>
  <c r="L1803" i="21"/>
  <c r="K1803" i="21"/>
  <c r="J1803" i="21"/>
  <c r="N1803" i="21" s="1"/>
  <c r="Q1802" i="21"/>
  <c r="P1802" i="21"/>
  <c r="O1802" i="21"/>
  <c r="N1802" i="21"/>
  <c r="M1802" i="21"/>
  <c r="L1802" i="21"/>
  <c r="J1802" i="21"/>
  <c r="K1802" i="21" s="1"/>
  <c r="Q1801" i="21"/>
  <c r="P1801" i="21"/>
  <c r="O1801" i="21"/>
  <c r="N1801" i="21"/>
  <c r="M1801" i="21"/>
  <c r="L1801" i="21"/>
  <c r="J1801" i="21"/>
  <c r="K1801" i="21" s="1"/>
  <c r="Q1800" i="21"/>
  <c r="P1800" i="21"/>
  <c r="O1800" i="21"/>
  <c r="M1800" i="21"/>
  <c r="L1800" i="21"/>
  <c r="K1800" i="21"/>
  <c r="J1800" i="21"/>
  <c r="N1800" i="21" s="1"/>
  <c r="Q1799" i="21"/>
  <c r="P1799" i="21"/>
  <c r="O1799" i="21"/>
  <c r="N1799" i="21"/>
  <c r="M1799" i="21"/>
  <c r="L1799" i="21"/>
  <c r="J1799" i="21"/>
  <c r="K1799" i="21" s="1"/>
  <c r="Q1798" i="21"/>
  <c r="P1798" i="21"/>
  <c r="O1798" i="21"/>
  <c r="N1798" i="21"/>
  <c r="M1798" i="21"/>
  <c r="L1798" i="21"/>
  <c r="J1798" i="21"/>
  <c r="K1798" i="21" s="1"/>
  <c r="Q1797" i="21"/>
  <c r="P1797" i="21"/>
  <c r="O1797" i="21"/>
  <c r="M1797" i="21"/>
  <c r="L1797" i="21"/>
  <c r="K1797" i="21"/>
  <c r="J1797" i="21"/>
  <c r="N1797" i="21" s="1"/>
  <c r="Q1796" i="21"/>
  <c r="P1796" i="21"/>
  <c r="O1796" i="21"/>
  <c r="N1796" i="21"/>
  <c r="M1796" i="21"/>
  <c r="L1796" i="21"/>
  <c r="J1796" i="21"/>
  <c r="K1796" i="21" s="1"/>
  <c r="Q1795" i="21"/>
  <c r="P1795" i="21"/>
  <c r="O1795" i="21"/>
  <c r="N1795" i="21"/>
  <c r="M1795" i="21"/>
  <c r="L1795" i="21"/>
  <c r="J1795" i="21"/>
  <c r="K1795" i="21" s="1"/>
  <c r="Q1794" i="21"/>
  <c r="P1794" i="21"/>
  <c r="O1794" i="21"/>
  <c r="M1794" i="21"/>
  <c r="L1794" i="21"/>
  <c r="K1794" i="21"/>
  <c r="J1794" i="21"/>
  <c r="N1794" i="21" s="1"/>
  <c r="Q1793" i="21"/>
  <c r="P1793" i="21"/>
  <c r="O1793" i="21"/>
  <c r="N1793" i="21"/>
  <c r="M1793" i="21"/>
  <c r="L1793" i="21"/>
  <c r="J1793" i="21"/>
  <c r="K1793" i="21" s="1"/>
  <c r="Q1792" i="21"/>
  <c r="P1792" i="21"/>
  <c r="O1792" i="21"/>
  <c r="N1792" i="21"/>
  <c r="M1792" i="21"/>
  <c r="L1792" i="21"/>
  <c r="J1792" i="21"/>
  <c r="K1792" i="21" s="1"/>
  <c r="Q1791" i="21"/>
  <c r="P1791" i="21"/>
  <c r="O1791" i="21"/>
  <c r="M1791" i="21"/>
  <c r="L1791" i="21"/>
  <c r="K1791" i="21"/>
  <c r="J1791" i="21"/>
  <c r="N1791" i="21" s="1"/>
  <c r="Q1790" i="21"/>
  <c r="P1790" i="21"/>
  <c r="O1790" i="21"/>
  <c r="N1790" i="21"/>
  <c r="M1790" i="21"/>
  <c r="L1790" i="21"/>
  <c r="J1790" i="21"/>
  <c r="K1790" i="21" s="1"/>
  <c r="Q1789" i="21"/>
  <c r="P1789" i="21"/>
  <c r="O1789" i="21"/>
  <c r="M1789" i="21"/>
  <c r="L1789" i="21"/>
  <c r="K1789" i="21"/>
  <c r="J1789" i="21"/>
  <c r="N1789" i="21" s="1"/>
  <c r="Q1788" i="21"/>
  <c r="P1788" i="21"/>
  <c r="O1788" i="21"/>
  <c r="N1788" i="21"/>
  <c r="M1788" i="21"/>
  <c r="L1788" i="21"/>
  <c r="J1788" i="21"/>
  <c r="K1788" i="21" s="1"/>
  <c r="Q1787" i="21"/>
  <c r="P1787" i="21"/>
  <c r="O1787" i="21"/>
  <c r="N1787" i="21"/>
  <c r="M1787" i="21"/>
  <c r="L1787" i="21"/>
  <c r="J1787" i="21"/>
  <c r="K1787" i="21" s="1"/>
  <c r="Q1786" i="21"/>
  <c r="P1786" i="21"/>
  <c r="O1786" i="21"/>
  <c r="N1786" i="21"/>
  <c r="M1786" i="21"/>
  <c r="L1786" i="21"/>
  <c r="K1786" i="21"/>
  <c r="J1786" i="21"/>
  <c r="Q1785" i="21"/>
  <c r="P1785" i="21"/>
  <c r="O1785" i="21"/>
  <c r="M1785" i="21"/>
  <c r="L1785" i="21"/>
  <c r="K1785" i="21"/>
  <c r="J1785" i="21"/>
  <c r="N1785" i="21" s="1"/>
  <c r="Q1784" i="21"/>
  <c r="P1784" i="21"/>
  <c r="O1784" i="21"/>
  <c r="N1784" i="21"/>
  <c r="M1784" i="21"/>
  <c r="L1784" i="21"/>
  <c r="J1784" i="21"/>
  <c r="K1784" i="21" s="1"/>
  <c r="Q1783" i="21"/>
  <c r="P1783" i="21"/>
  <c r="O1783" i="21"/>
  <c r="N1783" i="21"/>
  <c r="M1783" i="21"/>
  <c r="L1783" i="21"/>
  <c r="J1783" i="21"/>
  <c r="K1783" i="21" s="1"/>
  <c r="Q1782" i="21"/>
  <c r="P1782" i="21"/>
  <c r="O1782" i="21"/>
  <c r="M1782" i="21"/>
  <c r="L1782" i="21"/>
  <c r="K1782" i="21"/>
  <c r="J1782" i="21"/>
  <c r="N1782" i="21" s="1"/>
  <c r="Q1781" i="21"/>
  <c r="P1781" i="21"/>
  <c r="O1781" i="21"/>
  <c r="N1781" i="21"/>
  <c r="M1781" i="21"/>
  <c r="L1781" i="21"/>
  <c r="J1781" i="21"/>
  <c r="K1781" i="21" s="1"/>
  <c r="Q1780" i="21"/>
  <c r="P1780" i="21"/>
  <c r="O1780" i="21"/>
  <c r="N1780" i="21"/>
  <c r="M1780" i="21"/>
  <c r="L1780" i="21"/>
  <c r="J1780" i="21"/>
  <c r="K1780" i="21" s="1"/>
  <c r="Q1779" i="21"/>
  <c r="P1779" i="21"/>
  <c r="O1779" i="21"/>
  <c r="M1779" i="21"/>
  <c r="L1779" i="21"/>
  <c r="K1779" i="21"/>
  <c r="J1779" i="21"/>
  <c r="N1779" i="21" s="1"/>
  <c r="Q1778" i="21"/>
  <c r="P1778" i="21"/>
  <c r="O1778" i="21"/>
  <c r="N1778" i="21"/>
  <c r="M1778" i="21"/>
  <c r="L1778" i="21"/>
  <c r="J1778" i="21"/>
  <c r="K1778" i="21" s="1"/>
  <c r="Q1777" i="21"/>
  <c r="P1777" i="21"/>
  <c r="O1777" i="21"/>
  <c r="M1777" i="21"/>
  <c r="L1777" i="21"/>
  <c r="K1777" i="21"/>
  <c r="J1777" i="21"/>
  <c r="N1777" i="21" s="1"/>
  <c r="Q1776" i="21"/>
  <c r="P1776" i="21"/>
  <c r="O1776" i="21"/>
  <c r="N1776" i="21"/>
  <c r="M1776" i="21"/>
  <c r="L1776" i="21"/>
  <c r="J1776" i="21"/>
  <c r="K1776" i="21" s="1"/>
  <c r="Q1775" i="21"/>
  <c r="P1775" i="21"/>
  <c r="O1775" i="21"/>
  <c r="N1775" i="21"/>
  <c r="M1775" i="21"/>
  <c r="L1775" i="21"/>
  <c r="J1775" i="21"/>
  <c r="K1775" i="21" s="1"/>
  <c r="Q1774" i="21"/>
  <c r="P1774" i="21"/>
  <c r="O1774" i="21"/>
  <c r="N1774" i="21"/>
  <c r="M1774" i="21"/>
  <c r="L1774" i="21"/>
  <c r="K1774" i="21"/>
  <c r="J1774" i="21"/>
  <c r="Q1773" i="21"/>
  <c r="P1773" i="21"/>
  <c r="O1773" i="21"/>
  <c r="M1773" i="21"/>
  <c r="L1773" i="21"/>
  <c r="K1773" i="21"/>
  <c r="J1773" i="21"/>
  <c r="N1773" i="21" s="1"/>
  <c r="Q1772" i="21"/>
  <c r="P1772" i="21"/>
  <c r="O1772" i="21"/>
  <c r="N1772" i="21"/>
  <c r="M1772" i="21"/>
  <c r="L1772" i="21"/>
  <c r="J1772" i="21"/>
  <c r="K1772" i="21" s="1"/>
  <c r="Q1771" i="21"/>
  <c r="P1771" i="21"/>
  <c r="O1771" i="21"/>
  <c r="N1771" i="21"/>
  <c r="M1771" i="21"/>
  <c r="L1771" i="21"/>
  <c r="J1771" i="21"/>
  <c r="K1771" i="21" s="1"/>
  <c r="Q1770" i="21"/>
  <c r="P1770" i="21"/>
  <c r="O1770" i="21"/>
  <c r="M1770" i="21"/>
  <c r="L1770" i="21"/>
  <c r="K1770" i="21"/>
  <c r="J1770" i="21"/>
  <c r="N1770" i="21" s="1"/>
  <c r="Q1769" i="21"/>
  <c r="P1769" i="21"/>
  <c r="O1769" i="21"/>
  <c r="N1769" i="21"/>
  <c r="M1769" i="21"/>
  <c r="L1769" i="21"/>
  <c r="J1769" i="21"/>
  <c r="K1769" i="21" s="1"/>
  <c r="Q1768" i="21"/>
  <c r="P1768" i="21"/>
  <c r="O1768" i="21"/>
  <c r="N1768" i="21"/>
  <c r="M1768" i="21"/>
  <c r="L1768" i="21"/>
  <c r="J1768" i="21"/>
  <c r="K1768" i="21" s="1"/>
  <c r="Q1767" i="21"/>
  <c r="P1767" i="21"/>
  <c r="O1767" i="21"/>
  <c r="N1767" i="21"/>
  <c r="M1767" i="21"/>
  <c r="L1767" i="21"/>
  <c r="J1767" i="21"/>
  <c r="K1767" i="21" s="1"/>
  <c r="Q1766" i="21"/>
  <c r="P1766" i="21"/>
  <c r="O1766" i="21"/>
  <c r="M1766" i="21"/>
  <c r="L1766" i="21"/>
  <c r="J1766" i="21"/>
  <c r="K1766" i="21" s="1"/>
  <c r="Q1765" i="21"/>
  <c r="P1765" i="21"/>
  <c r="O1765" i="21"/>
  <c r="N1765" i="21"/>
  <c r="M1765" i="21"/>
  <c r="L1765" i="21"/>
  <c r="J1765" i="21"/>
  <c r="K1765" i="21" s="1"/>
  <c r="Q1764" i="21"/>
  <c r="P1764" i="21"/>
  <c r="O1764" i="21"/>
  <c r="N1764" i="21"/>
  <c r="M1764" i="21"/>
  <c r="L1764" i="21"/>
  <c r="J1764" i="21"/>
  <c r="K1764" i="21" s="1"/>
  <c r="Q1763" i="21"/>
  <c r="P1763" i="21"/>
  <c r="O1763" i="21"/>
  <c r="M1763" i="21"/>
  <c r="L1763" i="21"/>
  <c r="K1763" i="21"/>
  <c r="J1763" i="21"/>
  <c r="N1763" i="21" s="1"/>
  <c r="Q1762" i="21"/>
  <c r="P1762" i="21"/>
  <c r="O1762" i="21"/>
  <c r="N1762" i="21"/>
  <c r="M1762" i="21"/>
  <c r="L1762" i="21"/>
  <c r="J1762" i="21"/>
  <c r="K1762" i="21" s="1"/>
  <c r="Q1761" i="21"/>
  <c r="P1761" i="21"/>
  <c r="O1761" i="21"/>
  <c r="N1761" i="21"/>
  <c r="M1761" i="21"/>
  <c r="L1761" i="21"/>
  <c r="J1761" i="21"/>
  <c r="K1761" i="21" s="1"/>
  <c r="Q1760" i="21"/>
  <c r="P1760" i="21"/>
  <c r="O1760" i="21"/>
  <c r="N1760" i="21"/>
  <c r="M1760" i="21"/>
  <c r="L1760" i="21"/>
  <c r="J1760" i="21"/>
  <c r="K1760" i="21" s="1"/>
  <c r="Q1759" i="21"/>
  <c r="P1759" i="21"/>
  <c r="O1759" i="21"/>
  <c r="M1759" i="21"/>
  <c r="L1759" i="21"/>
  <c r="K1759" i="21"/>
  <c r="J1759" i="21"/>
  <c r="N1759" i="21" s="1"/>
  <c r="Q1758" i="21"/>
  <c r="P1758" i="21"/>
  <c r="O1758" i="21"/>
  <c r="N1758" i="21"/>
  <c r="M1758" i="21"/>
  <c r="L1758" i="21"/>
  <c r="J1758" i="21"/>
  <c r="K1758" i="21" s="1"/>
  <c r="Q1757" i="21"/>
  <c r="P1757" i="21"/>
  <c r="O1757" i="21"/>
  <c r="N1757" i="21"/>
  <c r="M1757" i="21"/>
  <c r="L1757" i="21"/>
  <c r="J1757" i="21"/>
  <c r="K1757" i="21" s="1"/>
  <c r="Q1756" i="21"/>
  <c r="P1756" i="21"/>
  <c r="O1756" i="21"/>
  <c r="N1756" i="21"/>
  <c r="M1756" i="21"/>
  <c r="L1756" i="21"/>
  <c r="J1756" i="21"/>
  <c r="K1756" i="21" s="1"/>
  <c r="Q1755" i="21"/>
  <c r="P1755" i="21"/>
  <c r="O1755" i="21"/>
  <c r="M1755" i="21"/>
  <c r="L1755" i="21"/>
  <c r="K1755" i="21"/>
  <c r="J1755" i="21"/>
  <c r="N1755" i="21" s="1"/>
  <c r="Q1754" i="21"/>
  <c r="P1754" i="21"/>
  <c r="O1754" i="21"/>
  <c r="N1754" i="21"/>
  <c r="M1754" i="21"/>
  <c r="L1754" i="21"/>
  <c r="J1754" i="21"/>
  <c r="K1754" i="21" s="1"/>
  <c r="Q1753" i="21"/>
  <c r="P1753" i="21"/>
  <c r="O1753" i="21"/>
  <c r="N1753" i="21"/>
  <c r="M1753" i="21"/>
  <c r="L1753" i="21"/>
  <c r="J1753" i="21"/>
  <c r="K1753" i="21" s="1"/>
  <c r="Q1752" i="21"/>
  <c r="P1752" i="21"/>
  <c r="O1752" i="21"/>
  <c r="N1752" i="21"/>
  <c r="M1752" i="21"/>
  <c r="L1752" i="21"/>
  <c r="J1752" i="21"/>
  <c r="K1752" i="21" s="1"/>
  <c r="Q1751" i="21"/>
  <c r="P1751" i="21"/>
  <c r="O1751" i="21"/>
  <c r="N1751" i="21"/>
  <c r="M1751" i="21"/>
  <c r="L1751" i="21"/>
  <c r="K1751" i="21"/>
  <c r="J1751" i="21"/>
  <c r="Q1750" i="21"/>
  <c r="P1750" i="21"/>
  <c r="O1750" i="21"/>
  <c r="M1750" i="21"/>
  <c r="L1750" i="21"/>
  <c r="K1750" i="21"/>
  <c r="J1750" i="21"/>
  <c r="N1750" i="21" s="1"/>
  <c r="Q1749" i="21"/>
  <c r="P1749" i="21"/>
  <c r="O1749" i="21"/>
  <c r="N1749" i="21"/>
  <c r="M1749" i="21"/>
  <c r="L1749" i="21"/>
  <c r="J1749" i="21"/>
  <c r="K1749" i="21" s="1"/>
  <c r="Q1748" i="21"/>
  <c r="P1748" i="21"/>
  <c r="O1748" i="21"/>
  <c r="N1748" i="21"/>
  <c r="M1748" i="21"/>
  <c r="L1748" i="21"/>
  <c r="J1748" i="21"/>
  <c r="K1748" i="21" s="1"/>
  <c r="Q1747" i="21"/>
  <c r="P1747" i="21"/>
  <c r="O1747" i="21"/>
  <c r="M1747" i="21"/>
  <c r="L1747" i="21"/>
  <c r="K1747" i="21"/>
  <c r="J1747" i="21"/>
  <c r="N1747" i="21" s="1"/>
  <c r="Q1746" i="21"/>
  <c r="P1746" i="21"/>
  <c r="O1746" i="21"/>
  <c r="N1746" i="21"/>
  <c r="M1746" i="21"/>
  <c r="L1746" i="21"/>
  <c r="J1746" i="21"/>
  <c r="K1746" i="21" s="1"/>
  <c r="Q1745" i="21"/>
  <c r="P1745" i="21"/>
  <c r="O1745" i="21"/>
  <c r="N1745" i="21"/>
  <c r="M1745" i="21"/>
  <c r="L1745" i="21"/>
  <c r="J1745" i="21"/>
  <c r="K1745" i="21" s="1"/>
  <c r="Q1744" i="21"/>
  <c r="P1744" i="21"/>
  <c r="O1744" i="21"/>
  <c r="M1744" i="21"/>
  <c r="L1744" i="21"/>
  <c r="K1744" i="21"/>
  <c r="J1744" i="21"/>
  <c r="N1744" i="21" s="1"/>
  <c r="Q1743" i="21"/>
  <c r="P1743" i="21"/>
  <c r="O1743" i="21"/>
  <c r="N1743" i="21"/>
  <c r="M1743" i="21"/>
  <c r="L1743" i="21"/>
  <c r="J1743" i="21"/>
  <c r="K1743" i="21" s="1"/>
  <c r="Q1742" i="21"/>
  <c r="P1742" i="21"/>
  <c r="O1742" i="21"/>
  <c r="M1742" i="21"/>
  <c r="L1742" i="21"/>
  <c r="K1742" i="21"/>
  <c r="J1742" i="21"/>
  <c r="N1742" i="21" s="1"/>
  <c r="Q1741" i="21"/>
  <c r="P1741" i="21"/>
  <c r="O1741" i="21"/>
  <c r="N1741" i="21"/>
  <c r="M1741" i="21"/>
  <c r="L1741" i="21"/>
  <c r="J1741" i="21"/>
  <c r="K1741" i="21" s="1"/>
  <c r="Q1740" i="21"/>
  <c r="P1740" i="21"/>
  <c r="O1740" i="21"/>
  <c r="N1740" i="21"/>
  <c r="M1740" i="21"/>
  <c r="L1740" i="21"/>
  <c r="J1740" i="21"/>
  <c r="K1740" i="21" s="1"/>
  <c r="Q1739" i="21"/>
  <c r="P1739" i="21"/>
  <c r="O1739" i="21"/>
  <c r="M1739" i="21"/>
  <c r="L1739" i="21"/>
  <c r="K1739" i="21"/>
  <c r="J1739" i="21"/>
  <c r="N1739" i="21" s="1"/>
  <c r="Q1738" i="21"/>
  <c r="P1738" i="21"/>
  <c r="O1738" i="21"/>
  <c r="N1738" i="21"/>
  <c r="M1738" i="21"/>
  <c r="L1738" i="21"/>
  <c r="J1738" i="21"/>
  <c r="K1738" i="21" s="1"/>
  <c r="Q1736" i="21"/>
  <c r="P1736" i="21"/>
  <c r="N1736" i="21"/>
  <c r="M1736" i="21"/>
  <c r="L1736" i="21"/>
  <c r="K1736" i="21"/>
  <c r="J1736" i="21"/>
  <c r="O1736" i="21" s="1"/>
  <c r="Q1731" i="21"/>
  <c r="P1731" i="21"/>
  <c r="N1731" i="21"/>
  <c r="M1731" i="21"/>
  <c r="L1731" i="21"/>
  <c r="K1731" i="21"/>
  <c r="J1731" i="21"/>
  <c r="O1731" i="21" s="1"/>
  <c r="Q1730" i="21"/>
  <c r="P1730" i="21"/>
  <c r="O1730" i="21"/>
  <c r="N1730" i="21"/>
  <c r="M1730" i="21"/>
  <c r="L1730" i="21"/>
  <c r="J1730" i="21"/>
  <c r="K1730" i="21" s="1"/>
  <c r="Q1726" i="21"/>
  <c r="P1726" i="21"/>
  <c r="O1726" i="21"/>
  <c r="N1726" i="21"/>
  <c r="M1726" i="21"/>
  <c r="L1726" i="21"/>
  <c r="K1726" i="21"/>
  <c r="J1726" i="21"/>
  <c r="Q1725" i="21"/>
  <c r="P1725" i="21"/>
  <c r="N1725" i="21"/>
  <c r="M1725" i="21"/>
  <c r="L1725" i="21"/>
  <c r="K1725" i="21"/>
  <c r="J1725" i="21"/>
  <c r="O1725" i="21" s="1"/>
  <c r="Q1724" i="21"/>
  <c r="P1724" i="21"/>
  <c r="O1724" i="21"/>
  <c r="N1724" i="21"/>
  <c r="M1724" i="21"/>
  <c r="L1724" i="21"/>
  <c r="J1724" i="21"/>
  <c r="K1724" i="21" s="1"/>
  <c r="Q1723" i="21"/>
  <c r="P1723" i="21"/>
  <c r="O1723" i="21"/>
  <c r="N1723" i="21"/>
  <c r="M1723" i="21"/>
  <c r="L1723" i="21"/>
  <c r="J1723" i="21"/>
  <c r="K1723" i="21" s="1"/>
  <c r="Q1722" i="21"/>
  <c r="P1722" i="21"/>
  <c r="N1722" i="21"/>
  <c r="M1722" i="21"/>
  <c r="L1722" i="21"/>
  <c r="K1722" i="21"/>
  <c r="J1722" i="21"/>
  <c r="O1722" i="21" s="1"/>
  <c r="Q1721" i="21"/>
  <c r="P1721" i="21"/>
  <c r="O1721" i="21"/>
  <c r="N1721" i="21"/>
  <c r="M1721" i="21"/>
  <c r="L1721" i="21"/>
  <c r="J1721" i="21"/>
  <c r="K1721" i="21" s="1"/>
  <c r="Q1720" i="21"/>
  <c r="P1720" i="21"/>
  <c r="O1720" i="21"/>
  <c r="N1720" i="21"/>
  <c r="M1720" i="21"/>
  <c r="L1720" i="21"/>
  <c r="J1720" i="21"/>
  <c r="K1720" i="21" s="1"/>
  <c r="Q1719" i="21"/>
  <c r="P1719" i="21"/>
  <c r="O1719" i="21"/>
  <c r="N1719" i="21"/>
  <c r="M1719" i="21"/>
  <c r="L1719" i="21"/>
  <c r="J1719" i="21"/>
  <c r="K1719" i="21" s="1"/>
  <c r="Q1718" i="21"/>
  <c r="P1718" i="21"/>
  <c r="N1718" i="21"/>
  <c r="M1718" i="21"/>
  <c r="L1718" i="21"/>
  <c r="K1718" i="21"/>
  <c r="J1718" i="21"/>
  <c r="O1718" i="21" s="1"/>
  <c r="Q1717" i="21"/>
  <c r="P1717" i="21"/>
  <c r="O1717" i="21"/>
  <c r="N1717" i="21"/>
  <c r="M1717" i="21"/>
  <c r="L1717" i="21"/>
  <c r="J1717" i="21"/>
  <c r="K1717" i="21" s="1"/>
  <c r="Q1716" i="21"/>
  <c r="P1716" i="21"/>
  <c r="O1716" i="21"/>
  <c r="N1716" i="21"/>
  <c r="M1716" i="21"/>
  <c r="L1716" i="21"/>
  <c r="J1716" i="21"/>
  <c r="K1716" i="21" s="1"/>
  <c r="Q1715" i="21"/>
  <c r="P1715" i="21"/>
  <c r="O1715" i="21"/>
  <c r="N1715" i="21"/>
  <c r="M1715" i="21"/>
  <c r="L1715" i="21"/>
  <c r="J1715" i="21"/>
  <c r="K1715" i="21" s="1"/>
  <c r="Q1714" i="21"/>
  <c r="P1714" i="21"/>
  <c r="O1714" i="21"/>
  <c r="N1714" i="21"/>
  <c r="M1714" i="21"/>
  <c r="L1714" i="21"/>
  <c r="K1714" i="21"/>
  <c r="J1714" i="21"/>
  <c r="Q1713" i="21"/>
  <c r="P1713" i="21"/>
  <c r="N1713" i="21"/>
  <c r="M1713" i="21"/>
  <c r="L1713" i="21"/>
  <c r="K1713" i="21"/>
  <c r="J1713" i="21"/>
  <c r="O1713" i="21" s="1"/>
  <c r="Q1712" i="21"/>
  <c r="P1712" i="21"/>
  <c r="O1712" i="21"/>
  <c r="N1712" i="21"/>
  <c r="M1712" i="21"/>
  <c r="L1712" i="21"/>
  <c r="J1712" i="21"/>
  <c r="K1712" i="21" s="1"/>
  <c r="Q1711" i="21"/>
  <c r="P1711" i="21"/>
  <c r="O1711" i="21"/>
  <c r="N1711" i="21"/>
  <c r="M1711" i="21"/>
  <c r="L1711" i="21"/>
  <c r="J1711" i="21"/>
  <c r="K1711" i="21" s="1"/>
  <c r="Q1710" i="21"/>
  <c r="P1710" i="21"/>
  <c r="N1710" i="21"/>
  <c r="M1710" i="21"/>
  <c r="L1710" i="21"/>
  <c r="K1710" i="21"/>
  <c r="J1710" i="21"/>
  <c r="O1710" i="21" s="1"/>
  <c r="Q1709" i="21"/>
  <c r="P1709" i="21"/>
  <c r="O1709" i="21"/>
  <c r="N1709" i="21"/>
  <c r="M1709" i="21"/>
  <c r="L1709" i="21"/>
  <c r="J1709" i="21"/>
  <c r="K1709" i="21" s="1"/>
  <c r="Q1708" i="21"/>
  <c r="P1708" i="21"/>
  <c r="O1708" i="21"/>
  <c r="N1708" i="21"/>
  <c r="M1708" i="21"/>
  <c r="L1708" i="21"/>
  <c r="J1708" i="21"/>
  <c r="K1708" i="21" s="1"/>
  <c r="Q1707" i="21"/>
  <c r="P1707" i="21"/>
  <c r="O1707" i="21"/>
  <c r="N1707" i="21"/>
  <c r="M1707" i="21"/>
  <c r="L1707" i="21"/>
  <c r="J1707" i="21"/>
  <c r="K1707" i="21" s="1"/>
  <c r="Q1706" i="21"/>
  <c r="P1706" i="21"/>
  <c r="N1706" i="21"/>
  <c r="M1706" i="21"/>
  <c r="L1706" i="21"/>
  <c r="K1706" i="21"/>
  <c r="J1706" i="21"/>
  <c r="O1706" i="21" s="1"/>
  <c r="Q1705" i="21"/>
  <c r="P1705" i="21"/>
  <c r="O1705" i="21"/>
  <c r="N1705" i="21"/>
  <c r="M1705" i="21"/>
  <c r="L1705" i="21"/>
  <c r="J1705" i="21"/>
  <c r="K1705" i="21" s="1"/>
  <c r="Q1704" i="21"/>
  <c r="P1704" i="21"/>
  <c r="O1704" i="21"/>
  <c r="N1704" i="21"/>
  <c r="M1704" i="21"/>
  <c r="L1704" i="21"/>
  <c r="J1704" i="21"/>
  <c r="K1704" i="21" s="1"/>
  <c r="Q1703" i="21"/>
  <c r="P1703" i="21"/>
  <c r="O1703" i="21"/>
  <c r="N1703" i="21"/>
  <c r="M1703" i="21"/>
  <c r="L1703" i="21"/>
  <c r="J1703" i="21"/>
  <c r="K1703" i="21" s="1"/>
  <c r="Q1702" i="21"/>
  <c r="P1702" i="21"/>
  <c r="O1702" i="21"/>
  <c r="N1702" i="21"/>
  <c r="M1702" i="21"/>
  <c r="L1702" i="21"/>
  <c r="K1702" i="21"/>
  <c r="J1702" i="21"/>
  <c r="Q1701" i="21"/>
  <c r="P1701" i="21"/>
  <c r="N1701" i="21"/>
  <c r="M1701" i="21"/>
  <c r="L1701" i="21"/>
  <c r="K1701" i="21"/>
  <c r="J1701" i="21"/>
  <c r="O1701" i="21" s="1"/>
  <c r="Q1700" i="21"/>
  <c r="P1700" i="21"/>
  <c r="O1700" i="21"/>
  <c r="N1700" i="21"/>
  <c r="M1700" i="21"/>
  <c r="L1700" i="21"/>
  <c r="J1700" i="21"/>
  <c r="K1700" i="21" s="1"/>
  <c r="Q1699" i="21"/>
  <c r="P1699" i="21"/>
  <c r="O1699" i="21"/>
  <c r="N1699" i="21"/>
  <c r="M1699" i="21"/>
  <c r="L1699" i="21"/>
  <c r="J1699" i="21"/>
  <c r="K1699" i="21" s="1"/>
  <c r="Q1698" i="21"/>
  <c r="P1698" i="21"/>
  <c r="N1698" i="21"/>
  <c r="M1698" i="21"/>
  <c r="L1698" i="21"/>
  <c r="K1698" i="21"/>
  <c r="J1698" i="21"/>
  <c r="O1698" i="21" s="1"/>
  <c r="Q1697" i="21"/>
  <c r="P1697" i="21"/>
  <c r="O1697" i="21"/>
  <c r="N1697" i="21"/>
  <c r="M1697" i="21"/>
  <c r="L1697" i="21"/>
  <c r="J1697" i="21"/>
  <c r="K1697" i="21" s="1"/>
  <c r="Q1696" i="21"/>
  <c r="P1696" i="21"/>
  <c r="O1696" i="21"/>
  <c r="N1696" i="21"/>
  <c r="M1696" i="21"/>
  <c r="L1696" i="21"/>
  <c r="J1696" i="21"/>
  <c r="K1696" i="21" s="1"/>
  <c r="Q1695" i="21"/>
  <c r="P1695" i="21"/>
  <c r="O1695" i="21"/>
  <c r="N1695" i="21"/>
  <c r="M1695" i="21"/>
  <c r="L1695" i="21"/>
  <c r="J1695" i="21"/>
  <c r="K1695" i="21" s="1"/>
  <c r="Q1694" i="21"/>
  <c r="P1694" i="21"/>
  <c r="N1694" i="21"/>
  <c r="M1694" i="21"/>
  <c r="L1694" i="21"/>
  <c r="K1694" i="21"/>
  <c r="J1694" i="21"/>
  <c r="O1694" i="21" s="1"/>
  <c r="Q1693" i="21"/>
  <c r="P1693" i="21"/>
  <c r="O1693" i="21"/>
  <c r="N1693" i="21"/>
  <c r="M1693" i="21"/>
  <c r="L1693" i="21"/>
  <c r="J1693" i="21"/>
  <c r="K1693" i="21" s="1"/>
  <c r="Q1692" i="21"/>
  <c r="P1692" i="21"/>
  <c r="O1692" i="21"/>
  <c r="N1692" i="21"/>
  <c r="M1692" i="21"/>
  <c r="L1692" i="21"/>
  <c r="J1692" i="21"/>
  <c r="K1692" i="21" s="1"/>
  <c r="Q1691" i="21"/>
  <c r="P1691" i="21"/>
  <c r="O1691" i="21"/>
  <c r="N1691" i="21"/>
  <c r="M1691" i="21"/>
  <c r="L1691" i="21"/>
  <c r="J1691" i="21"/>
  <c r="K1691" i="21" s="1"/>
  <c r="Q1690" i="21"/>
  <c r="P1690" i="21"/>
  <c r="O1690" i="21"/>
  <c r="N1690" i="21"/>
  <c r="M1690" i="21"/>
  <c r="L1690" i="21"/>
  <c r="K1690" i="21"/>
  <c r="J1690" i="21"/>
  <c r="Q1689" i="21"/>
  <c r="P1689" i="21"/>
  <c r="O1689" i="21"/>
  <c r="M1689" i="21"/>
  <c r="L1689" i="21"/>
  <c r="K1689" i="21"/>
  <c r="J1689" i="21"/>
  <c r="N1689" i="21" s="1"/>
  <c r="Q1688" i="21"/>
  <c r="P1688" i="21"/>
  <c r="O1688" i="21"/>
  <c r="N1688" i="21"/>
  <c r="M1688" i="21"/>
  <c r="L1688" i="21"/>
  <c r="J1688" i="21"/>
  <c r="K1688" i="21" s="1"/>
  <c r="Q1687" i="21"/>
  <c r="P1687" i="21"/>
  <c r="O1687" i="21"/>
  <c r="N1687" i="21"/>
  <c r="M1687" i="21"/>
  <c r="L1687" i="21"/>
  <c r="J1687" i="21"/>
  <c r="K1687" i="21" s="1"/>
  <c r="Q1686" i="21"/>
  <c r="P1686" i="21"/>
  <c r="O1686" i="21"/>
  <c r="M1686" i="21"/>
  <c r="L1686" i="21"/>
  <c r="K1686" i="21"/>
  <c r="J1686" i="21"/>
  <c r="N1686" i="21" s="1"/>
  <c r="Q1685" i="21"/>
  <c r="P1685" i="21"/>
  <c r="O1685" i="21"/>
  <c r="N1685" i="21"/>
  <c r="M1685" i="21"/>
  <c r="L1685" i="21"/>
  <c r="J1685" i="21"/>
  <c r="K1685" i="21" s="1"/>
  <c r="Q1684" i="21"/>
  <c r="P1684" i="21"/>
  <c r="O1684" i="21"/>
  <c r="N1684" i="21"/>
  <c r="M1684" i="21"/>
  <c r="L1684" i="21"/>
  <c r="J1684" i="21"/>
  <c r="K1684" i="21" s="1"/>
  <c r="Q1683" i="21"/>
  <c r="P1683" i="21"/>
  <c r="O1683" i="21"/>
  <c r="N1683" i="21"/>
  <c r="M1683" i="21"/>
  <c r="L1683" i="21"/>
  <c r="J1683" i="21"/>
  <c r="K1683" i="21" s="1"/>
  <c r="Q1682" i="21"/>
  <c r="P1682" i="21"/>
  <c r="O1682" i="21"/>
  <c r="M1682" i="21"/>
  <c r="L1682" i="21"/>
  <c r="K1682" i="21"/>
  <c r="J1682" i="21"/>
  <c r="N1682" i="21" s="1"/>
  <c r="Q1681" i="21"/>
  <c r="P1681" i="21"/>
  <c r="O1681" i="21"/>
  <c r="N1681" i="21"/>
  <c r="M1681" i="21"/>
  <c r="L1681" i="21"/>
  <c r="J1681" i="21"/>
  <c r="K1681" i="21" s="1"/>
  <c r="Q1680" i="21"/>
  <c r="P1680" i="21"/>
  <c r="O1680" i="21"/>
  <c r="M1680" i="21"/>
  <c r="L1680" i="21"/>
  <c r="K1680" i="21"/>
  <c r="J1680" i="21"/>
  <c r="N1680" i="21" s="1"/>
  <c r="Q1679" i="21"/>
  <c r="P1679" i="21"/>
  <c r="O1679" i="21"/>
  <c r="N1679" i="21"/>
  <c r="M1679" i="21"/>
  <c r="L1679" i="21"/>
  <c r="J1679" i="21"/>
  <c r="K1679" i="21" s="1"/>
  <c r="Q1678" i="21"/>
  <c r="P1678" i="21"/>
  <c r="O1678" i="21"/>
  <c r="N1678" i="21"/>
  <c r="M1678" i="21"/>
  <c r="L1678" i="21"/>
  <c r="J1678" i="21"/>
  <c r="K1678" i="21" s="1"/>
  <c r="Q1677" i="21"/>
  <c r="P1677" i="21"/>
  <c r="O1677" i="21"/>
  <c r="N1677" i="21"/>
  <c r="M1677" i="21"/>
  <c r="L1677" i="21"/>
  <c r="J1677" i="21"/>
  <c r="K1677" i="21" s="1"/>
  <c r="Q1676" i="21"/>
  <c r="P1676" i="21"/>
  <c r="O1676" i="21"/>
  <c r="M1676" i="21"/>
  <c r="L1676" i="21"/>
  <c r="K1676" i="21"/>
  <c r="J1676" i="21"/>
  <c r="N1676" i="21" s="1"/>
  <c r="Q1675" i="21"/>
  <c r="P1675" i="21"/>
  <c r="O1675" i="21"/>
  <c r="N1675" i="21"/>
  <c r="M1675" i="21"/>
  <c r="L1675" i="21"/>
  <c r="J1675" i="21"/>
  <c r="K1675" i="21" s="1"/>
  <c r="Q1674" i="21"/>
  <c r="P1674" i="21"/>
  <c r="O1674" i="21"/>
  <c r="N1674" i="21"/>
  <c r="M1674" i="21"/>
  <c r="L1674" i="21"/>
  <c r="J1674" i="21"/>
  <c r="K1674" i="21" s="1"/>
  <c r="Q1673" i="21"/>
  <c r="P1673" i="21"/>
  <c r="O1673" i="21"/>
  <c r="N1673" i="21"/>
  <c r="M1673" i="21"/>
  <c r="L1673" i="21"/>
  <c r="J1673" i="21"/>
  <c r="K1673" i="21" s="1"/>
  <c r="Q1672" i="21"/>
  <c r="P1672" i="21"/>
  <c r="O1672" i="21"/>
  <c r="M1672" i="21"/>
  <c r="L1672" i="21"/>
  <c r="K1672" i="21"/>
  <c r="J1672" i="21"/>
  <c r="N1672" i="21" s="1"/>
  <c r="Q1671" i="21"/>
  <c r="P1671" i="21"/>
  <c r="O1671" i="21"/>
  <c r="N1671" i="21"/>
  <c r="M1671" i="21"/>
  <c r="L1671" i="21"/>
  <c r="J1671" i="21"/>
  <c r="K1671" i="21" s="1"/>
  <c r="Q1670" i="21"/>
  <c r="P1670" i="21"/>
  <c r="O1670" i="21"/>
  <c r="M1670" i="21"/>
  <c r="L1670" i="21"/>
  <c r="K1670" i="21"/>
  <c r="J1670" i="21"/>
  <c r="N1670" i="21" s="1"/>
  <c r="Q1669" i="21"/>
  <c r="P1669" i="21"/>
  <c r="O1669" i="21"/>
  <c r="N1669" i="21"/>
  <c r="M1669" i="21"/>
  <c r="L1669" i="21"/>
  <c r="J1669" i="21"/>
  <c r="K1669" i="21" s="1"/>
  <c r="Q1668" i="21"/>
  <c r="P1668" i="21"/>
  <c r="O1668" i="21"/>
  <c r="N1668" i="21"/>
  <c r="M1668" i="21"/>
  <c r="L1668" i="21"/>
  <c r="J1668" i="21"/>
  <c r="K1668" i="21" s="1"/>
  <c r="Q1667" i="21"/>
  <c r="P1667" i="21"/>
  <c r="O1667" i="21"/>
  <c r="N1667" i="21"/>
  <c r="M1667" i="21"/>
  <c r="L1667" i="21"/>
  <c r="J1667" i="21"/>
  <c r="K1667" i="21" s="1"/>
  <c r="Q1666" i="21"/>
  <c r="P1666" i="21"/>
  <c r="O1666" i="21"/>
  <c r="M1666" i="21"/>
  <c r="L1666" i="21"/>
  <c r="K1666" i="21"/>
  <c r="J1666" i="21"/>
  <c r="N1666" i="21" s="1"/>
  <c r="Q1665" i="21"/>
  <c r="P1665" i="21"/>
  <c r="O1665" i="21"/>
  <c r="N1665" i="21"/>
  <c r="M1665" i="21"/>
  <c r="L1665" i="21"/>
  <c r="J1665" i="21"/>
  <c r="K1665" i="21" s="1"/>
  <c r="Q1664" i="21"/>
  <c r="P1664" i="21"/>
  <c r="O1664" i="21"/>
  <c r="N1664" i="21"/>
  <c r="M1664" i="21"/>
  <c r="L1664" i="21"/>
  <c r="J1664" i="21"/>
  <c r="K1664" i="21" s="1"/>
  <c r="Q1663" i="21"/>
  <c r="P1663" i="21"/>
  <c r="O1663" i="21"/>
  <c r="N1663" i="21"/>
  <c r="M1663" i="21"/>
  <c r="L1663" i="21"/>
  <c r="J1663" i="21"/>
  <c r="K1663" i="21" s="1"/>
  <c r="Q1662" i="21"/>
  <c r="P1662" i="21"/>
  <c r="O1662" i="21"/>
  <c r="N1662" i="21"/>
  <c r="M1662" i="21"/>
  <c r="L1662" i="21"/>
  <c r="K1662" i="21"/>
  <c r="J1662" i="21"/>
  <c r="Q1661" i="21"/>
  <c r="P1661" i="21"/>
  <c r="O1661" i="21"/>
  <c r="M1661" i="21"/>
  <c r="L1661" i="21"/>
  <c r="K1661" i="21"/>
  <c r="J1661" i="21"/>
  <c r="N1661" i="21" s="1"/>
  <c r="Q1660" i="21"/>
  <c r="P1660" i="21"/>
  <c r="O1660" i="21"/>
  <c r="N1660" i="21"/>
  <c r="M1660" i="21"/>
  <c r="L1660" i="21"/>
  <c r="J1660" i="21"/>
  <c r="K1660" i="21" s="1"/>
  <c r="Q1659" i="21"/>
  <c r="P1659" i="21"/>
  <c r="O1659" i="21"/>
  <c r="N1659" i="21"/>
  <c r="M1659" i="21"/>
  <c r="L1659" i="21"/>
  <c r="J1659" i="21"/>
  <c r="K1659" i="21" s="1"/>
  <c r="Q1658" i="21"/>
  <c r="P1658" i="21"/>
  <c r="O1658" i="21"/>
  <c r="M1658" i="21"/>
  <c r="L1658" i="21"/>
  <c r="K1658" i="21"/>
  <c r="J1658" i="21"/>
  <c r="N1658" i="21" s="1"/>
  <c r="Q1657" i="21"/>
  <c r="P1657" i="21"/>
  <c r="O1657" i="21"/>
  <c r="N1657" i="21"/>
  <c r="M1657" i="21"/>
  <c r="L1657" i="21"/>
  <c r="J1657" i="21"/>
  <c r="K1657" i="21" s="1"/>
  <c r="Q1656" i="21"/>
  <c r="P1656" i="21"/>
  <c r="O1656" i="21"/>
  <c r="N1656" i="21"/>
  <c r="M1656" i="21"/>
  <c r="L1656" i="21"/>
  <c r="J1656" i="21"/>
  <c r="K1656" i="21" s="1"/>
  <c r="Q1655" i="21"/>
  <c r="P1655" i="21"/>
  <c r="O1655" i="21"/>
  <c r="N1655" i="21"/>
  <c r="M1655" i="21"/>
  <c r="L1655" i="21"/>
  <c r="J1655" i="21"/>
  <c r="K1655" i="21" s="1"/>
  <c r="Q1654" i="21"/>
  <c r="P1654" i="21"/>
  <c r="O1654" i="21"/>
  <c r="M1654" i="21"/>
  <c r="L1654" i="21"/>
  <c r="K1654" i="21"/>
  <c r="J1654" i="21"/>
  <c r="N1654" i="21" s="1"/>
  <c r="Q1653" i="21"/>
  <c r="P1653" i="21"/>
  <c r="O1653" i="21"/>
  <c r="N1653" i="21"/>
  <c r="M1653" i="21"/>
  <c r="L1653" i="21"/>
  <c r="J1653" i="21"/>
  <c r="K1653" i="21" s="1"/>
  <c r="Q1652" i="21"/>
  <c r="P1652" i="21"/>
  <c r="O1652" i="21"/>
  <c r="N1652" i="21"/>
  <c r="M1652" i="21"/>
  <c r="L1652" i="21"/>
  <c r="J1652" i="21"/>
  <c r="K1652" i="21" s="1"/>
  <c r="Q1651" i="21"/>
  <c r="P1651" i="21"/>
  <c r="O1651" i="21"/>
  <c r="N1651" i="21"/>
  <c r="M1651" i="21"/>
  <c r="L1651" i="21"/>
  <c r="J1651" i="21"/>
  <c r="K1651" i="21" s="1"/>
  <c r="Q1650" i="21"/>
  <c r="P1650" i="21"/>
  <c r="O1650" i="21"/>
  <c r="M1650" i="21"/>
  <c r="L1650" i="21"/>
  <c r="K1650" i="21"/>
  <c r="J1650" i="21"/>
  <c r="N1650" i="21" s="1"/>
  <c r="Q1649" i="21"/>
  <c r="P1649" i="21"/>
  <c r="O1649" i="21"/>
  <c r="N1649" i="21"/>
  <c r="M1649" i="21"/>
  <c r="L1649" i="21"/>
  <c r="J1649" i="21"/>
  <c r="K1649" i="21" s="1"/>
  <c r="Q1648" i="21"/>
  <c r="P1648" i="21"/>
  <c r="O1648" i="21"/>
  <c r="N1648" i="21"/>
  <c r="M1648" i="21"/>
  <c r="L1648" i="21"/>
  <c r="J1648" i="21"/>
  <c r="K1648" i="21" s="1"/>
  <c r="Q1647" i="21"/>
  <c r="P1647" i="21"/>
  <c r="O1647" i="21"/>
  <c r="N1647" i="21"/>
  <c r="M1647" i="21"/>
  <c r="L1647" i="21"/>
  <c r="J1647" i="21"/>
  <c r="K1647" i="21" s="1"/>
  <c r="Q1646" i="21"/>
  <c r="P1646" i="21"/>
  <c r="O1646" i="21"/>
  <c r="M1646" i="21"/>
  <c r="L1646" i="21"/>
  <c r="K1646" i="21"/>
  <c r="J1646" i="21"/>
  <c r="N1646" i="21" s="1"/>
  <c r="Q1645" i="21"/>
  <c r="P1645" i="21"/>
  <c r="O1645" i="21"/>
  <c r="N1645" i="21"/>
  <c r="M1645" i="21"/>
  <c r="L1645" i="21"/>
  <c r="J1645" i="21"/>
  <c r="K1645" i="21" s="1"/>
  <c r="Q1644" i="21"/>
  <c r="P1644" i="21"/>
  <c r="O1644" i="21"/>
  <c r="N1644" i="21"/>
  <c r="M1644" i="21"/>
  <c r="L1644" i="21"/>
  <c r="J1644" i="21"/>
  <c r="K1644" i="21" s="1"/>
  <c r="Q1643" i="21"/>
  <c r="P1643" i="21"/>
  <c r="O1643" i="21"/>
  <c r="N1643" i="21"/>
  <c r="M1643" i="21"/>
  <c r="L1643" i="21"/>
  <c r="J1643" i="21"/>
  <c r="K1643" i="21" s="1"/>
  <c r="Q1642" i="21"/>
  <c r="P1642" i="21"/>
  <c r="O1642" i="21"/>
  <c r="M1642" i="21"/>
  <c r="L1642" i="21"/>
  <c r="K1642" i="21"/>
  <c r="J1642" i="21"/>
  <c r="N1642" i="21" s="1"/>
  <c r="Q1641" i="21"/>
  <c r="P1641" i="21"/>
  <c r="O1641" i="21"/>
  <c r="N1641" i="21"/>
  <c r="M1641" i="21"/>
  <c r="L1641" i="21"/>
  <c r="J1641" i="21"/>
  <c r="K1641" i="21" s="1"/>
  <c r="Q1640" i="21"/>
  <c r="P1640" i="21"/>
  <c r="O1640" i="21"/>
  <c r="N1640" i="21"/>
  <c r="M1640" i="21"/>
  <c r="L1640" i="21"/>
  <c r="J1640" i="21"/>
  <c r="K1640" i="21" s="1"/>
  <c r="Q1639" i="21"/>
  <c r="P1639" i="21"/>
  <c r="O1639" i="21"/>
  <c r="N1639" i="21"/>
  <c r="M1639" i="21"/>
  <c r="L1639" i="21"/>
  <c r="J1639" i="21"/>
  <c r="K1639" i="21" s="1"/>
  <c r="Q1638" i="21"/>
  <c r="P1638" i="21"/>
  <c r="O1638" i="21"/>
  <c r="M1638" i="21"/>
  <c r="L1638" i="21"/>
  <c r="K1638" i="21"/>
  <c r="J1638" i="21"/>
  <c r="N1638" i="21" s="1"/>
  <c r="Q1637" i="21"/>
  <c r="P1637" i="21"/>
  <c r="O1637" i="21"/>
  <c r="N1637" i="21"/>
  <c r="M1637" i="21"/>
  <c r="L1637" i="21"/>
  <c r="J1637" i="21"/>
  <c r="K1637" i="21" s="1"/>
  <c r="Q1636" i="21"/>
  <c r="P1636" i="21"/>
  <c r="O1636" i="21"/>
  <c r="N1636" i="21"/>
  <c r="M1636" i="21"/>
  <c r="L1636" i="21"/>
  <c r="J1636" i="21"/>
  <c r="K1636" i="21" s="1"/>
  <c r="Q1635" i="21"/>
  <c r="P1635" i="21"/>
  <c r="O1635" i="21"/>
  <c r="N1635" i="21"/>
  <c r="M1635" i="21"/>
  <c r="L1635" i="21"/>
  <c r="J1635" i="21"/>
  <c r="K1635" i="21" s="1"/>
  <c r="Q1634" i="21"/>
  <c r="P1634" i="21"/>
  <c r="O1634" i="21"/>
  <c r="M1634" i="21"/>
  <c r="L1634" i="21"/>
  <c r="K1634" i="21"/>
  <c r="J1634" i="21"/>
  <c r="N1634" i="21" s="1"/>
  <c r="Q1633" i="21"/>
  <c r="P1633" i="21"/>
  <c r="O1633" i="21"/>
  <c r="N1633" i="21"/>
  <c r="M1633" i="21"/>
  <c r="L1633" i="21"/>
  <c r="J1633" i="21"/>
  <c r="K1633" i="21" s="1"/>
  <c r="Q1632" i="21"/>
  <c r="P1632" i="21"/>
  <c r="O1632" i="21"/>
  <c r="N1632" i="21"/>
  <c r="M1632" i="21"/>
  <c r="L1632" i="21"/>
  <c r="J1632" i="21"/>
  <c r="K1632" i="21" s="1"/>
  <c r="Q1631" i="21"/>
  <c r="P1631" i="21"/>
  <c r="O1631" i="21"/>
  <c r="N1631" i="21"/>
  <c r="M1631" i="21"/>
  <c r="L1631" i="21"/>
  <c r="J1631" i="21"/>
  <c r="K1631" i="21" s="1"/>
  <c r="Q1630" i="21"/>
  <c r="P1630" i="21"/>
  <c r="N1630" i="21"/>
  <c r="M1630" i="21"/>
  <c r="L1630" i="21"/>
  <c r="K1630" i="21"/>
  <c r="J1630" i="21"/>
  <c r="O1630" i="21" s="1"/>
  <c r="Q1629" i="21"/>
  <c r="P1629" i="21"/>
  <c r="O1629" i="21"/>
  <c r="N1629" i="21"/>
  <c r="M1629" i="21"/>
  <c r="L1629" i="21"/>
  <c r="J1629" i="21"/>
  <c r="K1629" i="21" s="1"/>
  <c r="Q1628" i="21"/>
  <c r="P1628" i="21"/>
  <c r="O1628" i="21"/>
  <c r="M1628" i="21"/>
  <c r="L1628" i="21"/>
  <c r="K1628" i="21"/>
  <c r="J1628" i="21"/>
  <c r="N1628" i="21" s="1"/>
  <c r="Q1627" i="21"/>
  <c r="P1627" i="21"/>
  <c r="O1627" i="21"/>
  <c r="N1627" i="21"/>
  <c r="M1627" i="21"/>
  <c r="L1627" i="21"/>
  <c r="J1627" i="21"/>
  <c r="K1627" i="21" s="1"/>
  <c r="Q1626" i="21"/>
  <c r="P1626" i="21"/>
  <c r="O1626" i="21"/>
  <c r="N1626" i="21"/>
  <c r="M1626" i="21"/>
  <c r="L1626" i="21"/>
  <c r="J1626" i="21"/>
  <c r="K1626" i="21" s="1"/>
  <c r="Q1625" i="21"/>
  <c r="P1625" i="21"/>
  <c r="O1625" i="21"/>
  <c r="N1625" i="21"/>
  <c r="M1625" i="21"/>
  <c r="L1625" i="21"/>
  <c r="J1625" i="21"/>
  <c r="K1625" i="21" s="1"/>
  <c r="Q1624" i="21"/>
  <c r="P1624" i="21"/>
  <c r="O1624" i="21"/>
  <c r="M1624" i="21"/>
  <c r="L1624" i="21"/>
  <c r="K1624" i="21"/>
  <c r="J1624" i="21"/>
  <c r="N1624" i="21" s="1"/>
  <c r="Q1623" i="21"/>
  <c r="P1623" i="21"/>
  <c r="O1623" i="21"/>
  <c r="N1623" i="21"/>
  <c r="M1623" i="21"/>
  <c r="L1623" i="21"/>
  <c r="J1623" i="21"/>
  <c r="K1623" i="21" s="1"/>
  <c r="Q1622" i="21"/>
  <c r="P1622" i="21"/>
  <c r="O1622" i="21"/>
  <c r="N1622" i="21"/>
  <c r="M1622" i="21"/>
  <c r="L1622" i="21"/>
  <c r="J1622" i="21"/>
  <c r="K1622" i="21" s="1"/>
  <c r="Q1621" i="21"/>
  <c r="P1621" i="21"/>
  <c r="O1621" i="21"/>
  <c r="N1621" i="21"/>
  <c r="M1621" i="21"/>
  <c r="L1621" i="21"/>
  <c r="J1621" i="21"/>
  <c r="K1621" i="21" s="1"/>
  <c r="Q1620" i="21"/>
  <c r="P1620" i="21"/>
  <c r="O1620" i="21"/>
  <c r="M1620" i="21"/>
  <c r="L1620" i="21"/>
  <c r="K1620" i="21"/>
  <c r="J1620" i="21"/>
  <c r="N1620" i="21" s="1"/>
  <c r="Q1619" i="21"/>
  <c r="P1619" i="21"/>
  <c r="O1619" i="21"/>
  <c r="N1619" i="21"/>
  <c r="M1619" i="21"/>
  <c r="L1619" i="21"/>
  <c r="J1619" i="21"/>
  <c r="K1619" i="21" s="1"/>
  <c r="Q1618" i="21"/>
  <c r="P1618" i="21"/>
  <c r="O1618" i="21"/>
  <c r="N1618" i="21"/>
  <c r="M1618" i="21"/>
  <c r="L1618" i="21"/>
  <c r="J1618" i="21"/>
  <c r="K1618" i="21" s="1"/>
  <c r="Q1617" i="21"/>
  <c r="P1617" i="21"/>
  <c r="O1617" i="21"/>
  <c r="N1617" i="21"/>
  <c r="M1617" i="21"/>
  <c r="L1617" i="21"/>
  <c r="J1617" i="21"/>
  <c r="K1617" i="21" s="1"/>
  <c r="Q1616" i="21"/>
  <c r="P1616" i="21"/>
  <c r="O1616" i="21"/>
  <c r="M1616" i="21"/>
  <c r="L1616" i="21"/>
  <c r="K1616" i="21"/>
  <c r="J1616" i="21"/>
  <c r="N1616" i="21" s="1"/>
  <c r="Q1615" i="21"/>
  <c r="P1615" i="21"/>
  <c r="O1615" i="21"/>
  <c r="N1615" i="21"/>
  <c r="M1615" i="21"/>
  <c r="L1615" i="21"/>
  <c r="J1615" i="21"/>
  <c r="K1615" i="21" s="1"/>
  <c r="Q1614" i="21"/>
  <c r="P1614" i="21"/>
  <c r="O1614" i="21"/>
  <c r="N1614" i="21"/>
  <c r="M1614" i="21"/>
  <c r="L1614" i="21"/>
  <c r="J1614" i="21"/>
  <c r="K1614" i="21" s="1"/>
  <c r="Q1613" i="21"/>
  <c r="P1613" i="21"/>
  <c r="O1613" i="21"/>
  <c r="N1613" i="21"/>
  <c r="M1613" i="21"/>
  <c r="L1613" i="21"/>
  <c r="J1613" i="21"/>
  <c r="K1613" i="21" s="1"/>
  <c r="Q1612" i="21"/>
  <c r="P1612" i="21"/>
  <c r="O1612" i="21"/>
  <c r="M1612" i="21"/>
  <c r="L1612" i="21"/>
  <c r="K1612" i="21"/>
  <c r="J1612" i="21"/>
  <c r="N1612" i="21" s="1"/>
  <c r="Q1611" i="21"/>
  <c r="P1611" i="21"/>
  <c r="O1611" i="21"/>
  <c r="N1611" i="21"/>
  <c r="M1611" i="21"/>
  <c r="L1611" i="21"/>
  <c r="J1611" i="21"/>
  <c r="K1611" i="21" s="1"/>
  <c r="Q1610" i="21"/>
  <c r="P1610" i="21"/>
  <c r="O1610" i="21"/>
  <c r="N1610" i="21"/>
  <c r="M1610" i="21"/>
  <c r="L1610" i="21"/>
  <c r="J1610" i="21"/>
  <c r="K1610" i="21" s="1"/>
  <c r="Q1609" i="21"/>
  <c r="P1609" i="21"/>
  <c r="O1609" i="21"/>
  <c r="N1609" i="21"/>
  <c r="M1609" i="21"/>
  <c r="L1609" i="21"/>
  <c r="J1609" i="21"/>
  <c r="K1609" i="21" s="1"/>
  <c r="Q1608" i="21"/>
  <c r="P1608" i="21"/>
  <c r="O1608" i="21"/>
  <c r="M1608" i="21"/>
  <c r="L1608" i="21"/>
  <c r="K1608" i="21"/>
  <c r="J1608" i="21"/>
  <c r="N1608" i="21" s="1"/>
  <c r="Q1607" i="21"/>
  <c r="P1607" i="21"/>
  <c r="O1607" i="21"/>
  <c r="N1607" i="21"/>
  <c r="M1607" i="21"/>
  <c r="L1607" i="21"/>
  <c r="J1607" i="21"/>
  <c r="K1607" i="21" s="1"/>
  <c r="Q1606" i="21"/>
  <c r="P1606" i="21"/>
  <c r="O1606" i="21"/>
  <c r="N1606" i="21"/>
  <c r="M1606" i="21"/>
  <c r="L1606" i="21"/>
  <c r="J1606" i="21"/>
  <c r="K1606" i="21" s="1"/>
  <c r="Q1605" i="21"/>
  <c r="P1605" i="21"/>
  <c r="O1605" i="21"/>
  <c r="N1605" i="21"/>
  <c r="M1605" i="21"/>
  <c r="L1605" i="21"/>
  <c r="J1605" i="21"/>
  <c r="K1605" i="21" s="1"/>
  <c r="Q1604" i="21"/>
  <c r="P1604" i="21"/>
  <c r="O1604" i="21"/>
  <c r="M1604" i="21"/>
  <c r="L1604" i="21"/>
  <c r="K1604" i="21"/>
  <c r="J1604" i="21"/>
  <c r="N1604" i="21" s="1"/>
  <c r="Q1603" i="21"/>
  <c r="P1603" i="21"/>
  <c r="O1603" i="21"/>
  <c r="N1603" i="21"/>
  <c r="M1603" i="21"/>
  <c r="L1603" i="21"/>
  <c r="J1603" i="21"/>
  <c r="K1603" i="21" s="1"/>
  <c r="Q1602" i="21"/>
  <c r="P1602" i="21"/>
  <c r="O1602" i="21"/>
  <c r="N1602" i="21"/>
  <c r="M1602" i="21"/>
  <c r="L1602" i="21"/>
  <c r="J1602" i="21"/>
  <c r="K1602" i="21" s="1"/>
  <c r="Q1601" i="21"/>
  <c r="P1601" i="21"/>
  <c r="O1601" i="21"/>
  <c r="N1601" i="21"/>
  <c r="M1601" i="21"/>
  <c r="L1601" i="21"/>
  <c r="J1601" i="21"/>
  <c r="K1601" i="21" s="1"/>
  <c r="Q1600" i="21"/>
  <c r="P1600" i="21"/>
  <c r="O1600" i="21"/>
  <c r="M1600" i="21"/>
  <c r="L1600" i="21"/>
  <c r="K1600" i="21"/>
  <c r="J1600" i="21"/>
  <c r="N1600" i="21" s="1"/>
  <c r="Q1599" i="21"/>
  <c r="P1599" i="21"/>
  <c r="O1599" i="21"/>
  <c r="N1599" i="21"/>
  <c r="M1599" i="21"/>
  <c r="L1599" i="21"/>
  <c r="J1599" i="21"/>
  <c r="K1599" i="21" s="1"/>
  <c r="Q1598" i="21"/>
  <c r="P1598" i="21"/>
  <c r="O1598" i="21"/>
  <c r="N1598" i="21"/>
  <c r="M1598" i="21"/>
  <c r="L1598" i="21"/>
  <c r="J1598" i="21"/>
  <c r="K1598" i="21" s="1"/>
  <c r="Q1597" i="21"/>
  <c r="P1597" i="21"/>
  <c r="O1597" i="21"/>
  <c r="N1597" i="21"/>
  <c r="M1597" i="21"/>
  <c r="L1597" i="21"/>
  <c r="J1597" i="21"/>
  <c r="K1597" i="21" s="1"/>
  <c r="Q1596" i="21"/>
  <c r="P1596" i="21"/>
  <c r="O1596" i="21"/>
  <c r="M1596" i="21"/>
  <c r="L1596" i="21"/>
  <c r="K1596" i="21"/>
  <c r="J1596" i="21"/>
  <c r="N1596" i="21" s="1"/>
  <c r="Q1595" i="21"/>
  <c r="P1595" i="21"/>
  <c r="O1595" i="21"/>
  <c r="N1595" i="21"/>
  <c r="M1595" i="21"/>
  <c r="L1595" i="21"/>
  <c r="J1595" i="21"/>
  <c r="K1595" i="21" s="1"/>
  <c r="Q1594" i="21"/>
  <c r="P1594" i="21"/>
  <c r="O1594" i="21"/>
  <c r="N1594" i="21"/>
  <c r="M1594" i="21"/>
  <c r="L1594" i="21"/>
  <c r="J1594" i="21"/>
  <c r="K1594" i="21" s="1"/>
  <c r="Q1593" i="21"/>
  <c r="P1593" i="21"/>
  <c r="O1593" i="21"/>
  <c r="N1593" i="21"/>
  <c r="M1593" i="21"/>
  <c r="L1593" i="21"/>
  <c r="J1593" i="21"/>
  <c r="K1593" i="21" s="1"/>
  <c r="Q1592" i="21"/>
  <c r="P1592" i="21"/>
  <c r="O1592" i="21"/>
  <c r="M1592" i="21"/>
  <c r="L1592" i="21"/>
  <c r="K1592" i="21"/>
  <c r="J1592" i="21"/>
  <c r="N1592" i="21" s="1"/>
  <c r="Q1591" i="21"/>
  <c r="P1591" i="21"/>
  <c r="O1591" i="21"/>
  <c r="N1591" i="21"/>
  <c r="M1591" i="21"/>
  <c r="L1591" i="21"/>
  <c r="J1591" i="21"/>
  <c r="K1591" i="21" s="1"/>
  <c r="Q1590" i="21"/>
  <c r="P1590" i="21"/>
  <c r="O1590" i="21"/>
  <c r="N1590" i="21"/>
  <c r="M1590" i="21"/>
  <c r="L1590" i="21"/>
  <c r="J1590" i="21"/>
  <c r="K1590" i="21" s="1"/>
  <c r="Q1589" i="21"/>
  <c r="P1589" i="21"/>
  <c r="O1589" i="21"/>
  <c r="N1589" i="21"/>
  <c r="M1589" i="21"/>
  <c r="L1589" i="21"/>
  <c r="J1589" i="21"/>
  <c r="K1589" i="21" s="1"/>
  <c r="Q1588" i="21"/>
  <c r="P1588" i="21"/>
  <c r="O1588" i="21"/>
  <c r="M1588" i="21"/>
  <c r="L1588" i="21"/>
  <c r="K1588" i="21"/>
  <c r="J1588" i="21"/>
  <c r="N1588" i="21" s="1"/>
  <c r="Q1587" i="21"/>
  <c r="P1587" i="21"/>
  <c r="O1587" i="21"/>
  <c r="N1587" i="21"/>
  <c r="M1587" i="21"/>
  <c r="L1587" i="21"/>
  <c r="J1587" i="21"/>
  <c r="K1587" i="21" s="1"/>
  <c r="Q1586" i="21"/>
  <c r="P1586" i="21"/>
  <c r="O1586" i="21"/>
  <c r="N1586" i="21"/>
  <c r="M1586" i="21"/>
  <c r="L1586" i="21"/>
  <c r="J1586" i="21"/>
  <c r="K1586" i="21" s="1"/>
  <c r="Q1585" i="21"/>
  <c r="P1585" i="21"/>
  <c r="O1585" i="21"/>
  <c r="N1585" i="21"/>
  <c r="M1585" i="21"/>
  <c r="L1585" i="21"/>
  <c r="J1585" i="21"/>
  <c r="K1585" i="21" s="1"/>
  <c r="Q1584" i="21"/>
  <c r="P1584" i="21"/>
  <c r="O1584" i="21"/>
  <c r="M1584" i="21"/>
  <c r="L1584" i="21"/>
  <c r="K1584" i="21"/>
  <c r="J1584" i="21"/>
  <c r="N1584" i="21" s="1"/>
  <c r="Q1583" i="21"/>
  <c r="P1583" i="21"/>
  <c r="O1583" i="21"/>
  <c r="N1583" i="21"/>
  <c r="M1583" i="21"/>
  <c r="L1583" i="21"/>
  <c r="J1583" i="21"/>
  <c r="K1583" i="21" s="1"/>
  <c r="Q1582" i="21"/>
  <c r="P1582" i="21"/>
  <c r="O1582" i="21"/>
  <c r="N1582" i="21"/>
  <c r="M1582" i="21"/>
  <c r="L1582" i="21"/>
  <c r="J1582" i="21"/>
  <c r="K1582" i="21" s="1"/>
  <c r="Q1581" i="21"/>
  <c r="P1581" i="21"/>
  <c r="O1581" i="21"/>
  <c r="N1581" i="21"/>
  <c r="M1581" i="21"/>
  <c r="L1581" i="21"/>
  <c r="J1581" i="21"/>
  <c r="K1581" i="21" s="1"/>
  <c r="Q1580" i="21"/>
  <c r="P1580" i="21"/>
  <c r="O1580" i="21"/>
  <c r="M1580" i="21"/>
  <c r="L1580" i="21"/>
  <c r="K1580" i="21"/>
  <c r="J1580" i="21"/>
  <c r="N1580" i="21" s="1"/>
  <c r="Q1579" i="21"/>
  <c r="P1579" i="21"/>
  <c r="O1579" i="21"/>
  <c r="N1579" i="21"/>
  <c r="M1579" i="21"/>
  <c r="L1579" i="21"/>
  <c r="J1579" i="21"/>
  <c r="K1579" i="21" s="1"/>
  <c r="Q1578" i="21"/>
  <c r="P1578" i="21"/>
  <c r="O1578" i="21"/>
  <c r="N1578" i="21"/>
  <c r="M1578" i="21"/>
  <c r="L1578" i="21"/>
  <c r="J1578" i="21"/>
  <c r="K1578" i="21" s="1"/>
  <c r="Q1577" i="21"/>
  <c r="P1577" i="21"/>
  <c r="O1577" i="21"/>
  <c r="N1577" i="21"/>
  <c r="M1577" i="21"/>
  <c r="L1577" i="21"/>
  <c r="J1577" i="21"/>
  <c r="K1577" i="21" s="1"/>
  <c r="Q1576" i="21"/>
  <c r="P1576" i="21"/>
  <c r="O1576" i="21"/>
  <c r="M1576" i="21"/>
  <c r="L1576" i="21"/>
  <c r="K1576" i="21"/>
  <c r="J1576" i="21"/>
  <c r="N1576" i="21" s="1"/>
  <c r="Q1575" i="21"/>
  <c r="P1575" i="21"/>
  <c r="O1575" i="21"/>
  <c r="N1575" i="21"/>
  <c r="M1575" i="21"/>
  <c r="L1575" i="21"/>
  <c r="J1575" i="21"/>
  <c r="K1575" i="21" s="1"/>
  <c r="Q1574" i="21"/>
  <c r="P1574" i="21"/>
  <c r="O1574" i="21"/>
  <c r="N1574" i="21"/>
  <c r="M1574" i="21"/>
  <c r="L1574" i="21"/>
  <c r="J1574" i="21"/>
  <c r="K1574" i="21" s="1"/>
  <c r="Q1573" i="21"/>
  <c r="P1573" i="21"/>
  <c r="O1573" i="21"/>
  <c r="N1573" i="21"/>
  <c r="M1573" i="21"/>
  <c r="L1573" i="21"/>
  <c r="J1573" i="21"/>
  <c r="K1573" i="21" s="1"/>
  <c r="Q1572" i="21"/>
  <c r="P1572" i="21"/>
  <c r="O1572" i="21"/>
  <c r="M1572" i="21"/>
  <c r="L1572" i="21"/>
  <c r="K1572" i="21"/>
  <c r="J1572" i="21"/>
  <c r="N1572" i="21" s="1"/>
  <c r="Q1571" i="21"/>
  <c r="P1571" i="21"/>
  <c r="O1571" i="21"/>
  <c r="N1571" i="21"/>
  <c r="M1571" i="21"/>
  <c r="L1571" i="21"/>
  <c r="J1571" i="21"/>
  <c r="K1571" i="21" s="1"/>
  <c r="Q1570" i="21"/>
  <c r="P1570" i="21"/>
  <c r="O1570" i="21"/>
  <c r="N1570" i="21"/>
  <c r="M1570" i="21"/>
  <c r="L1570" i="21"/>
  <c r="J1570" i="21"/>
  <c r="K1570" i="21" s="1"/>
  <c r="Q1569" i="21"/>
  <c r="P1569" i="21"/>
  <c r="O1569" i="21"/>
  <c r="N1569" i="21"/>
  <c r="M1569" i="21"/>
  <c r="L1569" i="21"/>
  <c r="J1569" i="21"/>
  <c r="K1569" i="21" s="1"/>
  <c r="Q1568" i="21"/>
  <c r="P1568" i="21"/>
  <c r="O1568" i="21"/>
  <c r="M1568" i="21"/>
  <c r="L1568" i="21"/>
  <c r="K1568" i="21"/>
  <c r="J1568" i="21"/>
  <c r="N1568" i="21" s="1"/>
  <c r="Q1567" i="21"/>
  <c r="P1567" i="21"/>
  <c r="O1567" i="21"/>
  <c r="N1567" i="21"/>
  <c r="M1567" i="21"/>
  <c r="L1567" i="21"/>
  <c r="J1567" i="21"/>
  <c r="K1567" i="21" s="1"/>
  <c r="Q1566" i="21"/>
  <c r="P1566" i="21"/>
  <c r="O1566" i="21"/>
  <c r="N1566" i="21"/>
  <c r="M1566" i="21"/>
  <c r="L1566" i="21"/>
  <c r="J1566" i="21"/>
  <c r="K1566" i="21" s="1"/>
  <c r="Q1565" i="21"/>
  <c r="P1565" i="21"/>
  <c r="O1565" i="21"/>
  <c r="N1565" i="21"/>
  <c r="M1565" i="21"/>
  <c r="L1565" i="21"/>
  <c r="J1565" i="21"/>
  <c r="K1565" i="21" s="1"/>
  <c r="Q1564" i="21"/>
  <c r="P1564" i="21"/>
  <c r="O1564" i="21"/>
  <c r="M1564" i="21"/>
  <c r="L1564" i="21"/>
  <c r="K1564" i="21"/>
  <c r="J1564" i="21"/>
  <c r="N1564" i="21" s="1"/>
  <c r="Q1563" i="21"/>
  <c r="P1563" i="21"/>
  <c r="O1563" i="21"/>
  <c r="N1563" i="21"/>
  <c r="M1563" i="21"/>
  <c r="L1563" i="21"/>
  <c r="J1563" i="21"/>
  <c r="K1563" i="21" s="1"/>
  <c r="Q1562" i="21"/>
  <c r="P1562" i="21"/>
  <c r="O1562" i="21"/>
  <c r="N1562" i="21"/>
  <c r="M1562" i="21"/>
  <c r="L1562" i="21"/>
  <c r="J1562" i="21"/>
  <c r="K1562" i="21" s="1"/>
  <c r="Q1561" i="21"/>
  <c r="P1561" i="21"/>
  <c r="O1561" i="21"/>
  <c r="N1561" i="21"/>
  <c r="M1561" i="21"/>
  <c r="L1561" i="21"/>
  <c r="J1561" i="21"/>
  <c r="K1561" i="21" s="1"/>
  <c r="Q1560" i="21"/>
  <c r="P1560" i="21"/>
  <c r="O1560" i="21"/>
  <c r="M1560" i="21"/>
  <c r="L1560" i="21"/>
  <c r="K1560" i="21"/>
  <c r="J1560" i="21"/>
  <c r="N1560" i="21" s="1"/>
  <c r="Q1559" i="21"/>
  <c r="P1559" i="21"/>
  <c r="O1559" i="21"/>
  <c r="N1559" i="21"/>
  <c r="M1559" i="21"/>
  <c r="L1559" i="21"/>
  <c r="J1559" i="21"/>
  <c r="K1559" i="21" s="1"/>
  <c r="Q1558" i="21"/>
  <c r="P1558" i="21"/>
  <c r="O1558" i="21"/>
  <c r="N1558" i="21"/>
  <c r="M1558" i="21"/>
  <c r="L1558" i="21"/>
  <c r="J1558" i="21"/>
  <c r="K1558" i="21" s="1"/>
  <c r="Q1557" i="21"/>
  <c r="P1557" i="21"/>
  <c r="O1557" i="21"/>
  <c r="N1557" i="21"/>
  <c r="M1557" i="21"/>
  <c r="L1557" i="21"/>
  <c r="J1557" i="21"/>
  <c r="K1557" i="21" s="1"/>
  <c r="Q1556" i="21"/>
  <c r="P1556" i="21"/>
  <c r="O1556" i="21"/>
  <c r="N1556" i="21"/>
  <c r="M1556" i="21"/>
  <c r="L1556" i="21"/>
  <c r="K1556" i="21"/>
  <c r="J1556" i="21"/>
  <c r="Q1555" i="21"/>
  <c r="P1555" i="21"/>
  <c r="O1555" i="21"/>
  <c r="M1555" i="21"/>
  <c r="L1555" i="21"/>
  <c r="K1555" i="21"/>
  <c r="J1555" i="21"/>
  <c r="N1555" i="21" s="1"/>
  <c r="Q1554" i="21"/>
  <c r="P1554" i="21"/>
  <c r="O1554" i="21"/>
  <c r="N1554" i="21"/>
  <c r="M1554" i="21"/>
  <c r="L1554" i="21"/>
  <c r="J1554" i="21"/>
  <c r="K1554" i="21" s="1"/>
  <c r="Q1553" i="21"/>
  <c r="P1553" i="21"/>
  <c r="O1553" i="21"/>
  <c r="N1553" i="21"/>
  <c r="M1553" i="21"/>
  <c r="L1553" i="21"/>
  <c r="J1553" i="21"/>
  <c r="K1553" i="21" s="1"/>
  <c r="Q1552" i="21"/>
  <c r="P1552" i="21"/>
  <c r="O1552" i="21"/>
  <c r="M1552" i="21"/>
  <c r="L1552" i="21"/>
  <c r="K1552" i="21"/>
  <c r="J1552" i="21"/>
  <c r="N1552" i="21" s="1"/>
  <c r="Q1551" i="21"/>
  <c r="P1551" i="21"/>
  <c r="O1551" i="21"/>
  <c r="N1551" i="21"/>
  <c r="M1551" i="21"/>
  <c r="L1551" i="21"/>
  <c r="J1551" i="21"/>
  <c r="K1551" i="21" s="1"/>
  <c r="Q1550" i="21"/>
  <c r="P1550" i="21"/>
  <c r="O1550" i="21"/>
  <c r="N1550" i="21"/>
  <c r="M1550" i="21"/>
  <c r="L1550" i="21"/>
  <c r="J1550" i="21"/>
  <c r="K1550" i="21" s="1"/>
  <c r="Q1549" i="21"/>
  <c r="P1549" i="21"/>
  <c r="O1549" i="21"/>
  <c r="N1549" i="21"/>
  <c r="M1549" i="21"/>
  <c r="L1549" i="21"/>
  <c r="J1549" i="21"/>
  <c r="K1549" i="21" s="1"/>
  <c r="Q1548" i="21"/>
  <c r="P1548" i="21"/>
  <c r="O1548" i="21"/>
  <c r="M1548" i="21"/>
  <c r="L1548" i="21"/>
  <c r="K1548" i="21"/>
  <c r="J1548" i="21"/>
  <c r="N1548" i="21" s="1"/>
  <c r="Q1547" i="21"/>
  <c r="P1547" i="21"/>
  <c r="O1547" i="21"/>
  <c r="N1547" i="21"/>
  <c r="M1547" i="21"/>
  <c r="L1547" i="21"/>
  <c r="J1547" i="21"/>
  <c r="K1547" i="21" s="1"/>
  <c r="Q1546" i="21"/>
  <c r="P1546" i="21"/>
  <c r="O1546" i="21"/>
  <c r="N1546" i="21"/>
  <c r="M1546" i="21"/>
  <c r="L1546" i="21"/>
  <c r="J1546" i="21"/>
  <c r="K1546" i="21" s="1"/>
  <c r="Q1545" i="21"/>
  <c r="P1545" i="21"/>
  <c r="O1545" i="21"/>
  <c r="N1545" i="21"/>
  <c r="M1545" i="21"/>
  <c r="L1545" i="21"/>
  <c r="J1545" i="21"/>
  <c r="K1545" i="21" s="1"/>
  <c r="Q1992" i="21"/>
  <c r="P1992" i="21"/>
  <c r="O1992" i="21"/>
  <c r="N1992" i="21"/>
  <c r="M1992" i="21"/>
  <c r="L1992" i="21"/>
  <c r="K1992" i="21"/>
  <c r="J1992" i="21"/>
  <c r="Q1991" i="21"/>
  <c r="P1991" i="21"/>
  <c r="O1991" i="21"/>
  <c r="N1991" i="21"/>
  <c r="M1991" i="21"/>
  <c r="L1991" i="21"/>
  <c r="K1991" i="21"/>
  <c r="J1991" i="21"/>
  <c r="Q1990" i="21"/>
  <c r="P1990" i="21"/>
  <c r="O1990" i="21"/>
  <c r="N1990" i="21"/>
  <c r="M1990" i="21"/>
  <c r="L1990" i="21"/>
  <c r="K1990" i="21"/>
  <c r="J1990" i="21"/>
  <c r="Q1989" i="21"/>
  <c r="P1989" i="21"/>
  <c r="O1989" i="21"/>
  <c r="N1989" i="21"/>
  <c r="M1989" i="21"/>
  <c r="L1989" i="21"/>
  <c r="K1989" i="21"/>
  <c r="J1989" i="21"/>
  <c r="Q1988" i="21"/>
  <c r="P1988" i="21"/>
  <c r="O1988" i="21"/>
  <c r="N1988" i="21"/>
  <c r="M1988" i="21"/>
  <c r="L1988" i="21"/>
  <c r="K1988" i="21"/>
  <c r="J1988" i="21"/>
  <c r="Q1987" i="21"/>
  <c r="P1987" i="21"/>
  <c r="O1987" i="21"/>
  <c r="N1987" i="21"/>
  <c r="M1987" i="21"/>
  <c r="L1987" i="21"/>
  <c r="K1987" i="21"/>
  <c r="J1987" i="21"/>
  <c r="Q1986" i="21"/>
  <c r="P1986" i="21"/>
  <c r="O1986" i="21"/>
  <c r="N1986" i="21"/>
  <c r="M1986" i="21"/>
  <c r="L1986" i="21"/>
  <c r="K1986" i="21"/>
  <c r="J1986" i="21"/>
  <c r="Q1985" i="21"/>
  <c r="P1985" i="21"/>
  <c r="O1985" i="21"/>
  <c r="N1985" i="21"/>
  <c r="M1985" i="21"/>
  <c r="L1985" i="21"/>
  <c r="K1985" i="21"/>
  <c r="J1985" i="21"/>
  <c r="Q1984" i="21"/>
  <c r="P1984" i="21"/>
  <c r="O1984" i="21"/>
  <c r="N1984" i="21"/>
  <c r="M1984" i="21"/>
  <c r="L1984" i="21"/>
  <c r="K1984" i="21"/>
  <c r="J1984" i="21"/>
  <c r="Q1983" i="21"/>
  <c r="P1983" i="21"/>
  <c r="O1983" i="21"/>
  <c r="N1983" i="21"/>
  <c r="M1983" i="21"/>
  <c r="L1983" i="21"/>
  <c r="K1983" i="21"/>
  <c r="J1983" i="21"/>
  <c r="Q1982" i="21"/>
  <c r="P1982" i="21"/>
  <c r="O1982" i="21"/>
  <c r="N1982" i="21"/>
  <c r="M1982" i="21"/>
  <c r="L1982" i="21"/>
  <c r="K1982" i="21"/>
  <c r="J1982" i="21"/>
  <c r="Q1981" i="21"/>
  <c r="P1981" i="21"/>
  <c r="O1981" i="21"/>
  <c r="N1981" i="21"/>
  <c r="M1981" i="21"/>
  <c r="L1981" i="21"/>
  <c r="K1981" i="21"/>
  <c r="J1981" i="21"/>
  <c r="Q1980" i="21"/>
  <c r="P1980" i="21"/>
  <c r="O1980" i="21"/>
  <c r="N1980" i="21"/>
  <c r="M1980" i="21"/>
  <c r="L1980" i="21"/>
  <c r="K1980" i="21"/>
  <c r="J1980" i="21"/>
  <c r="Q1979" i="21"/>
  <c r="P1979" i="21"/>
  <c r="O1979" i="21"/>
  <c r="N1979" i="21"/>
  <c r="M1979" i="21"/>
  <c r="L1979" i="21"/>
  <c r="K1979" i="21"/>
  <c r="J1979" i="21"/>
  <c r="Q1978" i="21"/>
  <c r="P1978" i="21"/>
  <c r="O1978" i="21"/>
  <c r="N1978" i="21"/>
  <c r="M1978" i="21"/>
  <c r="L1978" i="21"/>
  <c r="K1978" i="21"/>
  <c r="J1978" i="21"/>
  <c r="Q1977" i="21"/>
  <c r="P1977" i="21"/>
  <c r="O1977" i="21"/>
  <c r="N1977" i="21"/>
  <c r="M1977" i="21"/>
  <c r="L1977" i="21"/>
  <c r="K1977" i="21"/>
  <c r="J1977" i="21"/>
  <c r="Q1976" i="21"/>
  <c r="P1976" i="21"/>
  <c r="O1976" i="21"/>
  <c r="N1976" i="21"/>
  <c r="M1976" i="21"/>
  <c r="L1976" i="21"/>
  <c r="K1976" i="21"/>
  <c r="J1976" i="21"/>
  <c r="Q1975" i="21"/>
  <c r="P1975" i="21"/>
  <c r="O1975" i="21"/>
  <c r="N1975" i="21"/>
  <c r="M1975" i="21"/>
  <c r="L1975" i="21"/>
  <c r="K1975" i="21"/>
  <c r="J1975" i="21"/>
  <c r="Q1974" i="21"/>
  <c r="P1974" i="21"/>
  <c r="O1974" i="21"/>
  <c r="N1974" i="21"/>
  <c r="M1974" i="21"/>
  <c r="L1974" i="21"/>
  <c r="K1974" i="21"/>
  <c r="J1974" i="21"/>
  <c r="Q1973" i="21"/>
  <c r="P1973" i="21"/>
  <c r="O1973" i="21"/>
  <c r="N1973" i="21"/>
  <c r="M1973" i="21"/>
  <c r="L1973" i="21"/>
  <c r="K1973" i="21"/>
  <c r="J1973" i="21"/>
  <c r="Q1972" i="21"/>
  <c r="P1972" i="21"/>
  <c r="O1972" i="21"/>
  <c r="N1972" i="21"/>
  <c r="M1972" i="21"/>
  <c r="L1972" i="21"/>
  <c r="K1972" i="21"/>
  <c r="J1972" i="21"/>
  <c r="Q1971" i="21"/>
  <c r="P1971" i="21"/>
  <c r="O1971" i="21"/>
  <c r="N1971" i="21"/>
  <c r="M1971" i="21"/>
  <c r="L1971" i="21"/>
  <c r="K1971" i="21"/>
  <c r="J1971" i="21"/>
  <c r="Q1970" i="21"/>
  <c r="P1970" i="21"/>
  <c r="O1970" i="21"/>
  <c r="N1970" i="21"/>
  <c r="M1970" i="21"/>
  <c r="L1970" i="21"/>
  <c r="K1970" i="21"/>
  <c r="J1970" i="21"/>
  <c r="Q1969" i="21"/>
  <c r="P1969" i="21"/>
  <c r="O1969" i="21"/>
  <c r="N1969" i="21"/>
  <c r="M1969" i="21"/>
  <c r="L1969" i="21"/>
  <c r="K1969" i="21"/>
  <c r="J1969" i="21"/>
  <c r="Q1968" i="21"/>
  <c r="P1968" i="21"/>
  <c r="O1968" i="21"/>
  <c r="N1968" i="21"/>
  <c r="M1968" i="21"/>
  <c r="L1968" i="21"/>
  <c r="K1968" i="21"/>
  <c r="J1968" i="21"/>
  <c r="Q1967" i="21"/>
  <c r="P1967" i="21"/>
  <c r="O1967" i="21"/>
  <c r="N1967" i="21"/>
  <c r="M1967" i="21"/>
  <c r="L1967" i="21"/>
  <c r="K1967" i="21"/>
  <c r="J1967" i="21"/>
  <c r="Q1966" i="21"/>
  <c r="P1966" i="21"/>
  <c r="O1966" i="21"/>
  <c r="N1966" i="21"/>
  <c r="M1966" i="21"/>
  <c r="L1966" i="21"/>
  <c r="K1966" i="21"/>
  <c r="J1966" i="21"/>
  <c r="Q1965" i="21"/>
  <c r="P1965" i="21"/>
  <c r="O1965" i="21"/>
  <c r="N1965" i="21"/>
  <c r="M1965" i="21"/>
  <c r="L1965" i="21"/>
  <c r="K1965" i="21"/>
  <c r="J1965" i="21"/>
  <c r="Q1964" i="21"/>
  <c r="P1964" i="21"/>
  <c r="O1964" i="21"/>
  <c r="N1964" i="21"/>
  <c r="M1964" i="21"/>
  <c r="L1964" i="21"/>
  <c r="K1964" i="21"/>
  <c r="J1964" i="21"/>
  <c r="Q1963" i="21"/>
  <c r="P1963" i="21"/>
  <c r="O1963" i="21"/>
  <c r="N1963" i="21"/>
  <c r="M1963" i="21"/>
  <c r="L1963" i="21"/>
  <c r="K1963" i="21"/>
  <c r="J1963" i="21"/>
  <c r="Q1962" i="21"/>
  <c r="P1962" i="21"/>
  <c r="O1962" i="21"/>
  <c r="N1962" i="21"/>
  <c r="M1962" i="21"/>
  <c r="L1962" i="21"/>
  <c r="K1962" i="21"/>
  <c r="J1962" i="21"/>
  <c r="Q1961" i="21"/>
  <c r="P1961" i="21"/>
  <c r="O1961" i="21"/>
  <c r="N1961" i="21"/>
  <c r="M1961" i="21"/>
  <c r="L1961" i="21"/>
  <c r="K1961" i="21"/>
  <c r="J1961" i="21"/>
  <c r="Q1960" i="21"/>
  <c r="P1960" i="21"/>
  <c r="O1960" i="21"/>
  <c r="N1960" i="21"/>
  <c r="M1960" i="21"/>
  <c r="L1960" i="21"/>
  <c r="K1960" i="21"/>
  <c r="J1960" i="21"/>
  <c r="Q1959" i="21"/>
  <c r="P1959" i="21"/>
  <c r="O1959" i="21"/>
  <c r="N1959" i="21"/>
  <c r="M1959" i="21"/>
  <c r="L1959" i="21"/>
  <c r="K1959" i="21"/>
  <c r="J1959" i="21"/>
  <c r="Q1958" i="21"/>
  <c r="P1958" i="21"/>
  <c r="O1958" i="21"/>
  <c r="N1958" i="21"/>
  <c r="M1958" i="21"/>
  <c r="L1958" i="21"/>
  <c r="K1958" i="21"/>
  <c r="J1958" i="21"/>
  <c r="Q1957" i="21"/>
  <c r="P1957" i="21"/>
  <c r="O1957" i="21"/>
  <c r="N1957" i="21"/>
  <c r="M1957" i="21"/>
  <c r="L1957" i="21"/>
  <c r="K1957" i="21"/>
  <c r="J1957" i="21"/>
  <c r="Q1956" i="21"/>
  <c r="P1956" i="21"/>
  <c r="O1956" i="21"/>
  <c r="N1956" i="21"/>
  <c r="M1956" i="21"/>
  <c r="L1956" i="21"/>
  <c r="K1956" i="21"/>
  <c r="J1956" i="21"/>
  <c r="Q1955" i="21"/>
  <c r="P1955" i="21"/>
  <c r="O1955" i="21"/>
  <c r="N1955" i="21"/>
  <c r="M1955" i="21"/>
  <c r="L1955" i="21"/>
  <c r="K1955" i="21"/>
  <c r="J1955" i="21"/>
  <c r="Q1954" i="21"/>
  <c r="P1954" i="21"/>
  <c r="O1954" i="21"/>
  <c r="N1954" i="21"/>
  <c r="M1954" i="21"/>
  <c r="L1954" i="21"/>
  <c r="K1954" i="21"/>
  <c r="J1954" i="21"/>
  <c r="Q1953" i="21"/>
  <c r="P1953" i="21"/>
  <c r="O1953" i="21"/>
  <c r="N1953" i="21"/>
  <c r="M1953" i="21"/>
  <c r="L1953" i="21"/>
  <c r="K1953" i="21"/>
  <c r="J1953" i="21"/>
  <c r="Q1952" i="21"/>
  <c r="P1952" i="21"/>
  <c r="O1952" i="21"/>
  <c r="N1952" i="21"/>
  <c r="M1952" i="21"/>
  <c r="L1952" i="21"/>
  <c r="K1952" i="21"/>
  <c r="J1952" i="21"/>
  <c r="Q1951" i="21"/>
  <c r="P1951" i="21"/>
  <c r="O1951" i="21"/>
  <c r="N1951" i="21"/>
  <c r="M1951" i="21"/>
  <c r="L1951" i="21"/>
  <c r="K1951" i="21"/>
  <c r="J1951" i="21"/>
  <c r="Q1950" i="21"/>
  <c r="P1950" i="21"/>
  <c r="O1950" i="21"/>
  <c r="N1950" i="21"/>
  <c r="M1950" i="21"/>
  <c r="L1950" i="21"/>
  <c r="K1950" i="21"/>
  <c r="J1950" i="21"/>
  <c r="Q1949" i="21"/>
  <c r="P1949" i="21"/>
  <c r="O1949" i="21"/>
  <c r="N1949" i="21"/>
  <c r="M1949" i="21"/>
  <c r="L1949" i="21"/>
  <c r="K1949" i="21"/>
  <c r="J1949" i="21"/>
  <c r="Q1948" i="21"/>
  <c r="P1948" i="21"/>
  <c r="O1948" i="21"/>
  <c r="N1948" i="21"/>
  <c r="M1948" i="21"/>
  <c r="L1948" i="21"/>
  <c r="K1948" i="21"/>
  <c r="J1948" i="21"/>
  <c r="Q1947" i="21"/>
  <c r="P1947" i="21"/>
  <c r="O1947" i="21"/>
  <c r="N1947" i="21"/>
  <c r="M1947" i="21"/>
  <c r="L1947" i="21"/>
  <c r="K1947" i="21"/>
  <c r="J1947" i="21"/>
  <c r="Q1946" i="21"/>
  <c r="P1946" i="21"/>
  <c r="O1946" i="21"/>
  <c r="N1946" i="21"/>
  <c r="M1946" i="21"/>
  <c r="L1946" i="21"/>
  <c r="K1946" i="21"/>
  <c r="J1946" i="21"/>
  <c r="Q1945" i="21"/>
  <c r="P1945" i="21"/>
  <c r="O1945" i="21"/>
  <c r="N1945" i="21"/>
  <c r="M1945" i="21"/>
  <c r="L1945" i="21"/>
  <c r="K1945" i="21"/>
  <c r="J1945" i="21"/>
  <c r="Q1944" i="21"/>
  <c r="P1944" i="21"/>
  <c r="O1944" i="21"/>
  <c r="N1944" i="21"/>
  <c r="M1944" i="21"/>
  <c r="L1944" i="21"/>
  <c r="K1944" i="21"/>
  <c r="J1944" i="21"/>
  <c r="Q1943" i="21"/>
  <c r="P1943" i="21"/>
  <c r="O1943" i="21"/>
  <c r="N1943" i="21"/>
  <c r="M1943" i="21"/>
  <c r="L1943" i="21"/>
  <c r="K1943" i="21"/>
  <c r="J1943" i="21"/>
  <c r="Q1942" i="21"/>
  <c r="P1942" i="21"/>
  <c r="O1942" i="21"/>
  <c r="N1942" i="21"/>
  <c r="M1942" i="21"/>
  <c r="L1942" i="21"/>
  <c r="K1942" i="21"/>
  <c r="J1942" i="21"/>
  <c r="Q1941" i="21"/>
  <c r="P1941" i="21"/>
  <c r="O1941" i="21"/>
  <c r="N1941" i="21"/>
  <c r="M1941" i="21"/>
  <c r="L1941" i="21"/>
  <c r="K1941" i="21"/>
  <c r="J1941" i="21"/>
  <c r="Q1940" i="21"/>
  <c r="P1940" i="21"/>
  <c r="O1940" i="21"/>
  <c r="N1940" i="21"/>
  <c r="M1940" i="21"/>
  <c r="L1940" i="21"/>
  <c r="K1940" i="21"/>
  <c r="J1940" i="21"/>
  <c r="Q1939" i="21"/>
  <c r="P1939" i="21"/>
  <c r="O1939" i="21"/>
  <c r="N1939" i="21"/>
  <c r="M1939" i="21"/>
  <c r="L1939" i="21"/>
  <c r="K1939" i="21"/>
  <c r="J1939" i="21"/>
  <c r="Q1938" i="21"/>
  <c r="P1938" i="21"/>
  <c r="O1938" i="21"/>
  <c r="N1938" i="21"/>
  <c r="M1938" i="21"/>
  <c r="L1938" i="21"/>
  <c r="K1938" i="21"/>
  <c r="J1938" i="21"/>
  <c r="Q1937" i="21"/>
  <c r="P1937" i="21"/>
  <c r="O1937" i="21"/>
  <c r="N1937" i="21"/>
  <c r="M1937" i="21"/>
  <c r="L1937" i="21"/>
  <c r="K1937" i="21"/>
  <c r="J1937" i="21"/>
  <c r="Q1936" i="21"/>
  <c r="P1936" i="21"/>
  <c r="O1936" i="21"/>
  <c r="N1936" i="21"/>
  <c r="M1936" i="21"/>
  <c r="L1936" i="21"/>
  <c r="K1936" i="21"/>
  <c r="J1936" i="21"/>
  <c r="Q1935" i="21"/>
  <c r="P1935" i="21"/>
  <c r="O1935" i="21"/>
  <c r="N1935" i="21"/>
  <c r="M1935" i="21"/>
  <c r="L1935" i="21"/>
  <c r="K1935" i="21"/>
  <c r="J1935" i="21"/>
  <c r="Q1934" i="21"/>
  <c r="P1934" i="21"/>
  <c r="O1934" i="21"/>
  <c r="N1934" i="21"/>
  <c r="M1934" i="21"/>
  <c r="L1934" i="21"/>
  <c r="K1934" i="21"/>
  <c r="J1934" i="21"/>
  <c r="Q1933" i="21"/>
  <c r="P1933" i="21"/>
  <c r="O1933" i="21"/>
  <c r="N1933" i="21"/>
  <c r="M1933" i="21"/>
  <c r="L1933" i="21"/>
  <c r="K1933" i="21"/>
  <c r="J1933" i="21"/>
  <c r="Q1932" i="21"/>
  <c r="P1932" i="21"/>
  <c r="O1932" i="21"/>
  <c r="N1932" i="21"/>
  <c r="M1932" i="21"/>
  <c r="L1932" i="21"/>
  <c r="K1932" i="21"/>
  <c r="J1932" i="21"/>
  <c r="Q1931" i="21"/>
  <c r="P1931" i="21"/>
  <c r="O1931" i="21"/>
  <c r="N1931" i="21"/>
  <c r="M1931" i="21"/>
  <c r="L1931" i="21"/>
  <c r="K1931" i="21"/>
  <c r="J1931" i="21"/>
  <c r="Q1930" i="21"/>
  <c r="P1930" i="21"/>
  <c r="O1930" i="21"/>
  <c r="N1930" i="21"/>
  <c r="M1930" i="21"/>
  <c r="L1930" i="21"/>
  <c r="K1930" i="21"/>
  <c r="J1930" i="21"/>
  <c r="Q1929" i="21"/>
  <c r="P1929" i="21"/>
  <c r="O1929" i="21"/>
  <c r="N1929" i="21"/>
  <c r="M1929" i="21"/>
  <c r="L1929" i="21"/>
  <c r="K1929" i="21"/>
  <c r="J1929" i="21"/>
  <c r="Q1928" i="21"/>
  <c r="P1928" i="21"/>
  <c r="O1928" i="21"/>
  <c r="N1928" i="21"/>
  <c r="M1928" i="21"/>
  <c r="L1928" i="21"/>
  <c r="K1928" i="21"/>
  <c r="J1928" i="21"/>
  <c r="Q1927" i="21"/>
  <c r="P1927" i="21"/>
  <c r="O1927" i="21"/>
  <c r="N1927" i="21"/>
  <c r="M1927" i="21"/>
  <c r="L1927" i="21"/>
  <c r="K1927" i="21"/>
  <c r="J1927" i="21"/>
  <c r="Q1926" i="21"/>
  <c r="P1926" i="21"/>
  <c r="O1926" i="21"/>
  <c r="N1926" i="21"/>
  <c r="M1926" i="21"/>
  <c r="L1926" i="21"/>
  <c r="K1926" i="21"/>
  <c r="J1926" i="21"/>
  <c r="Q1925" i="21"/>
  <c r="P1925" i="21"/>
  <c r="O1925" i="21"/>
  <c r="N1925" i="21"/>
  <c r="M1925" i="21"/>
  <c r="L1925" i="21"/>
  <c r="K1925" i="21"/>
  <c r="J1925" i="21"/>
  <c r="Q1924" i="21"/>
  <c r="P1924" i="21"/>
  <c r="O1924" i="21"/>
  <c r="N1924" i="21"/>
  <c r="M1924" i="21"/>
  <c r="L1924" i="21"/>
  <c r="K1924" i="21"/>
  <c r="J1924" i="21"/>
  <c r="Q1923" i="21"/>
  <c r="P1923" i="21"/>
  <c r="O1923" i="21"/>
  <c r="N1923" i="21"/>
  <c r="M1923" i="21"/>
  <c r="L1923" i="21"/>
  <c r="K1923" i="21"/>
  <c r="J1923" i="21"/>
  <c r="Q1922" i="21"/>
  <c r="P1922" i="21"/>
  <c r="O1922" i="21"/>
  <c r="N1922" i="21"/>
  <c r="M1922" i="21"/>
  <c r="L1922" i="21"/>
  <c r="K1922" i="21"/>
  <c r="J1922" i="21"/>
  <c r="Q1921" i="21"/>
  <c r="P1921" i="21"/>
  <c r="O1921" i="21"/>
  <c r="N1921" i="21"/>
  <c r="M1921" i="21"/>
  <c r="L1921" i="21"/>
  <c r="K1921" i="21"/>
  <c r="J1921" i="21"/>
  <c r="Q1920" i="21"/>
  <c r="P1920" i="21"/>
  <c r="O1920" i="21"/>
  <c r="N1920" i="21"/>
  <c r="M1920" i="21"/>
  <c r="L1920" i="21"/>
  <c r="K1920" i="21"/>
  <c r="J1920" i="21"/>
  <c r="Q1919" i="21"/>
  <c r="P1919" i="21"/>
  <c r="O1919" i="21"/>
  <c r="N1919" i="21"/>
  <c r="M1919" i="21"/>
  <c r="L1919" i="21"/>
  <c r="K1919" i="21"/>
  <c r="J1919" i="21"/>
  <c r="Q1918" i="21"/>
  <c r="P1918" i="21"/>
  <c r="O1918" i="21"/>
  <c r="N1918" i="21"/>
  <c r="M1918" i="21"/>
  <c r="L1918" i="21"/>
  <c r="K1918" i="21"/>
  <c r="J1918" i="21"/>
  <c r="Q1917" i="21"/>
  <c r="P1917" i="21"/>
  <c r="O1917" i="21"/>
  <c r="N1917" i="21"/>
  <c r="M1917" i="21"/>
  <c r="L1917" i="21"/>
  <c r="K1917" i="21"/>
  <c r="J1917" i="21"/>
  <c r="Q1916" i="21"/>
  <c r="P1916" i="21"/>
  <c r="O1916" i="21"/>
  <c r="N1916" i="21"/>
  <c r="M1916" i="21"/>
  <c r="L1916" i="21"/>
  <c r="K1916" i="21"/>
  <c r="J1916" i="21"/>
  <c r="Q1915" i="21"/>
  <c r="P1915" i="21"/>
  <c r="O1915" i="21"/>
  <c r="N1915" i="21"/>
  <c r="M1915" i="21"/>
  <c r="L1915" i="21"/>
  <c r="K1915" i="21"/>
  <c r="J1915" i="21"/>
  <c r="Q1914" i="21"/>
  <c r="P1914" i="21"/>
  <c r="O1914" i="21"/>
  <c r="N1914" i="21"/>
  <c r="M1914" i="21"/>
  <c r="L1914" i="21"/>
  <c r="K1914" i="21"/>
  <c r="J1914" i="21"/>
  <c r="Q1913" i="21"/>
  <c r="P1913" i="21"/>
  <c r="O1913" i="21"/>
  <c r="N1913" i="21"/>
  <c r="M1913" i="21"/>
  <c r="L1913" i="21"/>
  <c r="K1913" i="21"/>
  <c r="J1913" i="21"/>
  <c r="Q1912" i="21"/>
  <c r="P1912" i="21"/>
  <c r="O1912" i="21"/>
  <c r="N1912" i="21"/>
  <c r="M1912" i="21"/>
  <c r="L1912" i="21"/>
  <c r="K1912" i="21"/>
  <c r="J1912" i="21"/>
  <c r="Q1911" i="21"/>
  <c r="P1911" i="21"/>
  <c r="O1911" i="21"/>
  <c r="N1911" i="21"/>
  <c r="M1911" i="21"/>
  <c r="L1911" i="21"/>
  <c r="K1911" i="21"/>
  <c r="J1911" i="21"/>
  <c r="Q1910" i="21"/>
  <c r="P1910" i="21"/>
  <c r="O1910" i="21"/>
  <c r="N1910" i="21"/>
  <c r="M1910" i="21"/>
  <c r="L1910" i="21"/>
  <c r="K1910" i="21"/>
  <c r="J1910" i="21"/>
  <c r="Q1909" i="21"/>
  <c r="P1909" i="21"/>
  <c r="O1909" i="21"/>
  <c r="N1909" i="21"/>
  <c r="M1909" i="21"/>
  <c r="L1909" i="21"/>
  <c r="K1909" i="21"/>
  <c r="J1909" i="21"/>
  <c r="Q1908" i="21"/>
  <c r="P1908" i="21"/>
  <c r="O1908" i="21"/>
  <c r="N1908" i="21"/>
  <c r="M1908" i="21"/>
  <c r="L1908" i="21"/>
  <c r="K1908" i="21"/>
  <c r="J1908" i="21"/>
  <c r="Q1907" i="21"/>
  <c r="P1907" i="21"/>
  <c r="O1907" i="21"/>
  <c r="N1907" i="21"/>
  <c r="M1907" i="21"/>
  <c r="L1907" i="21"/>
  <c r="K1907" i="21"/>
  <c r="J1907" i="21"/>
  <c r="Q1906" i="21"/>
  <c r="P1906" i="21"/>
  <c r="O1906" i="21"/>
  <c r="N1906" i="21"/>
  <c r="M1906" i="21"/>
  <c r="L1906" i="21"/>
  <c r="K1906" i="21"/>
  <c r="J1906" i="21"/>
  <c r="Q1905" i="21"/>
  <c r="P1905" i="21"/>
  <c r="O1905" i="21"/>
  <c r="N1905" i="21"/>
  <c r="M1905" i="21"/>
  <c r="L1905" i="21"/>
  <c r="K1905" i="21"/>
  <c r="J1905" i="21"/>
  <c r="Q1904" i="21"/>
  <c r="P1904" i="21"/>
  <c r="O1904" i="21"/>
  <c r="N1904" i="21"/>
  <c r="M1904" i="21"/>
  <c r="L1904" i="21"/>
  <c r="K1904" i="21"/>
  <c r="J1904" i="21"/>
  <c r="Q1903" i="21"/>
  <c r="P1903" i="21"/>
  <c r="O1903" i="21"/>
  <c r="N1903" i="21"/>
  <c r="M1903" i="21"/>
  <c r="L1903" i="21"/>
  <c r="K1903" i="21"/>
  <c r="J1903" i="21"/>
  <c r="Q1902" i="21"/>
  <c r="P1902" i="21"/>
  <c r="O1902" i="21"/>
  <c r="N1902" i="21"/>
  <c r="M1902" i="21"/>
  <c r="L1902" i="21"/>
  <c r="K1902" i="21"/>
  <c r="J1902" i="21"/>
  <c r="Q1901" i="21"/>
  <c r="P1901" i="21"/>
  <c r="O1901" i="21"/>
  <c r="N1901" i="21"/>
  <c r="M1901" i="21"/>
  <c r="L1901" i="21"/>
  <c r="K1901" i="21"/>
  <c r="J1901" i="21"/>
  <c r="Q1900" i="21"/>
  <c r="P1900" i="21"/>
  <c r="O1900" i="21"/>
  <c r="N1900" i="21"/>
  <c r="M1900" i="21"/>
  <c r="L1900" i="21"/>
  <c r="K1900" i="21"/>
  <c r="J1900" i="21"/>
  <c r="Q1899" i="21"/>
  <c r="P1899" i="21"/>
  <c r="O1899" i="21"/>
  <c r="N1899" i="21"/>
  <c r="M1899" i="21"/>
  <c r="L1899" i="21"/>
  <c r="K1899" i="21"/>
  <c r="J1899" i="21"/>
  <c r="Q1898" i="21"/>
  <c r="P1898" i="21"/>
  <c r="O1898" i="21"/>
  <c r="N1898" i="21"/>
  <c r="M1898" i="21"/>
  <c r="L1898" i="21"/>
  <c r="K1898" i="21"/>
  <c r="J1898" i="21"/>
  <c r="Q1897" i="21"/>
  <c r="P1897" i="21"/>
  <c r="O1897" i="21"/>
  <c r="N1897" i="21"/>
  <c r="M1897" i="21"/>
  <c r="L1897" i="21"/>
  <c r="K1897" i="21"/>
  <c r="J1897" i="21"/>
  <c r="Q1896" i="21"/>
  <c r="P1896" i="21"/>
  <c r="O1896" i="21"/>
  <c r="N1896" i="21"/>
  <c r="M1896" i="21"/>
  <c r="L1896" i="21"/>
  <c r="K1896" i="21"/>
  <c r="J1896" i="21"/>
  <c r="Q1895" i="21"/>
  <c r="P1895" i="21"/>
  <c r="O1895" i="21"/>
  <c r="N1895" i="21"/>
  <c r="M1895" i="21"/>
  <c r="L1895" i="21"/>
  <c r="K1895" i="21"/>
  <c r="J1895" i="21"/>
  <c r="Q1894" i="21"/>
  <c r="P1894" i="21"/>
  <c r="O1894" i="21"/>
  <c r="N1894" i="21"/>
  <c r="M1894" i="21"/>
  <c r="L1894" i="21"/>
  <c r="K1894" i="21"/>
  <c r="J1894" i="21"/>
  <c r="Q1893" i="21"/>
  <c r="P1893" i="21"/>
  <c r="O1893" i="21"/>
  <c r="N1893" i="21"/>
  <c r="M1893" i="21"/>
  <c r="L1893" i="21"/>
  <c r="K1893" i="21"/>
  <c r="J1893" i="21"/>
  <c r="Q1892" i="21"/>
  <c r="P1892" i="21"/>
  <c r="O1892" i="21"/>
  <c r="N1892" i="21"/>
  <c r="M1892" i="21"/>
  <c r="L1892" i="21"/>
  <c r="K1892" i="21"/>
  <c r="J1892" i="21"/>
  <c r="Q1891" i="21"/>
  <c r="P1891" i="21"/>
  <c r="O1891" i="21"/>
  <c r="N1891" i="21"/>
  <c r="M1891" i="21"/>
  <c r="L1891" i="21"/>
  <c r="K1891" i="21"/>
  <c r="J1891" i="21"/>
  <c r="Q1890" i="21"/>
  <c r="P1890" i="21"/>
  <c r="O1890" i="21"/>
  <c r="N1890" i="21"/>
  <c r="M1890" i="21"/>
  <c r="L1890" i="21"/>
  <c r="K1890" i="21"/>
  <c r="J1890" i="21"/>
  <c r="Q1889" i="21"/>
  <c r="P1889" i="21"/>
  <c r="O1889" i="21"/>
  <c r="N1889" i="21"/>
  <c r="M1889" i="21"/>
  <c r="L1889" i="21"/>
  <c r="K1889" i="21"/>
  <c r="J1889" i="21"/>
  <c r="Q1888" i="21"/>
  <c r="P1888" i="21"/>
  <c r="O1888" i="21"/>
  <c r="N1888" i="21"/>
  <c r="M1888" i="21"/>
  <c r="L1888" i="21"/>
  <c r="K1888" i="21"/>
  <c r="J1888" i="21"/>
  <c r="Q1887" i="21"/>
  <c r="P1887" i="21"/>
  <c r="O1887" i="21"/>
  <c r="N1887" i="21"/>
  <c r="M1887" i="21"/>
  <c r="L1887" i="21"/>
  <c r="K1887" i="21"/>
  <c r="J1887" i="21"/>
  <c r="Q1886" i="21"/>
  <c r="P1886" i="21"/>
  <c r="O1886" i="21"/>
  <c r="N1886" i="21"/>
  <c r="M1886" i="21"/>
  <c r="L1886" i="21"/>
  <c r="K1886" i="21"/>
  <c r="J1886" i="21"/>
  <c r="Q1885" i="21"/>
  <c r="P1885" i="21"/>
  <c r="O1885" i="21"/>
  <c r="N1885" i="21"/>
  <c r="M1885" i="21"/>
  <c r="L1885" i="21"/>
  <c r="K1885" i="21"/>
  <c r="J1885" i="21"/>
  <c r="Q1884" i="21"/>
  <c r="P1884" i="21"/>
  <c r="O1884" i="21"/>
  <c r="N1884" i="21"/>
  <c r="M1884" i="21"/>
  <c r="L1884" i="21"/>
  <c r="K1884" i="21"/>
  <c r="J1884" i="21"/>
  <c r="Q1883" i="21"/>
  <c r="P1883" i="21"/>
  <c r="O1883" i="21"/>
  <c r="N1883" i="21"/>
  <c r="M1883" i="21"/>
  <c r="L1883" i="21"/>
  <c r="K1883" i="21"/>
  <c r="J1883" i="21"/>
  <c r="Q1882" i="21"/>
  <c r="P1882" i="21"/>
  <c r="O1882" i="21"/>
  <c r="N1882" i="21"/>
  <c r="M1882" i="21"/>
  <c r="L1882" i="21"/>
  <c r="K1882" i="21"/>
  <c r="J1882" i="21"/>
  <c r="Q1881" i="21"/>
  <c r="P1881" i="21"/>
  <c r="O1881" i="21"/>
  <c r="N1881" i="21"/>
  <c r="M1881" i="21"/>
  <c r="L1881" i="21"/>
  <c r="K1881" i="21"/>
  <c r="J1881" i="21"/>
  <c r="Q1880" i="21"/>
  <c r="P1880" i="21"/>
  <c r="O1880" i="21"/>
  <c r="N1880" i="21"/>
  <c r="M1880" i="21"/>
  <c r="L1880" i="21"/>
  <c r="K1880" i="21"/>
  <c r="J1880" i="21"/>
  <c r="Q1879" i="21"/>
  <c r="P1879" i="21"/>
  <c r="O1879" i="21"/>
  <c r="N1879" i="21"/>
  <c r="M1879" i="21"/>
  <c r="L1879" i="21"/>
  <c r="K1879" i="21"/>
  <c r="J1879" i="21"/>
  <c r="Q1878" i="21"/>
  <c r="P1878" i="21"/>
  <c r="O1878" i="21"/>
  <c r="N1878" i="21"/>
  <c r="M1878" i="21"/>
  <c r="L1878" i="21"/>
  <c r="K1878" i="21"/>
  <c r="J1878" i="21"/>
  <c r="Q1877" i="21"/>
  <c r="P1877" i="21"/>
  <c r="O1877" i="21"/>
  <c r="N1877" i="21"/>
  <c r="M1877" i="21"/>
  <c r="L1877" i="21"/>
  <c r="K1877" i="21"/>
  <c r="J1877" i="21"/>
  <c r="Q1876" i="21"/>
  <c r="P1876" i="21"/>
  <c r="O1876" i="21"/>
  <c r="N1876" i="21"/>
  <c r="M1876" i="21"/>
  <c r="L1876" i="21"/>
  <c r="K1876" i="21"/>
  <c r="J1876" i="21"/>
  <c r="Q1875" i="21"/>
  <c r="P1875" i="21"/>
  <c r="O1875" i="21"/>
  <c r="N1875" i="21"/>
  <c r="M1875" i="21"/>
  <c r="L1875" i="21"/>
  <c r="K1875" i="21"/>
  <c r="J1875" i="21"/>
  <c r="Q1874" i="21"/>
  <c r="P1874" i="21"/>
  <c r="O1874" i="21"/>
  <c r="N1874" i="21"/>
  <c r="M1874" i="21"/>
  <c r="L1874" i="21"/>
  <c r="K1874" i="21"/>
  <c r="J1874" i="21"/>
  <c r="Q1873" i="21"/>
  <c r="P1873" i="21"/>
  <c r="O1873" i="21"/>
  <c r="N1873" i="21"/>
  <c r="M1873" i="21"/>
  <c r="L1873" i="21"/>
  <c r="K1873" i="21"/>
  <c r="J1873" i="21"/>
  <c r="Q1872" i="21"/>
  <c r="P1872" i="21"/>
  <c r="O1872" i="21"/>
  <c r="N1872" i="21"/>
  <c r="M1872" i="21"/>
  <c r="L1872" i="21"/>
  <c r="K1872" i="21"/>
  <c r="J1872" i="21"/>
  <c r="Q1871" i="21"/>
  <c r="P1871" i="21"/>
  <c r="O1871" i="21"/>
  <c r="N1871" i="21"/>
  <c r="M1871" i="21"/>
  <c r="L1871" i="21"/>
  <c r="K1871" i="21"/>
  <c r="J1871" i="21"/>
  <c r="Q1870" i="21"/>
  <c r="P1870" i="21"/>
  <c r="O1870" i="21"/>
  <c r="N1870" i="21"/>
  <c r="M1870" i="21"/>
  <c r="L1870" i="21"/>
  <c r="K1870" i="21"/>
  <c r="J1870" i="21"/>
  <c r="Q1869" i="21"/>
  <c r="P1869" i="21"/>
  <c r="O1869" i="21"/>
  <c r="N1869" i="21"/>
  <c r="M1869" i="21"/>
  <c r="L1869" i="21"/>
  <c r="K1869" i="21"/>
  <c r="J1869" i="21"/>
  <c r="Q1868" i="21"/>
  <c r="P1868" i="21"/>
  <c r="O1868" i="21"/>
  <c r="N1868" i="21"/>
  <c r="M1868" i="21"/>
  <c r="L1868" i="21"/>
  <c r="K1868" i="21"/>
  <c r="J1868" i="21"/>
  <c r="Q1867" i="21"/>
  <c r="P1867" i="21"/>
  <c r="O1867" i="21"/>
  <c r="N1867" i="21"/>
  <c r="M1867" i="21"/>
  <c r="L1867" i="21"/>
  <c r="K1867" i="21"/>
  <c r="J1867" i="21"/>
  <c r="Q1866" i="21"/>
  <c r="P1866" i="21"/>
  <c r="O1866" i="21"/>
  <c r="N1866" i="21"/>
  <c r="M1866" i="21"/>
  <c r="L1866" i="21"/>
  <c r="K1866" i="21"/>
  <c r="J1866" i="21"/>
  <c r="Q1865" i="21"/>
  <c r="P1865" i="21"/>
  <c r="O1865" i="21"/>
  <c r="N1865" i="21"/>
  <c r="M1865" i="21"/>
  <c r="L1865" i="21"/>
  <c r="K1865" i="21"/>
  <c r="J1865" i="21"/>
  <c r="Q1864" i="21"/>
  <c r="P1864" i="21"/>
  <c r="O1864" i="21"/>
  <c r="N1864" i="21"/>
  <c r="M1864" i="21"/>
  <c r="L1864" i="21"/>
  <c r="K1864" i="21"/>
  <c r="J1864" i="21"/>
  <c r="Q1863" i="21"/>
  <c r="P1863" i="21"/>
  <c r="O1863" i="21"/>
  <c r="N1863" i="21"/>
  <c r="M1863" i="21"/>
  <c r="L1863" i="21"/>
  <c r="K1863" i="21"/>
  <c r="J1863" i="21"/>
  <c r="Q1862" i="21"/>
  <c r="P1862" i="21"/>
  <c r="O1862" i="21"/>
  <c r="N1862" i="21"/>
  <c r="M1862" i="21"/>
  <c r="L1862" i="21"/>
  <c r="K1862" i="21"/>
  <c r="J1862" i="21"/>
  <c r="Q1861" i="21"/>
  <c r="P1861" i="21"/>
  <c r="O1861" i="21"/>
  <c r="N1861" i="21"/>
  <c r="M1861" i="21"/>
  <c r="L1861" i="21"/>
  <c r="K1861" i="21"/>
  <c r="J1861" i="21"/>
  <c r="Q1860" i="21"/>
  <c r="P1860" i="21"/>
  <c r="O1860" i="21"/>
  <c r="N1860" i="21"/>
  <c r="M1860" i="21"/>
  <c r="L1860" i="21"/>
  <c r="K1860" i="21"/>
  <c r="J1860" i="21"/>
  <c r="Q1859" i="21"/>
  <c r="P1859" i="21"/>
  <c r="O1859" i="21"/>
  <c r="N1859" i="21"/>
  <c r="M1859" i="21"/>
  <c r="L1859" i="21"/>
  <c r="K1859" i="21"/>
  <c r="J1859" i="21"/>
  <c r="Q1858" i="21"/>
  <c r="P1858" i="21"/>
  <c r="O1858" i="21"/>
  <c r="N1858" i="21"/>
  <c r="M1858" i="21"/>
  <c r="L1858" i="21"/>
  <c r="K1858" i="21"/>
  <c r="J1858" i="21"/>
  <c r="Q1857" i="21"/>
  <c r="P1857" i="21"/>
  <c r="O1857" i="21"/>
  <c r="N1857" i="21"/>
  <c r="M1857" i="21"/>
  <c r="L1857" i="21"/>
  <c r="K1857" i="21"/>
  <c r="J1857" i="21"/>
  <c r="Q1856" i="21"/>
  <c r="P1856" i="21"/>
  <c r="O1856" i="21"/>
  <c r="N1856" i="21"/>
  <c r="M1856" i="21"/>
  <c r="L1856" i="21"/>
  <c r="K1856" i="21"/>
  <c r="J1856" i="21"/>
  <c r="Q1855" i="21"/>
  <c r="P1855" i="21"/>
  <c r="O1855" i="21"/>
  <c r="N1855" i="21"/>
  <c r="M1855" i="21"/>
  <c r="L1855" i="21"/>
  <c r="K1855" i="21"/>
  <c r="J1855" i="21"/>
  <c r="Q1854" i="21"/>
  <c r="P1854" i="21"/>
  <c r="O1854" i="21"/>
  <c r="N1854" i="21"/>
  <c r="M1854" i="21"/>
  <c r="L1854" i="21"/>
  <c r="K1854" i="21"/>
  <c r="J1854" i="21"/>
  <c r="Q1853" i="21"/>
  <c r="P1853" i="21"/>
  <c r="O1853" i="21"/>
  <c r="N1853" i="21"/>
  <c r="M1853" i="21"/>
  <c r="L1853" i="21"/>
  <c r="K1853" i="21"/>
  <c r="J1853" i="21"/>
  <c r="Q1852" i="21"/>
  <c r="P1852" i="21"/>
  <c r="O1852" i="21"/>
  <c r="N1852" i="21"/>
  <c r="M1852" i="21"/>
  <c r="L1852" i="21"/>
  <c r="K1852" i="21"/>
  <c r="J1852" i="21"/>
  <c r="Q1851" i="21"/>
  <c r="P1851" i="21"/>
  <c r="O1851" i="21"/>
  <c r="N1851" i="21"/>
  <c r="M1851" i="21"/>
  <c r="L1851" i="21"/>
  <c r="K1851" i="21"/>
  <c r="J1851" i="21"/>
  <c r="Q1850" i="21"/>
  <c r="P1850" i="21"/>
  <c r="O1850" i="21"/>
  <c r="N1850" i="21"/>
  <c r="M1850" i="21"/>
  <c r="L1850" i="21"/>
  <c r="K1850" i="21"/>
  <c r="J1850" i="21"/>
  <c r="Q1849" i="21"/>
  <c r="P1849" i="21"/>
  <c r="O1849" i="21"/>
  <c r="N1849" i="21"/>
  <c r="M1849" i="21"/>
  <c r="L1849" i="21"/>
  <c r="K1849" i="21"/>
  <c r="J1849" i="21"/>
  <c r="Q1848" i="21"/>
  <c r="P1848" i="21"/>
  <c r="O1848" i="21"/>
  <c r="N1848" i="21"/>
  <c r="M1848" i="21"/>
  <c r="L1848" i="21"/>
  <c r="K1848" i="21"/>
  <c r="J1848" i="21"/>
  <c r="Q1847" i="21"/>
  <c r="P1847" i="21"/>
  <c r="O1847" i="21"/>
  <c r="N1847" i="21"/>
  <c r="M1847" i="21"/>
  <c r="L1847" i="21"/>
  <c r="K1847" i="21"/>
  <c r="J1847" i="21"/>
  <c r="Q1846" i="21"/>
  <c r="P1846" i="21"/>
  <c r="O1846" i="21"/>
  <c r="N1846" i="21"/>
  <c r="M1846" i="21"/>
  <c r="L1846" i="21"/>
  <c r="K1846" i="21"/>
  <c r="J1846" i="21"/>
  <c r="Q1845" i="21"/>
  <c r="P1845" i="21"/>
  <c r="O1845" i="21"/>
  <c r="N1845" i="21"/>
  <c r="M1845" i="21"/>
  <c r="L1845" i="21"/>
  <c r="K1845" i="21"/>
  <c r="J1845" i="21"/>
  <c r="Q1844" i="21"/>
  <c r="P1844" i="21"/>
  <c r="O1844" i="21"/>
  <c r="N1844" i="21"/>
  <c r="M1844" i="21"/>
  <c r="L1844" i="21"/>
  <c r="K1844" i="21"/>
  <c r="J1844" i="21"/>
  <c r="Q1843" i="21"/>
  <c r="P1843" i="21"/>
  <c r="O1843" i="21"/>
  <c r="N1843" i="21"/>
  <c r="M1843" i="21"/>
  <c r="L1843" i="21"/>
  <c r="K1843" i="21"/>
  <c r="J1843" i="21"/>
  <c r="Q1842" i="21"/>
  <c r="P1842" i="21"/>
  <c r="O1842" i="21"/>
  <c r="N1842" i="21"/>
  <c r="M1842" i="21"/>
  <c r="L1842" i="21"/>
  <c r="K1842" i="21"/>
  <c r="J1842" i="21"/>
  <c r="Q1841" i="21"/>
  <c r="P1841" i="21"/>
  <c r="O1841" i="21"/>
  <c r="N1841" i="21"/>
  <c r="M1841" i="21"/>
  <c r="L1841" i="21"/>
  <c r="K1841" i="21"/>
  <c r="J1841" i="21"/>
  <c r="Q1840" i="21"/>
  <c r="P1840" i="21"/>
  <c r="O1840" i="21"/>
  <c r="N1840" i="21"/>
  <c r="M1840" i="21"/>
  <c r="L1840" i="21"/>
  <c r="K1840" i="21"/>
  <c r="J1840" i="21"/>
  <c r="Q1839" i="21"/>
  <c r="P1839" i="21"/>
  <c r="O1839" i="21"/>
  <c r="N1839" i="21"/>
  <c r="M1839" i="21"/>
  <c r="L1839" i="21"/>
  <c r="K1839" i="21"/>
  <c r="J1839" i="21"/>
  <c r="Q1838" i="21"/>
  <c r="P1838" i="21"/>
  <c r="O1838" i="21"/>
  <c r="N1838" i="21"/>
  <c r="M1838" i="21"/>
  <c r="L1838" i="21"/>
  <c r="K1838" i="21"/>
  <c r="J1838" i="21"/>
  <c r="Q1837" i="21"/>
  <c r="P1837" i="21"/>
  <c r="O1837" i="21"/>
  <c r="N1837" i="21"/>
  <c r="M1837" i="21"/>
  <c r="L1837" i="21"/>
  <c r="K1837" i="21"/>
  <c r="J1837" i="21"/>
  <c r="Q1836" i="21"/>
  <c r="P1836" i="21"/>
  <c r="O1836" i="21"/>
  <c r="N1836" i="21"/>
  <c r="M1836" i="21"/>
  <c r="L1836" i="21"/>
  <c r="K1836" i="21"/>
  <c r="J1836" i="21"/>
  <c r="Q1835" i="21"/>
  <c r="P1835" i="21"/>
  <c r="O1835" i="21"/>
  <c r="N1835" i="21"/>
  <c r="M1835" i="21"/>
  <c r="L1835" i="21"/>
  <c r="K1835" i="21"/>
  <c r="J1835" i="21"/>
  <c r="Q1834" i="21"/>
  <c r="P1834" i="21"/>
  <c r="O1834" i="21"/>
  <c r="N1834" i="21"/>
  <c r="M1834" i="21"/>
  <c r="L1834" i="21"/>
  <c r="K1834" i="21"/>
  <c r="J1834" i="21"/>
  <c r="Q1833" i="21"/>
  <c r="P1833" i="21"/>
  <c r="O1833" i="21"/>
  <c r="N1833" i="21"/>
  <c r="M1833" i="21"/>
  <c r="L1833" i="21"/>
  <c r="K1833" i="21"/>
  <c r="J1833" i="21"/>
  <c r="Q1832" i="21"/>
  <c r="P1832" i="21"/>
  <c r="O1832" i="21"/>
  <c r="N1832" i="21"/>
  <c r="M1832" i="21"/>
  <c r="L1832" i="21"/>
  <c r="K1832" i="21"/>
  <c r="J1832" i="21"/>
  <c r="Q1831" i="21"/>
  <c r="P1831" i="21"/>
  <c r="O1831" i="21"/>
  <c r="N1831" i="21"/>
  <c r="M1831" i="21"/>
  <c r="L1831" i="21"/>
  <c r="K1831" i="21"/>
  <c r="J1831" i="21"/>
  <c r="Q1830" i="21"/>
  <c r="P1830" i="21"/>
  <c r="O1830" i="21"/>
  <c r="N1830" i="21"/>
  <c r="M1830" i="21"/>
  <c r="L1830" i="21"/>
  <c r="K1830" i="21"/>
  <c r="J1830" i="21"/>
  <c r="Q1829" i="21"/>
  <c r="P1829" i="21"/>
  <c r="O1829" i="21"/>
  <c r="N1829" i="21"/>
  <c r="M1829" i="21"/>
  <c r="L1829" i="21"/>
  <c r="K1829" i="21"/>
  <c r="J1829" i="21"/>
  <c r="Q1828" i="21"/>
  <c r="P1828" i="21"/>
  <c r="O1828" i="21"/>
  <c r="N1828" i="21"/>
  <c r="M1828" i="21"/>
  <c r="L1828" i="21"/>
  <c r="K1828" i="21"/>
  <c r="J1828" i="21"/>
  <c r="Q1827" i="21"/>
  <c r="P1827" i="21"/>
  <c r="O1827" i="21"/>
  <c r="N1827" i="21"/>
  <c r="M1827" i="21"/>
  <c r="L1827" i="21"/>
  <c r="K1827" i="21"/>
  <c r="J1827" i="21"/>
  <c r="Q1826" i="21"/>
  <c r="P1826" i="21"/>
  <c r="O1826" i="21"/>
  <c r="N1826" i="21"/>
  <c r="M1826" i="21"/>
  <c r="L1826" i="21"/>
  <c r="K1826" i="21"/>
  <c r="J1826" i="21"/>
  <c r="Q1825" i="21"/>
  <c r="P1825" i="21"/>
  <c r="O1825" i="21"/>
  <c r="N1825" i="21"/>
  <c r="M1825" i="21"/>
  <c r="L1825" i="21"/>
  <c r="K1825" i="21"/>
  <c r="J1825" i="21"/>
  <c r="Q1824" i="21"/>
  <c r="P1824" i="21"/>
  <c r="O1824" i="21"/>
  <c r="M1824" i="21"/>
  <c r="L1824" i="21"/>
  <c r="K1824" i="21"/>
  <c r="J1824" i="21"/>
  <c r="N1824" i="21" s="1"/>
  <c r="Q1823" i="21"/>
  <c r="P1823" i="21"/>
  <c r="O1823" i="21"/>
  <c r="N1823" i="21"/>
  <c r="M1823" i="21"/>
  <c r="L1823" i="21"/>
  <c r="J1823" i="21"/>
  <c r="K1823" i="21" s="1"/>
  <c r="Q1822" i="21"/>
  <c r="P1822" i="21"/>
  <c r="O1822" i="21"/>
  <c r="N1822" i="21"/>
  <c r="M1822" i="21"/>
  <c r="L1822" i="21"/>
  <c r="J1822" i="21"/>
  <c r="K1822" i="21" s="1"/>
  <c r="Q1821" i="21"/>
  <c r="P1821" i="21"/>
  <c r="O1821" i="21"/>
  <c r="N1821" i="21"/>
  <c r="M1821" i="21"/>
  <c r="L1821" i="21"/>
  <c r="J1821" i="21"/>
  <c r="K1821" i="21" s="1"/>
  <c r="Q1820" i="21"/>
  <c r="P1820" i="21"/>
  <c r="O1820" i="21"/>
  <c r="M1820" i="21"/>
  <c r="L1820" i="21"/>
  <c r="K1820" i="21"/>
  <c r="J1820" i="21"/>
  <c r="N1820" i="21" s="1"/>
  <c r="Q1819" i="21"/>
  <c r="P1819" i="21"/>
  <c r="O1819" i="21"/>
  <c r="N1819" i="21"/>
  <c r="M1819" i="21"/>
  <c r="L1819" i="21"/>
  <c r="J1819" i="21"/>
  <c r="K1819" i="21" s="1"/>
  <c r="Q1818" i="21"/>
  <c r="P1818" i="21"/>
  <c r="O1818" i="21"/>
  <c r="N1818" i="21"/>
  <c r="M1818" i="21"/>
  <c r="L1818" i="21"/>
  <c r="J1818" i="21"/>
  <c r="K1818" i="21" s="1"/>
  <c r="Q1817" i="21"/>
  <c r="P1817" i="21"/>
  <c r="O1817" i="21"/>
  <c r="N1817" i="21"/>
  <c r="M1817" i="21"/>
  <c r="L1817" i="21"/>
  <c r="J1817" i="21"/>
  <c r="K1817" i="21" s="1"/>
  <c r="Q1816" i="21"/>
  <c r="P1816" i="21"/>
  <c r="O1816" i="21"/>
  <c r="M1816" i="21"/>
  <c r="L1816" i="21"/>
  <c r="K1816" i="21"/>
  <c r="J1816" i="21"/>
  <c r="N1816" i="21" s="1"/>
  <c r="Q1815" i="21"/>
  <c r="P1815" i="21"/>
  <c r="O1815" i="21"/>
  <c r="N1815" i="21"/>
  <c r="M1815" i="21"/>
  <c r="L1815" i="21"/>
  <c r="J1815" i="21"/>
  <c r="K1815" i="21" s="1"/>
  <c r="Q1814" i="21"/>
  <c r="P1814" i="21"/>
  <c r="O1814" i="21"/>
  <c r="N1814" i="21"/>
  <c r="M1814" i="21"/>
  <c r="L1814" i="21"/>
  <c r="J1814" i="21"/>
  <c r="K1814" i="21" s="1"/>
  <c r="Q1813" i="21"/>
  <c r="P1813" i="21"/>
  <c r="O1813" i="21"/>
  <c r="M1813" i="21"/>
  <c r="L1813" i="21"/>
  <c r="K1813" i="21"/>
  <c r="J1813" i="21"/>
  <c r="N1813" i="21" s="1"/>
  <c r="Q1812" i="21"/>
  <c r="P1812" i="21"/>
  <c r="O1812" i="21"/>
  <c r="N1812" i="21"/>
  <c r="M1812" i="21"/>
  <c r="L1812" i="21"/>
  <c r="J1812" i="21"/>
  <c r="K1812" i="21" s="1"/>
  <c r="Q2088" i="21"/>
  <c r="P2088" i="21"/>
  <c r="O2088" i="21"/>
  <c r="N2088" i="21"/>
  <c r="M2088" i="21"/>
  <c r="L2088" i="21"/>
  <c r="K2088" i="21"/>
  <c r="J2088" i="21"/>
  <c r="Q2087" i="21"/>
  <c r="P2087" i="21"/>
  <c r="O2087" i="21"/>
  <c r="N2087" i="21"/>
  <c r="M2087" i="21"/>
  <c r="L2087" i="21"/>
  <c r="K2087" i="21"/>
  <c r="J2087" i="21"/>
  <c r="Q2086" i="21"/>
  <c r="P2086" i="21"/>
  <c r="O2086" i="21"/>
  <c r="N2086" i="21"/>
  <c r="M2086" i="21"/>
  <c r="L2086" i="21"/>
  <c r="K2086" i="21"/>
  <c r="J2086" i="21"/>
  <c r="Q2085" i="21"/>
  <c r="P2085" i="21"/>
  <c r="O2085" i="21"/>
  <c r="N2085" i="21"/>
  <c r="M2085" i="21"/>
  <c r="L2085" i="21"/>
  <c r="K2085" i="21"/>
  <c r="J2085" i="21"/>
  <c r="Q2084" i="21"/>
  <c r="P2084" i="21"/>
  <c r="O2084" i="21"/>
  <c r="N2084" i="21"/>
  <c r="M2084" i="21"/>
  <c r="L2084" i="21"/>
  <c r="K2084" i="21"/>
  <c r="J2084" i="21"/>
  <c r="Q2083" i="21"/>
  <c r="P2083" i="21"/>
  <c r="O2083" i="21"/>
  <c r="N2083" i="21"/>
  <c r="M2083" i="21"/>
  <c r="L2083" i="21"/>
  <c r="K2083" i="21"/>
  <c r="J2083" i="21"/>
  <c r="Q2082" i="21"/>
  <c r="P2082" i="21"/>
  <c r="O2082" i="21"/>
  <c r="N2082" i="21"/>
  <c r="M2082" i="21"/>
  <c r="L2082" i="21"/>
  <c r="K2082" i="21"/>
  <c r="J2082" i="21"/>
  <c r="Q2081" i="21"/>
  <c r="P2081" i="21"/>
  <c r="O2081" i="21"/>
  <c r="N2081" i="21"/>
  <c r="M2081" i="21"/>
  <c r="L2081" i="21"/>
  <c r="K2081" i="21"/>
  <c r="J2081" i="21"/>
  <c r="Q2080" i="21"/>
  <c r="P2080" i="21"/>
  <c r="O2080" i="21"/>
  <c r="N2080" i="21"/>
  <c r="M2080" i="21"/>
  <c r="L2080" i="21"/>
  <c r="K2080" i="21"/>
  <c r="J2080" i="21"/>
  <c r="Q2079" i="21"/>
  <c r="P2079" i="21"/>
  <c r="O2079" i="21"/>
  <c r="N2079" i="21"/>
  <c r="M2079" i="21"/>
  <c r="L2079" i="21"/>
  <c r="K2079" i="21"/>
  <c r="J2079" i="21"/>
  <c r="Q2078" i="21"/>
  <c r="P2078" i="21"/>
  <c r="O2078" i="21"/>
  <c r="N2078" i="21"/>
  <c r="M2078" i="21"/>
  <c r="L2078" i="21"/>
  <c r="K2078" i="21"/>
  <c r="J2078" i="21"/>
  <c r="Q2077" i="21"/>
  <c r="P2077" i="21"/>
  <c r="O2077" i="21"/>
  <c r="N2077" i="21"/>
  <c r="M2077" i="21"/>
  <c r="L2077" i="21"/>
  <c r="K2077" i="21"/>
  <c r="J2077" i="21"/>
  <c r="Q2076" i="21"/>
  <c r="P2076" i="21"/>
  <c r="O2076" i="21"/>
  <c r="N2076" i="21"/>
  <c r="M2076" i="21"/>
  <c r="L2076" i="21"/>
  <c r="K2076" i="21"/>
  <c r="J2076" i="21"/>
  <c r="Q2075" i="21"/>
  <c r="P2075" i="21"/>
  <c r="O2075" i="21"/>
  <c r="N2075" i="21"/>
  <c r="M2075" i="21"/>
  <c r="L2075" i="21"/>
  <c r="K2075" i="21"/>
  <c r="J2075" i="21"/>
  <c r="Q2074" i="21"/>
  <c r="P2074" i="21"/>
  <c r="O2074" i="21"/>
  <c r="N2074" i="21"/>
  <c r="M2074" i="21"/>
  <c r="L2074" i="21"/>
  <c r="K2074" i="21"/>
  <c r="J2074" i="21"/>
  <c r="Q2073" i="21"/>
  <c r="P2073" i="21"/>
  <c r="O2073" i="21"/>
  <c r="N2073" i="21"/>
  <c r="M2073" i="21"/>
  <c r="L2073" i="21"/>
  <c r="K2073" i="21"/>
  <c r="J2073" i="21"/>
  <c r="Q2072" i="21"/>
  <c r="P2072" i="21"/>
  <c r="O2072" i="21"/>
  <c r="N2072" i="21"/>
  <c r="M2072" i="21"/>
  <c r="L2072" i="21"/>
  <c r="K2072" i="21"/>
  <c r="J2072" i="21"/>
  <c r="Q2071" i="21"/>
  <c r="P2071" i="21"/>
  <c r="O2071" i="21"/>
  <c r="N2071" i="21"/>
  <c r="M2071" i="21"/>
  <c r="L2071" i="21"/>
  <c r="K2071" i="21"/>
  <c r="J2071" i="21"/>
  <c r="Q2070" i="21"/>
  <c r="P2070" i="21"/>
  <c r="O2070" i="21"/>
  <c r="N2070" i="21"/>
  <c r="M2070" i="21"/>
  <c r="L2070" i="21"/>
  <c r="K2070" i="21"/>
  <c r="J2070" i="21"/>
  <c r="Q2069" i="21"/>
  <c r="P2069" i="21"/>
  <c r="O2069" i="21"/>
  <c r="N2069" i="21"/>
  <c r="M2069" i="21"/>
  <c r="L2069" i="21"/>
  <c r="K2069" i="21"/>
  <c r="J2069" i="21"/>
  <c r="Q2068" i="21"/>
  <c r="P2068" i="21"/>
  <c r="O2068" i="21"/>
  <c r="N2068" i="21"/>
  <c r="M2068" i="21"/>
  <c r="L2068" i="21"/>
  <c r="K2068" i="21"/>
  <c r="J2068" i="21"/>
  <c r="Q2067" i="21"/>
  <c r="P2067" i="21"/>
  <c r="O2067" i="21"/>
  <c r="N2067" i="21"/>
  <c r="M2067" i="21"/>
  <c r="L2067" i="21"/>
  <c r="K2067" i="21"/>
  <c r="J2067" i="21"/>
  <c r="Q2066" i="21"/>
  <c r="P2066" i="21"/>
  <c r="O2066" i="21"/>
  <c r="N2066" i="21"/>
  <c r="M2066" i="21"/>
  <c r="L2066" i="21"/>
  <c r="K2066" i="21"/>
  <c r="J2066" i="21"/>
  <c r="Q2065" i="21"/>
  <c r="P2065" i="21"/>
  <c r="O2065" i="21"/>
  <c r="N2065" i="21"/>
  <c r="M2065" i="21"/>
  <c r="L2065" i="21"/>
  <c r="K2065" i="21"/>
  <c r="J2065" i="21"/>
  <c r="Q2064" i="21"/>
  <c r="P2064" i="21"/>
  <c r="O2064" i="21"/>
  <c r="N2064" i="21"/>
  <c r="M2064" i="21"/>
  <c r="L2064" i="21"/>
  <c r="K2064" i="21"/>
  <c r="J2064" i="21"/>
  <c r="Q2063" i="21"/>
  <c r="P2063" i="21"/>
  <c r="O2063" i="21"/>
  <c r="N2063" i="21"/>
  <c r="M2063" i="21"/>
  <c r="L2063" i="21"/>
  <c r="K2063" i="21"/>
  <c r="J2063" i="21"/>
  <c r="Q2062" i="21"/>
  <c r="P2062" i="21"/>
  <c r="O2062" i="21"/>
  <c r="N2062" i="21"/>
  <c r="M2062" i="21"/>
  <c r="L2062" i="21"/>
  <c r="K2062" i="21"/>
  <c r="J2062" i="21"/>
  <c r="Q2061" i="21"/>
  <c r="P2061" i="21"/>
  <c r="O2061" i="21"/>
  <c r="N2061" i="21"/>
  <c r="M2061" i="21"/>
  <c r="L2061" i="21"/>
  <c r="K2061" i="21"/>
  <c r="J2061" i="21"/>
  <c r="Q2060" i="21"/>
  <c r="P2060" i="21"/>
  <c r="O2060" i="21"/>
  <c r="N2060" i="21"/>
  <c r="M2060" i="21"/>
  <c r="L2060" i="21"/>
  <c r="K2060" i="21"/>
  <c r="J2060" i="21"/>
  <c r="Q2059" i="21"/>
  <c r="P2059" i="21"/>
  <c r="O2059" i="21"/>
  <c r="N2059" i="21"/>
  <c r="M2059" i="21"/>
  <c r="L2059" i="21"/>
  <c r="K2059" i="21"/>
  <c r="J2059" i="21"/>
  <c r="Q2058" i="21"/>
  <c r="P2058" i="21"/>
  <c r="O2058" i="21"/>
  <c r="N2058" i="21"/>
  <c r="M2058" i="21"/>
  <c r="L2058" i="21"/>
  <c r="K2058" i="21"/>
  <c r="J2058" i="21"/>
  <c r="Q2057" i="21"/>
  <c r="P2057" i="21"/>
  <c r="O2057" i="21"/>
  <c r="N2057" i="21"/>
  <c r="M2057" i="21"/>
  <c r="L2057" i="21"/>
  <c r="K2057" i="21"/>
  <c r="J2057" i="21"/>
  <c r="Q2056" i="21"/>
  <c r="P2056" i="21"/>
  <c r="O2056" i="21"/>
  <c r="N2056" i="21"/>
  <c r="M2056" i="21"/>
  <c r="L2056" i="21"/>
  <c r="K2056" i="21"/>
  <c r="J2056" i="21"/>
  <c r="Q2055" i="21"/>
  <c r="P2055" i="21"/>
  <c r="O2055" i="21"/>
  <c r="N2055" i="21"/>
  <c r="M2055" i="21"/>
  <c r="L2055" i="21"/>
  <c r="K2055" i="21"/>
  <c r="J2055" i="21"/>
  <c r="Q2054" i="21"/>
  <c r="P2054" i="21"/>
  <c r="O2054" i="21"/>
  <c r="N2054" i="21"/>
  <c r="M2054" i="21"/>
  <c r="L2054" i="21"/>
  <c r="K2054" i="21"/>
  <c r="J2054" i="21"/>
  <c r="Q2053" i="21"/>
  <c r="P2053" i="21"/>
  <c r="O2053" i="21"/>
  <c r="N2053" i="21"/>
  <c r="M2053" i="21"/>
  <c r="L2053" i="21"/>
  <c r="K2053" i="21"/>
  <c r="J2053" i="21"/>
  <c r="Q2052" i="21"/>
  <c r="P2052" i="21"/>
  <c r="O2052" i="21"/>
  <c r="N2052" i="21"/>
  <c r="M2052" i="21"/>
  <c r="L2052" i="21"/>
  <c r="K2052" i="21"/>
  <c r="J2052" i="21"/>
  <c r="Q2051" i="21"/>
  <c r="P2051" i="21"/>
  <c r="O2051" i="21"/>
  <c r="N2051" i="21"/>
  <c r="M2051" i="21"/>
  <c r="L2051" i="21"/>
  <c r="K2051" i="21"/>
  <c r="J2051" i="21"/>
  <c r="Q2050" i="21"/>
  <c r="P2050" i="21"/>
  <c r="O2050" i="21"/>
  <c r="N2050" i="21"/>
  <c r="M2050" i="21"/>
  <c r="L2050" i="21"/>
  <c r="K2050" i="21"/>
  <c r="J2050" i="21"/>
  <c r="Q2049" i="21"/>
  <c r="P2049" i="21"/>
  <c r="O2049" i="21"/>
  <c r="N2049" i="21"/>
  <c r="M2049" i="21"/>
  <c r="L2049" i="21"/>
  <c r="K2049" i="21"/>
  <c r="J2049" i="21"/>
  <c r="Q2048" i="21"/>
  <c r="P2048" i="21"/>
  <c r="O2048" i="21"/>
  <c r="N2048" i="21"/>
  <c r="M2048" i="21"/>
  <c r="L2048" i="21"/>
  <c r="K2048" i="21"/>
  <c r="J2048" i="21"/>
  <c r="Q2047" i="21"/>
  <c r="P2047" i="21"/>
  <c r="O2047" i="21"/>
  <c r="N2047" i="21"/>
  <c r="M2047" i="21"/>
  <c r="L2047" i="21"/>
  <c r="K2047" i="21"/>
  <c r="J2047" i="21"/>
  <c r="Q2046" i="21"/>
  <c r="P2046" i="21"/>
  <c r="O2046" i="21"/>
  <c r="N2046" i="21"/>
  <c r="M2046" i="21"/>
  <c r="L2046" i="21"/>
  <c r="K2046" i="21"/>
  <c r="J2046" i="21"/>
  <c r="Q2045" i="21"/>
  <c r="P2045" i="21"/>
  <c r="O2045" i="21"/>
  <c r="N2045" i="21"/>
  <c r="M2045" i="21"/>
  <c r="L2045" i="21"/>
  <c r="K2045" i="21"/>
  <c r="J2045" i="21"/>
  <c r="Q2044" i="21"/>
  <c r="P2044" i="21"/>
  <c r="O2044" i="21"/>
  <c r="N2044" i="21"/>
  <c r="M2044" i="21"/>
  <c r="L2044" i="21"/>
  <c r="K2044" i="21"/>
  <c r="J2044" i="21"/>
  <c r="Q2043" i="21"/>
  <c r="P2043" i="21"/>
  <c r="O2043" i="21"/>
  <c r="N2043" i="21"/>
  <c r="M2043" i="21"/>
  <c r="L2043" i="21"/>
  <c r="K2043" i="21"/>
  <c r="J2043" i="21"/>
  <c r="Q2042" i="21"/>
  <c r="P2042" i="21"/>
  <c r="O2042" i="21"/>
  <c r="N2042" i="21"/>
  <c r="M2042" i="21"/>
  <c r="L2042" i="21"/>
  <c r="K2042" i="21"/>
  <c r="J2042" i="21"/>
  <c r="Q2041" i="21"/>
  <c r="P2041" i="21"/>
  <c r="O2041" i="21"/>
  <c r="N2041" i="21"/>
  <c r="M2041" i="21"/>
  <c r="L2041" i="21"/>
  <c r="K2041" i="21"/>
  <c r="J2041" i="21"/>
  <c r="Q2040" i="21"/>
  <c r="P2040" i="21"/>
  <c r="O2040" i="21"/>
  <c r="N2040" i="21"/>
  <c r="M2040" i="21"/>
  <c r="L2040" i="21"/>
  <c r="K2040" i="21"/>
  <c r="J2040" i="21"/>
  <c r="Q2039" i="21"/>
  <c r="P2039" i="21"/>
  <c r="O2039" i="21"/>
  <c r="N2039" i="21"/>
  <c r="M2039" i="21"/>
  <c r="L2039" i="21"/>
  <c r="K2039" i="21"/>
  <c r="J2039" i="21"/>
  <c r="Q2038" i="21"/>
  <c r="P2038" i="21"/>
  <c r="O2038" i="21"/>
  <c r="N2038" i="21"/>
  <c r="M2038" i="21"/>
  <c r="L2038" i="21"/>
  <c r="K2038" i="21"/>
  <c r="J2038" i="21"/>
  <c r="Q2037" i="21"/>
  <c r="P2037" i="21"/>
  <c r="O2037" i="21"/>
  <c r="N2037" i="21"/>
  <c r="M2037" i="21"/>
  <c r="L2037" i="21"/>
  <c r="K2037" i="21"/>
  <c r="J2037" i="21"/>
  <c r="Q2036" i="21"/>
  <c r="P2036" i="21"/>
  <c r="O2036" i="21"/>
  <c r="N2036" i="21"/>
  <c r="M2036" i="21"/>
  <c r="L2036" i="21"/>
  <c r="K2036" i="21"/>
  <c r="J2036" i="21"/>
  <c r="Q2035" i="21"/>
  <c r="P2035" i="21"/>
  <c r="O2035" i="21"/>
  <c r="N2035" i="21"/>
  <c r="M2035" i="21"/>
  <c r="L2035" i="21"/>
  <c r="K2035" i="21"/>
  <c r="J2035" i="21"/>
  <c r="Q2034" i="21"/>
  <c r="P2034" i="21"/>
  <c r="O2034" i="21"/>
  <c r="N2034" i="21"/>
  <c r="M2034" i="21"/>
  <c r="L2034" i="21"/>
  <c r="K2034" i="21"/>
  <c r="J2034" i="21"/>
  <c r="Q2033" i="21"/>
  <c r="P2033" i="21"/>
  <c r="O2033" i="21"/>
  <c r="N2033" i="21"/>
  <c r="M2033" i="21"/>
  <c r="L2033" i="21"/>
  <c r="K2033" i="21"/>
  <c r="J2033" i="21"/>
  <c r="Q2032" i="21"/>
  <c r="P2032" i="21"/>
  <c r="O2032" i="21"/>
  <c r="N2032" i="21"/>
  <c r="M2032" i="21"/>
  <c r="L2032" i="21"/>
  <c r="K2032" i="21"/>
  <c r="J2032" i="21"/>
  <c r="Q2031" i="21"/>
  <c r="P2031" i="21"/>
  <c r="O2031" i="21"/>
  <c r="N2031" i="21"/>
  <c r="M2031" i="21"/>
  <c r="L2031" i="21"/>
  <c r="K2031" i="21"/>
  <c r="J2031" i="21"/>
  <c r="Q2030" i="21"/>
  <c r="P2030" i="21"/>
  <c r="O2030" i="21"/>
  <c r="N2030" i="21"/>
  <c r="M2030" i="21"/>
  <c r="L2030" i="21"/>
  <c r="K2030" i="21"/>
  <c r="J2030" i="21"/>
  <c r="Q2029" i="21"/>
  <c r="P2029" i="21"/>
  <c r="O2029" i="21"/>
  <c r="N2029" i="21"/>
  <c r="M2029" i="21"/>
  <c r="L2029" i="21"/>
  <c r="K2029" i="21"/>
  <c r="J2029" i="21"/>
  <c r="Q2028" i="21"/>
  <c r="P2028" i="21"/>
  <c r="O2028" i="21"/>
  <c r="N2028" i="21"/>
  <c r="M2028" i="21"/>
  <c r="L2028" i="21"/>
  <c r="K2028" i="21"/>
  <c r="J2028" i="21"/>
  <c r="Q2027" i="21"/>
  <c r="P2027" i="21"/>
  <c r="O2027" i="21"/>
  <c r="N2027" i="21"/>
  <c r="M2027" i="21"/>
  <c r="L2027" i="21"/>
  <c r="K2027" i="21"/>
  <c r="J2027" i="21"/>
  <c r="Q2026" i="21"/>
  <c r="P2026" i="21"/>
  <c r="O2026" i="21"/>
  <c r="N2026" i="21"/>
  <c r="M2026" i="21"/>
  <c r="L2026" i="21"/>
  <c r="K2026" i="21"/>
  <c r="J2026" i="21"/>
  <c r="Q2025" i="21"/>
  <c r="P2025" i="21"/>
  <c r="O2025" i="21"/>
  <c r="N2025" i="21"/>
  <c r="M2025" i="21"/>
  <c r="L2025" i="21"/>
  <c r="K2025" i="21"/>
  <c r="J2025" i="21"/>
  <c r="Q2024" i="21"/>
  <c r="P2024" i="21"/>
  <c r="O2024" i="21"/>
  <c r="N2024" i="21"/>
  <c r="M2024" i="21"/>
  <c r="L2024" i="21"/>
  <c r="K2024" i="21"/>
  <c r="J2024" i="21"/>
  <c r="Q2023" i="21"/>
  <c r="P2023" i="21"/>
  <c r="O2023" i="21"/>
  <c r="N2023" i="21"/>
  <c r="M2023" i="21"/>
  <c r="L2023" i="21"/>
  <c r="K2023" i="21"/>
  <c r="J2023" i="21"/>
  <c r="Q2022" i="21"/>
  <c r="P2022" i="21"/>
  <c r="O2022" i="21"/>
  <c r="N2022" i="21"/>
  <c r="M2022" i="21"/>
  <c r="L2022" i="21"/>
  <c r="K2022" i="21"/>
  <c r="J2022" i="21"/>
  <c r="Q2021" i="21"/>
  <c r="P2021" i="21"/>
  <c r="O2021" i="21"/>
  <c r="N2021" i="21"/>
  <c r="M2021" i="21"/>
  <c r="L2021" i="21"/>
  <c r="K2021" i="21"/>
  <c r="J2021" i="21"/>
  <c r="Q2020" i="21"/>
  <c r="P2020" i="21"/>
  <c r="O2020" i="21"/>
  <c r="N2020" i="21"/>
  <c r="M2020" i="21"/>
  <c r="L2020" i="21"/>
  <c r="K2020" i="21"/>
  <c r="J2020" i="21"/>
  <c r="Q2019" i="21"/>
  <c r="P2019" i="21"/>
  <c r="O2019" i="21"/>
  <c r="N2019" i="21"/>
  <c r="M2019" i="21"/>
  <c r="L2019" i="21"/>
  <c r="K2019" i="21"/>
  <c r="J2019" i="21"/>
  <c r="Q2018" i="21"/>
  <c r="P2018" i="21"/>
  <c r="O2018" i="21"/>
  <c r="N2018" i="21"/>
  <c r="M2018" i="21"/>
  <c r="L2018" i="21"/>
  <c r="K2018" i="21"/>
  <c r="J2018" i="21"/>
  <c r="Q2017" i="21"/>
  <c r="P2017" i="21"/>
  <c r="O2017" i="21"/>
  <c r="N2017" i="21"/>
  <c r="M2017" i="21"/>
  <c r="L2017" i="21"/>
  <c r="K2017" i="21"/>
  <c r="J2017" i="21"/>
  <c r="Q2016" i="21"/>
  <c r="P2016" i="21"/>
  <c r="O2016" i="21"/>
  <c r="N2016" i="21"/>
  <c r="M2016" i="21"/>
  <c r="L2016" i="21"/>
  <c r="K2016" i="21"/>
  <c r="J2016" i="21"/>
  <c r="Q2015" i="21"/>
  <c r="P2015" i="21"/>
  <c r="O2015" i="21"/>
  <c r="N2015" i="21"/>
  <c r="M2015" i="21"/>
  <c r="L2015" i="21"/>
  <c r="K2015" i="21"/>
  <c r="J2015" i="21"/>
  <c r="Q2014" i="21"/>
  <c r="P2014" i="21"/>
  <c r="O2014" i="21"/>
  <c r="N2014" i="21"/>
  <c r="M2014" i="21"/>
  <c r="L2014" i="21"/>
  <c r="K2014" i="21"/>
  <c r="J2014" i="21"/>
  <c r="Q2013" i="21"/>
  <c r="P2013" i="21"/>
  <c r="O2013" i="21"/>
  <c r="N2013" i="21"/>
  <c r="M2013" i="21"/>
  <c r="L2013" i="21"/>
  <c r="K2013" i="21"/>
  <c r="J2013" i="21"/>
  <c r="Q2012" i="21"/>
  <c r="P2012" i="21"/>
  <c r="O2012" i="21"/>
  <c r="N2012" i="21"/>
  <c r="M2012" i="21"/>
  <c r="L2012" i="21"/>
  <c r="K2012" i="21"/>
  <c r="J2012" i="21"/>
  <c r="Q2011" i="21"/>
  <c r="P2011" i="21"/>
  <c r="O2011" i="21"/>
  <c r="N2011" i="21"/>
  <c r="M2011" i="21"/>
  <c r="L2011" i="21"/>
  <c r="K2011" i="21"/>
  <c r="J2011" i="21"/>
  <c r="Q2010" i="21"/>
  <c r="P2010" i="21"/>
  <c r="O2010" i="21"/>
  <c r="N2010" i="21"/>
  <c r="M2010" i="21"/>
  <c r="L2010" i="21"/>
  <c r="K2010" i="21"/>
  <c r="J2010" i="21"/>
  <c r="Q2009" i="21"/>
  <c r="P2009" i="21"/>
  <c r="O2009" i="21"/>
  <c r="N2009" i="21"/>
  <c r="M2009" i="21"/>
  <c r="L2009" i="21"/>
  <c r="K2009" i="21"/>
  <c r="J2009" i="21"/>
  <c r="Q2008" i="21"/>
  <c r="P2008" i="21"/>
  <c r="O2008" i="21"/>
  <c r="N2008" i="21"/>
  <c r="M2008" i="21"/>
  <c r="L2008" i="21"/>
  <c r="K2008" i="21"/>
  <c r="J2008" i="21"/>
  <c r="Q2007" i="21"/>
  <c r="P2007" i="21"/>
  <c r="O2007" i="21"/>
  <c r="N2007" i="21"/>
  <c r="M2007" i="21"/>
  <c r="L2007" i="21"/>
  <c r="K2007" i="21"/>
  <c r="J2007" i="21"/>
  <c r="Q2006" i="21"/>
  <c r="P2006" i="21"/>
  <c r="O2006" i="21"/>
  <c r="N2006" i="21"/>
  <c r="M2006" i="21"/>
  <c r="L2006" i="21"/>
  <c r="K2006" i="21"/>
  <c r="J2006" i="21"/>
  <c r="Q2005" i="21"/>
  <c r="P2005" i="21"/>
  <c r="O2005" i="21"/>
  <c r="N2005" i="21"/>
  <c r="M2005" i="21"/>
  <c r="L2005" i="21"/>
  <c r="K2005" i="21"/>
  <c r="J2005" i="21"/>
  <c r="Q2004" i="21"/>
  <c r="P2004" i="21"/>
  <c r="O2004" i="21"/>
  <c r="N2004" i="21"/>
  <c r="M2004" i="21"/>
  <c r="L2004" i="21"/>
  <c r="K2004" i="21"/>
  <c r="J2004" i="21"/>
  <c r="Q2003" i="21"/>
  <c r="P2003" i="21"/>
  <c r="O2003" i="21"/>
  <c r="N2003" i="21"/>
  <c r="M2003" i="21"/>
  <c r="L2003" i="21"/>
  <c r="K2003" i="21"/>
  <c r="J2003" i="21"/>
  <c r="Q2002" i="21"/>
  <c r="P2002" i="21"/>
  <c r="O2002" i="21"/>
  <c r="N2002" i="21"/>
  <c r="M2002" i="21"/>
  <c r="L2002" i="21"/>
  <c r="K2002" i="21"/>
  <c r="J2002" i="21"/>
  <c r="Q2001" i="21"/>
  <c r="P2001" i="21"/>
  <c r="O2001" i="21"/>
  <c r="N2001" i="21"/>
  <c r="M2001" i="21"/>
  <c r="L2001" i="21"/>
  <c r="K2001" i="21"/>
  <c r="J2001" i="21"/>
  <c r="Q2000" i="21"/>
  <c r="P2000" i="21"/>
  <c r="O2000" i="21"/>
  <c r="N2000" i="21"/>
  <c r="M2000" i="21"/>
  <c r="L2000" i="21"/>
  <c r="K2000" i="21"/>
  <c r="J2000" i="21"/>
  <c r="Q1999" i="21"/>
  <c r="P1999" i="21"/>
  <c r="O1999" i="21"/>
  <c r="N1999" i="21"/>
  <c r="M1999" i="21"/>
  <c r="L1999" i="21"/>
  <c r="K1999" i="21"/>
  <c r="J1999" i="21"/>
  <c r="Q1998" i="21"/>
  <c r="P1998" i="21"/>
  <c r="O1998" i="21"/>
  <c r="N1998" i="21"/>
  <c r="M1998" i="21"/>
  <c r="L1998" i="21"/>
  <c r="K1998" i="21"/>
  <c r="J1998" i="21"/>
  <c r="Q1997" i="21"/>
  <c r="P1997" i="21"/>
  <c r="O1997" i="21"/>
  <c r="N1997" i="21"/>
  <c r="M1997" i="21"/>
  <c r="L1997" i="21"/>
  <c r="K1997" i="21"/>
  <c r="J1997" i="21"/>
  <c r="Q1996" i="21"/>
  <c r="P1996" i="21"/>
  <c r="O1996" i="21"/>
  <c r="N1996" i="21"/>
  <c r="M1996" i="21"/>
  <c r="L1996" i="21"/>
  <c r="K1996" i="21"/>
  <c r="J1996" i="21"/>
  <c r="Q1995" i="21"/>
  <c r="P1995" i="21"/>
  <c r="O1995" i="21"/>
  <c r="N1995" i="21"/>
  <c r="M1995" i="21"/>
  <c r="L1995" i="21"/>
  <c r="K1995" i="21"/>
  <c r="J1995" i="21"/>
  <c r="Q1994" i="21"/>
  <c r="P1994" i="21"/>
  <c r="O1994" i="21"/>
  <c r="N1994" i="21"/>
  <c r="M1994" i="21"/>
  <c r="L1994" i="21"/>
  <c r="K1994" i="21"/>
  <c r="J1994" i="21"/>
  <c r="Q1993" i="21"/>
  <c r="P1993" i="21"/>
  <c r="O1993" i="21"/>
  <c r="N1993" i="21"/>
  <c r="M1993" i="21"/>
  <c r="L1993" i="21"/>
  <c r="K1993" i="21"/>
  <c r="J1993" i="21"/>
  <c r="Q2136" i="21"/>
  <c r="P2136" i="21"/>
  <c r="O2136" i="21"/>
  <c r="N2136" i="21"/>
  <c r="M2136" i="21"/>
  <c r="L2136" i="21"/>
  <c r="K2136" i="21"/>
  <c r="J2136" i="21"/>
  <c r="Q2135" i="21"/>
  <c r="P2135" i="21"/>
  <c r="O2135" i="21"/>
  <c r="N2135" i="21"/>
  <c r="M2135" i="21"/>
  <c r="L2135" i="21"/>
  <c r="K2135" i="21"/>
  <c r="J2135" i="21"/>
  <c r="Q2134" i="21"/>
  <c r="P2134" i="21"/>
  <c r="O2134" i="21"/>
  <c r="N2134" i="21"/>
  <c r="M2134" i="21"/>
  <c r="L2134" i="21"/>
  <c r="K2134" i="21"/>
  <c r="J2134" i="21"/>
  <c r="Q2133" i="21"/>
  <c r="P2133" i="21"/>
  <c r="O2133" i="21"/>
  <c r="N2133" i="21"/>
  <c r="M2133" i="21"/>
  <c r="L2133" i="21"/>
  <c r="K2133" i="21"/>
  <c r="J2133" i="21"/>
  <c r="Q2132" i="21"/>
  <c r="P2132" i="21"/>
  <c r="O2132" i="21"/>
  <c r="N2132" i="21"/>
  <c r="M2132" i="21"/>
  <c r="L2132" i="21"/>
  <c r="K2132" i="21"/>
  <c r="J2132" i="21"/>
  <c r="Q2131" i="21"/>
  <c r="P2131" i="21"/>
  <c r="O2131" i="21"/>
  <c r="N2131" i="21"/>
  <c r="M2131" i="21"/>
  <c r="L2131" i="21"/>
  <c r="K2131" i="21"/>
  <c r="J2131" i="21"/>
  <c r="Q2130" i="21"/>
  <c r="P2130" i="21"/>
  <c r="O2130" i="21"/>
  <c r="N2130" i="21"/>
  <c r="M2130" i="21"/>
  <c r="L2130" i="21"/>
  <c r="K2130" i="21"/>
  <c r="J2130" i="21"/>
  <c r="Q2129" i="21"/>
  <c r="P2129" i="21"/>
  <c r="O2129" i="21"/>
  <c r="N2129" i="21"/>
  <c r="M2129" i="21"/>
  <c r="L2129" i="21"/>
  <c r="K2129" i="21"/>
  <c r="J2129" i="21"/>
  <c r="Q2128" i="21"/>
  <c r="P2128" i="21"/>
  <c r="O2128" i="21"/>
  <c r="N2128" i="21"/>
  <c r="M2128" i="21"/>
  <c r="L2128" i="21"/>
  <c r="K2128" i="21"/>
  <c r="J2128" i="21"/>
  <c r="Q2127" i="21"/>
  <c r="P2127" i="21"/>
  <c r="O2127" i="21"/>
  <c r="N2127" i="21"/>
  <c r="M2127" i="21"/>
  <c r="L2127" i="21"/>
  <c r="K2127" i="21"/>
  <c r="J2127" i="21"/>
  <c r="Q2126" i="21"/>
  <c r="P2126" i="21"/>
  <c r="O2126" i="21"/>
  <c r="N2126" i="21"/>
  <c r="M2126" i="21"/>
  <c r="L2126" i="21"/>
  <c r="K2126" i="21"/>
  <c r="J2126" i="21"/>
  <c r="Q2125" i="21"/>
  <c r="P2125" i="21"/>
  <c r="O2125" i="21"/>
  <c r="N2125" i="21"/>
  <c r="M2125" i="21"/>
  <c r="L2125" i="21"/>
  <c r="K2125" i="21"/>
  <c r="J2125" i="21"/>
  <c r="Q2124" i="21"/>
  <c r="P2124" i="21"/>
  <c r="O2124" i="21"/>
  <c r="N2124" i="21"/>
  <c r="M2124" i="21"/>
  <c r="L2124" i="21"/>
  <c r="K2124" i="21"/>
  <c r="J2124" i="21"/>
  <c r="Q2123" i="21"/>
  <c r="P2123" i="21"/>
  <c r="O2123" i="21"/>
  <c r="N2123" i="21"/>
  <c r="M2123" i="21"/>
  <c r="L2123" i="21"/>
  <c r="K2123" i="21"/>
  <c r="J2123" i="21"/>
  <c r="Q2122" i="21"/>
  <c r="P2122" i="21"/>
  <c r="O2122" i="21"/>
  <c r="N2122" i="21"/>
  <c r="M2122" i="21"/>
  <c r="L2122" i="21"/>
  <c r="K2122" i="21"/>
  <c r="J2122" i="21"/>
  <c r="Q2121" i="21"/>
  <c r="P2121" i="21"/>
  <c r="O2121" i="21"/>
  <c r="N2121" i="21"/>
  <c r="M2121" i="21"/>
  <c r="L2121" i="21"/>
  <c r="K2121" i="21"/>
  <c r="J2121" i="21"/>
  <c r="Q2120" i="21"/>
  <c r="P2120" i="21"/>
  <c r="O2120" i="21"/>
  <c r="N2120" i="21"/>
  <c r="M2120" i="21"/>
  <c r="L2120" i="21"/>
  <c r="K2120" i="21"/>
  <c r="J2120" i="21"/>
  <c r="Q2119" i="21"/>
  <c r="P2119" i="21"/>
  <c r="O2119" i="21"/>
  <c r="N2119" i="21"/>
  <c r="M2119" i="21"/>
  <c r="L2119" i="21"/>
  <c r="K2119" i="21"/>
  <c r="J2119" i="21"/>
  <c r="Q2118" i="21"/>
  <c r="P2118" i="21"/>
  <c r="O2118" i="21"/>
  <c r="N2118" i="21"/>
  <c r="M2118" i="21"/>
  <c r="L2118" i="21"/>
  <c r="K2118" i="21"/>
  <c r="J2118" i="21"/>
  <c r="Q2117" i="21"/>
  <c r="P2117" i="21"/>
  <c r="O2117" i="21"/>
  <c r="N2117" i="21"/>
  <c r="M2117" i="21"/>
  <c r="L2117" i="21"/>
  <c r="K2117" i="21"/>
  <c r="J2117" i="21"/>
  <c r="Q2116" i="21"/>
  <c r="P2116" i="21"/>
  <c r="O2116" i="21"/>
  <c r="N2116" i="21"/>
  <c r="M2116" i="21"/>
  <c r="L2116" i="21"/>
  <c r="K2116" i="21"/>
  <c r="J2116" i="21"/>
  <c r="Q2115" i="21"/>
  <c r="P2115" i="21"/>
  <c r="O2115" i="21"/>
  <c r="N2115" i="21"/>
  <c r="M2115" i="21"/>
  <c r="L2115" i="21"/>
  <c r="K2115" i="21"/>
  <c r="J2115" i="21"/>
  <c r="Q2114" i="21"/>
  <c r="P2114" i="21"/>
  <c r="O2114" i="21"/>
  <c r="N2114" i="21"/>
  <c r="M2114" i="21"/>
  <c r="L2114" i="21"/>
  <c r="K2114" i="21"/>
  <c r="J2114" i="21"/>
  <c r="Q2113" i="21"/>
  <c r="P2113" i="21"/>
  <c r="O2113" i="21"/>
  <c r="N2113" i="21"/>
  <c r="M2113" i="21"/>
  <c r="L2113" i="21"/>
  <c r="K2113" i="21"/>
  <c r="J2113" i="21"/>
  <c r="Q2112" i="21"/>
  <c r="P2112" i="21"/>
  <c r="O2112" i="21"/>
  <c r="N2112" i="21"/>
  <c r="M2112" i="21"/>
  <c r="L2112" i="21"/>
  <c r="K2112" i="21"/>
  <c r="J2112" i="21"/>
  <c r="Q2111" i="21"/>
  <c r="P2111" i="21"/>
  <c r="O2111" i="21"/>
  <c r="N2111" i="21"/>
  <c r="M2111" i="21"/>
  <c r="L2111" i="21"/>
  <c r="K2111" i="21"/>
  <c r="J2111" i="21"/>
  <c r="Q2110" i="21"/>
  <c r="P2110" i="21"/>
  <c r="O2110" i="21"/>
  <c r="N2110" i="21"/>
  <c r="M2110" i="21"/>
  <c r="L2110" i="21"/>
  <c r="K2110" i="21"/>
  <c r="J2110" i="21"/>
  <c r="Q2109" i="21"/>
  <c r="P2109" i="21"/>
  <c r="O2109" i="21"/>
  <c r="N2109" i="21"/>
  <c r="M2109" i="21"/>
  <c r="L2109" i="21"/>
  <c r="K2109" i="21"/>
  <c r="J2109" i="21"/>
  <c r="Q2108" i="21"/>
  <c r="P2108" i="21"/>
  <c r="O2108" i="21"/>
  <c r="N2108" i="21"/>
  <c r="M2108" i="21"/>
  <c r="L2108" i="21"/>
  <c r="K2108" i="21"/>
  <c r="J2108" i="21"/>
  <c r="Q2107" i="21"/>
  <c r="P2107" i="21"/>
  <c r="O2107" i="21"/>
  <c r="N2107" i="21"/>
  <c r="M2107" i="21"/>
  <c r="L2107" i="21"/>
  <c r="K2107" i="21"/>
  <c r="J2107" i="21"/>
  <c r="Q2106" i="21"/>
  <c r="P2106" i="21"/>
  <c r="O2106" i="21"/>
  <c r="N2106" i="21"/>
  <c r="M2106" i="21"/>
  <c r="L2106" i="21"/>
  <c r="K2106" i="21"/>
  <c r="J2106" i="21"/>
  <c r="Q2105" i="21"/>
  <c r="P2105" i="21"/>
  <c r="O2105" i="21"/>
  <c r="N2105" i="21"/>
  <c r="M2105" i="21"/>
  <c r="L2105" i="21"/>
  <c r="K2105" i="21"/>
  <c r="J2105" i="21"/>
  <c r="Q2104" i="21"/>
  <c r="P2104" i="21"/>
  <c r="O2104" i="21"/>
  <c r="N2104" i="21"/>
  <c r="M2104" i="21"/>
  <c r="L2104" i="21"/>
  <c r="K2104" i="21"/>
  <c r="J2104" i="21"/>
  <c r="Q2103" i="21"/>
  <c r="P2103" i="21"/>
  <c r="O2103" i="21"/>
  <c r="N2103" i="21"/>
  <c r="M2103" i="21"/>
  <c r="L2103" i="21"/>
  <c r="K2103" i="21"/>
  <c r="J2103" i="21"/>
  <c r="Q2102" i="21"/>
  <c r="P2102" i="21"/>
  <c r="O2102" i="21"/>
  <c r="N2102" i="21"/>
  <c r="M2102" i="21"/>
  <c r="L2102" i="21"/>
  <c r="K2102" i="21"/>
  <c r="J2102" i="21"/>
  <c r="Q2101" i="21"/>
  <c r="P2101" i="21"/>
  <c r="O2101" i="21"/>
  <c r="N2101" i="21"/>
  <c r="M2101" i="21"/>
  <c r="L2101" i="21"/>
  <c r="K2101" i="21"/>
  <c r="J2101" i="21"/>
  <c r="Q2100" i="21"/>
  <c r="P2100" i="21"/>
  <c r="O2100" i="21"/>
  <c r="N2100" i="21"/>
  <c r="M2100" i="21"/>
  <c r="L2100" i="21"/>
  <c r="K2100" i="21"/>
  <c r="J2100" i="21"/>
  <c r="Q2099" i="21"/>
  <c r="P2099" i="21"/>
  <c r="O2099" i="21"/>
  <c r="N2099" i="21"/>
  <c r="M2099" i="21"/>
  <c r="L2099" i="21"/>
  <c r="K2099" i="21"/>
  <c r="J2099" i="21"/>
  <c r="Q2098" i="21"/>
  <c r="P2098" i="21"/>
  <c r="O2098" i="21"/>
  <c r="N2098" i="21"/>
  <c r="M2098" i="21"/>
  <c r="L2098" i="21"/>
  <c r="K2098" i="21"/>
  <c r="J2098" i="21"/>
  <c r="Q2097" i="21"/>
  <c r="P2097" i="21"/>
  <c r="O2097" i="21"/>
  <c r="N2097" i="21"/>
  <c r="M2097" i="21"/>
  <c r="L2097" i="21"/>
  <c r="K2097" i="21"/>
  <c r="J2097" i="21"/>
  <c r="Q2096" i="21"/>
  <c r="P2096" i="21"/>
  <c r="O2096" i="21"/>
  <c r="N2096" i="21"/>
  <c r="M2096" i="21"/>
  <c r="L2096" i="21"/>
  <c r="K2096" i="21"/>
  <c r="J2096" i="21"/>
  <c r="Q2095" i="21"/>
  <c r="P2095" i="21"/>
  <c r="O2095" i="21"/>
  <c r="N2095" i="21"/>
  <c r="M2095" i="21"/>
  <c r="L2095" i="21"/>
  <c r="K2095" i="21"/>
  <c r="J2095" i="21"/>
  <c r="Q2094" i="21"/>
  <c r="P2094" i="21"/>
  <c r="O2094" i="21"/>
  <c r="N2094" i="21"/>
  <c r="M2094" i="21"/>
  <c r="L2094" i="21"/>
  <c r="K2094" i="21"/>
  <c r="J2094" i="21"/>
  <c r="Q2093" i="21"/>
  <c r="P2093" i="21"/>
  <c r="O2093" i="21"/>
  <c r="N2093" i="21"/>
  <c r="M2093" i="21"/>
  <c r="L2093" i="21"/>
  <c r="K2093" i="21"/>
  <c r="J2093" i="21"/>
  <c r="Q2092" i="21"/>
  <c r="P2092" i="21"/>
  <c r="O2092" i="21"/>
  <c r="N2092" i="21"/>
  <c r="M2092" i="21"/>
  <c r="L2092" i="21"/>
  <c r="K2092" i="21"/>
  <c r="J2092" i="21"/>
  <c r="Q2091" i="21"/>
  <c r="P2091" i="21"/>
  <c r="O2091" i="21"/>
  <c r="N2091" i="21"/>
  <c r="M2091" i="21"/>
  <c r="L2091" i="21"/>
  <c r="K2091" i="21"/>
  <c r="J2091" i="21"/>
  <c r="Q2090" i="21"/>
  <c r="P2090" i="21"/>
  <c r="O2090" i="21"/>
  <c r="N2090" i="21"/>
  <c r="M2090" i="21"/>
  <c r="L2090" i="21"/>
  <c r="K2090" i="21"/>
  <c r="J2090" i="21"/>
  <c r="Q2089" i="21"/>
  <c r="P2089" i="21"/>
  <c r="O2089" i="21"/>
  <c r="N2089" i="21"/>
  <c r="M2089" i="21"/>
  <c r="L2089" i="21"/>
  <c r="K2089" i="21"/>
  <c r="J2089" i="21"/>
  <c r="Q2160" i="21"/>
  <c r="P2160" i="21"/>
  <c r="O2160" i="21"/>
  <c r="N2160" i="21"/>
  <c r="M2160" i="21"/>
  <c r="L2160" i="21"/>
  <c r="K2160" i="21"/>
  <c r="J2160" i="21"/>
  <c r="Q2159" i="21"/>
  <c r="P2159" i="21"/>
  <c r="O2159" i="21"/>
  <c r="N2159" i="21"/>
  <c r="M2159" i="21"/>
  <c r="L2159" i="21"/>
  <c r="K2159" i="21"/>
  <c r="J2159" i="21"/>
  <c r="Q2158" i="21"/>
  <c r="P2158" i="21"/>
  <c r="O2158" i="21"/>
  <c r="N2158" i="21"/>
  <c r="M2158" i="21"/>
  <c r="L2158" i="21"/>
  <c r="K2158" i="21"/>
  <c r="J2158" i="21"/>
  <c r="Q2157" i="21"/>
  <c r="P2157" i="21"/>
  <c r="O2157" i="21"/>
  <c r="N2157" i="21"/>
  <c r="M2157" i="21"/>
  <c r="L2157" i="21"/>
  <c r="K2157" i="21"/>
  <c r="J2157" i="21"/>
  <c r="Q2156" i="21"/>
  <c r="P2156" i="21"/>
  <c r="O2156" i="21"/>
  <c r="N2156" i="21"/>
  <c r="M2156" i="21"/>
  <c r="L2156" i="21"/>
  <c r="K2156" i="21"/>
  <c r="J2156" i="21"/>
  <c r="Q2155" i="21"/>
  <c r="P2155" i="21"/>
  <c r="O2155" i="21"/>
  <c r="N2155" i="21"/>
  <c r="M2155" i="21"/>
  <c r="L2155" i="21"/>
  <c r="K2155" i="21"/>
  <c r="J2155" i="21"/>
  <c r="Q2154" i="21"/>
  <c r="P2154" i="21"/>
  <c r="O2154" i="21"/>
  <c r="N2154" i="21"/>
  <c r="M2154" i="21"/>
  <c r="L2154" i="21"/>
  <c r="K2154" i="21"/>
  <c r="J2154" i="21"/>
  <c r="Q2153" i="21"/>
  <c r="P2153" i="21"/>
  <c r="O2153" i="21"/>
  <c r="N2153" i="21"/>
  <c r="M2153" i="21"/>
  <c r="L2153" i="21"/>
  <c r="K2153" i="21"/>
  <c r="J2153" i="21"/>
  <c r="Q2152" i="21"/>
  <c r="P2152" i="21"/>
  <c r="O2152" i="21"/>
  <c r="N2152" i="21"/>
  <c r="M2152" i="21"/>
  <c r="L2152" i="21"/>
  <c r="K2152" i="21"/>
  <c r="J2152" i="21"/>
  <c r="Q2151" i="21"/>
  <c r="P2151" i="21"/>
  <c r="O2151" i="21"/>
  <c r="N2151" i="21"/>
  <c r="M2151" i="21"/>
  <c r="L2151" i="21"/>
  <c r="K2151" i="21"/>
  <c r="J2151" i="21"/>
  <c r="Q2150" i="21"/>
  <c r="P2150" i="21"/>
  <c r="O2150" i="21"/>
  <c r="N2150" i="21"/>
  <c r="M2150" i="21"/>
  <c r="L2150" i="21"/>
  <c r="K2150" i="21"/>
  <c r="J2150" i="21"/>
  <c r="Q2149" i="21"/>
  <c r="P2149" i="21"/>
  <c r="O2149" i="21"/>
  <c r="N2149" i="21"/>
  <c r="M2149" i="21"/>
  <c r="L2149" i="21"/>
  <c r="K2149" i="21"/>
  <c r="J2149" i="21"/>
  <c r="Q2148" i="21"/>
  <c r="P2148" i="21"/>
  <c r="O2148" i="21"/>
  <c r="N2148" i="21"/>
  <c r="M2148" i="21"/>
  <c r="L2148" i="21"/>
  <c r="K2148" i="21"/>
  <c r="J2148" i="21"/>
  <c r="Q2147" i="21"/>
  <c r="P2147" i="21"/>
  <c r="O2147" i="21"/>
  <c r="N2147" i="21"/>
  <c r="M2147" i="21"/>
  <c r="L2147" i="21"/>
  <c r="K2147" i="21"/>
  <c r="J2147" i="21"/>
  <c r="Q2146" i="21"/>
  <c r="P2146" i="21"/>
  <c r="O2146" i="21"/>
  <c r="N2146" i="21"/>
  <c r="M2146" i="21"/>
  <c r="L2146" i="21"/>
  <c r="K2146" i="21"/>
  <c r="J2146" i="21"/>
  <c r="Q2145" i="21"/>
  <c r="P2145" i="21"/>
  <c r="O2145" i="21"/>
  <c r="N2145" i="21"/>
  <c r="M2145" i="21"/>
  <c r="L2145" i="21"/>
  <c r="K2145" i="21"/>
  <c r="J2145" i="21"/>
  <c r="Q2144" i="21"/>
  <c r="P2144" i="21"/>
  <c r="O2144" i="21"/>
  <c r="N2144" i="21"/>
  <c r="M2144" i="21"/>
  <c r="L2144" i="21"/>
  <c r="K2144" i="21"/>
  <c r="J2144" i="21"/>
  <c r="Q2143" i="21"/>
  <c r="P2143" i="21"/>
  <c r="O2143" i="21"/>
  <c r="N2143" i="21"/>
  <c r="M2143" i="21"/>
  <c r="L2143" i="21"/>
  <c r="K2143" i="21"/>
  <c r="J2143" i="21"/>
  <c r="Q2142" i="21"/>
  <c r="P2142" i="21"/>
  <c r="O2142" i="21"/>
  <c r="N2142" i="21"/>
  <c r="M2142" i="21"/>
  <c r="L2142" i="21"/>
  <c r="K2142" i="21"/>
  <c r="J2142" i="21"/>
  <c r="Q2141" i="21"/>
  <c r="P2141" i="21"/>
  <c r="O2141" i="21"/>
  <c r="N2141" i="21"/>
  <c r="M2141" i="21"/>
  <c r="L2141" i="21"/>
  <c r="K2141" i="21"/>
  <c r="J2141" i="21"/>
  <c r="Q2140" i="21"/>
  <c r="P2140" i="21"/>
  <c r="O2140" i="21"/>
  <c r="N2140" i="21"/>
  <c r="M2140" i="21"/>
  <c r="L2140" i="21"/>
  <c r="K2140" i="21"/>
  <c r="J2140" i="21"/>
  <c r="Q2139" i="21"/>
  <c r="P2139" i="21"/>
  <c r="O2139" i="21"/>
  <c r="N2139" i="21"/>
  <c r="M2139" i="21"/>
  <c r="L2139" i="21"/>
  <c r="K2139" i="21"/>
  <c r="J2139" i="21"/>
  <c r="Q2138" i="21"/>
  <c r="P2138" i="21"/>
  <c r="O2138" i="21"/>
  <c r="N2138" i="21"/>
  <c r="M2138" i="21"/>
  <c r="L2138" i="21"/>
  <c r="K2138" i="21"/>
  <c r="J2138" i="21"/>
  <c r="Q2137" i="21"/>
  <c r="P2137" i="21"/>
  <c r="O2137" i="21"/>
  <c r="N2137" i="21"/>
  <c r="M2137" i="21"/>
  <c r="L2137" i="21"/>
  <c r="K2137" i="21"/>
  <c r="J2137" i="21"/>
  <c r="Q2184" i="21"/>
  <c r="P2184" i="21"/>
  <c r="O2184" i="21"/>
  <c r="N2184" i="21"/>
  <c r="M2184" i="21"/>
  <c r="L2184" i="21"/>
  <c r="K2184" i="21"/>
  <c r="J2184" i="21"/>
  <c r="Q2183" i="21"/>
  <c r="P2183" i="21"/>
  <c r="O2183" i="21"/>
  <c r="N2183" i="21"/>
  <c r="M2183" i="21"/>
  <c r="L2183" i="21"/>
  <c r="K2183" i="21"/>
  <c r="J2183" i="21"/>
  <c r="Q2182" i="21"/>
  <c r="P2182" i="21"/>
  <c r="O2182" i="21"/>
  <c r="N2182" i="21"/>
  <c r="M2182" i="21"/>
  <c r="L2182" i="21"/>
  <c r="K2182" i="21"/>
  <c r="J2182" i="21"/>
  <c r="Q2181" i="21"/>
  <c r="P2181" i="21"/>
  <c r="O2181" i="21"/>
  <c r="N2181" i="21"/>
  <c r="M2181" i="21"/>
  <c r="L2181" i="21"/>
  <c r="K2181" i="21"/>
  <c r="J2181" i="21"/>
  <c r="Q2180" i="21"/>
  <c r="P2180" i="21"/>
  <c r="O2180" i="21"/>
  <c r="N2180" i="21"/>
  <c r="M2180" i="21"/>
  <c r="L2180" i="21"/>
  <c r="K2180" i="21"/>
  <c r="J2180" i="21"/>
  <c r="Q2179" i="21"/>
  <c r="P2179" i="21"/>
  <c r="O2179" i="21"/>
  <c r="N2179" i="21"/>
  <c r="M2179" i="21"/>
  <c r="L2179" i="21"/>
  <c r="K2179" i="21"/>
  <c r="J2179" i="21"/>
  <c r="Q2178" i="21"/>
  <c r="P2178" i="21"/>
  <c r="O2178" i="21"/>
  <c r="N2178" i="21"/>
  <c r="M2178" i="21"/>
  <c r="L2178" i="21"/>
  <c r="K2178" i="21"/>
  <c r="J2178" i="21"/>
  <c r="Q2177" i="21"/>
  <c r="P2177" i="21"/>
  <c r="O2177" i="21"/>
  <c r="N2177" i="21"/>
  <c r="M2177" i="21"/>
  <c r="L2177" i="21"/>
  <c r="K2177" i="21"/>
  <c r="J2177" i="21"/>
  <c r="Q2176" i="21"/>
  <c r="P2176" i="21"/>
  <c r="O2176" i="21"/>
  <c r="N2176" i="21"/>
  <c r="M2176" i="21"/>
  <c r="L2176" i="21"/>
  <c r="K2176" i="21"/>
  <c r="J2176" i="21"/>
  <c r="Q2175" i="21"/>
  <c r="P2175" i="21"/>
  <c r="O2175" i="21"/>
  <c r="N2175" i="21"/>
  <c r="M2175" i="21"/>
  <c r="L2175" i="21"/>
  <c r="K2175" i="21"/>
  <c r="J2175" i="21"/>
  <c r="Q2174" i="21"/>
  <c r="P2174" i="21"/>
  <c r="O2174" i="21"/>
  <c r="N2174" i="21"/>
  <c r="M2174" i="21"/>
  <c r="L2174" i="21"/>
  <c r="K2174" i="21"/>
  <c r="J2174" i="21"/>
  <c r="Q2173" i="21"/>
  <c r="P2173" i="21"/>
  <c r="O2173" i="21"/>
  <c r="N2173" i="21"/>
  <c r="M2173" i="21"/>
  <c r="L2173" i="21"/>
  <c r="K2173" i="21"/>
  <c r="J2173" i="21"/>
  <c r="G802" i="21"/>
  <c r="G803" i="21"/>
  <c r="G804" i="21"/>
  <c r="G787" i="21"/>
  <c r="G788" i="21"/>
  <c r="G789" i="21"/>
  <c r="G790" i="21"/>
  <c r="G136" i="11"/>
  <c r="G137" i="11"/>
  <c r="Q810" i="4"/>
  <c r="P810" i="4"/>
  <c r="O810" i="4"/>
  <c r="N810" i="4"/>
  <c r="M810" i="4"/>
  <c r="K810" i="4"/>
  <c r="J810" i="4"/>
  <c r="I810" i="4"/>
  <c r="H810" i="4"/>
  <c r="L810" i="4" s="1"/>
  <c r="E804" i="4"/>
  <c r="H804" i="4" s="1"/>
  <c r="J804" i="4" s="1"/>
  <c r="E805" i="4"/>
  <c r="H805" i="4" s="1"/>
  <c r="L805" i="4" s="1"/>
  <c r="Q792" i="4"/>
  <c r="P792" i="4"/>
  <c r="O792" i="4"/>
  <c r="N792" i="4"/>
  <c r="M792" i="4"/>
  <c r="K792" i="4"/>
  <c r="J792" i="4"/>
  <c r="I792" i="4"/>
  <c r="H792" i="4"/>
  <c r="L792" i="4" s="1"/>
  <c r="E787" i="4"/>
  <c r="H787" i="4" s="1"/>
  <c r="J787" i="4" s="1"/>
  <c r="E788" i="4"/>
  <c r="H788" i="4" s="1"/>
  <c r="L788" i="4" s="1"/>
  <c r="E782" i="4"/>
  <c r="H782" i="4" s="1"/>
  <c r="J782" i="4" s="1"/>
  <c r="E783" i="4"/>
  <c r="H783" i="4" s="1"/>
  <c r="L783" i="4" s="1"/>
  <c r="E784" i="4"/>
  <c r="H784" i="4" s="1"/>
  <c r="L784" i="4" s="1"/>
  <c r="E777" i="4"/>
  <c r="H777" i="4" s="1"/>
  <c r="J777" i="4" s="1"/>
  <c r="E778" i="4"/>
  <c r="H778" i="4" s="1"/>
  <c r="L778" i="4" s="1"/>
  <c r="E779" i="4"/>
  <c r="H779" i="4" s="1"/>
  <c r="L779" i="4" s="1"/>
  <c r="E772" i="4"/>
  <c r="H772" i="4" s="1"/>
  <c r="J772" i="4" s="1"/>
  <c r="E773" i="4"/>
  <c r="H773" i="4" s="1"/>
  <c r="L773" i="4" s="1"/>
  <c r="E774" i="4"/>
  <c r="H774" i="4" s="1"/>
  <c r="L774" i="4" s="1"/>
  <c r="E767" i="4"/>
  <c r="H767" i="4" s="1"/>
  <c r="J767" i="4" s="1"/>
  <c r="E768" i="4"/>
  <c r="H768" i="4" s="1"/>
  <c r="L768" i="4" s="1"/>
  <c r="E769" i="4"/>
  <c r="H769" i="4" s="1"/>
  <c r="L769" i="4" s="1"/>
  <c r="E762" i="4"/>
  <c r="H762" i="4" s="1"/>
  <c r="J762" i="4" s="1"/>
  <c r="E764" i="4"/>
  <c r="H764" i="4" s="1"/>
  <c r="L764" i="4" s="1"/>
  <c r="E763" i="4"/>
  <c r="H763" i="4" s="1"/>
  <c r="L763" i="4" s="1"/>
  <c r="E757" i="4"/>
  <c r="H757" i="4" s="1"/>
  <c r="J757" i="4" s="1"/>
  <c r="E758" i="4"/>
  <c r="H758" i="4" s="1"/>
  <c r="L758" i="4" s="1"/>
  <c r="E759" i="4"/>
  <c r="H759" i="4" s="1"/>
  <c r="L759" i="4" s="1"/>
  <c r="E753" i="4"/>
  <c r="H753" i="4" s="1"/>
  <c r="J753" i="4" s="1"/>
  <c r="E754" i="4"/>
  <c r="H754" i="4" s="1"/>
  <c r="L754" i="4" s="1"/>
  <c r="E749" i="4"/>
  <c r="H749" i="4" s="1"/>
  <c r="J749" i="4" s="1"/>
  <c r="E750" i="4"/>
  <c r="H750" i="4" s="1"/>
  <c r="L750" i="4" s="1"/>
  <c r="Q743" i="4"/>
  <c r="P743" i="4"/>
  <c r="O743" i="4"/>
  <c r="N743" i="4"/>
  <c r="M743" i="4"/>
  <c r="K743" i="4"/>
  <c r="J743" i="4"/>
  <c r="I743" i="4"/>
  <c r="H743" i="4"/>
  <c r="L743" i="4" s="1"/>
  <c r="Q742" i="4"/>
  <c r="P742" i="4"/>
  <c r="O742" i="4"/>
  <c r="N742" i="4"/>
  <c r="M742" i="4"/>
  <c r="K742" i="4"/>
  <c r="J742" i="4"/>
  <c r="I742" i="4"/>
  <c r="H742" i="4"/>
  <c r="L742" i="4" s="1"/>
  <c r="Q722" i="4"/>
  <c r="P722" i="4"/>
  <c r="O722" i="4"/>
  <c r="N722" i="4"/>
  <c r="M722" i="4"/>
  <c r="K722" i="4"/>
  <c r="J722" i="4"/>
  <c r="I722" i="4"/>
  <c r="H722" i="4"/>
  <c r="L722" i="4" s="1"/>
  <c r="Q721" i="4"/>
  <c r="P721" i="4"/>
  <c r="O721" i="4"/>
  <c r="N721" i="4"/>
  <c r="M721" i="4"/>
  <c r="K721" i="4"/>
  <c r="J721" i="4"/>
  <c r="I721" i="4"/>
  <c r="H721" i="4"/>
  <c r="L721" i="4" s="1"/>
  <c r="Q720" i="4"/>
  <c r="P720" i="4"/>
  <c r="O720" i="4"/>
  <c r="N720" i="4"/>
  <c r="M720" i="4"/>
  <c r="K720" i="4"/>
  <c r="J720" i="4"/>
  <c r="I720" i="4"/>
  <c r="H720" i="4"/>
  <c r="L720" i="4" s="1"/>
  <c r="Q719" i="4"/>
  <c r="P719" i="4"/>
  <c r="O719" i="4"/>
  <c r="N719" i="4"/>
  <c r="M719" i="4"/>
  <c r="K719" i="4"/>
  <c r="J719" i="4"/>
  <c r="I719" i="4"/>
  <c r="H719" i="4"/>
  <c r="L719" i="4" s="1"/>
  <c r="Q724" i="4"/>
  <c r="P724" i="4"/>
  <c r="O724" i="4"/>
  <c r="N724" i="4"/>
  <c r="L724" i="4"/>
  <c r="K724" i="4"/>
  <c r="J724" i="4"/>
  <c r="I724" i="4"/>
  <c r="H724" i="4"/>
  <c r="M724" i="4" s="1"/>
  <c r="Q723" i="4"/>
  <c r="P723" i="4"/>
  <c r="O723" i="4"/>
  <c r="N723" i="4"/>
  <c r="L723" i="4"/>
  <c r="K723" i="4"/>
  <c r="J723" i="4"/>
  <c r="I723" i="4"/>
  <c r="H723" i="4"/>
  <c r="M723" i="4" s="1"/>
  <c r="Q852" i="4"/>
  <c r="P852" i="4"/>
  <c r="O852" i="4"/>
  <c r="N852" i="4"/>
  <c r="L852" i="4"/>
  <c r="K852" i="4"/>
  <c r="J852" i="4"/>
  <c r="I852" i="4"/>
  <c r="H852" i="4"/>
  <c r="M852" i="4" s="1"/>
  <c r="Q851" i="4"/>
  <c r="P851" i="4"/>
  <c r="O851" i="4"/>
  <c r="N851" i="4"/>
  <c r="L851" i="4"/>
  <c r="K851" i="4"/>
  <c r="J851" i="4"/>
  <c r="I851" i="4"/>
  <c r="H851" i="4"/>
  <c r="M851" i="4" s="1"/>
  <c r="Q848" i="4"/>
  <c r="P848" i="4"/>
  <c r="O848" i="4"/>
  <c r="N848" i="4"/>
  <c r="M848" i="4"/>
  <c r="L848" i="4"/>
  <c r="K848" i="4"/>
  <c r="I848" i="4"/>
  <c r="H848" i="4"/>
  <c r="J848" i="4" s="1"/>
  <c r="Q845" i="4"/>
  <c r="P845" i="4"/>
  <c r="O845" i="4"/>
  <c r="N845" i="4"/>
  <c r="L845" i="4"/>
  <c r="K845" i="4"/>
  <c r="J845" i="4"/>
  <c r="I845" i="4"/>
  <c r="H845" i="4"/>
  <c r="M845" i="4" s="1"/>
  <c r="Q844" i="4"/>
  <c r="P844" i="4"/>
  <c r="O844" i="4"/>
  <c r="N844" i="4"/>
  <c r="L844" i="4"/>
  <c r="K844" i="4"/>
  <c r="J844" i="4"/>
  <c r="I844" i="4"/>
  <c r="H844" i="4"/>
  <c r="M844" i="4" s="1"/>
  <c r="Q841" i="4"/>
  <c r="P841" i="4"/>
  <c r="O841" i="4"/>
  <c r="N841" i="4"/>
  <c r="M841" i="4"/>
  <c r="L841" i="4"/>
  <c r="K841" i="4"/>
  <c r="I841" i="4"/>
  <c r="H841" i="4"/>
  <c r="J841" i="4" s="1"/>
  <c r="Q838" i="4"/>
  <c r="P838" i="4"/>
  <c r="O838" i="4"/>
  <c r="N838" i="4"/>
  <c r="L838" i="4"/>
  <c r="K838" i="4"/>
  <c r="J838" i="4"/>
  <c r="I838" i="4"/>
  <c r="H838" i="4"/>
  <c r="M838" i="4" s="1"/>
  <c r="Q831" i="4"/>
  <c r="P831" i="4"/>
  <c r="O831" i="4"/>
  <c r="N831" i="4"/>
  <c r="M831" i="4"/>
  <c r="L831" i="4"/>
  <c r="K831" i="4"/>
  <c r="I831" i="4"/>
  <c r="H831" i="4"/>
  <c r="J831" i="4" s="1"/>
  <c r="Q816" i="4"/>
  <c r="P816" i="4"/>
  <c r="O816" i="4"/>
  <c r="N816" i="4"/>
  <c r="M816" i="4"/>
  <c r="L816" i="4"/>
  <c r="K816" i="4"/>
  <c r="I816" i="4"/>
  <c r="H816" i="4"/>
  <c r="J816" i="4" s="1"/>
  <c r="Q812" i="4"/>
  <c r="P812" i="4"/>
  <c r="O812" i="4"/>
  <c r="N812" i="4"/>
  <c r="L812" i="4"/>
  <c r="K812" i="4"/>
  <c r="J812" i="4"/>
  <c r="I812" i="4"/>
  <c r="H812" i="4"/>
  <c r="M812" i="4" s="1"/>
  <c r="Q811" i="4"/>
  <c r="P811" i="4"/>
  <c r="O811" i="4"/>
  <c r="N811" i="4"/>
  <c r="M811" i="4"/>
  <c r="K811" i="4"/>
  <c r="J811" i="4"/>
  <c r="I811" i="4"/>
  <c r="H811" i="4"/>
  <c r="L811" i="4" s="1"/>
  <c r="Q809" i="4"/>
  <c r="P809" i="4"/>
  <c r="O809" i="4"/>
  <c r="N809" i="4"/>
  <c r="M809" i="4"/>
  <c r="K809" i="4"/>
  <c r="J809" i="4"/>
  <c r="I809" i="4"/>
  <c r="H809" i="4"/>
  <c r="L809" i="4" s="1"/>
  <c r="Q808" i="4"/>
  <c r="P808" i="4"/>
  <c r="O808" i="4"/>
  <c r="N808" i="4"/>
  <c r="M808" i="4"/>
  <c r="L808" i="4"/>
  <c r="K808" i="4"/>
  <c r="I808" i="4"/>
  <c r="H808" i="4"/>
  <c r="J808" i="4" s="1"/>
  <c r="Q805" i="4"/>
  <c r="P805" i="4"/>
  <c r="O805" i="4"/>
  <c r="N805" i="4"/>
  <c r="M805" i="4"/>
  <c r="K805" i="4"/>
  <c r="J805" i="4"/>
  <c r="I805" i="4"/>
  <c r="Q804" i="4"/>
  <c r="P804" i="4"/>
  <c r="O804" i="4"/>
  <c r="N804" i="4"/>
  <c r="M804" i="4"/>
  <c r="L804" i="4"/>
  <c r="K804" i="4"/>
  <c r="I804" i="4"/>
  <c r="Q801" i="4"/>
  <c r="P801" i="4"/>
  <c r="O801" i="4"/>
  <c r="N801" i="4"/>
  <c r="M801" i="4"/>
  <c r="L801" i="4"/>
  <c r="K801" i="4"/>
  <c r="J801" i="4"/>
  <c r="I801" i="4"/>
  <c r="H801" i="4"/>
  <c r="Q800" i="4"/>
  <c r="P800" i="4"/>
  <c r="O800" i="4"/>
  <c r="N800" i="4"/>
  <c r="M800" i="4"/>
  <c r="L800" i="4"/>
  <c r="K800" i="4"/>
  <c r="J800" i="4"/>
  <c r="I800" i="4"/>
  <c r="H800" i="4"/>
  <c r="Q799" i="4"/>
  <c r="P799" i="4"/>
  <c r="O799" i="4"/>
  <c r="N799" i="4"/>
  <c r="M799" i="4"/>
  <c r="K799" i="4"/>
  <c r="J799" i="4"/>
  <c r="I799" i="4"/>
  <c r="H799" i="4"/>
  <c r="L799" i="4" s="1"/>
  <c r="Q798" i="4"/>
  <c r="P798" i="4"/>
  <c r="O798" i="4"/>
  <c r="N798" i="4"/>
  <c r="M798" i="4"/>
  <c r="L798" i="4"/>
  <c r="K798" i="4"/>
  <c r="I798" i="4"/>
  <c r="H798" i="4"/>
  <c r="J798" i="4" s="1"/>
  <c r="Q795" i="4"/>
  <c r="P795" i="4"/>
  <c r="O795" i="4"/>
  <c r="N795" i="4"/>
  <c r="L795" i="4"/>
  <c r="K795" i="4"/>
  <c r="J795" i="4"/>
  <c r="I795" i="4"/>
  <c r="H795" i="4"/>
  <c r="M795" i="4" s="1"/>
  <c r="Q794" i="4"/>
  <c r="P794" i="4"/>
  <c r="O794" i="4"/>
  <c r="N794" i="4"/>
  <c r="M794" i="4"/>
  <c r="K794" i="4"/>
  <c r="J794" i="4"/>
  <c r="I794" i="4"/>
  <c r="H794" i="4"/>
  <c r="L794" i="4" s="1"/>
  <c r="Q793" i="4"/>
  <c r="P793" i="4"/>
  <c r="O793" i="4"/>
  <c r="N793" i="4"/>
  <c r="M793" i="4"/>
  <c r="K793" i="4"/>
  <c r="J793" i="4"/>
  <c r="I793" i="4"/>
  <c r="H793" i="4"/>
  <c r="L793" i="4" s="1"/>
  <c r="Q791" i="4"/>
  <c r="P791" i="4"/>
  <c r="O791" i="4"/>
  <c r="N791" i="4"/>
  <c r="M791" i="4"/>
  <c r="L791" i="4"/>
  <c r="K791" i="4"/>
  <c r="I791" i="4"/>
  <c r="H791" i="4"/>
  <c r="J791" i="4" s="1"/>
  <c r="Q788" i="4"/>
  <c r="P788" i="4"/>
  <c r="O788" i="4"/>
  <c r="N788" i="4"/>
  <c r="M788" i="4"/>
  <c r="K788" i="4"/>
  <c r="J788" i="4"/>
  <c r="I788" i="4"/>
  <c r="Q787" i="4"/>
  <c r="P787" i="4"/>
  <c r="O787" i="4"/>
  <c r="N787" i="4"/>
  <c r="M787" i="4"/>
  <c r="L787" i="4"/>
  <c r="K787" i="4"/>
  <c r="I787" i="4"/>
  <c r="Q784" i="4"/>
  <c r="P784" i="4"/>
  <c r="O784" i="4"/>
  <c r="N784" i="4"/>
  <c r="M784" i="4"/>
  <c r="K784" i="4"/>
  <c r="J784" i="4"/>
  <c r="I784" i="4"/>
  <c r="Q783" i="4"/>
  <c r="P783" i="4"/>
  <c r="O783" i="4"/>
  <c r="N783" i="4"/>
  <c r="M783" i="4"/>
  <c r="K783" i="4"/>
  <c r="J783" i="4"/>
  <c r="I783" i="4"/>
  <c r="Q782" i="4"/>
  <c r="P782" i="4"/>
  <c r="O782" i="4"/>
  <c r="N782" i="4"/>
  <c r="M782" i="4"/>
  <c r="L782" i="4"/>
  <c r="K782" i="4"/>
  <c r="I782" i="4"/>
  <c r="Q779" i="4"/>
  <c r="P779" i="4"/>
  <c r="O779" i="4"/>
  <c r="N779" i="4"/>
  <c r="M779" i="4"/>
  <c r="K779" i="4"/>
  <c r="J779" i="4"/>
  <c r="I779" i="4"/>
  <c r="Q778" i="4"/>
  <c r="P778" i="4"/>
  <c r="O778" i="4"/>
  <c r="N778" i="4"/>
  <c r="M778" i="4"/>
  <c r="K778" i="4"/>
  <c r="J778" i="4"/>
  <c r="I778" i="4"/>
  <c r="Q777" i="4"/>
  <c r="P777" i="4"/>
  <c r="O777" i="4"/>
  <c r="N777" i="4"/>
  <c r="M777" i="4"/>
  <c r="L777" i="4"/>
  <c r="K777" i="4"/>
  <c r="I777" i="4"/>
  <c r="Q774" i="4"/>
  <c r="P774" i="4"/>
  <c r="O774" i="4"/>
  <c r="N774" i="4"/>
  <c r="M774" i="4"/>
  <c r="K774" i="4"/>
  <c r="J774" i="4"/>
  <c r="I774" i="4"/>
  <c r="Q773" i="4"/>
  <c r="P773" i="4"/>
  <c r="O773" i="4"/>
  <c r="N773" i="4"/>
  <c r="M773" i="4"/>
  <c r="K773" i="4"/>
  <c r="J773" i="4"/>
  <c r="I773" i="4"/>
  <c r="Q772" i="4"/>
  <c r="P772" i="4"/>
  <c r="O772" i="4"/>
  <c r="N772" i="4"/>
  <c r="M772" i="4"/>
  <c r="L772" i="4"/>
  <c r="K772" i="4"/>
  <c r="I772" i="4"/>
  <c r="Q769" i="4"/>
  <c r="P769" i="4"/>
  <c r="O769" i="4"/>
  <c r="N769" i="4"/>
  <c r="M769" i="4"/>
  <c r="K769" i="4"/>
  <c r="J769" i="4"/>
  <c r="I769" i="4"/>
  <c r="Q768" i="4"/>
  <c r="P768" i="4"/>
  <c r="O768" i="4"/>
  <c r="N768" i="4"/>
  <c r="M768" i="4"/>
  <c r="K768" i="4"/>
  <c r="J768" i="4"/>
  <c r="I768" i="4"/>
  <c r="Q767" i="4"/>
  <c r="P767" i="4"/>
  <c r="O767" i="4"/>
  <c r="N767" i="4"/>
  <c r="M767" i="4"/>
  <c r="L767" i="4"/>
  <c r="K767" i="4"/>
  <c r="I767" i="4"/>
  <c r="Q764" i="4"/>
  <c r="P764" i="4"/>
  <c r="O764" i="4"/>
  <c r="N764" i="4"/>
  <c r="M764" i="4"/>
  <c r="K764" i="4"/>
  <c r="J764" i="4"/>
  <c r="I764" i="4"/>
  <c r="Q763" i="4"/>
  <c r="P763" i="4"/>
  <c r="O763" i="4"/>
  <c r="N763" i="4"/>
  <c r="M763" i="4"/>
  <c r="K763" i="4"/>
  <c r="J763" i="4"/>
  <c r="I763" i="4"/>
  <c r="Q762" i="4"/>
  <c r="P762" i="4"/>
  <c r="O762" i="4"/>
  <c r="N762" i="4"/>
  <c r="M762" i="4"/>
  <c r="L762" i="4"/>
  <c r="K762" i="4"/>
  <c r="I762" i="4"/>
  <c r="Q759" i="4"/>
  <c r="P759" i="4"/>
  <c r="O759" i="4"/>
  <c r="N759" i="4"/>
  <c r="M759" i="4"/>
  <c r="K759" i="4"/>
  <c r="J759" i="4"/>
  <c r="I759" i="4"/>
  <c r="Q758" i="4"/>
  <c r="P758" i="4"/>
  <c r="O758" i="4"/>
  <c r="N758" i="4"/>
  <c r="M758" i="4"/>
  <c r="K758" i="4"/>
  <c r="J758" i="4"/>
  <c r="I758" i="4"/>
  <c r="Q757" i="4"/>
  <c r="P757" i="4"/>
  <c r="O757" i="4"/>
  <c r="N757" i="4"/>
  <c r="M757" i="4"/>
  <c r="L757" i="4"/>
  <c r="K757" i="4"/>
  <c r="I757" i="4"/>
  <c r="Q754" i="4"/>
  <c r="P754" i="4"/>
  <c r="O754" i="4"/>
  <c r="N754" i="4"/>
  <c r="M754" i="4"/>
  <c r="K754" i="4"/>
  <c r="J754" i="4"/>
  <c r="I754" i="4"/>
  <c r="Q753" i="4"/>
  <c r="P753" i="4"/>
  <c r="O753" i="4"/>
  <c r="N753" i="4"/>
  <c r="M753" i="4"/>
  <c r="L753" i="4"/>
  <c r="K753" i="4"/>
  <c r="I753" i="4"/>
  <c r="Q750" i="4"/>
  <c r="P750" i="4"/>
  <c r="O750" i="4"/>
  <c r="N750" i="4"/>
  <c r="M750" i="4"/>
  <c r="K750" i="4"/>
  <c r="J750" i="4"/>
  <c r="I750" i="4"/>
  <c r="Q749" i="4"/>
  <c r="P749" i="4"/>
  <c r="O749" i="4"/>
  <c r="N749" i="4"/>
  <c r="M749" i="4"/>
  <c r="L749" i="4"/>
  <c r="K749" i="4"/>
  <c r="I749" i="4"/>
  <c r="Q746" i="4"/>
  <c r="P746" i="4"/>
  <c r="O746" i="4"/>
  <c r="N746" i="4"/>
  <c r="M746" i="4"/>
  <c r="L746" i="4"/>
  <c r="K746" i="4"/>
  <c r="J746" i="4"/>
  <c r="I746" i="4"/>
  <c r="H746" i="4"/>
  <c r="Q745" i="4"/>
  <c r="P745" i="4"/>
  <c r="O745" i="4"/>
  <c r="N745" i="4"/>
  <c r="L745" i="4"/>
  <c r="K745" i="4"/>
  <c r="J745" i="4"/>
  <c r="I745" i="4"/>
  <c r="H745" i="4"/>
  <c r="M745" i="4" s="1"/>
  <c r="Q744" i="4"/>
  <c r="P744" i="4"/>
  <c r="O744" i="4"/>
  <c r="N744" i="4"/>
  <c r="M744" i="4"/>
  <c r="K744" i="4"/>
  <c r="J744" i="4"/>
  <c r="I744" i="4"/>
  <c r="H744" i="4"/>
  <c r="L744" i="4" s="1"/>
  <c r="Q741" i="4"/>
  <c r="P741" i="4"/>
  <c r="O741" i="4"/>
  <c r="N741" i="4"/>
  <c r="M741" i="4"/>
  <c r="L741" i="4"/>
  <c r="K741" i="4"/>
  <c r="I741" i="4"/>
  <c r="H741" i="4"/>
  <c r="J741" i="4" s="1"/>
  <c r="Q738" i="4"/>
  <c r="P738" i="4"/>
  <c r="O738" i="4"/>
  <c r="N738" i="4"/>
  <c r="L738" i="4"/>
  <c r="K738" i="4"/>
  <c r="J738" i="4"/>
  <c r="I738" i="4"/>
  <c r="H738" i="4"/>
  <c r="M738" i="4" s="1"/>
  <c r="Q737" i="4"/>
  <c r="P737" i="4"/>
  <c r="O737" i="4"/>
  <c r="N737" i="4"/>
  <c r="L737" i="4"/>
  <c r="K737" i="4"/>
  <c r="J737" i="4"/>
  <c r="I737" i="4"/>
  <c r="H737" i="4"/>
  <c r="M737" i="4" s="1"/>
  <c r="Q736" i="4"/>
  <c r="P736" i="4"/>
  <c r="O736" i="4"/>
  <c r="N736" i="4"/>
  <c r="M736" i="4"/>
  <c r="K736" i="4"/>
  <c r="J736" i="4"/>
  <c r="I736" i="4"/>
  <c r="H736" i="4"/>
  <c r="L736" i="4" s="1"/>
  <c r="Q735" i="4"/>
  <c r="P735" i="4"/>
  <c r="O735" i="4"/>
  <c r="N735" i="4"/>
  <c r="M735" i="4"/>
  <c r="L735" i="4"/>
  <c r="K735" i="4"/>
  <c r="I735" i="4"/>
  <c r="H735" i="4"/>
  <c r="J735" i="4" s="1"/>
  <c r="Q732" i="4"/>
  <c r="P732" i="4"/>
  <c r="O732" i="4"/>
  <c r="M732" i="4"/>
  <c r="L732" i="4"/>
  <c r="K732" i="4"/>
  <c r="J732" i="4"/>
  <c r="I732" i="4"/>
  <c r="H732" i="4"/>
  <c r="N732" i="4" s="1"/>
  <c r="Q731" i="4"/>
  <c r="P731" i="4"/>
  <c r="O731" i="4"/>
  <c r="N731" i="4"/>
  <c r="L731" i="4"/>
  <c r="K731" i="4"/>
  <c r="J731" i="4"/>
  <c r="I731" i="4"/>
  <c r="H731" i="4"/>
  <c r="M731" i="4" s="1"/>
  <c r="Q730" i="4"/>
  <c r="P730" i="4"/>
  <c r="O730" i="4"/>
  <c r="N730" i="4"/>
  <c r="L730" i="4"/>
  <c r="K730" i="4"/>
  <c r="J730" i="4"/>
  <c r="I730" i="4"/>
  <c r="H730" i="4"/>
  <c r="M730" i="4" s="1"/>
  <c r="Q729" i="4"/>
  <c r="P729" i="4"/>
  <c r="O729" i="4"/>
  <c r="N729" i="4"/>
  <c r="M729" i="4"/>
  <c r="L729" i="4"/>
  <c r="K729" i="4"/>
  <c r="I729" i="4"/>
  <c r="H729" i="4"/>
  <c r="J729" i="4" s="1"/>
  <c r="Q726" i="4"/>
  <c r="P726" i="4"/>
  <c r="O726" i="4"/>
  <c r="N726" i="4"/>
  <c r="L726" i="4"/>
  <c r="K726" i="4"/>
  <c r="J726" i="4"/>
  <c r="I726" i="4"/>
  <c r="H726" i="4"/>
  <c r="M726" i="4" s="1"/>
  <c r="Q725" i="4"/>
  <c r="P725" i="4"/>
  <c r="O725" i="4"/>
  <c r="N725" i="4"/>
  <c r="L725" i="4"/>
  <c r="K725" i="4"/>
  <c r="J725" i="4"/>
  <c r="I725" i="4"/>
  <c r="H725" i="4"/>
  <c r="M725" i="4" s="1"/>
  <c r="Q718" i="4"/>
  <c r="P718" i="4"/>
  <c r="O718" i="4"/>
  <c r="N718" i="4"/>
  <c r="M718" i="4"/>
  <c r="L718" i="4"/>
  <c r="K718" i="4"/>
  <c r="I718" i="4"/>
  <c r="H718" i="4"/>
  <c r="J718" i="4" s="1"/>
  <c r="Q715" i="4"/>
  <c r="P715" i="4"/>
  <c r="O715" i="4"/>
  <c r="N715" i="4"/>
  <c r="L715" i="4"/>
  <c r="K715" i="4"/>
  <c r="J715" i="4"/>
  <c r="I715" i="4"/>
  <c r="H715" i="4"/>
  <c r="M715" i="4" s="1"/>
  <c r="Q714" i="4"/>
  <c r="P714" i="4"/>
  <c r="O714" i="4"/>
  <c r="N714" i="4"/>
  <c r="L714" i="4"/>
  <c r="K714" i="4"/>
  <c r="J714" i="4"/>
  <c r="I714" i="4"/>
  <c r="H714" i="4"/>
  <c r="M714" i="4" s="1"/>
  <c r="Q713" i="4"/>
  <c r="P713" i="4"/>
  <c r="O713" i="4"/>
  <c r="N713" i="4"/>
  <c r="M713" i="4"/>
  <c r="K713" i="4"/>
  <c r="J713" i="4"/>
  <c r="I713" i="4"/>
  <c r="H713" i="4"/>
  <c r="L713" i="4" s="1"/>
  <c r="Q712" i="4"/>
  <c r="P712" i="4"/>
  <c r="O712" i="4"/>
  <c r="N712" i="4"/>
  <c r="M712" i="4"/>
  <c r="L712" i="4"/>
  <c r="K712" i="4"/>
  <c r="I712" i="4"/>
  <c r="H712" i="4"/>
  <c r="J712" i="4" s="1"/>
  <c r="Q709" i="4"/>
  <c r="P709" i="4"/>
  <c r="O709" i="4"/>
  <c r="M709" i="4"/>
  <c r="L709" i="4"/>
  <c r="K709" i="4"/>
  <c r="J709" i="4"/>
  <c r="I709" i="4"/>
  <c r="H709" i="4"/>
  <c r="N709" i="4" s="1"/>
  <c r="Q708" i="4"/>
  <c r="P708" i="4"/>
  <c r="O708" i="4"/>
  <c r="N708" i="4"/>
  <c r="L708" i="4"/>
  <c r="K708" i="4"/>
  <c r="J708" i="4"/>
  <c r="I708" i="4"/>
  <c r="H708" i="4"/>
  <c r="M708" i="4" s="1"/>
  <c r="Q707" i="4"/>
  <c r="P707" i="4"/>
  <c r="O707" i="4"/>
  <c r="N707" i="4"/>
  <c r="L707" i="4"/>
  <c r="K707" i="4"/>
  <c r="J707" i="4"/>
  <c r="I707" i="4"/>
  <c r="H707" i="4"/>
  <c r="M707" i="4" s="1"/>
  <c r="Q706" i="4"/>
  <c r="P706" i="4"/>
  <c r="O706" i="4"/>
  <c r="N706" i="4"/>
  <c r="M706" i="4"/>
  <c r="L706" i="4"/>
  <c r="K706" i="4"/>
  <c r="I706" i="4"/>
  <c r="H706" i="4"/>
  <c r="J706" i="4" s="1"/>
  <c r="Q932" i="4"/>
  <c r="P932" i="4"/>
  <c r="O932" i="4"/>
  <c r="N932" i="4"/>
  <c r="L932" i="4"/>
  <c r="K932" i="4"/>
  <c r="J932" i="4"/>
  <c r="I932" i="4"/>
  <c r="H932" i="4"/>
  <c r="M932" i="4" s="1"/>
  <c r="Q931" i="4"/>
  <c r="P931" i="4"/>
  <c r="O931" i="4"/>
  <c r="N931" i="4"/>
  <c r="L931" i="4"/>
  <c r="K931" i="4"/>
  <c r="J931" i="4"/>
  <c r="I931" i="4"/>
  <c r="H931" i="4"/>
  <c r="M931" i="4" s="1"/>
  <c r="Q930" i="4"/>
  <c r="P930" i="4"/>
  <c r="O930" i="4"/>
  <c r="N930" i="4"/>
  <c r="L930" i="4"/>
  <c r="K930" i="4"/>
  <c r="J930" i="4"/>
  <c r="I930" i="4"/>
  <c r="H930" i="4"/>
  <c r="M930" i="4" s="1"/>
  <c r="Q926" i="4"/>
  <c r="P926" i="4"/>
  <c r="O926" i="4"/>
  <c r="N926" i="4"/>
  <c r="M926" i="4"/>
  <c r="L926" i="4"/>
  <c r="K926" i="4"/>
  <c r="I926" i="4"/>
  <c r="H926" i="4"/>
  <c r="J926" i="4" s="1"/>
  <c r="Q923" i="4"/>
  <c r="P923" i="4"/>
  <c r="O923" i="4"/>
  <c r="N923" i="4"/>
  <c r="M923" i="4"/>
  <c r="L923" i="4"/>
  <c r="K923" i="4"/>
  <c r="J923" i="4"/>
  <c r="I923" i="4"/>
  <c r="H923" i="4"/>
  <c r="Q922" i="4"/>
  <c r="P922" i="4"/>
  <c r="O922" i="4"/>
  <c r="N922" i="4"/>
  <c r="L922" i="4"/>
  <c r="K922" i="4"/>
  <c r="J922" i="4"/>
  <c r="I922" i="4"/>
  <c r="H922" i="4"/>
  <c r="M922" i="4" s="1"/>
  <c r="Q921" i="4"/>
  <c r="P921" i="4"/>
  <c r="O921" i="4"/>
  <c r="N921" i="4"/>
  <c r="L921" i="4"/>
  <c r="K921" i="4"/>
  <c r="J921" i="4"/>
  <c r="I921" i="4"/>
  <c r="H921" i="4"/>
  <c r="M921" i="4" s="1"/>
  <c r="Q916" i="4"/>
  <c r="P916" i="4"/>
  <c r="O916" i="4"/>
  <c r="N916" i="4"/>
  <c r="M916" i="4"/>
  <c r="L916" i="4"/>
  <c r="K916" i="4"/>
  <c r="I916" i="4"/>
  <c r="H916" i="4"/>
  <c r="J916" i="4" s="1"/>
  <c r="Q913" i="4"/>
  <c r="P913" i="4"/>
  <c r="O913" i="4"/>
  <c r="N913" i="4"/>
  <c r="M913" i="4"/>
  <c r="L913" i="4"/>
  <c r="K913" i="4"/>
  <c r="J913" i="4"/>
  <c r="I913" i="4"/>
  <c r="H913" i="4"/>
  <c r="Q912" i="4"/>
  <c r="P912" i="4"/>
  <c r="O912" i="4"/>
  <c r="N912" i="4"/>
  <c r="L912" i="4"/>
  <c r="K912" i="4"/>
  <c r="J912" i="4"/>
  <c r="I912" i="4"/>
  <c r="H912" i="4"/>
  <c r="M912" i="4" s="1"/>
  <c r="Q911" i="4"/>
  <c r="P911" i="4"/>
  <c r="O911" i="4"/>
  <c r="N911" i="4"/>
  <c r="L911" i="4"/>
  <c r="K911" i="4"/>
  <c r="J911" i="4"/>
  <c r="I911" i="4"/>
  <c r="H911" i="4"/>
  <c r="M911" i="4" s="1"/>
  <c r="Q905" i="4"/>
  <c r="P905" i="4"/>
  <c r="O905" i="4"/>
  <c r="N905" i="4"/>
  <c r="M905" i="4"/>
  <c r="L905" i="4"/>
  <c r="K905" i="4"/>
  <c r="I905" i="4"/>
  <c r="H905" i="4"/>
  <c r="J905" i="4" s="1"/>
  <c r="Q902" i="4"/>
  <c r="P902" i="4"/>
  <c r="O902" i="4"/>
  <c r="N902" i="4"/>
  <c r="M902" i="4"/>
  <c r="L902" i="4"/>
  <c r="K902" i="4"/>
  <c r="J902" i="4"/>
  <c r="I902" i="4"/>
  <c r="H902" i="4"/>
  <c r="Q901" i="4"/>
  <c r="P901" i="4"/>
  <c r="O901" i="4"/>
  <c r="N901" i="4"/>
  <c r="L901" i="4"/>
  <c r="K901" i="4"/>
  <c r="J901" i="4"/>
  <c r="I901" i="4"/>
  <c r="H901" i="4"/>
  <c r="M901" i="4" s="1"/>
  <c r="Q900" i="4"/>
  <c r="P900" i="4"/>
  <c r="O900" i="4"/>
  <c r="N900" i="4"/>
  <c r="M900" i="4"/>
  <c r="K900" i="4"/>
  <c r="J900" i="4"/>
  <c r="I900" i="4"/>
  <c r="H900" i="4"/>
  <c r="L900" i="4" s="1"/>
  <c r="Q899" i="4"/>
  <c r="P899" i="4"/>
  <c r="O899" i="4"/>
  <c r="N899" i="4"/>
  <c r="M899" i="4"/>
  <c r="L899" i="4"/>
  <c r="K899" i="4"/>
  <c r="I899" i="4"/>
  <c r="H899" i="4"/>
  <c r="J899" i="4" s="1"/>
  <c r="Q896" i="4"/>
  <c r="P896" i="4"/>
  <c r="O896" i="4"/>
  <c r="N896" i="4"/>
  <c r="M896" i="4"/>
  <c r="L896" i="4"/>
  <c r="K896" i="4"/>
  <c r="J896" i="4"/>
  <c r="I896" i="4"/>
  <c r="H896" i="4"/>
  <c r="Q895" i="4"/>
  <c r="P895" i="4"/>
  <c r="O895" i="4"/>
  <c r="N895" i="4"/>
  <c r="L895" i="4"/>
  <c r="K895" i="4"/>
  <c r="J895" i="4"/>
  <c r="I895" i="4"/>
  <c r="H895" i="4"/>
  <c r="M895" i="4" s="1"/>
  <c r="Q894" i="4"/>
  <c r="P894" i="4"/>
  <c r="O894" i="4"/>
  <c r="N894" i="4"/>
  <c r="M894" i="4"/>
  <c r="K894" i="4"/>
  <c r="J894" i="4"/>
  <c r="I894" i="4"/>
  <c r="H894" i="4"/>
  <c r="L894" i="4" s="1"/>
  <c r="Q893" i="4"/>
  <c r="P893" i="4"/>
  <c r="O893" i="4"/>
  <c r="N893" i="4"/>
  <c r="M893" i="4"/>
  <c r="L893" i="4"/>
  <c r="K893" i="4"/>
  <c r="I893" i="4"/>
  <c r="H893" i="4"/>
  <c r="J893" i="4" s="1"/>
  <c r="Q890" i="4"/>
  <c r="P890" i="4"/>
  <c r="O890" i="4"/>
  <c r="N890" i="4"/>
  <c r="M890" i="4"/>
  <c r="K890" i="4"/>
  <c r="J890" i="4"/>
  <c r="I890" i="4"/>
  <c r="H890" i="4"/>
  <c r="L890" i="4" s="1"/>
  <c r="Q889" i="4"/>
  <c r="P889" i="4"/>
  <c r="O889" i="4"/>
  <c r="N889" i="4"/>
  <c r="M889" i="4"/>
  <c r="L889" i="4"/>
  <c r="K889" i="4"/>
  <c r="I889" i="4"/>
  <c r="H889" i="4"/>
  <c r="J889" i="4" s="1"/>
  <c r="Q886" i="4"/>
  <c r="P886" i="4"/>
  <c r="O886" i="4"/>
  <c r="N886" i="4"/>
  <c r="M886" i="4"/>
  <c r="K886" i="4"/>
  <c r="J886" i="4"/>
  <c r="I886" i="4"/>
  <c r="H886" i="4"/>
  <c r="L886" i="4" s="1"/>
  <c r="Q885" i="4"/>
  <c r="P885" i="4"/>
  <c r="O885" i="4"/>
  <c r="N885" i="4"/>
  <c r="M885" i="4"/>
  <c r="L885" i="4"/>
  <c r="K885" i="4"/>
  <c r="I885" i="4"/>
  <c r="H885" i="4"/>
  <c r="J885" i="4" s="1"/>
  <c r="Q882" i="4"/>
  <c r="P882" i="4"/>
  <c r="O882" i="4"/>
  <c r="N882" i="4"/>
  <c r="M882" i="4"/>
  <c r="K882" i="4"/>
  <c r="J882" i="4"/>
  <c r="I882" i="4"/>
  <c r="H882" i="4"/>
  <c r="L882" i="4" s="1"/>
  <c r="Q881" i="4"/>
  <c r="P881" i="4"/>
  <c r="O881" i="4"/>
  <c r="N881" i="4"/>
  <c r="M881" i="4"/>
  <c r="L881" i="4"/>
  <c r="K881" i="4"/>
  <c r="I881" i="4"/>
  <c r="H881" i="4"/>
  <c r="J881" i="4" s="1"/>
  <c r="Q878" i="4"/>
  <c r="P878" i="4"/>
  <c r="O878" i="4"/>
  <c r="N878" i="4"/>
  <c r="M878" i="4"/>
  <c r="K878" i="4"/>
  <c r="J878" i="4"/>
  <c r="I878" i="4"/>
  <c r="H878" i="4"/>
  <c r="L878" i="4" s="1"/>
  <c r="Q877" i="4"/>
  <c r="P877" i="4"/>
  <c r="O877" i="4"/>
  <c r="N877" i="4"/>
  <c r="M877" i="4"/>
  <c r="L877" i="4"/>
  <c r="K877" i="4"/>
  <c r="I877" i="4"/>
  <c r="H877" i="4"/>
  <c r="J877" i="4" s="1"/>
  <c r="Q872" i="4"/>
  <c r="P872" i="4"/>
  <c r="O872" i="4"/>
  <c r="N872" i="4"/>
  <c r="M872" i="4"/>
  <c r="L872" i="4"/>
  <c r="K872" i="4"/>
  <c r="I872" i="4"/>
  <c r="H872" i="4"/>
  <c r="J872" i="4" s="1"/>
  <c r="Q869" i="4"/>
  <c r="P869" i="4"/>
  <c r="O869" i="4"/>
  <c r="N869" i="4"/>
  <c r="L869" i="4"/>
  <c r="K869" i="4"/>
  <c r="J869" i="4"/>
  <c r="I869" i="4"/>
  <c r="H869" i="4"/>
  <c r="M869" i="4" s="1"/>
  <c r="Q868" i="4"/>
  <c r="P868" i="4"/>
  <c r="O868" i="4"/>
  <c r="N868" i="4"/>
  <c r="L868" i="4"/>
  <c r="K868" i="4"/>
  <c r="J868" i="4"/>
  <c r="I868" i="4"/>
  <c r="H868" i="4"/>
  <c r="M868" i="4" s="1"/>
  <c r="Q866" i="4"/>
  <c r="P866" i="4"/>
  <c r="O866" i="4"/>
  <c r="N866" i="4"/>
  <c r="M866" i="4"/>
  <c r="K866" i="4"/>
  <c r="J866" i="4"/>
  <c r="I866" i="4"/>
  <c r="H866" i="4"/>
  <c r="L866" i="4" s="1"/>
  <c r="Q865" i="4"/>
  <c r="P865" i="4"/>
  <c r="O865" i="4"/>
  <c r="N865" i="4"/>
  <c r="M865" i="4"/>
  <c r="L865" i="4"/>
  <c r="K865" i="4"/>
  <c r="I865" i="4"/>
  <c r="H865" i="4"/>
  <c r="J865" i="4" s="1"/>
  <c r="Q862" i="4"/>
  <c r="P862" i="4"/>
  <c r="O862" i="4"/>
  <c r="N862" i="4"/>
  <c r="L862" i="4"/>
  <c r="K862" i="4"/>
  <c r="J862" i="4"/>
  <c r="I862" i="4"/>
  <c r="H862" i="4"/>
  <c r="M862" i="4" s="1"/>
  <c r="Q861" i="4"/>
  <c r="P861" i="4"/>
  <c r="O861" i="4"/>
  <c r="N861" i="4"/>
  <c r="L861" i="4"/>
  <c r="K861" i="4"/>
  <c r="J861" i="4"/>
  <c r="I861" i="4"/>
  <c r="H861" i="4"/>
  <c r="M861" i="4" s="1"/>
  <c r="Q860" i="4"/>
  <c r="P860" i="4"/>
  <c r="O860" i="4"/>
  <c r="N860" i="4"/>
  <c r="M860" i="4"/>
  <c r="K860" i="4"/>
  <c r="J860" i="4"/>
  <c r="I860" i="4"/>
  <c r="H860" i="4"/>
  <c r="L860" i="4" s="1"/>
  <c r="Q855" i="4"/>
  <c r="P855" i="4"/>
  <c r="O855" i="4"/>
  <c r="N855" i="4"/>
  <c r="M855" i="4"/>
  <c r="L855" i="4"/>
  <c r="K855" i="4"/>
  <c r="I855" i="4"/>
  <c r="H855" i="4"/>
  <c r="J855" i="4" s="1"/>
  <c r="Q975" i="4"/>
  <c r="P975" i="4"/>
  <c r="O975" i="4"/>
  <c r="M975" i="4"/>
  <c r="L975" i="4"/>
  <c r="K975" i="4"/>
  <c r="J975" i="4"/>
  <c r="I975" i="4"/>
  <c r="H975" i="4"/>
  <c r="N975" i="4" s="1"/>
  <c r="Q974" i="4"/>
  <c r="P974" i="4"/>
  <c r="O974" i="4"/>
  <c r="M974" i="4"/>
  <c r="L974" i="4"/>
  <c r="K974" i="4"/>
  <c r="J974" i="4"/>
  <c r="I974" i="4"/>
  <c r="H974" i="4"/>
  <c r="N974" i="4" s="1"/>
  <c r="Q973" i="4"/>
  <c r="P973" i="4"/>
  <c r="O973" i="4"/>
  <c r="N973" i="4"/>
  <c r="L973" i="4"/>
  <c r="K973" i="4"/>
  <c r="J973" i="4"/>
  <c r="I973" i="4"/>
  <c r="H973" i="4"/>
  <c r="M973" i="4" s="1"/>
  <c r="Q968" i="4"/>
  <c r="P968" i="4"/>
  <c r="O968" i="4"/>
  <c r="N968" i="4"/>
  <c r="M968" i="4"/>
  <c r="L968" i="4"/>
  <c r="K968" i="4"/>
  <c r="I968" i="4"/>
  <c r="H968" i="4"/>
  <c r="J968" i="4" s="1"/>
  <c r="Q965" i="4"/>
  <c r="P965" i="4"/>
  <c r="O965" i="4"/>
  <c r="N965" i="4"/>
  <c r="M965" i="4"/>
  <c r="L965" i="4"/>
  <c r="K965" i="4"/>
  <c r="J965" i="4"/>
  <c r="I965" i="4"/>
  <c r="H965" i="4"/>
  <c r="Q964" i="4"/>
  <c r="P964" i="4"/>
  <c r="O964" i="4"/>
  <c r="N964" i="4"/>
  <c r="M964" i="4"/>
  <c r="K964" i="4"/>
  <c r="J964" i="4"/>
  <c r="I964" i="4"/>
  <c r="H964" i="4"/>
  <c r="L964" i="4" s="1"/>
  <c r="Q963" i="4"/>
  <c r="P963" i="4"/>
  <c r="O963" i="4"/>
  <c r="N963" i="4"/>
  <c r="M963" i="4"/>
  <c r="K963" i="4"/>
  <c r="J963" i="4"/>
  <c r="I963" i="4"/>
  <c r="H963" i="4"/>
  <c r="L963" i="4" s="1"/>
  <c r="Q962" i="4"/>
  <c r="P962" i="4"/>
  <c r="O962" i="4"/>
  <c r="N962" i="4"/>
  <c r="M962" i="4"/>
  <c r="L962" i="4"/>
  <c r="K962" i="4"/>
  <c r="I962" i="4"/>
  <c r="H962" i="4"/>
  <c r="J962" i="4" s="1"/>
  <c r="Q959" i="4"/>
  <c r="P959" i="4"/>
  <c r="O959" i="4"/>
  <c r="N959" i="4"/>
  <c r="M959" i="4"/>
  <c r="K959" i="4"/>
  <c r="J959" i="4"/>
  <c r="I959" i="4"/>
  <c r="H959" i="4"/>
  <c r="L959" i="4" s="1"/>
  <c r="Q958" i="4"/>
  <c r="P958" i="4"/>
  <c r="O958" i="4"/>
  <c r="N958" i="4"/>
  <c r="M958" i="4"/>
  <c r="K958" i="4"/>
  <c r="J958" i="4"/>
  <c r="I958" i="4"/>
  <c r="H958" i="4"/>
  <c r="L958" i="4" s="1"/>
  <c r="Q957" i="4"/>
  <c r="P957" i="4"/>
  <c r="O957" i="4"/>
  <c r="N957" i="4"/>
  <c r="M957" i="4"/>
  <c r="K957" i="4"/>
  <c r="J957" i="4"/>
  <c r="I957" i="4"/>
  <c r="H957" i="4"/>
  <c r="L957" i="4" s="1"/>
  <c r="Q956" i="4"/>
  <c r="P956" i="4"/>
  <c r="O956" i="4"/>
  <c r="N956" i="4"/>
  <c r="M956" i="4"/>
  <c r="L956" i="4"/>
  <c r="K956" i="4"/>
  <c r="I956" i="4"/>
  <c r="H956" i="4"/>
  <c r="J956" i="4" s="1"/>
  <c r="Q953" i="4"/>
  <c r="P953" i="4"/>
  <c r="O953" i="4"/>
  <c r="N953" i="4"/>
  <c r="M953" i="4"/>
  <c r="K953" i="4"/>
  <c r="J953" i="4"/>
  <c r="I953" i="4"/>
  <c r="H953" i="4"/>
  <c r="L953" i="4" s="1"/>
  <c r="Q952" i="4"/>
  <c r="P952" i="4"/>
  <c r="O952" i="4"/>
  <c r="N952" i="4"/>
  <c r="M952" i="4"/>
  <c r="K952" i="4"/>
  <c r="J952" i="4"/>
  <c r="I952" i="4"/>
  <c r="H952" i="4"/>
  <c r="L952" i="4" s="1"/>
  <c r="Q951" i="4"/>
  <c r="P951" i="4"/>
  <c r="O951" i="4"/>
  <c r="N951" i="4"/>
  <c r="M951" i="4"/>
  <c r="K951" i="4"/>
  <c r="J951" i="4"/>
  <c r="I951" i="4"/>
  <c r="H951" i="4"/>
  <c r="L951" i="4" s="1"/>
  <c r="Q950" i="4"/>
  <c r="P950" i="4"/>
  <c r="O950" i="4"/>
  <c r="N950" i="4"/>
  <c r="M950" i="4"/>
  <c r="L950" i="4"/>
  <c r="K950" i="4"/>
  <c r="I950" i="4"/>
  <c r="H950" i="4"/>
  <c r="J950" i="4" s="1"/>
  <c r="Q945" i="4"/>
  <c r="P945" i="4"/>
  <c r="O945" i="4"/>
  <c r="N945" i="4"/>
  <c r="M945" i="4"/>
  <c r="L945" i="4"/>
  <c r="K945" i="4"/>
  <c r="I945" i="4"/>
  <c r="H945" i="4"/>
  <c r="J945" i="4" s="1"/>
  <c r="Q942" i="4"/>
  <c r="P942" i="4"/>
  <c r="O942" i="4"/>
  <c r="N942" i="4"/>
  <c r="L942" i="4"/>
  <c r="K942" i="4"/>
  <c r="J942" i="4"/>
  <c r="I942" i="4"/>
  <c r="H942" i="4"/>
  <c r="M942" i="4" s="1"/>
  <c r="Q941" i="4"/>
  <c r="P941" i="4"/>
  <c r="O941" i="4"/>
  <c r="N941" i="4"/>
  <c r="L941" i="4"/>
  <c r="K941" i="4"/>
  <c r="J941" i="4"/>
  <c r="I941" i="4"/>
  <c r="H941" i="4"/>
  <c r="M941" i="4" s="1"/>
  <c r="Q940" i="4"/>
  <c r="P940" i="4"/>
  <c r="O940" i="4"/>
  <c r="N940" i="4"/>
  <c r="L940" i="4"/>
  <c r="K940" i="4"/>
  <c r="J940" i="4"/>
  <c r="I940" i="4"/>
  <c r="H940" i="4"/>
  <c r="M940" i="4" s="1"/>
  <c r="Q935" i="4"/>
  <c r="P935" i="4"/>
  <c r="O935" i="4"/>
  <c r="N935" i="4"/>
  <c r="M935" i="4"/>
  <c r="L935" i="4"/>
  <c r="K935" i="4"/>
  <c r="I935" i="4"/>
  <c r="H935" i="4"/>
  <c r="J935" i="4" s="1"/>
  <c r="Q999" i="4"/>
  <c r="P999" i="4"/>
  <c r="O999" i="4"/>
  <c r="N999" i="4"/>
  <c r="M999" i="4"/>
  <c r="L999" i="4"/>
  <c r="K999" i="4"/>
  <c r="J999" i="4"/>
  <c r="I999" i="4"/>
  <c r="H999" i="4"/>
  <c r="Q998" i="4"/>
  <c r="P998" i="4"/>
  <c r="O998" i="4"/>
  <c r="N998" i="4"/>
  <c r="L998" i="4"/>
  <c r="K998" i="4"/>
  <c r="J998" i="4"/>
  <c r="I998" i="4"/>
  <c r="H998" i="4"/>
  <c r="M998" i="4" s="1"/>
  <c r="Q997" i="4"/>
  <c r="P997" i="4"/>
  <c r="O997" i="4"/>
  <c r="N997" i="4"/>
  <c r="L997" i="4"/>
  <c r="K997" i="4"/>
  <c r="J997" i="4"/>
  <c r="I997" i="4"/>
  <c r="H997" i="4"/>
  <c r="M997" i="4" s="1"/>
  <c r="Q990" i="4"/>
  <c r="P990" i="4"/>
  <c r="O990" i="4"/>
  <c r="N990" i="4"/>
  <c r="M990" i="4"/>
  <c r="L990" i="4"/>
  <c r="K990" i="4"/>
  <c r="I990" i="4"/>
  <c r="H990" i="4"/>
  <c r="J990" i="4" s="1"/>
  <c r="Q987" i="4"/>
  <c r="P987" i="4"/>
  <c r="O987" i="4"/>
  <c r="N987" i="4"/>
  <c r="L987" i="4"/>
  <c r="K987" i="4"/>
  <c r="J987" i="4"/>
  <c r="I987" i="4"/>
  <c r="H987" i="4"/>
  <c r="M987" i="4" s="1"/>
  <c r="Q986" i="4"/>
  <c r="P986" i="4"/>
  <c r="O986" i="4"/>
  <c r="N986" i="4"/>
  <c r="L986" i="4"/>
  <c r="K986" i="4"/>
  <c r="J986" i="4"/>
  <c r="I986" i="4"/>
  <c r="H986" i="4"/>
  <c r="M986" i="4" s="1"/>
  <c r="Q985" i="4"/>
  <c r="P985" i="4"/>
  <c r="O985" i="4"/>
  <c r="N985" i="4"/>
  <c r="M985" i="4"/>
  <c r="K985" i="4"/>
  <c r="J985" i="4"/>
  <c r="I985" i="4"/>
  <c r="H985" i="4"/>
  <c r="L985" i="4" s="1"/>
  <c r="Q984" i="4"/>
  <c r="P984" i="4"/>
  <c r="O984" i="4"/>
  <c r="N984" i="4"/>
  <c r="M984" i="4"/>
  <c r="L984" i="4"/>
  <c r="K984" i="4"/>
  <c r="I984" i="4"/>
  <c r="H984" i="4"/>
  <c r="J984" i="4" s="1"/>
  <c r="Q981" i="4"/>
  <c r="P981" i="4"/>
  <c r="O981" i="4"/>
  <c r="M981" i="4"/>
  <c r="L981" i="4"/>
  <c r="K981" i="4"/>
  <c r="J981" i="4"/>
  <c r="I981" i="4"/>
  <c r="H981" i="4"/>
  <c r="N981" i="4" s="1"/>
  <c r="Q980" i="4"/>
  <c r="P980" i="4"/>
  <c r="O980" i="4"/>
  <c r="N980" i="4"/>
  <c r="L980" i="4"/>
  <c r="K980" i="4"/>
  <c r="J980" i="4"/>
  <c r="I980" i="4"/>
  <c r="H980" i="4"/>
  <c r="M980" i="4" s="1"/>
  <c r="Q979" i="4"/>
  <c r="P979" i="4"/>
  <c r="O979" i="4"/>
  <c r="N979" i="4"/>
  <c r="L979" i="4"/>
  <c r="K979" i="4"/>
  <c r="J979" i="4"/>
  <c r="I979" i="4"/>
  <c r="H979" i="4"/>
  <c r="M979" i="4" s="1"/>
  <c r="Q978" i="4"/>
  <c r="P978" i="4"/>
  <c r="O978" i="4"/>
  <c r="N978" i="4"/>
  <c r="M978" i="4"/>
  <c r="L978" i="4"/>
  <c r="K978" i="4"/>
  <c r="I978" i="4"/>
  <c r="H978" i="4"/>
  <c r="J978" i="4" s="1"/>
  <c r="Q1011" i="4"/>
  <c r="P1011" i="4"/>
  <c r="O1011" i="4"/>
  <c r="N1011" i="4"/>
  <c r="L1011" i="4"/>
  <c r="K1011" i="4"/>
  <c r="J1011" i="4"/>
  <c r="I1011" i="4"/>
  <c r="H1011" i="4"/>
  <c r="M1011" i="4" s="1"/>
  <c r="Q1010" i="4"/>
  <c r="P1010" i="4"/>
  <c r="O1010" i="4"/>
  <c r="N1010" i="4"/>
  <c r="L1010" i="4"/>
  <c r="K1010" i="4"/>
  <c r="J1010" i="4"/>
  <c r="I1010" i="4"/>
  <c r="H1010" i="4"/>
  <c r="M1010" i="4" s="1"/>
  <c r="Q1009" i="4"/>
  <c r="P1009" i="4"/>
  <c r="O1009" i="4"/>
  <c r="N1009" i="4"/>
  <c r="L1009" i="4"/>
  <c r="K1009" i="4"/>
  <c r="J1009" i="4"/>
  <c r="I1009" i="4"/>
  <c r="H1009" i="4"/>
  <c r="M1009" i="4" s="1"/>
  <c r="Q1008" i="4"/>
  <c r="P1008" i="4"/>
  <c r="O1008" i="4"/>
  <c r="N1008" i="4"/>
  <c r="M1008" i="4"/>
  <c r="L1008" i="4"/>
  <c r="K1008" i="4"/>
  <c r="I1008" i="4"/>
  <c r="H1008" i="4"/>
  <c r="J1008" i="4" s="1"/>
  <c r="Q1005" i="4"/>
  <c r="P1005" i="4"/>
  <c r="O1005" i="4"/>
  <c r="M1005" i="4"/>
  <c r="L1005" i="4"/>
  <c r="K1005" i="4"/>
  <c r="J1005" i="4"/>
  <c r="I1005" i="4"/>
  <c r="H1005" i="4"/>
  <c r="N1005" i="4" s="1"/>
  <c r="Q1004" i="4"/>
  <c r="P1004" i="4"/>
  <c r="O1004" i="4"/>
  <c r="N1004" i="4"/>
  <c r="L1004" i="4"/>
  <c r="K1004" i="4"/>
  <c r="J1004" i="4"/>
  <c r="I1004" i="4"/>
  <c r="H1004" i="4"/>
  <c r="M1004" i="4" s="1"/>
  <c r="Q1003" i="4"/>
  <c r="P1003" i="4"/>
  <c r="O1003" i="4"/>
  <c r="N1003" i="4"/>
  <c r="L1003" i="4"/>
  <c r="K1003" i="4"/>
  <c r="J1003" i="4"/>
  <c r="I1003" i="4"/>
  <c r="H1003" i="4"/>
  <c r="M1003" i="4" s="1"/>
  <c r="Q1002" i="4"/>
  <c r="P1002" i="4"/>
  <c r="O1002" i="4"/>
  <c r="N1002" i="4"/>
  <c r="M1002" i="4"/>
  <c r="L1002" i="4"/>
  <c r="K1002" i="4"/>
  <c r="I1002" i="4"/>
  <c r="H1002" i="4"/>
  <c r="J1002" i="4" s="1"/>
  <c r="Q1015" i="4"/>
  <c r="P1015" i="4"/>
  <c r="O1015" i="4"/>
  <c r="N1015" i="4"/>
  <c r="M1015" i="4"/>
  <c r="K1015" i="4"/>
  <c r="J1015" i="4"/>
  <c r="I1015" i="4"/>
  <c r="H1015" i="4"/>
  <c r="L1015" i="4" s="1"/>
  <c r="Q1014" i="4"/>
  <c r="P1014" i="4"/>
  <c r="O1014" i="4"/>
  <c r="N1014" i="4"/>
  <c r="M1014" i="4"/>
  <c r="L1014" i="4"/>
  <c r="K1014" i="4"/>
  <c r="I1014" i="4"/>
  <c r="H1014" i="4"/>
  <c r="J1014" i="4" s="1"/>
  <c r="N1766" i="21" l="1"/>
  <c r="K1424" i="21"/>
  <c r="K930" i="21"/>
  <c r="I807" i="4"/>
  <c r="M847" i="4"/>
  <c r="L830" i="4"/>
  <c r="I1007" i="4"/>
  <c r="Q977" i="4"/>
  <c r="M983" i="4"/>
  <c r="I871" i="4"/>
  <c r="K864" i="4"/>
  <c r="N949" i="4"/>
  <c r="P949" i="4"/>
  <c r="J854" i="4"/>
  <c r="Q884" i="4"/>
  <c r="O898" i="4"/>
  <c r="N771" i="4"/>
  <c r="J776" i="4"/>
  <c r="Q771" i="4"/>
  <c r="I815" i="4"/>
  <c r="O790" i="4"/>
  <c r="K840" i="4"/>
  <c r="N904" i="4"/>
  <c r="L925" i="4"/>
  <c r="I771" i="4"/>
  <c r="O888" i="4"/>
  <c r="I876" i="4"/>
  <c r="O967" i="4"/>
  <c r="P915" i="4"/>
  <c r="J771" i="4"/>
  <c r="N781" i="4"/>
  <c r="Q830" i="4"/>
  <c r="K756" i="4"/>
  <c r="I761" i="4"/>
  <c r="L807" i="4"/>
  <c r="N815" i="4"/>
  <c r="M1013" i="4"/>
  <c r="M934" i="4"/>
  <c r="M854" i="4"/>
  <c r="O854" i="4"/>
  <c r="I864" i="4"/>
  <c r="L761" i="4"/>
  <c r="I790" i="4"/>
  <c r="O797" i="4"/>
  <c r="K803" i="4"/>
  <c r="M803" i="4"/>
  <c r="K752" i="4"/>
  <c r="M756" i="4"/>
  <c r="Q781" i="4"/>
  <c r="O840" i="4"/>
  <c r="M944" i="4"/>
  <c r="K961" i="4"/>
  <c r="P892" i="4"/>
  <c r="M904" i="4"/>
  <c r="K761" i="4"/>
  <c r="O761" i="4"/>
  <c r="J790" i="4"/>
  <c r="K949" i="4"/>
  <c r="L989" i="4"/>
  <c r="J955" i="4"/>
  <c r="K925" i="4"/>
  <c r="J797" i="4"/>
  <c r="N807" i="4"/>
  <c r="M949" i="4"/>
  <c r="O949" i="4"/>
  <c r="K955" i="4"/>
  <c r="I961" i="4"/>
  <c r="Q864" i="4"/>
  <c r="L871" i="4"/>
  <c r="N871" i="4"/>
  <c r="O892" i="4"/>
  <c r="Q892" i="4"/>
  <c r="L781" i="4"/>
  <c r="K815" i="4"/>
  <c r="I752" i="4"/>
  <c r="J1007" i="4"/>
  <c r="L944" i="4"/>
  <c r="K854" i="4"/>
  <c r="J888" i="4"/>
  <c r="N752" i="4"/>
  <c r="O771" i="4"/>
  <c r="Q776" i="4"/>
  <c r="M840" i="4"/>
  <c r="J847" i="4"/>
  <c r="O1001" i="4"/>
  <c r="K1007" i="4"/>
  <c r="I977" i="4"/>
  <c r="J961" i="4"/>
  <c r="Q967" i="4"/>
  <c r="L854" i="4"/>
  <c r="M925" i="4"/>
  <c r="P771" i="4"/>
  <c r="L776" i="4"/>
  <c r="Q797" i="4"/>
  <c r="N840" i="4"/>
  <c r="I847" i="4"/>
  <c r="M898" i="4"/>
  <c r="J766" i="4"/>
  <c r="P1001" i="4"/>
  <c r="I1013" i="4"/>
  <c r="Q983" i="4"/>
  <c r="P871" i="4"/>
  <c r="K876" i="4"/>
  <c r="M876" i="4"/>
  <c r="N898" i="4"/>
  <c r="M752" i="4"/>
  <c r="J756" i="4"/>
  <c r="K766" i="4"/>
  <c r="N776" i="4"/>
  <c r="K781" i="4"/>
  <c r="M781" i="4"/>
  <c r="Q786" i="4"/>
  <c r="K790" i="4"/>
  <c r="M797" i="4"/>
  <c r="O803" i="4"/>
  <c r="I803" i="4"/>
  <c r="I830" i="4"/>
  <c r="O830" i="4"/>
  <c r="N977" i="4"/>
  <c r="J864" i="4"/>
  <c r="N925" i="4"/>
  <c r="P761" i="4"/>
  <c r="L766" i="4"/>
  <c r="N766" i="4"/>
  <c r="L790" i="4"/>
  <c r="P803" i="4"/>
  <c r="O807" i="4"/>
  <c r="L847" i="4"/>
  <c r="J1013" i="4"/>
  <c r="J977" i="4"/>
  <c r="I1001" i="4"/>
  <c r="O1007" i="4"/>
  <c r="L949" i="4"/>
  <c r="I967" i="4"/>
  <c r="P898" i="4"/>
  <c r="O904" i="4"/>
  <c r="Q752" i="4"/>
  <c r="M766" i="4"/>
  <c r="M790" i="4"/>
  <c r="M771" i="4"/>
  <c r="J786" i="4"/>
  <c r="N797" i="4"/>
  <c r="O786" i="4"/>
  <c r="P888" i="4"/>
  <c r="Q815" i="4"/>
  <c r="N1013" i="4"/>
  <c r="J1001" i="4"/>
  <c r="N934" i="4"/>
  <c r="J871" i="4"/>
  <c r="I884" i="4"/>
  <c r="K884" i="4"/>
  <c r="Q888" i="4"/>
  <c r="K915" i="4"/>
  <c r="M915" i="4"/>
  <c r="N756" i="4"/>
  <c r="P756" i="4"/>
  <c r="Q766" i="4"/>
  <c r="O781" i="4"/>
  <c r="Q790" i="4"/>
  <c r="P807" i="4"/>
  <c r="Q847" i="4"/>
  <c r="L983" i="4"/>
  <c r="L955" i="4"/>
  <c r="N955" i="4"/>
  <c r="K871" i="4"/>
  <c r="M871" i="4"/>
  <c r="O871" i="4"/>
  <c r="Q871" i="4"/>
  <c r="N880" i="4"/>
  <c r="P904" i="4"/>
  <c r="L915" i="4"/>
  <c r="N915" i="4"/>
  <c r="O748" i="4"/>
  <c r="I756" i="4"/>
  <c r="I776" i="4"/>
  <c r="L786" i="4"/>
  <c r="P786" i="4"/>
  <c r="J803" i="4"/>
  <c r="Q807" i="4"/>
  <c r="N748" i="4"/>
  <c r="L748" i="4"/>
  <c r="P748" i="4"/>
  <c r="Q748" i="4"/>
  <c r="I748" i="4"/>
  <c r="I740" i="4"/>
  <c r="O740" i="4"/>
  <c r="K740" i="4"/>
  <c r="L740" i="4"/>
  <c r="M740" i="4"/>
  <c r="P740" i="4"/>
  <c r="Q734" i="4"/>
  <c r="N734" i="4"/>
  <c r="K734" i="4"/>
  <c r="P734" i="4"/>
  <c r="O728" i="4"/>
  <c r="M728" i="4"/>
  <c r="Q728" i="4"/>
  <c r="K728" i="4"/>
  <c r="N717" i="4"/>
  <c r="O1013" i="4"/>
  <c r="Q1013" i="4"/>
  <c r="P1007" i="4"/>
  <c r="K977" i="4"/>
  <c r="O977" i="4"/>
  <c r="I934" i="4"/>
  <c r="K934" i="4"/>
  <c r="M955" i="4"/>
  <c r="O955" i="4"/>
  <c r="Q955" i="4"/>
  <c r="O884" i="4"/>
  <c r="N892" i="4"/>
  <c r="L904" i="4"/>
  <c r="J925" i="4"/>
  <c r="I728" i="4"/>
  <c r="L734" i="4"/>
  <c r="Q740" i="4"/>
  <c r="J748" i="4"/>
  <c r="O776" i="4"/>
  <c r="M786" i="4"/>
  <c r="K797" i="4"/>
  <c r="J807" i="4"/>
  <c r="O815" i="4"/>
  <c r="M830" i="4"/>
  <c r="L977" i="4"/>
  <c r="P944" i="4"/>
  <c r="L864" i="4"/>
  <c r="K880" i="4"/>
  <c r="N728" i="4"/>
  <c r="O752" i="4"/>
  <c r="M761" i="4"/>
  <c r="K771" i="4"/>
  <c r="P776" i="4"/>
  <c r="I781" i="4"/>
  <c r="N786" i="4"/>
  <c r="L797" i="4"/>
  <c r="Q803" i="4"/>
  <c r="P815" i="4"/>
  <c r="J815" i="4"/>
  <c r="N830" i="4"/>
  <c r="N847" i="4"/>
  <c r="N967" i="4"/>
  <c r="P864" i="4"/>
  <c r="P884" i="4"/>
  <c r="K1001" i="4"/>
  <c r="M977" i="4"/>
  <c r="O989" i="4"/>
  <c r="O944" i="4"/>
  <c r="Q944" i="4"/>
  <c r="M864" i="4"/>
  <c r="O864" i="4"/>
  <c r="J880" i="4"/>
  <c r="L880" i="4"/>
  <c r="P752" i="4"/>
  <c r="J752" i="4"/>
  <c r="N761" i="4"/>
  <c r="L771" i="4"/>
  <c r="J781" i="4"/>
  <c r="P781" i="4"/>
  <c r="N790" i="4"/>
  <c r="L803" i="4"/>
  <c r="I840" i="4"/>
  <c r="O847" i="4"/>
  <c r="N989" i="4"/>
  <c r="N944" i="4"/>
  <c r="N864" i="4"/>
  <c r="O880" i="4"/>
  <c r="L1001" i="4"/>
  <c r="I983" i="4"/>
  <c r="P989" i="4"/>
  <c r="J934" i="4"/>
  <c r="J949" i="4"/>
  <c r="P955" i="4"/>
  <c r="I854" i="4"/>
  <c r="O876" i="4"/>
  <c r="L888" i="4"/>
  <c r="J898" i="4"/>
  <c r="L898" i="4"/>
  <c r="J915" i="4"/>
  <c r="J728" i="4"/>
  <c r="O734" i="4"/>
  <c r="M748" i="4"/>
  <c r="I766" i="4"/>
  <c r="M807" i="4"/>
  <c r="P830" i="4"/>
  <c r="J840" i="4"/>
  <c r="P847" i="4"/>
  <c r="P1013" i="4"/>
  <c r="P967" i="4"/>
  <c r="M880" i="4"/>
  <c r="J983" i="4"/>
  <c r="Q989" i="4"/>
  <c r="M961" i="4"/>
  <c r="J892" i="4"/>
  <c r="L892" i="4"/>
  <c r="J904" i="4"/>
  <c r="P925" i="4"/>
  <c r="I880" i="4"/>
  <c r="M1001" i="4"/>
  <c r="N983" i="4"/>
  <c r="N1001" i="4"/>
  <c r="P977" i="4"/>
  <c r="K983" i="4"/>
  <c r="L934" i="4"/>
  <c r="J944" i="4"/>
  <c r="L961" i="4"/>
  <c r="N961" i="4"/>
  <c r="P961" i="4"/>
  <c r="Q876" i="4"/>
  <c r="J884" i="4"/>
  <c r="L884" i="4"/>
  <c r="N884" i="4"/>
  <c r="N888" i="4"/>
  <c r="I892" i="4"/>
  <c r="Q904" i="4"/>
  <c r="O925" i="4"/>
  <c r="Q925" i="4"/>
  <c r="L728" i="4"/>
  <c r="J740" i="4"/>
  <c r="L756" i="4"/>
  <c r="Q761" i="4"/>
  <c r="P797" i="4"/>
  <c r="L840" i="4"/>
  <c r="Q854" i="4"/>
  <c r="M734" i="4"/>
  <c r="K748" i="4"/>
  <c r="K807" i="4"/>
  <c r="Q1001" i="4"/>
  <c r="L1007" i="4"/>
  <c r="M989" i="4"/>
  <c r="Q934" i="4"/>
  <c r="I944" i="4"/>
  <c r="O961" i="4"/>
  <c r="N854" i="4"/>
  <c r="P880" i="4"/>
  <c r="O756" i="4"/>
  <c r="K776" i="4"/>
  <c r="I786" i="4"/>
  <c r="I989" i="4"/>
  <c r="I955" i="4"/>
  <c r="P854" i="4"/>
  <c r="L1013" i="4"/>
  <c r="M1007" i="4"/>
  <c r="O983" i="4"/>
  <c r="J989" i="4"/>
  <c r="P934" i="4"/>
  <c r="J967" i="4"/>
  <c r="L967" i="4"/>
  <c r="Q880" i="4"/>
  <c r="K892" i="4"/>
  <c r="M892" i="4"/>
  <c r="I904" i="4"/>
  <c r="K904" i="4"/>
  <c r="I925" i="4"/>
  <c r="P728" i="4"/>
  <c r="I734" i="4"/>
  <c r="N740" i="4"/>
  <c r="O766" i="4"/>
  <c r="L815" i="4"/>
  <c r="J830" i="4"/>
  <c r="P840" i="4"/>
  <c r="Q1007" i="4"/>
  <c r="K1013" i="4"/>
  <c r="O934" i="4"/>
  <c r="Q961" i="4"/>
  <c r="N1007" i="4"/>
  <c r="P983" i="4"/>
  <c r="K989" i="4"/>
  <c r="K944" i="4"/>
  <c r="Q949" i="4"/>
  <c r="I949" i="4"/>
  <c r="K967" i="4"/>
  <c r="M967" i="4"/>
  <c r="J876" i="4"/>
  <c r="L876" i="4"/>
  <c r="N876" i="4"/>
  <c r="P876" i="4"/>
  <c r="M884" i="4"/>
  <c r="I888" i="4"/>
  <c r="K888" i="4"/>
  <c r="M888" i="4"/>
  <c r="Q898" i="4"/>
  <c r="I898" i="4"/>
  <c r="K898" i="4"/>
  <c r="O915" i="4"/>
  <c r="Q915" i="4"/>
  <c r="I915" i="4"/>
  <c r="J734" i="4"/>
  <c r="L752" i="4"/>
  <c r="Q756" i="4"/>
  <c r="J761" i="4"/>
  <c r="P766" i="4"/>
  <c r="M776" i="4"/>
  <c r="K786" i="4"/>
  <c r="P790" i="4"/>
  <c r="I797" i="4"/>
  <c r="N803" i="4"/>
  <c r="M815" i="4"/>
  <c r="K830" i="4"/>
  <c r="Q840" i="4"/>
  <c r="K847" i="4"/>
  <c r="L717" i="4"/>
  <c r="J717" i="4"/>
  <c r="P717" i="4"/>
  <c r="I717" i="4"/>
  <c r="O717" i="4"/>
  <c r="K717" i="4"/>
  <c r="M717" i="4"/>
  <c r="Q717" i="4"/>
  <c r="N711" i="4"/>
  <c r="O711" i="4"/>
  <c r="L711" i="4"/>
  <c r="M711" i="4"/>
  <c r="K711" i="4"/>
  <c r="J711" i="4"/>
  <c r="P711" i="4"/>
  <c r="Q711" i="4"/>
  <c r="I711" i="4"/>
  <c r="L705" i="4"/>
  <c r="I705" i="4"/>
  <c r="Q705" i="4"/>
  <c r="O705" i="4"/>
  <c r="P705" i="4"/>
  <c r="J705" i="4"/>
  <c r="K705" i="4"/>
  <c r="M705" i="4"/>
  <c r="N705" i="4"/>
  <c r="Q699" i="4" l="1"/>
  <c r="P699" i="4"/>
  <c r="O699" i="4"/>
  <c r="N699" i="4"/>
  <c r="L699" i="4"/>
  <c r="K699" i="4"/>
  <c r="J699" i="4"/>
  <c r="I699" i="4"/>
  <c r="H699" i="4"/>
  <c r="M699" i="4" s="1"/>
  <c r="Q698" i="4"/>
  <c r="P698" i="4"/>
  <c r="O698" i="4"/>
  <c r="N698" i="4"/>
  <c r="L698" i="4"/>
  <c r="K698" i="4"/>
  <c r="J698" i="4"/>
  <c r="I698" i="4"/>
  <c r="H698" i="4"/>
  <c r="M698" i="4" s="1"/>
  <c r="Q697" i="4"/>
  <c r="P697" i="4"/>
  <c r="O697" i="4"/>
  <c r="N697" i="4"/>
  <c r="M697" i="4"/>
  <c r="K697" i="4"/>
  <c r="J697" i="4"/>
  <c r="I697" i="4"/>
  <c r="H697" i="4"/>
  <c r="L697" i="4" s="1"/>
  <c r="Q666" i="4"/>
  <c r="P666" i="4"/>
  <c r="O666" i="4"/>
  <c r="N666" i="4"/>
  <c r="M666" i="4"/>
  <c r="K666" i="4"/>
  <c r="J666" i="4"/>
  <c r="I666" i="4"/>
  <c r="H666" i="4"/>
  <c r="L666" i="4" s="1"/>
  <c r="Q665" i="4"/>
  <c r="P665" i="4"/>
  <c r="O665" i="4"/>
  <c r="N665" i="4"/>
  <c r="M665" i="4"/>
  <c r="K665" i="4"/>
  <c r="J665" i="4"/>
  <c r="I665" i="4"/>
  <c r="H665" i="4"/>
  <c r="L665" i="4" s="1"/>
  <c r="Q664" i="4"/>
  <c r="P664" i="4"/>
  <c r="O664" i="4"/>
  <c r="N664" i="4"/>
  <c r="M664" i="4"/>
  <c r="K664" i="4"/>
  <c r="J664" i="4"/>
  <c r="I664" i="4"/>
  <c r="H664" i="4"/>
  <c r="L664" i="4" s="1"/>
  <c r="Q657" i="4"/>
  <c r="P657" i="4"/>
  <c r="O657" i="4"/>
  <c r="N657" i="4"/>
  <c r="M657" i="4"/>
  <c r="K657" i="4"/>
  <c r="J657" i="4"/>
  <c r="I657" i="4"/>
  <c r="H657" i="4"/>
  <c r="L657" i="4" s="1"/>
  <c r="Q656" i="4"/>
  <c r="P656" i="4"/>
  <c r="O656" i="4"/>
  <c r="N656" i="4"/>
  <c r="M656" i="4"/>
  <c r="K656" i="4"/>
  <c r="J656" i="4"/>
  <c r="I656" i="4"/>
  <c r="H656" i="4"/>
  <c r="L656" i="4" s="1"/>
  <c r="Q655" i="4"/>
  <c r="P655" i="4"/>
  <c r="O655" i="4"/>
  <c r="N655" i="4"/>
  <c r="M655" i="4"/>
  <c r="K655" i="4"/>
  <c r="J655" i="4"/>
  <c r="I655" i="4"/>
  <c r="H655" i="4"/>
  <c r="L655" i="4" s="1"/>
  <c r="Q648" i="4"/>
  <c r="P648" i="4"/>
  <c r="O648" i="4"/>
  <c r="N648" i="4"/>
  <c r="M648" i="4"/>
  <c r="K648" i="4"/>
  <c r="J648" i="4"/>
  <c r="I648" i="4"/>
  <c r="H648" i="4"/>
  <c r="L648" i="4" s="1"/>
  <c r="Q647" i="4"/>
  <c r="P647" i="4"/>
  <c r="O647" i="4"/>
  <c r="N647" i="4"/>
  <c r="M647" i="4"/>
  <c r="K647" i="4"/>
  <c r="J647" i="4"/>
  <c r="I647" i="4"/>
  <c r="H647" i="4"/>
  <c r="L647" i="4" s="1"/>
  <c r="Q646" i="4"/>
  <c r="P646" i="4"/>
  <c r="O646" i="4"/>
  <c r="N646" i="4"/>
  <c r="M646" i="4"/>
  <c r="K646" i="4"/>
  <c r="J646" i="4"/>
  <c r="I646" i="4"/>
  <c r="H646" i="4"/>
  <c r="L646" i="4" s="1"/>
  <c r="Q638" i="4"/>
  <c r="P638" i="4"/>
  <c r="O638" i="4"/>
  <c r="N638" i="4"/>
  <c r="M638" i="4"/>
  <c r="K638" i="4"/>
  <c r="J638" i="4"/>
  <c r="I638" i="4"/>
  <c r="H638" i="4"/>
  <c r="L638" i="4" s="1"/>
  <c r="Q637" i="4"/>
  <c r="P637" i="4"/>
  <c r="O637" i="4"/>
  <c r="N637" i="4"/>
  <c r="M637" i="4"/>
  <c r="K637" i="4"/>
  <c r="J637" i="4"/>
  <c r="I637" i="4"/>
  <c r="H637" i="4"/>
  <c r="L637" i="4" s="1"/>
  <c r="Q636" i="4"/>
  <c r="P636" i="4"/>
  <c r="O636" i="4"/>
  <c r="N636" i="4"/>
  <c r="M636" i="4"/>
  <c r="K636" i="4"/>
  <c r="J636" i="4"/>
  <c r="I636" i="4"/>
  <c r="H636" i="4"/>
  <c r="L636" i="4" s="1"/>
  <c r="E631" i="4"/>
  <c r="E632" i="4"/>
  <c r="E627" i="4"/>
  <c r="E628" i="4"/>
  <c r="Q613" i="4"/>
  <c r="P613" i="4"/>
  <c r="O613" i="4"/>
  <c r="N613" i="4"/>
  <c r="M613" i="4"/>
  <c r="K613" i="4"/>
  <c r="J613" i="4"/>
  <c r="I613" i="4"/>
  <c r="H613" i="4"/>
  <c r="L613" i="4" s="1"/>
  <c r="Q612" i="4"/>
  <c r="P612" i="4"/>
  <c r="O612" i="4"/>
  <c r="N612" i="4"/>
  <c r="M612" i="4"/>
  <c r="K612" i="4"/>
  <c r="J612" i="4"/>
  <c r="I612" i="4"/>
  <c r="H612" i="4"/>
  <c r="L612" i="4" s="1"/>
  <c r="Q611" i="4"/>
  <c r="P611" i="4"/>
  <c r="O611" i="4"/>
  <c r="N611" i="4"/>
  <c r="M611" i="4"/>
  <c r="K611" i="4"/>
  <c r="J611" i="4"/>
  <c r="I611" i="4"/>
  <c r="H611" i="4"/>
  <c r="L611" i="4" s="1"/>
  <c r="Q591" i="4"/>
  <c r="P591" i="4"/>
  <c r="O591" i="4"/>
  <c r="N591" i="4"/>
  <c r="M591" i="4"/>
  <c r="K591" i="4"/>
  <c r="J591" i="4"/>
  <c r="I591" i="4"/>
  <c r="H591" i="4"/>
  <c r="L591" i="4" s="1"/>
  <c r="Q590" i="4"/>
  <c r="P590" i="4"/>
  <c r="O590" i="4"/>
  <c r="N590" i="4"/>
  <c r="M590" i="4"/>
  <c r="K590" i="4"/>
  <c r="J590" i="4"/>
  <c r="I590" i="4"/>
  <c r="H590" i="4"/>
  <c r="L590" i="4" s="1"/>
  <c r="Q589" i="4"/>
  <c r="P589" i="4"/>
  <c r="O589" i="4"/>
  <c r="N589" i="4"/>
  <c r="M589" i="4"/>
  <c r="K589" i="4"/>
  <c r="J589" i="4"/>
  <c r="I589" i="4"/>
  <c r="H589" i="4"/>
  <c r="L589" i="4" s="1"/>
  <c r="G764" i="21" l="1"/>
  <c r="G763" i="21"/>
  <c r="G762" i="21"/>
  <c r="G765" i="21"/>
  <c r="G132" i="11"/>
  <c r="G131" i="11"/>
  <c r="G130" i="11"/>
  <c r="G129" i="11"/>
  <c r="G133" i="11"/>
  <c r="G730" i="21"/>
  <c r="G731" i="21"/>
  <c r="G732" i="21"/>
  <c r="G733" i="21"/>
  <c r="G124" i="11"/>
  <c r="G125" i="11"/>
  <c r="G126" i="11"/>
  <c r="G127" i="11"/>
  <c r="G128" i="11"/>
  <c r="G119" i="11"/>
  <c r="G120" i="11"/>
  <c r="G121" i="11"/>
  <c r="G122" i="11"/>
  <c r="G123" i="11"/>
  <c r="G41" i="24"/>
  <c r="G40" i="24"/>
  <c r="P41" i="24"/>
  <c r="O41" i="24"/>
  <c r="N41" i="24"/>
  <c r="M41" i="24"/>
  <c r="L41" i="24"/>
  <c r="J41" i="24"/>
  <c r="K41" i="24" s="1"/>
  <c r="P40" i="24"/>
  <c r="O40" i="24"/>
  <c r="M40" i="24"/>
  <c r="L40" i="24"/>
  <c r="K40" i="24"/>
  <c r="J40" i="24"/>
  <c r="N40" i="24" s="1"/>
  <c r="Q4088" i="4"/>
  <c r="P4088" i="4"/>
  <c r="O4088" i="4"/>
  <c r="N4088" i="4"/>
  <c r="M4088" i="4"/>
  <c r="K4088" i="4"/>
  <c r="J4088" i="4"/>
  <c r="I4088" i="4"/>
  <c r="H4088" i="4"/>
  <c r="L4088" i="4" s="1"/>
  <c r="Q4087" i="4"/>
  <c r="P4087" i="4"/>
  <c r="O4087" i="4"/>
  <c r="N4087" i="4"/>
  <c r="M4087" i="4"/>
  <c r="L4087" i="4"/>
  <c r="K4087" i="4"/>
  <c r="I4087" i="4"/>
  <c r="H4087" i="4"/>
  <c r="J4087" i="4" s="1"/>
  <c r="Q4086" i="4"/>
  <c r="P4086" i="4"/>
  <c r="O4086" i="4"/>
  <c r="N4086" i="4"/>
  <c r="M4086" i="4"/>
  <c r="L4086" i="4"/>
  <c r="K4086" i="4"/>
  <c r="I4086" i="4"/>
  <c r="H4086" i="4"/>
  <c r="J4086" i="4" s="1"/>
  <c r="Q4145" i="4"/>
  <c r="P4145" i="4"/>
  <c r="O4145" i="4"/>
  <c r="N4145" i="4"/>
  <c r="M4145" i="4"/>
  <c r="K4145" i="4"/>
  <c r="J4145" i="4"/>
  <c r="I4145" i="4"/>
  <c r="H4145" i="4"/>
  <c r="L4145" i="4" s="1"/>
  <c r="Q4144" i="4"/>
  <c r="P4144" i="4"/>
  <c r="O4144" i="4"/>
  <c r="N4144" i="4"/>
  <c r="M4144" i="4"/>
  <c r="K4144" i="4"/>
  <c r="J4144" i="4"/>
  <c r="I4144" i="4"/>
  <c r="H4144" i="4"/>
  <c r="L4144" i="4" s="1"/>
  <c r="Q4143" i="4"/>
  <c r="P4143" i="4"/>
  <c r="O4143" i="4"/>
  <c r="N4143" i="4"/>
  <c r="M4143" i="4"/>
  <c r="L4143" i="4"/>
  <c r="K4143" i="4"/>
  <c r="I4143" i="4"/>
  <c r="H4143" i="4"/>
  <c r="J4143" i="4" s="1"/>
  <c r="Q4140" i="4"/>
  <c r="P4140" i="4"/>
  <c r="O4140" i="4"/>
  <c r="N4140" i="4"/>
  <c r="M4140" i="4"/>
  <c r="K4140" i="4"/>
  <c r="J4140" i="4"/>
  <c r="I4140" i="4"/>
  <c r="H4140" i="4"/>
  <c r="L4140" i="4" s="1"/>
  <c r="Q4139" i="4"/>
  <c r="P4139" i="4"/>
  <c r="O4139" i="4"/>
  <c r="N4139" i="4"/>
  <c r="M4139" i="4"/>
  <c r="K4139" i="4"/>
  <c r="J4139" i="4"/>
  <c r="I4139" i="4"/>
  <c r="H4139" i="4"/>
  <c r="L4139" i="4" s="1"/>
  <c r="Q4138" i="4"/>
  <c r="P4138" i="4"/>
  <c r="O4138" i="4"/>
  <c r="N4138" i="4"/>
  <c r="M4138" i="4"/>
  <c r="L4138" i="4"/>
  <c r="K4138" i="4"/>
  <c r="I4138" i="4"/>
  <c r="H4138" i="4"/>
  <c r="J4138" i="4" s="1"/>
  <c r="Q4135" i="4"/>
  <c r="P4135" i="4"/>
  <c r="O4135" i="4"/>
  <c r="N4135" i="4"/>
  <c r="M4135" i="4"/>
  <c r="K4135" i="4"/>
  <c r="J4135" i="4"/>
  <c r="I4135" i="4"/>
  <c r="H4135" i="4"/>
  <c r="L4135" i="4" s="1"/>
  <c r="Q4134" i="4"/>
  <c r="P4134" i="4"/>
  <c r="O4134" i="4"/>
  <c r="N4134" i="4"/>
  <c r="M4134" i="4"/>
  <c r="K4134" i="4"/>
  <c r="J4134" i="4"/>
  <c r="I4134" i="4"/>
  <c r="H4134" i="4"/>
  <c r="L4134" i="4" s="1"/>
  <c r="Q4133" i="4"/>
  <c r="P4133" i="4"/>
  <c r="O4133" i="4"/>
  <c r="N4133" i="4"/>
  <c r="M4133" i="4"/>
  <c r="L4133" i="4"/>
  <c r="K4133" i="4"/>
  <c r="I4133" i="4"/>
  <c r="H4133" i="4"/>
  <c r="J4133" i="4" s="1"/>
  <c r="Q4130" i="4"/>
  <c r="P4130" i="4"/>
  <c r="O4130" i="4"/>
  <c r="N4130" i="4"/>
  <c r="M4130" i="4"/>
  <c r="K4130" i="4"/>
  <c r="J4130" i="4"/>
  <c r="I4130" i="4"/>
  <c r="H4130" i="4"/>
  <c r="L4130" i="4" s="1"/>
  <c r="Q4129" i="4"/>
  <c r="P4129" i="4"/>
  <c r="O4129" i="4"/>
  <c r="N4129" i="4"/>
  <c r="M4129" i="4"/>
  <c r="K4129" i="4"/>
  <c r="J4129" i="4"/>
  <c r="I4129" i="4"/>
  <c r="H4129" i="4"/>
  <c r="L4129" i="4" s="1"/>
  <c r="Q4128" i="4"/>
  <c r="P4128" i="4"/>
  <c r="O4128" i="4"/>
  <c r="N4128" i="4"/>
  <c r="M4128" i="4"/>
  <c r="L4128" i="4"/>
  <c r="K4128" i="4"/>
  <c r="I4128" i="4"/>
  <c r="H4128" i="4"/>
  <c r="J4128" i="4" s="1"/>
  <c r="Q4125" i="4"/>
  <c r="P4125" i="4"/>
  <c r="O4125" i="4"/>
  <c r="N4125" i="4"/>
  <c r="M4125" i="4"/>
  <c r="K4125" i="4"/>
  <c r="J4125" i="4"/>
  <c r="I4125" i="4"/>
  <c r="H4125" i="4"/>
  <c r="L4125" i="4" s="1"/>
  <c r="Q4124" i="4"/>
  <c r="P4124" i="4"/>
  <c r="O4124" i="4"/>
  <c r="N4124" i="4"/>
  <c r="M4124" i="4"/>
  <c r="K4124" i="4"/>
  <c r="J4124" i="4"/>
  <c r="I4124" i="4"/>
  <c r="H4124" i="4"/>
  <c r="L4124" i="4" s="1"/>
  <c r="Q4123" i="4"/>
  <c r="P4123" i="4"/>
  <c r="O4123" i="4"/>
  <c r="N4123" i="4"/>
  <c r="M4123" i="4"/>
  <c r="L4123" i="4"/>
  <c r="K4123" i="4"/>
  <c r="I4123" i="4"/>
  <c r="H4123" i="4"/>
  <c r="J4123" i="4" s="1"/>
  <c r="Q4120" i="4"/>
  <c r="P4120" i="4"/>
  <c r="O4120" i="4"/>
  <c r="N4120" i="4"/>
  <c r="M4120" i="4"/>
  <c r="K4120" i="4"/>
  <c r="J4120" i="4"/>
  <c r="I4120" i="4"/>
  <c r="H4120" i="4"/>
  <c r="L4120" i="4" s="1"/>
  <c r="Q4119" i="4"/>
  <c r="P4119" i="4"/>
  <c r="O4119" i="4"/>
  <c r="N4119" i="4"/>
  <c r="M4119" i="4"/>
  <c r="K4119" i="4"/>
  <c r="J4119" i="4"/>
  <c r="I4119" i="4"/>
  <c r="H4119" i="4"/>
  <c r="L4119" i="4" s="1"/>
  <c r="Q4118" i="4"/>
  <c r="P4118" i="4"/>
  <c r="O4118" i="4"/>
  <c r="N4118" i="4"/>
  <c r="M4118" i="4"/>
  <c r="K4118" i="4"/>
  <c r="J4118" i="4"/>
  <c r="I4118" i="4"/>
  <c r="H4118" i="4"/>
  <c r="L4118" i="4" s="1"/>
  <c r="Q4117" i="4"/>
  <c r="P4117" i="4"/>
  <c r="O4117" i="4"/>
  <c r="N4117" i="4"/>
  <c r="M4117" i="4"/>
  <c r="K4117" i="4"/>
  <c r="J4117" i="4"/>
  <c r="I4117" i="4"/>
  <c r="H4117" i="4"/>
  <c r="L4117" i="4" s="1"/>
  <c r="Q4116" i="4"/>
  <c r="P4116" i="4"/>
  <c r="O4116" i="4"/>
  <c r="N4116" i="4"/>
  <c r="M4116" i="4"/>
  <c r="L4116" i="4"/>
  <c r="K4116" i="4"/>
  <c r="I4116" i="4"/>
  <c r="H4116" i="4"/>
  <c r="J4116" i="4" s="1"/>
  <c r="Q4113" i="4"/>
  <c r="P4113" i="4"/>
  <c r="O4113" i="4"/>
  <c r="N4113" i="4"/>
  <c r="M4113" i="4"/>
  <c r="K4113" i="4"/>
  <c r="J4113" i="4"/>
  <c r="I4113" i="4"/>
  <c r="H4113" i="4"/>
  <c r="L4113" i="4" s="1"/>
  <c r="Q4112" i="4"/>
  <c r="P4112" i="4"/>
  <c r="O4112" i="4"/>
  <c r="N4112" i="4"/>
  <c r="M4112" i="4"/>
  <c r="K4112" i="4"/>
  <c r="J4112" i="4"/>
  <c r="I4112" i="4"/>
  <c r="H4112" i="4"/>
  <c r="L4112" i="4" s="1"/>
  <c r="Q4111" i="4"/>
  <c r="P4111" i="4"/>
  <c r="O4111" i="4"/>
  <c r="N4111" i="4"/>
  <c r="M4111" i="4"/>
  <c r="K4111" i="4"/>
  <c r="J4111" i="4"/>
  <c r="I4111" i="4"/>
  <c r="H4111" i="4"/>
  <c r="L4111" i="4" s="1"/>
  <c r="Q4110" i="4"/>
  <c r="P4110" i="4"/>
  <c r="O4110" i="4"/>
  <c r="N4110" i="4"/>
  <c r="M4110" i="4"/>
  <c r="K4110" i="4"/>
  <c r="J4110" i="4"/>
  <c r="I4110" i="4"/>
  <c r="H4110" i="4"/>
  <c r="L4110" i="4" s="1"/>
  <c r="Q4109" i="4"/>
  <c r="P4109" i="4"/>
  <c r="O4109" i="4"/>
  <c r="N4109" i="4"/>
  <c r="M4109" i="4"/>
  <c r="L4109" i="4"/>
  <c r="K4109" i="4"/>
  <c r="I4109" i="4"/>
  <c r="H4109" i="4"/>
  <c r="J4109" i="4" s="1"/>
  <c r="Q4106" i="4"/>
  <c r="P4106" i="4"/>
  <c r="O4106" i="4"/>
  <c r="N4106" i="4"/>
  <c r="M4106" i="4"/>
  <c r="K4106" i="4"/>
  <c r="J4106" i="4"/>
  <c r="I4106" i="4"/>
  <c r="H4106" i="4"/>
  <c r="L4106" i="4" s="1"/>
  <c r="Q4105" i="4"/>
  <c r="P4105" i="4"/>
  <c r="O4105" i="4"/>
  <c r="N4105" i="4"/>
  <c r="M4105" i="4"/>
  <c r="K4105" i="4"/>
  <c r="J4105" i="4"/>
  <c r="I4105" i="4"/>
  <c r="H4105" i="4"/>
  <c r="L4105" i="4" s="1"/>
  <c r="Q4104" i="4"/>
  <c r="P4104" i="4"/>
  <c r="O4104" i="4"/>
  <c r="N4104" i="4"/>
  <c r="M4104" i="4"/>
  <c r="L4104" i="4"/>
  <c r="K4104" i="4"/>
  <c r="I4104" i="4"/>
  <c r="H4104" i="4"/>
  <c r="J4104" i="4" s="1"/>
  <c r="Q4101" i="4"/>
  <c r="P4101" i="4"/>
  <c r="O4101" i="4"/>
  <c r="N4101" i="4"/>
  <c r="M4101" i="4"/>
  <c r="K4101" i="4"/>
  <c r="J4101" i="4"/>
  <c r="I4101" i="4"/>
  <c r="H4101" i="4"/>
  <c r="L4101" i="4" s="1"/>
  <c r="Q4100" i="4"/>
  <c r="P4100" i="4"/>
  <c r="O4100" i="4"/>
  <c r="N4100" i="4"/>
  <c r="M4100" i="4"/>
  <c r="K4100" i="4"/>
  <c r="J4100" i="4"/>
  <c r="I4100" i="4"/>
  <c r="H4100" i="4"/>
  <c r="L4100" i="4" s="1"/>
  <c r="Q4099" i="4"/>
  <c r="P4099" i="4"/>
  <c r="O4099" i="4"/>
  <c r="N4099" i="4"/>
  <c r="M4099" i="4"/>
  <c r="L4099" i="4"/>
  <c r="K4099" i="4"/>
  <c r="I4099" i="4"/>
  <c r="H4099" i="4"/>
  <c r="J4099" i="4" s="1"/>
  <c r="Q4096" i="4"/>
  <c r="P4096" i="4"/>
  <c r="O4096" i="4"/>
  <c r="N4096" i="4"/>
  <c r="M4096" i="4"/>
  <c r="K4096" i="4"/>
  <c r="J4096" i="4"/>
  <c r="I4096" i="4"/>
  <c r="H4096" i="4"/>
  <c r="L4096" i="4" s="1"/>
  <c r="Q4095" i="4"/>
  <c r="P4095" i="4"/>
  <c r="O4095" i="4"/>
  <c r="N4095" i="4"/>
  <c r="M4095" i="4"/>
  <c r="K4095" i="4"/>
  <c r="J4095" i="4"/>
  <c r="I4095" i="4"/>
  <c r="H4095" i="4"/>
  <c r="L4095" i="4" s="1"/>
  <c r="Q4094" i="4"/>
  <c r="P4094" i="4"/>
  <c r="O4094" i="4"/>
  <c r="N4094" i="4"/>
  <c r="M4094" i="4"/>
  <c r="L4094" i="4"/>
  <c r="K4094" i="4"/>
  <c r="I4094" i="4"/>
  <c r="H4094" i="4"/>
  <c r="J4094" i="4" s="1"/>
  <c r="Q4091" i="4"/>
  <c r="P4091" i="4"/>
  <c r="O4091" i="4"/>
  <c r="N4091" i="4"/>
  <c r="M4091" i="4"/>
  <c r="K4091" i="4"/>
  <c r="J4091" i="4"/>
  <c r="I4091" i="4"/>
  <c r="H4091" i="4"/>
  <c r="L4091" i="4" s="1"/>
  <c r="Q4090" i="4"/>
  <c r="P4090" i="4"/>
  <c r="O4090" i="4"/>
  <c r="N4090" i="4"/>
  <c r="M4090" i="4"/>
  <c r="K4090" i="4"/>
  <c r="J4090" i="4"/>
  <c r="I4090" i="4"/>
  <c r="H4090" i="4"/>
  <c r="L4090" i="4" s="1"/>
  <c r="Q4089" i="4"/>
  <c r="P4089" i="4"/>
  <c r="O4089" i="4"/>
  <c r="N4089" i="4"/>
  <c r="M4089" i="4"/>
  <c r="K4089" i="4"/>
  <c r="J4089" i="4"/>
  <c r="I4089" i="4"/>
  <c r="H4089" i="4"/>
  <c r="L4089" i="4" s="1"/>
  <c r="Q4085" i="4"/>
  <c r="P4085" i="4"/>
  <c r="O4085" i="4"/>
  <c r="N4085" i="4"/>
  <c r="M4085" i="4"/>
  <c r="L4085" i="4"/>
  <c r="K4085" i="4"/>
  <c r="I4085" i="4"/>
  <c r="H4085" i="4"/>
  <c r="J4085" i="4" s="1"/>
  <c r="Q4082" i="4"/>
  <c r="P4082" i="4"/>
  <c r="O4082" i="4"/>
  <c r="N4082" i="4"/>
  <c r="M4082" i="4"/>
  <c r="K4082" i="4"/>
  <c r="J4082" i="4"/>
  <c r="I4082" i="4"/>
  <c r="H4082" i="4"/>
  <c r="L4082" i="4" s="1"/>
  <c r="Q4081" i="4"/>
  <c r="P4081" i="4"/>
  <c r="O4081" i="4"/>
  <c r="N4081" i="4"/>
  <c r="M4081" i="4"/>
  <c r="K4081" i="4"/>
  <c r="J4081" i="4"/>
  <c r="I4081" i="4"/>
  <c r="H4081" i="4"/>
  <c r="L4081" i="4" s="1"/>
  <c r="Q4080" i="4"/>
  <c r="P4080" i="4"/>
  <c r="O4080" i="4"/>
  <c r="N4080" i="4"/>
  <c r="M4080" i="4"/>
  <c r="L4080" i="4"/>
  <c r="K4080" i="4"/>
  <c r="I4080" i="4"/>
  <c r="H4080" i="4"/>
  <c r="J4080" i="4" s="1"/>
  <c r="Q4186" i="4"/>
  <c r="P4186" i="4"/>
  <c r="O4186" i="4"/>
  <c r="N4186" i="4"/>
  <c r="M4186" i="4"/>
  <c r="K4186" i="4"/>
  <c r="J4186" i="4"/>
  <c r="I4186" i="4"/>
  <c r="H4186" i="4"/>
  <c r="L4186" i="4" s="1"/>
  <c r="Q4185" i="4"/>
  <c r="P4185" i="4"/>
  <c r="O4185" i="4"/>
  <c r="N4185" i="4"/>
  <c r="M4185" i="4"/>
  <c r="L4185" i="4"/>
  <c r="J4185" i="4"/>
  <c r="I4185" i="4"/>
  <c r="H4185" i="4"/>
  <c r="K4185" i="4" s="1"/>
  <c r="Q4184" i="4"/>
  <c r="P4184" i="4"/>
  <c r="O4184" i="4"/>
  <c r="N4184" i="4"/>
  <c r="M4184" i="4"/>
  <c r="L4184" i="4"/>
  <c r="J4184" i="4"/>
  <c r="I4184" i="4"/>
  <c r="H4184" i="4"/>
  <c r="K4184" i="4" s="1"/>
  <c r="Q4183" i="4"/>
  <c r="P4183" i="4"/>
  <c r="O4183" i="4"/>
  <c r="N4183" i="4"/>
  <c r="M4183" i="4"/>
  <c r="L4183" i="4"/>
  <c r="J4183" i="4"/>
  <c r="I4183" i="4"/>
  <c r="H4183" i="4"/>
  <c r="K4183" i="4" s="1"/>
  <c r="Q4182" i="4"/>
  <c r="P4182" i="4"/>
  <c r="O4182" i="4"/>
  <c r="N4182" i="4"/>
  <c r="M4182" i="4"/>
  <c r="L4182" i="4"/>
  <c r="K4182" i="4"/>
  <c r="I4182" i="4"/>
  <c r="H4182" i="4"/>
  <c r="J4182" i="4" s="1"/>
  <c r="Q4179" i="4"/>
  <c r="P4179" i="4"/>
  <c r="O4179" i="4"/>
  <c r="N4179" i="4"/>
  <c r="M4179" i="4"/>
  <c r="K4179" i="4"/>
  <c r="J4179" i="4"/>
  <c r="I4179" i="4"/>
  <c r="H4179" i="4"/>
  <c r="L4179" i="4" s="1"/>
  <c r="Q4178" i="4"/>
  <c r="P4178" i="4"/>
  <c r="O4178" i="4"/>
  <c r="N4178" i="4"/>
  <c r="M4178" i="4"/>
  <c r="K4178" i="4"/>
  <c r="J4178" i="4"/>
  <c r="I4178" i="4"/>
  <c r="H4178" i="4"/>
  <c r="L4178" i="4" s="1"/>
  <c r="Q4177" i="4"/>
  <c r="P4177" i="4"/>
  <c r="O4177" i="4"/>
  <c r="N4177" i="4"/>
  <c r="M4177" i="4"/>
  <c r="L4177" i="4"/>
  <c r="K4177" i="4"/>
  <c r="I4177" i="4"/>
  <c r="H4177" i="4"/>
  <c r="J4177" i="4" s="1"/>
  <c r="Q4174" i="4"/>
  <c r="P4174" i="4"/>
  <c r="O4174" i="4"/>
  <c r="N4174" i="4"/>
  <c r="M4174" i="4"/>
  <c r="K4174" i="4"/>
  <c r="J4174" i="4"/>
  <c r="I4174" i="4"/>
  <c r="H4174" i="4"/>
  <c r="L4174" i="4" s="1"/>
  <c r="Q4173" i="4"/>
  <c r="P4173" i="4"/>
  <c r="O4173" i="4"/>
  <c r="N4173" i="4"/>
  <c r="M4173" i="4"/>
  <c r="L4173" i="4"/>
  <c r="J4173" i="4"/>
  <c r="I4173" i="4"/>
  <c r="H4173" i="4"/>
  <c r="K4173" i="4" s="1"/>
  <c r="Q4172" i="4"/>
  <c r="P4172" i="4"/>
  <c r="O4172" i="4"/>
  <c r="N4172" i="4"/>
  <c r="M4172" i="4"/>
  <c r="L4172" i="4"/>
  <c r="J4172" i="4"/>
  <c r="I4172" i="4"/>
  <c r="H4172" i="4"/>
  <c r="K4172" i="4" s="1"/>
  <c r="Q4168" i="4"/>
  <c r="P4168" i="4"/>
  <c r="O4168" i="4"/>
  <c r="N4168" i="4"/>
  <c r="M4168" i="4"/>
  <c r="L4168" i="4"/>
  <c r="K4168" i="4"/>
  <c r="I4168" i="4"/>
  <c r="H4168" i="4"/>
  <c r="J4168" i="4" s="1"/>
  <c r="Q4165" i="4"/>
  <c r="P4165" i="4"/>
  <c r="O4165" i="4"/>
  <c r="N4165" i="4"/>
  <c r="M4165" i="4"/>
  <c r="K4165" i="4"/>
  <c r="J4165" i="4"/>
  <c r="I4165" i="4"/>
  <c r="H4165" i="4"/>
  <c r="L4165" i="4" s="1"/>
  <c r="Q4164" i="4"/>
  <c r="P4164" i="4"/>
  <c r="O4164" i="4"/>
  <c r="N4164" i="4"/>
  <c r="M4164" i="4"/>
  <c r="K4164" i="4"/>
  <c r="J4164" i="4"/>
  <c r="I4164" i="4"/>
  <c r="H4164" i="4"/>
  <c r="L4164" i="4" s="1"/>
  <c r="Q4163" i="4"/>
  <c r="P4163" i="4"/>
  <c r="O4163" i="4"/>
  <c r="N4163" i="4"/>
  <c r="M4163" i="4"/>
  <c r="L4163" i="4"/>
  <c r="K4163" i="4"/>
  <c r="I4163" i="4"/>
  <c r="H4163" i="4"/>
  <c r="J4163" i="4" s="1"/>
  <c r="Q4160" i="4"/>
  <c r="P4160" i="4"/>
  <c r="O4160" i="4"/>
  <c r="N4160" i="4"/>
  <c r="M4160" i="4"/>
  <c r="K4160" i="4"/>
  <c r="J4160" i="4"/>
  <c r="I4160" i="4"/>
  <c r="H4160" i="4"/>
  <c r="L4160" i="4" s="1"/>
  <c r="Q4159" i="4"/>
  <c r="P4159" i="4"/>
  <c r="O4159" i="4"/>
  <c r="N4159" i="4"/>
  <c r="M4159" i="4"/>
  <c r="K4159" i="4"/>
  <c r="J4159" i="4"/>
  <c r="I4159" i="4"/>
  <c r="H4159" i="4"/>
  <c r="L4159" i="4" s="1"/>
  <c r="Q4158" i="4"/>
  <c r="P4158" i="4"/>
  <c r="O4158" i="4"/>
  <c r="N4158" i="4"/>
  <c r="M4158" i="4"/>
  <c r="K4158" i="4"/>
  <c r="J4158" i="4"/>
  <c r="I4158" i="4"/>
  <c r="H4158" i="4"/>
  <c r="L4158" i="4" s="1"/>
  <c r="Q4154" i="4"/>
  <c r="P4154" i="4"/>
  <c r="O4154" i="4"/>
  <c r="N4154" i="4"/>
  <c r="M4154" i="4"/>
  <c r="L4154" i="4"/>
  <c r="K4154" i="4"/>
  <c r="I4154" i="4"/>
  <c r="H4154" i="4"/>
  <c r="J4154" i="4" s="1"/>
  <c r="Q4151" i="4"/>
  <c r="P4151" i="4"/>
  <c r="O4151" i="4"/>
  <c r="N4151" i="4"/>
  <c r="M4151" i="4"/>
  <c r="K4151" i="4"/>
  <c r="J4151" i="4"/>
  <c r="I4151" i="4"/>
  <c r="H4151" i="4"/>
  <c r="L4151" i="4" s="1"/>
  <c r="Q4150" i="4"/>
  <c r="P4150" i="4"/>
  <c r="O4150" i="4"/>
  <c r="N4150" i="4"/>
  <c r="M4150" i="4"/>
  <c r="K4150" i="4"/>
  <c r="J4150" i="4"/>
  <c r="I4150" i="4"/>
  <c r="H4150" i="4"/>
  <c r="L4150" i="4" s="1"/>
  <c r="Q4149" i="4"/>
  <c r="P4149" i="4"/>
  <c r="O4149" i="4"/>
  <c r="N4149" i="4"/>
  <c r="M4149" i="4"/>
  <c r="L4149" i="4"/>
  <c r="K4149" i="4"/>
  <c r="I4149" i="4"/>
  <c r="H4149" i="4"/>
  <c r="J4149" i="4" s="1"/>
  <c r="Q4207" i="4"/>
  <c r="P4207" i="4"/>
  <c r="O4207" i="4"/>
  <c r="N4207" i="4"/>
  <c r="M4207" i="4"/>
  <c r="K4207" i="4"/>
  <c r="J4207" i="4"/>
  <c r="I4207" i="4"/>
  <c r="H4207" i="4"/>
  <c r="L4207" i="4" s="1"/>
  <c r="Q4206" i="4"/>
  <c r="P4206" i="4"/>
  <c r="O4206" i="4"/>
  <c r="N4206" i="4"/>
  <c r="M4206" i="4"/>
  <c r="K4206" i="4"/>
  <c r="J4206" i="4"/>
  <c r="I4206" i="4"/>
  <c r="H4206" i="4"/>
  <c r="L4206" i="4" s="1"/>
  <c r="Q4205" i="4"/>
  <c r="P4205" i="4"/>
  <c r="O4205" i="4"/>
  <c r="N4205" i="4"/>
  <c r="M4205" i="4"/>
  <c r="K4205" i="4"/>
  <c r="J4205" i="4"/>
  <c r="I4205" i="4"/>
  <c r="H4205" i="4"/>
  <c r="L4205" i="4" s="1"/>
  <c r="Q4204" i="4"/>
  <c r="P4204" i="4"/>
  <c r="O4204" i="4"/>
  <c r="N4204" i="4"/>
  <c r="M4204" i="4"/>
  <c r="K4204" i="4"/>
  <c r="J4204" i="4"/>
  <c r="I4204" i="4"/>
  <c r="H4204" i="4"/>
  <c r="L4204" i="4" s="1"/>
  <c r="Q4203" i="4"/>
  <c r="P4203" i="4"/>
  <c r="O4203" i="4"/>
  <c r="N4203" i="4"/>
  <c r="M4203" i="4"/>
  <c r="L4203" i="4"/>
  <c r="K4203" i="4"/>
  <c r="I4203" i="4"/>
  <c r="H4203" i="4"/>
  <c r="J4203" i="4" s="1"/>
  <c r="Q4200" i="4"/>
  <c r="P4200" i="4"/>
  <c r="O4200" i="4"/>
  <c r="N4200" i="4"/>
  <c r="M4200" i="4"/>
  <c r="K4200" i="4"/>
  <c r="J4200" i="4"/>
  <c r="I4200" i="4"/>
  <c r="H4200" i="4"/>
  <c r="L4200" i="4" s="1"/>
  <c r="Q4199" i="4"/>
  <c r="P4199" i="4"/>
  <c r="O4199" i="4"/>
  <c r="N4199" i="4"/>
  <c r="M4199" i="4"/>
  <c r="K4199" i="4"/>
  <c r="J4199" i="4"/>
  <c r="I4199" i="4"/>
  <c r="H4199" i="4"/>
  <c r="L4199" i="4" s="1"/>
  <c r="Q4198" i="4"/>
  <c r="P4198" i="4"/>
  <c r="O4198" i="4"/>
  <c r="N4198" i="4"/>
  <c r="M4198" i="4"/>
  <c r="K4198" i="4"/>
  <c r="J4198" i="4"/>
  <c r="I4198" i="4"/>
  <c r="H4198" i="4"/>
  <c r="L4198" i="4" s="1"/>
  <c r="Q4197" i="4"/>
  <c r="P4197" i="4"/>
  <c r="O4197" i="4"/>
  <c r="N4197" i="4"/>
  <c r="M4197" i="4"/>
  <c r="K4197" i="4"/>
  <c r="J4197" i="4"/>
  <c r="I4197" i="4"/>
  <c r="H4197" i="4"/>
  <c r="L4197" i="4" s="1"/>
  <c r="Q4196" i="4"/>
  <c r="P4196" i="4"/>
  <c r="O4196" i="4"/>
  <c r="N4196" i="4"/>
  <c r="M4196" i="4"/>
  <c r="L4196" i="4"/>
  <c r="K4196" i="4"/>
  <c r="I4196" i="4"/>
  <c r="H4196" i="4"/>
  <c r="J4196" i="4" s="1"/>
  <c r="Q4193" i="4"/>
  <c r="P4193" i="4"/>
  <c r="O4193" i="4"/>
  <c r="N4193" i="4"/>
  <c r="M4193" i="4"/>
  <c r="L4193" i="4"/>
  <c r="K4193" i="4"/>
  <c r="J4193" i="4"/>
  <c r="I4193" i="4"/>
  <c r="H4193" i="4"/>
  <c r="Q4192" i="4"/>
  <c r="P4192" i="4"/>
  <c r="O4192" i="4"/>
  <c r="N4192" i="4"/>
  <c r="M4192" i="4"/>
  <c r="L4192" i="4"/>
  <c r="K4192" i="4"/>
  <c r="J4192" i="4"/>
  <c r="I4192" i="4"/>
  <c r="H4192" i="4"/>
  <c r="Q4191" i="4"/>
  <c r="P4191" i="4"/>
  <c r="O4191" i="4"/>
  <c r="N4191" i="4"/>
  <c r="M4191" i="4"/>
  <c r="K4191" i="4"/>
  <c r="J4191" i="4"/>
  <c r="I4191" i="4"/>
  <c r="H4191" i="4"/>
  <c r="L4191" i="4" s="1"/>
  <c r="Q4190" i="4"/>
  <c r="P4190" i="4"/>
  <c r="O4190" i="4"/>
  <c r="N4190" i="4"/>
  <c r="M4190" i="4"/>
  <c r="K4190" i="4"/>
  <c r="J4190" i="4"/>
  <c r="I4190" i="4"/>
  <c r="H4190" i="4"/>
  <c r="L4190" i="4" s="1"/>
  <c r="Q4189" i="4"/>
  <c r="P4189" i="4"/>
  <c r="O4189" i="4"/>
  <c r="N4189" i="4"/>
  <c r="M4189" i="4"/>
  <c r="L4189" i="4"/>
  <c r="K4189" i="4"/>
  <c r="I4189" i="4"/>
  <c r="H4189" i="4"/>
  <c r="J4189" i="4" s="1"/>
  <c r="Q4221" i="4"/>
  <c r="P4221" i="4"/>
  <c r="O4221" i="4"/>
  <c r="N4221" i="4"/>
  <c r="M4221" i="4"/>
  <c r="L4221" i="4"/>
  <c r="K4221" i="4"/>
  <c r="J4221" i="4"/>
  <c r="I4221" i="4"/>
  <c r="H4221" i="4"/>
  <c r="Q4220" i="4"/>
  <c r="P4220" i="4"/>
  <c r="O4220" i="4"/>
  <c r="N4220" i="4"/>
  <c r="M4220" i="4"/>
  <c r="L4220" i="4"/>
  <c r="K4220" i="4"/>
  <c r="J4220" i="4"/>
  <c r="I4220" i="4"/>
  <c r="H4220" i="4"/>
  <c r="Q4219" i="4"/>
  <c r="P4219" i="4"/>
  <c r="O4219" i="4"/>
  <c r="N4219" i="4"/>
  <c r="M4219" i="4"/>
  <c r="K4219" i="4"/>
  <c r="J4219" i="4"/>
  <c r="I4219" i="4"/>
  <c r="H4219" i="4"/>
  <c r="L4219" i="4" s="1"/>
  <c r="Q4218" i="4"/>
  <c r="P4218" i="4"/>
  <c r="O4218" i="4"/>
  <c r="N4218" i="4"/>
  <c r="M4218" i="4"/>
  <c r="K4218" i="4"/>
  <c r="J4218" i="4"/>
  <c r="I4218" i="4"/>
  <c r="H4218" i="4"/>
  <c r="L4218" i="4" s="1"/>
  <c r="Q4217" i="4"/>
  <c r="P4217" i="4"/>
  <c r="O4217" i="4"/>
  <c r="N4217" i="4"/>
  <c r="M4217" i="4"/>
  <c r="L4217" i="4"/>
  <c r="K4217" i="4"/>
  <c r="I4217" i="4"/>
  <c r="H4217" i="4"/>
  <c r="J4217" i="4" s="1"/>
  <c r="Q4214" i="4"/>
  <c r="P4214" i="4"/>
  <c r="O4214" i="4"/>
  <c r="N4214" i="4"/>
  <c r="M4214" i="4"/>
  <c r="L4214" i="4"/>
  <c r="K4214" i="4"/>
  <c r="J4214" i="4"/>
  <c r="I4214" i="4"/>
  <c r="H4214" i="4"/>
  <c r="Q4213" i="4"/>
  <c r="P4213" i="4"/>
  <c r="O4213" i="4"/>
  <c r="N4213" i="4"/>
  <c r="M4213" i="4"/>
  <c r="L4213" i="4"/>
  <c r="K4213" i="4"/>
  <c r="J4213" i="4"/>
  <c r="I4213" i="4"/>
  <c r="H4213" i="4"/>
  <c r="Q4212" i="4"/>
  <c r="P4212" i="4"/>
  <c r="O4212" i="4"/>
  <c r="N4212" i="4"/>
  <c r="M4212" i="4"/>
  <c r="K4212" i="4"/>
  <c r="J4212" i="4"/>
  <c r="I4212" i="4"/>
  <c r="H4212" i="4"/>
  <c r="L4212" i="4" s="1"/>
  <c r="Q4211" i="4"/>
  <c r="P4211" i="4"/>
  <c r="O4211" i="4"/>
  <c r="N4211" i="4"/>
  <c r="M4211" i="4"/>
  <c r="K4211" i="4"/>
  <c r="J4211" i="4"/>
  <c r="I4211" i="4"/>
  <c r="H4211" i="4"/>
  <c r="L4211" i="4" s="1"/>
  <c r="Q4210" i="4"/>
  <c r="P4210" i="4"/>
  <c r="O4210" i="4"/>
  <c r="N4210" i="4"/>
  <c r="M4210" i="4"/>
  <c r="L4210" i="4"/>
  <c r="K4210" i="4"/>
  <c r="I4210" i="4"/>
  <c r="H4210" i="4"/>
  <c r="J4210" i="4" s="1"/>
  <c r="Q4379" i="4"/>
  <c r="P4379" i="4"/>
  <c r="O4379" i="4"/>
  <c r="N4379" i="4"/>
  <c r="L4379" i="4"/>
  <c r="K4379" i="4"/>
  <c r="J4379" i="4"/>
  <c r="I4379" i="4"/>
  <c r="H4379" i="4"/>
  <c r="M4379" i="4" s="1"/>
  <c r="Q4378" i="4"/>
  <c r="P4378" i="4"/>
  <c r="O4378" i="4"/>
  <c r="N4378" i="4"/>
  <c r="L4378" i="4"/>
  <c r="K4378" i="4"/>
  <c r="J4378" i="4"/>
  <c r="I4378" i="4"/>
  <c r="H4378" i="4"/>
  <c r="M4378" i="4" s="1"/>
  <c r="Q4377" i="4"/>
  <c r="P4377" i="4"/>
  <c r="O4377" i="4"/>
  <c r="N4377" i="4"/>
  <c r="M4377" i="4"/>
  <c r="K4377" i="4"/>
  <c r="J4377" i="4"/>
  <c r="I4377" i="4"/>
  <c r="H4377" i="4"/>
  <c r="L4377" i="4" s="1"/>
  <c r="Q4376" i="4"/>
  <c r="P4376" i="4"/>
  <c r="O4376" i="4"/>
  <c r="N4376" i="4"/>
  <c r="M4376" i="4"/>
  <c r="K4376" i="4"/>
  <c r="J4376" i="4"/>
  <c r="I4376" i="4"/>
  <c r="H4376" i="4"/>
  <c r="L4376" i="4" s="1"/>
  <c r="Q4375" i="4"/>
  <c r="P4375" i="4"/>
  <c r="O4375" i="4"/>
  <c r="N4375" i="4"/>
  <c r="M4375" i="4"/>
  <c r="L4375" i="4"/>
  <c r="K4375" i="4"/>
  <c r="I4375" i="4"/>
  <c r="H4375" i="4"/>
  <c r="J4375" i="4" s="1"/>
  <c r="Q4491" i="4"/>
  <c r="P4491" i="4"/>
  <c r="O4491" i="4"/>
  <c r="N4491" i="4"/>
  <c r="M4491" i="4"/>
  <c r="L4491" i="4"/>
  <c r="K4491" i="4"/>
  <c r="J4491" i="4"/>
  <c r="I4491" i="4"/>
  <c r="H4491" i="4"/>
  <c r="Q4490" i="4"/>
  <c r="P4490" i="4"/>
  <c r="O4490" i="4"/>
  <c r="N4490" i="4"/>
  <c r="M4490" i="4"/>
  <c r="L4490" i="4"/>
  <c r="K4490" i="4"/>
  <c r="J4490" i="4"/>
  <c r="I4490" i="4"/>
  <c r="H4490" i="4"/>
  <c r="Q4489" i="4"/>
  <c r="P4489" i="4"/>
  <c r="O4489" i="4"/>
  <c r="N4489" i="4"/>
  <c r="M4489" i="4"/>
  <c r="L4489" i="4"/>
  <c r="K4489" i="4"/>
  <c r="J4489" i="4"/>
  <c r="I4489" i="4"/>
  <c r="H4489" i="4"/>
  <c r="Q4488" i="4"/>
  <c r="P4488" i="4"/>
  <c r="O4488" i="4"/>
  <c r="N4488" i="4"/>
  <c r="M4488" i="4"/>
  <c r="L4488" i="4"/>
  <c r="K4488" i="4"/>
  <c r="J4488" i="4"/>
  <c r="I4488" i="4"/>
  <c r="H4488" i="4"/>
  <c r="Q4487" i="4"/>
  <c r="P4487" i="4"/>
  <c r="O4487" i="4"/>
  <c r="N4487" i="4"/>
  <c r="M4487" i="4"/>
  <c r="L4487" i="4"/>
  <c r="K4487" i="4"/>
  <c r="J4487" i="4"/>
  <c r="I4487" i="4"/>
  <c r="H4487" i="4"/>
  <c r="M4115" i="4" l="1"/>
  <c r="N4137" i="4"/>
  <c r="L4142" i="4"/>
  <c r="N4142" i="4"/>
  <c r="K4195" i="4"/>
  <c r="L4108" i="4"/>
  <c r="L4122" i="4"/>
  <c r="N4122" i="4"/>
  <c r="Q4153" i="4"/>
  <c r="I4181" i="4"/>
  <c r="M4188" i="4"/>
  <c r="I4103" i="4"/>
  <c r="O4122" i="4"/>
  <c r="M4195" i="4"/>
  <c r="O4195" i="4"/>
  <c r="P4374" i="4"/>
  <c r="P4188" i="4"/>
  <c r="L4153" i="4"/>
  <c r="J4108" i="4"/>
  <c r="N4132" i="4"/>
  <c r="Q4132" i="4"/>
  <c r="K4142" i="4"/>
  <c r="M4142" i="4"/>
  <c r="P4093" i="4"/>
  <c r="Q4093" i="4"/>
  <c r="I4093" i="4"/>
  <c r="Q4084" i="4"/>
  <c r="N4188" i="4"/>
  <c r="L4195" i="4"/>
  <c r="N4195" i="4"/>
  <c r="J4181" i="4"/>
  <c r="K4098" i="4"/>
  <c r="J4127" i="4"/>
  <c r="Q4188" i="4"/>
  <c r="J4103" i="4"/>
  <c r="L4103" i="4"/>
  <c r="K4122" i="4"/>
  <c r="O4137" i="4"/>
  <c r="I4216" i="4"/>
  <c r="K4103" i="4"/>
  <c r="I4115" i="4"/>
  <c r="M4374" i="4"/>
  <c r="N4374" i="4"/>
  <c r="L4209" i="4"/>
  <c r="O4202" i="4"/>
  <c r="N4098" i="4"/>
  <c r="M4127" i="4"/>
  <c r="I4132" i="4"/>
  <c r="K4132" i="4"/>
  <c r="O4142" i="4"/>
  <c r="O4374" i="4"/>
  <c r="P4202" i="4"/>
  <c r="L4127" i="4"/>
  <c r="I4176" i="4"/>
  <c r="O4127" i="4"/>
  <c r="I4486" i="4"/>
  <c r="J4167" i="4"/>
  <c r="L4167" i="4"/>
  <c r="N4167" i="4"/>
  <c r="P4167" i="4"/>
  <c r="J4084" i="4"/>
  <c r="M4108" i="4"/>
  <c r="Q4148" i="4"/>
  <c r="O4153" i="4"/>
  <c r="K4167" i="4"/>
  <c r="J4115" i="4"/>
  <c r="Q4122" i="4"/>
  <c r="I4122" i="4"/>
  <c r="M4137" i="4"/>
  <c r="L4202" i="4"/>
  <c r="J4148" i="4"/>
  <c r="L4148" i="4"/>
  <c r="K4115" i="4"/>
  <c r="J4122" i="4"/>
  <c r="P4127" i="4"/>
  <c r="J4098" i="4"/>
  <c r="L4115" i="4"/>
  <c r="N4115" i="4"/>
  <c r="M4132" i="4"/>
  <c r="M4079" i="4"/>
  <c r="P4079" i="4"/>
  <c r="I4374" i="4"/>
  <c r="K4209" i="4"/>
  <c r="L4374" i="4"/>
  <c r="J4209" i="4"/>
  <c r="O4188" i="4"/>
  <c r="I4167" i="4"/>
  <c r="M4167" i="4"/>
  <c r="O4167" i="4"/>
  <c r="K4079" i="4"/>
  <c r="O4079" i="4"/>
  <c r="M4098" i="4"/>
  <c r="O4098" i="4"/>
  <c r="Q4098" i="4"/>
  <c r="P4108" i="4"/>
  <c r="P4122" i="4"/>
  <c r="J4142" i="4"/>
  <c r="P4142" i="4"/>
  <c r="M4084" i="4"/>
  <c r="P4098" i="4"/>
  <c r="L4132" i="4"/>
  <c r="P4137" i="4"/>
  <c r="O4209" i="4"/>
  <c r="M4148" i="4"/>
  <c r="O4084" i="4"/>
  <c r="J4132" i="4"/>
  <c r="N4209" i="4"/>
  <c r="P4209" i="4"/>
  <c r="K4216" i="4"/>
  <c r="K4202" i="4"/>
  <c r="J4176" i="4"/>
  <c r="P4176" i="4"/>
  <c r="L4084" i="4"/>
  <c r="P4084" i="4"/>
  <c r="M4103" i="4"/>
  <c r="N4127" i="4"/>
  <c r="Q4137" i="4"/>
  <c r="M4209" i="4"/>
  <c r="J4216" i="4"/>
  <c r="K4148" i="4"/>
  <c r="K4084" i="4"/>
  <c r="J4093" i="4"/>
  <c r="Q4374" i="4"/>
  <c r="P4195" i="4"/>
  <c r="I4148" i="4"/>
  <c r="P4162" i="4"/>
  <c r="K4176" i="4"/>
  <c r="M4176" i="4"/>
  <c r="O4176" i="4"/>
  <c r="Q4176" i="4"/>
  <c r="N4103" i="4"/>
  <c r="P4103" i="4"/>
  <c r="O4115" i="4"/>
  <c r="L4216" i="4"/>
  <c r="J4188" i="4"/>
  <c r="J4202" i="4"/>
  <c r="P4153" i="4"/>
  <c r="J4486" i="4"/>
  <c r="P4486" i="4"/>
  <c r="M4216" i="4"/>
  <c r="I4188" i="4"/>
  <c r="Q4195" i="4"/>
  <c r="M4202" i="4"/>
  <c r="K4153" i="4"/>
  <c r="M4153" i="4"/>
  <c r="Q4162" i="4"/>
  <c r="L4176" i="4"/>
  <c r="N4176" i="4"/>
  <c r="N4084" i="4"/>
  <c r="K4093" i="4"/>
  <c r="O4103" i="4"/>
  <c r="P4115" i="4"/>
  <c r="N4093" i="4"/>
  <c r="K4108" i="4"/>
  <c r="Q4115" i="4"/>
  <c r="Q4127" i="4"/>
  <c r="Q4142" i="4"/>
  <c r="P4216" i="4"/>
  <c r="N4202" i="4"/>
  <c r="L4486" i="4"/>
  <c r="O4216" i="4"/>
  <c r="K4188" i="4"/>
  <c r="I4153" i="4"/>
  <c r="Q4167" i="4"/>
  <c r="M4093" i="4"/>
  <c r="I4098" i="4"/>
  <c r="Q4103" i="4"/>
  <c r="I4137" i="4"/>
  <c r="K4137" i="4"/>
  <c r="N4153" i="4"/>
  <c r="N4486" i="4"/>
  <c r="M4486" i="4"/>
  <c r="Q4486" i="4"/>
  <c r="L4188" i="4"/>
  <c r="J4153" i="4"/>
  <c r="L4162" i="4"/>
  <c r="N4162" i="4"/>
  <c r="K4181" i="4"/>
  <c r="O4181" i="4"/>
  <c r="Q4181" i="4"/>
  <c r="M4122" i="4"/>
  <c r="I4127" i="4"/>
  <c r="K4127" i="4"/>
  <c r="J4137" i="4"/>
  <c r="L4137" i="4"/>
  <c r="Q4216" i="4"/>
  <c r="J4374" i="4"/>
  <c r="I4195" i="4"/>
  <c r="Q4202" i="4"/>
  <c r="I4202" i="4"/>
  <c r="N4148" i="4"/>
  <c r="P4148" i="4"/>
  <c r="I4162" i="4"/>
  <c r="K4162" i="4"/>
  <c r="M4162" i="4"/>
  <c r="O4162" i="4"/>
  <c r="L4181" i="4"/>
  <c r="N4181" i="4"/>
  <c r="P4181" i="4"/>
  <c r="I4079" i="4"/>
  <c r="Q4079" i="4"/>
  <c r="O4093" i="4"/>
  <c r="N4108" i="4"/>
  <c r="O4132" i="4"/>
  <c r="K4486" i="4"/>
  <c r="Q4209" i="4"/>
  <c r="N4216" i="4"/>
  <c r="L4093" i="4"/>
  <c r="O4486" i="4"/>
  <c r="K4374" i="4"/>
  <c r="I4209" i="4"/>
  <c r="J4195" i="4"/>
  <c r="O4148" i="4"/>
  <c r="J4162" i="4"/>
  <c r="M4181" i="4"/>
  <c r="J4079" i="4"/>
  <c r="L4079" i="4"/>
  <c r="N4079" i="4"/>
  <c r="I4084" i="4"/>
  <c r="L4098" i="4"/>
  <c r="O4108" i="4"/>
  <c r="Q4108" i="4"/>
  <c r="I4108" i="4"/>
  <c r="P4132" i="4"/>
  <c r="I4142" i="4"/>
  <c r="G670" i="21"/>
  <c r="G669" i="21"/>
  <c r="G668" i="21"/>
  <c r="G667" i="21"/>
  <c r="G612" i="21"/>
  <c r="G613" i="21"/>
  <c r="G614" i="21"/>
  <c r="G615" i="21"/>
  <c r="J58" i="20" l="1"/>
  <c r="L58" i="20" s="1"/>
  <c r="J57" i="20"/>
  <c r="L57" i="20" s="1"/>
  <c r="J56" i="20"/>
  <c r="L56" i="20" s="1"/>
  <c r="J55" i="20"/>
  <c r="L55" i="20" s="1"/>
  <c r="J54" i="20"/>
  <c r="L54" i="20" s="1"/>
  <c r="J53" i="20"/>
  <c r="L53" i="20" s="1"/>
  <c r="J52" i="20"/>
  <c r="L52" i="20" s="1"/>
  <c r="J51" i="20"/>
  <c r="L51" i="20" s="1"/>
  <c r="J50" i="20"/>
  <c r="L50" i="20" s="1"/>
  <c r="J49" i="20"/>
  <c r="L49" i="20" s="1"/>
  <c r="J48" i="20"/>
  <c r="L48" i="20" s="1"/>
  <c r="J47" i="20"/>
  <c r="L47" i="20" s="1"/>
  <c r="J46" i="20"/>
  <c r="L46" i="20" s="1"/>
  <c r="J45" i="20"/>
  <c r="L45" i="20" s="1"/>
  <c r="J44" i="20"/>
  <c r="L44" i="20" s="1"/>
  <c r="J43" i="20"/>
  <c r="L43" i="20" s="1"/>
  <c r="J42" i="20"/>
  <c r="L42" i="20" s="1"/>
  <c r="P48" i="20"/>
  <c r="O48" i="20"/>
  <c r="N48" i="20"/>
  <c r="M48" i="20"/>
  <c r="K48" i="20"/>
  <c r="P47" i="20"/>
  <c r="O47" i="20"/>
  <c r="N47" i="20"/>
  <c r="M47" i="20"/>
  <c r="K47" i="20"/>
  <c r="P46" i="20"/>
  <c r="O46" i="20"/>
  <c r="N46" i="20"/>
  <c r="M46" i="20"/>
  <c r="K46" i="20"/>
  <c r="P45" i="20"/>
  <c r="O45" i="20"/>
  <c r="N45" i="20"/>
  <c r="M45" i="20"/>
  <c r="K45" i="20"/>
  <c r="P51" i="20"/>
  <c r="O51" i="20"/>
  <c r="N51" i="20"/>
  <c r="M51" i="20"/>
  <c r="K51" i="20"/>
  <c r="P50" i="20"/>
  <c r="O50" i="20"/>
  <c r="N50" i="20"/>
  <c r="M50" i="20"/>
  <c r="K50" i="20"/>
  <c r="P49" i="20"/>
  <c r="O49" i="20"/>
  <c r="N49" i="20"/>
  <c r="M49" i="20"/>
  <c r="K49" i="20"/>
  <c r="P44" i="20"/>
  <c r="O44" i="20"/>
  <c r="N44" i="20"/>
  <c r="M44" i="20"/>
  <c r="K44" i="20"/>
  <c r="P58" i="20"/>
  <c r="O58" i="20"/>
  <c r="N58" i="20"/>
  <c r="M58" i="20"/>
  <c r="K58" i="20"/>
  <c r="P57" i="20"/>
  <c r="O57" i="20"/>
  <c r="N57" i="20"/>
  <c r="M57" i="20"/>
  <c r="K57" i="20"/>
  <c r="P56" i="20"/>
  <c r="O56" i="20"/>
  <c r="N56" i="20"/>
  <c r="M56" i="20"/>
  <c r="K56" i="20"/>
  <c r="P55" i="20"/>
  <c r="O55" i="20"/>
  <c r="N55" i="20"/>
  <c r="M55" i="20"/>
  <c r="K55" i="20"/>
  <c r="P54" i="20"/>
  <c r="O54" i="20"/>
  <c r="N54" i="20"/>
  <c r="M54" i="20"/>
  <c r="K54" i="20"/>
  <c r="P53" i="20"/>
  <c r="O53" i="20"/>
  <c r="N53" i="20"/>
  <c r="M53" i="20"/>
  <c r="K53" i="20"/>
  <c r="P52" i="20"/>
  <c r="O52" i="20"/>
  <c r="N52" i="20"/>
  <c r="M52" i="20"/>
  <c r="K52" i="20"/>
  <c r="P43" i="20"/>
  <c r="O43" i="20"/>
  <c r="N43" i="20"/>
  <c r="M43" i="20"/>
  <c r="K43" i="20"/>
  <c r="P42" i="20"/>
  <c r="O42" i="20"/>
  <c r="N42" i="20"/>
  <c r="M42" i="20"/>
  <c r="K42" i="20"/>
  <c r="E2767" i="4"/>
  <c r="E2768" i="4"/>
  <c r="E2769" i="4"/>
  <c r="E2752" i="4"/>
  <c r="E2753" i="4"/>
  <c r="E2754" i="4"/>
  <c r="E2738" i="4"/>
  <c r="E2739" i="4"/>
  <c r="E2740" i="4"/>
  <c r="E2741" i="4"/>
  <c r="E2733" i="4"/>
  <c r="E2734" i="4"/>
  <c r="E2735" i="4"/>
  <c r="Q2708" i="4"/>
  <c r="P2708" i="4"/>
  <c r="O2708" i="4"/>
  <c r="N2708" i="4"/>
  <c r="L2708" i="4"/>
  <c r="K2708" i="4"/>
  <c r="J2708" i="4"/>
  <c r="I2708" i="4"/>
  <c r="H2708" i="4"/>
  <c r="M2708" i="4" s="1"/>
  <c r="Q2707" i="4"/>
  <c r="P2707" i="4"/>
  <c r="O2707" i="4"/>
  <c r="N2707" i="4"/>
  <c r="L2707" i="4"/>
  <c r="K2707" i="4"/>
  <c r="J2707" i="4"/>
  <c r="I2707" i="4"/>
  <c r="H2707" i="4"/>
  <c r="M2707" i="4" s="1"/>
  <c r="Q2706" i="4"/>
  <c r="P2706" i="4"/>
  <c r="O2706" i="4"/>
  <c r="N2706" i="4"/>
  <c r="L2706" i="4"/>
  <c r="K2706" i="4"/>
  <c r="J2706" i="4"/>
  <c r="I2706" i="4"/>
  <c r="H2706" i="4"/>
  <c r="M2706" i="4" s="1"/>
  <c r="Q2705" i="4"/>
  <c r="P2705" i="4"/>
  <c r="O2705" i="4"/>
  <c r="N2705" i="4"/>
  <c r="L2705" i="4"/>
  <c r="K2705" i="4"/>
  <c r="J2705" i="4"/>
  <c r="I2705" i="4"/>
  <c r="H2705" i="4"/>
  <c r="M2705" i="4" s="1"/>
  <c r="Q2622" i="4"/>
  <c r="P2622" i="4"/>
  <c r="O2622" i="4"/>
  <c r="N2622" i="4"/>
  <c r="M2622" i="4"/>
  <c r="K2622" i="4"/>
  <c r="J2622" i="4"/>
  <c r="I2622" i="4"/>
  <c r="H2622" i="4"/>
  <c r="L2622" i="4" s="1"/>
  <c r="Q2621" i="4"/>
  <c r="P2621" i="4"/>
  <c r="O2621" i="4"/>
  <c r="N2621" i="4"/>
  <c r="M2621" i="4"/>
  <c r="K2621" i="4"/>
  <c r="J2621" i="4"/>
  <c r="I2621" i="4"/>
  <c r="H2621" i="4"/>
  <c r="L2621" i="4" s="1"/>
  <c r="Q678" i="21" l="1"/>
  <c r="P678" i="21"/>
  <c r="O678" i="21"/>
  <c r="M678" i="21"/>
  <c r="L678" i="21"/>
  <c r="K678" i="21"/>
  <c r="J678" i="21"/>
  <c r="N678" i="21" s="1"/>
  <c r="Q677" i="21"/>
  <c r="P677" i="21"/>
  <c r="O677" i="21"/>
  <c r="N677" i="21"/>
  <c r="M677" i="21"/>
  <c r="L677" i="21"/>
  <c r="J677" i="21"/>
  <c r="K677" i="21" s="1"/>
  <c r="J652" i="21"/>
  <c r="P652" i="21" s="1"/>
  <c r="K652" i="21"/>
  <c r="L652" i="21"/>
  <c r="M652" i="21"/>
  <c r="N652" i="21"/>
  <c r="O652" i="21"/>
  <c r="Q652" i="21"/>
  <c r="Q650" i="21"/>
  <c r="O650" i="21"/>
  <c r="N650" i="21"/>
  <c r="M650" i="21"/>
  <c r="L650" i="21"/>
  <c r="K650" i="21"/>
  <c r="J650" i="21"/>
  <c r="P650" i="21" s="1"/>
  <c r="Q649" i="21"/>
  <c r="P649" i="21"/>
  <c r="O649" i="21"/>
  <c r="N649" i="21"/>
  <c r="M649" i="21"/>
  <c r="L649" i="21"/>
  <c r="J649" i="21"/>
  <c r="K649" i="21" s="1"/>
  <c r="G661" i="21"/>
  <c r="G662" i="21"/>
  <c r="G663" i="21"/>
  <c r="G664" i="21"/>
  <c r="J664" i="21" s="1"/>
  <c r="N664" i="21" s="1"/>
  <c r="G665" i="21"/>
  <c r="J665" i="21" s="1"/>
  <c r="N665" i="21" s="1"/>
  <c r="G666" i="21"/>
  <c r="Q664" i="21"/>
  <c r="P664" i="21"/>
  <c r="O664" i="21"/>
  <c r="M664" i="21"/>
  <c r="L664" i="21"/>
  <c r="K664" i="21"/>
  <c r="Q665" i="21"/>
  <c r="P665" i="21"/>
  <c r="O665" i="21"/>
  <c r="M665" i="21"/>
  <c r="L665" i="21"/>
  <c r="K665" i="21"/>
  <c r="Q491" i="21"/>
  <c r="O491" i="21"/>
  <c r="N491" i="21"/>
  <c r="M491" i="21"/>
  <c r="L491" i="21"/>
  <c r="K491" i="21"/>
  <c r="J491" i="21"/>
  <c r="P491" i="21" s="1"/>
  <c r="Q492" i="21"/>
  <c r="O492" i="21"/>
  <c r="N492" i="21"/>
  <c r="M492" i="21"/>
  <c r="L492" i="21"/>
  <c r="K492" i="21"/>
  <c r="J492" i="21"/>
  <c r="P492" i="21" s="1"/>
  <c r="G520" i="21"/>
  <c r="G521" i="21"/>
  <c r="G522" i="21"/>
  <c r="G523" i="21"/>
  <c r="G501" i="21"/>
  <c r="G502" i="21"/>
  <c r="G503" i="21"/>
  <c r="G504" i="21"/>
  <c r="G584" i="21"/>
  <c r="G583" i="21"/>
  <c r="G582" i="21"/>
  <c r="G585" i="21"/>
  <c r="G620" i="21"/>
  <c r="G621" i="21"/>
  <c r="G622" i="21"/>
  <c r="G623" i="21"/>
  <c r="G608" i="21"/>
  <c r="G609" i="21"/>
  <c r="G610" i="21"/>
  <c r="G611" i="21"/>
  <c r="G479" i="21"/>
  <c r="G480" i="21"/>
  <c r="G481" i="21"/>
  <c r="G482" i="21"/>
  <c r="G660" i="21"/>
  <c r="G659" i="21"/>
  <c r="G658" i="21"/>
  <c r="G657" i="21"/>
  <c r="G113" i="11"/>
  <c r="G114" i="11"/>
  <c r="G115" i="11"/>
  <c r="G116" i="11"/>
  <c r="G117" i="11"/>
  <c r="P150" i="11"/>
  <c r="O150" i="11"/>
  <c r="L150" i="11"/>
  <c r="K150" i="11"/>
  <c r="J150" i="11"/>
  <c r="M150" i="11" s="1"/>
  <c r="P149" i="11"/>
  <c r="O149" i="11"/>
  <c r="N149" i="11"/>
  <c r="L149" i="11"/>
  <c r="K149" i="11"/>
  <c r="M149" i="11"/>
  <c r="P148" i="11"/>
  <c r="O148" i="11"/>
  <c r="N148" i="11"/>
  <c r="L148" i="11"/>
  <c r="K148" i="11"/>
  <c r="M148" i="11"/>
  <c r="P146" i="11"/>
  <c r="O146" i="11"/>
  <c r="N146" i="11"/>
  <c r="M146" i="11"/>
  <c r="K146" i="11"/>
  <c r="L146" i="11"/>
  <c r="P145" i="11"/>
  <c r="O145" i="11"/>
  <c r="N145" i="11"/>
  <c r="M145" i="11"/>
  <c r="K145" i="11"/>
  <c r="L145" i="11"/>
  <c r="P143" i="11"/>
  <c r="O143" i="11"/>
  <c r="M143" i="11"/>
  <c r="L143" i="11"/>
  <c r="K143" i="11"/>
  <c r="J143" i="11"/>
  <c r="N143" i="11" s="1"/>
  <c r="P142" i="11"/>
  <c r="O142" i="11"/>
  <c r="N142" i="11"/>
  <c r="M142" i="11"/>
  <c r="L142" i="11"/>
  <c r="K142" i="11"/>
  <c r="P140" i="11"/>
  <c r="O140" i="11"/>
  <c r="N140" i="11"/>
  <c r="L140" i="11"/>
  <c r="K140" i="11"/>
  <c r="J140" i="11"/>
  <c r="M140" i="11" s="1"/>
  <c r="P139" i="11"/>
  <c r="O139" i="11"/>
  <c r="N139" i="11"/>
  <c r="M139" i="11"/>
  <c r="K139" i="11"/>
  <c r="L139" i="11"/>
  <c r="P138" i="11"/>
  <c r="O138" i="11"/>
  <c r="N138" i="11"/>
  <c r="M138" i="11"/>
  <c r="L138" i="11"/>
  <c r="K138" i="11"/>
  <c r="P137" i="11"/>
  <c r="O137" i="11"/>
  <c r="N137" i="11"/>
  <c r="L137" i="11"/>
  <c r="K137" i="11"/>
  <c r="J137" i="11"/>
  <c r="M137" i="11" s="1"/>
  <c r="P136" i="11"/>
  <c r="O136" i="11"/>
  <c r="N136" i="11"/>
  <c r="L136" i="11"/>
  <c r="K136" i="11"/>
  <c r="J136" i="11"/>
  <c r="M136" i="11" s="1"/>
  <c r="P135" i="11"/>
  <c r="O135" i="11"/>
  <c r="N135" i="11"/>
  <c r="L135" i="11"/>
  <c r="K135" i="11"/>
  <c r="J135" i="11"/>
  <c r="M135" i="11" s="1"/>
  <c r="P134" i="11"/>
  <c r="O134" i="11"/>
  <c r="N134" i="11"/>
  <c r="L134" i="11"/>
  <c r="K134" i="11"/>
  <c r="J134" i="11"/>
  <c r="M134" i="11" s="1"/>
  <c r="O133" i="11"/>
  <c r="N133" i="11"/>
  <c r="M133" i="11"/>
  <c r="L133" i="11"/>
  <c r="K133" i="11"/>
  <c r="J133" i="11"/>
  <c r="P133" i="11" s="1"/>
  <c r="P132" i="11"/>
  <c r="O132" i="11"/>
  <c r="N132" i="11"/>
  <c r="L132" i="11"/>
  <c r="K132" i="11"/>
  <c r="J132" i="11"/>
  <c r="M132" i="11" s="1"/>
  <c r="P131" i="11"/>
  <c r="O131" i="11"/>
  <c r="N131" i="11"/>
  <c r="L131" i="11"/>
  <c r="K131" i="11"/>
  <c r="J131" i="11"/>
  <c r="M131" i="11" s="1"/>
  <c r="P130" i="11"/>
  <c r="O130" i="11"/>
  <c r="N130" i="11"/>
  <c r="L130" i="11"/>
  <c r="K130" i="11"/>
  <c r="J130" i="11"/>
  <c r="M130" i="11" s="1"/>
  <c r="P129" i="11"/>
  <c r="O129" i="11"/>
  <c r="N129" i="11"/>
  <c r="M129" i="11"/>
  <c r="K129" i="11"/>
  <c r="J129" i="11"/>
  <c r="L129" i="11" s="1"/>
  <c r="P128" i="11"/>
  <c r="N128" i="11"/>
  <c r="M128" i="11"/>
  <c r="L128" i="11"/>
  <c r="K128" i="11"/>
  <c r="J128" i="11"/>
  <c r="O128" i="11" s="1"/>
  <c r="P127" i="11"/>
  <c r="O127" i="11"/>
  <c r="N127" i="11"/>
  <c r="L127" i="11"/>
  <c r="K127" i="11"/>
  <c r="J127" i="11"/>
  <c r="M127" i="11" s="1"/>
  <c r="P126" i="11"/>
  <c r="O126" i="11"/>
  <c r="N126" i="11"/>
  <c r="L126" i="11"/>
  <c r="K126" i="11"/>
  <c r="J126" i="11"/>
  <c r="M126" i="11" s="1"/>
  <c r="P125" i="11"/>
  <c r="O125" i="11"/>
  <c r="N125" i="11"/>
  <c r="L125" i="11"/>
  <c r="K125" i="11"/>
  <c r="J125" i="11"/>
  <c r="M125" i="11" s="1"/>
  <c r="P124" i="11"/>
  <c r="O124" i="11"/>
  <c r="N124" i="11"/>
  <c r="M124" i="11"/>
  <c r="K124" i="11"/>
  <c r="J124" i="11"/>
  <c r="L124" i="11" s="1"/>
  <c r="P123" i="11"/>
  <c r="N123" i="11"/>
  <c r="M123" i="11"/>
  <c r="L123" i="11"/>
  <c r="K123" i="11"/>
  <c r="J123" i="11"/>
  <c r="O123" i="11" s="1"/>
  <c r="P122" i="11"/>
  <c r="O122" i="11"/>
  <c r="N122" i="11"/>
  <c r="L122" i="11"/>
  <c r="K122" i="11"/>
  <c r="J122" i="11"/>
  <c r="M122" i="11" s="1"/>
  <c r="P121" i="11"/>
  <c r="O121" i="11"/>
  <c r="N121" i="11"/>
  <c r="L121" i="11"/>
  <c r="K121" i="11"/>
  <c r="J121" i="11"/>
  <c r="M121" i="11" s="1"/>
  <c r="P120" i="11"/>
  <c r="O120" i="11"/>
  <c r="N120" i="11"/>
  <c r="L120" i="11"/>
  <c r="K120" i="11"/>
  <c r="J120" i="11"/>
  <c r="M120" i="11" s="1"/>
  <c r="P119" i="11"/>
  <c r="O119" i="11"/>
  <c r="N119" i="11"/>
  <c r="M119" i="11"/>
  <c r="K119" i="11"/>
  <c r="J119" i="11"/>
  <c r="L119" i="11" s="1"/>
  <c r="N150" i="11" l="1"/>
  <c r="G619" i="21"/>
  <c r="G618" i="21"/>
  <c r="G617" i="21"/>
  <c r="G616" i="21"/>
  <c r="G604" i="21"/>
  <c r="G605" i="21"/>
  <c r="G606" i="21"/>
  <c r="G607" i="21"/>
  <c r="G589" i="21"/>
  <c r="G591" i="21"/>
  <c r="G590" i="21"/>
  <c r="G581" i="21"/>
  <c r="G580" i="21"/>
  <c r="G579" i="21"/>
  <c r="G578" i="21"/>
  <c r="G110" i="11"/>
  <c r="G111" i="11"/>
  <c r="G112" i="11"/>
  <c r="E556" i="4"/>
  <c r="H556" i="4" s="1"/>
  <c r="J556" i="4" s="1"/>
  <c r="Q558" i="4"/>
  <c r="P558" i="4"/>
  <c r="O558" i="4"/>
  <c r="N558" i="4"/>
  <c r="M558" i="4"/>
  <c r="K558" i="4"/>
  <c r="J558" i="4"/>
  <c r="I558" i="4"/>
  <c r="E558" i="4"/>
  <c r="H558" i="4" s="1"/>
  <c r="L558" i="4" s="1"/>
  <c r="Q557" i="4"/>
  <c r="P557" i="4"/>
  <c r="O557" i="4"/>
  <c r="N557" i="4"/>
  <c r="M557" i="4"/>
  <c r="K557" i="4"/>
  <c r="J557" i="4"/>
  <c r="I557" i="4"/>
  <c r="E557" i="4"/>
  <c r="H557" i="4" s="1"/>
  <c r="L557" i="4" s="1"/>
  <c r="Q556" i="4"/>
  <c r="P556" i="4"/>
  <c r="O556" i="4"/>
  <c r="N556" i="4"/>
  <c r="M556" i="4"/>
  <c r="L556" i="4"/>
  <c r="K556" i="4"/>
  <c r="I556" i="4"/>
  <c r="J555" i="4" l="1"/>
  <c r="P555" i="4"/>
  <c r="Q555" i="4"/>
  <c r="I555" i="4"/>
  <c r="O555" i="4"/>
  <c r="K555" i="4"/>
  <c r="M555" i="4"/>
  <c r="N555" i="4"/>
  <c r="L555" i="4"/>
  <c r="E551" i="4"/>
  <c r="E552" i="4"/>
  <c r="E553" i="4"/>
  <c r="E548" i="4" l="1"/>
  <c r="E547" i="4"/>
  <c r="E546" i="4"/>
  <c r="Q541" i="4"/>
  <c r="P541" i="4"/>
  <c r="O541" i="4"/>
  <c r="N541" i="4"/>
  <c r="M541" i="4"/>
  <c r="K541" i="4"/>
  <c r="J541" i="4"/>
  <c r="I541" i="4"/>
  <c r="H541" i="4"/>
  <c r="L541" i="4" s="1"/>
  <c r="Q540" i="4"/>
  <c r="P540" i="4"/>
  <c r="O540" i="4"/>
  <c r="N540" i="4"/>
  <c r="M540" i="4"/>
  <c r="K540" i="4"/>
  <c r="J540" i="4"/>
  <c r="I540" i="4"/>
  <c r="H540" i="4"/>
  <c r="L540" i="4" s="1"/>
  <c r="Q539" i="4"/>
  <c r="P539" i="4"/>
  <c r="O539" i="4"/>
  <c r="N539" i="4"/>
  <c r="M539" i="4"/>
  <c r="K539" i="4"/>
  <c r="J539" i="4"/>
  <c r="I539" i="4"/>
  <c r="H539" i="4"/>
  <c r="L539" i="4" s="1"/>
  <c r="E529" i="4"/>
  <c r="E530" i="4"/>
  <c r="Q479" i="4" l="1"/>
  <c r="P479" i="4"/>
  <c r="O479" i="4"/>
  <c r="N479" i="4"/>
  <c r="L479" i="4"/>
  <c r="K479" i="4"/>
  <c r="J479" i="4"/>
  <c r="I479" i="4"/>
  <c r="H479" i="4"/>
  <c r="M479" i="4" s="1"/>
  <c r="Q478" i="4"/>
  <c r="P478" i="4"/>
  <c r="O478" i="4"/>
  <c r="N478" i="4"/>
  <c r="M478" i="4"/>
  <c r="K478" i="4"/>
  <c r="J478" i="4"/>
  <c r="I478" i="4"/>
  <c r="H478" i="4"/>
  <c r="L478" i="4" s="1"/>
  <c r="Q482" i="4"/>
  <c r="P482" i="4"/>
  <c r="O482" i="4"/>
  <c r="N482" i="4"/>
  <c r="L482" i="4"/>
  <c r="K482" i="4"/>
  <c r="J482" i="4"/>
  <c r="I482" i="4"/>
  <c r="H482" i="4"/>
  <c r="M482" i="4" s="1"/>
  <c r="Q481" i="4"/>
  <c r="P481" i="4"/>
  <c r="O481" i="4"/>
  <c r="N481" i="4"/>
  <c r="L481" i="4"/>
  <c r="K481" i="4"/>
  <c r="J481" i="4"/>
  <c r="I481" i="4"/>
  <c r="H481" i="4"/>
  <c r="M481" i="4" s="1"/>
  <c r="Q480" i="4"/>
  <c r="P480" i="4"/>
  <c r="O480" i="4"/>
  <c r="N480" i="4"/>
  <c r="L480" i="4"/>
  <c r="K480" i="4"/>
  <c r="J480" i="4"/>
  <c r="I480" i="4"/>
  <c r="H480" i="4"/>
  <c r="M480" i="4" s="1"/>
  <c r="Q470" i="4" l="1"/>
  <c r="P470" i="4"/>
  <c r="O470" i="4"/>
  <c r="N470" i="4"/>
  <c r="L470" i="4"/>
  <c r="K470" i="4"/>
  <c r="J470" i="4"/>
  <c r="I470" i="4"/>
  <c r="H470" i="4"/>
  <c r="M470" i="4" s="1"/>
  <c r="Q469" i="4"/>
  <c r="P469" i="4"/>
  <c r="O469" i="4"/>
  <c r="N469" i="4"/>
  <c r="M469" i="4"/>
  <c r="K469" i="4"/>
  <c r="J469" i="4"/>
  <c r="I469" i="4"/>
  <c r="H469" i="4"/>
  <c r="L469" i="4" s="1"/>
  <c r="Q468" i="4"/>
  <c r="P468" i="4"/>
  <c r="O468" i="4"/>
  <c r="N468" i="4"/>
  <c r="M468" i="4"/>
  <c r="K468" i="4"/>
  <c r="J468" i="4"/>
  <c r="I468" i="4"/>
  <c r="H468" i="4"/>
  <c r="L468" i="4" s="1"/>
  <c r="Q428" i="4"/>
  <c r="P428" i="4"/>
  <c r="O428" i="4"/>
  <c r="N428" i="4"/>
  <c r="M428" i="4"/>
  <c r="K428" i="4"/>
  <c r="J428" i="4"/>
  <c r="I428" i="4"/>
  <c r="H428" i="4"/>
  <c r="L428" i="4" s="1"/>
  <c r="Q427" i="4"/>
  <c r="P427" i="4"/>
  <c r="O427" i="4"/>
  <c r="N427" i="4"/>
  <c r="M427" i="4"/>
  <c r="K427" i="4"/>
  <c r="J427" i="4"/>
  <c r="I427" i="4"/>
  <c r="H427" i="4"/>
  <c r="L427" i="4" s="1"/>
  <c r="Q426" i="4"/>
  <c r="P426" i="4"/>
  <c r="O426" i="4"/>
  <c r="N426" i="4"/>
  <c r="M426" i="4"/>
  <c r="K426" i="4"/>
  <c r="J426" i="4"/>
  <c r="I426" i="4"/>
  <c r="H426" i="4"/>
  <c r="L426" i="4" s="1"/>
  <c r="Q419" i="4"/>
  <c r="P419" i="4"/>
  <c r="O419" i="4"/>
  <c r="N419" i="4"/>
  <c r="M419" i="4"/>
  <c r="K419" i="4"/>
  <c r="J419" i="4"/>
  <c r="I419" i="4"/>
  <c r="H419" i="4"/>
  <c r="L419" i="4" s="1"/>
  <c r="Q418" i="4"/>
  <c r="P418" i="4"/>
  <c r="O418" i="4"/>
  <c r="N418" i="4"/>
  <c r="M418" i="4"/>
  <c r="K418" i="4"/>
  <c r="J418" i="4"/>
  <c r="I418" i="4"/>
  <c r="H418" i="4"/>
  <c r="L418" i="4" s="1"/>
  <c r="Q417" i="4"/>
  <c r="P417" i="4"/>
  <c r="O417" i="4"/>
  <c r="N417" i="4"/>
  <c r="M417" i="4"/>
  <c r="K417" i="4"/>
  <c r="J417" i="4"/>
  <c r="I417" i="4"/>
  <c r="H417" i="4"/>
  <c r="L417" i="4" s="1"/>
  <c r="Q409" i="4"/>
  <c r="P409" i="4"/>
  <c r="O409" i="4"/>
  <c r="N409" i="4"/>
  <c r="M409" i="4"/>
  <c r="K409" i="4"/>
  <c r="J409" i="4"/>
  <c r="I409" i="4"/>
  <c r="H409" i="4"/>
  <c r="L409" i="4" s="1"/>
  <c r="Q408" i="4"/>
  <c r="P408" i="4"/>
  <c r="O408" i="4"/>
  <c r="N408" i="4"/>
  <c r="M408" i="4"/>
  <c r="K408" i="4"/>
  <c r="J408" i="4"/>
  <c r="I408" i="4"/>
  <c r="H408" i="4"/>
  <c r="L408" i="4" s="1"/>
  <c r="Q407" i="4"/>
  <c r="P407" i="4"/>
  <c r="O407" i="4"/>
  <c r="N407" i="4"/>
  <c r="M407" i="4"/>
  <c r="K407" i="4"/>
  <c r="J407" i="4"/>
  <c r="I407" i="4"/>
  <c r="H407" i="4"/>
  <c r="L407" i="4" s="1"/>
  <c r="Q375" i="4"/>
  <c r="P375" i="4"/>
  <c r="O375" i="4"/>
  <c r="N375" i="4"/>
  <c r="M375" i="4"/>
  <c r="K375" i="4"/>
  <c r="J375" i="4"/>
  <c r="I375" i="4"/>
  <c r="H375" i="4"/>
  <c r="L375" i="4" s="1"/>
  <c r="Q374" i="4"/>
  <c r="P374" i="4"/>
  <c r="O374" i="4"/>
  <c r="N374" i="4"/>
  <c r="M374" i="4"/>
  <c r="K374" i="4"/>
  <c r="J374" i="4"/>
  <c r="I374" i="4"/>
  <c r="H374" i="4"/>
  <c r="L374" i="4" s="1"/>
  <c r="Q373" i="4"/>
  <c r="P373" i="4"/>
  <c r="O373" i="4"/>
  <c r="N373" i="4"/>
  <c r="M373" i="4"/>
  <c r="K373" i="4"/>
  <c r="J373" i="4"/>
  <c r="I373" i="4"/>
  <c r="H373" i="4"/>
  <c r="L373" i="4" s="1"/>
  <c r="Q365" i="4"/>
  <c r="P365" i="4"/>
  <c r="O365" i="4"/>
  <c r="N365" i="4"/>
  <c r="M365" i="4"/>
  <c r="K365" i="4"/>
  <c r="J365" i="4"/>
  <c r="I365" i="4"/>
  <c r="H365" i="4"/>
  <c r="L365" i="4" s="1"/>
  <c r="Q364" i="4"/>
  <c r="P364" i="4"/>
  <c r="O364" i="4"/>
  <c r="N364" i="4"/>
  <c r="M364" i="4"/>
  <c r="K364" i="4"/>
  <c r="J364" i="4"/>
  <c r="I364" i="4"/>
  <c r="H364" i="4"/>
  <c r="L364" i="4" s="1"/>
  <c r="G517" i="21"/>
  <c r="G518" i="21"/>
  <c r="G519" i="21"/>
  <c r="G103" i="11"/>
  <c r="G104" i="11"/>
  <c r="G497" i="21"/>
  <c r="G498" i="21"/>
  <c r="G499" i="21"/>
  <c r="G500" i="21"/>
  <c r="G98" i="11"/>
  <c r="G99" i="11"/>
  <c r="G100" i="11"/>
  <c r="G101" i="11"/>
  <c r="G102" i="11"/>
  <c r="G478" i="21"/>
  <c r="G477" i="21"/>
  <c r="G476" i="21"/>
  <c r="O102" i="11" l="1"/>
  <c r="N102" i="11"/>
  <c r="M102" i="11"/>
  <c r="L102" i="11"/>
  <c r="K102" i="11"/>
  <c r="J102" i="11"/>
  <c r="P102" i="11" s="1"/>
  <c r="P101" i="11"/>
  <c r="O101" i="11"/>
  <c r="N101" i="11"/>
  <c r="L101" i="11"/>
  <c r="K101" i="11"/>
  <c r="J101" i="11"/>
  <c r="M101" i="11" s="1"/>
  <c r="P100" i="11"/>
  <c r="O100" i="11"/>
  <c r="N100" i="11"/>
  <c r="L100" i="11"/>
  <c r="K100" i="11"/>
  <c r="J100" i="11"/>
  <c r="M100" i="11" s="1"/>
  <c r="P99" i="11"/>
  <c r="O99" i="11"/>
  <c r="N99" i="11"/>
  <c r="L99" i="11"/>
  <c r="K99" i="11"/>
  <c r="J99" i="11"/>
  <c r="M99" i="11" s="1"/>
  <c r="P98" i="11"/>
  <c r="O98" i="11"/>
  <c r="N98" i="11"/>
  <c r="M98" i="11"/>
  <c r="K98" i="11"/>
  <c r="J98" i="11"/>
  <c r="L98" i="11" s="1"/>
  <c r="P97" i="11"/>
  <c r="N97" i="11"/>
  <c r="M97" i="11"/>
  <c r="L97" i="11"/>
  <c r="K97" i="11"/>
  <c r="J97" i="11"/>
  <c r="O97" i="11" s="1"/>
  <c r="P96" i="11"/>
  <c r="O96" i="11"/>
  <c r="N96" i="11"/>
  <c r="L96" i="11"/>
  <c r="K96" i="11"/>
  <c r="J96" i="11"/>
  <c r="M96" i="11" s="1"/>
  <c r="P95" i="11"/>
  <c r="O95" i="11"/>
  <c r="N95" i="11"/>
  <c r="L95" i="11"/>
  <c r="K95" i="11"/>
  <c r="J95" i="11"/>
  <c r="M95" i="11" s="1"/>
  <c r="P94" i="11"/>
  <c r="O94" i="11"/>
  <c r="N94" i="11"/>
  <c r="L94" i="11"/>
  <c r="K94" i="11"/>
  <c r="J94" i="11"/>
  <c r="M94" i="11" s="1"/>
  <c r="P93" i="11"/>
  <c r="O93" i="11"/>
  <c r="N93" i="11"/>
  <c r="M93" i="11"/>
  <c r="K93" i="11"/>
  <c r="J93" i="11"/>
  <c r="L93" i="11" s="1"/>
  <c r="P92" i="11"/>
  <c r="O92" i="11"/>
  <c r="M92" i="11"/>
  <c r="L92" i="11"/>
  <c r="K92" i="11"/>
  <c r="J92" i="11"/>
  <c r="N92" i="11" s="1"/>
  <c r="P91" i="11"/>
  <c r="O91" i="11"/>
  <c r="N91" i="11"/>
  <c r="L91" i="11"/>
  <c r="K91" i="11"/>
  <c r="J91" i="11"/>
  <c r="M91" i="11" s="1"/>
  <c r="P90" i="11"/>
  <c r="O90" i="11"/>
  <c r="N90" i="11"/>
  <c r="L90" i="11"/>
  <c r="K90" i="11"/>
  <c r="J90" i="11"/>
  <c r="M90" i="11" s="1"/>
  <c r="P89" i="11"/>
  <c r="O89" i="11"/>
  <c r="N89" i="11"/>
  <c r="L89" i="11"/>
  <c r="K89" i="11"/>
  <c r="J89" i="11"/>
  <c r="M89" i="11" s="1"/>
  <c r="P88" i="11"/>
  <c r="O88" i="11"/>
  <c r="N88" i="11"/>
  <c r="M88" i="11"/>
  <c r="K88" i="11"/>
  <c r="J88" i="11"/>
  <c r="L88" i="11" s="1"/>
  <c r="P87" i="11"/>
  <c r="O87" i="11"/>
  <c r="N87" i="11"/>
  <c r="L87" i="11"/>
  <c r="K87" i="11"/>
  <c r="J87" i="11"/>
  <c r="M87" i="11" s="1"/>
  <c r="P86" i="11"/>
  <c r="O86" i="11"/>
  <c r="N86" i="11"/>
  <c r="L86" i="11"/>
  <c r="K86" i="11"/>
  <c r="J86" i="11"/>
  <c r="M86" i="11" s="1"/>
  <c r="P109" i="11"/>
  <c r="N109" i="11"/>
  <c r="M109" i="11"/>
  <c r="L109" i="11"/>
  <c r="K109" i="11"/>
  <c r="J109" i="11"/>
  <c r="O109" i="11" s="1"/>
  <c r="P108" i="11"/>
  <c r="O108" i="11"/>
  <c r="N108" i="11"/>
  <c r="L108" i="11"/>
  <c r="K108" i="11"/>
  <c r="J108" i="11"/>
  <c r="M108" i="11" s="1"/>
  <c r="P107" i="11"/>
  <c r="O107" i="11"/>
  <c r="N107" i="11"/>
  <c r="L107" i="11"/>
  <c r="K107" i="11"/>
  <c r="J107" i="11"/>
  <c r="M107" i="11" s="1"/>
  <c r="P106" i="11"/>
  <c r="O106" i="11"/>
  <c r="N106" i="11"/>
  <c r="L106" i="11"/>
  <c r="K106" i="11"/>
  <c r="J106" i="11"/>
  <c r="M106" i="11" s="1"/>
  <c r="P105" i="11"/>
  <c r="O105" i="11"/>
  <c r="N105" i="11"/>
  <c r="M105" i="11"/>
  <c r="K105" i="11"/>
  <c r="J105" i="11"/>
  <c r="L105" i="11" s="1"/>
  <c r="P104" i="11"/>
  <c r="O104" i="11"/>
  <c r="N104" i="11"/>
  <c r="L104" i="11"/>
  <c r="K104" i="11"/>
  <c r="J104" i="11"/>
  <c r="M104" i="11" s="1"/>
  <c r="P103" i="11"/>
  <c r="O103" i="11"/>
  <c r="N103" i="11"/>
  <c r="L103" i="11"/>
  <c r="K103" i="11"/>
  <c r="J103" i="11"/>
  <c r="M103" i="11" s="1"/>
  <c r="P112" i="11"/>
  <c r="O112" i="11"/>
  <c r="N112" i="11"/>
  <c r="L112" i="11"/>
  <c r="K112" i="11"/>
  <c r="J112" i="11"/>
  <c r="M112" i="11" s="1"/>
  <c r="P111" i="11"/>
  <c r="O111" i="11"/>
  <c r="N111" i="11"/>
  <c r="L111" i="11"/>
  <c r="K111" i="11"/>
  <c r="J111" i="11"/>
  <c r="M111" i="11" s="1"/>
  <c r="P110" i="11"/>
  <c r="O110" i="11"/>
  <c r="N110" i="11"/>
  <c r="L110" i="11"/>
  <c r="K110" i="11"/>
  <c r="J110" i="11"/>
  <c r="M110" i="11" s="1"/>
  <c r="N117" i="11"/>
  <c r="M117" i="11"/>
  <c r="L117" i="11"/>
  <c r="K117" i="11"/>
  <c r="J117" i="11"/>
  <c r="P117" i="11" s="1"/>
  <c r="P116" i="11"/>
  <c r="O116" i="11"/>
  <c r="N116" i="11"/>
  <c r="L116" i="11"/>
  <c r="K116" i="11"/>
  <c r="J116" i="11"/>
  <c r="M116" i="11" s="1"/>
  <c r="P115" i="11"/>
  <c r="O115" i="11"/>
  <c r="N115" i="11"/>
  <c r="L115" i="11"/>
  <c r="K115" i="11"/>
  <c r="J115" i="11"/>
  <c r="M115" i="11" s="1"/>
  <c r="P114" i="11"/>
  <c r="O114" i="11"/>
  <c r="N114" i="11"/>
  <c r="L114" i="11"/>
  <c r="K114" i="11"/>
  <c r="J114" i="11"/>
  <c r="M114" i="11" s="1"/>
  <c r="P113" i="11"/>
  <c r="O113" i="11"/>
  <c r="N113" i="11"/>
  <c r="M113" i="11"/>
  <c r="K113" i="11"/>
  <c r="J113" i="11"/>
  <c r="L113" i="11" s="1"/>
  <c r="G38" i="24"/>
  <c r="G37" i="24"/>
  <c r="E4061" i="4"/>
  <c r="E4060" i="4"/>
  <c r="E4059" i="4"/>
  <c r="Q4036" i="4"/>
  <c r="P4036" i="4"/>
  <c r="O4036" i="4"/>
  <c r="N4036" i="4"/>
  <c r="M4036" i="4"/>
  <c r="L4036" i="4"/>
  <c r="J4036" i="4"/>
  <c r="I4036" i="4"/>
  <c r="H4036" i="4"/>
  <c r="K4036" i="4" s="1"/>
  <c r="Q4037" i="4"/>
  <c r="P4037" i="4"/>
  <c r="O4037" i="4"/>
  <c r="N4037" i="4"/>
  <c r="M4037" i="4"/>
  <c r="K4037" i="4"/>
  <c r="J4037" i="4"/>
  <c r="I4037" i="4"/>
  <c r="H4037" i="4"/>
  <c r="L4037" i="4" s="1"/>
  <c r="G467" i="21"/>
  <c r="G468" i="21"/>
  <c r="G469" i="21"/>
  <c r="G339" i="21"/>
  <c r="G340" i="21"/>
  <c r="G341" i="21"/>
  <c r="G342" i="21"/>
  <c r="G461" i="21"/>
  <c r="G462" i="21"/>
  <c r="G463" i="21"/>
  <c r="G464" i="21"/>
  <c r="P38" i="20"/>
  <c r="O38" i="20"/>
  <c r="N38" i="20"/>
  <c r="M38" i="20"/>
  <c r="K38" i="20"/>
  <c r="J38" i="20"/>
  <c r="L38" i="20" s="1"/>
  <c r="P40" i="20"/>
  <c r="O40" i="20"/>
  <c r="N40" i="20"/>
  <c r="M40" i="20"/>
  <c r="K40" i="20"/>
  <c r="J40" i="20"/>
  <c r="L40" i="20" s="1"/>
  <c r="P39" i="20"/>
  <c r="O39" i="20"/>
  <c r="N39" i="20"/>
  <c r="M39" i="20"/>
  <c r="K39" i="20"/>
  <c r="J39" i="20"/>
  <c r="L39" i="20" s="1"/>
  <c r="P37" i="20"/>
  <c r="O37" i="20"/>
  <c r="N37" i="20"/>
  <c r="M37" i="20"/>
  <c r="K37" i="20"/>
  <c r="J37" i="20"/>
  <c r="L37" i="20" s="1"/>
  <c r="P36" i="20"/>
  <c r="O36" i="20"/>
  <c r="N36" i="20"/>
  <c r="M36" i="20"/>
  <c r="K36" i="20"/>
  <c r="J36" i="20"/>
  <c r="L36" i="20" s="1"/>
  <c r="P35" i="20"/>
  <c r="O35" i="20"/>
  <c r="N35" i="20"/>
  <c r="M35" i="20"/>
  <c r="K35" i="20"/>
  <c r="J35" i="20"/>
  <c r="L35" i="20" s="1"/>
  <c r="P34" i="20"/>
  <c r="O34" i="20"/>
  <c r="N34" i="20"/>
  <c r="M34" i="20"/>
  <c r="K34" i="20"/>
  <c r="J34" i="20"/>
  <c r="L34" i="20" s="1"/>
  <c r="P33" i="20"/>
  <c r="O33" i="20"/>
  <c r="N33" i="20"/>
  <c r="M33" i="20"/>
  <c r="K33" i="20"/>
  <c r="J33" i="20"/>
  <c r="L33" i="20" s="1"/>
  <c r="P32" i="20"/>
  <c r="O32" i="20"/>
  <c r="N32" i="20"/>
  <c r="M32" i="20"/>
  <c r="K32" i="20"/>
  <c r="J32" i="20"/>
  <c r="L32" i="20" s="1"/>
  <c r="E2468" i="4"/>
  <c r="E2469" i="4"/>
  <c r="E2470" i="4"/>
  <c r="E2471" i="4"/>
  <c r="E2462" i="4"/>
  <c r="E2463" i="4"/>
  <c r="E2464" i="4"/>
  <c r="E2465" i="4"/>
  <c r="O117" i="11" l="1"/>
  <c r="G465" i="21"/>
  <c r="G466" i="21"/>
  <c r="Q2443" i="4"/>
  <c r="P2443" i="4"/>
  <c r="O2443" i="4"/>
  <c r="N2443" i="4"/>
  <c r="L2443" i="4"/>
  <c r="K2443" i="4"/>
  <c r="J2443" i="4"/>
  <c r="I2443" i="4"/>
  <c r="H2443" i="4"/>
  <c r="M2443" i="4" s="1"/>
  <c r="Q2442" i="4"/>
  <c r="P2442" i="4"/>
  <c r="O2442" i="4"/>
  <c r="N2442" i="4"/>
  <c r="L2442" i="4"/>
  <c r="K2442" i="4"/>
  <c r="J2442" i="4"/>
  <c r="I2442" i="4"/>
  <c r="H2442" i="4"/>
  <c r="M2442" i="4" s="1"/>
  <c r="Q2441" i="4"/>
  <c r="P2441" i="4"/>
  <c r="O2441" i="4"/>
  <c r="N2441" i="4"/>
  <c r="L2441" i="4"/>
  <c r="K2441" i="4"/>
  <c r="J2441" i="4"/>
  <c r="I2441" i="4"/>
  <c r="H2441" i="4"/>
  <c r="M2441" i="4" s="1"/>
  <c r="Q2440" i="4"/>
  <c r="P2440" i="4"/>
  <c r="O2440" i="4"/>
  <c r="N2440" i="4"/>
  <c r="L2440" i="4"/>
  <c r="K2440" i="4"/>
  <c r="J2440" i="4"/>
  <c r="I2440" i="4"/>
  <c r="H2440" i="4"/>
  <c r="M2440" i="4" s="1"/>
  <c r="Q2439" i="4"/>
  <c r="P2439" i="4"/>
  <c r="O2439" i="4"/>
  <c r="N2439" i="4"/>
  <c r="M2439" i="4"/>
  <c r="K2439" i="4"/>
  <c r="J2439" i="4"/>
  <c r="I2439" i="4"/>
  <c r="H2439" i="4"/>
  <c r="L2439" i="4" s="1"/>
  <c r="Q2438" i="4"/>
  <c r="P2438" i="4"/>
  <c r="O2438" i="4"/>
  <c r="N2438" i="4"/>
  <c r="M2438" i="4"/>
  <c r="K2438" i="4"/>
  <c r="J2438" i="4"/>
  <c r="I2438" i="4"/>
  <c r="H2438" i="4"/>
  <c r="L2438" i="4" s="1"/>
  <c r="Q375" i="21"/>
  <c r="P375" i="21"/>
  <c r="O375" i="21"/>
  <c r="N375" i="21"/>
  <c r="M375" i="21"/>
  <c r="L375" i="21"/>
  <c r="J375" i="21"/>
  <c r="K375" i="21" s="1"/>
  <c r="Q376" i="21"/>
  <c r="P376" i="21"/>
  <c r="O376" i="21"/>
  <c r="M376" i="21"/>
  <c r="L376" i="21"/>
  <c r="K376" i="21"/>
  <c r="J376" i="21"/>
  <c r="N376" i="21" s="1"/>
  <c r="J377" i="21"/>
  <c r="N377" i="21" s="1"/>
  <c r="K377" i="21"/>
  <c r="L377" i="21"/>
  <c r="M377" i="21"/>
  <c r="O377" i="21"/>
  <c r="P377" i="21"/>
  <c r="Q377" i="21"/>
  <c r="J378" i="21"/>
  <c r="N378" i="21" s="1"/>
  <c r="K378" i="21"/>
  <c r="L378" i="21"/>
  <c r="M378" i="21"/>
  <c r="O378" i="21"/>
  <c r="P378" i="21"/>
  <c r="Q378" i="21"/>
  <c r="J379" i="21"/>
  <c r="K379" i="21" s="1"/>
  <c r="L379" i="21"/>
  <c r="M379" i="21"/>
  <c r="N379" i="21"/>
  <c r="O379" i="21"/>
  <c r="P379" i="21"/>
  <c r="Q379" i="21"/>
  <c r="Q363" i="21"/>
  <c r="P363" i="21"/>
  <c r="O363" i="21"/>
  <c r="M363" i="21"/>
  <c r="L363" i="21"/>
  <c r="K363" i="21"/>
  <c r="J363" i="21"/>
  <c r="N363" i="21" s="1"/>
  <c r="Q364" i="21"/>
  <c r="P364" i="21"/>
  <c r="O364" i="21"/>
  <c r="M364" i="21"/>
  <c r="L364" i="21"/>
  <c r="K364" i="21"/>
  <c r="J364" i="21"/>
  <c r="N364" i="21" s="1"/>
  <c r="G335" i="21"/>
  <c r="G336" i="21"/>
  <c r="G337" i="21"/>
  <c r="G338" i="21"/>
  <c r="J315" i="21"/>
  <c r="J316" i="21"/>
  <c r="J317" i="21"/>
  <c r="J318" i="21"/>
  <c r="G457" i="21"/>
  <c r="G458" i="21"/>
  <c r="G459" i="21"/>
  <c r="G460" i="21"/>
  <c r="G453" i="21"/>
  <c r="G454" i="21"/>
  <c r="G455" i="21"/>
  <c r="G456" i="21"/>
  <c r="G407" i="21" l="1"/>
  <c r="G408" i="21"/>
  <c r="G409" i="21"/>
  <c r="G83" i="11"/>
  <c r="G84" i="11"/>
  <c r="E351" i="4"/>
  <c r="H351" i="4" s="1"/>
  <c r="J351" i="4" s="1"/>
  <c r="E352" i="4"/>
  <c r="H352" i="4" s="1"/>
  <c r="L352" i="4" s="1"/>
  <c r="H348" i="4"/>
  <c r="L348" i="4" s="1"/>
  <c r="H347" i="4"/>
  <c r="L347" i="4" s="1"/>
  <c r="H346" i="4"/>
  <c r="J346" i="4" s="1"/>
  <c r="H338" i="4"/>
  <c r="L338" i="4" s="1"/>
  <c r="H337" i="4"/>
  <c r="L337" i="4" s="1"/>
  <c r="H336" i="4"/>
  <c r="J336" i="4" s="1"/>
  <c r="H328" i="4"/>
  <c r="L328" i="4" s="1"/>
  <c r="H327" i="4"/>
  <c r="L327" i="4" s="1"/>
  <c r="H326" i="4"/>
  <c r="J326" i="4" s="1"/>
  <c r="E317" i="4"/>
  <c r="H317" i="4" s="1"/>
  <c r="J317" i="4" s="1"/>
  <c r="E318" i="4"/>
  <c r="H318" i="4" s="1"/>
  <c r="L318" i="4" s="1"/>
  <c r="E313" i="4"/>
  <c r="H313" i="4" s="1"/>
  <c r="J313" i="4" s="1"/>
  <c r="E314" i="4"/>
  <c r="H314" i="4" s="1"/>
  <c r="L314" i="4" s="1"/>
  <c r="Q490" i="4"/>
  <c r="P490" i="4"/>
  <c r="O490" i="4"/>
  <c r="N490" i="4"/>
  <c r="M490" i="4"/>
  <c r="K490" i="4"/>
  <c r="J490" i="4"/>
  <c r="I490" i="4"/>
  <c r="H490" i="4"/>
  <c r="L490" i="4" s="1"/>
  <c r="Q489" i="4"/>
  <c r="P489" i="4"/>
  <c r="O489" i="4"/>
  <c r="N489" i="4"/>
  <c r="M489" i="4"/>
  <c r="L489" i="4"/>
  <c r="K489" i="4"/>
  <c r="I489" i="4"/>
  <c r="H489" i="4"/>
  <c r="J489" i="4" s="1"/>
  <c r="Q486" i="4"/>
  <c r="P486" i="4"/>
  <c r="O486" i="4"/>
  <c r="M486" i="4"/>
  <c r="L486" i="4"/>
  <c r="K486" i="4"/>
  <c r="J486" i="4"/>
  <c r="I486" i="4"/>
  <c r="H486" i="4"/>
  <c r="N486" i="4" s="1"/>
  <c r="Q485" i="4"/>
  <c r="P485" i="4"/>
  <c r="O485" i="4"/>
  <c r="M485" i="4"/>
  <c r="L485" i="4"/>
  <c r="K485" i="4"/>
  <c r="J485" i="4"/>
  <c r="I485" i="4"/>
  <c r="H485" i="4"/>
  <c r="N485" i="4" s="1"/>
  <c r="Q484" i="4"/>
  <c r="P484" i="4"/>
  <c r="O484" i="4"/>
  <c r="N484" i="4"/>
  <c r="L484" i="4"/>
  <c r="K484" i="4"/>
  <c r="J484" i="4"/>
  <c r="I484" i="4"/>
  <c r="H484" i="4"/>
  <c r="M484" i="4" s="1"/>
  <c r="Q483" i="4"/>
  <c r="P483" i="4"/>
  <c r="O483" i="4"/>
  <c r="N483" i="4"/>
  <c r="L483" i="4"/>
  <c r="K483" i="4"/>
  <c r="J483" i="4"/>
  <c r="I483" i="4"/>
  <c r="H483" i="4"/>
  <c r="M483" i="4" s="1"/>
  <c r="Q477" i="4"/>
  <c r="P477" i="4"/>
  <c r="O477" i="4"/>
  <c r="N477" i="4"/>
  <c r="M477" i="4"/>
  <c r="L477" i="4"/>
  <c r="K477" i="4"/>
  <c r="I477" i="4"/>
  <c r="H477" i="4"/>
  <c r="J477" i="4" s="1"/>
  <c r="Q474" i="4"/>
  <c r="P474" i="4"/>
  <c r="O474" i="4"/>
  <c r="N474" i="4"/>
  <c r="L474" i="4"/>
  <c r="K474" i="4"/>
  <c r="J474" i="4"/>
  <c r="I474" i="4"/>
  <c r="H474" i="4"/>
  <c r="M474" i="4" s="1"/>
  <c r="Q473" i="4"/>
  <c r="P473" i="4"/>
  <c r="O473" i="4"/>
  <c r="N473" i="4"/>
  <c r="L473" i="4"/>
  <c r="K473" i="4"/>
  <c r="J473" i="4"/>
  <c r="I473" i="4"/>
  <c r="H473" i="4"/>
  <c r="M473" i="4" s="1"/>
  <c r="Q472" i="4"/>
  <c r="P472" i="4"/>
  <c r="O472" i="4"/>
  <c r="N472" i="4"/>
  <c r="L472" i="4"/>
  <c r="K472" i="4"/>
  <c r="J472" i="4"/>
  <c r="I472" i="4"/>
  <c r="H472" i="4"/>
  <c r="M472" i="4" s="1"/>
  <c r="Q471" i="4"/>
  <c r="P471" i="4"/>
  <c r="O471" i="4"/>
  <c r="N471" i="4"/>
  <c r="L471" i="4"/>
  <c r="K471" i="4"/>
  <c r="J471" i="4"/>
  <c r="I471" i="4"/>
  <c r="H471" i="4"/>
  <c r="M471" i="4" s="1"/>
  <c r="Q467" i="4"/>
  <c r="P467" i="4"/>
  <c r="O467" i="4"/>
  <c r="N467" i="4"/>
  <c r="M467" i="4"/>
  <c r="L467" i="4"/>
  <c r="K467" i="4"/>
  <c r="I467" i="4"/>
  <c r="H467" i="4"/>
  <c r="J467" i="4" s="1"/>
  <c r="Q464" i="4"/>
  <c r="P464" i="4"/>
  <c r="O464" i="4"/>
  <c r="N464" i="4"/>
  <c r="M464" i="4"/>
  <c r="K464" i="4"/>
  <c r="J464" i="4"/>
  <c r="I464" i="4"/>
  <c r="H464" i="4"/>
  <c r="L464" i="4" s="1"/>
  <c r="Q463" i="4"/>
  <c r="P463" i="4"/>
  <c r="O463" i="4"/>
  <c r="N463" i="4"/>
  <c r="M463" i="4"/>
  <c r="K463" i="4"/>
  <c r="J463" i="4"/>
  <c r="I463" i="4"/>
  <c r="H463" i="4"/>
  <c r="L463" i="4" s="1"/>
  <c r="Q462" i="4"/>
  <c r="P462" i="4"/>
  <c r="O462" i="4"/>
  <c r="N462" i="4"/>
  <c r="M462" i="4"/>
  <c r="K462" i="4"/>
  <c r="J462" i="4"/>
  <c r="I462" i="4"/>
  <c r="H462" i="4"/>
  <c r="L462" i="4" s="1"/>
  <c r="Q461" i="4"/>
  <c r="P461" i="4"/>
  <c r="O461" i="4"/>
  <c r="N461" i="4"/>
  <c r="M461" i="4"/>
  <c r="L461" i="4"/>
  <c r="K461" i="4"/>
  <c r="I461" i="4"/>
  <c r="H461" i="4"/>
  <c r="J461" i="4" s="1"/>
  <c r="Q458" i="4"/>
  <c r="P458" i="4"/>
  <c r="O458" i="4"/>
  <c r="N458" i="4"/>
  <c r="M458" i="4"/>
  <c r="K458" i="4"/>
  <c r="J458" i="4"/>
  <c r="I458" i="4"/>
  <c r="H458" i="4"/>
  <c r="L458" i="4" s="1"/>
  <c r="Q457" i="4"/>
  <c r="P457" i="4"/>
  <c r="O457" i="4"/>
  <c r="N457" i="4"/>
  <c r="M457" i="4"/>
  <c r="K457" i="4"/>
  <c r="J457" i="4"/>
  <c r="I457" i="4"/>
  <c r="H457" i="4"/>
  <c r="L457" i="4" s="1"/>
  <c r="Q456" i="4"/>
  <c r="P456" i="4"/>
  <c r="O456" i="4"/>
  <c r="N456" i="4"/>
  <c r="M456" i="4"/>
  <c r="L456" i="4"/>
  <c r="K456" i="4"/>
  <c r="I456" i="4"/>
  <c r="H456" i="4"/>
  <c r="J456" i="4" s="1"/>
  <c r="Q453" i="4"/>
  <c r="P453" i="4"/>
  <c r="O453" i="4"/>
  <c r="N453" i="4"/>
  <c r="M453" i="4"/>
  <c r="K453" i="4"/>
  <c r="J453" i="4"/>
  <c r="I453" i="4"/>
  <c r="H453" i="4"/>
  <c r="L453" i="4" s="1"/>
  <c r="Q452" i="4"/>
  <c r="P452" i="4"/>
  <c r="O452" i="4"/>
  <c r="N452" i="4"/>
  <c r="M452" i="4"/>
  <c r="K452" i="4"/>
  <c r="J452" i="4"/>
  <c r="I452" i="4"/>
  <c r="H452" i="4"/>
  <c r="L452" i="4" s="1"/>
  <c r="Q451" i="4"/>
  <c r="P451" i="4"/>
  <c r="O451" i="4"/>
  <c r="N451" i="4"/>
  <c r="M451" i="4"/>
  <c r="L451" i="4"/>
  <c r="K451" i="4"/>
  <c r="I451" i="4"/>
  <c r="H451" i="4"/>
  <c r="J451" i="4" s="1"/>
  <c r="Q448" i="4"/>
  <c r="P448" i="4"/>
  <c r="O448" i="4"/>
  <c r="N448" i="4"/>
  <c r="L448" i="4"/>
  <c r="K448" i="4"/>
  <c r="J448" i="4"/>
  <c r="I448" i="4"/>
  <c r="H448" i="4"/>
  <c r="M448" i="4" s="1"/>
  <c r="Q447" i="4"/>
  <c r="P447" i="4"/>
  <c r="O447" i="4"/>
  <c r="N447" i="4"/>
  <c r="M447" i="4"/>
  <c r="K447" i="4"/>
  <c r="J447" i="4"/>
  <c r="I447" i="4"/>
  <c r="H447" i="4"/>
  <c r="L447" i="4" s="1"/>
  <c r="Q446" i="4"/>
  <c r="P446" i="4"/>
  <c r="O446" i="4"/>
  <c r="N446" i="4"/>
  <c r="M446" i="4"/>
  <c r="L446" i="4"/>
  <c r="K446" i="4"/>
  <c r="I446" i="4"/>
  <c r="H446" i="4"/>
  <c r="J446" i="4" s="1"/>
  <c r="Q443" i="4"/>
  <c r="P443" i="4"/>
  <c r="O443" i="4"/>
  <c r="N443" i="4"/>
  <c r="M443" i="4"/>
  <c r="K443" i="4"/>
  <c r="J443" i="4"/>
  <c r="I443" i="4"/>
  <c r="H443" i="4"/>
  <c r="L443" i="4" s="1"/>
  <c r="Q442" i="4"/>
  <c r="P442" i="4"/>
  <c r="O442" i="4"/>
  <c r="N442" i="4"/>
  <c r="M442" i="4"/>
  <c r="K442" i="4"/>
  <c r="J442" i="4"/>
  <c r="I442" i="4"/>
  <c r="H442" i="4"/>
  <c r="L442" i="4" s="1"/>
  <c r="Q441" i="4"/>
  <c r="P441" i="4"/>
  <c r="O441" i="4"/>
  <c r="N441" i="4"/>
  <c r="M441" i="4"/>
  <c r="L441" i="4"/>
  <c r="K441" i="4"/>
  <c r="I441" i="4"/>
  <c r="H441" i="4"/>
  <c r="J441" i="4" s="1"/>
  <c r="Q438" i="4"/>
  <c r="P438" i="4"/>
  <c r="O438" i="4"/>
  <c r="N438" i="4"/>
  <c r="L438" i="4"/>
  <c r="K438" i="4"/>
  <c r="J438" i="4"/>
  <c r="I438" i="4"/>
  <c r="H438" i="4"/>
  <c r="M438" i="4" s="1"/>
  <c r="Q437" i="4"/>
  <c r="P437" i="4"/>
  <c r="O437" i="4"/>
  <c r="N437" i="4"/>
  <c r="M437" i="4"/>
  <c r="K437" i="4"/>
  <c r="J437" i="4"/>
  <c r="I437" i="4"/>
  <c r="H437" i="4"/>
  <c r="L437" i="4" s="1"/>
  <c r="Q436" i="4"/>
  <c r="P436" i="4"/>
  <c r="O436" i="4"/>
  <c r="N436" i="4"/>
  <c r="M436" i="4"/>
  <c r="K436" i="4"/>
  <c r="J436" i="4"/>
  <c r="I436" i="4"/>
  <c r="H436" i="4"/>
  <c r="L436" i="4" s="1"/>
  <c r="Q435" i="4"/>
  <c r="P435" i="4"/>
  <c r="O435" i="4"/>
  <c r="N435" i="4"/>
  <c r="M435" i="4"/>
  <c r="L435" i="4"/>
  <c r="K435" i="4"/>
  <c r="I435" i="4"/>
  <c r="H435" i="4"/>
  <c r="J435" i="4" s="1"/>
  <c r="Q432" i="4"/>
  <c r="P432" i="4"/>
  <c r="O432" i="4"/>
  <c r="N432" i="4"/>
  <c r="L432" i="4"/>
  <c r="K432" i="4"/>
  <c r="J432" i="4"/>
  <c r="I432" i="4"/>
  <c r="H432" i="4"/>
  <c r="M432" i="4" s="1"/>
  <c r="Q431" i="4"/>
  <c r="P431" i="4"/>
  <c r="O431" i="4"/>
  <c r="N431" i="4"/>
  <c r="L431" i="4"/>
  <c r="K431" i="4"/>
  <c r="J431" i="4"/>
  <c r="I431" i="4"/>
  <c r="H431" i="4"/>
  <c r="M431" i="4" s="1"/>
  <c r="Q430" i="4"/>
  <c r="P430" i="4"/>
  <c r="O430" i="4"/>
  <c r="N430" i="4"/>
  <c r="L430" i="4"/>
  <c r="K430" i="4"/>
  <c r="J430" i="4"/>
  <c r="I430" i="4"/>
  <c r="H430" i="4"/>
  <c r="M430" i="4" s="1"/>
  <c r="Q429" i="4"/>
  <c r="P429" i="4"/>
  <c r="O429" i="4"/>
  <c r="N429" i="4"/>
  <c r="M429" i="4"/>
  <c r="K429" i="4"/>
  <c r="J429" i="4"/>
  <c r="I429" i="4"/>
  <c r="H429" i="4"/>
  <c r="L429" i="4" s="1"/>
  <c r="Q425" i="4"/>
  <c r="P425" i="4"/>
  <c r="O425" i="4"/>
  <c r="N425" i="4"/>
  <c r="M425" i="4"/>
  <c r="L425" i="4"/>
  <c r="K425" i="4"/>
  <c r="I425" i="4"/>
  <c r="H425" i="4"/>
  <c r="J425" i="4" s="1"/>
  <c r="Q422" i="4"/>
  <c r="P422" i="4"/>
  <c r="O422" i="4"/>
  <c r="N422" i="4"/>
  <c r="L422" i="4"/>
  <c r="K422" i="4"/>
  <c r="J422" i="4"/>
  <c r="I422" i="4"/>
  <c r="H422" i="4"/>
  <c r="M422" i="4" s="1"/>
  <c r="Q421" i="4"/>
  <c r="P421" i="4"/>
  <c r="O421" i="4"/>
  <c r="N421" i="4"/>
  <c r="L421" i="4"/>
  <c r="K421" i="4"/>
  <c r="J421" i="4"/>
  <c r="I421" i="4"/>
  <c r="H421" i="4"/>
  <c r="M421" i="4" s="1"/>
  <c r="Q420" i="4"/>
  <c r="P420" i="4"/>
  <c r="O420" i="4"/>
  <c r="N420" i="4"/>
  <c r="L420" i="4"/>
  <c r="K420" i="4"/>
  <c r="J420" i="4"/>
  <c r="I420" i="4"/>
  <c r="H420" i="4"/>
  <c r="M420" i="4" s="1"/>
  <c r="Q416" i="4"/>
  <c r="P416" i="4"/>
  <c r="O416" i="4"/>
  <c r="N416" i="4"/>
  <c r="M416" i="4"/>
  <c r="L416" i="4"/>
  <c r="K416" i="4"/>
  <c r="I416" i="4"/>
  <c r="H416" i="4"/>
  <c r="J416" i="4" s="1"/>
  <c r="Q413" i="4"/>
  <c r="P413" i="4"/>
  <c r="O413" i="4"/>
  <c r="N413" i="4"/>
  <c r="L413" i="4"/>
  <c r="K413" i="4"/>
  <c r="J413" i="4"/>
  <c r="I413" i="4"/>
  <c r="H413" i="4"/>
  <c r="M413" i="4" s="1"/>
  <c r="Q412" i="4"/>
  <c r="P412" i="4"/>
  <c r="O412" i="4"/>
  <c r="N412" i="4"/>
  <c r="L412" i="4"/>
  <c r="K412" i="4"/>
  <c r="J412" i="4"/>
  <c r="I412" i="4"/>
  <c r="H412" i="4"/>
  <c r="M412" i="4" s="1"/>
  <c r="Q411" i="4"/>
  <c r="P411" i="4"/>
  <c r="O411" i="4"/>
  <c r="N411" i="4"/>
  <c r="M411" i="4"/>
  <c r="K411" i="4"/>
  <c r="J411" i="4"/>
  <c r="I411" i="4"/>
  <c r="H411" i="4"/>
  <c r="L411" i="4" s="1"/>
  <c r="Q410" i="4"/>
  <c r="P410" i="4"/>
  <c r="O410" i="4"/>
  <c r="N410" i="4"/>
  <c r="M410" i="4"/>
  <c r="K410" i="4"/>
  <c r="J410" i="4"/>
  <c r="I410" i="4"/>
  <c r="H410" i="4"/>
  <c r="L410" i="4" s="1"/>
  <c r="Q406" i="4"/>
  <c r="P406" i="4"/>
  <c r="O406" i="4"/>
  <c r="N406" i="4"/>
  <c r="M406" i="4"/>
  <c r="L406" i="4"/>
  <c r="K406" i="4"/>
  <c r="I406" i="4"/>
  <c r="H406" i="4"/>
  <c r="J406" i="4" s="1"/>
  <c r="Q403" i="4"/>
  <c r="P403" i="4"/>
  <c r="O403" i="4"/>
  <c r="N403" i="4"/>
  <c r="L403" i="4"/>
  <c r="K403" i="4"/>
  <c r="J403" i="4"/>
  <c r="I403" i="4"/>
  <c r="H403" i="4"/>
  <c r="M403" i="4" s="1"/>
  <c r="Q402" i="4"/>
  <c r="P402" i="4"/>
  <c r="O402" i="4"/>
  <c r="N402" i="4"/>
  <c r="M402" i="4"/>
  <c r="K402" i="4"/>
  <c r="J402" i="4"/>
  <c r="I402" i="4"/>
  <c r="H402" i="4"/>
  <c r="L402" i="4" s="1"/>
  <c r="Q401" i="4"/>
  <c r="P401" i="4"/>
  <c r="O401" i="4"/>
  <c r="N401" i="4"/>
  <c r="M401" i="4"/>
  <c r="L401" i="4"/>
  <c r="K401" i="4"/>
  <c r="I401" i="4"/>
  <c r="H401" i="4"/>
  <c r="J401" i="4" s="1"/>
  <c r="Q398" i="4"/>
  <c r="P398" i="4"/>
  <c r="O398" i="4"/>
  <c r="N398" i="4"/>
  <c r="L398" i="4"/>
  <c r="K398" i="4"/>
  <c r="J398" i="4"/>
  <c r="I398" i="4"/>
  <c r="H398" i="4"/>
  <c r="M398" i="4" s="1"/>
  <c r="Q397" i="4"/>
  <c r="P397" i="4"/>
  <c r="O397" i="4"/>
  <c r="N397" i="4"/>
  <c r="L397" i="4"/>
  <c r="K397" i="4"/>
  <c r="J397" i="4"/>
  <c r="I397" i="4"/>
  <c r="H397" i="4"/>
  <c r="M397" i="4" s="1"/>
  <c r="Q396" i="4"/>
  <c r="P396" i="4"/>
  <c r="O396" i="4"/>
  <c r="N396" i="4"/>
  <c r="M396" i="4"/>
  <c r="K396" i="4"/>
  <c r="J396" i="4"/>
  <c r="I396" i="4"/>
  <c r="H396" i="4"/>
  <c r="L396" i="4" s="1"/>
  <c r="Q395" i="4"/>
  <c r="P395" i="4"/>
  <c r="O395" i="4"/>
  <c r="N395" i="4"/>
  <c r="M395" i="4"/>
  <c r="L395" i="4"/>
  <c r="K395" i="4"/>
  <c r="I395" i="4"/>
  <c r="H395" i="4"/>
  <c r="J395" i="4" s="1"/>
  <c r="Q392" i="4"/>
  <c r="P392" i="4"/>
  <c r="O392" i="4"/>
  <c r="N392" i="4"/>
  <c r="M392" i="4"/>
  <c r="K392" i="4"/>
  <c r="J392" i="4"/>
  <c r="I392" i="4"/>
  <c r="H392" i="4"/>
  <c r="L392" i="4" s="1"/>
  <c r="Q391" i="4"/>
  <c r="P391" i="4"/>
  <c r="O391" i="4"/>
  <c r="N391" i="4"/>
  <c r="M391" i="4"/>
  <c r="L391" i="4"/>
  <c r="K391" i="4"/>
  <c r="I391" i="4"/>
  <c r="H391" i="4"/>
  <c r="J391" i="4" s="1"/>
  <c r="Q388" i="4"/>
  <c r="P388" i="4"/>
  <c r="O388" i="4"/>
  <c r="N388" i="4"/>
  <c r="M388" i="4"/>
  <c r="K388" i="4"/>
  <c r="J388" i="4"/>
  <c r="I388" i="4"/>
  <c r="H388" i="4"/>
  <c r="L388" i="4" s="1"/>
  <c r="Q387" i="4"/>
  <c r="P387" i="4"/>
  <c r="O387" i="4"/>
  <c r="N387" i="4"/>
  <c r="M387" i="4"/>
  <c r="L387" i="4"/>
  <c r="K387" i="4"/>
  <c r="I387" i="4"/>
  <c r="H387" i="4"/>
  <c r="J387" i="4" s="1"/>
  <c r="Q384" i="4"/>
  <c r="P384" i="4"/>
  <c r="O384" i="4"/>
  <c r="N384" i="4"/>
  <c r="L384" i="4"/>
  <c r="K384" i="4"/>
  <c r="J384" i="4"/>
  <c r="I384" i="4"/>
  <c r="H384" i="4"/>
  <c r="M384" i="4" s="1"/>
  <c r="Q383" i="4"/>
  <c r="P383" i="4"/>
  <c r="O383" i="4"/>
  <c r="N383" i="4"/>
  <c r="M383" i="4"/>
  <c r="K383" i="4"/>
  <c r="J383" i="4"/>
  <c r="I383" i="4"/>
  <c r="H383" i="4"/>
  <c r="L383" i="4" s="1"/>
  <c r="Q382" i="4"/>
  <c r="P382" i="4"/>
  <c r="O382" i="4"/>
  <c r="N382" i="4"/>
  <c r="M382" i="4"/>
  <c r="L382" i="4"/>
  <c r="K382" i="4"/>
  <c r="I382" i="4"/>
  <c r="H382" i="4"/>
  <c r="J382" i="4" s="1"/>
  <c r="Q379" i="4"/>
  <c r="P379" i="4"/>
  <c r="O379" i="4"/>
  <c r="N379" i="4"/>
  <c r="L379" i="4"/>
  <c r="K379" i="4"/>
  <c r="J379" i="4"/>
  <c r="I379" i="4"/>
  <c r="H379" i="4"/>
  <c r="M379" i="4" s="1"/>
  <c r="Q378" i="4"/>
  <c r="P378" i="4"/>
  <c r="O378" i="4"/>
  <c r="N378" i="4"/>
  <c r="L378" i="4"/>
  <c r="K378" i="4"/>
  <c r="J378" i="4"/>
  <c r="I378" i="4"/>
  <c r="H378" i="4"/>
  <c r="M378" i="4" s="1"/>
  <c r="Q377" i="4"/>
  <c r="P377" i="4"/>
  <c r="O377" i="4"/>
  <c r="N377" i="4"/>
  <c r="L377" i="4"/>
  <c r="K377" i="4"/>
  <c r="J377" i="4"/>
  <c r="I377" i="4"/>
  <c r="H377" i="4"/>
  <c r="M377" i="4" s="1"/>
  <c r="Q376" i="4"/>
  <c r="P376" i="4"/>
  <c r="O376" i="4"/>
  <c r="N376" i="4"/>
  <c r="L376" i="4"/>
  <c r="K376" i="4"/>
  <c r="J376" i="4"/>
  <c r="I376" i="4"/>
  <c r="H376" i="4"/>
  <c r="M376" i="4" s="1"/>
  <c r="Q372" i="4"/>
  <c r="P372" i="4"/>
  <c r="O372" i="4"/>
  <c r="N372" i="4"/>
  <c r="M372" i="4"/>
  <c r="L372" i="4"/>
  <c r="K372" i="4"/>
  <c r="I372" i="4"/>
  <c r="H372" i="4"/>
  <c r="J372" i="4" s="1"/>
  <c r="Q369" i="4"/>
  <c r="P369" i="4"/>
  <c r="O369" i="4"/>
  <c r="N369" i="4"/>
  <c r="L369" i="4"/>
  <c r="K369" i="4"/>
  <c r="J369" i="4"/>
  <c r="I369" i="4"/>
  <c r="H369" i="4"/>
  <c r="M369" i="4" s="1"/>
  <c r="Q368" i="4"/>
  <c r="P368" i="4"/>
  <c r="O368" i="4"/>
  <c r="N368" i="4"/>
  <c r="L368" i="4"/>
  <c r="K368" i="4"/>
  <c r="J368" i="4"/>
  <c r="I368" i="4"/>
  <c r="H368" i="4"/>
  <c r="M368" i="4" s="1"/>
  <c r="Q367" i="4"/>
  <c r="P367" i="4"/>
  <c r="O367" i="4"/>
  <c r="N367" i="4"/>
  <c r="L367" i="4"/>
  <c r="K367" i="4"/>
  <c r="J367" i="4"/>
  <c r="I367" i="4"/>
  <c r="H367" i="4"/>
  <c r="M367" i="4" s="1"/>
  <c r="Q366" i="4"/>
  <c r="P366" i="4"/>
  <c r="O366" i="4"/>
  <c r="N366" i="4"/>
  <c r="L366" i="4"/>
  <c r="K366" i="4"/>
  <c r="J366" i="4"/>
  <c r="I366" i="4"/>
  <c r="H366" i="4"/>
  <c r="M366" i="4" s="1"/>
  <c r="Q363" i="4"/>
  <c r="P363" i="4"/>
  <c r="O363" i="4"/>
  <c r="N363" i="4"/>
  <c r="M363" i="4"/>
  <c r="L363" i="4"/>
  <c r="K363" i="4"/>
  <c r="I363" i="4"/>
  <c r="H363" i="4"/>
  <c r="J363" i="4" s="1"/>
  <c r="Q359" i="4"/>
  <c r="P359" i="4"/>
  <c r="O359" i="4"/>
  <c r="N359" i="4"/>
  <c r="L359" i="4"/>
  <c r="K359" i="4"/>
  <c r="J359" i="4"/>
  <c r="I359" i="4"/>
  <c r="H359" i="4"/>
  <c r="M359" i="4" s="1"/>
  <c r="Q358" i="4"/>
  <c r="P358" i="4"/>
  <c r="O358" i="4"/>
  <c r="N358" i="4"/>
  <c r="M358" i="4"/>
  <c r="K358" i="4"/>
  <c r="J358" i="4"/>
  <c r="I358" i="4"/>
  <c r="H358" i="4"/>
  <c r="L358" i="4" s="1"/>
  <c r="Q357" i="4"/>
  <c r="P357" i="4"/>
  <c r="O357" i="4"/>
  <c r="N357" i="4"/>
  <c r="M357" i="4"/>
  <c r="K357" i="4"/>
  <c r="J357" i="4"/>
  <c r="I357" i="4"/>
  <c r="H357" i="4"/>
  <c r="L357" i="4" s="1"/>
  <c r="Q356" i="4"/>
  <c r="P356" i="4"/>
  <c r="O356" i="4"/>
  <c r="N356" i="4"/>
  <c r="M356" i="4"/>
  <c r="K356" i="4"/>
  <c r="J356" i="4"/>
  <c r="I356" i="4"/>
  <c r="H356" i="4"/>
  <c r="L356" i="4" s="1"/>
  <c r="Q355" i="4"/>
  <c r="P355" i="4"/>
  <c r="O355" i="4"/>
  <c r="N355" i="4"/>
  <c r="M355" i="4"/>
  <c r="L355" i="4"/>
  <c r="K355" i="4"/>
  <c r="I355" i="4"/>
  <c r="H355" i="4"/>
  <c r="J355" i="4" s="1"/>
  <c r="Q352" i="4"/>
  <c r="P352" i="4"/>
  <c r="O352" i="4"/>
  <c r="N352" i="4"/>
  <c r="M352" i="4"/>
  <c r="K352" i="4"/>
  <c r="J352" i="4"/>
  <c r="I352" i="4"/>
  <c r="Q351" i="4"/>
  <c r="P351" i="4"/>
  <c r="O351" i="4"/>
  <c r="N351" i="4"/>
  <c r="M351" i="4"/>
  <c r="L351" i="4"/>
  <c r="K351" i="4"/>
  <c r="I351" i="4"/>
  <c r="Q348" i="4"/>
  <c r="P348" i="4"/>
  <c r="O348" i="4"/>
  <c r="N348" i="4"/>
  <c r="M348" i="4"/>
  <c r="K348" i="4"/>
  <c r="J348" i="4"/>
  <c r="I348" i="4"/>
  <c r="Q347" i="4"/>
  <c r="P347" i="4"/>
  <c r="O347" i="4"/>
  <c r="N347" i="4"/>
  <c r="M347" i="4"/>
  <c r="K347" i="4"/>
  <c r="J347" i="4"/>
  <c r="I347" i="4"/>
  <c r="Q346" i="4"/>
  <c r="P346" i="4"/>
  <c r="O346" i="4"/>
  <c r="N346" i="4"/>
  <c r="M346" i="4"/>
  <c r="L346" i="4"/>
  <c r="K346" i="4"/>
  <c r="I346" i="4"/>
  <c r="Q343" i="4"/>
  <c r="P343" i="4"/>
  <c r="O343" i="4"/>
  <c r="N343" i="4"/>
  <c r="M343" i="4"/>
  <c r="K343" i="4"/>
  <c r="J343" i="4"/>
  <c r="I343" i="4"/>
  <c r="H343" i="4"/>
  <c r="L343" i="4" s="1"/>
  <c r="Q342" i="4"/>
  <c r="P342" i="4"/>
  <c r="O342" i="4"/>
  <c r="N342" i="4"/>
  <c r="M342" i="4"/>
  <c r="K342" i="4"/>
  <c r="J342" i="4"/>
  <c r="I342" i="4"/>
  <c r="H342" i="4"/>
  <c r="L342" i="4" s="1"/>
  <c r="Q341" i="4"/>
  <c r="P341" i="4"/>
  <c r="O341" i="4"/>
  <c r="N341" i="4"/>
  <c r="M341" i="4"/>
  <c r="L341" i="4"/>
  <c r="K341" i="4"/>
  <c r="I341" i="4"/>
  <c r="H341" i="4"/>
  <c r="J341" i="4" s="1"/>
  <c r="Q338" i="4"/>
  <c r="P338" i="4"/>
  <c r="O338" i="4"/>
  <c r="N338" i="4"/>
  <c r="M338" i="4"/>
  <c r="K338" i="4"/>
  <c r="J338" i="4"/>
  <c r="I338" i="4"/>
  <c r="Q337" i="4"/>
  <c r="P337" i="4"/>
  <c r="O337" i="4"/>
  <c r="N337" i="4"/>
  <c r="M337" i="4"/>
  <c r="K337" i="4"/>
  <c r="J337" i="4"/>
  <c r="I337" i="4"/>
  <c r="Q336" i="4"/>
  <c r="P336" i="4"/>
  <c r="O336" i="4"/>
  <c r="N336" i="4"/>
  <c r="M336" i="4"/>
  <c r="L336" i="4"/>
  <c r="K336" i="4"/>
  <c r="I336" i="4"/>
  <c r="Q333" i="4"/>
  <c r="P333" i="4"/>
  <c r="O333" i="4"/>
  <c r="N333" i="4"/>
  <c r="M333" i="4"/>
  <c r="K333" i="4"/>
  <c r="J333" i="4"/>
  <c r="I333" i="4"/>
  <c r="H333" i="4"/>
  <c r="L333" i="4" s="1"/>
  <c r="Q332" i="4"/>
  <c r="P332" i="4"/>
  <c r="O332" i="4"/>
  <c r="N332" i="4"/>
  <c r="M332" i="4"/>
  <c r="K332" i="4"/>
  <c r="J332" i="4"/>
  <c r="I332" i="4"/>
  <c r="H332" i="4"/>
  <c r="L332" i="4" s="1"/>
  <c r="Q331" i="4"/>
  <c r="P331" i="4"/>
  <c r="O331" i="4"/>
  <c r="N331" i="4"/>
  <c r="M331" i="4"/>
  <c r="L331" i="4"/>
  <c r="K331" i="4"/>
  <c r="I331" i="4"/>
  <c r="H331" i="4"/>
  <c r="J331" i="4" s="1"/>
  <c r="Q328" i="4"/>
  <c r="P328" i="4"/>
  <c r="O328" i="4"/>
  <c r="N328" i="4"/>
  <c r="M328" i="4"/>
  <c r="K328" i="4"/>
  <c r="J328" i="4"/>
  <c r="I328" i="4"/>
  <c r="Q327" i="4"/>
  <c r="P327" i="4"/>
  <c r="O327" i="4"/>
  <c r="N327" i="4"/>
  <c r="M327" i="4"/>
  <c r="K327" i="4"/>
  <c r="J327" i="4"/>
  <c r="I327" i="4"/>
  <c r="Q326" i="4"/>
  <c r="P326" i="4"/>
  <c r="O326" i="4"/>
  <c r="N326" i="4"/>
  <c r="M326" i="4"/>
  <c r="L326" i="4"/>
  <c r="K326" i="4"/>
  <c r="I326" i="4"/>
  <c r="Q323" i="4"/>
  <c r="P323" i="4"/>
  <c r="O323" i="4"/>
  <c r="N323" i="4"/>
  <c r="M323" i="4"/>
  <c r="K323" i="4"/>
  <c r="J323" i="4"/>
  <c r="I323" i="4"/>
  <c r="H323" i="4"/>
  <c r="L323" i="4" s="1"/>
  <c r="Q322" i="4"/>
  <c r="P322" i="4"/>
  <c r="O322" i="4"/>
  <c r="N322" i="4"/>
  <c r="M322" i="4"/>
  <c r="K322" i="4"/>
  <c r="J322" i="4"/>
  <c r="I322" i="4"/>
  <c r="H322" i="4"/>
  <c r="L322" i="4" s="1"/>
  <c r="Q321" i="4"/>
  <c r="P321" i="4"/>
  <c r="O321" i="4"/>
  <c r="N321" i="4"/>
  <c r="M321" i="4"/>
  <c r="L321" i="4"/>
  <c r="K321" i="4"/>
  <c r="I321" i="4"/>
  <c r="H321" i="4"/>
  <c r="J321" i="4" s="1"/>
  <c r="Q318" i="4"/>
  <c r="P318" i="4"/>
  <c r="O318" i="4"/>
  <c r="N318" i="4"/>
  <c r="M318" i="4"/>
  <c r="K318" i="4"/>
  <c r="J318" i="4"/>
  <c r="I318" i="4"/>
  <c r="Q317" i="4"/>
  <c r="P317" i="4"/>
  <c r="O317" i="4"/>
  <c r="N317" i="4"/>
  <c r="M317" i="4"/>
  <c r="L317" i="4"/>
  <c r="K317" i="4"/>
  <c r="I317" i="4"/>
  <c r="Q314" i="4"/>
  <c r="P314" i="4"/>
  <c r="O314" i="4"/>
  <c r="N314" i="4"/>
  <c r="M314" i="4"/>
  <c r="K314" i="4"/>
  <c r="J314" i="4"/>
  <c r="I314" i="4"/>
  <c r="Q313" i="4"/>
  <c r="P313" i="4"/>
  <c r="O313" i="4"/>
  <c r="N313" i="4"/>
  <c r="M313" i="4"/>
  <c r="L313" i="4"/>
  <c r="K313" i="4"/>
  <c r="I313" i="4"/>
  <c r="Q310" i="4"/>
  <c r="P310" i="4"/>
  <c r="O310" i="4"/>
  <c r="N310" i="4"/>
  <c r="L310" i="4"/>
  <c r="K310" i="4"/>
  <c r="J310" i="4"/>
  <c r="I310" i="4"/>
  <c r="H310" i="4"/>
  <c r="M310" i="4" s="1"/>
  <c r="Q309" i="4"/>
  <c r="P309" i="4"/>
  <c r="O309" i="4"/>
  <c r="N309" i="4"/>
  <c r="M309" i="4"/>
  <c r="K309" i="4"/>
  <c r="J309" i="4"/>
  <c r="I309" i="4"/>
  <c r="H309" i="4"/>
  <c r="L309" i="4" s="1"/>
  <c r="Q308" i="4"/>
  <c r="P308" i="4"/>
  <c r="O308" i="4"/>
  <c r="N308" i="4"/>
  <c r="M308" i="4"/>
  <c r="K308" i="4"/>
  <c r="J308" i="4"/>
  <c r="I308" i="4"/>
  <c r="H308" i="4"/>
  <c r="L308" i="4" s="1"/>
  <c r="Q307" i="4"/>
  <c r="P307" i="4"/>
  <c r="O307" i="4"/>
  <c r="N307" i="4"/>
  <c r="M307" i="4"/>
  <c r="K307" i="4"/>
  <c r="J307" i="4"/>
  <c r="I307" i="4"/>
  <c r="H307" i="4"/>
  <c r="L307" i="4" s="1"/>
  <c r="Q306" i="4"/>
  <c r="P306" i="4"/>
  <c r="O306" i="4"/>
  <c r="N306" i="4"/>
  <c r="M306" i="4"/>
  <c r="L306" i="4"/>
  <c r="K306" i="4"/>
  <c r="I306" i="4"/>
  <c r="H306" i="4"/>
  <c r="J306" i="4" s="1"/>
  <c r="Q303" i="4"/>
  <c r="P303" i="4"/>
  <c r="O303" i="4"/>
  <c r="N303" i="4"/>
  <c r="M303" i="4"/>
  <c r="L303" i="4"/>
  <c r="K303" i="4"/>
  <c r="J303" i="4"/>
  <c r="I303" i="4"/>
  <c r="H303" i="4"/>
  <c r="Q302" i="4"/>
  <c r="P302" i="4"/>
  <c r="O302" i="4"/>
  <c r="N302" i="4"/>
  <c r="L302" i="4"/>
  <c r="K302" i="4"/>
  <c r="J302" i="4"/>
  <c r="I302" i="4"/>
  <c r="H302" i="4"/>
  <c r="M302" i="4" s="1"/>
  <c r="Q301" i="4"/>
  <c r="P301" i="4"/>
  <c r="O301" i="4"/>
  <c r="N301" i="4"/>
  <c r="L301" i="4"/>
  <c r="K301" i="4"/>
  <c r="J301" i="4"/>
  <c r="I301" i="4"/>
  <c r="H301" i="4"/>
  <c r="M301" i="4" s="1"/>
  <c r="Q300" i="4"/>
  <c r="P300" i="4"/>
  <c r="O300" i="4"/>
  <c r="N300" i="4"/>
  <c r="M300" i="4"/>
  <c r="K300" i="4"/>
  <c r="J300" i="4"/>
  <c r="I300" i="4"/>
  <c r="H300" i="4"/>
  <c r="L300" i="4" s="1"/>
  <c r="Q299" i="4"/>
  <c r="P299" i="4"/>
  <c r="O299" i="4"/>
  <c r="N299" i="4"/>
  <c r="M299" i="4"/>
  <c r="L299" i="4"/>
  <c r="K299" i="4"/>
  <c r="I299" i="4"/>
  <c r="H299" i="4"/>
  <c r="J299" i="4" s="1"/>
  <c r="Q296" i="4"/>
  <c r="P296" i="4"/>
  <c r="O296" i="4"/>
  <c r="M296" i="4"/>
  <c r="L296" i="4"/>
  <c r="K296" i="4"/>
  <c r="J296" i="4"/>
  <c r="I296" i="4"/>
  <c r="H296" i="4"/>
  <c r="N296" i="4" s="1"/>
  <c r="Q295" i="4"/>
  <c r="P295" i="4"/>
  <c r="O295" i="4"/>
  <c r="N295" i="4"/>
  <c r="L295" i="4"/>
  <c r="K295" i="4"/>
  <c r="J295" i="4"/>
  <c r="I295" i="4"/>
  <c r="H295" i="4"/>
  <c r="M295" i="4" s="1"/>
  <c r="Q294" i="4"/>
  <c r="P294" i="4"/>
  <c r="O294" i="4"/>
  <c r="N294" i="4"/>
  <c r="L294" i="4"/>
  <c r="K294" i="4"/>
  <c r="J294" i="4"/>
  <c r="I294" i="4"/>
  <c r="H294" i="4"/>
  <c r="M294" i="4" s="1"/>
  <c r="Q293" i="4"/>
  <c r="P293" i="4"/>
  <c r="O293" i="4"/>
  <c r="N293" i="4"/>
  <c r="M293" i="4"/>
  <c r="L293" i="4"/>
  <c r="K293" i="4"/>
  <c r="I293" i="4"/>
  <c r="H293" i="4"/>
  <c r="J293" i="4" s="1"/>
  <c r="Q585" i="4"/>
  <c r="P585" i="4"/>
  <c r="O585" i="4"/>
  <c r="N585" i="4"/>
  <c r="L585" i="4"/>
  <c r="K585" i="4"/>
  <c r="J585" i="4"/>
  <c r="I585" i="4"/>
  <c r="H585" i="4"/>
  <c r="M585" i="4" s="1"/>
  <c r="Q584" i="4"/>
  <c r="P584" i="4"/>
  <c r="O584" i="4"/>
  <c r="N584" i="4"/>
  <c r="L584" i="4"/>
  <c r="K584" i="4"/>
  <c r="J584" i="4"/>
  <c r="I584" i="4"/>
  <c r="H584" i="4"/>
  <c r="M584" i="4" s="1"/>
  <c r="Q583" i="4"/>
  <c r="P583" i="4"/>
  <c r="O583" i="4"/>
  <c r="N583" i="4"/>
  <c r="M583" i="4"/>
  <c r="K583" i="4"/>
  <c r="J583" i="4"/>
  <c r="I583" i="4"/>
  <c r="H583" i="4"/>
  <c r="L583" i="4" s="1"/>
  <c r="Q582" i="4"/>
  <c r="P582" i="4"/>
  <c r="O582" i="4"/>
  <c r="N582" i="4"/>
  <c r="M582" i="4"/>
  <c r="K582" i="4"/>
  <c r="J582" i="4"/>
  <c r="I582" i="4"/>
  <c r="H582" i="4"/>
  <c r="L582" i="4" s="1"/>
  <c r="Q581" i="4"/>
  <c r="P581" i="4"/>
  <c r="O581" i="4"/>
  <c r="N581" i="4"/>
  <c r="M581" i="4"/>
  <c r="L581" i="4"/>
  <c r="K581" i="4"/>
  <c r="I581" i="4"/>
  <c r="H581" i="4"/>
  <c r="J581" i="4" s="1"/>
  <c r="Q577" i="4"/>
  <c r="P577" i="4"/>
  <c r="O577" i="4"/>
  <c r="N577" i="4"/>
  <c r="L577" i="4"/>
  <c r="K577" i="4"/>
  <c r="J577" i="4"/>
  <c r="I577" i="4"/>
  <c r="H577" i="4"/>
  <c r="M577" i="4" s="1"/>
  <c r="Q576" i="4"/>
  <c r="P576" i="4"/>
  <c r="O576" i="4"/>
  <c r="N576" i="4"/>
  <c r="M576" i="4"/>
  <c r="K576" i="4"/>
  <c r="J576" i="4"/>
  <c r="I576" i="4"/>
  <c r="H576" i="4"/>
  <c r="L576" i="4" s="1"/>
  <c r="Q575" i="4"/>
  <c r="P575" i="4"/>
  <c r="O575" i="4"/>
  <c r="N575" i="4"/>
  <c r="M575" i="4"/>
  <c r="K575" i="4"/>
  <c r="J575" i="4"/>
  <c r="I575" i="4"/>
  <c r="H575" i="4"/>
  <c r="L575" i="4" s="1"/>
  <c r="Q574" i="4"/>
  <c r="P574" i="4"/>
  <c r="O574" i="4"/>
  <c r="N574" i="4"/>
  <c r="M574" i="4"/>
  <c r="K574" i="4"/>
  <c r="J574" i="4"/>
  <c r="I574" i="4"/>
  <c r="H574" i="4"/>
  <c r="L574" i="4" s="1"/>
  <c r="Q573" i="4"/>
  <c r="P573" i="4"/>
  <c r="O573" i="4"/>
  <c r="N573" i="4"/>
  <c r="M573" i="4"/>
  <c r="L573" i="4"/>
  <c r="K573" i="4"/>
  <c r="I573" i="4"/>
  <c r="H573" i="4"/>
  <c r="J573" i="4" s="1"/>
  <c r="Q570" i="4"/>
  <c r="P570" i="4"/>
  <c r="O570" i="4"/>
  <c r="N570" i="4"/>
  <c r="L570" i="4"/>
  <c r="K570" i="4"/>
  <c r="J570" i="4"/>
  <c r="I570" i="4"/>
  <c r="H570" i="4"/>
  <c r="M570" i="4" s="1"/>
  <c r="Q569" i="4"/>
  <c r="P569" i="4"/>
  <c r="O569" i="4"/>
  <c r="N569" i="4"/>
  <c r="M569" i="4"/>
  <c r="K569" i="4"/>
  <c r="J569" i="4"/>
  <c r="I569" i="4"/>
  <c r="H569" i="4"/>
  <c r="L569" i="4" s="1"/>
  <c r="Q568" i="4"/>
  <c r="P568" i="4"/>
  <c r="O568" i="4"/>
  <c r="N568" i="4"/>
  <c r="M568" i="4"/>
  <c r="L568" i="4"/>
  <c r="K568" i="4"/>
  <c r="I568" i="4"/>
  <c r="H568" i="4"/>
  <c r="J568" i="4" s="1"/>
  <c r="Q565" i="4"/>
  <c r="P565" i="4"/>
  <c r="O565" i="4"/>
  <c r="N565" i="4"/>
  <c r="L565" i="4"/>
  <c r="K565" i="4"/>
  <c r="J565" i="4"/>
  <c r="I565" i="4"/>
  <c r="H565" i="4"/>
  <c r="M565" i="4" s="1"/>
  <c r="Q564" i="4"/>
  <c r="P564" i="4"/>
  <c r="O564" i="4"/>
  <c r="N564" i="4"/>
  <c r="M564" i="4"/>
  <c r="K564" i="4"/>
  <c r="J564" i="4"/>
  <c r="I564" i="4"/>
  <c r="H564" i="4"/>
  <c r="L564" i="4" s="1"/>
  <c r="Q563" i="4"/>
  <c r="P563" i="4"/>
  <c r="O563" i="4"/>
  <c r="N563" i="4"/>
  <c r="M563" i="4"/>
  <c r="K563" i="4"/>
  <c r="J563" i="4"/>
  <c r="I563" i="4"/>
  <c r="H563" i="4"/>
  <c r="L563" i="4" s="1"/>
  <c r="Q562" i="4"/>
  <c r="P562" i="4"/>
  <c r="O562" i="4"/>
  <c r="N562" i="4"/>
  <c r="M562" i="4"/>
  <c r="K562" i="4"/>
  <c r="J562" i="4"/>
  <c r="I562" i="4"/>
  <c r="H562" i="4"/>
  <c r="L562" i="4" s="1"/>
  <c r="Q561" i="4"/>
  <c r="P561" i="4"/>
  <c r="O561" i="4"/>
  <c r="N561" i="4"/>
  <c r="M561" i="4"/>
  <c r="L561" i="4"/>
  <c r="K561" i="4"/>
  <c r="I561" i="4"/>
  <c r="H561" i="4"/>
  <c r="J561" i="4" s="1"/>
  <c r="Q553" i="4"/>
  <c r="P553" i="4"/>
  <c r="O553" i="4"/>
  <c r="N553" i="4"/>
  <c r="M553" i="4"/>
  <c r="K553" i="4"/>
  <c r="J553" i="4"/>
  <c r="I553" i="4"/>
  <c r="H553" i="4"/>
  <c r="L553" i="4" s="1"/>
  <c r="Q552" i="4"/>
  <c r="P552" i="4"/>
  <c r="O552" i="4"/>
  <c r="N552" i="4"/>
  <c r="M552" i="4"/>
  <c r="K552" i="4"/>
  <c r="J552" i="4"/>
  <c r="I552" i="4"/>
  <c r="H552" i="4"/>
  <c r="L552" i="4" s="1"/>
  <c r="Q551" i="4"/>
  <c r="P551" i="4"/>
  <c r="O551" i="4"/>
  <c r="N551" i="4"/>
  <c r="M551" i="4"/>
  <c r="L551" i="4"/>
  <c r="K551" i="4"/>
  <c r="I551" i="4"/>
  <c r="H551" i="4"/>
  <c r="J551" i="4" s="1"/>
  <c r="Q548" i="4"/>
  <c r="P548" i="4"/>
  <c r="O548" i="4"/>
  <c r="N548" i="4"/>
  <c r="L548" i="4"/>
  <c r="K548" i="4"/>
  <c r="J548" i="4"/>
  <c r="I548" i="4"/>
  <c r="H548" i="4"/>
  <c r="M548" i="4" s="1"/>
  <c r="Q547" i="4"/>
  <c r="P547" i="4"/>
  <c r="O547" i="4"/>
  <c r="N547" i="4"/>
  <c r="M547" i="4"/>
  <c r="K547" i="4"/>
  <c r="J547" i="4"/>
  <c r="I547" i="4"/>
  <c r="H547" i="4"/>
  <c r="L547" i="4" s="1"/>
  <c r="Q546" i="4"/>
  <c r="P546" i="4"/>
  <c r="O546" i="4"/>
  <c r="N546" i="4"/>
  <c r="M546" i="4"/>
  <c r="L546" i="4"/>
  <c r="K546" i="4"/>
  <c r="I546" i="4"/>
  <c r="H546" i="4"/>
  <c r="J546" i="4" s="1"/>
  <c r="Q543" i="4"/>
  <c r="P543" i="4"/>
  <c r="O543" i="4"/>
  <c r="N543" i="4"/>
  <c r="L543" i="4"/>
  <c r="K543" i="4"/>
  <c r="J543" i="4"/>
  <c r="I543" i="4"/>
  <c r="H543" i="4"/>
  <c r="M543" i="4" s="1"/>
  <c r="Q542" i="4"/>
  <c r="P542" i="4"/>
  <c r="O542" i="4"/>
  <c r="N542" i="4"/>
  <c r="L542" i="4"/>
  <c r="K542" i="4"/>
  <c r="J542" i="4"/>
  <c r="I542" i="4"/>
  <c r="H542" i="4"/>
  <c r="M542" i="4" s="1"/>
  <c r="Q538" i="4"/>
  <c r="P538" i="4"/>
  <c r="O538" i="4"/>
  <c r="N538" i="4"/>
  <c r="M538" i="4"/>
  <c r="L538" i="4"/>
  <c r="K538" i="4"/>
  <c r="I538" i="4"/>
  <c r="H538" i="4"/>
  <c r="J538" i="4" s="1"/>
  <c r="Q535" i="4"/>
  <c r="P535" i="4"/>
  <c r="O535" i="4"/>
  <c r="N535" i="4"/>
  <c r="L535" i="4"/>
  <c r="K535" i="4"/>
  <c r="J535" i="4"/>
  <c r="I535" i="4"/>
  <c r="H535" i="4"/>
  <c r="M535" i="4" s="1"/>
  <c r="Q534" i="4"/>
  <c r="P534" i="4"/>
  <c r="O534" i="4"/>
  <c r="N534" i="4"/>
  <c r="M534" i="4"/>
  <c r="K534" i="4"/>
  <c r="J534" i="4"/>
  <c r="I534" i="4"/>
  <c r="H534" i="4"/>
  <c r="L534" i="4" s="1"/>
  <c r="Q533" i="4"/>
  <c r="P533" i="4"/>
  <c r="O533" i="4"/>
  <c r="N533" i="4"/>
  <c r="M533" i="4"/>
  <c r="L533" i="4"/>
  <c r="K533" i="4"/>
  <c r="I533" i="4"/>
  <c r="H533" i="4"/>
  <c r="J533" i="4" s="1"/>
  <c r="Q530" i="4"/>
  <c r="P530" i="4"/>
  <c r="O530" i="4"/>
  <c r="N530" i="4"/>
  <c r="M530" i="4"/>
  <c r="K530" i="4"/>
  <c r="J530" i="4"/>
  <c r="I530" i="4"/>
  <c r="H530" i="4"/>
  <c r="L530" i="4" s="1"/>
  <c r="Q529" i="4"/>
  <c r="P529" i="4"/>
  <c r="O529" i="4"/>
  <c r="N529" i="4"/>
  <c r="M529" i="4"/>
  <c r="L529" i="4"/>
  <c r="K529" i="4"/>
  <c r="I529" i="4"/>
  <c r="H529" i="4"/>
  <c r="J529" i="4" s="1"/>
  <c r="Q526" i="4"/>
  <c r="P526" i="4"/>
  <c r="O526" i="4"/>
  <c r="N526" i="4"/>
  <c r="L526" i="4"/>
  <c r="K526" i="4"/>
  <c r="J526" i="4"/>
  <c r="I526" i="4"/>
  <c r="H526" i="4"/>
  <c r="M526" i="4" s="1"/>
  <c r="Q525" i="4"/>
  <c r="P525" i="4"/>
  <c r="O525" i="4"/>
  <c r="N525" i="4"/>
  <c r="M525" i="4"/>
  <c r="K525" i="4"/>
  <c r="J525" i="4"/>
  <c r="I525" i="4"/>
  <c r="H525" i="4"/>
  <c r="L525" i="4" s="1"/>
  <c r="Q524" i="4"/>
  <c r="P524" i="4"/>
  <c r="O524" i="4"/>
  <c r="N524" i="4"/>
  <c r="M524" i="4"/>
  <c r="K524" i="4"/>
  <c r="J524" i="4"/>
  <c r="I524" i="4"/>
  <c r="H524" i="4"/>
  <c r="L524" i="4" s="1"/>
  <c r="Q523" i="4"/>
  <c r="P523" i="4"/>
  <c r="O523" i="4"/>
  <c r="N523" i="4"/>
  <c r="M523" i="4"/>
  <c r="K523" i="4"/>
  <c r="J523" i="4"/>
  <c r="I523" i="4"/>
  <c r="H523" i="4"/>
  <c r="L523" i="4" s="1"/>
  <c r="Q522" i="4"/>
  <c r="P522" i="4"/>
  <c r="O522" i="4"/>
  <c r="N522" i="4"/>
  <c r="M522" i="4"/>
  <c r="L522" i="4"/>
  <c r="K522" i="4"/>
  <c r="I522" i="4"/>
  <c r="H522" i="4"/>
  <c r="J522" i="4" s="1"/>
  <c r="Q519" i="4"/>
  <c r="P519" i="4"/>
  <c r="O519" i="4"/>
  <c r="N519" i="4"/>
  <c r="L519" i="4"/>
  <c r="K519" i="4"/>
  <c r="J519" i="4"/>
  <c r="I519" i="4"/>
  <c r="H519" i="4"/>
  <c r="M519" i="4" s="1"/>
  <c r="Q518" i="4"/>
  <c r="P518" i="4"/>
  <c r="O518" i="4"/>
  <c r="N518" i="4"/>
  <c r="M518" i="4"/>
  <c r="K518" i="4"/>
  <c r="J518" i="4"/>
  <c r="I518" i="4"/>
  <c r="H518" i="4"/>
  <c r="L518" i="4" s="1"/>
  <c r="Q517" i="4"/>
  <c r="P517" i="4"/>
  <c r="O517" i="4"/>
  <c r="N517" i="4"/>
  <c r="M517" i="4"/>
  <c r="L517" i="4"/>
  <c r="K517" i="4"/>
  <c r="I517" i="4"/>
  <c r="H517" i="4"/>
  <c r="J517" i="4" s="1"/>
  <c r="Q514" i="4"/>
  <c r="P514" i="4"/>
  <c r="O514" i="4"/>
  <c r="N514" i="4"/>
  <c r="L514" i="4"/>
  <c r="K514" i="4"/>
  <c r="J514" i="4"/>
  <c r="I514" i="4"/>
  <c r="H514" i="4"/>
  <c r="M514" i="4" s="1"/>
  <c r="Q513" i="4"/>
  <c r="P513" i="4"/>
  <c r="O513" i="4"/>
  <c r="N513" i="4"/>
  <c r="M513" i="4"/>
  <c r="K513" i="4"/>
  <c r="J513" i="4"/>
  <c r="I513" i="4"/>
  <c r="H513" i="4"/>
  <c r="L513" i="4" s="1"/>
  <c r="Q512" i="4"/>
  <c r="P512" i="4"/>
  <c r="O512" i="4"/>
  <c r="N512" i="4"/>
  <c r="M512" i="4"/>
  <c r="L512" i="4"/>
  <c r="K512" i="4"/>
  <c r="I512" i="4"/>
  <c r="H512" i="4"/>
  <c r="J512" i="4" s="1"/>
  <c r="Q509" i="4"/>
  <c r="P509" i="4"/>
  <c r="O509" i="4"/>
  <c r="N509" i="4"/>
  <c r="L509" i="4"/>
  <c r="K509" i="4"/>
  <c r="J509" i="4"/>
  <c r="I509" i="4"/>
  <c r="H509" i="4"/>
  <c r="M509" i="4" s="1"/>
  <c r="Q508" i="4"/>
  <c r="P508" i="4"/>
  <c r="O508" i="4"/>
  <c r="N508" i="4"/>
  <c r="M508" i="4"/>
  <c r="K508" i="4"/>
  <c r="J508" i="4"/>
  <c r="I508" i="4"/>
  <c r="H508" i="4"/>
  <c r="L508" i="4" s="1"/>
  <c r="Q507" i="4"/>
  <c r="P507" i="4"/>
  <c r="O507" i="4"/>
  <c r="N507" i="4"/>
  <c r="M507" i="4"/>
  <c r="L507" i="4"/>
  <c r="K507" i="4"/>
  <c r="I507" i="4"/>
  <c r="H507" i="4"/>
  <c r="J507" i="4" s="1"/>
  <c r="Q504" i="4"/>
  <c r="P504" i="4"/>
  <c r="O504" i="4"/>
  <c r="M504" i="4"/>
  <c r="L504" i="4"/>
  <c r="K504" i="4"/>
  <c r="J504" i="4"/>
  <c r="I504" i="4"/>
  <c r="H504" i="4"/>
  <c r="N504" i="4" s="1"/>
  <c r="Q503" i="4"/>
  <c r="P503" i="4"/>
  <c r="O503" i="4"/>
  <c r="N503" i="4"/>
  <c r="M503" i="4"/>
  <c r="K503" i="4"/>
  <c r="J503" i="4"/>
  <c r="I503" i="4"/>
  <c r="H503" i="4"/>
  <c r="L503" i="4" s="1"/>
  <c r="Q502" i="4"/>
  <c r="P502" i="4"/>
  <c r="O502" i="4"/>
  <c r="N502" i="4"/>
  <c r="M502" i="4"/>
  <c r="L502" i="4"/>
  <c r="K502" i="4"/>
  <c r="I502" i="4"/>
  <c r="H502" i="4"/>
  <c r="J502" i="4" s="1"/>
  <c r="Q499" i="4"/>
  <c r="P499" i="4"/>
  <c r="O499" i="4"/>
  <c r="M499" i="4"/>
  <c r="L499" i="4"/>
  <c r="K499" i="4"/>
  <c r="J499" i="4"/>
  <c r="I499" i="4"/>
  <c r="H499" i="4"/>
  <c r="N499" i="4" s="1"/>
  <c r="Q498" i="4"/>
  <c r="P498" i="4"/>
  <c r="O498" i="4"/>
  <c r="N498" i="4"/>
  <c r="M498" i="4"/>
  <c r="K498" i="4"/>
  <c r="J498" i="4"/>
  <c r="I498" i="4"/>
  <c r="H498" i="4"/>
  <c r="L498" i="4" s="1"/>
  <c r="Q497" i="4"/>
  <c r="P497" i="4"/>
  <c r="O497" i="4"/>
  <c r="N497" i="4"/>
  <c r="M497" i="4"/>
  <c r="L497" i="4"/>
  <c r="K497" i="4"/>
  <c r="I497" i="4"/>
  <c r="H497" i="4"/>
  <c r="J497" i="4" s="1"/>
  <c r="Q494" i="4"/>
  <c r="P494" i="4"/>
  <c r="O494" i="4"/>
  <c r="N494" i="4"/>
  <c r="M494" i="4"/>
  <c r="K494" i="4"/>
  <c r="J494" i="4"/>
  <c r="I494" i="4"/>
  <c r="H494" i="4"/>
  <c r="L494" i="4" s="1"/>
  <c r="Q493" i="4"/>
  <c r="P493" i="4"/>
  <c r="O493" i="4"/>
  <c r="N493" i="4"/>
  <c r="M493" i="4"/>
  <c r="L493" i="4"/>
  <c r="K493" i="4"/>
  <c r="I493" i="4"/>
  <c r="H493" i="4"/>
  <c r="J493" i="4" s="1"/>
  <c r="Q642" i="4"/>
  <c r="P642" i="4"/>
  <c r="O642" i="4"/>
  <c r="N642" i="4"/>
  <c r="L642" i="4"/>
  <c r="K642" i="4"/>
  <c r="J642" i="4"/>
  <c r="I642" i="4"/>
  <c r="H642" i="4"/>
  <c r="M642" i="4" s="1"/>
  <c r="Q641" i="4"/>
  <c r="P641" i="4"/>
  <c r="O641" i="4"/>
  <c r="N641" i="4"/>
  <c r="L641" i="4"/>
  <c r="K641" i="4"/>
  <c r="J641" i="4"/>
  <c r="I641" i="4"/>
  <c r="H641" i="4"/>
  <c r="M641" i="4" s="1"/>
  <c r="Q640" i="4"/>
  <c r="P640" i="4"/>
  <c r="O640" i="4"/>
  <c r="N640" i="4"/>
  <c r="L640" i="4"/>
  <c r="K640" i="4"/>
  <c r="J640" i="4"/>
  <c r="I640" i="4"/>
  <c r="H640" i="4"/>
  <c r="M640" i="4" s="1"/>
  <c r="Q639" i="4"/>
  <c r="P639" i="4"/>
  <c r="O639" i="4"/>
  <c r="N639" i="4"/>
  <c r="M639" i="4"/>
  <c r="K639" i="4"/>
  <c r="J639" i="4"/>
  <c r="I639" i="4"/>
  <c r="H639" i="4"/>
  <c r="L639" i="4" s="1"/>
  <c r="Q635" i="4"/>
  <c r="P635" i="4"/>
  <c r="O635" i="4"/>
  <c r="N635" i="4"/>
  <c r="M635" i="4"/>
  <c r="L635" i="4"/>
  <c r="K635" i="4"/>
  <c r="I635" i="4"/>
  <c r="H635" i="4"/>
  <c r="J635" i="4" s="1"/>
  <c r="Q632" i="4"/>
  <c r="P632" i="4"/>
  <c r="O632" i="4"/>
  <c r="N632" i="4"/>
  <c r="M632" i="4"/>
  <c r="K632" i="4"/>
  <c r="J632" i="4"/>
  <c r="I632" i="4"/>
  <c r="H632" i="4"/>
  <c r="L632" i="4" s="1"/>
  <c r="Q631" i="4"/>
  <c r="P631" i="4"/>
  <c r="O631" i="4"/>
  <c r="N631" i="4"/>
  <c r="M631" i="4"/>
  <c r="L631" i="4"/>
  <c r="K631" i="4"/>
  <c r="I631" i="4"/>
  <c r="H631" i="4"/>
  <c r="J631" i="4" s="1"/>
  <c r="Q628" i="4"/>
  <c r="P628" i="4"/>
  <c r="O628" i="4"/>
  <c r="N628" i="4"/>
  <c r="M628" i="4"/>
  <c r="K628" i="4"/>
  <c r="J628" i="4"/>
  <c r="I628" i="4"/>
  <c r="H628" i="4"/>
  <c r="L628" i="4" s="1"/>
  <c r="Q627" i="4"/>
  <c r="P627" i="4"/>
  <c r="O627" i="4"/>
  <c r="N627" i="4"/>
  <c r="M627" i="4"/>
  <c r="L627" i="4"/>
  <c r="K627" i="4"/>
  <c r="I627" i="4"/>
  <c r="H627" i="4"/>
  <c r="J627" i="4" s="1"/>
  <c r="Q624" i="4"/>
  <c r="P624" i="4"/>
  <c r="O624" i="4"/>
  <c r="N624" i="4"/>
  <c r="L624" i="4"/>
  <c r="K624" i="4"/>
  <c r="J624" i="4"/>
  <c r="I624" i="4"/>
  <c r="H624" i="4"/>
  <c r="M624" i="4" s="1"/>
  <c r="Q623" i="4"/>
  <c r="P623" i="4"/>
  <c r="O623" i="4"/>
  <c r="N623" i="4"/>
  <c r="L623" i="4"/>
  <c r="K623" i="4"/>
  <c r="J623" i="4"/>
  <c r="I623" i="4"/>
  <c r="H623" i="4"/>
  <c r="M623" i="4" s="1"/>
  <c r="Q622" i="4"/>
  <c r="P622" i="4"/>
  <c r="O622" i="4"/>
  <c r="N622" i="4"/>
  <c r="M622" i="4"/>
  <c r="K622" i="4"/>
  <c r="J622" i="4"/>
  <c r="I622" i="4"/>
  <c r="H622" i="4"/>
  <c r="L622" i="4" s="1"/>
  <c r="Q621" i="4"/>
  <c r="P621" i="4"/>
  <c r="O621" i="4"/>
  <c r="N621" i="4"/>
  <c r="M621" i="4"/>
  <c r="K621" i="4"/>
  <c r="J621" i="4"/>
  <c r="I621" i="4"/>
  <c r="H621" i="4"/>
  <c r="L621" i="4" s="1"/>
  <c r="Q620" i="4"/>
  <c r="P620" i="4"/>
  <c r="O620" i="4"/>
  <c r="N620" i="4"/>
  <c r="M620" i="4"/>
  <c r="L620" i="4"/>
  <c r="K620" i="4"/>
  <c r="I620" i="4"/>
  <c r="H620" i="4"/>
  <c r="J620" i="4" s="1"/>
  <c r="Q617" i="4"/>
  <c r="P617" i="4"/>
  <c r="O617" i="4"/>
  <c r="N617" i="4"/>
  <c r="L617" i="4"/>
  <c r="K617" i="4"/>
  <c r="J617" i="4"/>
  <c r="I617" i="4"/>
  <c r="H617" i="4"/>
  <c r="M617" i="4" s="1"/>
  <c r="Q616" i="4"/>
  <c r="P616" i="4"/>
  <c r="O616" i="4"/>
  <c r="N616" i="4"/>
  <c r="L616" i="4"/>
  <c r="K616" i="4"/>
  <c r="J616" i="4"/>
  <c r="I616" i="4"/>
  <c r="H616" i="4"/>
  <c r="M616" i="4" s="1"/>
  <c r="Q615" i="4"/>
  <c r="P615" i="4"/>
  <c r="O615" i="4"/>
  <c r="N615" i="4"/>
  <c r="M615" i="4"/>
  <c r="K615" i="4"/>
  <c r="J615" i="4"/>
  <c r="I615" i="4"/>
  <c r="H615" i="4"/>
  <c r="L615" i="4" s="1"/>
  <c r="Q614" i="4"/>
  <c r="P614" i="4"/>
  <c r="O614" i="4"/>
  <c r="N614" i="4"/>
  <c r="M614" i="4"/>
  <c r="K614" i="4"/>
  <c r="J614" i="4"/>
  <c r="I614" i="4"/>
  <c r="H614" i="4"/>
  <c r="L614" i="4" s="1"/>
  <c r="Q610" i="4"/>
  <c r="P610" i="4"/>
  <c r="O610" i="4"/>
  <c r="N610" i="4"/>
  <c r="M610" i="4"/>
  <c r="L610" i="4"/>
  <c r="K610" i="4"/>
  <c r="I610" i="4"/>
  <c r="H610" i="4"/>
  <c r="J610" i="4" s="1"/>
  <c r="Q607" i="4"/>
  <c r="P607" i="4"/>
  <c r="O607" i="4"/>
  <c r="N607" i="4"/>
  <c r="L607" i="4"/>
  <c r="K607" i="4"/>
  <c r="J607" i="4"/>
  <c r="I607" i="4"/>
  <c r="H607" i="4"/>
  <c r="M607" i="4" s="1"/>
  <c r="Q606" i="4"/>
  <c r="P606" i="4"/>
  <c r="O606" i="4"/>
  <c r="N606" i="4"/>
  <c r="L606" i="4"/>
  <c r="K606" i="4"/>
  <c r="J606" i="4"/>
  <c r="I606" i="4"/>
  <c r="H606" i="4"/>
  <c r="M606" i="4" s="1"/>
  <c r="Q605" i="4"/>
  <c r="P605" i="4"/>
  <c r="O605" i="4"/>
  <c r="N605" i="4"/>
  <c r="M605" i="4"/>
  <c r="K605" i="4"/>
  <c r="J605" i="4"/>
  <c r="I605" i="4"/>
  <c r="H605" i="4"/>
  <c r="L605" i="4" s="1"/>
  <c r="Q604" i="4"/>
  <c r="P604" i="4"/>
  <c r="O604" i="4"/>
  <c r="N604" i="4"/>
  <c r="M604" i="4"/>
  <c r="K604" i="4"/>
  <c r="J604" i="4"/>
  <c r="I604" i="4"/>
  <c r="H604" i="4"/>
  <c r="L604" i="4" s="1"/>
  <c r="Q603" i="4"/>
  <c r="P603" i="4"/>
  <c r="O603" i="4"/>
  <c r="N603" i="4"/>
  <c r="M603" i="4"/>
  <c r="L603" i="4"/>
  <c r="K603" i="4"/>
  <c r="I603" i="4"/>
  <c r="H603" i="4"/>
  <c r="J603" i="4" s="1"/>
  <c r="Q600" i="4"/>
  <c r="P600" i="4"/>
  <c r="O600" i="4"/>
  <c r="N600" i="4"/>
  <c r="L600" i="4"/>
  <c r="K600" i="4"/>
  <c r="J600" i="4"/>
  <c r="I600" i="4"/>
  <c r="H600" i="4"/>
  <c r="M600" i="4" s="1"/>
  <c r="Q599" i="4"/>
  <c r="P599" i="4"/>
  <c r="O599" i="4"/>
  <c r="N599" i="4"/>
  <c r="L599" i="4"/>
  <c r="K599" i="4"/>
  <c r="J599" i="4"/>
  <c r="I599" i="4"/>
  <c r="H599" i="4"/>
  <c r="M599" i="4" s="1"/>
  <c r="Q598" i="4"/>
  <c r="P598" i="4"/>
  <c r="O598" i="4"/>
  <c r="N598" i="4"/>
  <c r="M598" i="4"/>
  <c r="K598" i="4"/>
  <c r="J598" i="4"/>
  <c r="I598" i="4"/>
  <c r="H598" i="4"/>
  <c r="L598" i="4" s="1"/>
  <c r="Q597" i="4"/>
  <c r="P597" i="4"/>
  <c r="O597" i="4"/>
  <c r="N597" i="4"/>
  <c r="M597" i="4"/>
  <c r="K597" i="4"/>
  <c r="J597" i="4"/>
  <c r="I597" i="4"/>
  <c r="H597" i="4"/>
  <c r="L597" i="4" s="1"/>
  <c r="Q596" i="4"/>
  <c r="P596" i="4"/>
  <c r="O596" i="4"/>
  <c r="N596" i="4"/>
  <c r="M596" i="4"/>
  <c r="L596" i="4"/>
  <c r="K596" i="4"/>
  <c r="I596" i="4"/>
  <c r="H596" i="4"/>
  <c r="J596" i="4" s="1"/>
  <c r="Q593" i="4"/>
  <c r="P593" i="4"/>
  <c r="O593" i="4"/>
  <c r="N593" i="4"/>
  <c r="L593" i="4"/>
  <c r="K593" i="4"/>
  <c r="J593" i="4"/>
  <c r="I593" i="4"/>
  <c r="H593" i="4"/>
  <c r="M593" i="4" s="1"/>
  <c r="Q592" i="4"/>
  <c r="P592" i="4"/>
  <c r="O592" i="4"/>
  <c r="N592" i="4"/>
  <c r="L592" i="4"/>
  <c r="K592" i="4"/>
  <c r="J592" i="4"/>
  <c r="I592" i="4"/>
  <c r="H592" i="4"/>
  <c r="M592" i="4" s="1"/>
  <c r="Q588" i="4"/>
  <c r="P588" i="4"/>
  <c r="O588" i="4"/>
  <c r="N588" i="4"/>
  <c r="M588" i="4"/>
  <c r="L588" i="4"/>
  <c r="K588" i="4"/>
  <c r="I588" i="4"/>
  <c r="H588" i="4"/>
  <c r="J588" i="4" s="1"/>
  <c r="Q675" i="4"/>
  <c r="P675" i="4"/>
  <c r="O675" i="4"/>
  <c r="N675" i="4"/>
  <c r="M675" i="4"/>
  <c r="K675" i="4"/>
  <c r="J675" i="4"/>
  <c r="I675" i="4"/>
  <c r="H675" i="4"/>
  <c r="L675" i="4" s="1"/>
  <c r="Q674" i="4"/>
  <c r="P674" i="4"/>
  <c r="O674" i="4"/>
  <c r="N674" i="4"/>
  <c r="M674" i="4"/>
  <c r="K674" i="4"/>
  <c r="J674" i="4"/>
  <c r="I674" i="4"/>
  <c r="H674" i="4"/>
  <c r="L674" i="4" s="1"/>
  <c r="Q673" i="4"/>
  <c r="P673" i="4"/>
  <c r="O673" i="4"/>
  <c r="N673" i="4"/>
  <c r="M673" i="4"/>
  <c r="L673" i="4"/>
  <c r="K673" i="4"/>
  <c r="I673" i="4"/>
  <c r="H673" i="4"/>
  <c r="J673" i="4" s="1"/>
  <c r="Q670" i="4"/>
  <c r="P670" i="4"/>
  <c r="O670" i="4"/>
  <c r="N670" i="4"/>
  <c r="L670" i="4"/>
  <c r="K670" i="4"/>
  <c r="J670" i="4"/>
  <c r="I670" i="4"/>
  <c r="H670" i="4"/>
  <c r="M670" i="4" s="1"/>
  <c r="Q669" i="4"/>
  <c r="P669" i="4"/>
  <c r="O669" i="4"/>
  <c r="N669" i="4"/>
  <c r="L669" i="4"/>
  <c r="K669" i="4"/>
  <c r="J669" i="4"/>
  <c r="I669" i="4"/>
  <c r="H669" i="4"/>
  <c r="M669" i="4" s="1"/>
  <c r="Q668" i="4"/>
  <c r="P668" i="4"/>
  <c r="O668" i="4"/>
  <c r="N668" i="4"/>
  <c r="L668" i="4"/>
  <c r="K668" i="4"/>
  <c r="J668" i="4"/>
  <c r="I668" i="4"/>
  <c r="H668" i="4"/>
  <c r="M668" i="4" s="1"/>
  <c r="Q667" i="4"/>
  <c r="P667" i="4"/>
  <c r="O667" i="4"/>
  <c r="N667" i="4"/>
  <c r="M667" i="4"/>
  <c r="K667" i="4"/>
  <c r="J667" i="4"/>
  <c r="I667" i="4"/>
  <c r="H667" i="4"/>
  <c r="L667" i="4" s="1"/>
  <c r="Q663" i="4"/>
  <c r="P663" i="4"/>
  <c r="O663" i="4"/>
  <c r="N663" i="4"/>
  <c r="M663" i="4"/>
  <c r="L663" i="4"/>
  <c r="K663" i="4"/>
  <c r="I663" i="4"/>
  <c r="H663" i="4"/>
  <c r="J663" i="4" s="1"/>
  <c r="Q660" i="4"/>
  <c r="P660" i="4"/>
  <c r="O660" i="4"/>
  <c r="N660" i="4"/>
  <c r="L660" i="4"/>
  <c r="K660" i="4"/>
  <c r="J660" i="4"/>
  <c r="I660" i="4"/>
  <c r="H660" i="4"/>
  <c r="M660" i="4" s="1"/>
  <c r="Q659" i="4"/>
  <c r="P659" i="4"/>
  <c r="O659" i="4"/>
  <c r="N659" i="4"/>
  <c r="L659" i="4"/>
  <c r="K659" i="4"/>
  <c r="J659" i="4"/>
  <c r="I659" i="4"/>
  <c r="H659" i="4"/>
  <c r="M659" i="4" s="1"/>
  <c r="Q658" i="4"/>
  <c r="P658" i="4"/>
  <c r="O658" i="4"/>
  <c r="N658" i="4"/>
  <c r="L658" i="4"/>
  <c r="K658" i="4"/>
  <c r="J658" i="4"/>
  <c r="I658" i="4"/>
  <c r="H658" i="4"/>
  <c r="M658" i="4" s="1"/>
  <c r="Q654" i="4"/>
  <c r="P654" i="4"/>
  <c r="O654" i="4"/>
  <c r="N654" i="4"/>
  <c r="M654" i="4"/>
  <c r="L654" i="4"/>
  <c r="K654" i="4"/>
  <c r="I654" i="4"/>
  <c r="H654" i="4"/>
  <c r="J654" i="4" s="1"/>
  <c r="Q651" i="4"/>
  <c r="P651" i="4"/>
  <c r="O651" i="4"/>
  <c r="N651" i="4"/>
  <c r="L651" i="4"/>
  <c r="K651" i="4"/>
  <c r="J651" i="4"/>
  <c r="I651" i="4"/>
  <c r="H651" i="4"/>
  <c r="M651" i="4" s="1"/>
  <c r="Q650" i="4"/>
  <c r="P650" i="4"/>
  <c r="O650" i="4"/>
  <c r="N650" i="4"/>
  <c r="L650" i="4"/>
  <c r="K650" i="4"/>
  <c r="J650" i="4"/>
  <c r="I650" i="4"/>
  <c r="H650" i="4"/>
  <c r="M650" i="4" s="1"/>
  <c r="Q649" i="4"/>
  <c r="P649" i="4"/>
  <c r="O649" i="4"/>
  <c r="N649" i="4"/>
  <c r="L649" i="4"/>
  <c r="K649" i="4"/>
  <c r="J649" i="4"/>
  <c r="I649" i="4"/>
  <c r="H649" i="4"/>
  <c r="M649" i="4" s="1"/>
  <c r="Q645" i="4"/>
  <c r="P645" i="4"/>
  <c r="O645" i="4"/>
  <c r="N645" i="4"/>
  <c r="M645" i="4"/>
  <c r="L645" i="4"/>
  <c r="K645" i="4"/>
  <c r="I645" i="4"/>
  <c r="H645" i="4"/>
  <c r="J645" i="4" s="1"/>
  <c r="Q688" i="4"/>
  <c r="P688" i="4"/>
  <c r="O688" i="4"/>
  <c r="N688" i="4"/>
  <c r="M688" i="4"/>
  <c r="K688" i="4"/>
  <c r="J688" i="4"/>
  <c r="I688" i="4"/>
  <c r="H688" i="4"/>
  <c r="L688" i="4" s="1"/>
  <c r="Q687" i="4"/>
  <c r="P687" i="4"/>
  <c r="O687" i="4"/>
  <c r="N687" i="4"/>
  <c r="M687" i="4"/>
  <c r="K687" i="4"/>
  <c r="J687" i="4"/>
  <c r="I687" i="4"/>
  <c r="H687" i="4"/>
  <c r="L687" i="4" s="1"/>
  <c r="Q686" i="4"/>
  <c r="P686" i="4"/>
  <c r="O686" i="4"/>
  <c r="N686" i="4"/>
  <c r="M686" i="4"/>
  <c r="K686" i="4"/>
  <c r="J686" i="4"/>
  <c r="I686" i="4"/>
  <c r="H686" i="4"/>
  <c r="L686" i="4" s="1"/>
  <c r="Q685" i="4"/>
  <c r="P685" i="4"/>
  <c r="O685" i="4"/>
  <c r="N685" i="4"/>
  <c r="M685" i="4"/>
  <c r="L685" i="4"/>
  <c r="K685" i="4"/>
  <c r="I685" i="4"/>
  <c r="H685" i="4"/>
  <c r="J685" i="4" s="1"/>
  <c r="Q682" i="4"/>
  <c r="P682" i="4"/>
  <c r="O682" i="4"/>
  <c r="N682" i="4"/>
  <c r="M682" i="4"/>
  <c r="L682" i="4"/>
  <c r="K682" i="4"/>
  <c r="J682" i="4"/>
  <c r="I682" i="4"/>
  <c r="H682" i="4"/>
  <c r="Q681" i="4"/>
  <c r="P681" i="4"/>
  <c r="O681" i="4"/>
  <c r="N681" i="4"/>
  <c r="M681" i="4"/>
  <c r="K681" i="4"/>
  <c r="J681" i="4"/>
  <c r="I681" i="4"/>
  <c r="H681" i="4"/>
  <c r="L681" i="4" s="1"/>
  <c r="Q680" i="4"/>
  <c r="P680" i="4"/>
  <c r="O680" i="4"/>
  <c r="N680" i="4"/>
  <c r="M680" i="4"/>
  <c r="K680" i="4"/>
  <c r="J680" i="4"/>
  <c r="I680" i="4"/>
  <c r="H680" i="4"/>
  <c r="L680" i="4" s="1"/>
  <c r="Q679" i="4"/>
  <c r="P679" i="4"/>
  <c r="O679" i="4"/>
  <c r="N679" i="4"/>
  <c r="M679" i="4"/>
  <c r="K679" i="4"/>
  <c r="J679" i="4"/>
  <c r="I679" i="4"/>
  <c r="H679" i="4"/>
  <c r="L679" i="4" s="1"/>
  <c r="Q678" i="4"/>
  <c r="P678" i="4"/>
  <c r="O678" i="4"/>
  <c r="N678" i="4"/>
  <c r="M678" i="4"/>
  <c r="L678" i="4"/>
  <c r="K678" i="4"/>
  <c r="I678" i="4"/>
  <c r="H678" i="4"/>
  <c r="J678" i="4" s="1"/>
  <c r="Q693" i="4"/>
  <c r="P693" i="4"/>
  <c r="O693" i="4"/>
  <c r="N693" i="4"/>
  <c r="M693" i="4"/>
  <c r="K693" i="4"/>
  <c r="J693" i="4"/>
  <c r="I693" i="4"/>
  <c r="H693" i="4"/>
  <c r="L693" i="4" s="1"/>
  <c r="Q692" i="4"/>
  <c r="P692" i="4"/>
  <c r="O692" i="4"/>
  <c r="N692" i="4"/>
  <c r="M692" i="4"/>
  <c r="K692" i="4"/>
  <c r="J692" i="4"/>
  <c r="I692" i="4"/>
  <c r="H692" i="4"/>
  <c r="L692" i="4" s="1"/>
  <c r="Q691" i="4"/>
  <c r="P691" i="4"/>
  <c r="O691" i="4"/>
  <c r="N691" i="4"/>
  <c r="M691" i="4"/>
  <c r="L691" i="4"/>
  <c r="K691" i="4"/>
  <c r="I691" i="4"/>
  <c r="H691" i="4"/>
  <c r="J691" i="4" s="1"/>
  <c r="Q287" i="4"/>
  <c r="P287" i="4"/>
  <c r="O287" i="4"/>
  <c r="N287" i="4"/>
  <c r="L287" i="4"/>
  <c r="K287" i="4"/>
  <c r="J287" i="4"/>
  <c r="I287" i="4"/>
  <c r="H287" i="4"/>
  <c r="M287" i="4" s="1"/>
  <c r="Q286" i="4"/>
  <c r="P286" i="4"/>
  <c r="O286" i="4"/>
  <c r="N286" i="4"/>
  <c r="L286" i="4"/>
  <c r="K286" i="4"/>
  <c r="J286" i="4"/>
  <c r="I286" i="4"/>
  <c r="H286" i="4"/>
  <c r="M286" i="4" s="1"/>
  <c r="Q285" i="4"/>
  <c r="P285" i="4"/>
  <c r="O285" i="4"/>
  <c r="N285" i="4"/>
  <c r="L285" i="4"/>
  <c r="K285" i="4"/>
  <c r="J285" i="4"/>
  <c r="I285" i="4"/>
  <c r="H285" i="4"/>
  <c r="M285" i="4" s="1"/>
  <c r="Q284" i="4"/>
  <c r="P284" i="4"/>
  <c r="O284" i="4"/>
  <c r="N284" i="4"/>
  <c r="M284" i="4"/>
  <c r="K284" i="4"/>
  <c r="J284" i="4"/>
  <c r="I284" i="4"/>
  <c r="H284" i="4"/>
  <c r="L284" i="4" s="1"/>
  <c r="Q289" i="4"/>
  <c r="P289" i="4"/>
  <c r="O289" i="4"/>
  <c r="M289" i="4"/>
  <c r="L289" i="4"/>
  <c r="K289" i="4"/>
  <c r="J289" i="4"/>
  <c r="I289" i="4"/>
  <c r="H289" i="4"/>
  <c r="N289" i="4" s="1"/>
  <c r="Q288" i="4"/>
  <c r="P288" i="4"/>
  <c r="O288" i="4"/>
  <c r="N288" i="4"/>
  <c r="L288" i="4"/>
  <c r="K288" i="4"/>
  <c r="J288" i="4"/>
  <c r="I288" i="4"/>
  <c r="H288" i="4"/>
  <c r="M288" i="4" s="1"/>
  <c r="Q266" i="4"/>
  <c r="P266" i="4"/>
  <c r="O266" i="4"/>
  <c r="N266" i="4"/>
  <c r="M266" i="4"/>
  <c r="K266" i="4"/>
  <c r="J266" i="4"/>
  <c r="I266" i="4"/>
  <c r="H266" i="4"/>
  <c r="L266" i="4" s="1"/>
  <c r="Q265" i="4"/>
  <c r="P265" i="4"/>
  <c r="O265" i="4"/>
  <c r="N265" i="4"/>
  <c r="M265" i="4"/>
  <c r="K265" i="4"/>
  <c r="J265" i="4"/>
  <c r="I265" i="4"/>
  <c r="H265" i="4"/>
  <c r="L265" i="4" s="1"/>
  <c r="Q264" i="4"/>
  <c r="P264" i="4"/>
  <c r="O264" i="4"/>
  <c r="N264" i="4"/>
  <c r="M264" i="4"/>
  <c r="K264" i="4"/>
  <c r="J264" i="4"/>
  <c r="I264" i="4"/>
  <c r="H264" i="4"/>
  <c r="L264" i="4" s="1"/>
  <c r="Q263" i="4"/>
  <c r="P263" i="4"/>
  <c r="O263" i="4"/>
  <c r="N263" i="4"/>
  <c r="M263" i="4"/>
  <c r="K263" i="4"/>
  <c r="J263" i="4"/>
  <c r="I263" i="4"/>
  <c r="H263" i="4"/>
  <c r="L263" i="4" s="1"/>
  <c r="Q268" i="4"/>
  <c r="P268" i="4"/>
  <c r="O268" i="4"/>
  <c r="N268" i="4"/>
  <c r="L268" i="4"/>
  <c r="K268" i="4"/>
  <c r="J268" i="4"/>
  <c r="I268" i="4"/>
  <c r="H268" i="4"/>
  <c r="M268" i="4" s="1"/>
  <c r="Q267" i="4"/>
  <c r="P267" i="4"/>
  <c r="O267" i="4"/>
  <c r="N267" i="4"/>
  <c r="L267" i="4"/>
  <c r="K267" i="4"/>
  <c r="J267" i="4"/>
  <c r="I267" i="4"/>
  <c r="H267" i="4"/>
  <c r="M267" i="4" s="1"/>
  <c r="Q256" i="4"/>
  <c r="P256" i="4"/>
  <c r="O256" i="4"/>
  <c r="N256" i="4"/>
  <c r="M256" i="4"/>
  <c r="K256" i="4"/>
  <c r="J256" i="4"/>
  <c r="I256" i="4"/>
  <c r="H256" i="4"/>
  <c r="L256" i="4" s="1"/>
  <c r="Q255" i="4"/>
  <c r="P255" i="4"/>
  <c r="O255" i="4"/>
  <c r="N255" i="4"/>
  <c r="M255" i="4"/>
  <c r="K255" i="4"/>
  <c r="J255" i="4"/>
  <c r="I255" i="4"/>
  <c r="H255" i="4"/>
  <c r="L255" i="4" s="1"/>
  <c r="Q254" i="4"/>
  <c r="P254" i="4"/>
  <c r="O254" i="4"/>
  <c r="N254" i="4"/>
  <c r="M254" i="4"/>
  <c r="K254" i="4"/>
  <c r="J254" i="4"/>
  <c r="I254" i="4"/>
  <c r="H254" i="4"/>
  <c r="L254" i="4" s="1"/>
  <c r="Q253" i="4"/>
  <c r="P253" i="4"/>
  <c r="O253" i="4"/>
  <c r="N253" i="4"/>
  <c r="M253" i="4"/>
  <c r="K253" i="4"/>
  <c r="J253" i="4"/>
  <c r="I253" i="4"/>
  <c r="H253" i="4"/>
  <c r="L253" i="4" s="1"/>
  <c r="Q258" i="4"/>
  <c r="P258" i="4"/>
  <c r="O258" i="4"/>
  <c r="N258" i="4"/>
  <c r="L258" i="4"/>
  <c r="K258" i="4"/>
  <c r="J258" i="4"/>
  <c r="I258" i="4"/>
  <c r="H258" i="4"/>
  <c r="M258" i="4" s="1"/>
  <c r="Q257" i="4"/>
  <c r="P257" i="4"/>
  <c r="O257" i="4"/>
  <c r="N257" i="4"/>
  <c r="L257" i="4"/>
  <c r="K257" i="4"/>
  <c r="J257" i="4"/>
  <c r="I257" i="4"/>
  <c r="H257" i="4"/>
  <c r="M257" i="4" s="1"/>
  <c r="Q259" i="4"/>
  <c r="P259" i="4"/>
  <c r="O259" i="4"/>
  <c r="N259" i="4"/>
  <c r="L259" i="4"/>
  <c r="K259" i="4"/>
  <c r="J259" i="4"/>
  <c r="I259" i="4"/>
  <c r="H259" i="4"/>
  <c r="M259" i="4" s="1"/>
  <c r="Q239" i="4"/>
  <c r="P239" i="4"/>
  <c r="O239" i="4"/>
  <c r="N239" i="4"/>
  <c r="M239" i="4"/>
  <c r="K239" i="4"/>
  <c r="J239" i="4"/>
  <c r="I239" i="4"/>
  <c r="H239" i="4"/>
  <c r="L239" i="4" s="1"/>
  <c r="Q238" i="4"/>
  <c r="P238" i="4"/>
  <c r="O238" i="4"/>
  <c r="N238" i="4"/>
  <c r="M238" i="4"/>
  <c r="K238" i="4"/>
  <c r="J238" i="4"/>
  <c r="I238" i="4"/>
  <c r="H238" i="4"/>
  <c r="L238" i="4" s="1"/>
  <c r="Q229" i="4"/>
  <c r="P229" i="4"/>
  <c r="O229" i="4"/>
  <c r="N229" i="4"/>
  <c r="M229" i="4"/>
  <c r="K229" i="4"/>
  <c r="J229" i="4"/>
  <c r="I229" i="4"/>
  <c r="H229" i="4"/>
  <c r="L229" i="4" s="1"/>
  <c r="Q228" i="4"/>
  <c r="P228" i="4"/>
  <c r="O228" i="4"/>
  <c r="N228" i="4"/>
  <c r="M228" i="4"/>
  <c r="K228" i="4"/>
  <c r="J228" i="4"/>
  <c r="I228" i="4"/>
  <c r="H228" i="4"/>
  <c r="L228" i="4" s="1"/>
  <c r="Q231" i="4"/>
  <c r="P231" i="4"/>
  <c r="O231" i="4"/>
  <c r="N231" i="4"/>
  <c r="M231" i="4"/>
  <c r="K231" i="4"/>
  <c r="J231" i="4"/>
  <c r="I231" i="4"/>
  <c r="H231" i="4"/>
  <c r="L231" i="4" s="1"/>
  <c r="Q230" i="4"/>
  <c r="P230" i="4"/>
  <c r="O230" i="4"/>
  <c r="N230" i="4"/>
  <c r="M230" i="4"/>
  <c r="K230" i="4"/>
  <c r="J230" i="4"/>
  <c r="I230" i="4"/>
  <c r="H230" i="4"/>
  <c r="L230" i="4" s="1"/>
  <c r="Q221" i="4"/>
  <c r="P221" i="4"/>
  <c r="O221" i="4"/>
  <c r="N221" i="4"/>
  <c r="M221" i="4"/>
  <c r="K221" i="4"/>
  <c r="J221" i="4"/>
  <c r="I221" i="4"/>
  <c r="H221" i="4"/>
  <c r="L221" i="4" s="1"/>
  <c r="Q222" i="4"/>
  <c r="P222" i="4"/>
  <c r="O222" i="4"/>
  <c r="N222" i="4"/>
  <c r="M222" i="4"/>
  <c r="K222" i="4"/>
  <c r="J222" i="4"/>
  <c r="I222" i="4"/>
  <c r="H222" i="4"/>
  <c r="L222" i="4" s="1"/>
  <c r="O82" i="11"/>
  <c r="N82" i="11"/>
  <c r="M82" i="11"/>
  <c r="L82" i="11"/>
  <c r="K82" i="11"/>
  <c r="J82" i="11"/>
  <c r="P82" i="11" s="1"/>
  <c r="P81" i="11"/>
  <c r="O81" i="11"/>
  <c r="N81" i="11"/>
  <c r="L81" i="11"/>
  <c r="K81" i="11"/>
  <c r="J81" i="11"/>
  <c r="M81" i="11" s="1"/>
  <c r="P80" i="11"/>
  <c r="O80" i="11"/>
  <c r="N80" i="11"/>
  <c r="L80" i="11"/>
  <c r="K80" i="11"/>
  <c r="J80" i="11"/>
  <c r="M80" i="11" s="1"/>
  <c r="P79" i="11"/>
  <c r="O79" i="11"/>
  <c r="N79" i="11"/>
  <c r="K79" i="11"/>
  <c r="J79" i="11"/>
  <c r="M79" i="11" s="1"/>
  <c r="P78" i="11"/>
  <c r="O78" i="11"/>
  <c r="N78" i="11"/>
  <c r="M78" i="11"/>
  <c r="K78" i="11"/>
  <c r="J78" i="11"/>
  <c r="L78" i="11" s="1"/>
  <c r="Q2192" i="21"/>
  <c r="Q2191" i="21"/>
  <c r="Q2190" i="21"/>
  <c r="Q2189" i="21"/>
  <c r="Q2188" i="21"/>
  <c r="Q2187" i="21"/>
  <c r="Q2186" i="21"/>
  <c r="Q2185" i="21"/>
  <c r="Q2172" i="21"/>
  <c r="Q2171" i="21"/>
  <c r="Q2170" i="21"/>
  <c r="Q2169" i="21"/>
  <c r="Q2168" i="21"/>
  <c r="Q2167" i="21"/>
  <c r="Q2166" i="21"/>
  <c r="Q2165" i="21"/>
  <c r="Q2164" i="21"/>
  <c r="Q2163" i="21"/>
  <c r="Q2162" i="21"/>
  <c r="Q2161" i="21"/>
  <c r="Q813" i="21"/>
  <c r="Q812" i="21"/>
  <c r="Q811" i="21"/>
  <c r="Q810" i="21"/>
  <c r="Q809" i="21"/>
  <c r="Q808" i="21"/>
  <c r="Q807" i="21"/>
  <c r="Q806" i="21"/>
  <c r="Q805" i="21"/>
  <c r="Q804" i="21"/>
  <c r="Q803" i="21"/>
  <c r="Q802" i="21"/>
  <c r="Q801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69" i="21"/>
  <c r="Q768" i="21"/>
  <c r="Q767" i="21"/>
  <c r="Q766" i="21"/>
  <c r="Q765" i="21"/>
  <c r="Q764" i="21"/>
  <c r="Q763" i="21"/>
  <c r="Q762" i="21"/>
  <c r="Q760" i="21"/>
  <c r="Q759" i="21"/>
  <c r="Q758" i="21"/>
  <c r="Q756" i="21"/>
  <c r="Q755" i="21"/>
  <c r="Q754" i="21"/>
  <c r="Q752" i="21"/>
  <c r="Q751" i="21"/>
  <c r="Q750" i="21"/>
  <c r="Q748" i="21"/>
  <c r="Q747" i="21"/>
  <c r="Q746" i="21"/>
  <c r="Q744" i="21"/>
  <c r="Q743" i="21"/>
  <c r="Q742" i="21"/>
  <c r="Q740" i="21"/>
  <c r="Q739" i="21"/>
  <c r="Q738" i="21"/>
  <c r="Q736" i="21"/>
  <c r="Q735" i="21"/>
  <c r="Q734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709" i="21"/>
  <c r="Q708" i="21"/>
  <c r="Q707" i="21"/>
  <c r="Q706" i="21"/>
  <c r="Q704" i="21"/>
  <c r="Q703" i="21"/>
  <c r="Q702" i="21"/>
  <c r="Q701" i="21"/>
  <c r="Q700" i="21"/>
  <c r="Q699" i="21"/>
  <c r="Q698" i="21"/>
  <c r="Q697" i="21"/>
  <c r="Q696" i="21"/>
  <c r="Q695" i="21"/>
  <c r="Q694" i="21"/>
  <c r="Q693" i="21"/>
  <c r="Q692" i="21"/>
  <c r="Q691" i="21"/>
  <c r="Q690" i="21"/>
  <c r="Q689" i="21"/>
  <c r="Q688" i="21"/>
  <c r="Q687" i="21"/>
  <c r="Q686" i="21"/>
  <c r="Q685" i="21"/>
  <c r="Q684" i="21"/>
  <c r="Q683" i="21"/>
  <c r="Q682" i="21"/>
  <c r="Q681" i="21"/>
  <c r="Q680" i="21"/>
  <c r="Q679" i="21"/>
  <c r="Q676" i="21"/>
  <c r="Q675" i="21"/>
  <c r="Q674" i="21"/>
  <c r="Q673" i="21"/>
  <c r="Q672" i="21"/>
  <c r="Q671" i="21"/>
  <c r="Q670" i="21"/>
  <c r="Q669" i="21"/>
  <c r="Q668" i="21"/>
  <c r="Q667" i="21"/>
  <c r="Q666" i="21"/>
  <c r="Q663" i="21"/>
  <c r="Q662" i="21"/>
  <c r="Q661" i="21"/>
  <c r="Q660" i="21"/>
  <c r="Q659" i="21"/>
  <c r="Q658" i="21"/>
  <c r="Q657" i="21"/>
  <c r="Q656" i="21"/>
  <c r="Q655" i="21"/>
  <c r="Q654" i="21"/>
  <c r="Q653" i="21"/>
  <c r="Q651" i="21"/>
  <c r="Q648" i="21"/>
  <c r="Q647" i="21"/>
  <c r="Q646" i="21"/>
  <c r="Q645" i="21"/>
  <c r="Q644" i="21"/>
  <c r="Q643" i="21"/>
  <c r="Q642" i="21"/>
  <c r="Q641" i="21"/>
  <c r="Q640" i="21"/>
  <c r="Q639" i="21"/>
  <c r="Q638" i="21"/>
  <c r="Q637" i="21"/>
  <c r="Q636" i="21"/>
  <c r="Q635" i="21"/>
  <c r="Q634" i="21"/>
  <c r="Q633" i="21"/>
  <c r="Q632" i="21"/>
  <c r="Q631" i="21"/>
  <c r="Q630" i="21"/>
  <c r="Q629" i="21"/>
  <c r="Q628" i="21"/>
  <c r="Q627" i="21"/>
  <c r="Q626" i="21"/>
  <c r="Q625" i="21"/>
  <c r="Q624" i="21"/>
  <c r="Q623" i="21"/>
  <c r="Q622" i="21"/>
  <c r="Q621" i="21"/>
  <c r="Q620" i="21"/>
  <c r="Q619" i="21"/>
  <c r="Q618" i="21"/>
  <c r="Q617" i="21"/>
  <c r="Q616" i="21"/>
  <c r="Q615" i="21"/>
  <c r="Q614" i="21"/>
  <c r="Q613" i="21"/>
  <c r="Q612" i="21"/>
  <c r="Q611" i="21"/>
  <c r="Q610" i="21"/>
  <c r="Q609" i="21"/>
  <c r="Q608" i="21"/>
  <c r="Q607" i="21"/>
  <c r="Q606" i="21"/>
  <c r="Q605" i="21"/>
  <c r="Q604" i="21"/>
  <c r="Q603" i="21"/>
  <c r="Q602" i="21"/>
  <c r="Q601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6" i="21"/>
  <c r="Q585" i="21"/>
  <c r="Q584" i="21"/>
  <c r="Q583" i="21"/>
  <c r="Q582" i="21"/>
  <c r="Q581" i="21"/>
  <c r="Q580" i="21"/>
  <c r="Q579" i="21"/>
  <c r="Q578" i="21"/>
  <c r="Q577" i="21"/>
  <c r="Q576" i="21"/>
  <c r="Q575" i="21"/>
  <c r="Q574" i="21"/>
  <c r="Q573" i="21"/>
  <c r="Q572" i="21"/>
  <c r="Q571" i="21"/>
  <c r="Q570" i="21"/>
  <c r="Q569" i="21"/>
  <c r="Q568" i="21"/>
  <c r="Q567" i="21"/>
  <c r="Q566" i="21"/>
  <c r="Q565" i="21"/>
  <c r="Q564" i="21"/>
  <c r="Q563" i="21"/>
  <c r="Q562" i="21"/>
  <c r="Q561" i="21"/>
  <c r="Q560" i="21"/>
  <c r="Q559" i="21"/>
  <c r="Q558" i="21"/>
  <c r="Q557" i="21"/>
  <c r="Q556" i="21"/>
  <c r="Q555" i="21"/>
  <c r="Q554" i="21"/>
  <c r="Q553" i="21"/>
  <c r="Q552" i="21"/>
  <c r="Q551" i="21"/>
  <c r="Q550" i="21"/>
  <c r="Q549" i="21"/>
  <c r="Q548" i="21"/>
  <c r="Q547" i="21"/>
  <c r="Q546" i="21"/>
  <c r="Q545" i="21"/>
  <c r="Q544" i="21"/>
  <c r="Q543" i="21"/>
  <c r="Q542" i="21"/>
  <c r="Q541" i="21"/>
  <c r="Q540" i="21"/>
  <c r="Q539" i="21"/>
  <c r="Q538" i="21"/>
  <c r="Q537" i="21"/>
  <c r="Q536" i="21"/>
  <c r="Q535" i="21"/>
  <c r="Q534" i="21"/>
  <c r="Q533" i="21"/>
  <c r="Q532" i="21"/>
  <c r="Q531" i="21"/>
  <c r="Q530" i="21"/>
  <c r="Q529" i="21"/>
  <c r="Q528" i="21"/>
  <c r="Q527" i="21"/>
  <c r="Q526" i="21"/>
  <c r="Q525" i="21"/>
  <c r="Q524" i="21"/>
  <c r="Q523" i="21"/>
  <c r="Q522" i="21"/>
  <c r="Q521" i="21"/>
  <c r="Q520" i="21"/>
  <c r="Q519" i="21"/>
  <c r="Q518" i="21"/>
  <c r="Q517" i="21"/>
  <c r="Q515" i="21"/>
  <c r="Q514" i="21"/>
  <c r="Q513" i="21"/>
  <c r="Q511" i="21"/>
  <c r="Q510" i="21"/>
  <c r="Q509" i="21"/>
  <c r="Q507" i="21"/>
  <c r="Q506" i="21"/>
  <c r="Q505" i="21"/>
  <c r="Q504" i="21"/>
  <c r="Q503" i="21"/>
  <c r="Q502" i="21"/>
  <c r="Q501" i="21"/>
  <c r="Q500" i="21"/>
  <c r="Q499" i="21"/>
  <c r="Q498" i="21"/>
  <c r="Q497" i="21"/>
  <c r="Q496" i="21"/>
  <c r="Q495" i="21"/>
  <c r="Q494" i="21"/>
  <c r="Q493" i="21"/>
  <c r="Q490" i="21"/>
  <c r="Q489" i="21"/>
  <c r="Q488" i="21"/>
  <c r="Q487" i="21"/>
  <c r="Q486" i="21"/>
  <c r="Q485" i="21"/>
  <c r="Q484" i="21"/>
  <c r="Q483" i="21"/>
  <c r="Q482" i="21"/>
  <c r="Q481" i="21"/>
  <c r="Q480" i="21"/>
  <c r="Q479" i="21"/>
  <c r="Q478" i="21"/>
  <c r="Q477" i="21"/>
  <c r="Q476" i="21"/>
  <c r="Q474" i="21"/>
  <c r="Q473" i="21"/>
  <c r="Q472" i="21"/>
  <c r="Q471" i="21"/>
  <c r="Q470" i="21"/>
  <c r="Q469" i="21"/>
  <c r="Q468" i="21"/>
  <c r="Q467" i="21"/>
  <c r="Q466" i="21"/>
  <c r="Q465" i="21"/>
  <c r="Q464" i="21"/>
  <c r="Q463" i="21"/>
  <c r="Q462" i="21"/>
  <c r="Q461" i="21"/>
  <c r="Q460" i="21"/>
  <c r="Q459" i="21"/>
  <c r="Q458" i="21"/>
  <c r="Q457" i="21"/>
  <c r="Q456" i="21"/>
  <c r="Q455" i="21"/>
  <c r="Q454" i="21"/>
  <c r="Q453" i="21"/>
  <c r="Q452" i="21"/>
  <c r="Q451" i="21"/>
  <c r="Q450" i="21"/>
  <c r="Q449" i="21"/>
  <c r="Q448" i="21"/>
  <c r="Q447" i="21"/>
  <c r="Q446" i="21"/>
  <c r="Q445" i="21"/>
  <c r="Q444" i="21"/>
  <c r="Q443" i="21"/>
  <c r="Q442" i="21"/>
  <c r="Q441" i="21"/>
  <c r="Q439" i="21"/>
  <c r="Q438" i="21"/>
  <c r="Q437" i="21"/>
  <c r="Q435" i="21"/>
  <c r="Q434" i="21"/>
  <c r="Q433" i="21"/>
  <c r="Q431" i="21"/>
  <c r="Q430" i="21"/>
  <c r="Q429" i="21"/>
  <c r="Q428" i="21"/>
  <c r="Q427" i="21"/>
  <c r="Q426" i="21"/>
  <c r="Q425" i="21"/>
  <c r="Q424" i="21"/>
  <c r="Q423" i="21"/>
  <c r="Q422" i="21"/>
  <c r="Q421" i="21"/>
  <c r="Q420" i="21"/>
  <c r="Q419" i="21"/>
  <c r="Q418" i="21"/>
  <c r="Q417" i="21"/>
  <c r="Q416" i="21"/>
  <c r="Q415" i="21"/>
  <c r="Q414" i="21"/>
  <c r="Q413" i="21"/>
  <c r="Q412" i="21"/>
  <c r="Q411" i="21"/>
  <c r="Q410" i="21"/>
  <c r="Q409" i="21"/>
  <c r="Q408" i="21"/>
  <c r="Q407" i="21"/>
  <c r="Q406" i="21"/>
  <c r="Q405" i="21"/>
  <c r="Q404" i="21"/>
  <c r="Q403" i="21"/>
  <c r="Q402" i="21"/>
  <c r="Q401" i="21"/>
  <c r="Q400" i="21"/>
  <c r="Q399" i="21"/>
  <c r="Q398" i="21"/>
  <c r="Q397" i="21"/>
  <c r="Q396" i="21"/>
  <c r="Q395" i="21"/>
  <c r="Q393" i="21"/>
  <c r="Q392" i="21"/>
  <c r="Q391" i="21"/>
  <c r="Q389" i="21"/>
  <c r="Q388" i="21"/>
  <c r="Q387" i="21"/>
  <c r="Q385" i="21"/>
  <c r="Q384" i="21"/>
  <c r="Q383" i="21"/>
  <c r="Q382" i="21"/>
  <c r="Q381" i="21"/>
  <c r="Q380" i="21"/>
  <c r="Q374" i="21"/>
  <c r="Q373" i="21"/>
  <c r="Q372" i="21"/>
  <c r="Q371" i="21"/>
  <c r="Q370" i="21"/>
  <c r="Q369" i="21"/>
  <c r="Q368" i="21"/>
  <c r="Q367" i="21"/>
  <c r="Q366" i="21"/>
  <c r="Q365" i="21"/>
  <c r="Q362" i="21"/>
  <c r="Q361" i="21"/>
  <c r="Q360" i="21"/>
  <c r="Q359" i="21"/>
  <c r="Q358" i="21"/>
  <c r="Q357" i="21"/>
  <c r="Q356" i="21"/>
  <c r="Q355" i="21"/>
  <c r="Q354" i="21"/>
  <c r="Q353" i="21"/>
  <c r="Q352" i="21"/>
  <c r="Q351" i="21"/>
  <c r="Q350" i="21"/>
  <c r="Q349" i="21"/>
  <c r="Q348" i="21"/>
  <c r="Q347" i="21"/>
  <c r="Q346" i="21"/>
  <c r="Q345" i="21"/>
  <c r="Q344" i="21"/>
  <c r="Q343" i="21"/>
  <c r="Q341" i="21"/>
  <c r="Q340" i="21"/>
  <c r="Q339" i="21"/>
  <c r="Q337" i="21"/>
  <c r="Q336" i="21"/>
  <c r="Q335" i="21"/>
  <c r="Q333" i="2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5" i="21"/>
  <c r="Q244" i="21"/>
  <c r="Q243" i="21"/>
  <c r="Q242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9" i="21"/>
  <c r="Q208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P77" i="11"/>
  <c r="O77" i="11"/>
  <c r="N77" i="11"/>
  <c r="L77" i="11"/>
  <c r="K77" i="11"/>
  <c r="J77" i="11"/>
  <c r="M77" i="11" s="1"/>
  <c r="P76" i="11"/>
  <c r="O76" i="11"/>
  <c r="N76" i="11"/>
  <c r="L76" i="11"/>
  <c r="K76" i="11"/>
  <c r="J76" i="11"/>
  <c r="M76" i="11" s="1"/>
  <c r="P75" i="11"/>
  <c r="O75" i="11"/>
  <c r="N75" i="11"/>
  <c r="K75" i="11"/>
  <c r="J75" i="11"/>
  <c r="L75" i="11" s="1"/>
  <c r="G74" i="11"/>
  <c r="J74" i="11" s="1"/>
  <c r="P74" i="11" s="1"/>
  <c r="G73" i="11"/>
  <c r="J73" i="11" s="1"/>
  <c r="M73" i="11" s="1"/>
  <c r="G72" i="11"/>
  <c r="J72" i="11" s="1"/>
  <c r="M72" i="11" s="1"/>
  <c r="G71" i="11"/>
  <c r="J71" i="11" s="1"/>
  <c r="M71" i="11" s="1"/>
  <c r="G70" i="11"/>
  <c r="J70" i="11" s="1"/>
  <c r="L70" i="11" s="1"/>
  <c r="O74" i="11"/>
  <c r="N74" i="11"/>
  <c r="M74" i="11"/>
  <c r="L74" i="11"/>
  <c r="K74" i="11"/>
  <c r="P73" i="11"/>
  <c r="O73" i="11"/>
  <c r="N73" i="11"/>
  <c r="L73" i="11"/>
  <c r="K73" i="11"/>
  <c r="P72" i="11"/>
  <c r="O72" i="11"/>
  <c r="N72" i="11"/>
  <c r="L72" i="11"/>
  <c r="K72" i="11"/>
  <c r="P71" i="11"/>
  <c r="O71" i="11"/>
  <c r="N71" i="11"/>
  <c r="L71" i="11"/>
  <c r="K71" i="11"/>
  <c r="P70" i="11"/>
  <c r="O70" i="11"/>
  <c r="N70" i="11"/>
  <c r="M70" i="11"/>
  <c r="K70" i="11"/>
  <c r="G331" i="21"/>
  <c r="G332" i="21"/>
  <c r="G333" i="21"/>
  <c r="G334" i="21"/>
  <c r="G65" i="11"/>
  <c r="J65" i="11" s="1"/>
  <c r="L65" i="11" s="1"/>
  <c r="G66" i="11"/>
  <c r="J66" i="11" s="1"/>
  <c r="M66" i="11" s="1"/>
  <c r="G67" i="11"/>
  <c r="J67" i="11" s="1"/>
  <c r="M67" i="11" s="1"/>
  <c r="G68" i="11"/>
  <c r="G69" i="11"/>
  <c r="J69" i="11" s="1"/>
  <c r="P69" i="11" s="1"/>
  <c r="O69" i="11"/>
  <c r="N69" i="11"/>
  <c r="M69" i="11"/>
  <c r="L69" i="11"/>
  <c r="K69" i="11"/>
  <c r="P68" i="11"/>
  <c r="O68" i="11"/>
  <c r="N68" i="11"/>
  <c r="L68" i="11"/>
  <c r="K68" i="11"/>
  <c r="J68" i="11"/>
  <c r="M68" i="11" s="1"/>
  <c r="P67" i="11"/>
  <c r="O67" i="11"/>
  <c r="N67" i="11"/>
  <c r="L67" i="11"/>
  <c r="K67" i="11"/>
  <c r="P66" i="11"/>
  <c r="O66" i="11"/>
  <c r="N66" i="11"/>
  <c r="L66" i="11"/>
  <c r="K66" i="11"/>
  <c r="P65" i="11"/>
  <c r="O65" i="11"/>
  <c r="N65" i="11"/>
  <c r="M65" i="11"/>
  <c r="K65" i="11"/>
  <c r="P64" i="11"/>
  <c r="N64" i="11"/>
  <c r="M64" i="11"/>
  <c r="L64" i="11"/>
  <c r="K64" i="11"/>
  <c r="J64" i="11"/>
  <c r="O64" i="11" s="1"/>
  <c r="P63" i="11"/>
  <c r="O63" i="11"/>
  <c r="N63" i="11"/>
  <c r="L63" i="11"/>
  <c r="K63" i="11"/>
  <c r="J63" i="11"/>
  <c r="M63" i="11" s="1"/>
  <c r="P62" i="11"/>
  <c r="O62" i="11"/>
  <c r="N62" i="11"/>
  <c r="L62" i="11"/>
  <c r="K62" i="11"/>
  <c r="J62" i="11"/>
  <c r="M62" i="11" s="1"/>
  <c r="P61" i="11"/>
  <c r="O61" i="11"/>
  <c r="N61" i="11"/>
  <c r="L61" i="11"/>
  <c r="K61" i="11"/>
  <c r="J61" i="11"/>
  <c r="M61" i="11" s="1"/>
  <c r="P60" i="11"/>
  <c r="O60" i="11"/>
  <c r="N60" i="11"/>
  <c r="M60" i="11"/>
  <c r="J60" i="11"/>
  <c r="K60" i="11" s="1"/>
  <c r="G35" i="24"/>
  <c r="G34" i="24"/>
  <c r="E4023" i="4"/>
  <c r="E4024" i="4"/>
  <c r="E4025" i="4"/>
  <c r="G208" i="21"/>
  <c r="G207" i="21"/>
  <c r="G206" i="21"/>
  <c r="G205" i="21"/>
  <c r="G269" i="21"/>
  <c r="G268" i="21"/>
  <c r="G267" i="21"/>
  <c r="G266" i="21"/>
  <c r="G280" i="21"/>
  <c r="G281" i="21"/>
  <c r="G282" i="21"/>
  <c r="G283" i="21"/>
  <c r="G279" i="21"/>
  <c r="G278" i="21"/>
  <c r="G277" i="21"/>
  <c r="G276" i="21"/>
  <c r="G275" i="21"/>
  <c r="G274" i="21"/>
  <c r="G273" i="21"/>
  <c r="G272" i="21"/>
  <c r="G271" i="21"/>
  <c r="G270" i="21"/>
  <c r="G293" i="21"/>
  <c r="J293" i="21" s="1"/>
  <c r="P293" i="21" s="1"/>
  <c r="G292" i="21"/>
  <c r="J292" i="21" s="1"/>
  <c r="P292" i="21" s="1"/>
  <c r="G291" i="21"/>
  <c r="J291" i="21" s="1"/>
  <c r="P291" i="21" s="1"/>
  <c r="G290" i="21"/>
  <c r="J290" i="21" s="1"/>
  <c r="K290" i="21" s="1"/>
  <c r="G289" i="21"/>
  <c r="J289" i="21" s="1"/>
  <c r="K289" i="21" s="1"/>
  <c r="G288" i="21"/>
  <c r="J288" i="21" s="1"/>
  <c r="K288" i="21" s="1"/>
  <c r="G287" i="21"/>
  <c r="J287" i="21" s="1"/>
  <c r="P287" i="21" s="1"/>
  <c r="G286" i="21"/>
  <c r="J286" i="21" s="1"/>
  <c r="K286" i="21" s="1"/>
  <c r="G285" i="21"/>
  <c r="J285" i="21" s="1"/>
  <c r="K285" i="21" s="1"/>
  <c r="G284" i="21"/>
  <c r="J284" i="21" s="1"/>
  <c r="K284" i="21" s="1"/>
  <c r="O297" i="21"/>
  <c r="N297" i="21"/>
  <c r="M297" i="21"/>
  <c r="L297" i="21"/>
  <c r="K297" i="21"/>
  <c r="J297" i="21"/>
  <c r="P297" i="21" s="1"/>
  <c r="P296" i="21"/>
  <c r="O296" i="21"/>
  <c r="N296" i="21"/>
  <c r="M296" i="21"/>
  <c r="L296" i="21"/>
  <c r="J296" i="21"/>
  <c r="K296" i="21" s="1"/>
  <c r="P295" i="21"/>
  <c r="O295" i="21"/>
  <c r="N295" i="21"/>
  <c r="M295" i="21"/>
  <c r="L295" i="21"/>
  <c r="J295" i="21"/>
  <c r="K295" i="21" s="1"/>
  <c r="P294" i="21"/>
  <c r="O294" i="21"/>
  <c r="N294" i="21"/>
  <c r="M294" i="21"/>
  <c r="L294" i="21"/>
  <c r="J294" i="21"/>
  <c r="K294" i="21" s="1"/>
  <c r="O293" i="21"/>
  <c r="N293" i="21"/>
  <c r="M293" i="21"/>
  <c r="L293" i="21"/>
  <c r="K293" i="21"/>
  <c r="O292" i="21"/>
  <c r="N292" i="21"/>
  <c r="M292" i="21"/>
  <c r="L292" i="21"/>
  <c r="K292" i="21"/>
  <c r="O291" i="21"/>
  <c r="N291" i="21"/>
  <c r="M291" i="21"/>
  <c r="L291" i="21"/>
  <c r="K291" i="21"/>
  <c r="P290" i="21"/>
  <c r="O290" i="21"/>
  <c r="N290" i="21"/>
  <c r="M290" i="21"/>
  <c r="L290" i="21"/>
  <c r="P289" i="21"/>
  <c r="O289" i="21"/>
  <c r="N289" i="21"/>
  <c r="M289" i="21"/>
  <c r="L289" i="21"/>
  <c r="P288" i="21"/>
  <c r="O288" i="21"/>
  <c r="N288" i="21"/>
  <c r="M288" i="21"/>
  <c r="L288" i="21"/>
  <c r="O287" i="21"/>
  <c r="N287" i="21"/>
  <c r="M287" i="21"/>
  <c r="L287" i="21"/>
  <c r="K287" i="21"/>
  <c r="P286" i="21"/>
  <c r="O286" i="21"/>
  <c r="N286" i="21"/>
  <c r="M286" i="21"/>
  <c r="L286" i="21"/>
  <c r="P285" i="21"/>
  <c r="O285" i="21"/>
  <c r="N285" i="21"/>
  <c r="M285" i="21"/>
  <c r="L285" i="21"/>
  <c r="P284" i="21"/>
  <c r="O284" i="21"/>
  <c r="N284" i="21"/>
  <c r="M284" i="21"/>
  <c r="L284" i="21"/>
  <c r="G309" i="21"/>
  <c r="G308" i="21"/>
  <c r="G307" i="21"/>
  <c r="G306" i="21"/>
  <c r="G172" i="21"/>
  <c r="G173" i="21"/>
  <c r="G174" i="21"/>
  <c r="G171" i="21"/>
  <c r="I511" i="4" l="1"/>
  <c r="I516" i="4"/>
  <c r="I521" i="4"/>
  <c r="L79" i="11"/>
  <c r="J340" i="4"/>
  <c r="L345" i="4"/>
  <c r="N476" i="4"/>
  <c r="O445" i="4"/>
  <c r="Q550" i="4"/>
  <c r="I330" i="4"/>
  <c r="O362" i="4"/>
  <c r="K345" i="4"/>
  <c r="O371" i="4"/>
  <c r="Q400" i="4"/>
  <c r="N532" i="4"/>
  <c r="P371" i="4"/>
  <c r="J335" i="4"/>
  <c r="P455" i="4"/>
  <c r="Q532" i="4"/>
  <c r="M545" i="4"/>
  <c r="Q572" i="4"/>
  <c r="M320" i="4"/>
  <c r="M350" i="4"/>
  <c r="Q455" i="4"/>
  <c r="Q460" i="4"/>
  <c r="M466" i="4"/>
  <c r="K476" i="4"/>
  <c r="J415" i="4"/>
  <c r="I405" i="4"/>
  <c r="N354" i="4"/>
  <c r="Q316" i="4"/>
  <c r="I545" i="4"/>
  <c r="M316" i="4"/>
  <c r="I325" i="4"/>
  <c r="P335" i="4"/>
  <c r="Q386" i="4"/>
  <c r="P440" i="4"/>
  <c r="N445" i="4"/>
  <c r="P662" i="4"/>
  <c r="P602" i="4"/>
  <c r="L634" i="4"/>
  <c r="L511" i="4"/>
  <c r="J516" i="4"/>
  <c r="L516" i="4"/>
  <c r="P567" i="4"/>
  <c r="L580" i="4"/>
  <c r="K340" i="4"/>
  <c r="L381" i="4"/>
  <c r="P381" i="4"/>
  <c r="K415" i="4"/>
  <c r="K424" i="4"/>
  <c r="N440" i="4"/>
  <c r="I488" i="4"/>
  <c r="J511" i="4"/>
  <c r="L350" i="4"/>
  <c r="L386" i="4"/>
  <c r="Q445" i="4"/>
  <c r="M445" i="4"/>
  <c r="O450" i="4"/>
  <c r="I560" i="4"/>
  <c r="K330" i="4"/>
  <c r="M330" i="4"/>
  <c r="J354" i="4"/>
  <c r="N362" i="4"/>
  <c r="Q381" i="4"/>
  <c r="L424" i="4"/>
  <c r="L434" i="4"/>
  <c r="P450" i="4"/>
  <c r="N325" i="4"/>
  <c r="I335" i="4"/>
  <c r="N350" i="4"/>
  <c r="I440" i="4"/>
  <c r="K501" i="4"/>
  <c r="Q501" i="4"/>
  <c r="L521" i="4"/>
  <c r="J528" i="4"/>
  <c r="I400" i="4"/>
  <c r="N424" i="4"/>
  <c r="P424" i="4"/>
  <c r="J424" i="4"/>
  <c r="M460" i="4"/>
  <c r="I476" i="4"/>
  <c r="M354" i="4"/>
  <c r="K362" i="4"/>
  <c r="M434" i="4"/>
  <c r="O354" i="4"/>
  <c r="Q354" i="4"/>
  <c r="K354" i="4"/>
  <c r="J405" i="4"/>
  <c r="M440" i="4"/>
  <c r="J455" i="4"/>
  <c r="N455" i="4"/>
  <c r="K572" i="4"/>
  <c r="I580" i="4"/>
  <c r="L340" i="4"/>
  <c r="N340" i="4"/>
  <c r="P340" i="4"/>
  <c r="O394" i="4"/>
  <c r="J450" i="4"/>
  <c r="K488" i="4"/>
  <c r="M488" i="4"/>
  <c r="P312" i="4"/>
  <c r="N312" i="4"/>
  <c r="Q312" i="4"/>
  <c r="J312" i="4"/>
  <c r="O305" i="4"/>
  <c r="P305" i="4"/>
  <c r="J305" i="4"/>
  <c r="N298" i="4"/>
  <c r="O298" i="4"/>
  <c r="Q298" i="4"/>
  <c r="M298" i="4"/>
  <c r="N516" i="4"/>
  <c r="O537" i="4"/>
  <c r="L560" i="4"/>
  <c r="P298" i="4"/>
  <c r="L298" i="4"/>
  <c r="L305" i="4"/>
  <c r="O320" i="4"/>
  <c r="J330" i="4"/>
  <c r="L330" i="4"/>
  <c r="N330" i="4"/>
  <c r="J362" i="4"/>
  <c r="N371" i="4"/>
  <c r="I390" i="4"/>
  <c r="K390" i="4"/>
  <c r="Q390" i="4"/>
  <c r="P400" i="4"/>
  <c r="L405" i="4"/>
  <c r="N405" i="4"/>
  <c r="P445" i="4"/>
  <c r="L445" i="4"/>
  <c r="L450" i="4"/>
  <c r="O466" i="4"/>
  <c r="J488" i="4"/>
  <c r="N488" i="4"/>
  <c r="L496" i="4"/>
  <c r="J501" i="4"/>
  <c r="L501" i="4"/>
  <c r="N501" i="4"/>
  <c r="P501" i="4"/>
  <c r="M528" i="4"/>
  <c r="I532" i="4"/>
  <c r="I316" i="4"/>
  <c r="K316" i="4"/>
  <c r="O316" i="4"/>
  <c r="O325" i="4"/>
  <c r="P354" i="4"/>
  <c r="L354" i="4"/>
  <c r="M386" i="4"/>
  <c r="I394" i="4"/>
  <c r="K394" i="4"/>
  <c r="M394" i="4"/>
  <c r="Q394" i="4"/>
  <c r="N434" i="4"/>
  <c r="P434" i="4"/>
  <c r="J434" i="4"/>
  <c r="J440" i="4"/>
  <c r="K460" i="4"/>
  <c r="O460" i="4"/>
  <c r="O476" i="4"/>
  <c r="Q476" i="4"/>
  <c r="L488" i="4"/>
  <c r="O492" i="4"/>
  <c r="L528" i="4"/>
  <c r="N528" i="4"/>
  <c r="I567" i="4"/>
  <c r="N580" i="4"/>
  <c r="P580" i="4"/>
  <c r="K312" i="4"/>
  <c r="J316" i="4"/>
  <c r="P316" i="4"/>
  <c r="P325" i="4"/>
  <c r="Q340" i="4"/>
  <c r="M345" i="4"/>
  <c r="O345" i="4"/>
  <c r="Q345" i="4"/>
  <c r="I345" i="4"/>
  <c r="I350" i="4"/>
  <c r="N386" i="4"/>
  <c r="J394" i="4"/>
  <c r="L394" i="4"/>
  <c r="O434" i="4"/>
  <c r="Q434" i="4"/>
  <c r="K434" i="4"/>
  <c r="K455" i="4"/>
  <c r="J460" i="4"/>
  <c r="P460" i="4"/>
  <c r="P476" i="4"/>
  <c r="P492" i="4"/>
  <c r="P496" i="4"/>
  <c r="J496" i="4"/>
  <c r="O521" i="4"/>
  <c r="J567" i="4"/>
  <c r="L312" i="4"/>
  <c r="N345" i="4"/>
  <c r="P345" i="4"/>
  <c r="J345" i="4"/>
  <c r="J371" i="4"/>
  <c r="J381" i="4"/>
  <c r="N381" i="4"/>
  <c r="M390" i="4"/>
  <c r="P405" i="4"/>
  <c r="L415" i="4"/>
  <c r="N415" i="4"/>
  <c r="P415" i="4"/>
  <c r="L455" i="4"/>
  <c r="I460" i="4"/>
  <c r="Q492" i="4"/>
  <c r="I492" i="4"/>
  <c r="I572" i="4"/>
  <c r="I298" i="4"/>
  <c r="Q305" i="4"/>
  <c r="I305" i="4"/>
  <c r="M305" i="4"/>
  <c r="M312" i="4"/>
  <c r="J320" i="4"/>
  <c r="L320" i="4"/>
  <c r="P320" i="4"/>
  <c r="O330" i="4"/>
  <c r="K335" i="4"/>
  <c r="M335" i="4"/>
  <c r="O335" i="4"/>
  <c r="K371" i="4"/>
  <c r="I381" i="4"/>
  <c r="O381" i="4"/>
  <c r="N390" i="4"/>
  <c r="Q405" i="4"/>
  <c r="M415" i="4"/>
  <c r="O415" i="4"/>
  <c r="I415" i="4"/>
  <c r="I445" i="4"/>
  <c r="Q450" i="4"/>
  <c r="I450" i="4"/>
  <c r="M450" i="4"/>
  <c r="M455" i="4"/>
  <c r="L466" i="4"/>
  <c r="O488" i="4"/>
  <c r="L506" i="4"/>
  <c r="Q521" i="4"/>
  <c r="K532" i="4"/>
  <c r="J298" i="4"/>
  <c r="N305" i="4"/>
  <c r="I320" i="4"/>
  <c r="K320" i="4"/>
  <c r="Q320" i="4"/>
  <c r="P330" i="4"/>
  <c r="L335" i="4"/>
  <c r="N335" i="4"/>
  <c r="P362" i="4"/>
  <c r="L362" i="4"/>
  <c r="L371" i="4"/>
  <c r="O390" i="4"/>
  <c r="J400" i="4"/>
  <c r="L400" i="4"/>
  <c r="N400" i="4"/>
  <c r="J445" i="4"/>
  <c r="N450" i="4"/>
  <c r="I466" i="4"/>
  <c r="K466" i="4"/>
  <c r="Q466" i="4"/>
  <c r="P488" i="4"/>
  <c r="Q609" i="4"/>
  <c r="O619" i="4"/>
  <c r="K630" i="4"/>
  <c r="I634" i="4"/>
  <c r="K516" i="4"/>
  <c r="P528" i="4"/>
  <c r="O560" i="4"/>
  <c r="K298" i="4"/>
  <c r="L316" i="4"/>
  <c r="Q330" i="4"/>
  <c r="I354" i="4"/>
  <c r="Q362" i="4"/>
  <c r="M362" i="4"/>
  <c r="N394" i="4"/>
  <c r="K400" i="4"/>
  <c r="M400" i="4"/>
  <c r="O440" i="4"/>
  <c r="Q440" i="4"/>
  <c r="K440" i="4"/>
  <c r="K445" i="4"/>
  <c r="L460" i="4"/>
  <c r="J466" i="4"/>
  <c r="Q488" i="4"/>
  <c r="N550" i="4"/>
  <c r="K325" i="4"/>
  <c r="M325" i="4"/>
  <c r="Q325" i="4"/>
  <c r="P350" i="4"/>
  <c r="J350" i="4"/>
  <c r="I386" i="4"/>
  <c r="K386" i="4"/>
  <c r="O386" i="4"/>
  <c r="L440" i="4"/>
  <c r="M476" i="4"/>
  <c r="I602" i="4"/>
  <c r="Q619" i="4"/>
  <c r="I619" i="4"/>
  <c r="M511" i="4"/>
  <c r="L537" i="4"/>
  <c r="P545" i="4"/>
  <c r="I550" i="4"/>
  <c r="K550" i="4"/>
  <c r="M550" i="4"/>
  <c r="O550" i="4"/>
  <c r="N316" i="4"/>
  <c r="J325" i="4"/>
  <c r="L325" i="4"/>
  <c r="O350" i="4"/>
  <c r="Q350" i="4"/>
  <c r="K350" i="4"/>
  <c r="K381" i="4"/>
  <c r="J386" i="4"/>
  <c r="P386" i="4"/>
  <c r="P394" i="4"/>
  <c r="Q415" i="4"/>
  <c r="M424" i="4"/>
  <c r="O424" i="4"/>
  <c r="Q424" i="4"/>
  <c r="I424" i="4"/>
  <c r="I434" i="4"/>
  <c r="N460" i="4"/>
  <c r="J476" i="4"/>
  <c r="L476" i="4"/>
  <c r="N587" i="4"/>
  <c r="L595" i="4"/>
  <c r="K496" i="4"/>
  <c r="I506" i="4"/>
  <c r="P532" i="4"/>
  <c r="N537" i="4"/>
  <c r="P537" i="4"/>
  <c r="K305" i="4"/>
  <c r="I312" i="4"/>
  <c r="O312" i="4"/>
  <c r="N320" i="4"/>
  <c r="Q335" i="4"/>
  <c r="M340" i="4"/>
  <c r="O340" i="4"/>
  <c r="I340" i="4"/>
  <c r="I362" i="4"/>
  <c r="Q371" i="4"/>
  <c r="I371" i="4"/>
  <c r="M371" i="4"/>
  <c r="M381" i="4"/>
  <c r="J390" i="4"/>
  <c r="L390" i="4"/>
  <c r="P390" i="4"/>
  <c r="O400" i="4"/>
  <c r="K405" i="4"/>
  <c r="M405" i="4"/>
  <c r="O405" i="4"/>
  <c r="K450" i="4"/>
  <c r="I455" i="4"/>
  <c r="O455" i="4"/>
  <c r="N466" i="4"/>
  <c r="P466" i="4"/>
  <c r="O292" i="4"/>
  <c r="M292" i="4"/>
  <c r="P292" i="4"/>
  <c r="N292" i="4"/>
  <c r="Q292" i="4"/>
  <c r="L292" i="4"/>
  <c r="I292" i="4"/>
  <c r="J292" i="4"/>
  <c r="K292" i="4"/>
  <c r="O595" i="4"/>
  <c r="N630" i="4"/>
  <c r="O511" i="4"/>
  <c r="Q511" i="4"/>
  <c r="L567" i="4"/>
  <c r="N567" i="4"/>
  <c r="N595" i="4"/>
  <c r="J492" i="4"/>
  <c r="L492" i="4"/>
  <c r="N492" i="4"/>
  <c r="J506" i="4"/>
  <c r="Q537" i="4"/>
  <c r="I537" i="4"/>
  <c r="K537" i="4"/>
  <c r="M537" i="4"/>
  <c r="Q560" i="4"/>
  <c r="P684" i="4"/>
  <c r="N644" i="4"/>
  <c r="Q587" i="4"/>
  <c r="J619" i="4"/>
  <c r="N619" i="4"/>
  <c r="P619" i="4"/>
  <c r="Q496" i="4"/>
  <c r="M501" i="4"/>
  <c r="O501" i="4"/>
  <c r="M516" i="4"/>
  <c r="O516" i="4"/>
  <c r="Q516" i="4"/>
  <c r="O528" i="4"/>
  <c r="Q528" i="4"/>
  <c r="I528" i="4"/>
  <c r="K528" i="4"/>
  <c r="J550" i="4"/>
  <c r="L550" i="4"/>
  <c r="J572" i="4"/>
  <c r="L572" i="4"/>
  <c r="N572" i="4"/>
  <c r="P572" i="4"/>
  <c r="K609" i="4"/>
  <c r="O545" i="4"/>
  <c r="Q545" i="4"/>
  <c r="Q595" i="4"/>
  <c r="K595" i="4"/>
  <c r="M595" i="4"/>
  <c r="K492" i="4"/>
  <c r="M492" i="4"/>
  <c r="K506" i="4"/>
  <c r="M506" i="4"/>
  <c r="O506" i="4"/>
  <c r="Q506" i="4"/>
  <c r="J521" i="4"/>
  <c r="J537" i="4"/>
  <c r="J560" i="4"/>
  <c r="N560" i="4"/>
  <c r="P560" i="4"/>
  <c r="J580" i="4"/>
  <c r="P516" i="4"/>
  <c r="K521" i="4"/>
  <c r="M521" i="4"/>
  <c r="M532" i="4"/>
  <c r="O532" i="4"/>
  <c r="Q567" i="4"/>
  <c r="M572" i="4"/>
  <c r="O572" i="4"/>
  <c r="J626" i="4"/>
  <c r="I496" i="4"/>
  <c r="M496" i="4"/>
  <c r="O496" i="4"/>
  <c r="K511" i="4"/>
  <c r="J545" i="4"/>
  <c r="L545" i="4"/>
  <c r="N545" i="4"/>
  <c r="I684" i="4"/>
  <c r="N506" i="4"/>
  <c r="P506" i="4"/>
  <c r="K560" i="4"/>
  <c r="M560" i="4"/>
  <c r="K580" i="4"/>
  <c r="M580" i="4"/>
  <c r="O580" i="4"/>
  <c r="Q580" i="4"/>
  <c r="I501" i="4"/>
  <c r="N521" i="4"/>
  <c r="P521" i="4"/>
  <c r="J532" i="4"/>
  <c r="L532" i="4"/>
  <c r="P550" i="4"/>
  <c r="N496" i="4"/>
  <c r="N511" i="4"/>
  <c r="P511" i="4"/>
  <c r="K545" i="4"/>
  <c r="K567" i="4"/>
  <c r="M567" i="4"/>
  <c r="O567" i="4"/>
  <c r="O644" i="4"/>
  <c r="M653" i="4"/>
  <c r="O653" i="4"/>
  <c r="P587" i="4"/>
  <c r="J587" i="4"/>
  <c r="L587" i="4"/>
  <c r="J602" i="4"/>
  <c r="I609" i="4"/>
  <c r="M609" i="4"/>
  <c r="O609" i="4"/>
  <c r="M626" i="4"/>
  <c r="J630" i="4"/>
  <c r="L630" i="4"/>
  <c r="P630" i="4"/>
  <c r="Q644" i="4"/>
  <c r="Q662" i="4"/>
  <c r="I587" i="4"/>
  <c r="M602" i="4"/>
  <c r="Q602" i="4"/>
  <c r="J609" i="4"/>
  <c r="L609" i="4"/>
  <c r="P626" i="4"/>
  <c r="M630" i="4"/>
  <c r="O630" i="4"/>
  <c r="I630" i="4"/>
  <c r="N690" i="4"/>
  <c r="M672" i="4"/>
  <c r="O602" i="4"/>
  <c r="K634" i="4"/>
  <c r="M634" i="4"/>
  <c r="Q634" i="4"/>
  <c r="O672" i="4"/>
  <c r="Q672" i="4"/>
  <c r="K587" i="4"/>
  <c r="O587" i="4"/>
  <c r="J595" i="4"/>
  <c r="N609" i="4"/>
  <c r="K619" i="4"/>
  <c r="M619" i="4"/>
  <c r="Q630" i="4"/>
  <c r="I595" i="4"/>
  <c r="L602" i="4"/>
  <c r="N602" i="4"/>
  <c r="L619" i="4"/>
  <c r="I626" i="4"/>
  <c r="K626" i="4"/>
  <c r="O626" i="4"/>
  <c r="Q626" i="4"/>
  <c r="N634" i="4"/>
  <c r="P634" i="4"/>
  <c r="J634" i="4"/>
  <c r="L644" i="4"/>
  <c r="J653" i="4"/>
  <c r="P653" i="4"/>
  <c r="M587" i="4"/>
  <c r="P609" i="4"/>
  <c r="O634" i="4"/>
  <c r="P595" i="4"/>
  <c r="K602" i="4"/>
  <c r="L626" i="4"/>
  <c r="N626" i="4"/>
  <c r="I653" i="4"/>
  <c r="N672" i="4"/>
  <c r="P672" i="4"/>
  <c r="J677" i="4"/>
  <c r="K653" i="4"/>
  <c r="I662" i="4"/>
  <c r="L684" i="4"/>
  <c r="P644" i="4"/>
  <c r="L653" i="4"/>
  <c r="N653" i="4"/>
  <c r="J662" i="4"/>
  <c r="I672" i="4"/>
  <c r="K684" i="4"/>
  <c r="K662" i="4"/>
  <c r="J672" i="4"/>
  <c r="O677" i="4"/>
  <c r="L662" i="4"/>
  <c r="I644" i="4"/>
  <c r="Q653" i="4"/>
  <c r="M662" i="4"/>
  <c r="O662" i="4"/>
  <c r="J644" i="4"/>
  <c r="N662" i="4"/>
  <c r="K672" i="4"/>
  <c r="K644" i="4"/>
  <c r="M644" i="4"/>
  <c r="L672" i="4"/>
  <c r="P690" i="4"/>
  <c r="J690" i="4"/>
  <c r="L677" i="4"/>
  <c r="N677" i="4"/>
  <c r="P677" i="4"/>
  <c r="J684" i="4"/>
  <c r="Q677" i="4"/>
  <c r="I677" i="4"/>
  <c r="K677" i="4"/>
  <c r="M677" i="4"/>
  <c r="K690" i="4"/>
  <c r="M690" i="4"/>
  <c r="O690" i="4"/>
  <c r="Q690" i="4"/>
  <c r="M684" i="4"/>
  <c r="O684" i="4"/>
  <c r="Q684" i="4"/>
  <c r="I690" i="4"/>
  <c r="N684" i="4"/>
  <c r="L690" i="4"/>
  <c r="M75" i="11"/>
  <c r="L60" i="11"/>
  <c r="G29" i="20"/>
  <c r="G27" i="20"/>
  <c r="G26" i="20"/>
  <c r="G25" i="20"/>
  <c r="G24" i="20"/>
  <c r="E2337" i="4"/>
  <c r="E2338" i="4"/>
  <c r="E2339" i="4"/>
  <c r="E2340" i="4"/>
  <c r="E2341" i="4"/>
  <c r="Q2318" i="4"/>
  <c r="P2318" i="4"/>
  <c r="N2318" i="4"/>
  <c r="M2318" i="4"/>
  <c r="L2318" i="4"/>
  <c r="K2318" i="4"/>
  <c r="J2318" i="4"/>
  <c r="I2318" i="4"/>
  <c r="H2318" i="4"/>
  <c r="O2318" i="4" s="1"/>
  <c r="Q2326" i="4"/>
  <c r="P2326" i="4"/>
  <c r="N2326" i="4"/>
  <c r="M2326" i="4"/>
  <c r="L2326" i="4"/>
  <c r="K2326" i="4"/>
  <c r="J2326" i="4"/>
  <c r="I2326" i="4"/>
  <c r="H2326" i="4"/>
  <c r="O2326" i="4" s="1"/>
  <c r="Q2325" i="4"/>
  <c r="P2325" i="4"/>
  <c r="N2325" i="4"/>
  <c r="M2325" i="4"/>
  <c r="L2325" i="4"/>
  <c r="K2325" i="4"/>
  <c r="J2325" i="4"/>
  <c r="I2325" i="4"/>
  <c r="H2325" i="4"/>
  <c r="O2325" i="4" s="1"/>
  <c r="Q2324" i="4"/>
  <c r="P2324" i="4"/>
  <c r="N2324" i="4"/>
  <c r="M2324" i="4"/>
  <c r="L2324" i="4"/>
  <c r="K2324" i="4"/>
  <c r="J2324" i="4"/>
  <c r="I2324" i="4"/>
  <c r="H2324" i="4"/>
  <c r="O2324" i="4" s="1"/>
  <c r="Q3957" i="4" l="1"/>
  <c r="P3957" i="4"/>
  <c r="O3957" i="4"/>
  <c r="N3957" i="4"/>
  <c r="M3957" i="4"/>
  <c r="L3957" i="4"/>
  <c r="K3957" i="4"/>
  <c r="J3957" i="4"/>
  <c r="I3957" i="4"/>
  <c r="H3957" i="4"/>
  <c r="Q3956" i="4"/>
  <c r="P3956" i="4"/>
  <c r="O3956" i="4"/>
  <c r="N3956" i="4"/>
  <c r="M3956" i="4"/>
  <c r="L3956" i="4"/>
  <c r="K3956" i="4"/>
  <c r="J3956" i="4"/>
  <c r="I3956" i="4"/>
  <c r="H3956" i="4"/>
  <c r="Q3955" i="4"/>
  <c r="P3955" i="4"/>
  <c r="O3955" i="4"/>
  <c r="N3955" i="4"/>
  <c r="M3955" i="4"/>
  <c r="L3955" i="4"/>
  <c r="K3955" i="4"/>
  <c r="J3955" i="4"/>
  <c r="I3955" i="4"/>
  <c r="H3955" i="4"/>
  <c r="Q3954" i="4"/>
  <c r="P3954" i="4"/>
  <c r="O3954" i="4"/>
  <c r="N3954" i="4"/>
  <c r="M3954" i="4"/>
  <c r="L3954" i="4"/>
  <c r="K3954" i="4"/>
  <c r="J3954" i="4"/>
  <c r="I3954" i="4"/>
  <c r="H3954" i="4"/>
  <c r="Q3953" i="4"/>
  <c r="P3953" i="4"/>
  <c r="O3953" i="4"/>
  <c r="N3953" i="4"/>
  <c r="M3953" i="4"/>
  <c r="L3953" i="4"/>
  <c r="K3953" i="4"/>
  <c r="J3953" i="4"/>
  <c r="I3953" i="4"/>
  <c r="H3953" i="4"/>
  <c r="Q3952" i="4"/>
  <c r="P3952" i="4"/>
  <c r="O3952" i="4"/>
  <c r="N3952" i="4"/>
  <c r="M3952" i="4"/>
  <c r="L3952" i="4"/>
  <c r="K3952" i="4"/>
  <c r="J3952" i="4"/>
  <c r="I3952" i="4"/>
  <c r="H3952" i="4"/>
  <c r="Q3951" i="4"/>
  <c r="P3951" i="4"/>
  <c r="O3951" i="4"/>
  <c r="N3951" i="4"/>
  <c r="M3951" i="4"/>
  <c r="L3951" i="4"/>
  <c r="K3951" i="4"/>
  <c r="J3951" i="4"/>
  <c r="I3951" i="4"/>
  <c r="H3951" i="4"/>
  <c r="Q3950" i="4"/>
  <c r="P3950" i="4"/>
  <c r="O3950" i="4"/>
  <c r="N3950" i="4"/>
  <c r="M3950" i="4"/>
  <c r="L3950" i="4"/>
  <c r="K3950" i="4"/>
  <c r="J3950" i="4"/>
  <c r="I3950" i="4"/>
  <c r="H3950" i="4"/>
  <c r="Q3949" i="4"/>
  <c r="P3949" i="4"/>
  <c r="O3949" i="4"/>
  <c r="N3949" i="4"/>
  <c r="M3949" i="4"/>
  <c r="L3949" i="4"/>
  <c r="K3949" i="4"/>
  <c r="J3949" i="4"/>
  <c r="I3949" i="4"/>
  <c r="H3949" i="4"/>
  <c r="Q3948" i="4"/>
  <c r="P3948" i="4"/>
  <c r="O3948" i="4"/>
  <c r="N3948" i="4"/>
  <c r="M3948" i="4"/>
  <c r="L3948" i="4"/>
  <c r="K3948" i="4"/>
  <c r="J3948" i="4"/>
  <c r="I3948" i="4"/>
  <c r="H3948" i="4"/>
  <c r="Q3947" i="4"/>
  <c r="P3947" i="4"/>
  <c r="O3947" i="4"/>
  <c r="N3947" i="4"/>
  <c r="M3947" i="4"/>
  <c r="L3947" i="4"/>
  <c r="K3947" i="4"/>
  <c r="J3947" i="4"/>
  <c r="I3947" i="4"/>
  <c r="H3947" i="4"/>
  <c r="Q3946" i="4"/>
  <c r="P3946" i="4"/>
  <c r="O3946" i="4"/>
  <c r="N3946" i="4"/>
  <c r="M3946" i="4"/>
  <c r="L3946" i="4"/>
  <c r="K3946" i="4"/>
  <c r="J3946" i="4"/>
  <c r="I3946" i="4"/>
  <c r="H3946" i="4"/>
  <c r="Q3943" i="4"/>
  <c r="P3943" i="4"/>
  <c r="O3943" i="4"/>
  <c r="N3943" i="4"/>
  <c r="M3943" i="4"/>
  <c r="L3943" i="4"/>
  <c r="K3943" i="4"/>
  <c r="J3943" i="4"/>
  <c r="I3943" i="4"/>
  <c r="H3943" i="4"/>
  <c r="Q3942" i="4"/>
  <c r="P3942" i="4"/>
  <c r="O3942" i="4"/>
  <c r="N3942" i="4"/>
  <c r="M3942" i="4"/>
  <c r="L3942" i="4"/>
  <c r="K3942" i="4"/>
  <c r="J3942" i="4"/>
  <c r="I3942" i="4"/>
  <c r="H3942" i="4"/>
  <c r="Q3941" i="4"/>
  <c r="P3941" i="4"/>
  <c r="O3941" i="4"/>
  <c r="N3941" i="4"/>
  <c r="M3941" i="4"/>
  <c r="L3941" i="4"/>
  <c r="K3941" i="4"/>
  <c r="J3941" i="4"/>
  <c r="I3941" i="4"/>
  <c r="H3941" i="4"/>
  <c r="Q3940" i="4"/>
  <c r="P3940" i="4"/>
  <c r="O3940" i="4"/>
  <c r="N3940" i="4"/>
  <c r="M3940" i="4"/>
  <c r="L3940" i="4"/>
  <c r="K3940" i="4"/>
  <c r="J3940" i="4"/>
  <c r="I3940" i="4"/>
  <c r="H3940" i="4"/>
  <c r="Q3939" i="4"/>
  <c r="P3939" i="4"/>
  <c r="O3939" i="4"/>
  <c r="N3939" i="4"/>
  <c r="M3939" i="4"/>
  <c r="L3939" i="4"/>
  <c r="K3939" i="4"/>
  <c r="J3939" i="4"/>
  <c r="I3939" i="4"/>
  <c r="H3939" i="4"/>
  <c r="Q3938" i="4"/>
  <c r="P3938" i="4"/>
  <c r="O3938" i="4"/>
  <c r="N3938" i="4"/>
  <c r="M3938" i="4"/>
  <c r="L3938" i="4"/>
  <c r="K3938" i="4"/>
  <c r="J3938" i="4"/>
  <c r="I3938" i="4"/>
  <c r="H3938" i="4"/>
  <c r="Q3937" i="4"/>
  <c r="P3937" i="4"/>
  <c r="O3937" i="4"/>
  <c r="N3937" i="4"/>
  <c r="M3937" i="4"/>
  <c r="L3937" i="4"/>
  <c r="K3937" i="4"/>
  <c r="J3937" i="4"/>
  <c r="I3937" i="4"/>
  <c r="H3937" i="4"/>
  <c r="Q3936" i="4"/>
  <c r="P3936" i="4"/>
  <c r="O3936" i="4"/>
  <c r="N3936" i="4"/>
  <c r="M3936" i="4"/>
  <c r="L3936" i="4"/>
  <c r="K3936" i="4"/>
  <c r="J3936" i="4"/>
  <c r="I3936" i="4"/>
  <c r="H3936" i="4"/>
  <c r="Q3935" i="4"/>
  <c r="P3935" i="4"/>
  <c r="O3935" i="4"/>
  <c r="N3935" i="4"/>
  <c r="M3935" i="4"/>
  <c r="L3935" i="4"/>
  <c r="K3935" i="4"/>
  <c r="J3935" i="4"/>
  <c r="I3935" i="4"/>
  <c r="H3935" i="4"/>
  <c r="Q3934" i="4"/>
  <c r="P3934" i="4"/>
  <c r="O3934" i="4"/>
  <c r="N3934" i="4"/>
  <c r="M3934" i="4"/>
  <c r="L3934" i="4"/>
  <c r="K3934" i="4"/>
  <c r="J3934" i="4"/>
  <c r="I3934" i="4"/>
  <c r="H3934" i="4"/>
  <c r="Q3933" i="4"/>
  <c r="P3933" i="4"/>
  <c r="O3933" i="4"/>
  <c r="N3933" i="4"/>
  <c r="M3933" i="4"/>
  <c r="L3933" i="4"/>
  <c r="K3933" i="4"/>
  <c r="J3933" i="4"/>
  <c r="I3933" i="4"/>
  <c r="H3933" i="4"/>
  <c r="Q3932" i="4"/>
  <c r="P3932" i="4"/>
  <c r="O3932" i="4"/>
  <c r="N3932" i="4"/>
  <c r="M3932" i="4"/>
  <c r="L3932" i="4"/>
  <c r="K3932" i="4"/>
  <c r="J3932" i="4"/>
  <c r="I3932" i="4"/>
  <c r="H3932" i="4"/>
  <c r="Q3929" i="4"/>
  <c r="P3929" i="4"/>
  <c r="O3929" i="4"/>
  <c r="N3929" i="4"/>
  <c r="M3929" i="4"/>
  <c r="L3929" i="4"/>
  <c r="K3929" i="4"/>
  <c r="J3929" i="4"/>
  <c r="I3929" i="4"/>
  <c r="H3929" i="4"/>
  <c r="Q3928" i="4"/>
  <c r="P3928" i="4"/>
  <c r="O3928" i="4"/>
  <c r="N3928" i="4"/>
  <c r="M3928" i="4"/>
  <c r="L3928" i="4"/>
  <c r="K3928" i="4"/>
  <c r="J3928" i="4"/>
  <c r="I3928" i="4"/>
  <c r="H3928" i="4"/>
  <c r="Q3927" i="4"/>
  <c r="P3927" i="4"/>
  <c r="O3927" i="4"/>
  <c r="N3927" i="4"/>
  <c r="M3927" i="4"/>
  <c r="L3927" i="4"/>
  <c r="K3927" i="4"/>
  <c r="J3927" i="4"/>
  <c r="I3927" i="4"/>
  <c r="H3927" i="4"/>
  <c r="Q3926" i="4"/>
  <c r="P3926" i="4"/>
  <c r="O3926" i="4"/>
  <c r="N3926" i="4"/>
  <c r="M3926" i="4"/>
  <c r="L3926" i="4"/>
  <c r="K3926" i="4"/>
  <c r="J3926" i="4"/>
  <c r="I3926" i="4"/>
  <c r="H3926" i="4"/>
  <c r="Q3925" i="4"/>
  <c r="P3925" i="4"/>
  <c r="O3925" i="4"/>
  <c r="N3925" i="4"/>
  <c r="M3925" i="4"/>
  <c r="L3925" i="4"/>
  <c r="K3925" i="4"/>
  <c r="J3925" i="4"/>
  <c r="I3925" i="4"/>
  <c r="H3925" i="4"/>
  <c r="Q3924" i="4"/>
  <c r="P3924" i="4"/>
  <c r="O3924" i="4"/>
  <c r="N3924" i="4"/>
  <c r="M3924" i="4"/>
  <c r="L3924" i="4"/>
  <c r="K3924" i="4"/>
  <c r="J3924" i="4"/>
  <c r="I3924" i="4"/>
  <c r="H3924" i="4"/>
  <c r="Q3923" i="4"/>
  <c r="P3923" i="4"/>
  <c r="O3923" i="4"/>
  <c r="N3923" i="4"/>
  <c r="M3923" i="4"/>
  <c r="L3923" i="4"/>
  <c r="K3923" i="4"/>
  <c r="J3923" i="4"/>
  <c r="I3923" i="4"/>
  <c r="H3923" i="4"/>
  <c r="Q3922" i="4"/>
  <c r="P3922" i="4"/>
  <c r="O3922" i="4"/>
  <c r="N3922" i="4"/>
  <c r="M3922" i="4"/>
  <c r="L3922" i="4"/>
  <c r="K3922" i="4"/>
  <c r="J3922" i="4"/>
  <c r="I3922" i="4"/>
  <c r="H3922" i="4"/>
  <c r="Q3921" i="4"/>
  <c r="P3921" i="4"/>
  <c r="O3921" i="4"/>
  <c r="N3921" i="4"/>
  <c r="M3921" i="4"/>
  <c r="L3921" i="4"/>
  <c r="K3921" i="4"/>
  <c r="J3921" i="4"/>
  <c r="I3921" i="4"/>
  <c r="H3921" i="4"/>
  <c r="Q3920" i="4"/>
  <c r="P3920" i="4"/>
  <c r="O3920" i="4"/>
  <c r="N3920" i="4"/>
  <c r="M3920" i="4"/>
  <c r="L3920" i="4"/>
  <c r="K3920" i="4"/>
  <c r="J3920" i="4"/>
  <c r="I3920" i="4"/>
  <c r="H3920" i="4"/>
  <c r="Q3919" i="4"/>
  <c r="P3919" i="4"/>
  <c r="O3919" i="4"/>
  <c r="N3919" i="4"/>
  <c r="M3919" i="4"/>
  <c r="L3919" i="4"/>
  <c r="K3919" i="4"/>
  <c r="J3919" i="4"/>
  <c r="I3919" i="4"/>
  <c r="H3919" i="4"/>
  <c r="Q3918" i="4"/>
  <c r="P3918" i="4"/>
  <c r="O3918" i="4"/>
  <c r="N3918" i="4"/>
  <c r="M3918" i="4"/>
  <c r="L3918" i="4"/>
  <c r="K3918" i="4"/>
  <c r="J3918" i="4"/>
  <c r="I3918" i="4"/>
  <c r="H3918" i="4"/>
  <c r="Q3915" i="4"/>
  <c r="P3915" i="4"/>
  <c r="O3915" i="4"/>
  <c r="N3915" i="4"/>
  <c r="M3915" i="4"/>
  <c r="L3915" i="4"/>
  <c r="K3915" i="4"/>
  <c r="J3915" i="4"/>
  <c r="I3915" i="4"/>
  <c r="H3915" i="4"/>
  <c r="Q3914" i="4"/>
  <c r="P3914" i="4"/>
  <c r="O3914" i="4"/>
  <c r="N3914" i="4"/>
  <c r="M3914" i="4"/>
  <c r="L3914" i="4"/>
  <c r="K3914" i="4"/>
  <c r="J3914" i="4"/>
  <c r="I3914" i="4"/>
  <c r="H3914" i="4"/>
  <c r="Q3913" i="4"/>
  <c r="P3913" i="4"/>
  <c r="O3913" i="4"/>
  <c r="N3913" i="4"/>
  <c r="M3913" i="4"/>
  <c r="L3913" i="4"/>
  <c r="K3913" i="4"/>
  <c r="J3913" i="4"/>
  <c r="I3913" i="4"/>
  <c r="H3913" i="4"/>
  <c r="Q3912" i="4"/>
  <c r="P3912" i="4"/>
  <c r="O3912" i="4"/>
  <c r="N3912" i="4"/>
  <c r="M3912" i="4"/>
  <c r="L3912" i="4"/>
  <c r="K3912" i="4"/>
  <c r="J3912" i="4"/>
  <c r="I3912" i="4"/>
  <c r="H3912" i="4"/>
  <c r="Q3911" i="4"/>
  <c r="P3911" i="4"/>
  <c r="O3911" i="4"/>
  <c r="N3911" i="4"/>
  <c r="M3911" i="4"/>
  <c r="L3911" i="4"/>
  <c r="K3911" i="4"/>
  <c r="J3911" i="4"/>
  <c r="I3911" i="4"/>
  <c r="H3911" i="4"/>
  <c r="Q3910" i="4"/>
  <c r="P3910" i="4"/>
  <c r="O3910" i="4"/>
  <c r="N3910" i="4"/>
  <c r="M3910" i="4"/>
  <c r="L3910" i="4"/>
  <c r="K3910" i="4"/>
  <c r="J3910" i="4"/>
  <c r="I3910" i="4"/>
  <c r="H3910" i="4"/>
  <c r="Q3909" i="4"/>
  <c r="P3909" i="4"/>
  <c r="O3909" i="4"/>
  <c r="N3909" i="4"/>
  <c r="M3909" i="4"/>
  <c r="L3909" i="4"/>
  <c r="K3909" i="4"/>
  <c r="J3909" i="4"/>
  <c r="I3909" i="4"/>
  <c r="H3909" i="4"/>
  <c r="Q3908" i="4"/>
  <c r="P3908" i="4"/>
  <c r="O3908" i="4"/>
  <c r="N3908" i="4"/>
  <c r="M3908" i="4"/>
  <c r="K3908" i="4"/>
  <c r="J3908" i="4"/>
  <c r="I3908" i="4"/>
  <c r="H3908" i="4"/>
  <c r="L3908" i="4" s="1"/>
  <c r="Q3907" i="4"/>
  <c r="P3907" i="4"/>
  <c r="O3907" i="4"/>
  <c r="N3907" i="4"/>
  <c r="M3907" i="4"/>
  <c r="K3907" i="4"/>
  <c r="J3907" i="4"/>
  <c r="I3907" i="4"/>
  <c r="H3907" i="4"/>
  <c r="L3907" i="4" s="1"/>
  <c r="Q3906" i="4"/>
  <c r="P3906" i="4"/>
  <c r="O3906" i="4"/>
  <c r="N3906" i="4"/>
  <c r="M3906" i="4"/>
  <c r="L3906" i="4"/>
  <c r="K3906" i="4"/>
  <c r="J3906" i="4"/>
  <c r="I3906" i="4"/>
  <c r="H3906" i="4"/>
  <c r="Q3905" i="4"/>
  <c r="P3905" i="4"/>
  <c r="O3905" i="4"/>
  <c r="N3905" i="4"/>
  <c r="M3905" i="4"/>
  <c r="K3905" i="4"/>
  <c r="J3905" i="4"/>
  <c r="I3905" i="4"/>
  <c r="H3905" i="4"/>
  <c r="L3905" i="4" s="1"/>
  <c r="Q3904" i="4"/>
  <c r="P3904" i="4"/>
  <c r="O3904" i="4"/>
  <c r="N3904" i="4"/>
  <c r="M3904" i="4"/>
  <c r="L3904" i="4"/>
  <c r="K3904" i="4"/>
  <c r="I3904" i="4"/>
  <c r="H3904" i="4"/>
  <c r="J3904" i="4" s="1"/>
  <c r="Q3901" i="4"/>
  <c r="P3901" i="4"/>
  <c r="O3901" i="4"/>
  <c r="N3901" i="4"/>
  <c r="L3901" i="4"/>
  <c r="K3901" i="4"/>
  <c r="J3901" i="4"/>
  <c r="I3901" i="4"/>
  <c r="H3901" i="4"/>
  <c r="M3901" i="4" s="1"/>
  <c r="Q3900" i="4"/>
  <c r="P3900" i="4"/>
  <c r="O3900" i="4"/>
  <c r="N3900" i="4"/>
  <c r="M3900" i="4"/>
  <c r="K3900" i="4"/>
  <c r="J3900" i="4"/>
  <c r="I3900" i="4"/>
  <c r="H3900" i="4"/>
  <c r="L3900" i="4" s="1"/>
  <c r="Q3899" i="4"/>
  <c r="P3899" i="4"/>
  <c r="O3899" i="4"/>
  <c r="N3899" i="4"/>
  <c r="M3899" i="4"/>
  <c r="L3899" i="4"/>
  <c r="K3899" i="4"/>
  <c r="I3899" i="4"/>
  <c r="H3899" i="4"/>
  <c r="J3899" i="4" s="1"/>
  <c r="Q3896" i="4"/>
  <c r="P3896" i="4"/>
  <c r="O3896" i="4"/>
  <c r="M3896" i="4"/>
  <c r="L3896" i="4"/>
  <c r="K3896" i="4"/>
  <c r="J3896" i="4"/>
  <c r="I3896" i="4"/>
  <c r="H3896" i="4"/>
  <c r="N3896" i="4" s="1"/>
  <c r="Q3895" i="4"/>
  <c r="P3895" i="4"/>
  <c r="O3895" i="4"/>
  <c r="N3895" i="4"/>
  <c r="L3895" i="4"/>
  <c r="K3895" i="4"/>
  <c r="J3895" i="4"/>
  <c r="I3895" i="4"/>
  <c r="H3895" i="4"/>
  <c r="M3895" i="4" s="1"/>
  <c r="Q3894" i="4"/>
  <c r="P3894" i="4"/>
  <c r="O3894" i="4"/>
  <c r="N3894" i="4"/>
  <c r="M3894" i="4"/>
  <c r="L3894" i="4"/>
  <c r="K3894" i="4"/>
  <c r="I3894" i="4"/>
  <c r="H3894" i="4"/>
  <c r="J3894" i="4" s="1"/>
  <c r="Q3891" i="4"/>
  <c r="P3891" i="4"/>
  <c r="O3891" i="4"/>
  <c r="N3891" i="4"/>
  <c r="L3891" i="4"/>
  <c r="K3891" i="4"/>
  <c r="J3891" i="4"/>
  <c r="I3891" i="4"/>
  <c r="H3891" i="4"/>
  <c r="M3891" i="4" s="1"/>
  <c r="Q3890" i="4"/>
  <c r="P3890" i="4"/>
  <c r="O3890" i="4"/>
  <c r="N3890" i="4"/>
  <c r="M3890" i="4"/>
  <c r="K3890" i="4"/>
  <c r="J3890" i="4"/>
  <c r="I3890" i="4"/>
  <c r="H3890" i="4"/>
  <c r="L3890" i="4" s="1"/>
  <c r="Q3889" i="4"/>
  <c r="P3889" i="4"/>
  <c r="O3889" i="4"/>
  <c r="N3889" i="4"/>
  <c r="M3889" i="4"/>
  <c r="L3889" i="4"/>
  <c r="K3889" i="4"/>
  <c r="I3889" i="4"/>
  <c r="H3889" i="4"/>
  <c r="J3889" i="4" s="1"/>
  <c r="Q3886" i="4"/>
  <c r="P3886" i="4"/>
  <c r="O3886" i="4"/>
  <c r="N3886" i="4"/>
  <c r="L3886" i="4"/>
  <c r="K3886" i="4"/>
  <c r="J3886" i="4"/>
  <c r="I3886" i="4"/>
  <c r="H3886" i="4"/>
  <c r="M3886" i="4" s="1"/>
  <c r="Q3885" i="4"/>
  <c r="P3885" i="4"/>
  <c r="O3885" i="4"/>
  <c r="N3885" i="4"/>
  <c r="M3885" i="4"/>
  <c r="K3885" i="4"/>
  <c r="J3885" i="4"/>
  <c r="I3885" i="4"/>
  <c r="H3885" i="4"/>
  <c r="L3885" i="4" s="1"/>
  <c r="Q3884" i="4"/>
  <c r="P3884" i="4"/>
  <c r="O3884" i="4"/>
  <c r="N3884" i="4"/>
  <c r="M3884" i="4"/>
  <c r="K3884" i="4"/>
  <c r="J3884" i="4"/>
  <c r="I3884" i="4"/>
  <c r="H3884" i="4"/>
  <c r="L3884" i="4" s="1"/>
  <c r="Q3883" i="4"/>
  <c r="P3883" i="4"/>
  <c r="O3883" i="4"/>
  <c r="N3883" i="4"/>
  <c r="M3883" i="4"/>
  <c r="L3883" i="4"/>
  <c r="K3883" i="4"/>
  <c r="I3883" i="4"/>
  <c r="H3883" i="4"/>
  <c r="J3883" i="4" s="1"/>
  <c r="Q2796" i="4"/>
  <c r="P2796" i="4"/>
  <c r="N2796" i="4"/>
  <c r="M2796" i="4"/>
  <c r="L2796" i="4"/>
  <c r="K2796" i="4"/>
  <c r="J2796" i="4"/>
  <c r="I2796" i="4"/>
  <c r="H2796" i="4"/>
  <c r="O2796" i="4" s="1"/>
  <c r="Q2795" i="4"/>
  <c r="P2795" i="4"/>
  <c r="N2795" i="4"/>
  <c r="M2795" i="4"/>
  <c r="L2795" i="4"/>
  <c r="K2795" i="4"/>
  <c r="J2795" i="4"/>
  <c r="I2795" i="4"/>
  <c r="H2795" i="4"/>
  <c r="O2795" i="4" s="1"/>
  <c r="Q2794" i="4"/>
  <c r="P2794" i="4"/>
  <c r="N2794" i="4"/>
  <c r="M2794" i="4"/>
  <c r="L2794" i="4"/>
  <c r="K2794" i="4"/>
  <c r="J2794" i="4"/>
  <c r="I2794" i="4"/>
  <c r="H2794" i="4"/>
  <c r="O2794" i="4" s="1"/>
  <c r="Q2793" i="4"/>
  <c r="P2793" i="4"/>
  <c r="O2793" i="4"/>
  <c r="N2793" i="4"/>
  <c r="L2793" i="4"/>
  <c r="K2793" i="4"/>
  <c r="J2793" i="4"/>
  <c r="I2793" i="4"/>
  <c r="H2793" i="4"/>
  <c r="M2793" i="4" s="1"/>
  <c r="Q2792" i="4"/>
  <c r="P2792" i="4"/>
  <c r="O2792" i="4"/>
  <c r="N2792" i="4"/>
  <c r="L2792" i="4"/>
  <c r="K2792" i="4"/>
  <c r="J2792" i="4"/>
  <c r="I2792" i="4"/>
  <c r="H2792" i="4"/>
  <c r="M2792" i="4" s="1"/>
  <c r="Q2791" i="4"/>
  <c r="P2791" i="4"/>
  <c r="O2791" i="4"/>
  <c r="N2791" i="4"/>
  <c r="L2791" i="4"/>
  <c r="K2791" i="4"/>
  <c r="J2791" i="4"/>
  <c r="I2791" i="4"/>
  <c r="H2791" i="4"/>
  <c r="M2791" i="4" s="1"/>
  <c r="Q2790" i="4"/>
  <c r="P2790" i="4"/>
  <c r="O2790" i="4"/>
  <c r="N2790" i="4"/>
  <c r="L2790" i="4"/>
  <c r="K2790" i="4"/>
  <c r="J2790" i="4"/>
  <c r="I2790" i="4"/>
  <c r="H2790" i="4"/>
  <c r="M2790" i="4" s="1"/>
  <c r="Q2789" i="4"/>
  <c r="P2789" i="4"/>
  <c r="O2789" i="4"/>
  <c r="N2789" i="4"/>
  <c r="L2789" i="4"/>
  <c r="K2789" i="4"/>
  <c r="J2789" i="4"/>
  <c r="I2789" i="4"/>
  <c r="H2789" i="4"/>
  <c r="M2789" i="4" s="1"/>
  <c r="Q2788" i="4"/>
  <c r="P2788" i="4"/>
  <c r="O2788" i="4"/>
  <c r="N2788" i="4"/>
  <c r="M2788" i="4"/>
  <c r="L2788" i="4"/>
  <c r="K2788" i="4"/>
  <c r="I2788" i="4"/>
  <c r="H2788" i="4"/>
  <c r="J2788" i="4" s="1"/>
  <c r="Q2785" i="4"/>
  <c r="P2785" i="4"/>
  <c r="O2785" i="4"/>
  <c r="M2785" i="4"/>
  <c r="L2785" i="4"/>
  <c r="K2785" i="4"/>
  <c r="J2785" i="4"/>
  <c r="I2785" i="4"/>
  <c r="H2785" i="4"/>
  <c r="N2785" i="4" s="1"/>
  <c r="Q2784" i="4"/>
  <c r="P2784" i="4"/>
  <c r="O2784" i="4"/>
  <c r="M2784" i="4"/>
  <c r="L2784" i="4"/>
  <c r="K2784" i="4"/>
  <c r="J2784" i="4"/>
  <c r="I2784" i="4"/>
  <c r="H2784" i="4"/>
  <c r="N2784" i="4" s="1"/>
  <c r="Q2783" i="4"/>
  <c r="P2783" i="4"/>
  <c r="N2783" i="4"/>
  <c r="M2783" i="4"/>
  <c r="L2783" i="4"/>
  <c r="K2783" i="4"/>
  <c r="J2783" i="4"/>
  <c r="I2783" i="4"/>
  <c r="H2783" i="4"/>
  <c r="O2783" i="4" s="1"/>
  <c r="Q2782" i="4"/>
  <c r="P2782" i="4"/>
  <c r="N2782" i="4"/>
  <c r="M2782" i="4"/>
  <c r="L2782" i="4"/>
  <c r="K2782" i="4"/>
  <c r="J2782" i="4"/>
  <c r="I2782" i="4"/>
  <c r="H2782" i="4"/>
  <c r="O2782" i="4" s="1"/>
  <c r="Q2781" i="4"/>
  <c r="P2781" i="4"/>
  <c r="N2781" i="4"/>
  <c r="M2781" i="4"/>
  <c r="L2781" i="4"/>
  <c r="K2781" i="4"/>
  <c r="J2781" i="4"/>
  <c r="I2781" i="4"/>
  <c r="H2781" i="4"/>
  <c r="O2781" i="4" s="1"/>
  <c r="Q2780" i="4"/>
  <c r="P2780" i="4"/>
  <c r="O2780" i="4"/>
  <c r="N2780" i="4"/>
  <c r="M2780" i="4"/>
  <c r="L2780" i="4"/>
  <c r="K2780" i="4"/>
  <c r="I2780" i="4"/>
  <c r="H2780" i="4"/>
  <c r="J2780" i="4" s="1"/>
  <c r="Q2777" i="4"/>
  <c r="P2777" i="4"/>
  <c r="N2777" i="4"/>
  <c r="M2777" i="4"/>
  <c r="L2777" i="4"/>
  <c r="K2777" i="4"/>
  <c r="J2777" i="4"/>
  <c r="I2777" i="4"/>
  <c r="H2777" i="4"/>
  <c r="O2777" i="4" s="1"/>
  <c r="Q2776" i="4"/>
  <c r="P2776" i="4"/>
  <c r="N2776" i="4"/>
  <c r="M2776" i="4"/>
  <c r="L2776" i="4"/>
  <c r="K2776" i="4"/>
  <c r="J2776" i="4"/>
  <c r="I2776" i="4"/>
  <c r="H2776" i="4"/>
  <c r="O2776" i="4" s="1"/>
  <c r="Q2775" i="4"/>
  <c r="P2775" i="4"/>
  <c r="N2775" i="4"/>
  <c r="M2775" i="4"/>
  <c r="L2775" i="4"/>
  <c r="K2775" i="4"/>
  <c r="J2775" i="4"/>
  <c r="I2775" i="4"/>
  <c r="H2775" i="4"/>
  <c r="O2775" i="4" s="1"/>
  <c r="Q2774" i="4"/>
  <c r="P2774" i="4"/>
  <c r="O2774" i="4"/>
  <c r="M2774" i="4"/>
  <c r="L2774" i="4"/>
  <c r="K2774" i="4"/>
  <c r="J2774" i="4"/>
  <c r="I2774" i="4"/>
  <c r="H2774" i="4"/>
  <c r="N2774" i="4" s="1"/>
  <c r="Q2773" i="4"/>
  <c r="P2773" i="4"/>
  <c r="O2773" i="4"/>
  <c r="M2773" i="4"/>
  <c r="L2773" i="4"/>
  <c r="K2773" i="4"/>
  <c r="J2773" i="4"/>
  <c r="I2773" i="4"/>
  <c r="H2773" i="4"/>
  <c r="N2773" i="4" s="1"/>
  <c r="Q2772" i="4"/>
  <c r="P2772" i="4"/>
  <c r="O2772" i="4"/>
  <c r="N2772" i="4"/>
  <c r="M2772" i="4"/>
  <c r="L2772" i="4"/>
  <c r="K2772" i="4"/>
  <c r="I2772" i="4"/>
  <c r="H2772" i="4"/>
  <c r="J2772" i="4" s="1"/>
  <c r="Q2769" i="4"/>
  <c r="P2769" i="4"/>
  <c r="O2769" i="4"/>
  <c r="N2769" i="4"/>
  <c r="L2769" i="4"/>
  <c r="K2769" i="4"/>
  <c r="J2769" i="4"/>
  <c r="I2769" i="4"/>
  <c r="H2769" i="4"/>
  <c r="M2769" i="4" s="1"/>
  <c r="Q2768" i="4"/>
  <c r="P2768" i="4"/>
  <c r="O2768" i="4"/>
  <c r="N2768" i="4"/>
  <c r="M2768" i="4"/>
  <c r="K2768" i="4"/>
  <c r="J2768" i="4"/>
  <c r="I2768" i="4"/>
  <c r="H2768" i="4"/>
  <c r="L2768" i="4" s="1"/>
  <c r="Q2767" i="4"/>
  <c r="P2767" i="4"/>
  <c r="O2767" i="4"/>
  <c r="N2767" i="4"/>
  <c r="M2767" i="4"/>
  <c r="L2767" i="4"/>
  <c r="K2767" i="4"/>
  <c r="I2767" i="4"/>
  <c r="H2767" i="4"/>
  <c r="J2767" i="4" s="1"/>
  <c r="Q2764" i="4"/>
  <c r="O2764" i="4"/>
  <c r="N2764" i="4"/>
  <c r="M2764" i="4"/>
  <c r="L2764" i="4"/>
  <c r="K2764" i="4"/>
  <c r="J2764" i="4"/>
  <c r="I2764" i="4"/>
  <c r="H2764" i="4"/>
  <c r="P2764" i="4" s="1"/>
  <c r="Q2763" i="4"/>
  <c r="P2763" i="4"/>
  <c r="N2763" i="4"/>
  <c r="M2763" i="4"/>
  <c r="L2763" i="4"/>
  <c r="K2763" i="4"/>
  <c r="J2763" i="4"/>
  <c r="I2763" i="4"/>
  <c r="H2763" i="4"/>
  <c r="O2763" i="4" s="1"/>
  <c r="Q2762" i="4"/>
  <c r="P2762" i="4"/>
  <c r="N2762" i="4"/>
  <c r="M2762" i="4"/>
  <c r="L2762" i="4"/>
  <c r="K2762" i="4"/>
  <c r="J2762" i="4"/>
  <c r="I2762" i="4"/>
  <c r="H2762" i="4"/>
  <c r="O2762" i="4" s="1"/>
  <c r="Q2761" i="4"/>
  <c r="P2761" i="4"/>
  <c r="N2761" i="4"/>
  <c r="M2761" i="4"/>
  <c r="L2761" i="4"/>
  <c r="K2761" i="4"/>
  <c r="J2761" i="4"/>
  <c r="I2761" i="4"/>
  <c r="H2761" i="4"/>
  <c r="O2761" i="4" s="1"/>
  <c r="Q2760" i="4"/>
  <c r="P2760" i="4"/>
  <c r="O2760" i="4"/>
  <c r="N2760" i="4"/>
  <c r="L2760" i="4"/>
  <c r="K2760" i="4"/>
  <c r="J2760" i="4"/>
  <c r="I2760" i="4"/>
  <c r="H2760" i="4"/>
  <c r="M2760" i="4" s="1"/>
  <c r="Q2759" i="4"/>
  <c r="P2759" i="4"/>
  <c r="O2759" i="4"/>
  <c r="N2759" i="4"/>
  <c r="L2759" i="4"/>
  <c r="K2759" i="4"/>
  <c r="J2759" i="4"/>
  <c r="I2759" i="4"/>
  <c r="H2759" i="4"/>
  <c r="M2759" i="4" s="1"/>
  <c r="Q2758" i="4"/>
  <c r="P2758" i="4"/>
  <c r="O2758" i="4"/>
  <c r="N2758" i="4"/>
  <c r="L2758" i="4"/>
  <c r="K2758" i="4"/>
  <c r="J2758" i="4"/>
  <c r="I2758" i="4"/>
  <c r="H2758" i="4"/>
  <c r="M2758" i="4" s="1"/>
  <c r="Q2757" i="4"/>
  <c r="P2757" i="4"/>
  <c r="O2757" i="4"/>
  <c r="N2757" i="4"/>
  <c r="M2757" i="4"/>
  <c r="L2757" i="4"/>
  <c r="K2757" i="4"/>
  <c r="I2757" i="4"/>
  <c r="H2757" i="4"/>
  <c r="J2757" i="4" s="1"/>
  <c r="Q2754" i="4"/>
  <c r="P2754" i="4"/>
  <c r="O2754" i="4"/>
  <c r="N2754" i="4"/>
  <c r="L2754" i="4"/>
  <c r="K2754" i="4"/>
  <c r="J2754" i="4"/>
  <c r="I2754" i="4"/>
  <c r="H2754" i="4"/>
  <c r="M2754" i="4" s="1"/>
  <c r="Q2753" i="4"/>
  <c r="P2753" i="4"/>
  <c r="O2753" i="4"/>
  <c r="N2753" i="4"/>
  <c r="M2753" i="4"/>
  <c r="K2753" i="4"/>
  <c r="J2753" i="4"/>
  <c r="I2753" i="4"/>
  <c r="H2753" i="4"/>
  <c r="L2753" i="4" s="1"/>
  <c r="Q2752" i="4"/>
  <c r="P2752" i="4"/>
  <c r="O2752" i="4"/>
  <c r="N2752" i="4"/>
  <c r="M2752" i="4"/>
  <c r="L2752" i="4"/>
  <c r="K2752" i="4"/>
  <c r="I2752" i="4"/>
  <c r="H2752" i="4"/>
  <c r="J2752" i="4" s="1"/>
  <c r="Q2749" i="4"/>
  <c r="P2749" i="4"/>
  <c r="O2749" i="4"/>
  <c r="N2749" i="4"/>
  <c r="M2749" i="4"/>
  <c r="L2749" i="4"/>
  <c r="K2749" i="4"/>
  <c r="J2749" i="4"/>
  <c r="I2749" i="4"/>
  <c r="H2749" i="4"/>
  <c r="Q2748" i="4"/>
  <c r="P2748" i="4"/>
  <c r="O2748" i="4"/>
  <c r="N2748" i="4"/>
  <c r="M2748" i="4"/>
  <c r="L2748" i="4"/>
  <c r="K2748" i="4"/>
  <c r="J2748" i="4"/>
  <c r="I2748" i="4"/>
  <c r="H2748" i="4"/>
  <c r="Q2747" i="4"/>
  <c r="P2747" i="4"/>
  <c r="O2747" i="4"/>
  <c r="N2747" i="4"/>
  <c r="M2747" i="4"/>
  <c r="L2747" i="4"/>
  <c r="K2747" i="4"/>
  <c r="J2747" i="4"/>
  <c r="I2747" i="4"/>
  <c r="H2747" i="4"/>
  <c r="Q2746" i="4"/>
  <c r="P2746" i="4"/>
  <c r="O2746" i="4"/>
  <c r="N2746" i="4"/>
  <c r="M2746" i="4"/>
  <c r="L2746" i="4"/>
  <c r="K2746" i="4"/>
  <c r="J2746" i="4"/>
  <c r="I2746" i="4"/>
  <c r="H2746" i="4"/>
  <c r="Q2745" i="4"/>
  <c r="P2745" i="4"/>
  <c r="O2745" i="4"/>
  <c r="N2745" i="4"/>
  <c r="M2745" i="4"/>
  <c r="L2745" i="4"/>
  <c r="K2745" i="4"/>
  <c r="J2745" i="4"/>
  <c r="I2745" i="4"/>
  <c r="H2745" i="4"/>
  <c r="Q2744" i="4"/>
  <c r="P2744" i="4"/>
  <c r="O2744" i="4"/>
  <c r="N2744" i="4"/>
  <c r="M2744" i="4"/>
  <c r="L2744" i="4"/>
  <c r="K2744" i="4"/>
  <c r="J2744" i="4"/>
  <c r="I2744" i="4"/>
  <c r="H2744" i="4"/>
  <c r="Q2743" i="4"/>
  <c r="P2743" i="4"/>
  <c r="O2743" i="4"/>
  <c r="N2743" i="4"/>
  <c r="M2743" i="4"/>
  <c r="L2743" i="4"/>
  <c r="K2743" i="4"/>
  <c r="J2743" i="4"/>
  <c r="I2743" i="4"/>
  <c r="H2743" i="4"/>
  <c r="Q2742" i="4"/>
  <c r="P2742" i="4"/>
  <c r="O2742" i="4"/>
  <c r="N2742" i="4"/>
  <c r="M2742" i="4"/>
  <c r="L2742" i="4"/>
  <c r="K2742" i="4"/>
  <c r="J2742" i="4"/>
  <c r="I2742" i="4"/>
  <c r="H2742" i="4"/>
  <c r="Q2741" i="4"/>
  <c r="P2741" i="4"/>
  <c r="O2741" i="4"/>
  <c r="N2741" i="4"/>
  <c r="L2741" i="4"/>
  <c r="K2741" i="4"/>
  <c r="J2741" i="4"/>
  <c r="I2741" i="4"/>
  <c r="H2741" i="4"/>
  <c r="M2741" i="4" s="1"/>
  <c r="Q2740" i="4"/>
  <c r="P2740" i="4"/>
  <c r="O2740" i="4"/>
  <c r="N2740" i="4"/>
  <c r="M2740" i="4"/>
  <c r="K2740" i="4"/>
  <c r="J2740" i="4"/>
  <c r="I2740" i="4"/>
  <c r="H2740" i="4"/>
  <c r="L2740" i="4" s="1"/>
  <c r="Q2739" i="4"/>
  <c r="P2739" i="4"/>
  <c r="O2739" i="4"/>
  <c r="N2739" i="4"/>
  <c r="M2739" i="4"/>
  <c r="L2739" i="4"/>
  <c r="J2739" i="4"/>
  <c r="I2739" i="4"/>
  <c r="H2739" i="4"/>
  <c r="K2739" i="4" s="1"/>
  <c r="Q2738" i="4"/>
  <c r="P2738" i="4"/>
  <c r="O2738" i="4"/>
  <c r="N2738" i="4"/>
  <c r="M2738" i="4"/>
  <c r="L2738" i="4"/>
  <c r="K2738" i="4"/>
  <c r="I2738" i="4"/>
  <c r="H2738" i="4"/>
  <c r="J2738" i="4" s="1"/>
  <c r="Q2735" i="4"/>
  <c r="P2735" i="4"/>
  <c r="O2735" i="4"/>
  <c r="N2735" i="4"/>
  <c r="L2735" i="4"/>
  <c r="K2735" i="4"/>
  <c r="J2735" i="4"/>
  <c r="I2735" i="4"/>
  <c r="H2735" i="4"/>
  <c r="M2735" i="4" s="1"/>
  <c r="Q2734" i="4"/>
  <c r="P2734" i="4"/>
  <c r="O2734" i="4"/>
  <c r="N2734" i="4"/>
  <c r="M2734" i="4"/>
  <c r="K2734" i="4"/>
  <c r="J2734" i="4"/>
  <c r="I2734" i="4"/>
  <c r="H2734" i="4"/>
  <c r="L2734" i="4" s="1"/>
  <c r="Q2733" i="4"/>
  <c r="P2733" i="4"/>
  <c r="O2733" i="4"/>
  <c r="N2733" i="4"/>
  <c r="M2733" i="4"/>
  <c r="L2733" i="4"/>
  <c r="K2733" i="4"/>
  <c r="I2733" i="4"/>
  <c r="H2733" i="4"/>
  <c r="J2733" i="4" s="1"/>
  <c r="Q2730" i="4"/>
  <c r="P2730" i="4"/>
  <c r="N2730" i="4"/>
  <c r="M2730" i="4"/>
  <c r="L2730" i="4"/>
  <c r="K2730" i="4"/>
  <c r="J2730" i="4"/>
  <c r="I2730" i="4"/>
  <c r="H2730" i="4"/>
  <c r="O2730" i="4" s="1"/>
  <c r="Q2729" i="4"/>
  <c r="P2729" i="4"/>
  <c r="N2729" i="4"/>
  <c r="M2729" i="4"/>
  <c r="L2729" i="4"/>
  <c r="K2729" i="4"/>
  <c r="J2729" i="4"/>
  <c r="I2729" i="4"/>
  <c r="H2729" i="4"/>
  <c r="O2729" i="4" s="1"/>
  <c r="Q2728" i="4"/>
  <c r="P2728" i="4"/>
  <c r="N2728" i="4"/>
  <c r="M2728" i="4"/>
  <c r="L2728" i="4"/>
  <c r="K2728" i="4"/>
  <c r="J2728" i="4"/>
  <c r="I2728" i="4"/>
  <c r="H2728" i="4"/>
  <c r="O2728" i="4" s="1"/>
  <c r="Q2727" i="4"/>
  <c r="P2727" i="4"/>
  <c r="N2727" i="4"/>
  <c r="M2727" i="4"/>
  <c r="L2727" i="4"/>
  <c r="K2727" i="4"/>
  <c r="J2727" i="4"/>
  <c r="I2727" i="4"/>
  <c r="H2727" i="4"/>
  <c r="O2727" i="4" s="1"/>
  <c r="Q2726" i="4"/>
  <c r="P2726" i="4"/>
  <c r="O2726" i="4"/>
  <c r="N2726" i="4"/>
  <c r="M2726" i="4"/>
  <c r="L2726" i="4"/>
  <c r="J2726" i="4"/>
  <c r="I2726" i="4"/>
  <c r="H2726" i="4"/>
  <c r="K2726" i="4" s="1"/>
  <c r="Q2725" i="4"/>
  <c r="P2725" i="4"/>
  <c r="O2725" i="4"/>
  <c r="N2725" i="4"/>
  <c r="M2725" i="4"/>
  <c r="L2725" i="4"/>
  <c r="K2725" i="4"/>
  <c r="I2725" i="4"/>
  <c r="H2725" i="4"/>
  <c r="J2725" i="4" s="1"/>
  <c r="Q2722" i="4"/>
  <c r="P2722" i="4"/>
  <c r="N2722" i="4"/>
  <c r="M2722" i="4"/>
  <c r="L2722" i="4"/>
  <c r="K2722" i="4"/>
  <c r="J2722" i="4"/>
  <c r="I2722" i="4"/>
  <c r="H2722" i="4"/>
  <c r="O2722" i="4" s="1"/>
  <c r="Q2721" i="4"/>
  <c r="P2721" i="4"/>
  <c r="N2721" i="4"/>
  <c r="M2721" i="4"/>
  <c r="L2721" i="4"/>
  <c r="K2721" i="4"/>
  <c r="J2721" i="4"/>
  <c r="I2721" i="4"/>
  <c r="H2721" i="4"/>
  <c r="O2721" i="4" s="1"/>
  <c r="Q2720" i="4"/>
  <c r="P2720" i="4"/>
  <c r="O2720" i="4"/>
  <c r="N2720" i="4"/>
  <c r="L2720" i="4"/>
  <c r="K2720" i="4"/>
  <c r="J2720" i="4"/>
  <c r="I2720" i="4"/>
  <c r="H2720" i="4"/>
  <c r="M2720" i="4" s="1"/>
  <c r="Q2719" i="4"/>
  <c r="P2719" i="4"/>
  <c r="O2719" i="4"/>
  <c r="N2719" i="4"/>
  <c r="L2719" i="4"/>
  <c r="K2719" i="4"/>
  <c r="J2719" i="4"/>
  <c r="I2719" i="4"/>
  <c r="H2719" i="4"/>
  <c r="M2719" i="4" s="1"/>
  <c r="Q2718" i="4"/>
  <c r="P2718" i="4"/>
  <c r="O2718" i="4"/>
  <c r="N2718" i="4"/>
  <c r="L2718" i="4"/>
  <c r="K2718" i="4"/>
  <c r="J2718" i="4"/>
  <c r="I2718" i="4"/>
  <c r="H2718" i="4"/>
  <c r="M2718" i="4" s="1"/>
  <c r="Q2717" i="4"/>
  <c r="P2717" i="4"/>
  <c r="O2717" i="4"/>
  <c r="N2717" i="4"/>
  <c r="L2717" i="4"/>
  <c r="K2717" i="4"/>
  <c r="J2717" i="4"/>
  <c r="I2717" i="4"/>
  <c r="H2717" i="4"/>
  <c r="M2717" i="4" s="1"/>
  <c r="Q2716" i="4"/>
  <c r="P2716" i="4"/>
  <c r="O2716" i="4"/>
  <c r="N2716" i="4"/>
  <c r="M2716" i="4"/>
  <c r="L2716" i="4"/>
  <c r="J2716" i="4"/>
  <c r="I2716" i="4"/>
  <c r="H2716" i="4"/>
  <c r="K2716" i="4" s="1"/>
  <c r="Q2715" i="4"/>
  <c r="P2715" i="4"/>
  <c r="O2715" i="4"/>
  <c r="N2715" i="4"/>
  <c r="M2715" i="4"/>
  <c r="L2715" i="4"/>
  <c r="K2715" i="4"/>
  <c r="I2715" i="4"/>
  <c r="H2715" i="4"/>
  <c r="J2715" i="4" s="1"/>
  <c r="Q2712" i="4"/>
  <c r="P2712" i="4"/>
  <c r="N2712" i="4"/>
  <c r="M2712" i="4"/>
  <c r="L2712" i="4"/>
  <c r="K2712" i="4"/>
  <c r="J2712" i="4"/>
  <c r="I2712" i="4"/>
  <c r="H2712" i="4"/>
  <c r="O2712" i="4" s="1"/>
  <c r="Q2711" i="4"/>
  <c r="P2711" i="4"/>
  <c r="N2711" i="4"/>
  <c r="M2711" i="4"/>
  <c r="L2711" i="4"/>
  <c r="K2711" i="4"/>
  <c r="J2711" i="4"/>
  <c r="I2711" i="4"/>
  <c r="H2711" i="4"/>
  <c r="O2711" i="4" s="1"/>
  <c r="Q2710" i="4"/>
  <c r="P2710" i="4"/>
  <c r="N2710" i="4"/>
  <c r="M2710" i="4"/>
  <c r="L2710" i="4"/>
  <c r="K2710" i="4"/>
  <c r="J2710" i="4"/>
  <c r="I2710" i="4"/>
  <c r="H2710" i="4"/>
  <c r="O2710" i="4" s="1"/>
  <c r="Q2709" i="4"/>
  <c r="P2709" i="4"/>
  <c r="N2709" i="4"/>
  <c r="M2709" i="4"/>
  <c r="L2709" i="4"/>
  <c r="K2709" i="4"/>
  <c r="J2709" i="4"/>
  <c r="I2709" i="4"/>
  <c r="H2709" i="4"/>
  <c r="O2709" i="4" s="1"/>
  <c r="Q2704" i="4"/>
  <c r="P2704" i="4"/>
  <c r="O2704" i="4"/>
  <c r="N2704" i="4"/>
  <c r="L2704" i="4"/>
  <c r="K2704" i="4"/>
  <c r="J2704" i="4"/>
  <c r="I2704" i="4"/>
  <c r="H2704" i="4"/>
  <c r="M2704" i="4" s="1"/>
  <c r="Q2703" i="4"/>
  <c r="P2703" i="4"/>
  <c r="O2703" i="4"/>
  <c r="N2703" i="4"/>
  <c r="M2703" i="4"/>
  <c r="K2703" i="4"/>
  <c r="J2703" i="4"/>
  <c r="I2703" i="4"/>
  <c r="H2703" i="4"/>
  <c r="L2703" i="4" s="1"/>
  <c r="Q2702" i="4"/>
  <c r="P2702" i="4"/>
  <c r="O2702" i="4"/>
  <c r="N2702" i="4"/>
  <c r="M2702" i="4"/>
  <c r="K2702" i="4"/>
  <c r="J2702" i="4"/>
  <c r="I2702" i="4"/>
  <c r="H2702" i="4"/>
  <c r="L2702" i="4" s="1"/>
  <c r="Q2701" i="4"/>
  <c r="P2701" i="4"/>
  <c r="O2701" i="4"/>
  <c r="N2701" i="4"/>
  <c r="M2701" i="4"/>
  <c r="L2701" i="4"/>
  <c r="K2701" i="4"/>
  <c r="I2701" i="4"/>
  <c r="H2701" i="4"/>
  <c r="J2701" i="4" s="1"/>
  <c r="Q2698" i="4"/>
  <c r="P2698" i="4"/>
  <c r="N2698" i="4"/>
  <c r="M2698" i="4"/>
  <c r="L2698" i="4"/>
  <c r="K2698" i="4"/>
  <c r="J2698" i="4"/>
  <c r="I2698" i="4"/>
  <c r="H2698" i="4"/>
  <c r="O2698" i="4" s="1"/>
  <c r="Q2697" i="4"/>
  <c r="P2697" i="4"/>
  <c r="N2697" i="4"/>
  <c r="M2697" i="4"/>
  <c r="L2697" i="4"/>
  <c r="K2697" i="4"/>
  <c r="J2697" i="4"/>
  <c r="I2697" i="4"/>
  <c r="H2697" i="4"/>
  <c r="O2697" i="4" s="1"/>
  <c r="Q2696" i="4"/>
  <c r="P2696" i="4"/>
  <c r="O2696" i="4"/>
  <c r="N2696" i="4"/>
  <c r="L2696" i="4"/>
  <c r="K2696" i="4"/>
  <c r="J2696" i="4"/>
  <c r="I2696" i="4"/>
  <c r="H2696" i="4"/>
  <c r="M2696" i="4" s="1"/>
  <c r="Q2695" i="4"/>
  <c r="P2695" i="4"/>
  <c r="O2695" i="4"/>
  <c r="N2695" i="4"/>
  <c r="M2695" i="4"/>
  <c r="L2695" i="4"/>
  <c r="K2695" i="4"/>
  <c r="I2695" i="4"/>
  <c r="H2695" i="4"/>
  <c r="J2695" i="4" s="1"/>
  <c r="Q2692" i="4"/>
  <c r="P2692" i="4"/>
  <c r="N2692" i="4"/>
  <c r="M2692" i="4"/>
  <c r="L2692" i="4"/>
  <c r="K2692" i="4"/>
  <c r="J2692" i="4"/>
  <c r="I2692" i="4"/>
  <c r="H2692" i="4"/>
  <c r="O2692" i="4" s="1"/>
  <c r="Q2691" i="4"/>
  <c r="P2691" i="4"/>
  <c r="N2691" i="4"/>
  <c r="M2691" i="4"/>
  <c r="L2691" i="4"/>
  <c r="K2691" i="4"/>
  <c r="J2691" i="4"/>
  <c r="I2691" i="4"/>
  <c r="H2691" i="4"/>
  <c r="O2691" i="4" s="1"/>
  <c r="Q2690" i="4"/>
  <c r="P2690" i="4"/>
  <c r="O2690" i="4"/>
  <c r="N2690" i="4"/>
  <c r="L2690" i="4"/>
  <c r="K2690" i="4"/>
  <c r="J2690" i="4"/>
  <c r="I2690" i="4"/>
  <c r="H2690" i="4"/>
  <c r="M2690" i="4" s="1"/>
  <c r="Q2689" i="4"/>
  <c r="P2689" i="4"/>
  <c r="O2689" i="4"/>
  <c r="N2689" i="4"/>
  <c r="L2689" i="4"/>
  <c r="K2689" i="4"/>
  <c r="J2689" i="4"/>
  <c r="I2689" i="4"/>
  <c r="H2689" i="4"/>
  <c r="M2689" i="4" s="1"/>
  <c r="Q2688" i="4"/>
  <c r="P2688" i="4"/>
  <c r="O2688" i="4"/>
  <c r="N2688" i="4"/>
  <c r="M2688" i="4"/>
  <c r="L2688" i="4"/>
  <c r="K2688" i="4"/>
  <c r="I2688" i="4"/>
  <c r="H2688" i="4"/>
  <c r="J2688" i="4" s="1"/>
  <c r="Q2685" i="4"/>
  <c r="P2685" i="4"/>
  <c r="N2685" i="4"/>
  <c r="M2685" i="4"/>
  <c r="L2685" i="4"/>
  <c r="K2685" i="4"/>
  <c r="J2685" i="4"/>
  <c r="I2685" i="4"/>
  <c r="H2685" i="4"/>
  <c r="O2685" i="4" s="1"/>
  <c r="Q2684" i="4"/>
  <c r="P2684" i="4"/>
  <c r="N2684" i="4"/>
  <c r="M2684" i="4"/>
  <c r="L2684" i="4"/>
  <c r="K2684" i="4"/>
  <c r="J2684" i="4"/>
  <c r="I2684" i="4"/>
  <c r="H2684" i="4"/>
  <c r="O2684" i="4" s="1"/>
  <c r="Q2683" i="4"/>
  <c r="P2683" i="4"/>
  <c r="O2683" i="4"/>
  <c r="N2683" i="4"/>
  <c r="L2683" i="4"/>
  <c r="K2683" i="4"/>
  <c r="J2683" i="4"/>
  <c r="I2683" i="4"/>
  <c r="H2683" i="4"/>
  <c r="M2683" i="4" s="1"/>
  <c r="Q2682" i="4"/>
  <c r="P2682" i="4"/>
  <c r="O2682" i="4"/>
  <c r="N2682" i="4"/>
  <c r="M2682" i="4"/>
  <c r="L2682" i="4"/>
  <c r="K2682" i="4"/>
  <c r="I2682" i="4"/>
  <c r="H2682" i="4"/>
  <c r="J2682" i="4" s="1"/>
  <c r="Q2679" i="4"/>
  <c r="P2679" i="4"/>
  <c r="O2679" i="4"/>
  <c r="N2679" i="4"/>
  <c r="L2679" i="4"/>
  <c r="K2679" i="4"/>
  <c r="J2679" i="4"/>
  <c r="I2679" i="4"/>
  <c r="H2679" i="4"/>
  <c r="M2679" i="4" s="1"/>
  <c r="Q2678" i="4"/>
  <c r="P2678" i="4"/>
  <c r="O2678" i="4"/>
  <c r="N2678" i="4"/>
  <c r="M2678" i="4"/>
  <c r="K2678" i="4"/>
  <c r="J2678" i="4"/>
  <c r="I2678" i="4"/>
  <c r="H2678" i="4"/>
  <c r="L2678" i="4" s="1"/>
  <c r="Q2677" i="4"/>
  <c r="P2677" i="4"/>
  <c r="O2677" i="4"/>
  <c r="N2677" i="4"/>
  <c r="M2677" i="4"/>
  <c r="L2677" i="4"/>
  <c r="K2677" i="4"/>
  <c r="I2677" i="4"/>
  <c r="H2677" i="4"/>
  <c r="J2677" i="4" s="1"/>
  <c r="Q2674" i="4"/>
  <c r="P2674" i="4"/>
  <c r="O2674" i="4"/>
  <c r="N2674" i="4"/>
  <c r="L2674" i="4"/>
  <c r="K2674" i="4"/>
  <c r="J2674" i="4"/>
  <c r="I2674" i="4"/>
  <c r="H2674" i="4"/>
  <c r="M2674" i="4" s="1"/>
  <c r="Q2673" i="4"/>
  <c r="P2673" i="4"/>
  <c r="O2673" i="4"/>
  <c r="N2673" i="4"/>
  <c r="M2673" i="4"/>
  <c r="K2673" i="4"/>
  <c r="J2673" i="4"/>
  <c r="I2673" i="4"/>
  <c r="H2673" i="4"/>
  <c r="L2673" i="4" s="1"/>
  <c r="Q2672" i="4"/>
  <c r="P2672" i="4"/>
  <c r="O2672" i="4"/>
  <c r="N2672" i="4"/>
  <c r="M2672" i="4"/>
  <c r="L2672" i="4"/>
  <c r="K2672" i="4"/>
  <c r="I2672" i="4"/>
  <c r="H2672" i="4"/>
  <c r="J2672" i="4" s="1"/>
  <c r="Q2669" i="4"/>
  <c r="P2669" i="4"/>
  <c r="O2669" i="4"/>
  <c r="N2669" i="4"/>
  <c r="L2669" i="4"/>
  <c r="K2669" i="4"/>
  <c r="J2669" i="4"/>
  <c r="I2669" i="4"/>
  <c r="H2669" i="4"/>
  <c r="M2669" i="4" s="1"/>
  <c r="Q2668" i="4"/>
  <c r="P2668" i="4"/>
  <c r="O2668" i="4"/>
  <c r="N2668" i="4"/>
  <c r="M2668" i="4"/>
  <c r="K2668" i="4"/>
  <c r="J2668" i="4"/>
  <c r="I2668" i="4"/>
  <c r="H2668" i="4"/>
  <c r="L2668" i="4" s="1"/>
  <c r="Q2667" i="4"/>
  <c r="P2667" i="4"/>
  <c r="O2667" i="4"/>
  <c r="N2667" i="4"/>
  <c r="M2667" i="4"/>
  <c r="L2667" i="4"/>
  <c r="K2667" i="4"/>
  <c r="I2667" i="4"/>
  <c r="H2667" i="4"/>
  <c r="J2667" i="4" s="1"/>
  <c r="Q2664" i="4"/>
  <c r="P2664" i="4"/>
  <c r="O2664" i="4"/>
  <c r="N2664" i="4"/>
  <c r="L2664" i="4"/>
  <c r="K2664" i="4"/>
  <c r="J2664" i="4"/>
  <c r="I2664" i="4"/>
  <c r="H2664" i="4"/>
  <c r="M2664" i="4" s="1"/>
  <c r="Q2663" i="4"/>
  <c r="P2663" i="4"/>
  <c r="O2663" i="4"/>
  <c r="N2663" i="4"/>
  <c r="L2663" i="4"/>
  <c r="K2663" i="4"/>
  <c r="J2663" i="4"/>
  <c r="I2663" i="4"/>
  <c r="H2663" i="4"/>
  <c r="M2663" i="4" s="1"/>
  <c r="Q2662" i="4"/>
  <c r="P2662" i="4"/>
  <c r="O2662" i="4"/>
  <c r="N2662" i="4"/>
  <c r="L2662" i="4"/>
  <c r="K2662" i="4"/>
  <c r="J2662" i="4"/>
  <c r="I2662" i="4"/>
  <c r="H2662" i="4"/>
  <c r="M2662" i="4" s="1"/>
  <c r="Q2661" i="4"/>
  <c r="P2661" i="4"/>
  <c r="O2661" i="4"/>
  <c r="N2661" i="4"/>
  <c r="M2661" i="4"/>
  <c r="K2661" i="4"/>
  <c r="J2661" i="4"/>
  <c r="I2661" i="4"/>
  <c r="H2661" i="4"/>
  <c r="L2661" i="4" s="1"/>
  <c r="Q2660" i="4"/>
  <c r="P2660" i="4"/>
  <c r="O2660" i="4"/>
  <c r="N2660" i="4"/>
  <c r="M2660" i="4"/>
  <c r="K2660" i="4"/>
  <c r="J2660" i="4"/>
  <c r="I2660" i="4"/>
  <c r="H2660" i="4"/>
  <c r="L2660" i="4" s="1"/>
  <c r="Q2659" i="4"/>
  <c r="P2659" i="4"/>
  <c r="O2659" i="4"/>
  <c r="N2659" i="4"/>
  <c r="M2659" i="4"/>
  <c r="L2659" i="4"/>
  <c r="J2659" i="4"/>
  <c r="I2659" i="4"/>
  <c r="H2659" i="4"/>
  <c r="K2659" i="4" s="1"/>
  <c r="Q2658" i="4"/>
  <c r="P2658" i="4"/>
  <c r="O2658" i="4"/>
  <c r="N2658" i="4"/>
  <c r="M2658" i="4"/>
  <c r="L2658" i="4"/>
  <c r="K2658" i="4"/>
  <c r="I2658" i="4"/>
  <c r="H2658" i="4"/>
  <c r="J2658" i="4" s="1"/>
  <c r="Q2655" i="4"/>
  <c r="P2655" i="4"/>
  <c r="O2655" i="4"/>
  <c r="N2655" i="4"/>
  <c r="L2655" i="4"/>
  <c r="K2655" i="4"/>
  <c r="J2655" i="4"/>
  <c r="I2655" i="4"/>
  <c r="H2655" i="4"/>
  <c r="M2655" i="4" s="1"/>
  <c r="Q2654" i="4"/>
  <c r="P2654" i="4"/>
  <c r="O2654" i="4"/>
  <c r="N2654" i="4"/>
  <c r="L2654" i="4"/>
  <c r="K2654" i="4"/>
  <c r="J2654" i="4"/>
  <c r="I2654" i="4"/>
  <c r="H2654" i="4"/>
  <c r="M2654" i="4" s="1"/>
  <c r="Q2653" i="4"/>
  <c r="P2653" i="4"/>
  <c r="O2653" i="4"/>
  <c r="N2653" i="4"/>
  <c r="L2653" i="4"/>
  <c r="K2653" i="4"/>
  <c r="J2653" i="4"/>
  <c r="I2653" i="4"/>
  <c r="H2653" i="4"/>
  <c r="M2653" i="4" s="1"/>
  <c r="Q2652" i="4"/>
  <c r="P2652" i="4"/>
  <c r="O2652" i="4"/>
  <c r="N2652" i="4"/>
  <c r="L2652" i="4"/>
  <c r="K2652" i="4"/>
  <c r="J2652" i="4"/>
  <c r="I2652" i="4"/>
  <c r="H2652" i="4"/>
  <c r="M2652" i="4" s="1"/>
  <c r="Q2651" i="4"/>
  <c r="P2651" i="4"/>
  <c r="O2651" i="4"/>
  <c r="N2651" i="4"/>
  <c r="M2651" i="4"/>
  <c r="L2651" i="4"/>
  <c r="J2651" i="4"/>
  <c r="I2651" i="4"/>
  <c r="H2651" i="4"/>
  <c r="K2651" i="4" s="1"/>
  <c r="Q2650" i="4"/>
  <c r="P2650" i="4"/>
  <c r="O2650" i="4"/>
  <c r="N2650" i="4"/>
  <c r="M2650" i="4"/>
  <c r="L2650" i="4"/>
  <c r="K2650" i="4"/>
  <c r="I2650" i="4"/>
  <c r="H2650" i="4"/>
  <c r="J2650" i="4" s="1"/>
  <c r="Q2647" i="4"/>
  <c r="P2647" i="4"/>
  <c r="O2647" i="4"/>
  <c r="N2647" i="4"/>
  <c r="L2647" i="4"/>
  <c r="K2647" i="4"/>
  <c r="J2647" i="4"/>
  <c r="I2647" i="4"/>
  <c r="H2647" i="4"/>
  <c r="M2647" i="4" s="1"/>
  <c r="Q2646" i="4"/>
  <c r="P2646" i="4"/>
  <c r="O2646" i="4"/>
  <c r="N2646" i="4"/>
  <c r="L2646" i="4"/>
  <c r="K2646" i="4"/>
  <c r="J2646" i="4"/>
  <c r="I2646" i="4"/>
  <c r="H2646" i="4"/>
  <c r="M2646" i="4" s="1"/>
  <c r="Q2645" i="4"/>
  <c r="P2645" i="4"/>
  <c r="O2645" i="4"/>
  <c r="N2645" i="4"/>
  <c r="L2645" i="4"/>
  <c r="K2645" i="4"/>
  <c r="J2645" i="4"/>
  <c r="I2645" i="4"/>
  <c r="H2645" i="4"/>
  <c r="M2645" i="4" s="1"/>
  <c r="Q2644" i="4"/>
  <c r="P2644" i="4"/>
  <c r="O2644" i="4"/>
  <c r="N2644" i="4"/>
  <c r="M2644" i="4"/>
  <c r="L2644" i="4"/>
  <c r="J2644" i="4"/>
  <c r="I2644" i="4"/>
  <c r="H2644" i="4"/>
  <c r="K2644" i="4" s="1"/>
  <c r="Q2643" i="4"/>
  <c r="P2643" i="4"/>
  <c r="O2643" i="4"/>
  <c r="N2643" i="4"/>
  <c r="M2643" i="4"/>
  <c r="L2643" i="4"/>
  <c r="K2643" i="4"/>
  <c r="I2643" i="4"/>
  <c r="H2643" i="4"/>
  <c r="J2643" i="4" s="1"/>
  <c r="Q2640" i="4"/>
  <c r="P2640" i="4"/>
  <c r="O2640" i="4"/>
  <c r="N2640" i="4"/>
  <c r="L2640" i="4"/>
  <c r="K2640" i="4"/>
  <c r="J2640" i="4"/>
  <c r="I2640" i="4"/>
  <c r="H2640" i="4"/>
  <c r="M2640" i="4" s="1"/>
  <c r="Q2639" i="4"/>
  <c r="P2639" i="4"/>
  <c r="O2639" i="4"/>
  <c r="N2639" i="4"/>
  <c r="L2639" i="4"/>
  <c r="K2639" i="4"/>
  <c r="J2639" i="4"/>
  <c r="I2639" i="4"/>
  <c r="H2639" i="4"/>
  <c r="M2639" i="4" s="1"/>
  <c r="Q2638" i="4"/>
  <c r="P2638" i="4"/>
  <c r="O2638" i="4"/>
  <c r="N2638" i="4"/>
  <c r="L2638" i="4"/>
  <c r="K2638" i="4"/>
  <c r="J2638" i="4"/>
  <c r="I2638" i="4"/>
  <c r="H2638" i="4"/>
  <c r="M2638" i="4" s="1"/>
  <c r="Q2637" i="4"/>
  <c r="P2637" i="4"/>
  <c r="O2637" i="4"/>
  <c r="N2637" i="4"/>
  <c r="L2637" i="4"/>
  <c r="K2637" i="4"/>
  <c r="J2637" i="4"/>
  <c r="I2637" i="4"/>
  <c r="H2637" i="4"/>
  <c r="M2637" i="4" s="1"/>
  <c r="Q2636" i="4"/>
  <c r="P2636" i="4"/>
  <c r="O2636" i="4"/>
  <c r="N2636" i="4"/>
  <c r="L2636" i="4"/>
  <c r="K2636" i="4"/>
  <c r="J2636" i="4"/>
  <c r="I2636" i="4"/>
  <c r="H2636" i="4"/>
  <c r="M2636" i="4" s="1"/>
  <c r="Q2635" i="4"/>
  <c r="P2635" i="4"/>
  <c r="O2635" i="4"/>
  <c r="N2635" i="4"/>
  <c r="L2635" i="4"/>
  <c r="K2635" i="4"/>
  <c r="J2635" i="4"/>
  <c r="I2635" i="4"/>
  <c r="H2635" i="4"/>
  <c r="M2635" i="4" s="1"/>
  <c r="Q2634" i="4"/>
  <c r="P2634" i="4"/>
  <c r="O2634" i="4"/>
  <c r="N2634" i="4"/>
  <c r="M2634" i="4"/>
  <c r="L2634" i="4"/>
  <c r="J2634" i="4"/>
  <c r="I2634" i="4"/>
  <c r="H2634" i="4"/>
  <c r="K2634" i="4" s="1"/>
  <c r="Q2633" i="4"/>
  <c r="P2633" i="4"/>
  <c r="O2633" i="4"/>
  <c r="N2633" i="4"/>
  <c r="M2633" i="4"/>
  <c r="L2633" i="4"/>
  <c r="K2633" i="4"/>
  <c r="I2633" i="4"/>
  <c r="H2633" i="4"/>
  <c r="J2633" i="4" s="1"/>
  <c r="Q2630" i="4"/>
  <c r="P2630" i="4"/>
  <c r="O2630" i="4"/>
  <c r="N2630" i="4"/>
  <c r="M2630" i="4"/>
  <c r="L2630" i="4"/>
  <c r="K2630" i="4"/>
  <c r="J2630" i="4"/>
  <c r="I2630" i="4"/>
  <c r="H2630" i="4"/>
  <c r="Q2629" i="4"/>
  <c r="P2629" i="4"/>
  <c r="O2629" i="4"/>
  <c r="N2629" i="4"/>
  <c r="M2629" i="4"/>
  <c r="L2629" i="4"/>
  <c r="K2629" i="4"/>
  <c r="J2629" i="4"/>
  <c r="I2629" i="4"/>
  <c r="H2629" i="4"/>
  <c r="Q2628" i="4"/>
  <c r="P2628" i="4"/>
  <c r="O2628" i="4"/>
  <c r="N2628" i="4"/>
  <c r="L2628" i="4"/>
  <c r="K2628" i="4"/>
  <c r="J2628" i="4"/>
  <c r="I2628" i="4"/>
  <c r="H2628" i="4"/>
  <c r="M2628" i="4" s="1"/>
  <c r="Q2627" i="4"/>
  <c r="P2627" i="4"/>
  <c r="O2627" i="4"/>
  <c r="N2627" i="4"/>
  <c r="L2627" i="4"/>
  <c r="K2627" i="4"/>
  <c r="J2627" i="4"/>
  <c r="I2627" i="4"/>
  <c r="H2627" i="4"/>
  <c r="M2627" i="4" s="1"/>
  <c r="Q2626" i="4"/>
  <c r="P2626" i="4"/>
  <c r="O2626" i="4"/>
  <c r="N2626" i="4"/>
  <c r="L2626" i="4"/>
  <c r="K2626" i="4"/>
  <c r="J2626" i="4"/>
  <c r="I2626" i="4"/>
  <c r="H2626" i="4"/>
  <c r="M2626" i="4" s="1"/>
  <c r="Q2625" i="4"/>
  <c r="P2625" i="4"/>
  <c r="O2625" i="4"/>
  <c r="N2625" i="4"/>
  <c r="L2625" i="4"/>
  <c r="K2625" i="4"/>
  <c r="J2625" i="4"/>
  <c r="I2625" i="4"/>
  <c r="H2625" i="4"/>
  <c r="M2625" i="4" s="1"/>
  <c r="Q2624" i="4"/>
  <c r="P2624" i="4"/>
  <c r="O2624" i="4"/>
  <c r="N2624" i="4"/>
  <c r="L2624" i="4"/>
  <c r="K2624" i="4"/>
  <c r="J2624" i="4"/>
  <c r="I2624" i="4"/>
  <c r="H2624" i="4"/>
  <c r="M2624" i="4" s="1"/>
  <c r="Q2623" i="4"/>
  <c r="P2623" i="4"/>
  <c r="O2623" i="4"/>
  <c r="N2623" i="4"/>
  <c r="L2623" i="4"/>
  <c r="K2623" i="4"/>
  <c r="J2623" i="4"/>
  <c r="I2623" i="4"/>
  <c r="H2623" i="4"/>
  <c r="M2623" i="4" s="1"/>
  <c r="Q2620" i="4"/>
  <c r="P2620" i="4"/>
  <c r="O2620" i="4"/>
  <c r="N2620" i="4"/>
  <c r="M2620" i="4"/>
  <c r="K2620" i="4"/>
  <c r="J2620" i="4"/>
  <c r="I2620" i="4"/>
  <c r="H2620" i="4"/>
  <c r="L2620" i="4" s="1"/>
  <c r="Q2619" i="4"/>
  <c r="P2619" i="4"/>
  <c r="O2619" i="4"/>
  <c r="N2619" i="4"/>
  <c r="M2619" i="4"/>
  <c r="K2619" i="4"/>
  <c r="J2619" i="4"/>
  <c r="I2619" i="4"/>
  <c r="H2619" i="4"/>
  <c r="L2619" i="4" s="1"/>
  <c r="Q2618" i="4"/>
  <c r="P2618" i="4"/>
  <c r="O2618" i="4"/>
  <c r="N2618" i="4"/>
  <c r="M2618" i="4"/>
  <c r="K2618" i="4"/>
  <c r="J2618" i="4"/>
  <c r="I2618" i="4"/>
  <c r="H2618" i="4"/>
  <c r="L2618" i="4" s="1"/>
  <c r="Q2617" i="4"/>
  <c r="P2617" i="4"/>
  <c r="O2617" i="4"/>
  <c r="N2617" i="4"/>
  <c r="M2617" i="4"/>
  <c r="L2617" i="4"/>
  <c r="K2617" i="4"/>
  <c r="I2617" i="4"/>
  <c r="H2617" i="4"/>
  <c r="J2617" i="4" s="1"/>
  <c r="Q2614" i="4"/>
  <c r="O2614" i="4"/>
  <c r="N2614" i="4"/>
  <c r="M2614" i="4"/>
  <c r="L2614" i="4"/>
  <c r="K2614" i="4"/>
  <c r="J2614" i="4"/>
  <c r="I2614" i="4"/>
  <c r="H2614" i="4"/>
  <c r="P2614" i="4" s="1"/>
  <c r="Q2613" i="4"/>
  <c r="O2613" i="4"/>
  <c r="N2613" i="4"/>
  <c r="M2613" i="4"/>
  <c r="L2613" i="4"/>
  <c r="K2613" i="4"/>
  <c r="J2613" i="4"/>
  <c r="I2613" i="4"/>
  <c r="H2613" i="4"/>
  <c r="P2613" i="4" s="1"/>
  <c r="Q2612" i="4"/>
  <c r="P2612" i="4"/>
  <c r="N2612" i="4"/>
  <c r="M2612" i="4"/>
  <c r="L2612" i="4"/>
  <c r="K2612" i="4"/>
  <c r="J2612" i="4"/>
  <c r="I2612" i="4"/>
  <c r="H2612" i="4"/>
  <c r="O2612" i="4" s="1"/>
  <c r="Q2611" i="4"/>
  <c r="P2611" i="4"/>
  <c r="N2611" i="4"/>
  <c r="M2611" i="4"/>
  <c r="L2611" i="4"/>
  <c r="K2611" i="4"/>
  <c r="J2611" i="4"/>
  <c r="I2611" i="4"/>
  <c r="H2611" i="4"/>
  <c r="O2611" i="4" s="1"/>
  <c r="Q2610" i="4"/>
  <c r="P2610" i="4"/>
  <c r="O2610" i="4"/>
  <c r="N2610" i="4"/>
  <c r="L2610" i="4"/>
  <c r="K2610" i="4"/>
  <c r="J2610" i="4"/>
  <c r="I2610" i="4"/>
  <c r="H2610" i="4"/>
  <c r="M2610" i="4" s="1"/>
  <c r="Q2609" i="4"/>
  <c r="P2609" i="4"/>
  <c r="O2609" i="4"/>
  <c r="N2609" i="4"/>
  <c r="L2609" i="4"/>
  <c r="K2609" i="4"/>
  <c r="J2609" i="4"/>
  <c r="I2609" i="4"/>
  <c r="H2609" i="4"/>
  <c r="M2609" i="4" s="1"/>
  <c r="Q2608" i="4"/>
  <c r="P2608" i="4"/>
  <c r="O2608" i="4"/>
  <c r="N2608" i="4"/>
  <c r="L2608" i="4"/>
  <c r="K2608" i="4"/>
  <c r="J2608" i="4"/>
  <c r="I2608" i="4"/>
  <c r="H2608" i="4"/>
  <c r="M2608" i="4" s="1"/>
  <c r="Q2607" i="4"/>
  <c r="P2607" i="4"/>
  <c r="O2607" i="4"/>
  <c r="N2607" i="4"/>
  <c r="L2607" i="4"/>
  <c r="K2607" i="4"/>
  <c r="J2607" i="4"/>
  <c r="I2607" i="4"/>
  <c r="H2607" i="4"/>
  <c r="M2607" i="4" s="1"/>
  <c r="Q2606" i="4"/>
  <c r="P2606" i="4"/>
  <c r="O2606" i="4"/>
  <c r="N2606" i="4"/>
  <c r="L2606" i="4"/>
  <c r="K2606" i="4"/>
  <c r="J2606" i="4"/>
  <c r="I2606" i="4"/>
  <c r="H2606" i="4"/>
  <c r="M2606" i="4" s="1"/>
  <c r="Q2605" i="4"/>
  <c r="P2605" i="4"/>
  <c r="O2605" i="4"/>
  <c r="N2605" i="4"/>
  <c r="M2605" i="4"/>
  <c r="L2605" i="4"/>
  <c r="K2605" i="4"/>
  <c r="I2605" i="4"/>
  <c r="H2605" i="4"/>
  <c r="J2605" i="4" s="1"/>
  <c r="Q2602" i="4"/>
  <c r="P2602" i="4"/>
  <c r="N2602" i="4"/>
  <c r="M2602" i="4"/>
  <c r="L2602" i="4"/>
  <c r="K2602" i="4"/>
  <c r="J2602" i="4"/>
  <c r="I2602" i="4"/>
  <c r="H2602" i="4"/>
  <c r="O2602" i="4" s="1"/>
  <c r="Q2601" i="4"/>
  <c r="P2601" i="4"/>
  <c r="N2601" i="4"/>
  <c r="M2601" i="4"/>
  <c r="L2601" i="4"/>
  <c r="K2601" i="4"/>
  <c r="J2601" i="4"/>
  <c r="I2601" i="4"/>
  <c r="H2601" i="4"/>
  <c r="O2601" i="4" s="1"/>
  <c r="Q2600" i="4"/>
  <c r="P2600" i="4"/>
  <c r="N2600" i="4"/>
  <c r="M2600" i="4"/>
  <c r="L2600" i="4"/>
  <c r="K2600" i="4"/>
  <c r="J2600" i="4"/>
  <c r="I2600" i="4"/>
  <c r="H2600" i="4"/>
  <c r="O2600" i="4" s="1"/>
  <c r="Q2599" i="4"/>
  <c r="P2599" i="4"/>
  <c r="N2599" i="4"/>
  <c r="M2599" i="4"/>
  <c r="L2599" i="4"/>
  <c r="K2599" i="4"/>
  <c r="J2599" i="4"/>
  <c r="I2599" i="4"/>
  <c r="H2599" i="4"/>
  <c r="O2599" i="4" s="1"/>
  <c r="Q2598" i="4"/>
  <c r="P2598" i="4"/>
  <c r="N2598" i="4"/>
  <c r="M2598" i="4"/>
  <c r="L2598" i="4"/>
  <c r="K2598" i="4"/>
  <c r="J2598" i="4"/>
  <c r="I2598" i="4"/>
  <c r="H2598" i="4"/>
  <c r="O2598" i="4" s="1"/>
  <c r="Q2597" i="4"/>
  <c r="P2597" i="4"/>
  <c r="O2597" i="4"/>
  <c r="M2597" i="4"/>
  <c r="L2597" i="4"/>
  <c r="K2597" i="4"/>
  <c r="J2597" i="4"/>
  <c r="I2597" i="4"/>
  <c r="H2597" i="4"/>
  <c r="N2597" i="4" s="1"/>
  <c r="Q2596" i="4"/>
  <c r="P2596" i="4"/>
  <c r="O2596" i="4"/>
  <c r="M2596" i="4"/>
  <c r="L2596" i="4"/>
  <c r="K2596" i="4"/>
  <c r="J2596" i="4"/>
  <c r="I2596" i="4"/>
  <c r="H2596" i="4"/>
  <c r="N2596" i="4" s="1"/>
  <c r="Q2595" i="4"/>
  <c r="P2595" i="4"/>
  <c r="O2595" i="4"/>
  <c r="M2595" i="4"/>
  <c r="L2595" i="4"/>
  <c r="K2595" i="4"/>
  <c r="J2595" i="4"/>
  <c r="I2595" i="4"/>
  <c r="H2595" i="4"/>
  <c r="N2595" i="4" s="1"/>
  <c r="Q2594" i="4"/>
  <c r="P2594" i="4"/>
  <c r="O2594" i="4"/>
  <c r="M2594" i="4"/>
  <c r="L2594" i="4"/>
  <c r="K2594" i="4"/>
  <c r="J2594" i="4"/>
  <c r="I2594" i="4"/>
  <c r="H2594" i="4"/>
  <c r="N2594" i="4" s="1"/>
  <c r="Q2593" i="4"/>
  <c r="P2593" i="4"/>
  <c r="O2593" i="4"/>
  <c r="N2593" i="4"/>
  <c r="L2593" i="4"/>
  <c r="K2593" i="4"/>
  <c r="J2593" i="4"/>
  <c r="I2593" i="4"/>
  <c r="H2593" i="4"/>
  <c r="M2593" i="4" s="1"/>
  <c r="Q2592" i="4"/>
  <c r="P2592" i="4"/>
  <c r="O2592" i="4"/>
  <c r="N2592" i="4"/>
  <c r="M2592" i="4"/>
  <c r="L2592" i="4"/>
  <c r="K2592" i="4"/>
  <c r="I2592" i="4"/>
  <c r="H2592" i="4"/>
  <c r="J2592" i="4" s="1"/>
  <c r="Q2589" i="4"/>
  <c r="P2589" i="4"/>
  <c r="N2589" i="4"/>
  <c r="M2589" i="4"/>
  <c r="L2589" i="4"/>
  <c r="K2589" i="4"/>
  <c r="J2589" i="4"/>
  <c r="I2589" i="4"/>
  <c r="H2589" i="4"/>
  <c r="O2589" i="4" s="1"/>
  <c r="Q2588" i="4"/>
  <c r="P2588" i="4"/>
  <c r="N2588" i="4"/>
  <c r="M2588" i="4"/>
  <c r="L2588" i="4"/>
  <c r="K2588" i="4"/>
  <c r="J2588" i="4"/>
  <c r="I2588" i="4"/>
  <c r="H2588" i="4"/>
  <c r="O2588" i="4" s="1"/>
  <c r="Q2587" i="4"/>
  <c r="P2587" i="4"/>
  <c r="O2587" i="4"/>
  <c r="M2587" i="4"/>
  <c r="L2587" i="4"/>
  <c r="K2587" i="4"/>
  <c r="J2587" i="4"/>
  <c r="I2587" i="4"/>
  <c r="H2587" i="4"/>
  <c r="N2587" i="4" s="1"/>
  <c r="Q2586" i="4"/>
  <c r="P2586" i="4"/>
  <c r="O2586" i="4"/>
  <c r="M2586" i="4"/>
  <c r="L2586" i="4"/>
  <c r="K2586" i="4"/>
  <c r="J2586" i="4"/>
  <c r="I2586" i="4"/>
  <c r="H2586" i="4"/>
  <c r="N2586" i="4" s="1"/>
  <c r="Q2585" i="4"/>
  <c r="P2585" i="4"/>
  <c r="O2585" i="4"/>
  <c r="M2585" i="4"/>
  <c r="L2585" i="4"/>
  <c r="K2585" i="4"/>
  <c r="J2585" i="4"/>
  <c r="I2585" i="4"/>
  <c r="H2585" i="4"/>
  <c r="N2585" i="4" s="1"/>
  <c r="Q2584" i="4"/>
  <c r="P2584" i="4"/>
  <c r="O2584" i="4"/>
  <c r="M2584" i="4"/>
  <c r="L2584" i="4"/>
  <c r="K2584" i="4"/>
  <c r="J2584" i="4"/>
  <c r="I2584" i="4"/>
  <c r="H2584" i="4"/>
  <c r="N2584" i="4" s="1"/>
  <c r="Q2583" i="4"/>
  <c r="P2583" i="4"/>
  <c r="O2583" i="4"/>
  <c r="M2583" i="4"/>
  <c r="L2583" i="4"/>
  <c r="K2583" i="4"/>
  <c r="J2583" i="4"/>
  <c r="I2583" i="4"/>
  <c r="H2583" i="4"/>
  <c r="N2583" i="4" s="1"/>
  <c r="Q2582" i="4"/>
  <c r="P2582" i="4"/>
  <c r="O2582" i="4"/>
  <c r="M2582" i="4"/>
  <c r="L2582" i="4"/>
  <c r="K2582" i="4"/>
  <c r="J2582" i="4"/>
  <c r="I2582" i="4"/>
  <c r="H2582" i="4"/>
  <c r="N2582" i="4" s="1"/>
  <c r="Q2581" i="4"/>
  <c r="P2581" i="4"/>
  <c r="O2581" i="4"/>
  <c r="M2581" i="4"/>
  <c r="L2581" i="4"/>
  <c r="K2581" i="4"/>
  <c r="J2581" i="4"/>
  <c r="I2581" i="4"/>
  <c r="H2581" i="4"/>
  <c r="N2581" i="4" s="1"/>
  <c r="Q2580" i="4"/>
  <c r="P2580" i="4"/>
  <c r="O2580" i="4"/>
  <c r="M2580" i="4"/>
  <c r="L2580" i="4"/>
  <c r="K2580" i="4"/>
  <c r="J2580" i="4"/>
  <c r="I2580" i="4"/>
  <c r="H2580" i="4"/>
  <c r="N2580" i="4" s="1"/>
  <c r="Q2579" i="4"/>
  <c r="P2579" i="4"/>
  <c r="O2579" i="4"/>
  <c r="N2579" i="4"/>
  <c r="M2579" i="4"/>
  <c r="L2579" i="4"/>
  <c r="K2579" i="4"/>
  <c r="I2579" i="4"/>
  <c r="H2579" i="4"/>
  <c r="J2579" i="4" s="1"/>
  <c r="Q2576" i="4"/>
  <c r="P2576" i="4"/>
  <c r="O2576" i="4"/>
  <c r="N2576" i="4"/>
  <c r="L2576" i="4"/>
  <c r="K2576" i="4"/>
  <c r="J2576" i="4"/>
  <c r="I2576" i="4"/>
  <c r="H2576" i="4"/>
  <c r="M2576" i="4" s="1"/>
  <c r="Q2575" i="4"/>
  <c r="P2575" i="4"/>
  <c r="O2575" i="4"/>
  <c r="N2575" i="4"/>
  <c r="L2575" i="4"/>
  <c r="K2575" i="4"/>
  <c r="J2575" i="4"/>
  <c r="I2575" i="4"/>
  <c r="H2575" i="4"/>
  <c r="M2575" i="4" s="1"/>
  <c r="Q2574" i="4"/>
  <c r="P2574" i="4"/>
  <c r="O2574" i="4"/>
  <c r="N2574" i="4"/>
  <c r="L2574" i="4"/>
  <c r="K2574" i="4"/>
  <c r="J2574" i="4"/>
  <c r="I2574" i="4"/>
  <c r="H2574" i="4"/>
  <c r="M2574" i="4" s="1"/>
  <c r="Q2573" i="4"/>
  <c r="P2573" i="4"/>
  <c r="O2573" i="4"/>
  <c r="N2573" i="4"/>
  <c r="L2573" i="4"/>
  <c r="K2573" i="4"/>
  <c r="J2573" i="4"/>
  <c r="I2573" i="4"/>
  <c r="H2573" i="4"/>
  <c r="M2573" i="4" s="1"/>
  <c r="Q2572" i="4"/>
  <c r="P2572" i="4"/>
  <c r="O2572" i="4"/>
  <c r="N2572" i="4"/>
  <c r="M2572" i="4"/>
  <c r="L2572" i="4"/>
  <c r="K2572" i="4"/>
  <c r="I2572" i="4"/>
  <c r="H2572" i="4"/>
  <c r="J2572" i="4" s="1"/>
  <c r="Q2569" i="4"/>
  <c r="P2569" i="4"/>
  <c r="O2569" i="4"/>
  <c r="M2569" i="4"/>
  <c r="L2569" i="4"/>
  <c r="K2569" i="4"/>
  <c r="J2569" i="4"/>
  <c r="I2569" i="4"/>
  <c r="H2569" i="4"/>
  <c r="N2569" i="4" s="1"/>
  <c r="Q2568" i="4"/>
  <c r="P2568" i="4"/>
  <c r="O2568" i="4"/>
  <c r="N2568" i="4"/>
  <c r="L2568" i="4"/>
  <c r="K2568" i="4"/>
  <c r="J2568" i="4"/>
  <c r="I2568" i="4"/>
  <c r="H2568" i="4"/>
  <c r="M2568" i="4" s="1"/>
  <c r="Q2567" i="4"/>
  <c r="P2567" i="4"/>
  <c r="O2567" i="4"/>
  <c r="N2567" i="4"/>
  <c r="L2567" i="4"/>
  <c r="K2567" i="4"/>
  <c r="J2567" i="4"/>
  <c r="I2567" i="4"/>
  <c r="H2567" i="4"/>
  <c r="M2567" i="4" s="1"/>
  <c r="Q2566" i="4"/>
  <c r="P2566" i="4"/>
  <c r="O2566" i="4"/>
  <c r="N2566" i="4"/>
  <c r="L2566" i="4"/>
  <c r="K2566" i="4"/>
  <c r="J2566" i="4"/>
  <c r="I2566" i="4"/>
  <c r="H2566" i="4"/>
  <c r="M2566" i="4" s="1"/>
  <c r="Q2565" i="4"/>
  <c r="P2565" i="4"/>
  <c r="O2565" i="4"/>
  <c r="N2565" i="4"/>
  <c r="L2565" i="4"/>
  <c r="K2565" i="4"/>
  <c r="J2565" i="4"/>
  <c r="I2565" i="4"/>
  <c r="H2565" i="4"/>
  <c r="M2565" i="4" s="1"/>
  <c r="Q2564" i="4"/>
  <c r="P2564" i="4"/>
  <c r="O2564" i="4"/>
  <c r="N2564" i="4"/>
  <c r="L2564" i="4"/>
  <c r="K2564" i="4"/>
  <c r="J2564" i="4"/>
  <c r="I2564" i="4"/>
  <c r="H2564" i="4"/>
  <c r="M2564" i="4" s="1"/>
  <c r="Q2563" i="4"/>
  <c r="P2563" i="4"/>
  <c r="O2563" i="4"/>
  <c r="N2563" i="4"/>
  <c r="L2563" i="4"/>
  <c r="K2563" i="4"/>
  <c r="J2563" i="4"/>
  <c r="I2563" i="4"/>
  <c r="H2563" i="4"/>
  <c r="M2563" i="4" s="1"/>
  <c r="Q2562" i="4"/>
  <c r="P2562" i="4"/>
  <c r="O2562" i="4"/>
  <c r="N2562" i="4"/>
  <c r="M2562" i="4"/>
  <c r="L2562" i="4"/>
  <c r="K2562" i="4"/>
  <c r="I2562" i="4"/>
  <c r="H2562" i="4"/>
  <c r="J2562" i="4" s="1"/>
  <c r="Q2559" i="4"/>
  <c r="P2559" i="4"/>
  <c r="O2559" i="4"/>
  <c r="N2559" i="4"/>
  <c r="L2559" i="4"/>
  <c r="K2559" i="4"/>
  <c r="J2559" i="4"/>
  <c r="I2559" i="4"/>
  <c r="H2559" i="4"/>
  <c r="M2559" i="4" s="1"/>
  <c r="Q2558" i="4"/>
  <c r="P2558" i="4"/>
  <c r="O2558" i="4"/>
  <c r="N2558" i="4"/>
  <c r="M2558" i="4"/>
  <c r="K2558" i="4"/>
  <c r="J2558" i="4"/>
  <c r="I2558" i="4"/>
  <c r="H2558" i="4"/>
  <c r="L2558" i="4" s="1"/>
  <c r="Q2557" i="4"/>
  <c r="P2557" i="4"/>
  <c r="O2557" i="4"/>
  <c r="N2557" i="4"/>
  <c r="M2557" i="4"/>
  <c r="K2557" i="4"/>
  <c r="J2557" i="4"/>
  <c r="I2557" i="4"/>
  <c r="H2557" i="4"/>
  <c r="L2557" i="4" s="1"/>
  <c r="Q2556" i="4"/>
  <c r="P2556" i="4"/>
  <c r="O2556" i="4"/>
  <c r="N2556" i="4"/>
  <c r="M2556" i="4"/>
  <c r="L2556" i="4"/>
  <c r="J2556" i="4"/>
  <c r="I2556" i="4"/>
  <c r="H2556" i="4"/>
  <c r="K2556" i="4" s="1"/>
  <c r="Q2555" i="4"/>
  <c r="P2555" i="4"/>
  <c r="O2555" i="4"/>
  <c r="N2555" i="4"/>
  <c r="M2555" i="4"/>
  <c r="L2555" i="4"/>
  <c r="K2555" i="4"/>
  <c r="I2555" i="4"/>
  <c r="H2555" i="4"/>
  <c r="J2555" i="4" s="1"/>
  <c r="Q2552" i="4"/>
  <c r="P2552" i="4"/>
  <c r="O2552" i="4"/>
  <c r="M2552" i="4"/>
  <c r="L2552" i="4"/>
  <c r="K2552" i="4"/>
  <c r="J2552" i="4"/>
  <c r="I2552" i="4"/>
  <c r="H2552" i="4"/>
  <c r="N2552" i="4" s="1"/>
  <c r="Q2551" i="4"/>
  <c r="P2551" i="4"/>
  <c r="O2551" i="4"/>
  <c r="N2551" i="4"/>
  <c r="L2551" i="4"/>
  <c r="K2551" i="4"/>
  <c r="J2551" i="4"/>
  <c r="I2551" i="4"/>
  <c r="H2551" i="4"/>
  <c r="M2551" i="4" s="1"/>
  <c r="Q2550" i="4"/>
  <c r="P2550" i="4"/>
  <c r="O2550" i="4"/>
  <c r="N2550" i="4"/>
  <c r="M2550" i="4"/>
  <c r="L2550" i="4"/>
  <c r="J2550" i="4"/>
  <c r="I2550" i="4"/>
  <c r="H2550" i="4"/>
  <c r="K2550" i="4" s="1"/>
  <c r="Q2549" i="4"/>
  <c r="P2549" i="4"/>
  <c r="O2549" i="4"/>
  <c r="N2549" i="4"/>
  <c r="M2549" i="4"/>
  <c r="L2549" i="4"/>
  <c r="K2549" i="4"/>
  <c r="I2549" i="4"/>
  <c r="H2549" i="4"/>
  <c r="J2549" i="4" s="1"/>
  <c r="Q2546" i="4"/>
  <c r="P2546" i="4"/>
  <c r="O2546" i="4"/>
  <c r="M2546" i="4"/>
  <c r="L2546" i="4"/>
  <c r="K2546" i="4"/>
  <c r="J2546" i="4"/>
  <c r="I2546" i="4"/>
  <c r="H2546" i="4"/>
  <c r="N2546" i="4" s="1"/>
  <c r="Q2545" i="4"/>
  <c r="P2545" i="4"/>
  <c r="O2545" i="4"/>
  <c r="N2545" i="4"/>
  <c r="L2545" i="4"/>
  <c r="K2545" i="4"/>
  <c r="J2545" i="4"/>
  <c r="I2545" i="4"/>
  <c r="H2545" i="4"/>
  <c r="M2545" i="4" s="1"/>
  <c r="Q2544" i="4"/>
  <c r="P2544" i="4"/>
  <c r="O2544" i="4"/>
  <c r="N2544" i="4"/>
  <c r="L2544" i="4"/>
  <c r="K2544" i="4"/>
  <c r="J2544" i="4"/>
  <c r="I2544" i="4"/>
  <c r="H2544" i="4"/>
  <c r="M2544" i="4" s="1"/>
  <c r="Q2543" i="4"/>
  <c r="P2543" i="4"/>
  <c r="O2543" i="4"/>
  <c r="N2543" i="4"/>
  <c r="M2543" i="4"/>
  <c r="L2543" i="4"/>
  <c r="J2543" i="4"/>
  <c r="I2543" i="4"/>
  <c r="H2543" i="4"/>
  <c r="K2543" i="4" s="1"/>
  <c r="Q2542" i="4"/>
  <c r="P2542" i="4"/>
  <c r="O2542" i="4"/>
  <c r="N2542" i="4"/>
  <c r="M2542" i="4"/>
  <c r="L2542" i="4"/>
  <c r="K2542" i="4"/>
  <c r="I2542" i="4"/>
  <c r="H2542" i="4"/>
  <c r="J2542" i="4" s="1"/>
  <c r="Q2539" i="4"/>
  <c r="P2539" i="4"/>
  <c r="O2539" i="4"/>
  <c r="N2539" i="4"/>
  <c r="L2539" i="4"/>
  <c r="K2539" i="4"/>
  <c r="J2539" i="4"/>
  <c r="I2539" i="4"/>
  <c r="H2539" i="4"/>
  <c r="M2539" i="4" s="1"/>
  <c r="Q2538" i="4"/>
  <c r="P2538" i="4"/>
  <c r="O2538" i="4"/>
  <c r="N2538" i="4"/>
  <c r="L2538" i="4"/>
  <c r="K2538" i="4"/>
  <c r="J2538" i="4"/>
  <c r="I2538" i="4"/>
  <c r="H2538" i="4"/>
  <c r="M2538" i="4" s="1"/>
  <c r="Q2537" i="4"/>
  <c r="P2537" i="4"/>
  <c r="O2537" i="4"/>
  <c r="N2537" i="4"/>
  <c r="L2537" i="4"/>
  <c r="K2537" i="4"/>
  <c r="J2537" i="4"/>
  <c r="I2537" i="4"/>
  <c r="H2537" i="4"/>
  <c r="M2537" i="4" s="1"/>
  <c r="Q2536" i="4"/>
  <c r="P2536" i="4"/>
  <c r="O2536" i="4"/>
  <c r="N2536" i="4"/>
  <c r="M2536" i="4"/>
  <c r="K2536" i="4"/>
  <c r="J2536" i="4"/>
  <c r="I2536" i="4"/>
  <c r="H2536" i="4"/>
  <c r="L2536" i="4" s="1"/>
  <c r="Q2535" i="4"/>
  <c r="P2535" i="4"/>
  <c r="O2535" i="4"/>
  <c r="N2535" i="4"/>
  <c r="M2535" i="4"/>
  <c r="K2535" i="4"/>
  <c r="J2535" i="4"/>
  <c r="I2535" i="4"/>
  <c r="H2535" i="4"/>
  <c r="L2535" i="4" s="1"/>
  <c r="Q2534" i="4"/>
  <c r="P2534" i="4"/>
  <c r="O2534" i="4"/>
  <c r="N2534" i="4"/>
  <c r="M2534" i="4"/>
  <c r="L2534" i="4"/>
  <c r="K2534" i="4"/>
  <c r="I2534" i="4"/>
  <c r="H2534" i="4"/>
  <c r="J2534" i="4" s="1"/>
  <c r="Q2531" i="4"/>
  <c r="P2531" i="4"/>
  <c r="O2531" i="4"/>
  <c r="N2531" i="4"/>
  <c r="L2531" i="4"/>
  <c r="K2531" i="4"/>
  <c r="J2531" i="4"/>
  <c r="I2531" i="4"/>
  <c r="H2531" i="4"/>
  <c r="M2531" i="4" s="1"/>
  <c r="Q2530" i="4"/>
  <c r="P2530" i="4"/>
  <c r="O2530" i="4"/>
  <c r="N2530" i="4"/>
  <c r="L2530" i="4"/>
  <c r="K2530" i="4"/>
  <c r="J2530" i="4"/>
  <c r="I2530" i="4"/>
  <c r="H2530" i="4"/>
  <c r="M2530" i="4" s="1"/>
  <c r="Q2529" i="4"/>
  <c r="P2529" i="4"/>
  <c r="O2529" i="4"/>
  <c r="N2529" i="4"/>
  <c r="L2529" i="4"/>
  <c r="K2529" i="4"/>
  <c r="J2529" i="4"/>
  <c r="I2529" i="4"/>
  <c r="H2529" i="4"/>
  <c r="M2529" i="4" s="1"/>
  <c r="Q2528" i="4"/>
  <c r="P2528" i="4"/>
  <c r="O2528" i="4"/>
  <c r="N2528" i="4"/>
  <c r="L2528" i="4"/>
  <c r="K2528" i="4"/>
  <c r="J2528" i="4"/>
  <c r="I2528" i="4"/>
  <c r="H2528" i="4"/>
  <c r="M2528" i="4" s="1"/>
  <c r="Q2527" i="4"/>
  <c r="P2527" i="4"/>
  <c r="O2527" i="4"/>
  <c r="N2527" i="4"/>
  <c r="L2527" i="4"/>
  <c r="K2527" i="4"/>
  <c r="J2527" i="4"/>
  <c r="I2527" i="4"/>
  <c r="H2527" i="4"/>
  <c r="M2527" i="4" s="1"/>
  <c r="Q2526" i="4"/>
  <c r="P2526" i="4"/>
  <c r="O2526" i="4"/>
  <c r="N2526" i="4"/>
  <c r="M2526" i="4"/>
  <c r="L2526" i="4"/>
  <c r="K2526" i="4"/>
  <c r="I2526" i="4"/>
  <c r="H2526" i="4"/>
  <c r="J2526" i="4" s="1"/>
  <c r="Q2523" i="4"/>
  <c r="P2523" i="4"/>
  <c r="O2523" i="4"/>
  <c r="M2523" i="4"/>
  <c r="L2523" i="4"/>
  <c r="K2523" i="4"/>
  <c r="J2523" i="4"/>
  <c r="I2523" i="4"/>
  <c r="H2523" i="4"/>
  <c r="N2523" i="4" s="1"/>
  <c r="Q2522" i="4"/>
  <c r="P2522" i="4"/>
  <c r="O2522" i="4"/>
  <c r="M2522" i="4"/>
  <c r="L2522" i="4"/>
  <c r="K2522" i="4"/>
  <c r="J2522" i="4"/>
  <c r="I2522" i="4"/>
  <c r="H2522" i="4"/>
  <c r="N2522" i="4" s="1"/>
  <c r="Q2521" i="4"/>
  <c r="P2521" i="4"/>
  <c r="O2521" i="4"/>
  <c r="N2521" i="4"/>
  <c r="L2521" i="4"/>
  <c r="K2521" i="4"/>
  <c r="J2521" i="4"/>
  <c r="I2521" i="4"/>
  <c r="H2521" i="4"/>
  <c r="M2521" i="4" s="1"/>
  <c r="Q2520" i="4"/>
  <c r="P2520" i="4"/>
  <c r="O2520" i="4"/>
  <c r="N2520" i="4"/>
  <c r="M2520" i="4"/>
  <c r="L2520" i="4"/>
  <c r="J2520" i="4"/>
  <c r="I2520" i="4"/>
  <c r="H2520" i="4"/>
  <c r="K2520" i="4" s="1"/>
  <c r="Q2519" i="4"/>
  <c r="P2519" i="4"/>
  <c r="O2519" i="4"/>
  <c r="N2519" i="4"/>
  <c r="M2519" i="4"/>
  <c r="L2519" i="4"/>
  <c r="K2519" i="4"/>
  <c r="I2519" i="4"/>
  <c r="H2519" i="4"/>
  <c r="J2519" i="4" s="1"/>
  <c r="Q2516" i="4"/>
  <c r="P2516" i="4"/>
  <c r="O2516" i="4"/>
  <c r="N2516" i="4"/>
  <c r="L2516" i="4"/>
  <c r="K2516" i="4"/>
  <c r="J2516" i="4"/>
  <c r="I2516" i="4"/>
  <c r="H2516" i="4"/>
  <c r="M2516" i="4" s="1"/>
  <c r="Q2515" i="4"/>
  <c r="P2515" i="4"/>
  <c r="O2515" i="4"/>
  <c r="N2515" i="4"/>
  <c r="L2515" i="4"/>
  <c r="K2515" i="4"/>
  <c r="J2515" i="4"/>
  <c r="I2515" i="4"/>
  <c r="H2515" i="4"/>
  <c r="M2515" i="4" s="1"/>
  <c r="Q2514" i="4"/>
  <c r="P2514" i="4"/>
  <c r="O2514" i="4"/>
  <c r="N2514" i="4"/>
  <c r="L2514" i="4"/>
  <c r="K2514" i="4"/>
  <c r="J2514" i="4"/>
  <c r="I2514" i="4"/>
  <c r="H2514" i="4"/>
  <c r="M2514" i="4" s="1"/>
  <c r="Q2513" i="4"/>
  <c r="P2513" i="4"/>
  <c r="O2513" i="4"/>
  <c r="N2513" i="4"/>
  <c r="M2513" i="4"/>
  <c r="L2513" i="4"/>
  <c r="K2513" i="4"/>
  <c r="I2513" i="4"/>
  <c r="H2513" i="4"/>
  <c r="J2513" i="4" s="1"/>
  <c r="Q2510" i="4"/>
  <c r="P2510" i="4"/>
  <c r="O2510" i="4"/>
  <c r="N2510" i="4"/>
  <c r="L2510" i="4"/>
  <c r="K2510" i="4"/>
  <c r="J2510" i="4"/>
  <c r="I2510" i="4"/>
  <c r="H2510" i="4"/>
  <c r="M2510" i="4" s="1"/>
  <c r="Q2509" i="4"/>
  <c r="P2509" i="4"/>
  <c r="O2509" i="4"/>
  <c r="N2509" i="4"/>
  <c r="L2509" i="4"/>
  <c r="K2509" i="4"/>
  <c r="J2509" i="4"/>
  <c r="I2509" i="4"/>
  <c r="H2509" i="4"/>
  <c r="M2509" i="4" s="1"/>
  <c r="Q2508" i="4"/>
  <c r="P2508" i="4"/>
  <c r="O2508" i="4"/>
  <c r="N2508" i="4"/>
  <c r="L2508" i="4"/>
  <c r="K2508" i="4"/>
  <c r="J2508" i="4"/>
  <c r="I2508" i="4"/>
  <c r="H2508" i="4"/>
  <c r="M2508" i="4" s="1"/>
  <c r="Q2507" i="4"/>
  <c r="P2507" i="4"/>
  <c r="O2507" i="4"/>
  <c r="N2507" i="4"/>
  <c r="M2507" i="4"/>
  <c r="K2507" i="4"/>
  <c r="J2507" i="4"/>
  <c r="I2507" i="4"/>
  <c r="H2507" i="4"/>
  <c r="L2507" i="4" s="1"/>
  <c r="Q2506" i="4"/>
  <c r="P2506" i="4"/>
  <c r="O2506" i="4"/>
  <c r="N2506" i="4"/>
  <c r="M2506" i="4"/>
  <c r="K2506" i="4"/>
  <c r="J2506" i="4"/>
  <c r="I2506" i="4"/>
  <c r="H2506" i="4"/>
  <c r="L2506" i="4" s="1"/>
  <c r="Q2505" i="4"/>
  <c r="P2505" i="4"/>
  <c r="O2505" i="4"/>
  <c r="N2505" i="4"/>
  <c r="M2505" i="4"/>
  <c r="K2505" i="4"/>
  <c r="J2505" i="4"/>
  <c r="I2505" i="4"/>
  <c r="H2505" i="4"/>
  <c r="L2505" i="4" s="1"/>
  <c r="Q2504" i="4"/>
  <c r="P2504" i="4"/>
  <c r="O2504" i="4"/>
  <c r="N2504" i="4"/>
  <c r="M2504" i="4"/>
  <c r="L2504" i="4"/>
  <c r="J2504" i="4"/>
  <c r="I2504" i="4"/>
  <c r="H2504" i="4"/>
  <c r="K2504" i="4" s="1"/>
  <c r="Q2503" i="4"/>
  <c r="P2503" i="4"/>
  <c r="O2503" i="4"/>
  <c r="N2503" i="4"/>
  <c r="M2503" i="4"/>
  <c r="L2503" i="4"/>
  <c r="K2503" i="4"/>
  <c r="I2503" i="4"/>
  <c r="H2503" i="4"/>
  <c r="J2503" i="4" s="1"/>
  <c r="Q2499" i="4"/>
  <c r="P2499" i="4"/>
  <c r="N2499" i="4"/>
  <c r="M2499" i="4"/>
  <c r="L2499" i="4"/>
  <c r="K2499" i="4"/>
  <c r="J2499" i="4"/>
  <c r="I2499" i="4"/>
  <c r="H2499" i="4"/>
  <c r="O2499" i="4" s="1"/>
  <c r="Q2498" i="4"/>
  <c r="P2498" i="4"/>
  <c r="N2498" i="4"/>
  <c r="M2498" i="4"/>
  <c r="L2498" i="4"/>
  <c r="K2498" i="4"/>
  <c r="J2498" i="4"/>
  <c r="I2498" i="4"/>
  <c r="H2498" i="4"/>
  <c r="O2498" i="4" s="1"/>
  <c r="Q2497" i="4"/>
  <c r="P2497" i="4"/>
  <c r="N2497" i="4"/>
  <c r="M2497" i="4"/>
  <c r="L2497" i="4"/>
  <c r="K2497" i="4"/>
  <c r="J2497" i="4"/>
  <c r="I2497" i="4"/>
  <c r="H2497" i="4"/>
  <c r="O2497" i="4" s="1"/>
  <c r="Q2496" i="4"/>
  <c r="P2496" i="4"/>
  <c r="O2496" i="4"/>
  <c r="M2496" i="4"/>
  <c r="L2496" i="4"/>
  <c r="K2496" i="4"/>
  <c r="J2496" i="4"/>
  <c r="I2496" i="4"/>
  <c r="H2496" i="4"/>
  <c r="N2496" i="4" s="1"/>
  <c r="Q2495" i="4"/>
  <c r="P2495" i="4"/>
  <c r="O2495" i="4"/>
  <c r="M2495" i="4"/>
  <c r="L2495" i="4"/>
  <c r="K2495" i="4"/>
  <c r="J2495" i="4"/>
  <c r="I2495" i="4"/>
  <c r="H2495" i="4"/>
  <c r="N2495" i="4" s="1"/>
  <c r="Q2494" i="4"/>
  <c r="P2494" i="4"/>
  <c r="O2494" i="4"/>
  <c r="M2494" i="4"/>
  <c r="L2494" i="4"/>
  <c r="K2494" i="4"/>
  <c r="J2494" i="4"/>
  <c r="I2494" i="4"/>
  <c r="H2494" i="4"/>
  <c r="N2494" i="4" s="1"/>
  <c r="Q2493" i="4"/>
  <c r="P2493" i="4"/>
  <c r="O2493" i="4"/>
  <c r="M2493" i="4"/>
  <c r="L2493" i="4"/>
  <c r="K2493" i="4"/>
  <c r="J2493" i="4"/>
  <c r="I2493" i="4"/>
  <c r="H2493" i="4"/>
  <c r="N2493" i="4" s="1"/>
  <c r="Q2492" i="4"/>
  <c r="P2492" i="4"/>
  <c r="O2492" i="4"/>
  <c r="N2492" i="4"/>
  <c r="M2492" i="4"/>
  <c r="L2492" i="4"/>
  <c r="K2492" i="4"/>
  <c r="I2492" i="4"/>
  <c r="H2492" i="4"/>
  <c r="J2492" i="4" s="1"/>
  <c r="Q2489" i="4"/>
  <c r="P2489" i="4"/>
  <c r="O2489" i="4"/>
  <c r="M2489" i="4"/>
  <c r="L2489" i="4"/>
  <c r="K2489" i="4"/>
  <c r="J2489" i="4"/>
  <c r="I2489" i="4"/>
  <c r="H2489" i="4"/>
  <c r="N2489" i="4" s="1"/>
  <c r="Q2488" i="4"/>
  <c r="P2488" i="4"/>
  <c r="O2488" i="4"/>
  <c r="M2488" i="4"/>
  <c r="L2488" i="4"/>
  <c r="K2488" i="4"/>
  <c r="J2488" i="4"/>
  <c r="I2488" i="4"/>
  <c r="H2488" i="4"/>
  <c r="N2488" i="4" s="1"/>
  <c r="Q2487" i="4"/>
  <c r="P2487" i="4"/>
  <c r="O2487" i="4"/>
  <c r="M2487" i="4"/>
  <c r="L2487" i="4"/>
  <c r="K2487" i="4"/>
  <c r="J2487" i="4"/>
  <c r="I2487" i="4"/>
  <c r="H2487" i="4"/>
  <c r="N2487" i="4" s="1"/>
  <c r="Q2486" i="4"/>
  <c r="P2486" i="4"/>
  <c r="O2486" i="4"/>
  <c r="N2486" i="4"/>
  <c r="L2486" i="4"/>
  <c r="K2486" i="4"/>
  <c r="J2486" i="4"/>
  <c r="I2486" i="4"/>
  <c r="H2486" i="4"/>
  <c r="M2486" i="4" s="1"/>
  <c r="Q2485" i="4"/>
  <c r="P2485" i="4"/>
  <c r="O2485" i="4"/>
  <c r="N2485" i="4"/>
  <c r="L2485" i="4"/>
  <c r="K2485" i="4"/>
  <c r="J2485" i="4"/>
  <c r="I2485" i="4"/>
  <c r="H2485" i="4"/>
  <c r="M2485" i="4" s="1"/>
  <c r="Q2484" i="4"/>
  <c r="P2484" i="4"/>
  <c r="O2484" i="4"/>
  <c r="N2484" i="4"/>
  <c r="L2484" i="4"/>
  <c r="K2484" i="4"/>
  <c r="J2484" i="4"/>
  <c r="I2484" i="4"/>
  <c r="H2484" i="4"/>
  <c r="M2484" i="4" s="1"/>
  <c r="Q2483" i="4"/>
  <c r="P2483" i="4"/>
  <c r="O2483" i="4"/>
  <c r="N2483" i="4"/>
  <c r="M2483" i="4"/>
  <c r="L2483" i="4"/>
  <c r="K2483" i="4"/>
  <c r="I2483" i="4"/>
  <c r="H2483" i="4"/>
  <c r="J2483" i="4" s="1"/>
  <c r="Q2480" i="4"/>
  <c r="P2480" i="4"/>
  <c r="O2480" i="4"/>
  <c r="M2480" i="4"/>
  <c r="L2480" i="4"/>
  <c r="K2480" i="4"/>
  <c r="J2480" i="4"/>
  <c r="I2480" i="4"/>
  <c r="H2480" i="4"/>
  <c r="N2480" i="4" s="1"/>
  <c r="Q2479" i="4"/>
  <c r="P2479" i="4"/>
  <c r="O2479" i="4"/>
  <c r="M2479" i="4"/>
  <c r="L2479" i="4"/>
  <c r="K2479" i="4"/>
  <c r="J2479" i="4"/>
  <c r="I2479" i="4"/>
  <c r="H2479" i="4"/>
  <c r="N2479" i="4" s="1"/>
  <c r="Q2478" i="4"/>
  <c r="P2478" i="4"/>
  <c r="O2478" i="4"/>
  <c r="M2478" i="4"/>
  <c r="L2478" i="4"/>
  <c r="K2478" i="4"/>
  <c r="J2478" i="4"/>
  <c r="I2478" i="4"/>
  <c r="H2478" i="4"/>
  <c r="N2478" i="4" s="1"/>
  <c r="Q2477" i="4"/>
  <c r="P2477" i="4"/>
  <c r="O2477" i="4"/>
  <c r="M2477" i="4"/>
  <c r="L2477" i="4"/>
  <c r="K2477" i="4"/>
  <c r="J2477" i="4"/>
  <c r="I2477" i="4"/>
  <c r="H2477" i="4"/>
  <c r="N2477" i="4" s="1"/>
  <c r="Q2476" i="4"/>
  <c r="P2476" i="4"/>
  <c r="O2476" i="4"/>
  <c r="M2476" i="4"/>
  <c r="L2476" i="4"/>
  <c r="K2476" i="4"/>
  <c r="J2476" i="4"/>
  <c r="I2476" i="4"/>
  <c r="H2476" i="4"/>
  <c r="N2476" i="4" s="1"/>
  <c r="Q2475" i="4"/>
  <c r="P2475" i="4"/>
  <c r="O2475" i="4"/>
  <c r="M2475" i="4"/>
  <c r="L2475" i="4"/>
  <c r="K2475" i="4"/>
  <c r="J2475" i="4"/>
  <c r="I2475" i="4"/>
  <c r="H2475" i="4"/>
  <c r="N2475" i="4" s="1"/>
  <c r="Q2474" i="4"/>
  <c r="P2474" i="4"/>
  <c r="O2474" i="4"/>
  <c r="N2474" i="4"/>
  <c r="M2474" i="4"/>
  <c r="L2474" i="4"/>
  <c r="K2474" i="4"/>
  <c r="I2474" i="4"/>
  <c r="H2474" i="4"/>
  <c r="J2474" i="4" s="1"/>
  <c r="Q2471" i="4"/>
  <c r="P2471" i="4"/>
  <c r="O2471" i="4"/>
  <c r="N2471" i="4"/>
  <c r="L2471" i="4"/>
  <c r="K2471" i="4"/>
  <c r="J2471" i="4"/>
  <c r="I2471" i="4"/>
  <c r="H2471" i="4"/>
  <c r="M2471" i="4" s="1"/>
  <c r="Q2470" i="4"/>
  <c r="P2470" i="4"/>
  <c r="O2470" i="4"/>
  <c r="N2470" i="4"/>
  <c r="M2470" i="4"/>
  <c r="K2470" i="4"/>
  <c r="J2470" i="4"/>
  <c r="I2470" i="4"/>
  <c r="H2470" i="4"/>
  <c r="L2470" i="4" s="1"/>
  <c r="Q2469" i="4"/>
  <c r="P2469" i="4"/>
  <c r="O2469" i="4"/>
  <c r="N2469" i="4"/>
  <c r="M2469" i="4"/>
  <c r="K2469" i="4"/>
  <c r="J2469" i="4"/>
  <c r="I2469" i="4"/>
  <c r="H2469" i="4"/>
  <c r="L2469" i="4" s="1"/>
  <c r="Q2468" i="4"/>
  <c r="P2468" i="4"/>
  <c r="O2468" i="4"/>
  <c r="N2468" i="4"/>
  <c r="M2468" i="4"/>
  <c r="L2468" i="4"/>
  <c r="K2468" i="4"/>
  <c r="I2468" i="4"/>
  <c r="H2468" i="4"/>
  <c r="J2468" i="4" s="1"/>
  <c r="Q2465" i="4"/>
  <c r="P2465" i="4"/>
  <c r="O2465" i="4"/>
  <c r="N2465" i="4"/>
  <c r="L2465" i="4"/>
  <c r="K2465" i="4"/>
  <c r="J2465" i="4"/>
  <c r="I2465" i="4"/>
  <c r="H2465" i="4"/>
  <c r="M2465" i="4" s="1"/>
  <c r="Q2464" i="4"/>
  <c r="P2464" i="4"/>
  <c r="O2464" i="4"/>
  <c r="N2464" i="4"/>
  <c r="M2464" i="4"/>
  <c r="K2464" i="4"/>
  <c r="J2464" i="4"/>
  <c r="I2464" i="4"/>
  <c r="H2464" i="4"/>
  <c r="L2464" i="4" s="1"/>
  <c r="Q2463" i="4"/>
  <c r="P2463" i="4"/>
  <c r="O2463" i="4"/>
  <c r="N2463" i="4"/>
  <c r="M2463" i="4"/>
  <c r="L2463" i="4"/>
  <c r="J2463" i="4"/>
  <c r="I2463" i="4"/>
  <c r="H2463" i="4"/>
  <c r="K2463" i="4" s="1"/>
  <c r="Q2462" i="4"/>
  <c r="P2462" i="4"/>
  <c r="O2462" i="4"/>
  <c r="N2462" i="4"/>
  <c r="M2462" i="4"/>
  <c r="L2462" i="4"/>
  <c r="K2462" i="4"/>
  <c r="I2462" i="4"/>
  <c r="H2462" i="4"/>
  <c r="J2462" i="4" s="1"/>
  <c r="Q2459" i="4"/>
  <c r="P2459" i="4"/>
  <c r="O2459" i="4"/>
  <c r="M2459" i="4"/>
  <c r="L2459" i="4"/>
  <c r="K2459" i="4"/>
  <c r="J2459" i="4"/>
  <c r="I2459" i="4"/>
  <c r="H2459" i="4"/>
  <c r="N2459" i="4" s="1"/>
  <c r="Q2458" i="4"/>
  <c r="P2458" i="4"/>
  <c r="O2458" i="4"/>
  <c r="M2458" i="4"/>
  <c r="L2458" i="4"/>
  <c r="K2458" i="4"/>
  <c r="J2458" i="4"/>
  <c r="I2458" i="4"/>
  <c r="H2458" i="4"/>
  <c r="N2458" i="4" s="1"/>
  <c r="Q2457" i="4"/>
  <c r="P2457" i="4"/>
  <c r="O2457" i="4"/>
  <c r="M2457" i="4"/>
  <c r="L2457" i="4"/>
  <c r="K2457" i="4"/>
  <c r="J2457" i="4"/>
  <c r="I2457" i="4"/>
  <c r="H2457" i="4"/>
  <c r="N2457" i="4" s="1"/>
  <c r="Q2456" i="4"/>
  <c r="P2456" i="4"/>
  <c r="O2456" i="4"/>
  <c r="N2456" i="4"/>
  <c r="L2456" i="4"/>
  <c r="K2456" i="4"/>
  <c r="J2456" i="4"/>
  <c r="I2456" i="4"/>
  <c r="H2456" i="4"/>
  <c r="M2456" i="4" s="1"/>
  <c r="Q2455" i="4"/>
  <c r="P2455" i="4"/>
  <c r="O2455" i="4"/>
  <c r="N2455" i="4"/>
  <c r="L2455" i="4"/>
  <c r="K2455" i="4"/>
  <c r="J2455" i="4"/>
  <c r="I2455" i="4"/>
  <c r="H2455" i="4"/>
  <c r="M2455" i="4" s="1"/>
  <c r="Q2454" i="4"/>
  <c r="P2454" i="4"/>
  <c r="O2454" i="4"/>
  <c r="N2454" i="4"/>
  <c r="L2454" i="4"/>
  <c r="K2454" i="4"/>
  <c r="J2454" i="4"/>
  <c r="I2454" i="4"/>
  <c r="H2454" i="4"/>
  <c r="M2454" i="4" s="1"/>
  <c r="Q2453" i="4"/>
  <c r="P2453" i="4"/>
  <c r="O2453" i="4"/>
  <c r="N2453" i="4"/>
  <c r="L2453" i="4"/>
  <c r="K2453" i="4"/>
  <c r="J2453" i="4"/>
  <c r="I2453" i="4"/>
  <c r="H2453" i="4"/>
  <c r="M2453" i="4" s="1"/>
  <c r="Q2452" i="4"/>
  <c r="P2452" i="4"/>
  <c r="O2452" i="4"/>
  <c r="N2452" i="4"/>
  <c r="L2452" i="4"/>
  <c r="K2452" i="4"/>
  <c r="J2452" i="4"/>
  <c r="I2452" i="4"/>
  <c r="H2452" i="4"/>
  <c r="M2452" i="4" s="1"/>
  <c r="Q2451" i="4"/>
  <c r="P2451" i="4"/>
  <c r="O2451" i="4"/>
  <c r="N2451" i="4"/>
  <c r="M2451" i="4"/>
  <c r="L2451" i="4"/>
  <c r="K2451" i="4"/>
  <c r="I2451" i="4"/>
  <c r="H2451" i="4"/>
  <c r="J2451" i="4" s="1"/>
  <c r="Q2448" i="4"/>
  <c r="P2448" i="4"/>
  <c r="O2448" i="4"/>
  <c r="M2448" i="4"/>
  <c r="L2448" i="4"/>
  <c r="K2448" i="4"/>
  <c r="J2448" i="4"/>
  <c r="I2448" i="4"/>
  <c r="H2448" i="4"/>
  <c r="N2448" i="4" s="1"/>
  <c r="Q2447" i="4"/>
  <c r="P2447" i="4"/>
  <c r="O2447" i="4"/>
  <c r="M2447" i="4"/>
  <c r="L2447" i="4"/>
  <c r="K2447" i="4"/>
  <c r="J2447" i="4"/>
  <c r="I2447" i="4"/>
  <c r="H2447" i="4"/>
  <c r="N2447" i="4" s="1"/>
  <c r="Q2446" i="4"/>
  <c r="P2446" i="4"/>
  <c r="O2446" i="4"/>
  <c r="M2446" i="4"/>
  <c r="L2446" i="4"/>
  <c r="K2446" i="4"/>
  <c r="J2446" i="4"/>
  <c r="I2446" i="4"/>
  <c r="H2446" i="4"/>
  <c r="N2446" i="4" s="1"/>
  <c r="Q2445" i="4"/>
  <c r="P2445" i="4"/>
  <c r="O2445" i="4"/>
  <c r="N2445" i="4"/>
  <c r="L2445" i="4"/>
  <c r="K2445" i="4"/>
  <c r="J2445" i="4"/>
  <c r="I2445" i="4"/>
  <c r="H2445" i="4"/>
  <c r="M2445" i="4" s="1"/>
  <c r="Q2444" i="4"/>
  <c r="P2444" i="4"/>
  <c r="O2444" i="4"/>
  <c r="N2444" i="4"/>
  <c r="L2444" i="4"/>
  <c r="K2444" i="4"/>
  <c r="J2444" i="4"/>
  <c r="I2444" i="4"/>
  <c r="H2444" i="4"/>
  <c r="M2444" i="4" s="1"/>
  <c r="Q2437" i="4"/>
  <c r="P2437" i="4"/>
  <c r="O2437" i="4"/>
  <c r="N2437" i="4"/>
  <c r="M2437" i="4"/>
  <c r="K2437" i="4"/>
  <c r="J2437" i="4"/>
  <c r="I2437" i="4"/>
  <c r="H2437" i="4"/>
  <c r="L2437" i="4" s="1"/>
  <c r="Q2436" i="4"/>
  <c r="P2436" i="4"/>
  <c r="O2436" i="4"/>
  <c r="N2436" i="4"/>
  <c r="M2436" i="4"/>
  <c r="K2436" i="4"/>
  <c r="J2436" i="4"/>
  <c r="I2436" i="4"/>
  <c r="H2436" i="4"/>
  <c r="L2436" i="4" s="1"/>
  <c r="Q2435" i="4"/>
  <c r="P2435" i="4"/>
  <c r="O2435" i="4"/>
  <c r="N2435" i="4"/>
  <c r="M2435" i="4"/>
  <c r="K2435" i="4"/>
  <c r="J2435" i="4"/>
  <c r="I2435" i="4"/>
  <c r="H2435" i="4"/>
  <c r="L2435" i="4" s="1"/>
  <c r="Q2434" i="4"/>
  <c r="P2434" i="4"/>
  <c r="O2434" i="4"/>
  <c r="N2434" i="4"/>
  <c r="M2434" i="4"/>
  <c r="L2434" i="4"/>
  <c r="K2434" i="4"/>
  <c r="I2434" i="4"/>
  <c r="H2434" i="4"/>
  <c r="J2434" i="4" s="1"/>
  <c r="Q2431" i="4"/>
  <c r="P2431" i="4"/>
  <c r="O2431" i="4"/>
  <c r="N2431" i="4"/>
  <c r="L2431" i="4"/>
  <c r="K2431" i="4"/>
  <c r="J2431" i="4"/>
  <c r="I2431" i="4"/>
  <c r="H2431" i="4"/>
  <c r="M2431" i="4" s="1"/>
  <c r="Q2430" i="4"/>
  <c r="P2430" i="4"/>
  <c r="O2430" i="4"/>
  <c r="N2430" i="4"/>
  <c r="M2430" i="4"/>
  <c r="K2430" i="4"/>
  <c r="J2430" i="4"/>
  <c r="I2430" i="4"/>
  <c r="H2430" i="4"/>
  <c r="L2430" i="4" s="1"/>
  <c r="Q2429" i="4"/>
  <c r="P2429" i="4"/>
  <c r="O2429" i="4"/>
  <c r="N2429" i="4"/>
  <c r="M2429" i="4"/>
  <c r="K2429" i="4"/>
  <c r="J2429" i="4"/>
  <c r="I2429" i="4"/>
  <c r="H2429" i="4"/>
  <c r="L2429" i="4" s="1"/>
  <c r="Q2428" i="4"/>
  <c r="P2428" i="4"/>
  <c r="O2428" i="4"/>
  <c r="N2428" i="4"/>
  <c r="M2428" i="4"/>
  <c r="K2428" i="4"/>
  <c r="J2428" i="4"/>
  <c r="I2428" i="4"/>
  <c r="H2428" i="4"/>
  <c r="L2428" i="4" s="1"/>
  <c r="Q2427" i="4"/>
  <c r="P2427" i="4"/>
  <c r="O2427" i="4"/>
  <c r="N2427" i="4"/>
  <c r="M2427" i="4"/>
  <c r="L2427" i="4"/>
  <c r="K2427" i="4"/>
  <c r="I2427" i="4"/>
  <c r="H2427" i="4"/>
  <c r="J2427" i="4" s="1"/>
  <c r="Q2424" i="4"/>
  <c r="P2424" i="4"/>
  <c r="O2424" i="4"/>
  <c r="N2424" i="4"/>
  <c r="L2424" i="4"/>
  <c r="K2424" i="4"/>
  <c r="J2424" i="4"/>
  <c r="I2424" i="4"/>
  <c r="H2424" i="4"/>
  <c r="M2424" i="4" s="1"/>
  <c r="Q2423" i="4"/>
  <c r="P2423" i="4"/>
  <c r="O2423" i="4"/>
  <c r="N2423" i="4"/>
  <c r="L2423" i="4"/>
  <c r="K2423" i="4"/>
  <c r="J2423" i="4"/>
  <c r="I2423" i="4"/>
  <c r="H2423" i="4"/>
  <c r="M2423" i="4" s="1"/>
  <c r="Q2422" i="4"/>
  <c r="P2422" i="4"/>
  <c r="O2422" i="4"/>
  <c r="N2422" i="4"/>
  <c r="L2422" i="4"/>
  <c r="K2422" i="4"/>
  <c r="J2422" i="4"/>
  <c r="I2422" i="4"/>
  <c r="H2422" i="4"/>
  <c r="M2422" i="4" s="1"/>
  <c r="Q2421" i="4"/>
  <c r="P2421" i="4"/>
  <c r="O2421" i="4"/>
  <c r="N2421" i="4"/>
  <c r="L2421" i="4"/>
  <c r="K2421" i="4"/>
  <c r="J2421" i="4"/>
  <c r="I2421" i="4"/>
  <c r="H2421" i="4"/>
  <c r="M2421" i="4" s="1"/>
  <c r="Q2420" i="4"/>
  <c r="P2420" i="4"/>
  <c r="O2420" i="4"/>
  <c r="N2420" i="4"/>
  <c r="M2420" i="4"/>
  <c r="L2420" i="4"/>
  <c r="J2420" i="4"/>
  <c r="I2420" i="4"/>
  <c r="H2420" i="4"/>
  <c r="K2420" i="4" s="1"/>
  <c r="Q2419" i="4"/>
  <c r="P2419" i="4"/>
  <c r="O2419" i="4"/>
  <c r="N2419" i="4"/>
  <c r="M2419" i="4"/>
  <c r="L2419" i="4"/>
  <c r="K2419" i="4"/>
  <c r="I2419" i="4"/>
  <c r="H2419" i="4"/>
  <c r="J2419" i="4" s="1"/>
  <c r="Q2416" i="4"/>
  <c r="P2416" i="4"/>
  <c r="N2416" i="4"/>
  <c r="M2416" i="4"/>
  <c r="L2416" i="4"/>
  <c r="K2416" i="4"/>
  <c r="J2416" i="4"/>
  <c r="I2416" i="4"/>
  <c r="H2416" i="4"/>
  <c r="O2416" i="4" s="1"/>
  <c r="Q2415" i="4"/>
  <c r="P2415" i="4"/>
  <c r="N2415" i="4"/>
  <c r="M2415" i="4"/>
  <c r="L2415" i="4"/>
  <c r="K2415" i="4"/>
  <c r="J2415" i="4"/>
  <c r="I2415" i="4"/>
  <c r="H2415" i="4"/>
  <c r="O2415" i="4" s="1"/>
  <c r="Q2414" i="4"/>
  <c r="P2414" i="4"/>
  <c r="O2414" i="4"/>
  <c r="M2414" i="4"/>
  <c r="L2414" i="4"/>
  <c r="K2414" i="4"/>
  <c r="J2414" i="4"/>
  <c r="I2414" i="4"/>
  <c r="H2414" i="4"/>
  <c r="N2414" i="4" s="1"/>
  <c r="Q2413" i="4"/>
  <c r="P2413" i="4"/>
  <c r="O2413" i="4"/>
  <c r="M2413" i="4"/>
  <c r="L2413" i="4"/>
  <c r="K2413" i="4"/>
  <c r="J2413" i="4"/>
  <c r="I2413" i="4"/>
  <c r="H2413" i="4"/>
  <c r="N2413" i="4" s="1"/>
  <c r="Q2412" i="4"/>
  <c r="P2412" i="4"/>
  <c r="O2412" i="4"/>
  <c r="M2412" i="4"/>
  <c r="L2412" i="4"/>
  <c r="K2412" i="4"/>
  <c r="J2412" i="4"/>
  <c r="I2412" i="4"/>
  <c r="H2412" i="4"/>
  <c r="N2412" i="4" s="1"/>
  <c r="Q2411" i="4"/>
  <c r="P2411" i="4"/>
  <c r="O2411" i="4"/>
  <c r="M2411" i="4"/>
  <c r="L2411" i="4"/>
  <c r="K2411" i="4"/>
  <c r="J2411" i="4"/>
  <c r="I2411" i="4"/>
  <c r="H2411" i="4"/>
  <c r="N2411" i="4" s="1"/>
  <c r="Q2410" i="4"/>
  <c r="P2410" i="4"/>
  <c r="O2410" i="4"/>
  <c r="M2410" i="4"/>
  <c r="L2410" i="4"/>
  <c r="K2410" i="4"/>
  <c r="J2410" i="4"/>
  <c r="I2410" i="4"/>
  <c r="H2410" i="4"/>
  <c r="N2410" i="4" s="1"/>
  <c r="Q2409" i="4"/>
  <c r="P2409" i="4"/>
  <c r="O2409" i="4"/>
  <c r="M2409" i="4"/>
  <c r="L2409" i="4"/>
  <c r="K2409" i="4"/>
  <c r="J2409" i="4"/>
  <c r="I2409" i="4"/>
  <c r="H2409" i="4"/>
  <c r="N2409" i="4" s="1"/>
  <c r="Q2408" i="4"/>
  <c r="P2408" i="4"/>
  <c r="O2408" i="4"/>
  <c r="M2408" i="4"/>
  <c r="L2408" i="4"/>
  <c r="K2408" i="4"/>
  <c r="J2408" i="4"/>
  <c r="I2408" i="4"/>
  <c r="H2408" i="4"/>
  <c r="N2408" i="4" s="1"/>
  <c r="Q2407" i="4"/>
  <c r="P2407" i="4"/>
  <c r="O2407" i="4"/>
  <c r="M2407" i="4"/>
  <c r="L2407" i="4"/>
  <c r="K2407" i="4"/>
  <c r="J2407" i="4"/>
  <c r="I2407" i="4"/>
  <c r="H2407" i="4"/>
  <c r="N2407" i="4" s="1"/>
  <c r="Q2406" i="4"/>
  <c r="P2406" i="4"/>
  <c r="O2406" i="4"/>
  <c r="M2406" i="4"/>
  <c r="L2406" i="4"/>
  <c r="K2406" i="4"/>
  <c r="J2406" i="4"/>
  <c r="I2406" i="4"/>
  <c r="H2406" i="4"/>
  <c r="N2406" i="4" s="1"/>
  <c r="Q2405" i="4"/>
  <c r="P2405" i="4"/>
  <c r="O2405" i="4"/>
  <c r="N2405" i="4"/>
  <c r="M2405" i="4"/>
  <c r="L2405" i="4"/>
  <c r="K2405" i="4"/>
  <c r="I2405" i="4"/>
  <c r="H2405" i="4"/>
  <c r="J2405" i="4" s="1"/>
  <c r="Q2402" i="4"/>
  <c r="O2402" i="4"/>
  <c r="N2402" i="4"/>
  <c r="M2402" i="4"/>
  <c r="L2402" i="4"/>
  <c r="K2402" i="4"/>
  <c r="J2402" i="4"/>
  <c r="I2402" i="4"/>
  <c r="H2402" i="4"/>
  <c r="P2402" i="4" s="1"/>
  <c r="Q2401" i="4"/>
  <c r="O2401" i="4"/>
  <c r="N2401" i="4"/>
  <c r="M2401" i="4"/>
  <c r="L2401" i="4"/>
  <c r="K2401" i="4"/>
  <c r="J2401" i="4"/>
  <c r="I2401" i="4"/>
  <c r="H2401" i="4"/>
  <c r="P2401" i="4" s="1"/>
  <c r="Q2400" i="4"/>
  <c r="P2400" i="4"/>
  <c r="N2400" i="4"/>
  <c r="M2400" i="4"/>
  <c r="L2400" i="4"/>
  <c r="K2400" i="4"/>
  <c r="J2400" i="4"/>
  <c r="I2400" i="4"/>
  <c r="H2400" i="4"/>
  <c r="O2400" i="4" s="1"/>
  <c r="Q2399" i="4"/>
  <c r="P2399" i="4"/>
  <c r="N2399" i="4"/>
  <c r="M2399" i="4"/>
  <c r="L2399" i="4"/>
  <c r="K2399" i="4"/>
  <c r="J2399" i="4"/>
  <c r="I2399" i="4"/>
  <c r="H2399" i="4"/>
  <c r="O2399" i="4" s="1"/>
  <c r="Q2398" i="4"/>
  <c r="P2398" i="4"/>
  <c r="O2398" i="4"/>
  <c r="M2398" i="4"/>
  <c r="L2398" i="4"/>
  <c r="K2398" i="4"/>
  <c r="J2398" i="4"/>
  <c r="I2398" i="4"/>
  <c r="H2398" i="4"/>
  <c r="N2398" i="4" s="1"/>
  <c r="Q2397" i="4"/>
  <c r="P2397" i="4"/>
  <c r="O2397" i="4"/>
  <c r="M2397" i="4"/>
  <c r="L2397" i="4"/>
  <c r="K2397" i="4"/>
  <c r="J2397" i="4"/>
  <c r="I2397" i="4"/>
  <c r="H2397" i="4"/>
  <c r="N2397" i="4" s="1"/>
  <c r="Q2396" i="4"/>
  <c r="P2396" i="4"/>
  <c r="O2396" i="4"/>
  <c r="M2396" i="4"/>
  <c r="L2396" i="4"/>
  <c r="K2396" i="4"/>
  <c r="J2396" i="4"/>
  <c r="I2396" i="4"/>
  <c r="H2396" i="4"/>
  <c r="N2396" i="4" s="1"/>
  <c r="Q2395" i="4"/>
  <c r="P2395" i="4"/>
  <c r="O2395" i="4"/>
  <c r="N2395" i="4"/>
  <c r="L2395" i="4"/>
  <c r="K2395" i="4"/>
  <c r="J2395" i="4"/>
  <c r="I2395" i="4"/>
  <c r="H2395" i="4"/>
  <c r="M2395" i="4" s="1"/>
  <c r="Q2394" i="4"/>
  <c r="P2394" i="4"/>
  <c r="O2394" i="4"/>
  <c r="N2394" i="4"/>
  <c r="M2394" i="4"/>
  <c r="L2394" i="4"/>
  <c r="K2394" i="4"/>
  <c r="I2394" i="4"/>
  <c r="H2394" i="4"/>
  <c r="J2394" i="4" s="1"/>
  <c r="Q2391" i="4"/>
  <c r="P2391" i="4"/>
  <c r="O2391" i="4"/>
  <c r="M2391" i="4"/>
  <c r="L2391" i="4"/>
  <c r="K2391" i="4"/>
  <c r="J2391" i="4"/>
  <c r="I2391" i="4"/>
  <c r="H2391" i="4"/>
  <c r="N2391" i="4" s="1"/>
  <c r="Q2390" i="4"/>
  <c r="P2390" i="4"/>
  <c r="O2390" i="4"/>
  <c r="N2390" i="4"/>
  <c r="L2390" i="4"/>
  <c r="K2390" i="4"/>
  <c r="J2390" i="4"/>
  <c r="I2390" i="4"/>
  <c r="H2390" i="4"/>
  <c r="M2390" i="4" s="1"/>
  <c r="Q2389" i="4"/>
  <c r="P2389" i="4"/>
  <c r="O2389" i="4"/>
  <c r="N2389" i="4"/>
  <c r="L2389" i="4"/>
  <c r="K2389" i="4"/>
  <c r="J2389" i="4"/>
  <c r="I2389" i="4"/>
  <c r="H2389" i="4"/>
  <c r="M2389" i="4" s="1"/>
  <c r="Q2388" i="4"/>
  <c r="P2388" i="4"/>
  <c r="O2388" i="4"/>
  <c r="N2388" i="4"/>
  <c r="M2388" i="4"/>
  <c r="L2388" i="4"/>
  <c r="J2388" i="4"/>
  <c r="I2388" i="4"/>
  <c r="H2388" i="4"/>
  <c r="K2388" i="4" s="1"/>
  <c r="Q2387" i="4"/>
  <c r="P2387" i="4"/>
  <c r="O2387" i="4"/>
  <c r="N2387" i="4"/>
  <c r="M2387" i="4"/>
  <c r="L2387" i="4"/>
  <c r="K2387" i="4"/>
  <c r="I2387" i="4"/>
  <c r="H2387" i="4"/>
  <c r="J2387" i="4" s="1"/>
  <c r="Q2384" i="4"/>
  <c r="P2384" i="4"/>
  <c r="O2384" i="4"/>
  <c r="N2384" i="4"/>
  <c r="L2384" i="4"/>
  <c r="K2384" i="4"/>
  <c r="J2384" i="4"/>
  <c r="I2384" i="4"/>
  <c r="H2384" i="4"/>
  <c r="M2384" i="4" s="1"/>
  <c r="Q2383" i="4"/>
  <c r="P2383" i="4"/>
  <c r="O2383" i="4"/>
  <c r="N2383" i="4"/>
  <c r="L2383" i="4"/>
  <c r="K2383" i="4"/>
  <c r="J2383" i="4"/>
  <c r="I2383" i="4"/>
  <c r="H2383" i="4"/>
  <c r="M2383" i="4" s="1"/>
  <c r="Q2382" i="4"/>
  <c r="P2382" i="4"/>
  <c r="O2382" i="4"/>
  <c r="N2382" i="4"/>
  <c r="L2382" i="4"/>
  <c r="K2382" i="4"/>
  <c r="J2382" i="4"/>
  <c r="I2382" i="4"/>
  <c r="H2382" i="4"/>
  <c r="M2382" i="4" s="1"/>
  <c r="Q2381" i="4"/>
  <c r="P2381" i="4"/>
  <c r="O2381" i="4"/>
  <c r="N2381" i="4"/>
  <c r="M2381" i="4"/>
  <c r="K2381" i="4"/>
  <c r="J2381" i="4"/>
  <c r="I2381" i="4"/>
  <c r="H2381" i="4"/>
  <c r="L2381" i="4" s="1"/>
  <c r="Q2380" i="4"/>
  <c r="P2380" i="4"/>
  <c r="O2380" i="4"/>
  <c r="N2380" i="4"/>
  <c r="M2380" i="4"/>
  <c r="L2380" i="4"/>
  <c r="K2380" i="4"/>
  <c r="I2380" i="4"/>
  <c r="H2380" i="4"/>
  <c r="J2380" i="4" s="1"/>
  <c r="Q2377" i="4"/>
  <c r="P2377" i="4"/>
  <c r="O2377" i="4"/>
  <c r="N2377" i="4"/>
  <c r="L2377" i="4"/>
  <c r="K2377" i="4"/>
  <c r="J2377" i="4"/>
  <c r="I2377" i="4"/>
  <c r="H2377" i="4"/>
  <c r="M2377" i="4" s="1"/>
  <c r="Q2376" i="4"/>
  <c r="P2376" i="4"/>
  <c r="O2376" i="4"/>
  <c r="N2376" i="4"/>
  <c r="L2376" i="4"/>
  <c r="K2376" i="4"/>
  <c r="J2376" i="4"/>
  <c r="I2376" i="4"/>
  <c r="H2376" i="4"/>
  <c r="M2376" i="4" s="1"/>
  <c r="Q2375" i="4"/>
  <c r="P2375" i="4"/>
  <c r="O2375" i="4"/>
  <c r="N2375" i="4"/>
  <c r="L2375" i="4"/>
  <c r="K2375" i="4"/>
  <c r="J2375" i="4"/>
  <c r="I2375" i="4"/>
  <c r="H2375" i="4"/>
  <c r="M2375" i="4" s="1"/>
  <c r="Q2374" i="4"/>
  <c r="P2374" i="4"/>
  <c r="O2374" i="4"/>
  <c r="N2374" i="4"/>
  <c r="M2374" i="4"/>
  <c r="L2374" i="4"/>
  <c r="J2374" i="4"/>
  <c r="I2374" i="4"/>
  <c r="H2374" i="4"/>
  <c r="K2374" i="4" s="1"/>
  <c r="Q2373" i="4"/>
  <c r="P2373" i="4"/>
  <c r="O2373" i="4"/>
  <c r="N2373" i="4"/>
  <c r="M2373" i="4"/>
  <c r="L2373" i="4"/>
  <c r="K2373" i="4"/>
  <c r="I2373" i="4"/>
  <c r="H2373" i="4"/>
  <c r="J2373" i="4" s="1"/>
  <c r="Q2370" i="4"/>
  <c r="P2370" i="4"/>
  <c r="O2370" i="4"/>
  <c r="N2370" i="4"/>
  <c r="M2370" i="4"/>
  <c r="L2370" i="4"/>
  <c r="K2370" i="4"/>
  <c r="J2370" i="4"/>
  <c r="I2370" i="4"/>
  <c r="H2370" i="4"/>
  <c r="Q2369" i="4"/>
  <c r="P2369" i="4"/>
  <c r="O2369" i="4"/>
  <c r="N2369" i="4"/>
  <c r="M2369" i="4"/>
  <c r="L2369" i="4"/>
  <c r="K2369" i="4"/>
  <c r="J2369" i="4"/>
  <c r="I2369" i="4"/>
  <c r="H2369" i="4"/>
  <c r="Q2368" i="4"/>
  <c r="P2368" i="4"/>
  <c r="O2368" i="4"/>
  <c r="N2368" i="4"/>
  <c r="M2368" i="4"/>
  <c r="L2368" i="4"/>
  <c r="K2368" i="4"/>
  <c r="J2368" i="4"/>
  <c r="I2368" i="4"/>
  <c r="H2368" i="4"/>
  <c r="Q2367" i="4"/>
  <c r="P2367" i="4"/>
  <c r="O2367" i="4"/>
  <c r="N2367" i="4"/>
  <c r="M2367" i="4"/>
  <c r="L2367" i="4"/>
  <c r="K2367" i="4"/>
  <c r="J2367" i="4"/>
  <c r="I2367" i="4"/>
  <c r="H2367" i="4"/>
  <c r="Q2366" i="4"/>
  <c r="P2366" i="4"/>
  <c r="O2366" i="4"/>
  <c r="N2366" i="4"/>
  <c r="M2366" i="4"/>
  <c r="L2366" i="4"/>
  <c r="K2366" i="4"/>
  <c r="J2366" i="4"/>
  <c r="I2366" i="4"/>
  <c r="H2366" i="4"/>
  <c r="Q2365" i="4"/>
  <c r="P2365" i="4"/>
  <c r="O2365" i="4"/>
  <c r="N2365" i="4"/>
  <c r="M2365" i="4"/>
  <c r="L2365" i="4"/>
  <c r="K2365" i="4"/>
  <c r="J2365" i="4"/>
  <c r="I2365" i="4"/>
  <c r="H2365" i="4"/>
  <c r="Q2364" i="4"/>
  <c r="P2364" i="4"/>
  <c r="O2364" i="4"/>
  <c r="N2364" i="4"/>
  <c r="M2364" i="4"/>
  <c r="L2364" i="4"/>
  <c r="K2364" i="4"/>
  <c r="J2364" i="4"/>
  <c r="I2364" i="4"/>
  <c r="H2364" i="4"/>
  <c r="Q2363" i="4"/>
  <c r="P2363" i="4"/>
  <c r="O2363" i="4"/>
  <c r="N2363" i="4"/>
  <c r="L2363" i="4"/>
  <c r="K2363" i="4"/>
  <c r="J2363" i="4"/>
  <c r="I2363" i="4"/>
  <c r="H2363" i="4"/>
  <c r="M2363" i="4" s="1"/>
  <c r="Q2362" i="4"/>
  <c r="P2362" i="4"/>
  <c r="O2362" i="4"/>
  <c r="N2362" i="4"/>
  <c r="L2362" i="4"/>
  <c r="K2362" i="4"/>
  <c r="J2362" i="4"/>
  <c r="I2362" i="4"/>
  <c r="H2362" i="4"/>
  <c r="M2362" i="4" s="1"/>
  <c r="Q2361" i="4"/>
  <c r="P2361" i="4"/>
  <c r="O2361" i="4"/>
  <c r="N2361" i="4"/>
  <c r="L2361" i="4"/>
  <c r="K2361" i="4"/>
  <c r="J2361" i="4"/>
  <c r="I2361" i="4"/>
  <c r="H2361" i="4"/>
  <c r="M2361" i="4" s="1"/>
  <c r="Q2360" i="4"/>
  <c r="P2360" i="4"/>
  <c r="O2360" i="4"/>
  <c r="N2360" i="4"/>
  <c r="M2360" i="4"/>
  <c r="K2360" i="4"/>
  <c r="J2360" i="4"/>
  <c r="I2360" i="4"/>
  <c r="H2360" i="4"/>
  <c r="L2360" i="4" s="1"/>
  <c r="Q2359" i="4"/>
  <c r="P2359" i="4"/>
  <c r="O2359" i="4"/>
  <c r="N2359" i="4"/>
  <c r="M2359" i="4"/>
  <c r="L2359" i="4"/>
  <c r="K2359" i="4"/>
  <c r="I2359" i="4"/>
  <c r="H2359" i="4"/>
  <c r="J2359" i="4" s="1"/>
  <c r="Q2355" i="4"/>
  <c r="P2355" i="4"/>
  <c r="O2355" i="4"/>
  <c r="M2355" i="4"/>
  <c r="L2355" i="4"/>
  <c r="K2355" i="4"/>
  <c r="J2355" i="4"/>
  <c r="I2355" i="4"/>
  <c r="H2355" i="4"/>
  <c r="N2355" i="4" s="1"/>
  <c r="Q2354" i="4"/>
  <c r="P2354" i="4"/>
  <c r="O2354" i="4"/>
  <c r="M2354" i="4"/>
  <c r="L2354" i="4"/>
  <c r="K2354" i="4"/>
  <c r="J2354" i="4"/>
  <c r="I2354" i="4"/>
  <c r="H2354" i="4"/>
  <c r="N2354" i="4" s="1"/>
  <c r="Q2353" i="4"/>
  <c r="P2353" i="4"/>
  <c r="O2353" i="4"/>
  <c r="N2353" i="4"/>
  <c r="L2353" i="4"/>
  <c r="K2353" i="4"/>
  <c r="J2353" i="4"/>
  <c r="I2353" i="4"/>
  <c r="H2353" i="4"/>
  <c r="M2353" i="4" s="1"/>
  <c r="Q2352" i="4"/>
  <c r="P2352" i="4"/>
  <c r="O2352" i="4"/>
  <c r="N2352" i="4"/>
  <c r="M2352" i="4"/>
  <c r="L2352" i="4"/>
  <c r="K2352" i="4"/>
  <c r="I2352" i="4"/>
  <c r="H2352" i="4"/>
  <c r="J2352" i="4" s="1"/>
  <c r="Q2349" i="4"/>
  <c r="P2349" i="4"/>
  <c r="O2349" i="4"/>
  <c r="M2349" i="4"/>
  <c r="L2349" i="4"/>
  <c r="K2349" i="4"/>
  <c r="J2349" i="4"/>
  <c r="I2349" i="4"/>
  <c r="H2349" i="4"/>
  <c r="N2349" i="4" s="1"/>
  <c r="Q2348" i="4"/>
  <c r="P2348" i="4"/>
  <c r="O2348" i="4"/>
  <c r="M2348" i="4"/>
  <c r="L2348" i="4"/>
  <c r="K2348" i="4"/>
  <c r="J2348" i="4"/>
  <c r="I2348" i="4"/>
  <c r="H2348" i="4"/>
  <c r="N2348" i="4" s="1"/>
  <c r="Q2347" i="4"/>
  <c r="P2347" i="4"/>
  <c r="O2347" i="4"/>
  <c r="N2347" i="4"/>
  <c r="L2347" i="4"/>
  <c r="K2347" i="4"/>
  <c r="J2347" i="4"/>
  <c r="I2347" i="4"/>
  <c r="H2347" i="4"/>
  <c r="M2347" i="4" s="1"/>
  <c r="Q2346" i="4"/>
  <c r="P2346" i="4"/>
  <c r="O2346" i="4"/>
  <c r="N2346" i="4"/>
  <c r="L2346" i="4"/>
  <c r="K2346" i="4"/>
  <c r="J2346" i="4"/>
  <c r="I2346" i="4"/>
  <c r="H2346" i="4"/>
  <c r="M2346" i="4" s="1"/>
  <c r="Q2345" i="4"/>
  <c r="P2345" i="4"/>
  <c r="O2345" i="4"/>
  <c r="N2345" i="4"/>
  <c r="L2345" i="4"/>
  <c r="K2345" i="4"/>
  <c r="J2345" i="4"/>
  <c r="I2345" i="4"/>
  <c r="H2345" i="4"/>
  <c r="M2345" i="4" s="1"/>
  <c r="Q2344" i="4"/>
  <c r="P2344" i="4"/>
  <c r="O2344" i="4"/>
  <c r="N2344" i="4"/>
  <c r="M2344" i="4"/>
  <c r="L2344" i="4"/>
  <c r="K2344" i="4"/>
  <c r="I2344" i="4"/>
  <c r="H2344" i="4"/>
  <c r="J2344" i="4" s="1"/>
  <c r="P2341" i="4"/>
  <c r="O2341" i="4"/>
  <c r="N2341" i="4"/>
  <c r="M2341" i="4"/>
  <c r="L2341" i="4"/>
  <c r="K2341" i="4"/>
  <c r="J2341" i="4"/>
  <c r="I2341" i="4"/>
  <c r="H2341" i="4"/>
  <c r="Q2341" i="4" s="1"/>
  <c r="Q2340" i="4"/>
  <c r="P2340" i="4"/>
  <c r="N2340" i="4"/>
  <c r="M2340" i="4"/>
  <c r="L2340" i="4"/>
  <c r="K2340" i="4"/>
  <c r="J2340" i="4"/>
  <c r="I2340" i="4"/>
  <c r="H2340" i="4"/>
  <c r="O2340" i="4" s="1"/>
  <c r="Q2339" i="4"/>
  <c r="P2339" i="4"/>
  <c r="N2339" i="4"/>
  <c r="M2339" i="4"/>
  <c r="L2339" i="4"/>
  <c r="K2339" i="4"/>
  <c r="J2339" i="4"/>
  <c r="I2339" i="4"/>
  <c r="H2339" i="4"/>
  <c r="O2339" i="4" s="1"/>
  <c r="Q2338" i="4"/>
  <c r="P2338" i="4"/>
  <c r="N2338" i="4"/>
  <c r="M2338" i="4"/>
  <c r="L2338" i="4"/>
  <c r="K2338" i="4"/>
  <c r="J2338" i="4"/>
  <c r="I2338" i="4"/>
  <c r="H2338" i="4"/>
  <c r="O2338" i="4" s="1"/>
  <c r="Q2337" i="4"/>
  <c r="P2337" i="4"/>
  <c r="O2337" i="4"/>
  <c r="N2337" i="4"/>
  <c r="M2337" i="4"/>
  <c r="L2337" i="4"/>
  <c r="K2337" i="4"/>
  <c r="I2337" i="4"/>
  <c r="H2337" i="4"/>
  <c r="J2337" i="4" s="1"/>
  <c r="Q2334" i="4"/>
  <c r="P2334" i="4"/>
  <c r="O2334" i="4"/>
  <c r="N2334" i="4"/>
  <c r="L2334" i="4"/>
  <c r="K2334" i="4"/>
  <c r="J2334" i="4"/>
  <c r="I2334" i="4"/>
  <c r="H2334" i="4"/>
  <c r="M2334" i="4" s="1"/>
  <c r="Q2333" i="4"/>
  <c r="P2333" i="4"/>
  <c r="O2333" i="4"/>
  <c r="N2333" i="4"/>
  <c r="M2333" i="4"/>
  <c r="K2333" i="4"/>
  <c r="J2333" i="4"/>
  <c r="I2333" i="4"/>
  <c r="H2333" i="4"/>
  <c r="L2333" i="4" s="1"/>
  <c r="Q2332" i="4"/>
  <c r="P2332" i="4"/>
  <c r="O2332" i="4"/>
  <c r="N2332" i="4"/>
  <c r="M2332" i="4"/>
  <c r="K2332" i="4"/>
  <c r="J2332" i="4"/>
  <c r="I2332" i="4"/>
  <c r="H2332" i="4"/>
  <c r="L2332" i="4" s="1"/>
  <c r="Q2331" i="4"/>
  <c r="P2331" i="4"/>
  <c r="O2331" i="4"/>
  <c r="N2331" i="4"/>
  <c r="M2331" i="4"/>
  <c r="K2331" i="4"/>
  <c r="J2331" i="4"/>
  <c r="I2331" i="4"/>
  <c r="H2331" i="4"/>
  <c r="L2331" i="4" s="1"/>
  <c r="Q2330" i="4"/>
  <c r="P2330" i="4"/>
  <c r="O2330" i="4"/>
  <c r="N2330" i="4"/>
  <c r="M2330" i="4"/>
  <c r="L2330" i="4"/>
  <c r="K2330" i="4"/>
  <c r="I2330" i="4"/>
  <c r="H2330" i="4"/>
  <c r="J2330" i="4" s="1"/>
  <c r="Q2327" i="4"/>
  <c r="P2327" i="4"/>
  <c r="N2327" i="4"/>
  <c r="M2327" i="4"/>
  <c r="L2327" i="4"/>
  <c r="K2327" i="4"/>
  <c r="J2327" i="4"/>
  <c r="I2327" i="4"/>
  <c r="H2327" i="4"/>
  <c r="O2327" i="4" s="1"/>
  <c r="Q2323" i="4"/>
  <c r="P2323" i="4"/>
  <c r="N2323" i="4"/>
  <c r="M2323" i="4"/>
  <c r="L2323" i="4"/>
  <c r="K2323" i="4"/>
  <c r="J2323" i="4"/>
  <c r="I2323" i="4"/>
  <c r="H2323" i="4"/>
  <c r="O2323" i="4" s="1"/>
  <c r="Q2322" i="4"/>
  <c r="P2322" i="4"/>
  <c r="N2322" i="4"/>
  <c r="M2322" i="4"/>
  <c r="L2322" i="4"/>
  <c r="K2322" i="4"/>
  <c r="J2322" i="4"/>
  <c r="I2322" i="4"/>
  <c r="H2322" i="4"/>
  <c r="O2322" i="4" s="1"/>
  <c r="Q2321" i="4"/>
  <c r="P2321" i="4"/>
  <c r="N2321" i="4"/>
  <c r="M2321" i="4"/>
  <c r="L2321" i="4"/>
  <c r="K2321" i="4"/>
  <c r="J2321" i="4"/>
  <c r="I2321" i="4"/>
  <c r="H2321" i="4"/>
  <c r="O2321" i="4" s="1"/>
  <c r="Q2320" i="4"/>
  <c r="P2320" i="4"/>
  <c r="N2320" i="4"/>
  <c r="M2320" i="4"/>
  <c r="L2320" i="4"/>
  <c r="K2320" i="4"/>
  <c r="J2320" i="4"/>
  <c r="I2320" i="4"/>
  <c r="H2320" i="4"/>
  <c r="O2320" i="4" s="1"/>
  <c r="Q2319" i="4"/>
  <c r="P2319" i="4"/>
  <c r="N2319" i="4"/>
  <c r="M2319" i="4"/>
  <c r="L2319" i="4"/>
  <c r="K2319" i="4"/>
  <c r="J2319" i="4"/>
  <c r="I2319" i="4"/>
  <c r="H2319" i="4"/>
  <c r="O2319" i="4" s="1"/>
  <c r="Q2317" i="4"/>
  <c r="P2317" i="4"/>
  <c r="O2317" i="4"/>
  <c r="M2317" i="4"/>
  <c r="L2317" i="4"/>
  <c r="K2317" i="4"/>
  <c r="J2317" i="4"/>
  <c r="I2317" i="4"/>
  <c r="H2317" i="4"/>
  <c r="N2317" i="4" s="1"/>
  <c r="Q2316" i="4"/>
  <c r="P2316" i="4"/>
  <c r="O2316" i="4"/>
  <c r="N2316" i="4"/>
  <c r="L2316" i="4"/>
  <c r="K2316" i="4"/>
  <c r="J2316" i="4"/>
  <c r="I2316" i="4"/>
  <c r="H2316" i="4"/>
  <c r="M2316" i="4" s="1"/>
  <c r="Q2315" i="4"/>
  <c r="P2315" i="4"/>
  <c r="O2315" i="4"/>
  <c r="N2315" i="4"/>
  <c r="M2315" i="4"/>
  <c r="L2315" i="4"/>
  <c r="K2315" i="4"/>
  <c r="I2315" i="4"/>
  <c r="H2315" i="4"/>
  <c r="J2315" i="4" s="1"/>
  <c r="H2299" i="4"/>
  <c r="N2299" i="4" s="1"/>
  <c r="H2298" i="4"/>
  <c r="N2298" i="4" s="1"/>
  <c r="H2297" i="4"/>
  <c r="M2297" i="4" s="1"/>
  <c r="H2296" i="4"/>
  <c r="J2296" i="4" s="1"/>
  <c r="Q2312" i="4"/>
  <c r="P2312" i="4"/>
  <c r="N2312" i="4"/>
  <c r="M2312" i="4"/>
  <c r="L2312" i="4"/>
  <c r="K2312" i="4"/>
  <c r="J2312" i="4"/>
  <c r="I2312" i="4"/>
  <c r="H2312" i="4"/>
  <c r="O2312" i="4" s="1"/>
  <c r="Q2311" i="4"/>
  <c r="P2311" i="4"/>
  <c r="N2311" i="4"/>
  <c r="M2311" i="4"/>
  <c r="L2311" i="4"/>
  <c r="K2311" i="4"/>
  <c r="J2311" i="4"/>
  <c r="I2311" i="4"/>
  <c r="H2311" i="4"/>
  <c r="O2311" i="4" s="1"/>
  <c r="Q2310" i="4"/>
  <c r="P2310" i="4"/>
  <c r="N2310" i="4"/>
  <c r="M2310" i="4"/>
  <c r="L2310" i="4"/>
  <c r="K2310" i="4"/>
  <c r="J2310" i="4"/>
  <c r="I2310" i="4"/>
  <c r="H2310" i="4"/>
  <c r="O2310" i="4" s="1"/>
  <c r="Q2309" i="4"/>
  <c r="P2309" i="4"/>
  <c r="N2309" i="4"/>
  <c r="M2309" i="4"/>
  <c r="L2309" i="4"/>
  <c r="K2309" i="4"/>
  <c r="J2309" i="4"/>
  <c r="I2309" i="4"/>
  <c r="H2309" i="4"/>
  <c r="O2309" i="4" s="1"/>
  <c r="Q2308" i="4"/>
  <c r="P2308" i="4"/>
  <c r="N2308" i="4"/>
  <c r="M2308" i="4"/>
  <c r="L2308" i="4"/>
  <c r="K2308" i="4"/>
  <c r="J2308" i="4"/>
  <c r="I2308" i="4"/>
  <c r="H2308" i="4"/>
  <c r="O2308" i="4" s="1"/>
  <c r="Q2307" i="4"/>
  <c r="P2307" i="4"/>
  <c r="N2307" i="4"/>
  <c r="M2307" i="4"/>
  <c r="L2307" i="4"/>
  <c r="K2307" i="4"/>
  <c r="J2307" i="4"/>
  <c r="I2307" i="4"/>
  <c r="H2307" i="4"/>
  <c r="O2307" i="4" s="1"/>
  <c r="Q2306" i="4"/>
  <c r="P2306" i="4"/>
  <c r="N2306" i="4"/>
  <c r="M2306" i="4"/>
  <c r="L2306" i="4"/>
  <c r="K2306" i="4"/>
  <c r="J2306" i="4"/>
  <c r="I2306" i="4"/>
  <c r="H2306" i="4"/>
  <c r="O2306" i="4" s="1"/>
  <c r="Q2305" i="4"/>
  <c r="P2305" i="4"/>
  <c r="N2305" i="4"/>
  <c r="M2305" i="4"/>
  <c r="L2305" i="4"/>
  <c r="K2305" i="4"/>
  <c r="J2305" i="4"/>
  <c r="I2305" i="4"/>
  <c r="H2305" i="4"/>
  <c r="O2305" i="4" s="1"/>
  <c r="Q2304" i="4"/>
  <c r="P2304" i="4"/>
  <c r="N2304" i="4"/>
  <c r="M2304" i="4"/>
  <c r="L2304" i="4"/>
  <c r="K2304" i="4"/>
  <c r="J2304" i="4"/>
  <c r="I2304" i="4"/>
  <c r="H2304" i="4"/>
  <c r="O2304" i="4" s="1"/>
  <c r="Q2303" i="4"/>
  <c r="P2303" i="4"/>
  <c r="O2303" i="4"/>
  <c r="N2303" i="4"/>
  <c r="L2303" i="4"/>
  <c r="K2303" i="4"/>
  <c r="J2303" i="4"/>
  <c r="I2303" i="4"/>
  <c r="H2303" i="4"/>
  <c r="M2303" i="4" s="1"/>
  <c r="Q2302" i="4"/>
  <c r="P2302" i="4"/>
  <c r="O2302" i="4"/>
  <c r="N2302" i="4"/>
  <c r="M2302" i="4"/>
  <c r="L2302" i="4"/>
  <c r="K2302" i="4"/>
  <c r="I2302" i="4"/>
  <c r="H2302" i="4"/>
  <c r="J2302" i="4" s="1"/>
  <c r="Q2299" i="4"/>
  <c r="P2299" i="4"/>
  <c r="O2299" i="4"/>
  <c r="M2299" i="4"/>
  <c r="L2299" i="4"/>
  <c r="K2299" i="4"/>
  <c r="J2299" i="4"/>
  <c r="I2299" i="4"/>
  <c r="Q2298" i="4"/>
  <c r="P2298" i="4"/>
  <c r="O2298" i="4"/>
  <c r="M2298" i="4"/>
  <c r="L2298" i="4"/>
  <c r="K2298" i="4"/>
  <c r="J2298" i="4"/>
  <c r="I2298" i="4"/>
  <c r="Q2297" i="4"/>
  <c r="P2297" i="4"/>
  <c r="O2297" i="4"/>
  <c r="N2297" i="4"/>
  <c r="L2297" i="4"/>
  <c r="K2297" i="4"/>
  <c r="J2297" i="4"/>
  <c r="I2297" i="4"/>
  <c r="Q2296" i="4"/>
  <c r="P2296" i="4"/>
  <c r="O2296" i="4"/>
  <c r="N2296" i="4"/>
  <c r="M2296" i="4"/>
  <c r="L2296" i="4"/>
  <c r="K2296" i="4"/>
  <c r="I2296" i="4"/>
  <c r="Q2290" i="4"/>
  <c r="P2290" i="4"/>
  <c r="O2290" i="4"/>
  <c r="N2290" i="4"/>
  <c r="L2290" i="4"/>
  <c r="K2290" i="4"/>
  <c r="J2290" i="4"/>
  <c r="I2290" i="4"/>
  <c r="H2290" i="4"/>
  <c r="M2290" i="4" s="1"/>
  <c r="Q2289" i="4"/>
  <c r="P2289" i="4"/>
  <c r="O2289" i="4"/>
  <c r="N2289" i="4"/>
  <c r="L2289" i="4"/>
  <c r="K2289" i="4"/>
  <c r="J2289" i="4"/>
  <c r="I2289" i="4"/>
  <c r="H2289" i="4"/>
  <c r="M2289" i="4" s="1"/>
  <c r="Q2292" i="4"/>
  <c r="P2292" i="4"/>
  <c r="O2292" i="4"/>
  <c r="N2292" i="4"/>
  <c r="L2292" i="4"/>
  <c r="K2292" i="4"/>
  <c r="J2292" i="4"/>
  <c r="I2292" i="4"/>
  <c r="H2292" i="4"/>
  <c r="M2292" i="4" s="1"/>
  <c r="Q2291" i="4"/>
  <c r="P2291" i="4"/>
  <c r="O2291" i="4"/>
  <c r="N2291" i="4"/>
  <c r="L2291" i="4"/>
  <c r="K2291" i="4"/>
  <c r="J2291" i="4"/>
  <c r="I2291" i="4"/>
  <c r="H2291" i="4"/>
  <c r="M2291" i="4" s="1"/>
  <c r="Q2286" i="4"/>
  <c r="P2286" i="4"/>
  <c r="O2286" i="4"/>
  <c r="N2286" i="4"/>
  <c r="M2286" i="4"/>
  <c r="K2286" i="4"/>
  <c r="J2286" i="4"/>
  <c r="I2286" i="4"/>
  <c r="H2286" i="4"/>
  <c r="L2286" i="4" s="1"/>
  <c r="Q2285" i="4"/>
  <c r="P2285" i="4"/>
  <c r="O2285" i="4"/>
  <c r="N2285" i="4"/>
  <c r="M2285" i="4"/>
  <c r="K2285" i="4"/>
  <c r="J2285" i="4"/>
  <c r="I2285" i="4"/>
  <c r="H2285" i="4"/>
  <c r="L2285" i="4" s="1"/>
  <c r="Q2284" i="4"/>
  <c r="P2284" i="4"/>
  <c r="O2284" i="4"/>
  <c r="N2284" i="4"/>
  <c r="M2284" i="4"/>
  <c r="K2284" i="4"/>
  <c r="J2284" i="4"/>
  <c r="I2284" i="4"/>
  <c r="H2284" i="4"/>
  <c r="L2284" i="4" s="1"/>
  <c r="Q2283" i="4"/>
  <c r="P2283" i="4"/>
  <c r="O2283" i="4"/>
  <c r="N2283" i="4"/>
  <c r="M2283" i="4"/>
  <c r="K2283" i="4"/>
  <c r="J2283" i="4"/>
  <c r="I2283" i="4"/>
  <c r="H2283" i="4"/>
  <c r="L2283" i="4" s="1"/>
  <c r="Q2288" i="4"/>
  <c r="P2288" i="4"/>
  <c r="O2288" i="4"/>
  <c r="N2288" i="4"/>
  <c r="M2288" i="4"/>
  <c r="K2288" i="4"/>
  <c r="J2288" i="4"/>
  <c r="I2288" i="4"/>
  <c r="H2288" i="4"/>
  <c r="L2288" i="4" s="1"/>
  <c r="Q2287" i="4"/>
  <c r="P2287" i="4"/>
  <c r="O2287" i="4"/>
  <c r="N2287" i="4"/>
  <c r="M2287" i="4"/>
  <c r="K2287" i="4"/>
  <c r="J2287" i="4"/>
  <c r="I2287" i="4"/>
  <c r="H2287" i="4"/>
  <c r="L2287" i="4" s="1"/>
  <c r="Q2293" i="4"/>
  <c r="P2293" i="4"/>
  <c r="O2293" i="4"/>
  <c r="N2293" i="4"/>
  <c r="L2293" i="4"/>
  <c r="K2293" i="4"/>
  <c r="J2293" i="4"/>
  <c r="I2293" i="4"/>
  <c r="H2293" i="4"/>
  <c r="M2293" i="4" s="1"/>
  <c r="Q2275" i="4"/>
  <c r="P2275" i="4"/>
  <c r="O2275" i="4"/>
  <c r="N2275" i="4"/>
  <c r="L2275" i="4"/>
  <c r="K2275" i="4"/>
  <c r="J2275" i="4"/>
  <c r="I2275" i="4"/>
  <c r="H2275" i="4"/>
  <c r="M2275" i="4" s="1"/>
  <c r="Q2274" i="4"/>
  <c r="P2274" i="4"/>
  <c r="O2274" i="4"/>
  <c r="N2274" i="4"/>
  <c r="L2274" i="4"/>
  <c r="K2274" i="4"/>
  <c r="J2274" i="4"/>
  <c r="I2274" i="4"/>
  <c r="H2274" i="4"/>
  <c r="M2274" i="4" s="1"/>
  <c r="Q2273" i="4"/>
  <c r="P2273" i="4"/>
  <c r="O2273" i="4"/>
  <c r="N2273" i="4"/>
  <c r="M2273" i="4"/>
  <c r="K2273" i="4"/>
  <c r="J2273" i="4"/>
  <c r="I2273" i="4"/>
  <c r="H2273" i="4"/>
  <c r="L2273" i="4" s="1"/>
  <c r="Q2272" i="4"/>
  <c r="P2272" i="4"/>
  <c r="O2272" i="4"/>
  <c r="N2272" i="4"/>
  <c r="M2272" i="4"/>
  <c r="K2272" i="4"/>
  <c r="J2272" i="4"/>
  <c r="I2272" i="4"/>
  <c r="H2272" i="4"/>
  <c r="L2272" i="4" s="1"/>
  <c r="Q2271" i="4"/>
  <c r="P2271" i="4"/>
  <c r="O2271" i="4"/>
  <c r="N2271" i="4"/>
  <c r="M2271" i="4"/>
  <c r="K2271" i="4"/>
  <c r="J2271" i="4"/>
  <c r="I2271" i="4"/>
  <c r="H2271" i="4"/>
  <c r="L2271" i="4" s="1"/>
  <c r="Q2270" i="4"/>
  <c r="P2270" i="4"/>
  <c r="O2270" i="4"/>
  <c r="N2270" i="4"/>
  <c r="M2270" i="4"/>
  <c r="K2270" i="4"/>
  <c r="J2270" i="4"/>
  <c r="I2270" i="4"/>
  <c r="H2270" i="4"/>
  <c r="L2270" i="4" s="1"/>
  <c r="Q2278" i="4"/>
  <c r="P2278" i="4"/>
  <c r="O2278" i="4"/>
  <c r="N2278" i="4"/>
  <c r="L2278" i="4"/>
  <c r="K2278" i="4"/>
  <c r="J2278" i="4"/>
  <c r="I2278" i="4"/>
  <c r="H2278" i="4"/>
  <c r="M2278" i="4" s="1"/>
  <c r="Q2277" i="4"/>
  <c r="P2277" i="4"/>
  <c r="O2277" i="4"/>
  <c r="N2277" i="4"/>
  <c r="L2277" i="4"/>
  <c r="K2277" i="4"/>
  <c r="J2277" i="4"/>
  <c r="I2277" i="4"/>
  <c r="H2277" i="4"/>
  <c r="M2277" i="4" s="1"/>
  <c r="Q2276" i="4"/>
  <c r="P2276" i="4"/>
  <c r="O2276" i="4"/>
  <c r="N2276" i="4"/>
  <c r="L2276" i="4"/>
  <c r="K2276" i="4"/>
  <c r="J2276" i="4"/>
  <c r="I2276" i="4"/>
  <c r="H2276" i="4"/>
  <c r="M2276" i="4" s="1"/>
  <c r="Q2259" i="4"/>
  <c r="P2259" i="4"/>
  <c r="O2259" i="4"/>
  <c r="N2259" i="4"/>
  <c r="M2259" i="4"/>
  <c r="K2259" i="4"/>
  <c r="J2259" i="4"/>
  <c r="I2259" i="4"/>
  <c r="H2259" i="4"/>
  <c r="L2259" i="4" s="1"/>
  <c r="Q2258" i="4"/>
  <c r="P2258" i="4"/>
  <c r="O2258" i="4"/>
  <c r="N2258" i="4"/>
  <c r="M2258" i="4"/>
  <c r="K2258" i="4"/>
  <c r="J2258" i="4"/>
  <c r="I2258" i="4"/>
  <c r="H2258" i="4"/>
  <c r="L2258" i="4" s="1"/>
  <c r="Q2257" i="4"/>
  <c r="P2257" i="4"/>
  <c r="O2257" i="4"/>
  <c r="N2257" i="4"/>
  <c r="M2257" i="4"/>
  <c r="K2257" i="4"/>
  <c r="J2257" i="4"/>
  <c r="I2257" i="4"/>
  <c r="H2257" i="4"/>
  <c r="L2257" i="4" s="1"/>
  <c r="Q2256" i="4"/>
  <c r="P2256" i="4"/>
  <c r="O2256" i="4"/>
  <c r="N2256" i="4"/>
  <c r="M2256" i="4"/>
  <c r="K2256" i="4"/>
  <c r="J2256" i="4"/>
  <c r="I2256" i="4"/>
  <c r="H2256" i="4"/>
  <c r="L2256" i="4" s="1"/>
  <c r="Q2255" i="4"/>
  <c r="P2255" i="4"/>
  <c r="O2255" i="4"/>
  <c r="N2255" i="4"/>
  <c r="M2255" i="4"/>
  <c r="K2255" i="4"/>
  <c r="J2255" i="4"/>
  <c r="I2255" i="4"/>
  <c r="H2255" i="4"/>
  <c r="L2255" i="4" s="1"/>
  <c r="Q2262" i="4"/>
  <c r="P2262" i="4"/>
  <c r="O2262" i="4"/>
  <c r="N2262" i="4"/>
  <c r="L2262" i="4"/>
  <c r="K2262" i="4"/>
  <c r="J2262" i="4"/>
  <c r="I2262" i="4"/>
  <c r="H2262" i="4"/>
  <c r="M2262" i="4" s="1"/>
  <c r="Q2261" i="4"/>
  <c r="P2261" i="4"/>
  <c r="O2261" i="4"/>
  <c r="N2261" i="4"/>
  <c r="L2261" i="4"/>
  <c r="K2261" i="4"/>
  <c r="J2261" i="4"/>
  <c r="I2261" i="4"/>
  <c r="H2261" i="4"/>
  <c r="M2261" i="4" s="1"/>
  <c r="Q2260" i="4"/>
  <c r="P2260" i="4"/>
  <c r="O2260" i="4"/>
  <c r="N2260" i="4"/>
  <c r="L2260" i="4"/>
  <c r="K2260" i="4"/>
  <c r="J2260" i="4"/>
  <c r="I2260" i="4"/>
  <c r="H2260" i="4"/>
  <c r="M2260" i="4" s="1"/>
  <c r="G265" i="21"/>
  <c r="G264" i="21"/>
  <c r="J264" i="21" s="1"/>
  <c r="P264" i="21" s="1"/>
  <c r="G263" i="21"/>
  <c r="J263" i="21" s="1"/>
  <c r="P263" i="21" s="1"/>
  <c r="G262" i="21"/>
  <c r="G261" i="21"/>
  <c r="G260" i="21"/>
  <c r="O263" i="21"/>
  <c r="N263" i="21"/>
  <c r="M263" i="21"/>
  <c r="L263" i="21"/>
  <c r="K263" i="21"/>
  <c r="O264" i="21"/>
  <c r="N264" i="21"/>
  <c r="M264" i="21"/>
  <c r="L264" i="21"/>
  <c r="K264" i="21"/>
  <c r="O279" i="21"/>
  <c r="N279" i="21"/>
  <c r="M279" i="21"/>
  <c r="L279" i="21"/>
  <c r="K279" i="21"/>
  <c r="J279" i="21"/>
  <c r="P279" i="21" s="1"/>
  <c r="J277" i="21"/>
  <c r="P277" i="21" s="1"/>
  <c r="O277" i="21"/>
  <c r="N277" i="21"/>
  <c r="M277" i="21"/>
  <c r="L277" i="21"/>
  <c r="K277" i="21"/>
  <c r="G302" i="21"/>
  <c r="G303" i="21"/>
  <c r="G304" i="21"/>
  <c r="G305" i="21"/>
  <c r="G236" i="21"/>
  <c r="G237" i="21"/>
  <c r="G238" i="21"/>
  <c r="G239" i="21"/>
  <c r="G227" i="21"/>
  <c r="G226" i="21"/>
  <c r="G225" i="21"/>
  <c r="G224" i="21"/>
  <c r="G213" i="21"/>
  <c r="G214" i="21"/>
  <c r="G215" i="21"/>
  <c r="G216" i="21"/>
  <c r="P170" i="21"/>
  <c r="O170" i="21"/>
  <c r="M170" i="21"/>
  <c r="L170" i="21"/>
  <c r="K170" i="21"/>
  <c r="G170" i="21"/>
  <c r="J170" i="21" s="1"/>
  <c r="N170" i="21" s="1"/>
  <c r="G165" i="21"/>
  <c r="G166" i="21"/>
  <c r="G167" i="21"/>
  <c r="J167" i="21" s="1"/>
  <c r="K167" i="21" s="1"/>
  <c r="G168" i="21"/>
  <c r="G169" i="21"/>
  <c r="P167" i="21"/>
  <c r="O167" i="21"/>
  <c r="N167" i="21"/>
  <c r="M167" i="21"/>
  <c r="L167" i="21"/>
  <c r="J156" i="21"/>
  <c r="N156" i="21" s="1"/>
  <c r="J155" i="21"/>
  <c r="K155" i="21" s="1"/>
  <c r="J154" i="21"/>
  <c r="K154" i="21" s="1"/>
  <c r="J153" i="21"/>
  <c r="K153" i="21" s="1"/>
  <c r="G164" i="21"/>
  <c r="G163" i="21"/>
  <c r="G162" i="21"/>
  <c r="G161" i="21"/>
  <c r="G152" i="21"/>
  <c r="J152" i="21" s="1"/>
  <c r="N152" i="21" s="1"/>
  <c r="G151" i="21"/>
  <c r="J151" i="21" s="1"/>
  <c r="K151" i="21" s="1"/>
  <c r="G150" i="21"/>
  <c r="J150" i="21" s="1"/>
  <c r="K150" i="21" s="1"/>
  <c r="G149" i="21"/>
  <c r="J149" i="21" s="1"/>
  <c r="K149" i="21" s="1"/>
  <c r="P160" i="21"/>
  <c r="O160" i="21"/>
  <c r="M160" i="21"/>
  <c r="L160" i="21"/>
  <c r="K160" i="21"/>
  <c r="J160" i="21"/>
  <c r="N160" i="21" s="1"/>
  <c r="P159" i="21"/>
  <c r="O159" i="21"/>
  <c r="N159" i="21"/>
  <c r="M159" i="21"/>
  <c r="L159" i="21"/>
  <c r="J159" i="21"/>
  <c r="K159" i="21" s="1"/>
  <c r="P158" i="21"/>
  <c r="O158" i="21"/>
  <c r="N158" i="21"/>
  <c r="M158" i="21"/>
  <c r="L158" i="21"/>
  <c r="J158" i="21"/>
  <c r="K158" i="21" s="1"/>
  <c r="P157" i="21"/>
  <c r="O157" i="21"/>
  <c r="N157" i="21"/>
  <c r="M157" i="21"/>
  <c r="L157" i="21"/>
  <c r="J157" i="21"/>
  <c r="K157" i="21" s="1"/>
  <c r="P156" i="21"/>
  <c r="O156" i="21"/>
  <c r="M156" i="21"/>
  <c r="L156" i="21"/>
  <c r="K156" i="21"/>
  <c r="P155" i="21"/>
  <c r="O155" i="21"/>
  <c r="N155" i="21"/>
  <c r="M155" i="21"/>
  <c r="L155" i="21"/>
  <c r="P154" i="21"/>
  <c r="O154" i="21"/>
  <c r="N154" i="21"/>
  <c r="M154" i="21"/>
  <c r="L154" i="21"/>
  <c r="P153" i="21"/>
  <c r="O153" i="21"/>
  <c r="N153" i="21"/>
  <c r="M153" i="21"/>
  <c r="L153" i="21"/>
  <c r="P152" i="21"/>
  <c r="O152" i="21"/>
  <c r="M152" i="21"/>
  <c r="L152" i="21"/>
  <c r="K152" i="21"/>
  <c r="P151" i="21"/>
  <c r="O151" i="21"/>
  <c r="N151" i="21"/>
  <c r="M151" i="21"/>
  <c r="L151" i="21"/>
  <c r="P150" i="21"/>
  <c r="O150" i="21"/>
  <c r="N150" i="21"/>
  <c r="M150" i="21"/>
  <c r="L150" i="21"/>
  <c r="P149" i="21"/>
  <c r="O149" i="21"/>
  <c r="N149" i="21"/>
  <c r="M149" i="21"/>
  <c r="L149" i="21"/>
  <c r="I2642" i="4" l="1"/>
  <c r="I3945" i="4"/>
  <c r="Q3945" i="4"/>
  <c r="J2591" i="4"/>
  <c r="L2591" i="4"/>
  <c r="N2671" i="4"/>
  <c r="N2681" i="4"/>
  <c r="P2681" i="4"/>
  <c r="N2694" i="4"/>
  <c r="K2604" i="4"/>
  <c r="L3893" i="4"/>
  <c r="J3888" i="4"/>
  <c r="L2491" i="4"/>
  <c r="K2771" i="4"/>
  <c r="L2657" i="4"/>
  <c r="L2671" i="4"/>
  <c r="L2700" i="4"/>
  <c r="L2737" i="4"/>
  <c r="N2591" i="4"/>
  <c r="M2676" i="4"/>
  <c r="M2700" i="4"/>
  <c r="O2700" i="4"/>
  <c r="Q2700" i="4"/>
  <c r="K2700" i="4"/>
  <c r="O2657" i="4"/>
  <c r="O2666" i="4"/>
  <c r="Q2666" i="4"/>
  <c r="I2666" i="4"/>
  <c r="K2666" i="4"/>
  <c r="O3893" i="4"/>
  <c r="Q2649" i="4"/>
  <c r="I2649" i="4"/>
  <c r="K2649" i="4"/>
  <c r="M2649" i="4"/>
  <c r="I3888" i="4"/>
  <c r="M2632" i="4"/>
  <c r="N2632" i="4"/>
  <c r="M2571" i="4"/>
  <c r="J2604" i="4"/>
  <c r="L2604" i="4"/>
  <c r="O2676" i="4"/>
  <c r="O2681" i="4"/>
  <c r="I2694" i="4"/>
  <c r="N2714" i="4"/>
  <c r="N2751" i="4"/>
  <c r="M2771" i="4"/>
  <c r="O2771" i="4"/>
  <c r="I2771" i="4"/>
  <c r="O2779" i="4"/>
  <c r="M3882" i="4"/>
  <c r="O3882" i="4"/>
  <c r="I3882" i="4"/>
  <c r="L3888" i="4"/>
  <c r="J3903" i="4"/>
  <c r="L3903" i="4"/>
  <c r="N2525" i="4"/>
  <c r="P2525" i="4"/>
  <c r="L2525" i="4"/>
  <c r="Q2724" i="4"/>
  <c r="O2751" i="4"/>
  <c r="N2779" i="4"/>
  <c r="K3898" i="4"/>
  <c r="Q3898" i="4"/>
  <c r="O3945" i="4"/>
  <c r="O2467" i="4"/>
  <c r="O2473" i="4"/>
  <c r="O2512" i="4"/>
  <c r="O2561" i="4"/>
  <c r="O2571" i="4"/>
  <c r="L2616" i="4"/>
  <c r="N2616" i="4"/>
  <c r="P2616" i="4"/>
  <c r="J2642" i="4"/>
  <c r="I2657" i="4"/>
  <c r="Q2676" i="4"/>
  <c r="K2676" i="4"/>
  <c r="P2714" i="4"/>
  <c r="P2756" i="4"/>
  <c r="O2787" i="4"/>
  <c r="L3931" i="4"/>
  <c r="P2518" i="4"/>
  <c r="M2604" i="4"/>
  <c r="K2642" i="4"/>
  <c r="Q2642" i="4"/>
  <c r="J2649" i="4"/>
  <c r="L2649" i="4"/>
  <c r="Q2751" i="4"/>
  <c r="K2751" i="4"/>
  <c r="P2779" i="4"/>
  <c r="L2779" i="4"/>
  <c r="M3917" i="4"/>
  <c r="Q2533" i="4"/>
  <c r="Q2541" i="4"/>
  <c r="Q2561" i="4"/>
  <c r="I2561" i="4"/>
  <c r="L2642" i="4"/>
  <c r="Q2787" i="4"/>
  <c r="N3893" i="4"/>
  <c r="P2591" i="4"/>
  <c r="O2604" i="4"/>
  <c r="J2666" i="4"/>
  <c r="L2666" i="4"/>
  <c r="I2671" i="4"/>
  <c r="L2694" i="4"/>
  <c r="L2771" i="4"/>
  <c r="Q3888" i="4"/>
  <c r="O3898" i="4"/>
  <c r="O3917" i="4"/>
  <c r="I3917" i="4"/>
  <c r="O2632" i="4"/>
  <c r="Q2632" i="4"/>
  <c r="I2632" i="4"/>
  <c r="K2632" i="4"/>
  <c r="N2642" i="4"/>
  <c r="J2671" i="4"/>
  <c r="I2676" i="4"/>
  <c r="I2687" i="4"/>
  <c r="P3898" i="4"/>
  <c r="I2591" i="4"/>
  <c r="Q2604" i="4"/>
  <c r="I2604" i="4"/>
  <c r="K2671" i="4"/>
  <c r="Q2671" i="4"/>
  <c r="I2732" i="4"/>
  <c r="Q2756" i="4"/>
  <c r="I2766" i="4"/>
  <c r="I2461" i="4"/>
  <c r="I2541" i="4"/>
  <c r="I2554" i="4"/>
  <c r="I2571" i="4"/>
  <c r="I2578" i="4"/>
  <c r="P2642" i="4"/>
  <c r="O2649" i="4"/>
  <c r="K2687" i="4"/>
  <c r="Q2687" i="4"/>
  <c r="J2724" i="4"/>
  <c r="L2724" i="4"/>
  <c r="J2751" i="4"/>
  <c r="I2616" i="4"/>
  <c r="N2657" i="4"/>
  <c r="L2676" i="4"/>
  <c r="L2681" i="4"/>
  <c r="O2714" i="4"/>
  <c r="K2737" i="4"/>
  <c r="K3888" i="4"/>
  <c r="I3893" i="4"/>
  <c r="I3898" i="4"/>
  <c r="M2554" i="4"/>
  <c r="N2604" i="4"/>
  <c r="P2676" i="4"/>
  <c r="M2681" i="4"/>
  <c r="J2687" i="4"/>
  <c r="L2687" i="4"/>
  <c r="M2732" i="4"/>
  <c r="O2732" i="4"/>
  <c r="N2756" i="4"/>
  <c r="Q2771" i="4"/>
  <c r="M2787" i="4"/>
  <c r="N3903" i="4"/>
  <c r="K3931" i="4"/>
  <c r="L3945" i="4"/>
  <c r="P3945" i="4"/>
  <c r="P2467" i="4"/>
  <c r="L2467" i="4"/>
  <c r="P2604" i="4"/>
  <c r="M2616" i="4"/>
  <c r="P2666" i="4"/>
  <c r="I2700" i="4"/>
  <c r="Q2714" i="4"/>
  <c r="K2714" i="4"/>
  <c r="P2724" i="4"/>
  <c r="M2737" i="4"/>
  <c r="O2737" i="4"/>
  <c r="I2737" i="4"/>
  <c r="J2756" i="4"/>
  <c r="L2756" i="4"/>
  <c r="Q2779" i="4"/>
  <c r="K2779" i="4"/>
  <c r="N3882" i="4"/>
  <c r="P3903" i="4"/>
  <c r="N3917" i="4"/>
  <c r="J3917" i="4"/>
  <c r="L3917" i="4"/>
  <c r="J3945" i="4"/>
  <c r="Q2482" i="4"/>
  <c r="Q2512" i="4"/>
  <c r="K2512" i="4"/>
  <c r="O2578" i="4"/>
  <c r="K2591" i="4"/>
  <c r="Q2591" i="4"/>
  <c r="J2632" i="4"/>
  <c r="L2632" i="4"/>
  <c r="M2671" i="4"/>
  <c r="O2671" i="4"/>
  <c r="M2687" i="4"/>
  <c r="O2687" i="4"/>
  <c r="J2694" i="4"/>
  <c r="P2732" i="4"/>
  <c r="N2737" i="4"/>
  <c r="K2756" i="4"/>
  <c r="J2766" i="4"/>
  <c r="L2766" i="4"/>
  <c r="P2787" i="4"/>
  <c r="Q3903" i="4"/>
  <c r="N3931" i="4"/>
  <c r="K3945" i="4"/>
  <c r="M3945" i="4"/>
  <c r="L2450" i="4"/>
  <c r="N2450" i="4"/>
  <c r="I2533" i="4"/>
  <c r="O2533" i="4"/>
  <c r="I2548" i="4"/>
  <c r="J2657" i="4"/>
  <c r="Q2681" i="4"/>
  <c r="K2681" i="4"/>
  <c r="K2694" i="4"/>
  <c r="Q2694" i="4"/>
  <c r="I2714" i="4"/>
  <c r="M2751" i="4"/>
  <c r="K2766" i="4"/>
  <c r="Q2766" i="4"/>
  <c r="I2779" i="4"/>
  <c r="P3882" i="4"/>
  <c r="M3888" i="4"/>
  <c r="O3888" i="4"/>
  <c r="J3893" i="4"/>
  <c r="P3917" i="4"/>
  <c r="I2379" i="4"/>
  <c r="I2418" i="4"/>
  <c r="L2461" i="4"/>
  <c r="Q2578" i="4"/>
  <c r="M2591" i="4"/>
  <c r="O2591" i="4"/>
  <c r="N2649" i="4"/>
  <c r="J2700" i="4"/>
  <c r="I2724" i="4"/>
  <c r="K2724" i="4"/>
  <c r="P2737" i="4"/>
  <c r="M2756" i="4"/>
  <c r="J2771" i="4"/>
  <c r="N3888" i="4"/>
  <c r="N3898" i="4"/>
  <c r="Q3917" i="4"/>
  <c r="P3931" i="4"/>
  <c r="Q2616" i="4"/>
  <c r="K2616" i="4"/>
  <c r="O2616" i="4"/>
  <c r="N2666" i="4"/>
  <c r="P2671" i="4"/>
  <c r="J2676" i="4"/>
  <c r="I2681" i="4"/>
  <c r="P2687" i="4"/>
  <c r="M2694" i="4"/>
  <c r="O2694" i="4"/>
  <c r="N2724" i="4"/>
  <c r="Q2737" i="4"/>
  <c r="M2766" i="4"/>
  <c r="O2766" i="4"/>
  <c r="I2787" i="4"/>
  <c r="Q3931" i="4"/>
  <c r="I3931" i="4"/>
  <c r="M3931" i="4"/>
  <c r="O3931" i="4"/>
  <c r="N3945" i="4"/>
  <c r="K2426" i="4"/>
  <c r="M2426" i="4"/>
  <c r="O2426" i="4"/>
  <c r="O2433" i="4"/>
  <c r="K2450" i="4"/>
  <c r="M2450" i="4"/>
  <c r="O2450" i="4"/>
  <c r="I2482" i="4"/>
  <c r="I2491" i="4"/>
  <c r="I2518" i="4"/>
  <c r="N2548" i="4"/>
  <c r="P2649" i="4"/>
  <c r="M2657" i="4"/>
  <c r="J2714" i="4"/>
  <c r="L2714" i="4"/>
  <c r="P2751" i="4"/>
  <c r="L2751" i="4"/>
  <c r="N2766" i="4"/>
  <c r="J2779" i="4"/>
  <c r="N2787" i="4"/>
  <c r="P3888" i="4"/>
  <c r="M3893" i="4"/>
  <c r="J3898" i="4"/>
  <c r="L3898" i="4"/>
  <c r="N2358" i="4"/>
  <c r="L2386" i="4"/>
  <c r="L2393" i="4"/>
  <c r="L2426" i="4"/>
  <c r="K2461" i="4"/>
  <c r="I2525" i="4"/>
  <c r="O2541" i="4"/>
  <c r="N2578" i="4"/>
  <c r="K2467" i="4"/>
  <c r="M2467" i="4"/>
  <c r="K2502" i="4"/>
  <c r="M2502" i="4"/>
  <c r="O2502" i="4"/>
  <c r="L2571" i="4"/>
  <c r="P2632" i="4"/>
  <c r="J2681" i="4"/>
  <c r="P2694" i="4"/>
  <c r="N2700" i="4"/>
  <c r="J2732" i="4"/>
  <c r="L2732" i="4"/>
  <c r="N2732" i="4"/>
  <c r="P2766" i="4"/>
  <c r="N2771" i="4"/>
  <c r="J2787" i="4"/>
  <c r="L2787" i="4"/>
  <c r="K3903" i="4"/>
  <c r="O3903" i="4"/>
  <c r="I3903" i="4"/>
  <c r="M2461" i="4"/>
  <c r="K2561" i="4"/>
  <c r="M2561" i="4"/>
  <c r="M2642" i="4"/>
  <c r="O2642" i="4"/>
  <c r="P2657" i="4"/>
  <c r="N2676" i="4"/>
  <c r="N2687" i="4"/>
  <c r="M2714" i="4"/>
  <c r="K2732" i="4"/>
  <c r="Q2732" i="4"/>
  <c r="I2751" i="4"/>
  <c r="M2779" i="4"/>
  <c r="K2787" i="4"/>
  <c r="J3882" i="4"/>
  <c r="L3882" i="4"/>
  <c r="P3893" i="4"/>
  <c r="M3898" i="4"/>
  <c r="L2533" i="4"/>
  <c r="L2554" i="4"/>
  <c r="K2578" i="4"/>
  <c r="J2616" i="4"/>
  <c r="Q2657" i="4"/>
  <c r="K2657" i="4"/>
  <c r="M2666" i="4"/>
  <c r="P2700" i="4"/>
  <c r="M2724" i="4"/>
  <c r="O2724" i="4"/>
  <c r="J2737" i="4"/>
  <c r="I2756" i="4"/>
  <c r="O2756" i="4"/>
  <c r="P2771" i="4"/>
  <c r="K3882" i="4"/>
  <c r="Q3882" i="4"/>
  <c r="Q3893" i="4"/>
  <c r="K3893" i="4"/>
  <c r="M3903" i="4"/>
  <c r="K3917" i="4"/>
  <c r="J3931" i="4"/>
  <c r="K2351" i="4"/>
  <c r="I2426" i="4"/>
  <c r="Q2467" i="4"/>
  <c r="I2467" i="4"/>
  <c r="M2491" i="4"/>
  <c r="J2518" i="4"/>
  <c r="J2525" i="4"/>
  <c r="K2541" i="4"/>
  <c r="P2548" i="4"/>
  <c r="N2554" i="4"/>
  <c r="P2554" i="4"/>
  <c r="J2461" i="4"/>
  <c r="Q2473" i="4"/>
  <c r="K2473" i="4"/>
  <c r="P2482" i="4"/>
  <c r="N2491" i="4"/>
  <c r="P2491" i="4"/>
  <c r="K2518" i="4"/>
  <c r="M2518" i="4"/>
  <c r="O2518" i="4"/>
  <c r="Q2548" i="4"/>
  <c r="O2554" i="4"/>
  <c r="N2561" i="4"/>
  <c r="L2561" i="4"/>
  <c r="J2578" i="4"/>
  <c r="O2491" i="4"/>
  <c r="N2502" i="4"/>
  <c r="L2502" i="4"/>
  <c r="M2512" i="4"/>
  <c r="L2518" i="4"/>
  <c r="M2578" i="4"/>
  <c r="O2404" i="4"/>
  <c r="M2418" i="4"/>
  <c r="L2433" i="4"/>
  <c r="N2512" i="4"/>
  <c r="P2512" i="4"/>
  <c r="K2525" i="4"/>
  <c r="Q2525" i="4"/>
  <c r="J2541" i="4"/>
  <c r="L2541" i="4"/>
  <c r="P2561" i="4"/>
  <c r="N2571" i="4"/>
  <c r="P2571" i="4"/>
  <c r="L2578" i="4"/>
  <c r="N2404" i="4"/>
  <c r="Q2461" i="4"/>
  <c r="J2473" i="4"/>
  <c r="L2473" i="4"/>
  <c r="P2502" i="4"/>
  <c r="J2533" i="4"/>
  <c r="N2426" i="4"/>
  <c r="J2467" i="4"/>
  <c r="I2473" i="4"/>
  <c r="N2482" i="4"/>
  <c r="Q2502" i="4"/>
  <c r="I2502" i="4"/>
  <c r="M2525" i="4"/>
  <c r="K2533" i="4"/>
  <c r="M2533" i="4"/>
  <c r="P2386" i="4"/>
  <c r="J2548" i="4"/>
  <c r="J2554" i="4"/>
  <c r="Q2571" i="4"/>
  <c r="K2571" i="4"/>
  <c r="Q2404" i="4"/>
  <c r="I2404" i="4"/>
  <c r="N2461" i="4"/>
  <c r="P2461" i="4"/>
  <c r="J2482" i="4"/>
  <c r="J2491" i="4"/>
  <c r="Q2518" i="4"/>
  <c r="O2525" i="4"/>
  <c r="K2548" i="4"/>
  <c r="M2548" i="4"/>
  <c r="O2548" i="4"/>
  <c r="P2578" i="4"/>
  <c r="O2461" i="4"/>
  <c r="K2482" i="4"/>
  <c r="M2482" i="4"/>
  <c r="O2482" i="4"/>
  <c r="N2533" i="4"/>
  <c r="M2541" i="4"/>
  <c r="L2548" i="4"/>
  <c r="J2351" i="4"/>
  <c r="I2386" i="4"/>
  <c r="N2467" i="4"/>
  <c r="M2473" i="4"/>
  <c r="L2482" i="4"/>
  <c r="J2512" i="4"/>
  <c r="L2512" i="4"/>
  <c r="N2541" i="4"/>
  <c r="P2541" i="4"/>
  <c r="K2554" i="4"/>
  <c r="Q2554" i="4"/>
  <c r="J2561" i="4"/>
  <c r="J2571" i="4"/>
  <c r="N2473" i="4"/>
  <c r="P2473" i="4"/>
  <c r="K2491" i="4"/>
  <c r="Q2491" i="4"/>
  <c r="J2502" i="4"/>
  <c r="I2512" i="4"/>
  <c r="N2518" i="4"/>
  <c r="P2533" i="4"/>
  <c r="I2314" i="4"/>
  <c r="Q2386" i="4"/>
  <c r="N2418" i="4"/>
  <c r="P2418" i="4"/>
  <c r="J2379" i="4"/>
  <c r="L2379" i="4"/>
  <c r="Q2393" i="4"/>
  <c r="I2393" i="4"/>
  <c r="O2393" i="4"/>
  <c r="P2404" i="4"/>
  <c r="J2450" i="4"/>
  <c r="L2343" i="4"/>
  <c r="N2343" i="4"/>
  <c r="M2433" i="4"/>
  <c r="K2379" i="4"/>
  <c r="O2379" i="4"/>
  <c r="Q2379" i="4"/>
  <c r="J2393" i="4"/>
  <c r="P2426" i="4"/>
  <c r="N2433" i="4"/>
  <c r="P2433" i="4"/>
  <c r="J2386" i="4"/>
  <c r="L2404" i="4"/>
  <c r="Q2426" i="4"/>
  <c r="M2379" i="4"/>
  <c r="K2386" i="4"/>
  <c r="M2386" i="4"/>
  <c r="O2386" i="4"/>
  <c r="J2418" i="4"/>
  <c r="L2418" i="4"/>
  <c r="O2358" i="4"/>
  <c r="N2379" i="4"/>
  <c r="P2379" i="4"/>
  <c r="K2393" i="4"/>
  <c r="J2404" i="4"/>
  <c r="Q2433" i="4"/>
  <c r="I2433" i="4"/>
  <c r="K2433" i="4"/>
  <c r="P2450" i="4"/>
  <c r="K2404" i="4"/>
  <c r="M2404" i="4"/>
  <c r="Q2450" i="4"/>
  <c r="I2450" i="4"/>
  <c r="Q2372" i="4"/>
  <c r="N2386" i="4"/>
  <c r="M2393" i="4"/>
  <c r="K2418" i="4"/>
  <c r="O2418" i="4"/>
  <c r="Q2418" i="4"/>
  <c r="N2393" i="4"/>
  <c r="P2393" i="4"/>
  <c r="J2426" i="4"/>
  <c r="J2433" i="4"/>
  <c r="M2343" i="4"/>
  <c r="O2343" i="4"/>
  <c r="I2372" i="4"/>
  <c r="M2351" i="4"/>
  <c r="K2358" i="4"/>
  <c r="M2358" i="4"/>
  <c r="J2372" i="4"/>
  <c r="L2372" i="4"/>
  <c r="O2329" i="4"/>
  <c r="N2351" i="4"/>
  <c r="L2351" i="4"/>
  <c r="L2358" i="4"/>
  <c r="K2372" i="4"/>
  <c r="O2351" i="4"/>
  <c r="Q2351" i="4"/>
  <c r="Q2343" i="4"/>
  <c r="P2351" i="4"/>
  <c r="N2372" i="4"/>
  <c r="P2372" i="4"/>
  <c r="P2358" i="4"/>
  <c r="J2358" i="4"/>
  <c r="O2372" i="4"/>
  <c r="N2336" i="4"/>
  <c r="P2336" i="4"/>
  <c r="Q2358" i="4"/>
  <c r="P2329" i="4"/>
  <c r="J2343" i="4"/>
  <c r="P2343" i="4"/>
  <c r="I2351" i="4"/>
  <c r="I2358" i="4"/>
  <c r="K2343" i="4"/>
  <c r="I2343" i="4"/>
  <c r="M2372" i="4"/>
  <c r="L2336" i="4"/>
  <c r="I2336" i="4"/>
  <c r="K2336" i="4"/>
  <c r="M2336" i="4"/>
  <c r="O2336" i="4"/>
  <c r="Q2336" i="4"/>
  <c r="N2314" i="4"/>
  <c r="L2329" i="4"/>
  <c r="J2336" i="4"/>
  <c r="Q2329" i="4"/>
  <c r="I2329" i="4"/>
  <c r="K2329" i="4"/>
  <c r="M2329" i="4"/>
  <c r="J2329" i="4"/>
  <c r="N2329" i="4"/>
  <c r="P2314" i="4"/>
  <c r="J2314" i="4"/>
  <c r="Q2314" i="4"/>
  <c r="L2301" i="4"/>
  <c r="K2314" i="4"/>
  <c r="O2314" i="4"/>
  <c r="L2314" i="4"/>
  <c r="M2314" i="4"/>
  <c r="I2301" i="4"/>
  <c r="K2301" i="4"/>
  <c r="O2301" i="4"/>
  <c r="J2301" i="4"/>
  <c r="N2301" i="4"/>
  <c r="P2301" i="4"/>
  <c r="Q2301" i="4"/>
  <c r="M2301" i="4"/>
  <c r="O2295" i="4"/>
  <c r="P2295" i="4"/>
  <c r="N2295" i="4"/>
  <c r="I2295" i="4"/>
  <c r="Q2295" i="4"/>
  <c r="J2295" i="4"/>
  <c r="K2295" i="4"/>
  <c r="M2295" i="4"/>
  <c r="L2295" i="4"/>
  <c r="G298" i="21"/>
  <c r="G299" i="21"/>
  <c r="G300" i="21"/>
  <c r="G301" i="21"/>
  <c r="G256" i="21"/>
  <c r="G257" i="21"/>
  <c r="G258" i="21"/>
  <c r="G259" i="21"/>
  <c r="G58" i="11"/>
  <c r="J58" i="11" s="1"/>
  <c r="P58" i="11" s="1"/>
  <c r="G57" i="11"/>
  <c r="J57" i="11" s="1"/>
  <c r="M57" i="11" s="1"/>
  <c r="G56" i="11"/>
  <c r="J56" i="11" s="1"/>
  <c r="M56" i="11" s="1"/>
  <c r="G55" i="11"/>
  <c r="J55" i="11" s="1"/>
  <c r="M55" i="11" s="1"/>
  <c r="G54" i="11"/>
  <c r="J54" i="11" s="1"/>
  <c r="K54" i="11" s="1"/>
  <c r="N58" i="11"/>
  <c r="M58" i="11"/>
  <c r="L58" i="11"/>
  <c r="K58" i="11"/>
  <c r="P57" i="11"/>
  <c r="O57" i="11"/>
  <c r="N57" i="11"/>
  <c r="L57" i="11"/>
  <c r="K57" i="11"/>
  <c r="P56" i="11"/>
  <c r="O56" i="11"/>
  <c r="N56" i="11"/>
  <c r="L56" i="11"/>
  <c r="K56" i="11"/>
  <c r="P55" i="11"/>
  <c r="O55" i="11"/>
  <c r="N55" i="11"/>
  <c r="L55" i="11"/>
  <c r="K55" i="11"/>
  <c r="P54" i="11"/>
  <c r="O54" i="11"/>
  <c r="N54" i="11"/>
  <c r="M54" i="11"/>
  <c r="L54" i="11"/>
  <c r="G232" i="21"/>
  <c r="G233" i="21"/>
  <c r="G234" i="21"/>
  <c r="G235" i="21"/>
  <c r="G209" i="21"/>
  <c r="G210" i="21"/>
  <c r="G211" i="21"/>
  <c r="G212" i="21"/>
  <c r="G53" i="11"/>
  <c r="G52" i="11"/>
  <c r="J52" i="11" s="1"/>
  <c r="M52" i="11" s="1"/>
  <c r="G51" i="11"/>
  <c r="J51" i="11" s="1"/>
  <c r="M51" i="11" s="1"/>
  <c r="G50" i="11"/>
  <c r="J50" i="11" s="1"/>
  <c r="M50" i="11" s="1"/>
  <c r="G49" i="11"/>
  <c r="P51" i="11"/>
  <c r="O51" i="11"/>
  <c r="N51" i="11"/>
  <c r="L51" i="11"/>
  <c r="K51" i="11"/>
  <c r="P52" i="11"/>
  <c r="O52" i="11"/>
  <c r="N52" i="11"/>
  <c r="L52" i="11"/>
  <c r="K52" i="11"/>
  <c r="P50" i="11"/>
  <c r="O50" i="11"/>
  <c r="N50" i="11"/>
  <c r="L50" i="11"/>
  <c r="K50" i="11"/>
  <c r="Q211" i="4"/>
  <c r="P211" i="4"/>
  <c r="O211" i="4"/>
  <c r="N211" i="4"/>
  <c r="L211" i="4"/>
  <c r="K211" i="4"/>
  <c r="J211" i="4"/>
  <c r="I211" i="4"/>
  <c r="H211" i="4"/>
  <c r="M211" i="4" s="1"/>
  <c r="Q210" i="4"/>
  <c r="P210" i="4"/>
  <c r="O210" i="4"/>
  <c r="N210" i="4"/>
  <c r="L210" i="4"/>
  <c r="K210" i="4"/>
  <c r="J210" i="4"/>
  <c r="I210" i="4"/>
  <c r="H210" i="4"/>
  <c r="M210" i="4" s="1"/>
  <c r="Q213" i="4"/>
  <c r="P213" i="4"/>
  <c r="O213" i="4"/>
  <c r="M213" i="4"/>
  <c r="L213" i="4"/>
  <c r="K213" i="4"/>
  <c r="J213" i="4"/>
  <c r="I213" i="4"/>
  <c r="H213" i="4"/>
  <c r="N213" i="4" s="1"/>
  <c r="Q212" i="4"/>
  <c r="P212" i="4"/>
  <c r="O212" i="4"/>
  <c r="N212" i="4"/>
  <c r="L212" i="4"/>
  <c r="K212" i="4"/>
  <c r="J212" i="4"/>
  <c r="I212" i="4"/>
  <c r="H212" i="4"/>
  <c r="M212" i="4" s="1"/>
  <c r="E206" i="4"/>
  <c r="E205" i="4"/>
  <c r="E204" i="4"/>
  <c r="E203" i="4"/>
  <c r="E202" i="4"/>
  <c r="H202" i="4" s="1"/>
  <c r="M202" i="4" s="1"/>
  <c r="E201" i="4"/>
  <c r="H201" i="4" s="1"/>
  <c r="M201" i="4" s="1"/>
  <c r="E200" i="4"/>
  <c r="H200" i="4" s="1"/>
  <c r="M200" i="4" s="1"/>
  <c r="E199" i="4"/>
  <c r="Q202" i="4"/>
  <c r="P202" i="4"/>
  <c r="O202" i="4"/>
  <c r="N202" i="4"/>
  <c r="L202" i="4"/>
  <c r="K202" i="4"/>
  <c r="J202" i="4"/>
  <c r="I202" i="4"/>
  <c r="Q201" i="4"/>
  <c r="P201" i="4"/>
  <c r="O201" i="4"/>
  <c r="N201" i="4"/>
  <c r="L201" i="4"/>
  <c r="K201" i="4"/>
  <c r="J201" i="4"/>
  <c r="I201" i="4"/>
  <c r="Q200" i="4"/>
  <c r="P200" i="4"/>
  <c r="O200" i="4"/>
  <c r="N200" i="4"/>
  <c r="L200" i="4"/>
  <c r="K200" i="4"/>
  <c r="J200" i="4"/>
  <c r="I200" i="4"/>
  <c r="Q192" i="4"/>
  <c r="P192" i="4"/>
  <c r="O192" i="4"/>
  <c r="M192" i="4"/>
  <c r="L192" i="4"/>
  <c r="K192" i="4"/>
  <c r="J192" i="4"/>
  <c r="I192" i="4"/>
  <c r="H192" i="4"/>
  <c r="N192" i="4" s="1"/>
  <c r="Q191" i="4"/>
  <c r="P191" i="4"/>
  <c r="O191" i="4"/>
  <c r="M191" i="4"/>
  <c r="L191" i="4"/>
  <c r="K191" i="4"/>
  <c r="J191" i="4"/>
  <c r="I191" i="4"/>
  <c r="H191" i="4"/>
  <c r="N191" i="4" s="1"/>
  <c r="Q190" i="4"/>
  <c r="P190" i="4"/>
  <c r="O190" i="4"/>
  <c r="M190" i="4"/>
  <c r="L190" i="4"/>
  <c r="K190" i="4"/>
  <c r="J190" i="4"/>
  <c r="I190" i="4"/>
  <c r="H190" i="4"/>
  <c r="N190" i="4" s="1"/>
  <c r="Q189" i="4"/>
  <c r="P189" i="4"/>
  <c r="O189" i="4"/>
  <c r="N189" i="4"/>
  <c r="L189" i="4"/>
  <c r="K189" i="4"/>
  <c r="J189" i="4"/>
  <c r="I189" i="4"/>
  <c r="H189" i="4"/>
  <c r="M189" i="4" s="1"/>
  <c r="Q193" i="4"/>
  <c r="P193" i="4"/>
  <c r="O193" i="4"/>
  <c r="M193" i="4"/>
  <c r="L193" i="4"/>
  <c r="K193" i="4"/>
  <c r="J193" i="4"/>
  <c r="I193" i="4"/>
  <c r="H193" i="4"/>
  <c r="N193" i="4" s="1"/>
  <c r="Q188" i="4"/>
  <c r="P188" i="4"/>
  <c r="O188" i="4"/>
  <c r="N188" i="4"/>
  <c r="M188" i="4"/>
  <c r="L188" i="4"/>
  <c r="K188" i="4"/>
  <c r="I188" i="4"/>
  <c r="H188" i="4"/>
  <c r="J188" i="4" s="1"/>
  <c r="Q181" i="4"/>
  <c r="P181" i="4"/>
  <c r="O181" i="4"/>
  <c r="N181" i="4"/>
  <c r="L181" i="4"/>
  <c r="K181" i="4"/>
  <c r="J181" i="4"/>
  <c r="I181" i="4"/>
  <c r="H181" i="4"/>
  <c r="M181" i="4" s="1"/>
  <c r="Q180" i="4"/>
  <c r="P180" i="4"/>
  <c r="O180" i="4"/>
  <c r="N180" i="4"/>
  <c r="L180" i="4"/>
  <c r="K180" i="4"/>
  <c r="J180" i="4"/>
  <c r="I180" i="4"/>
  <c r="H180" i="4"/>
  <c r="M180" i="4" s="1"/>
  <c r="Q182" i="4"/>
  <c r="P182" i="4"/>
  <c r="O182" i="4"/>
  <c r="M182" i="4"/>
  <c r="L182" i="4"/>
  <c r="K182" i="4"/>
  <c r="J182" i="4"/>
  <c r="I182" i="4"/>
  <c r="H182" i="4"/>
  <c r="N182" i="4" s="1"/>
  <c r="Q179" i="4"/>
  <c r="P179" i="4"/>
  <c r="O179" i="4"/>
  <c r="N179" i="4"/>
  <c r="L179" i="4"/>
  <c r="K179" i="4"/>
  <c r="J179" i="4"/>
  <c r="I179" i="4"/>
  <c r="H179" i="4"/>
  <c r="M179" i="4" s="1"/>
  <c r="Q183" i="4"/>
  <c r="P183" i="4"/>
  <c r="O183" i="4"/>
  <c r="M183" i="4"/>
  <c r="L183" i="4"/>
  <c r="K183" i="4"/>
  <c r="J183" i="4"/>
  <c r="I183" i="4"/>
  <c r="H183" i="4"/>
  <c r="N183" i="4" s="1"/>
  <c r="E175" i="4"/>
  <c r="E174" i="4"/>
  <c r="E171" i="4"/>
  <c r="E170" i="4"/>
  <c r="Q160" i="4"/>
  <c r="P160" i="4"/>
  <c r="O160" i="4"/>
  <c r="N160" i="4"/>
  <c r="M160" i="4"/>
  <c r="K160" i="4"/>
  <c r="J160" i="4"/>
  <c r="I160" i="4"/>
  <c r="H160" i="4"/>
  <c r="L160" i="4" s="1"/>
  <c r="Q159" i="4"/>
  <c r="P159" i="4"/>
  <c r="O159" i="4"/>
  <c r="N159" i="4"/>
  <c r="M159" i="4"/>
  <c r="K159" i="4"/>
  <c r="J159" i="4"/>
  <c r="I159" i="4"/>
  <c r="H159" i="4"/>
  <c r="L159" i="4" s="1"/>
  <c r="Q152" i="4"/>
  <c r="P152" i="4"/>
  <c r="O152" i="4"/>
  <c r="N152" i="4"/>
  <c r="M152" i="4"/>
  <c r="K152" i="4"/>
  <c r="J152" i="4"/>
  <c r="I152" i="4"/>
  <c r="H152" i="4"/>
  <c r="L152" i="4" s="1"/>
  <c r="Q151" i="4"/>
  <c r="P151" i="4"/>
  <c r="O151" i="4"/>
  <c r="N151" i="4"/>
  <c r="M151" i="4"/>
  <c r="K151" i="4"/>
  <c r="J151" i="4"/>
  <c r="I151" i="4"/>
  <c r="H151" i="4"/>
  <c r="L151" i="4" s="1"/>
  <c r="Q150" i="4"/>
  <c r="P150" i="4"/>
  <c r="O150" i="4"/>
  <c r="N150" i="4"/>
  <c r="M150" i="4"/>
  <c r="K150" i="4"/>
  <c r="J150" i="4"/>
  <c r="I150" i="4"/>
  <c r="H150" i="4"/>
  <c r="L150" i="4" s="1"/>
  <c r="Q149" i="4"/>
  <c r="P149" i="4"/>
  <c r="O149" i="4"/>
  <c r="N149" i="4"/>
  <c r="M149" i="4"/>
  <c r="L149" i="4"/>
  <c r="K149" i="4"/>
  <c r="I149" i="4"/>
  <c r="H149" i="4"/>
  <c r="J149" i="4" s="1"/>
  <c r="O58" i="11" l="1"/>
  <c r="Q138" i="4"/>
  <c r="P138" i="4"/>
  <c r="O138" i="4"/>
  <c r="N138" i="4"/>
  <c r="L138" i="4"/>
  <c r="K138" i="4"/>
  <c r="J138" i="4"/>
  <c r="I138" i="4"/>
  <c r="H138" i="4"/>
  <c r="M138" i="4" s="1"/>
  <c r="E111" i="4"/>
  <c r="E112" i="4"/>
  <c r="E113" i="4"/>
  <c r="P47" i="11"/>
  <c r="O47" i="11"/>
  <c r="N47" i="11"/>
  <c r="L47" i="11"/>
  <c r="K47" i="11"/>
  <c r="J47" i="11"/>
  <c r="M47" i="11" s="1"/>
  <c r="P46" i="11"/>
  <c r="O46" i="11"/>
  <c r="N46" i="11"/>
  <c r="L46" i="11"/>
  <c r="K46" i="11"/>
  <c r="J46" i="11"/>
  <c r="M46" i="11" s="1"/>
  <c r="P45" i="11"/>
  <c r="O45" i="11"/>
  <c r="N45" i="11"/>
  <c r="L45" i="11"/>
  <c r="K45" i="11"/>
  <c r="J45" i="11"/>
  <c r="M45" i="11" s="1"/>
  <c r="G43" i="11"/>
  <c r="G42" i="11"/>
  <c r="G37" i="11"/>
  <c r="G38" i="11"/>
  <c r="J38" i="11" s="1"/>
  <c r="M38" i="11" s="1"/>
  <c r="G39" i="11"/>
  <c r="J39" i="11" s="1"/>
  <c r="M39" i="11" s="1"/>
  <c r="G40" i="11"/>
  <c r="J40" i="11" s="1"/>
  <c r="M40" i="11" s="1"/>
  <c r="G41" i="11"/>
  <c r="P39" i="11"/>
  <c r="O39" i="11"/>
  <c r="N39" i="11"/>
  <c r="L39" i="11"/>
  <c r="K39" i="11"/>
  <c r="P38" i="11"/>
  <c r="O38" i="11"/>
  <c r="N38" i="11"/>
  <c r="L38" i="11"/>
  <c r="K38" i="11"/>
  <c r="P40" i="11"/>
  <c r="O40" i="11"/>
  <c r="N40" i="11"/>
  <c r="L40" i="11"/>
  <c r="K40" i="11"/>
  <c r="G32" i="24"/>
  <c r="G31" i="24"/>
  <c r="Q2226" i="4"/>
  <c r="P2226" i="4"/>
  <c r="O2226" i="4"/>
  <c r="N2226" i="4"/>
  <c r="L2226" i="4"/>
  <c r="K2226" i="4"/>
  <c r="J2226" i="4"/>
  <c r="I2226" i="4"/>
  <c r="H2226" i="4"/>
  <c r="M2226" i="4" s="1"/>
  <c r="Q2225" i="4"/>
  <c r="P2225" i="4"/>
  <c r="O2225" i="4"/>
  <c r="N2225" i="4"/>
  <c r="L2225" i="4"/>
  <c r="K2225" i="4"/>
  <c r="J2225" i="4"/>
  <c r="I2225" i="4"/>
  <c r="H2225" i="4"/>
  <c r="M2225" i="4" s="1"/>
  <c r="Q2224" i="4"/>
  <c r="P2224" i="4"/>
  <c r="O2224" i="4"/>
  <c r="N2224" i="4"/>
  <c r="L2224" i="4"/>
  <c r="K2224" i="4"/>
  <c r="J2224" i="4"/>
  <c r="I2224" i="4"/>
  <c r="H2224" i="4"/>
  <c r="M2224" i="4" s="1"/>
  <c r="Q2223" i="4"/>
  <c r="P2223" i="4"/>
  <c r="O2223" i="4"/>
  <c r="N2223" i="4"/>
  <c r="L2223" i="4"/>
  <c r="K2223" i="4"/>
  <c r="J2223" i="4"/>
  <c r="I2223" i="4"/>
  <c r="H2223" i="4"/>
  <c r="M2223" i="4" s="1"/>
  <c r="Q2228" i="4"/>
  <c r="P2228" i="4"/>
  <c r="O2228" i="4"/>
  <c r="M2228" i="4"/>
  <c r="L2228" i="4"/>
  <c r="K2228" i="4"/>
  <c r="J2228" i="4"/>
  <c r="I2228" i="4"/>
  <c r="H2228" i="4"/>
  <c r="N2228" i="4" s="1"/>
  <c r="Q2227" i="4"/>
  <c r="P2227" i="4"/>
  <c r="O2227" i="4"/>
  <c r="M2227" i="4"/>
  <c r="L2227" i="4"/>
  <c r="K2227" i="4"/>
  <c r="J2227" i="4"/>
  <c r="I2227" i="4"/>
  <c r="H2227" i="4"/>
  <c r="N2227" i="4" s="1"/>
  <c r="Q2229" i="4"/>
  <c r="P2229" i="4"/>
  <c r="O2229" i="4"/>
  <c r="M2229" i="4"/>
  <c r="L2229" i="4"/>
  <c r="K2229" i="4"/>
  <c r="J2229" i="4"/>
  <c r="I2229" i="4"/>
  <c r="H2229" i="4"/>
  <c r="N2229" i="4" s="1"/>
  <c r="Q2216" i="4"/>
  <c r="P2216" i="4"/>
  <c r="O2216" i="4"/>
  <c r="N2216" i="4"/>
  <c r="L2216" i="4"/>
  <c r="K2216" i="4"/>
  <c r="J2216" i="4"/>
  <c r="I2216" i="4"/>
  <c r="H2216" i="4"/>
  <c r="M2216" i="4" s="1"/>
  <c r="Q2217" i="4"/>
  <c r="P2217" i="4"/>
  <c r="O2217" i="4"/>
  <c r="N2217" i="4"/>
  <c r="L2217" i="4"/>
  <c r="K2217" i="4"/>
  <c r="J2217" i="4"/>
  <c r="I2217" i="4"/>
  <c r="H2217" i="4"/>
  <c r="M2217" i="4" s="1"/>
  <c r="Q2212" i="4"/>
  <c r="P2212" i="4"/>
  <c r="O2212" i="4"/>
  <c r="N2212" i="4"/>
  <c r="L2212" i="4"/>
  <c r="K2212" i="4"/>
  <c r="J2212" i="4"/>
  <c r="I2212" i="4"/>
  <c r="H2212" i="4"/>
  <c r="M2212" i="4" s="1"/>
  <c r="Q2211" i="4"/>
  <c r="P2211" i="4"/>
  <c r="O2211" i="4"/>
  <c r="N2211" i="4"/>
  <c r="L2211" i="4"/>
  <c r="K2211" i="4"/>
  <c r="J2211" i="4"/>
  <c r="I2211" i="4"/>
  <c r="H2211" i="4"/>
  <c r="M2211" i="4" s="1"/>
  <c r="Q2210" i="4"/>
  <c r="P2210" i="4"/>
  <c r="O2210" i="4"/>
  <c r="N2210" i="4"/>
  <c r="L2210" i="4"/>
  <c r="K2210" i="4"/>
  <c r="J2210" i="4"/>
  <c r="I2210" i="4"/>
  <c r="H2210" i="4"/>
  <c r="M2210" i="4" s="1"/>
  <c r="Q2209" i="4"/>
  <c r="P2209" i="4"/>
  <c r="O2209" i="4"/>
  <c r="N2209" i="4"/>
  <c r="L2209" i="4"/>
  <c r="K2209" i="4"/>
  <c r="J2209" i="4"/>
  <c r="I2209" i="4"/>
  <c r="H2209" i="4"/>
  <c r="M2209" i="4" s="1"/>
  <c r="Q2214" i="4"/>
  <c r="P2214" i="4"/>
  <c r="O2214" i="4"/>
  <c r="N2214" i="4"/>
  <c r="L2214" i="4"/>
  <c r="K2214" i="4"/>
  <c r="J2214" i="4"/>
  <c r="I2214" i="4"/>
  <c r="H2214" i="4"/>
  <c r="M2214" i="4" s="1"/>
  <c r="Q2213" i="4"/>
  <c r="P2213" i="4"/>
  <c r="O2213" i="4"/>
  <c r="N2213" i="4"/>
  <c r="L2213" i="4"/>
  <c r="K2213" i="4"/>
  <c r="J2213" i="4"/>
  <c r="I2213" i="4"/>
  <c r="H2213" i="4"/>
  <c r="M2213" i="4" s="1"/>
  <c r="Q2215" i="4"/>
  <c r="P2215" i="4"/>
  <c r="O2215" i="4"/>
  <c r="N2215" i="4"/>
  <c r="L2215" i="4"/>
  <c r="K2215" i="4"/>
  <c r="J2215" i="4"/>
  <c r="I2215" i="4"/>
  <c r="H2215" i="4"/>
  <c r="M2215" i="4" s="1"/>
  <c r="Q2200" i="4"/>
  <c r="P2200" i="4"/>
  <c r="O2200" i="4"/>
  <c r="N2200" i="4"/>
  <c r="M2200" i="4"/>
  <c r="K2200" i="4"/>
  <c r="J2200" i="4"/>
  <c r="I2200" i="4"/>
  <c r="H2200" i="4"/>
  <c r="L2200" i="4" s="1"/>
  <c r="Q2199" i="4"/>
  <c r="P2199" i="4"/>
  <c r="O2199" i="4"/>
  <c r="N2199" i="4"/>
  <c r="M2199" i="4"/>
  <c r="K2199" i="4"/>
  <c r="J2199" i="4"/>
  <c r="I2199" i="4"/>
  <c r="H2199" i="4"/>
  <c r="L2199" i="4" s="1"/>
  <c r="Q2198" i="4"/>
  <c r="P2198" i="4"/>
  <c r="O2198" i="4"/>
  <c r="N2198" i="4"/>
  <c r="M2198" i="4"/>
  <c r="K2198" i="4"/>
  <c r="J2198" i="4"/>
  <c r="I2198" i="4"/>
  <c r="H2198" i="4"/>
  <c r="L2198" i="4" s="1"/>
  <c r="Q2197" i="4"/>
  <c r="P2197" i="4"/>
  <c r="O2197" i="4"/>
  <c r="N2197" i="4"/>
  <c r="M2197" i="4"/>
  <c r="K2197" i="4"/>
  <c r="J2197" i="4"/>
  <c r="I2197" i="4"/>
  <c r="H2197" i="4"/>
  <c r="L2197" i="4" s="1"/>
  <c r="Q2202" i="4"/>
  <c r="P2202" i="4"/>
  <c r="O2202" i="4"/>
  <c r="N2202" i="4"/>
  <c r="L2202" i="4"/>
  <c r="K2202" i="4"/>
  <c r="J2202" i="4"/>
  <c r="I2202" i="4"/>
  <c r="H2202" i="4"/>
  <c r="M2202" i="4" s="1"/>
  <c r="Q2201" i="4"/>
  <c r="P2201" i="4"/>
  <c r="O2201" i="4"/>
  <c r="N2201" i="4"/>
  <c r="M2201" i="4"/>
  <c r="K2201" i="4"/>
  <c r="J2201" i="4"/>
  <c r="I2201" i="4"/>
  <c r="H2201" i="4"/>
  <c r="L2201" i="4" s="1"/>
  <c r="Q2188" i="4" l="1"/>
  <c r="P2188" i="4"/>
  <c r="O2188" i="4"/>
  <c r="M2188" i="4"/>
  <c r="L2188" i="4"/>
  <c r="K2188" i="4"/>
  <c r="J2188" i="4"/>
  <c r="I2188" i="4"/>
  <c r="H2188" i="4"/>
  <c r="N2188" i="4" s="1"/>
  <c r="Q2187" i="4"/>
  <c r="P2187" i="4"/>
  <c r="O2187" i="4"/>
  <c r="N2187" i="4"/>
  <c r="M2187" i="4"/>
  <c r="L2187" i="4"/>
  <c r="J2187" i="4"/>
  <c r="I2187" i="4"/>
  <c r="H2187" i="4"/>
  <c r="K2187" i="4" s="1"/>
  <c r="Q2186" i="4"/>
  <c r="P2186" i="4"/>
  <c r="O2186" i="4"/>
  <c r="N2186" i="4"/>
  <c r="M2186" i="4"/>
  <c r="L2186" i="4"/>
  <c r="J2186" i="4"/>
  <c r="I2186" i="4"/>
  <c r="H2186" i="4"/>
  <c r="K2186" i="4" s="1"/>
  <c r="Q2185" i="4"/>
  <c r="P2185" i="4"/>
  <c r="O2185" i="4"/>
  <c r="N2185" i="4"/>
  <c r="M2185" i="4"/>
  <c r="L2185" i="4"/>
  <c r="J2185" i="4"/>
  <c r="I2185" i="4"/>
  <c r="H2185" i="4"/>
  <c r="K2185" i="4" s="1"/>
  <c r="Q2190" i="4"/>
  <c r="P2190" i="4"/>
  <c r="O2190" i="4"/>
  <c r="M2190" i="4"/>
  <c r="L2190" i="4"/>
  <c r="K2190" i="4"/>
  <c r="J2190" i="4"/>
  <c r="I2190" i="4"/>
  <c r="H2190" i="4"/>
  <c r="N2190" i="4" s="1"/>
  <c r="Q2189" i="4"/>
  <c r="P2189" i="4"/>
  <c r="O2189" i="4"/>
  <c r="M2189" i="4"/>
  <c r="L2189" i="4"/>
  <c r="K2189" i="4"/>
  <c r="J2189" i="4"/>
  <c r="I2189" i="4"/>
  <c r="H2189" i="4"/>
  <c r="N2189" i="4" s="1"/>
  <c r="Q2191" i="4"/>
  <c r="P2191" i="4"/>
  <c r="O2191" i="4"/>
  <c r="M2191" i="4"/>
  <c r="L2191" i="4"/>
  <c r="K2191" i="4"/>
  <c r="J2191" i="4"/>
  <c r="I2191" i="4"/>
  <c r="H2191" i="4"/>
  <c r="N2191" i="4" s="1"/>
  <c r="Q2178" i="4"/>
  <c r="P2178" i="4"/>
  <c r="O2178" i="4"/>
  <c r="M2178" i="4"/>
  <c r="L2178" i="4"/>
  <c r="K2178" i="4"/>
  <c r="J2178" i="4"/>
  <c r="I2178" i="4"/>
  <c r="H2178" i="4"/>
  <c r="N2178" i="4" s="1"/>
  <c r="Q2179" i="4"/>
  <c r="O2179" i="4"/>
  <c r="N2179" i="4"/>
  <c r="M2179" i="4"/>
  <c r="L2179" i="4"/>
  <c r="K2179" i="4"/>
  <c r="J2179" i="4"/>
  <c r="I2179" i="4"/>
  <c r="H2179" i="4"/>
  <c r="P2179" i="4" s="1"/>
  <c r="Q2172" i="4"/>
  <c r="P2172" i="4"/>
  <c r="O2172" i="4"/>
  <c r="N2172" i="4"/>
  <c r="M2172" i="4"/>
  <c r="L2172" i="4"/>
  <c r="J2172" i="4"/>
  <c r="I2172" i="4"/>
  <c r="H2172" i="4"/>
  <c r="K2172" i="4" s="1"/>
  <c r="Q2171" i="4"/>
  <c r="P2171" i="4"/>
  <c r="O2171" i="4"/>
  <c r="N2171" i="4"/>
  <c r="M2171" i="4"/>
  <c r="L2171" i="4"/>
  <c r="J2171" i="4"/>
  <c r="I2171" i="4"/>
  <c r="H2171" i="4"/>
  <c r="K2171" i="4" s="1"/>
  <c r="Q2170" i="4"/>
  <c r="P2170" i="4"/>
  <c r="O2170" i="4"/>
  <c r="N2170" i="4"/>
  <c r="M2170" i="4"/>
  <c r="L2170" i="4"/>
  <c r="J2170" i="4"/>
  <c r="I2170" i="4"/>
  <c r="H2170" i="4"/>
  <c r="K2170" i="4" s="1"/>
  <c r="Q2175" i="4"/>
  <c r="P2175" i="4"/>
  <c r="O2175" i="4"/>
  <c r="M2175" i="4"/>
  <c r="L2175" i="4"/>
  <c r="K2175" i="4"/>
  <c r="J2175" i="4"/>
  <c r="I2175" i="4"/>
  <c r="H2175" i="4"/>
  <c r="N2175" i="4" s="1"/>
  <c r="Q2174" i="4"/>
  <c r="P2174" i="4"/>
  <c r="O2174" i="4"/>
  <c r="M2174" i="4"/>
  <c r="L2174" i="4"/>
  <c r="K2174" i="4"/>
  <c r="J2174" i="4"/>
  <c r="I2174" i="4"/>
  <c r="H2174" i="4"/>
  <c r="N2174" i="4" s="1"/>
  <c r="Q2173" i="4"/>
  <c r="P2173" i="4"/>
  <c r="O2173" i="4"/>
  <c r="N2173" i="4"/>
  <c r="L2173" i="4"/>
  <c r="K2173" i="4"/>
  <c r="J2173" i="4"/>
  <c r="I2173" i="4"/>
  <c r="H2173" i="4"/>
  <c r="M2173" i="4" s="1"/>
  <c r="Q2162" i="4"/>
  <c r="P2162" i="4"/>
  <c r="O2162" i="4"/>
  <c r="M2162" i="4"/>
  <c r="L2162" i="4"/>
  <c r="K2162" i="4"/>
  <c r="J2162" i="4"/>
  <c r="I2162" i="4"/>
  <c r="H2162" i="4"/>
  <c r="N2162" i="4" s="1"/>
  <c r="Q2161" i="4"/>
  <c r="P2161" i="4"/>
  <c r="O2161" i="4"/>
  <c r="N2161" i="4"/>
  <c r="M2161" i="4"/>
  <c r="L2161" i="4"/>
  <c r="J2161" i="4"/>
  <c r="I2161" i="4"/>
  <c r="H2161" i="4"/>
  <c r="K2161" i="4" s="1"/>
  <c r="Q2160" i="4"/>
  <c r="P2160" i="4"/>
  <c r="O2160" i="4"/>
  <c r="N2160" i="4"/>
  <c r="M2160" i="4"/>
  <c r="L2160" i="4"/>
  <c r="J2160" i="4"/>
  <c r="I2160" i="4"/>
  <c r="H2160" i="4"/>
  <c r="K2160" i="4" s="1"/>
  <c r="Q2159" i="4"/>
  <c r="P2159" i="4"/>
  <c r="O2159" i="4"/>
  <c r="N2159" i="4"/>
  <c r="M2159" i="4"/>
  <c r="L2159" i="4"/>
  <c r="J2159" i="4"/>
  <c r="I2159" i="4"/>
  <c r="H2159" i="4"/>
  <c r="K2159" i="4" s="1"/>
  <c r="E2155" i="4"/>
  <c r="E2154" i="4"/>
  <c r="H2154" i="4" s="1"/>
  <c r="N2154" i="4" s="1"/>
  <c r="E2153" i="4"/>
  <c r="H2153" i="4" s="1"/>
  <c r="N2153" i="4" s="1"/>
  <c r="E2152" i="4"/>
  <c r="H2152" i="4" s="1"/>
  <c r="N2152" i="4" s="1"/>
  <c r="E2151" i="4"/>
  <c r="H2151" i="4" s="1"/>
  <c r="N2151" i="4" s="1"/>
  <c r="E2150" i="4"/>
  <c r="H2150" i="4" s="1"/>
  <c r="K2150" i="4" s="1"/>
  <c r="E2149" i="4"/>
  <c r="H2149" i="4" s="1"/>
  <c r="K2149" i="4" s="1"/>
  <c r="E2148" i="4"/>
  <c r="H2148" i="4" s="1"/>
  <c r="K2148" i="4" s="1"/>
  <c r="E2147" i="4"/>
  <c r="Q2151" i="4"/>
  <c r="P2151" i="4"/>
  <c r="O2151" i="4"/>
  <c r="M2151" i="4"/>
  <c r="L2151" i="4"/>
  <c r="K2151" i="4"/>
  <c r="J2151" i="4"/>
  <c r="I2151" i="4"/>
  <c r="Q2150" i="4"/>
  <c r="P2150" i="4"/>
  <c r="O2150" i="4"/>
  <c r="N2150" i="4"/>
  <c r="M2150" i="4"/>
  <c r="L2150" i="4"/>
  <c r="J2150" i="4"/>
  <c r="I2150" i="4"/>
  <c r="Q2149" i="4"/>
  <c r="P2149" i="4"/>
  <c r="O2149" i="4"/>
  <c r="N2149" i="4"/>
  <c r="M2149" i="4"/>
  <c r="L2149" i="4"/>
  <c r="J2149" i="4"/>
  <c r="I2149" i="4"/>
  <c r="Q2148" i="4"/>
  <c r="P2148" i="4"/>
  <c r="O2148" i="4"/>
  <c r="N2148" i="4"/>
  <c r="M2148" i="4"/>
  <c r="L2148" i="4"/>
  <c r="J2148" i="4"/>
  <c r="I2148" i="4"/>
  <c r="Q2153" i="4"/>
  <c r="P2153" i="4"/>
  <c r="O2153" i="4"/>
  <c r="M2153" i="4"/>
  <c r="L2153" i="4"/>
  <c r="K2153" i="4"/>
  <c r="J2153" i="4"/>
  <c r="I2153" i="4"/>
  <c r="Q2152" i="4"/>
  <c r="P2152" i="4"/>
  <c r="O2152" i="4"/>
  <c r="M2152" i="4"/>
  <c r="L2152" i="4"/>
  <c r="K2152" i="4"/>
  <c r="J2152" i="4"/>
  <c r="I2152" i="4"/>
  <c r="Q2154" i="4"/>
  <c r="P2154" i="4"/>
  <c r="O2154" i="4"/>
  <c r="M2154" i="4"/>
  <c r="L2154" i="4"/>
  <c r="K2154" i="4"/>
  <c r="J2154" i="4"/>
  <c r="I2154" i="4"/>
  <c r="G81" i="21"/>
  <c r="G82" i="21"/>
  <c r="G83" i="21"/>
  <c r="G84" i="21"/>
  <c r="G96" i="21"/>
  <c r="G95" i="21"/>
  <c r="G94" i="21"/>
  <c r="G93" i="21"/>
  <c r="P516" i="21"/>
  <c r="O516" i="21"/>
  <c r="N516" i="21"/>
  <c r="M516" i="21"/>
  <c r="L516" i="21"/>
  <c r="K516" i="21"/>
  <c r="J516" i="21"/>
  <c r="Q516" i="21" s="1"/>
  <c r="P515" i="21"/>
  <c r="O515" i="21"/>
  <c r="N515" i="21"/>
  <c r="M515" i="21"/>
  <c r="L515" i="21"/>
  <c r="J515" i="21"/>
  <c r="K515" i="21" s="1"/>
  <c r="P514" i="21"/>
  <c r="O514" i="21"/>
  <c r="N514" i="21"/>
  <c r="M514" i="21"/>
  <c r="L514" i="21"/>
  <c r="J514" i="21"/>
  <c r="K514" i="21" s="1"/>
  <c r="P513" i="21"/>
  <c r="O513" i="21"/>
  <c r="N513" i="21"/>
  <c r="M513" i="21"/>
  <c r="L513" i="21"/>
  <c r="J513" i="21"/>
  <c r="K513" i="21" s="1"/>
  <c r="P512" i="21"/>
  <c r="O512" i="21"/>
  <c r="N512" i="21"/>
  <c r="M512" i="21"/>
  <c r="L512" i="21"/>
  <c r="K512" i="21"/>
  <c r="J512" i="21"/>
  <c r="Q512" i="21" s="1"/>
  <c r="P511" i="21"/>
  <c r="O511" i="21"/>
  <c r="N511" i="21"/>
  <c r="M511" i="21"/>
  <c r="L511" i="21"/>
  <c r="J511" i="21"/>
  <c r="K511" i="21" s="1"/>
  <c r="P510" i="21"/>
  <c r="O510" i="21"/>
  <c r="N510" i="21"/>
  <c r="M510" i="21"/>
  <c r="L510" i="21"/>
  <c r="J510" i="21"/>
  <c r="K510" i="21" s="1"/>
  <c r="P509" i="21"/>
  <c r="O509" i="21"/>
  <c r="N509" i="21"/>
  <c r="M509" i="21"/>
  <c r="L509" i="21"/>
  <c r="J509" i="21"/>
  <c r="K509" i="21" s="1"/>
  <c r="P508" i="21"/>
  <c r="O508" i="21"/>
  <c r="N508" i="21"/>
  <c r="M508" i="21"/>
  <c r="L508" i="21"/>
  <c r="K508" i="21"/>
  <c r="J508" i="21"/>
  <c r="Q508" i="21" s="1"/>
  <c r="P507" i="21"/>
  <c r="O507" i="21"/>
  <c r="N507" i="21"/>
  <c r="M507" i="21"/>
  <c r="L507" i="21"/>
  <c r="J507" i="21"/>
  <c r="K507" i="21" s="1"/>
  <c r="P506" i="21"/>
  <c r="O506" i="21"/>
  <c r="N506" i="21"/>
  <c r="M506" i="21"/>
  <c r="L506" i="21"/>
  <c r="J506" i="21"/>
  <c r="K506" i="21" s="1"/>
  <c r="P505" i="21"/>
  <c r="O505" i="21"/>
  <c r="N505" i="21"/>
  <c r="M505" i="21"/>
  <c r="L505" i="21"/>
  <c r="J505" i="21"/>
  <c r="K505" i="21" s="1"/>
  <c r="O504" i="21"/>
  <c r="N504" i="21"/>
  <c r="M504" i="21"/>
  <c r="L504" i="21"/>
  <c r="K504" i="21"/>
  <c r="J504" i="21"/>
  <c r="P504" i="21" s="1"/>
  <c r="P503" i="21"/>
  <c r="O503" i="21"/>
  <c r="N503" i="21"/>
  <c r="M503" i="21"/>
  <c r="L503" i="21"/>
  <c r="J503" i="21"/>
  <c r="K503" i="21" s="1"/>
  <c r="P502" i="21"/>
  <c r="O502" i="21"/>
  <c r="N502" i="21"/>
  <c r="M502" i="21"/>
  <c r="L502" i="21"/>
  <c r="J502" i="21"/>
  <c r="K502" i="21" s="1"/>
  <c r="P501" i="21"/>
  <c r="O501" i="21"/>
  <c r="N501" i="21"/>
  <c r="M501" i="21"/>
  <c r="L501" i="21"/>
  <c r="J501" i="21"/>
  <c r="K501" i="21" s="1"/>
  <c r="O500" i="21"/>
  <c r="N500" i="21"/>
  <c r="M500" i="21"/>
  <c r="L500" i="21"/>
  <c r="K500" i="21"/>
  <c r="J500" i="21"/>
  <c r="P500" i="21" s="1"/>
  <c r="P499" i="21"/>
  <c r="O499" i="21"/>
  <c r="N499" i="21"/>
  <c r="M499" i="21"/>
  <c r="L499" i="21"/>
  <c r="J499" i="21"/>
  <c r="K499" i="21" s="1"/>
  <c r="P498" i="21"/>
  <c r="O498" i="21"/>
  <c r="N498" i="21"/>
  <c r="M498" i="21"/>
  <c r="L498" i="21"/>
  <c r="J498" i="21"/>
  <c r="K498" i="21" s="1"/>
  <c r="P497" i="21"/>
  <c r="O497" i="21"/>
  <c r="N497" i="21"/>
  <c r="M497" i="21"/>
  <c r="L497" i="21"/>
  <c r="J497" i="21"/>
  <c r="K497" i="21" s="1"/>
  <c r="O496" i="21"/>
  <c r="N496" i="21"/>
  <c r="M496" i="21"/>
  <c r="L496" i="21"/>
  <c r="K496" i="21"/>
  <c r="J496" i="21"/>
  <c r="P496" i="21" s="1"/>
  <c r="P495" i="21"/>
  <c r="O495" i="21"/>
  <c r="N495" i="21"/>
  <c r="M495" i="21"/>
  <c r="L495" i="21"/>
  <c r="J495" i="21"/>
  <c r="K495" i="21" s="1"/>
  <c r="P494" i="21"/>
  <c r="O494" i="21"/>
  <c r="N494" i="21"/>
  <c r="M494" i="21"/>
  <c r="L494" i="21"/>
  <c r="J494" i="21"/>
  <c r="K494" i="21" s="1"/>
  <c r="P493" i="21"/>
  <c r="O493" i="21"/>
  <c r="N493" i="21"/>
  <c r="M493" i="21"/>
  <c r="L493" i="21"/>
  <c r="J493" i="21"/>
  <c r="K493" i="21" s="1"/>
  <c r="O490" i="21"/>
  <c r="N490" i="21"/>
  <c r="M490" i="21"/>
  <c r="L490" i="21"/>
  <c r="K490" i="21"/>
  <c r="J490" i="21"/>
  <c r="P490" i="21" s="1"/>
  <c r="P489" i="21"/>
  <c r="O489" i="21"/>
  <c r="N489" i="21"/>
  <c r="M489" i="21"/>
  <c r="L489" i="21"/>
  <c r="J489" i="21"/>
  <c r="K489" i="21" s="1"/>
  <c r="P488" i="21"/>
  <c r="O488" i="21"/>
  <c r="N488" i="21"/>
  <c r="M488" i="21"/>
  <c r="L488" i="21"/>
  <c r="J488" i="21"/>
  <c r="K488" i="21" s="1"/>
  <c r="P487" i="21"/>
  <c r="O487" i="21"/>
  <c r="N487" i="21"/>
  <c r="M487" i="21"/>
  <c r="L487" i="21"/>
  <c r="J487" i="21"/>
  <c r="K487" i="21" s="1"/>
  <c r="O486" i="21"/>
  <c r="N486" i="21"/>
  <c r="M486" i="21"/>
  <c r="L486" i="21"/>
  <c r="K486" i="21"/>
  <c r="J486" i="21"/>
  <c r="P486" i="21" s="1"/>
  <c r="P485" i="21"/>
  <c r="O485" i="21"/>
  <c r="N485" i="21"/>
  <c r="M485" i="21"/>
  <c r="L485" i="21"/>
  <c r="J485" i="21"/>
  <c r="K485" i="21" s="1"/>
  <c r="P484" i="21"/>
  <c r="O484" i="21"/>
  <c r="N484" i="21"/>
  <c r="M484" i="21"/>
  <c r="L484" i="21"/>
  <c r="J484" i="21"/>
  <c r="K484" i="21" s="1"/>
  <c r="P483" i="21"/>
  <c r="O483" i="21"/>
  <c r="N483" i="21"/>
  <c r="M483" i="21"/>
  <c r="L483" i="21"/>
  <c r="J483" i="21"/>
  <c r="K483" i="21" s="1"/>
  <c r="P482" i="21"/>
  <c r="O482" i="21"/>
  <c r="M482" i="21"/>
  <c r="L482" i="21"/>
  <c r="K482" i="21"/>
  <c r="J482" i="21"/>
  <c r="N482" i="21" s="1"/>
  <c r="P481" i="21"/>
  <c r="O481" i="21"/>
  <c r="N481" i="21"/>
  <c r="M481" i="21"/>
  <c r="L481" i="21"/>
  <c r="J481" i="21"/>
  <c r="K481" i="21" s="1"/>
  <c r="P480" i="21"/>
  <c r="O480" i="21"/>
  <c r="N480" i="21"/>
  <c r="M480" i="21"/>
  <c r="L480" i="21"/>
  <c r="J480" i="21"/>
  <c r="K480" i="21" s="1"/>
  <c r="P479" i="21"/>
  <c r="O479" i="21"/>
  <c r="N479" i="21"/>
  <c r="M479" i="21"/>
  <c r="L479" i="21"/>
  <c r="J479" i="21"/>
  <c r="K479" i="21" s="1"/>
  <c r="P478" i="21"/>
  <c r="O478" i="21"/>
  <c r="M478" i="21"/>
  <c r="L478" i="21"/>
  <c r="K478" i="21"/>
  <c r="J478" i="21"/>
  <c r="N478" i="21" s="1"/>
  <c r="P477" i="21"/>
  <c r="O477" i="21"/>
  <c r="N477" i="21"/>
  <c r="M477" i="21"/>
  <c r="L477" i="21"/>
  <c r="J477" i="21"/>
  <c r="K477" i="21" s="1"/>
  <c r="P476" i="21"/>
  <c r="O476" i="21"/>
  <c r="N476" i="21"/>
  <c r="M476" i="21"/>
  <c r="L476" i="21"/>
  <c r="J476" i="21"/>
  <c r="K476" i="21" s="1"/>
  <c r="P474" i="21"/>
  <c r="N474" i="21"/>
  <c r="M474" i="21"/>
  <c r="L474" i="21"/>
  <c r="K474" i="21"/>
  <c r="J474" i="21"/>
  <c r="O474" i="21" s="1"/>
  <c r="P473" i="21"/>
  <c r="O473" i="21"/>
  <c r="N473" i="21"/>
  <c r="M473" i="21"/>
  <c r="L473" i="21"/>
  <c r="J473" i="21"/>
  <c r="K473" i="21" s="1"/>
  <c r="P472" i="21"/>
  <c r="O472" i="21"/>
  <c r="N472" i="21"/>
  <c r="M472" i="21"/>
  <c r="L472" i="21"/>
  <c r="J472" i="21"/>
  <c r="K472" i="21" s="1"/>
  <c r="P471" i="21"/>
  <c r="N471" i="21"/>
  <c r="M471" i="21"/>
  <c r="L471" i="21"/>
  <c r="K471" i="21"/>
  <c r="J471" i="21"/>
  <c r="O471" i="21" s="1"/>
  <c r="P470" i="21"/>
  <c r="O470" i="21"/>
  <c r="N470" i="21"/>
  <c r="M470" i="21"/>
  <c r="L470" i="21"/>
  <c r="J470" i="21"/>
  <c r="K470" i="21" s="1"/>
  <c r="P469" i="21"/>
  <c r="N469" i="21"/>
  <c r="M469" i="21"/>
  <c r="L469" i="21"/>
  <c r="K469" i="21"/>
  <c r="J469" i="21"/>
  <c r="O469" i="21" s="1"/>
  <c r="P468" i="21"/>
  <c r="O468" i="21"/>
  <c r="N468" i="21"/>
  <c r="M468" i="21"/>
  <c r="L468" i="21"/>
  <c r="J468" i="21"/>
  <c r="K468" i="21" s="1"/>
  <c r="P467" i="21"/>
  <c r="O467" i="21"/>
  <c r="N467" i="21"/>
  <c r="M467" i="21"/>
  <c r="L467" i="21"/>
  <c r="J467" i="21"/>
  <c r="K467" i="21" s="1"/>
  <c r="P466" i="21"/>
  <c r="N466" i="21"/>
  <c r="M466" i="21"/>
  <c r="L466" i="21"/>
  <c r="K466" i="21"/>
  <c r="J466" i="21"/>
  <c r="O466" i="21" s="1"/>
  <c r="P465" i="21"/>
  <c r="O465" i="21"/>
  <c r="N465" i="21"/>
  <c r="M465" i="21"/>
  <c r="L465" i="21"/>
  <c r="J465" i="21"/>
  <c r="K465" i="21" s="1"/>
  <c r="P464" i="21"/>
  <c r="N464" i="21"/>
  <c r="M464" i="21"/>
  <c r="L464" i="21"/>
  <c r="K464" i="21"/>
  <c r="J464" i="21"/>
  <c r="O464" i="21" s="1"/>
  <c r="P463" i="21"/>
  <c r="O463" i="21"/>
  <c r="N463" i="21"/>
  <c r="M463" i="21"/>
  <c r="L463" i="21"/>
  <c r="J463" i="21"/>
  <c r="K463" i="21" s="1"/>
  <c r="P462" i="21"/>
  <c r="O462" i="21"/>
  <c r="N462" i="21"/>
  <c r="M462" i="21"/>
  <c r="L462" i="21"/>
  <c r="J462" i="21"/>
  <c r="K462" i="21" s="1"/>
  <c r="P461" i="21"/>
  <c r="O461" i="21"/>
  <c r="N461" i="21"/>
  <c r="M461" i="21"/>
  <c r="L461" i="21"/>
  <c r="J461" i="21"/>
  <c r="K461" i="21" s="1"/>
  <c r="P460" i="21"/>
  <c r="N460" i="21"/>
  <c r="M460" i="21"/>
  <c r="L460" i="21"/>
  <c r="K460" i="21"/>
  <c r="J460" i="21"/>
  <c r="O460" i="21" s="1"/>
  <c r="P459" i="21"/>
  <c r="O459" i="21"/>
  <c r="N459" i="21"/>
  <c r="M459" i="21"/>
  <c r="L459" i="21"/>
  <c r="J459" i="21"/>
  <c r="K459" i="21" s="1"/>
  <c r="P458" i="21"/>
  <c r="O458" i="21"/>
  <c r="N458" i="21"/>
  <c r="M458" i="21"/>
  <c r="L458" i="21"/>
  <c r="J458" i="21"/>
  <c r="K458" i="21" s="1"/>
  <c r="P457" i="21"/>
  <c r="O457" i="21"/>
  <c r="N457" i="21"/>
  <c r="M457" i="21"/>
  <c r="L457" i="21"/>
  <c r="J457" i="21"/>
  <c r="K457" i="21" s="1"/>
  <c r="P456" i="21"/>
  <c r="N456" i="21"/>
  <c r="M456" i="21"/>
  <c r="L456" i="21"/>
  <c r="K456" i="21"/>
  <c r="J456" i="21"/>
  <c r="O456" i="21" s="1"/>
  <c r="P455" i="21"/>
  <c r="O455" i="21"/>
  <c r="N455" i="21"/>
  <c r="M455" i="21"/>
  <c r="L455" i="21"/>
  <c r="J455" i="21"/>
  <c r="K455" i="21" s="1"/>
  <c r="P454" i="21"/>
  <c r="O454" i="21"/>
  <c r="N454" i="21"/>
  <c r="M454" i="21"/>
  <c r="L454" i="21"/>
  <c r="J454" i="21"/>
  <c r="K454" i="21" s="1"/>
  <c r="P453" i="21"/>
  <c r="O453" i="21"/>
  <c r="N453" i="21"/>
  <c r="M453" i="21"/>
  <c r="L453" i="21"/>
  <c r="J453" i="21"/>
  <c r="K453" i="21" s="1"/>
  <c r="P452" i="21"/>
  <c r="N452" i="21"/>
  <c r="M452" i="21"/>
  <c r="L452" i="21"/>
  <c r="K452" i="21"/>
  <c r="J452" i="21"/>
  <c r="O452" i="21" s="1"/>
  <c r="P451" i="21"/>
  <c r="O451" i="21"/>
  <c r="N451" i="21"/>
  <c r="M451" i="21"/>
  <c r="L451" i="21"/>
  <c r="J451" i="21"/>
  <c r="K451" i="21" s="1"/>
  <c r="P450" i="21"/>
  <c r="O450" i="21"/>
  <c r="N450" i="21"/>
  <c r="M450" i="21"/>
  <c r="L450" i="21"/>
  <c r="J450" i="21"/>
  <c r="K450" i="21" s="1"/>
  <c r="P449" i="21"/>
  <c r="O449" i="21"/>
  <c r="N449" i="21"/>
  <c r="M449" i="21"/>
  <c r="L449" i="21"/>
  <c r="J449" i="21"/>
  <c r="K449" i="21" s="1"/>
  <c r="P448" i="21"/>
  <c r="N448" i="21"/>
  <c r="M448" i="21"/>
  <c r="L448" i="21"/>
  <c r="K448" i="21"/>
  <c r="J448" i="21"/>
  <c r="O448" i="21" s="1"/>
  <c r="P447" i="21"/>
  <c r="O447" i="21"/>
  <c r="N447" i="21"/>
  <c r="M447" i="21"/>
  <c r="L447" i="21"/>
  <c r="J447" i="21"/>
  <c r="K447" i="21" s="1"/>
  <c r="P446" i="21"/>
  <c r="O446" i="21"/>
  <c r="N446" i="21"/>
  <c r="M446" i="21"/>
  <c r="L446" i="21"/>
  <c r="J446" i="21"/>
  <c r="K446" i="21" s="1"/>
  <c r="P445" i="21"/>
  <c r="O445" i="21"/>
  <c r="N445" i="21"/>
  <c r="M445" i="21"/>
  <c r="L445" i="21"/>
  <c r="J445" i="21"/>
  <c r="K445" i="21" s="1"/>
  <c r="P444" i="21"/>
  <c r="N444" i="21"/>
  <c r="M444" i="21"/>
  <c r="L444" i="21"/>
  <c r="K444" i="21"/>
  <c r="J444" i="21"/>
  <c r="O444" i="21" s="1"/>
  <c r="P443" i="21"/>
  <c r="O443" i="21"/>
  <c r="N443" i="21"/>
  <c r="M443" i="21"/>
  <c r="L443" i="21"/>
  <c r="J443" i="21"/>
  <c r="K443" i="21" s="1"/>
  <c r="P442" i="21"/>
  <c r="O442" i="21"/>
  <c r="N442" i="21"/>
  <c r="M442" i="21"/>
  <c r="L442" i="21"/>
  <c r="J442" i="21"/>
  <c r="K442" i="21" s="1"/>
  <c r="P441" i="21"/>
  <c r="O441" i="21"/>
  <c r="N441" i="21"/>
  <c r="M441" i="21"/>
  <c r="L441" i="21"/>
  <c r="J441" i="21"/>
  <c r="K441" i="21" s="1"/>
  <c r="P440" i="21"/>
  <c r="O440" i="21"/>
  <c r="N440" i="21"/>
  <c r="M440" i="21"/>
  <c r="L440" i="21"/>
  <c r="K440" i="21"/>
  <c r="J440" i="21"/>
  <c r="Q440" i="21" s="1"/>
  <c r="P439" i="21"/>
  <c r="O439" i="21"/>
  <c r="N439" i="21"/>
  <c r="M439" i="21"/>
  <c r="L439" i="21"/>
  <c r="J439" i="21"/>
  <c r="K439" i="21" s="1"/>
  <c r="P438" i="21"/>
  <c r="O438" i="21"/>
  <c r="N438" i="21"/>
  <c r="M438" i="21"/>
  <c r="L438" i="21"/>
  <c r="J438" i="21"/>
  <c r="K438" i="21" s="1"/>
  <c r="P437" i="21"/>
  <c r="O437" i="21"/>
  <c r="N437" i="21"/>
  <c r="M437" i="21"/>
  <c r="L437" i="21"/>
  <c r="J437" i="21"/>
  <c r="K437" i="21" s="1"/>
  <c r="P436" i="21"/>
  <c r="O436" i="21"/>
  <c r="N436" i="21"/>
  <c r="M436" i="21"/>
  <c r="L436" i="21"/>
  <c r="K436" i="21"/>
  <c r="J436" i="21"/>
  <c r="Q436" i="21" s="1"/>
  <c r="P435" i="21"/>
  <c r="O435" i="21"/>
  <c r="N435" i="21"/>
  <c r="M435" i="21"/>
  <c r="L435" i="21"/>
  <c r="J435" i="21"/>
  <c r="K435" i="21" s="1"/>
  <c r="P434" i="21"/>
  <c r="O434" i="21"/>
  <c r="N434" i="21"/>
  <c r="M434" i="21"/>
  <c r="L434" i="21"/>
  <c r="J434" i="21"/>
  <c r="K434" i="21" s="1"/>
  <c r="P433" i="21"/>
  <c r="O433" i="21"/>
  <c r="N433" i="21"/>
  <c r="M433" i="21"/>
  <c r="L433" i="21"/>
  <c r="J433" i="21"/>
  <c r="K433" i="21" s="1"/>
  <c r="P432" i="21"/>
  <c r="O432" i="21"/>
  <c r="N432" i="21"/>
  <c r="M432" i="21"/>
  <c r="L432" i="21"/>
  <c r="K432" i="21"/>
  <c r="J432" i="21"/>
  <c r="Q432" i="21" s="1"/>
  <c r="P431" i="21"/>
  <c r="O431" i="21"/>
  <c r="N431" i="21"/>
  <c r="M431" i="21"/>
  <c r="L431" i="21"/>
  <c r="J431" i="21"/>
  <c r="K431" i="21" s="1"/>
  <c r="P430" i="21"/>
  <c r="O430" i="21"/>
  <c r="N430" i="21"/>
  <c r="M430" i="21"/>
  <c r="L430" i="21"/>
  <c r="J430" i="21"/>
  <c r="K430" i="21" s="1"/>
  <c r="P429" i="21"/>
  <c r="O429" i="21"/>
  <c r="N429" i="21"/>
  <c r="M429" i="21"/>
  <c r="L429" i="21"/>
  <c r="J429" i="21"/>
  <c r="K429" i="21" s="1"/>
  <c r="P428" i="21"/>
  <c r="N428" i="21"/>
  <c r="M428" i="21"/>
  <c r="L428" i="21"/>
  <c r="K428" i="21"/>
  <c r="J428" i="21"/>
  <c r="O428" i="21" s="1"/>
  <c r="P427" i="21"/>
  <c r="O427" i="21"/>
  <c r="N427" i="21"/>
  <c r="M427" i="21"/>
  <c r="L427" i="21"/>
  <c r="J427" i="21"/>
  <c r="K427" i="21" s="1"/>
  <c r="P426" i="21"/>
  <c r="O426" i="21"/>
  <c r="N426" i="21"/>
  <c r="M426" i="21"/>
  <c r="L426" i="21"/>
  <c r="J426" i="21"/>
  <c r="K426" i="21" s="1"/>
  <c r="P425" i="21"/>
  <c r="O425" i="21"/>
  <c r="N425" i="21"/>
  <c r="M425" i="21"/>
  <c r="L425" i="21"/>
  <c r="J425" i="21"/>
  <c r="K425" i="21" s="1"/>
  <c r="P424" i="21"/>
  <c r="N424" i="21"/>
  <c r="M424" i="21"/>
  <c r="L424" i="21"/>
  <c r="K424" i="21"/>
  <c r="J424" i="21"/>
  <c r="O424" i="21" s="1"/>
  <c r="P423" i="21"/>
  <c r="O423" i="21"/>
  <c r="N423" i="21"/>
  <c r="M423" i="21"/>
  <c r="L423" i="21"/>
  <c r="J423" i="21"/>
  <c r="K423" i="21" s="1"/>
  <c r="P422" i="21"/>
  <c r="O422" i="21"/>
  <c r="N422" i="21"/>
  <c r="M422" i="21"/>
  <c r="L422" i="21"/>
  <c r="J422" i="21"/>
  <c r="K422" i="21" s="1"/>
  <c r="P421" i="21"/>
  <c r="O421" i="21"/>
  <c r="N421" i="21"/>
  <c r="M421" i="21"/>
  <c r="L421" i="21"/>
  <c r="J421" i="21"/>
  <c r="K421" i="21" s="1"/>
  <c r="P420" i="21"/>
  <c r="N420" i="21"/>
  <c r="M420" i="21"/>
  <c r="L420" i="21"/>
  <c r="K420" i="21"/>
  <c r="J420" i="21"/>
  <c r="O420" i="21" s="1"/>
  <c r="P419" i="21"/>
  <c r="O419" i="21"/>
  <c r="N419" i="21"/>
  <c r="M419" i="21"/>
  <c r="L419" i="21"/>
  <c r="J419" i="21"/>
  <c r="K419" i="21" s="1"/>
  <c r="P418" i="21"/>
  <c r="O418" i="21"/>
  <c r="N418" i="21"/>
  <c r="M418" i="21"/>
  <c r="L418" i="21"/>
  <c r="J418" i="21"/>
  <c r="K418" i="21" s="1"/>
  <c r="P417" i="21"/>
  <c r="O417" i="21"/>
  <c r="N417" i="21"/>
  <c r="M417" i="21"/>
  <c r="L417" i="21"/>
  <c r="J417" i="21"/>
  <c r="K417" i="21" s="1"/>
  <c r="P416" i="21"/>
  <c r="O416" i="21"/>
  <c r="M416" i="21"/>
  <c r="L416" i="21"/>
  <c r="K416" i="21"/>
  <c r="J416" i="21"/>
  <c r="N416" i="21" s="1"/>
  <c r="P415" i="21"/>
  <c r="O415" i="21"/>
  <c r="N415" i="21"/>
  <c r="M415" i="21"/>
  <c r="L415" i="21"/>
  <c r="J415" i="21"/>
  <c r="K415" i="21" s="1"/>
  <c r="P414" i="21"/>
  <c r="O414" i="21"/>
  <c r="N414" i="21"/>
  <c r="M414" i="21"/>
  <c r="L414" i="21"/>
  <c r="J414" i="21"/>
  <c r="K414" i="21" s="1"/>
  <c r="P413" i="21"/>
  <c r="O413" i="21"/>
  <c r="N413" i="21"/>
  <c r="M413" i="21"/>
  <c r="L413" i="21"/>
  <c r="J413" i="21"/>
  <c r="K413" i="21" s="1"/>
  <c r="P412" i="21"/>
  <c r="O412" i="21"/>
  <c r="M412" i="21"/>
  <c r="L412" i="21"/>
  <c r="K412" i="21"/>
  <c r="J412" i="21"/>
  <c r="N412" i="21" s="1"/>
  <c r="P411" i="21"/>
  <c r="O411" i="21"/>
  <c r="N411" i="21"/>
  <c r="M411" i="21"/>
  <c r="L411" i="21"/>
  <c r="J411" i="21"/>
  <c r="K411" i="21" s="1"/>
  <c r="P410" i="21"/>
  <c r="O410" i="21"/>
  <c r="N410" i="21"/>
  <c r="M410" i="21"/>
  <c r="L410" i="21"/>
  <c r="J410" i="21"/>
  <c r="K410" i="21" s="1"/>
  <c r="P409" i="21"/>
  <c r="N409" i="21"/>
  <c r="M409" i="21"/>
  <c r="L409" i="21"/>
  <c r="K409" i="21"/>
  <c r="J409" i="21"/>
  <c r="O409" i="21" s="1"/>
  <c r="P408" i="21"/>
  <c r="O408" i="21"/>
  <c r="N408" i="21"/>
  <c r="M408" i="21"/>
  <c r="L408" i="21"/>
  <c r="J408" i="21"/>
  <c r="K408" i="21" s="1"/>
  <c r="P407" i="21"/>
  <c r="O407" i="21"/>
  <c r="N407" i="21"/>
  <c r="M407" i="21"/>
  <c r="L407" i="21"/>
  <c r="J407" i="21"/>
  <c r="K407" i="21" s="1"/>
  <c r="P406" i="21"/>
  <c r="N406" i="21"/>
  <c r="M406" i="21"/>
  <c r="L406" i="21"/>
  <c r="K406" i="21"/>
  <c r="J406" i="21"/>
  <c r="O406" i="21" s="1"/>
  <c r="P405" i="21"/>
  <c r="O405" i="21"/>
  <c r="N405" i="21"/>
  <c r="M405" i="21"/>
  <c r="L405" i="21"/>
  <c r="J405" i="21"/>
  <c r="K405" i="21" s="1"/>
  <c r="P404" i="21"/>
  <c r="O404" i="21"/>
  <c r="N404" i="21"/>
  <c r="M404" i="21"/>
  <c r="L404" i="21"/>
  <c r="J404" i="21"/>
  <c r="K404" i="21" s="1"/>
  <c r="P403" i="21"/>
  <c r="O403" i="21"/>
  <c r="N403" i="21"/>
  <c r="M403" i="21"/>
  <c r="L403" i="21"/>
  <c r="J403" i="21"/>
  <c r="K403" i="21" s="1"/>
  <c r="P402" i="21"/>
  <c r="N402" i="21"/>
  <c r="M402" i="21"/>
  <c r="L402" i="21"/>
  <c r="K402" i="21"/>
  <c r="J402" i="21"/>
  <c r="O402" i="21" s="1"/>
  <c r="P401" i="21"/>
  <c r="O401" i="21"/>
  <c r="N401" i="21"/>
  <c r="M401" i="21"/>
  <c r="L401" i="21"/>
  <c r="J401" i="21"/>
  <c r="K401" i="21" s="1"/>
  <c r="P400" i="21"/>
  <c r="O400" i="21"/>
  <c r="N400" i="21"/>
  <c r="M400" i="21"/>
  <c r="L400" i="21"/>
  <c r="J400" i="21"/>
  <c r="K400" i="21" s="1"/>
  <c r="P399" i="21"/>
  <c r="O399" i="21"/>
  <c r="N399" i="21"/>
  <c r="M399" i="21"/>
  <c r="L399" i="21"/>
  <c r="J399" i="21"/>
  <c r="K399" i="21" s="1"/>
  <c r="P398" i="21"/>
  <c r="N398" i="21"/>
  <c r="M398" i="21"/>
  <c r="L398" i="21"/>
  <c r="K398" i="21"/>
  <c r="J398" i="21"/>
  <c r="O398" i="21" s="1"/>
  <c r="P397" i="21"/>
  <c r="O397" i="21"/>
  <c r="N397" i="21"/>
  <c r="M397" i="21"/>
  <c r="L397" i="21"/>
  <c r="J397" i="21"/>
  <c r="K397" i="21" s="1"/>
  <c r="P396" i="21"/>
  <c r="O396" i="21"/>
  <c r="N396" i="21"/>
  <c r="M396" i="21"/>
  <c r="L396" i="21"/>
  <c r="J396" i="21"/>
  <c r="K396" i="21" s="1"/>
  <c r="P395" i="21"/>
  <c r="O395" i="21"/>
  <c r="N395" i="21"/>
  <c r="M395" i="21"/>
  <c r="L395" i="21"/>
  <c r="J395" i="21"/>
  <c r="K395" i="21" s="1"/>
  <c r="P394" i="21"/>
  <c r="O394" i="21"/>
  <c r="N394" i="21"/>
  <c r="M394" i="21"/>
  <c r="L394" i="21"/>
  <c r="K394" i="21"/>
  <c r="J394" i="21"/>
  <c r="Q394" i="21" s="1"/>
  <c r="P393" i="21"/>
  <c r="O393" i="21"/>
  <c r="N393" i="21"/>
  <c r="M393" i="21"/>
  <c r="L393" i="21"/>
  <c r="J393" i="21"/>
  <c r="K393" i="21" s="1"/>
  <c r="P392" i="21"/>
  <c r="O392" i="21"/>
  <c r="N392" i="21"/>
  <c r="M392" i="21"/>
  <c r="L392" i="21"/>
  <c r="J392" i="21"/>
  <c r="K392" i="21" s="1"/>
  <c r="P391" i="21"/>
  <c r="O391" i="21"/>
  <c r="N391" i="21"/>
  <c r="M391" i="21"/>
  <c r="L391" i="21"/>
  <c r="J391" i="21"/>
  <c r="K391" i="21" s="1"/>
  <c r="P390" i="21"/>
  <c r="O390" i="21"/>
  <c r="N390" i="21"/>
  <c r="M390" i="21"/>
  <c r="L390" i="21"/>
  <c r="K390" i="21"/>
  <c r="J390" i="21"/>
  <c r="Q390" i="21" s="1"/>
  <c r="P389" i="21"/>
  <c r="O389" i="21"/>
  <c r="N389" i="21"/>
  <c r="M389" i="21"/>
  <c r="L389" i="21"/>
  <c r="J389" i="21"/>
  <c r="K389" i="21" s="1"/>
  <c r="P388" i="21"/>
  <c r="O388" i="21"/>
  <c r="N388" i="21"/>
  <c r="M388" i="21"/>
  <c r="L388" i="21"/>
  <c r="J388" i="21"/>
  <c r="K388" i="21" s="1"/>
  <c r="P387" i="21"/>
  <c r="O387" i="21"/>
  <c r="N387" i="21"/>
  <c r="M387" i="21"/>
  <c r="L387" i="21"/>
  <c r="J387" i="21"/>
  <c r="K387" i="21" s="1"/>
  <c r="P386" i="21"/>
  <c r="O386" i="21"/>
  <c r="N386" i="21"/>
  <c r="M386" i="21"/>
  <c r="L386" i="21"/>
  <c r="K386" i="21"/>
  <c r="J386" i="21"/>
  <c r="Q386" i="21" s="1"/>
  <c r="P385" i="21"/>
  <c r="O385" i="21"/>
  <c r="N385" i="21"/>
  <c r="M385" i="21"/>
  <c r="L385" i="21"/>
  <c r="J385" i="21"/>
  <c r="K385" i="21" s="1"/>
  <c r="P384" i="21"/>
  <c r="O384" i="21"/>
  <c r="N384" i="21"/>
  <c r="M384" i="21"/>
  <c r="L384" i="21"/>
  <c r="J384" i="21"/>
  <c r="K384" i="21" s="1"/>
  <c r="P383" i="21"/>
  <c r="O383" i="21"/>
  <c r="N383" i="21"/>
  <c r="M383" i="21"/>
  <c r="L383" i="21"/>
  <c r="J383" i="21"/>
  <c r="K383" i="21" s="1"/>
  <c r="P382" i="21"/>
  <c r="O382" i="21"/>
  <c r="M382" i="21"/>
  <c r="L382" i="21"/>
  <c r="K382" i="21"/>
  <c r="J382" i="21"/>
  <c r="N382" i="21" s="1"/>
  <c r="P381" i="21"/>
  <c r="O381" i="21"/>
  <c r="N381" i="21"/>
  <c r="M381" i="21"/>
  <c r="L381" i="21"/>
  <c r="J381" i="21"/>
  <c r="K381" i="21" s="1"/>
  <c r="P380" i="21"/>
  <c r="O380" i="21"/>
  <c r="N380" i="21"/>
  <c r="M380" i="21"/>
  <c r="L380" i="21"/>
  <c r="J380" i="21"/>
  <c r="K380" i="21" s="1"/>
  <c r="P374" i="21"/>
  <c r="O374" i="21"/>
  <c r="N374" i="21"/>
  <c r="M374" i="21"/>
  <c r="L374" i="21"/>
  <c r="J374" i="21"/>
  <c r="K374" i="21" s="1"/>
  <c r="P373" i="21"/>
  <c r="O373" i="21"/>
  <c r="N373" i="21"/>
  <c r="M373" i="21"/>
  <c r="L373" i="21"/>
  <c r="J373" i="21"/>
  <c r="K373" i="21" s="1"/>
  <c r="P372" i="21"/>
  <c r="O372" i="21"/>
  <c r="M372" i="21"/>
  <c r="L372" i="21"/>
  <c r="K372" i="21"/>
  <c r="J372" i="21"/>
  <c r="N372" i="21" s="1"/>
  <c r="P371" i="21"/>
  <c r="O371" i="21"/>
  <c r="N371" i="21"/>
  <c r="M371" i="21"/>
  <c r="L371" i="21"/>
  <c r="J371" i="21"/>
  <c r="K371" i="21" s="1"/>
  <c r="P370" i="21"/>
  <c r="O370" i="21"/>
  <c r="N370" i="21"/>
  <c r="M370" i="21"/>
  <c r="L370" i="21"/>
  <c r="J370" i="21"/>
  <c r="K370" i="21" s="1"/>
  <c r="P369" i="21"/>
  <c r="O369" i="21"/>
  <c r="N369" i="21"/>
  <c r="M369" i="21"/>
  <c r="L369" i="21"/>
  <c r="J369" i="21"/>
  <c r="K369" i="21" s="1"/>
  <c r="P368" i="21"/>
  <c r="O368" i="21"/>
  <c r="M368" i="21"/>
  <c r="L368" i="21"/>
  <c r="K368" i="21"/>
  <c r="J368" i="21"/>
  <c r="N368" i="21" s="1"/>
  <c r="P367" i="21"/>
  <c r="O367" i="21"/>
  <c r="N367" i="21"/>
  <c r="M367" i="21"/>
  <c r="L367" i="21"/>
  <c r="J367" i="21"/>
  <c r="K367" i="21" s="1"/>
  <c r="P366" i="21"/>
  <c r="O366" i="21"/>
  <c r="N366" i="21"/>
  <c r="M366" i="21"/>
  <c r="L366" i="21"/>
  <c r="J366" i="21"/>
  <c r="K366" i="21" s="1"/>
  <c r="P365" i="21"/>
  <c r="O365" i="21"/>
  <c r="N365" i="21"/>
  <c r="M365" i="21"/>
  <c r="L365" i="21"/>
  <c r="J365" i="21"/>
  <c r="K365" i="21" s="1"/>
  <c r="P362" i="21"/>
  <c r="O362" i="21"/>
  <c r="M362" i="21"/>
  <c r="L362" i="21"/>
  <c r="K362" i="21"/>
  <c r="J362" i="21"/>
  <c r="N362" i="21" s="1"/>
  <c r="P361" i="21"/>
  <c r="O361" i="21"/>
  <c r="N361" i="21"/>
  <c r="M361" i="21"/>
  <c r="L361" i="21"/>
  <c r="J361" i="21"/>
  <c r="K361" i="21" s="1"/>
  <c r="P360" i="21"/>
  <c r="O360" i="21"/>
  <c r="N360" i="21"/>
  <c r="M360" i="21"/>
  <c r="L360" i="21"/>
  <c r="J360" i="21"/>
  <c r="K360" i="21" s="1"/>
  <c r="P359" i="21"/>
  <c r="O359" i="21"/>
  <c r="N359" i="21"/>
  <c r="M359" i="21"/>
  <c r="L359" i="21"/>
  <c r="J359" i="21"/>
  <c r="K359" i="21" s="1"/>
  <c r="P358" i="21"/>
  <c r="O358" i="21"/>
  <c r="N358" i="21"/>
  <c r="L358" i="21"/>
  <c r="K358" i="21"/>
  <c r="J358" i="21"/>
  <c r="M358" i="21" s="1"/>
  <c r="P357" i="21"/>
  <c r="O357" i="21"/>
  <c r="N357" i="21"/>
  <c r="M357" i="21"/>
  <c r="L357" i="21"/>
  <c r="J357" i="21"/>
  <c r="K357" i="21" s="1"/>
  <c r="P356" i="21"/>
  <c r="O356" i="21"/>
  <c r="N356" i="21"/>
  <c r="M356" i="21"/>
  <c r="L356" i="21"/>
  <c r="J356" i="21"/>
  <c r="K356" i="21" s="1"/>
  <c r="P355" i="21"/>
  <c r="O355" i="21"/>
  <c r="N355" i="21"/>
  <c r="M355" i="21"/>
  <c r="L355" i="21"/>
  <c r="J355" i="21"/>
  <c r="K355" i="21" s="1"/>
  <c r="P354" i="21"/>
  <c r="O354" i="21"/>
  <c r="M354" i="21"/>
  <c r="L354" i="21"/>
  <c r="K354" i="21"/>
  <c r="J354" i="21"/>
  <c r="N354" i="21" s="1"/>
  <c r="P353" i="21"/>
  <c r="O353" i="21"/>
  <c r="N353" i="21"/>
  <c r="M353" i="21"/>
  <c r="L353" i="21"/>
  <c r="J353" i="21"/>
  <c r="K353" i="21" s="1"/>
  <c r="P352" i="21"/>
  <c r="O352" i="21"/>
  <c r="N352" i="21"/>
  <c r="M352" i="21"/>
  <c r="L352" i="21"/>
  <c r="J352" i="21"/>
  <c r="K352" i="21" s="1"/>
  <c r="P351" i="21"/>
  <c r="O351" i="21"/>
  <c r="N351" i="21"/>
  <c r="M351" i="21"/>
  <c r="L351" i="21"/>
  <c r="J351" i="21"/>
  <c r="K351" i="21" s="1"/>
  <c r="P350" i="21"/>
  <c r="O350" i="21"/>
  <c r="M350" i="21"/>
  <c r="L350" i="21"/>
  <c r="J350" i="21"/>
  <c r="K350" i="21" s="1"/>
  <c r="P349" i="21"/>
  <c r="O349" i="21"/>
  <c r="N349" i="21"/>
  <c r="M349" i="21"/>
  <c r="L349" i="21"/>
  <c r="J349" i="21"/>
  <c r="K349" i="21" s="1"/>
  <c r="P348" i="21"/>
  <c r="O348" i="21"/>
  <c r="N348" i="21"/>
  <c r="M348" i="21"/>
  <c r="L348" i="21"/>
  <c r="J348" i="21"/>
  <c r="K348" i="21" s="1"/>
  <c r="P347" i="21"/>
  <c r="O347" i="21"/>
  <c r="N347" i="21"/>
  <c r="M347" i="21"/>
  <c r="L347" i="21"/>
  <c r="J347" i="21"/>
  <c r="K347" i="21" s="1"/>
  <c r="P346" i="21"/>
  <c r="O346" i="21"/>
  <c r="M346" i="21"/>
  <c r="L346" i="21"/>
  <c r="K346" i="21"/>
  <c r="J346" i="21"/>
  <c r="N346" i="21" s="1"/>
  <c r="P345" i="21"/>
  <c r="O345" i="21"/>
  <c r="N345" i="21"/>
  <c r="M345" i="21"/>
  <c r="L345" i="21"/>
  <c r="J345" i="21"/>
  <c r="K345" i="21" s="1"/>
  <c r="P344" i="21"/>
  <c r="O344" i="21"/>
  <c r="N344" i="21"/>
  <c r="M344" i="21"/>
  <c r="L344" i="21"/>
  <c r="J344" i="21"/>
  <c r="K344" i="21" s="1"/>
  <c r="P343" i="21"/>
  <c r="O343" i="21"/>
  <c r="N343" i="21"/>
  <c r="M343" i="21"/>
  <c r="L343" i="21"/>
  <c r="J343" i="21"/>
  <c r="K343" i="21" s="1"/>
  <c r="P342" i="21"/>
  <c r="O342" i="21"/>
  <c r="N342" i="21"/>
  <c r="M342" i="21"/>
  <c r="L342" i="21"/>
  <c r="K342" i="21"/>
  <c r="J342" i="21"/>
  <c r="Q342" i="21" s="1"/>
  <c r="P341" i="21"/>
  <c r="O341" i="21"/>
  <c r="N341" i="21"/>
  <c r="M341" i="21"/>
  <c r="L341" i="21"/>
  <c r="J341" i="21"/>
  <c r="K341" i="21" s="1"/>
  <c r="P340" i="21"/>
  <c r="O340" i="21"/>
  <c r="N340" i="21"/>
  <c r="M340" i="21"/>
  <c r="L340" i="21"/>
  <c r="J340" i="21"/>
  <c r="K340" i="21" s="1"/>
  <c r="P339" i="21"/>
  <c r="O339" i="21"/>
  <c r="N339" i="21"/>
  <c r="M339" i="21"/>
  <c r="L339" i="21"/>
  <c r="J339" i="21"/>
  <c r="K339" i="21" s="1"/>
  <c r="P338" i="21"/>
  <c r="O338" i="21"/>
  <c r="N338" i="21"/>
  <c r="M338" i="21"/>
  <c r="L338" i="21"/>
  <c r="K338" i="21"/>
  <c r="J338" i="21"/>
  <c r="Q338" i="21" s="1"/>
  <c r="P337" i="21"/>
  <c r="O337" i="21"/>
  <c r="N337" i="21"/>
  <c r="M337" i="21"/>
  <c r="L337" i="21"/>
  <c r="J337" i="21"/>
  <c r="K337" i="21" s="1"/>
  <c r="P336" i="21"/>
  <c r="O336" i="21"/>
  <c r="N336" i="21"/>
  <c r="M336" i="21"/>
  <c r="L336" i="21"/>
  <c r="J336" i="21"/>
  <c r="K336" i="21" s="1"/>
  <c r="P335" i="21"/>
  <c r="O335" i="21"/>
  <c r="N335" i="21"/>
  <c r="M335" i="21"/>
  <c r="L335" i="21"/>
  <c r="J335" i="21"/>
  <c r="K335" i="21" s="1"/>
  <c r="P334" i="21"/>
  <c r="O334" i="21"/>
  <c r="N334" i="21"/>
  <c r="M334" i="21"/>
  <c r="L334" i="21"/>
  <c r="K334" i="21"/>
  <c r="J334" i="21"/>
  <c r="Q334" i="21" s="1"/>
  <c r="P333" i="21"/>
  <c r="O333" i="21"/>
  <c r="N333" i="21"/>
  <c r="M333" i="21"/>
  <c r="L333" i="21"/>
  <c r="J333" i="21"/>
  <c r="K333" i="21" s="1"/>
  <c r="P332" i="21"/>
  <c r="O332" i="21"/>
  <c r="N332" i="21"/>
  <c r="M332" i="21"/>
  <c r="L332" i="21"/>
  <c r="J332" i="21"/>
  <c r="K332" i="21" s="1"/>
  <c r="P331" i="21"/>
  <c r="O331" i="21"/>
  <c r="N331" i="21"/>
  <c r="M331" i="21"/>
  <c r="L331" i="21"/>
  <c r="J331" i="21"/>
  <c r="K331" i="21" s="1"/>
  <c r="O330" i="21"/>
  <c r="N330" i="21"/>
  <c r="M330" i="21"/>
  <c r="L330" i="21"/>
  <c r="K330" i="21"/>
  <c r="J330" i="21"/>
  <c r="P330" i="21" s="1"/>
  <c r="P329" i="21"/>
  <c r="O329" i="21"/>
  <c r="N329" i="21"/>
  <c r="M329" i="21"/>
  <c r="L329" i="21"/>
  <c r="J329" i="21"/>
  <c r="K329" i="21" s="1"/>
  <c r="P328" i="21"/>
  <c r="O328" i="21"/>
  <c r="N328" i="21"/>
  <c r="M328" i="21"/>
  <c r="L328" i="21"/>
  <c r="J328" i="21"/>
  <c r="K328" i="21" s="1"/>
  <c r="P327" i="21"/>
  <c r="O327" i="21"/>
  <c r="N327" i="21"/>
  <c r="M327" i="21"/>
  <c r="L327" i="21"/>
  <c r="J327" i="21"/>
  <c r="K327" i="21" s="1"/>
  <c r="O326" i="21"/>
  <c r="N326" i="21"/>
  <c r="M326" i="21"/>
  <c r="L326" i="21"/>
  <c r="K326" i="21"/>
  <c r="J326" i="21"/>
  <c r="P326" i="21" s="1"/>
  <c r="P325" i="21"/>
  <c r="O325" i="21"/>
  <c r="N325" i="21"/>
  <c r="M325" i="21"/>
  <c r="L325" i="21"/>
  <c r="J325" i="21"/>
  <c r="K325" i="21" s="1"/>
  <c r="P324" i="21"/>
  <c r="O324" i="21"/>
  <c r="N324" i="21"/>
  <c r="M324" i="21"/>
  <c r="L324" i="21"/>
  <c r="J324" i="21"/>
  <c r="K324" i="21" s="1"/>
  <c r="P323" i="21"/>
  <c r="O323" i="21"/>
  <c r="N323" i="21"/>
  <c r="M323" i="21"/>
  <c r="L323" i="21"/>
  <c r="J323" i="21"/>
  <c r="K323" i="21" s="1"/>
  <c r="P322" i="21"/>
  <c r="N322" i="21"/>
  <c r="M322" i="21"/>
  <c r="L322" i="21"/>
  <c r="K322" i="21"/>
  <c r="J322" i="21"/>
  <c r="O322" i="21" s="1"/>
  <c r="P321" i="21"/>
  <c r="O321" i="21"/>
  <c r="N321" i="21"/>
  <c r="M321" i="21"/>
  <c r="L321" i="21"/>
  <c r="J321" i="21"/>
  <c r="K321" i="21" s="1"/>
  <c r="P320" i="21"/>
  <c r="O320" i="21"/>
  <c r="N320" i="21"/>
  <c r="M320" i="21"/>
  <c r="L320" i="21"/>
  <c r="J320" i="21"/>
  <c r="K320" i="21" s="1"/>
  <c r="P319" i="21"/>
  <c r="O319" i="21"/>
  <c r="N319" i="21"/>
  <c r="M319" i="21"/>
  <c r="L319" i="21"/>
  <c r="J319" i="21"/>
  <c r="K319" i="21" s="1"/>
  <c r="P318" i="21"/>
  <c r="O318" i="21"/>
  <c r="N318" i="21"/>
  <c r="M318" i="21"/>
  <c r="L318" i="21"/>
  <c r="K318" i="21"/>
  <c r="P317" i="21"/>
  <c r="O317" i="21"/>
  <c r="N317" i="21"/>
  <c r="M317" i="21"/>
  <c r="L317" i="21"/>
  <c r="K317" i="21"/>
  <c r="P316" i="21"/>
  <c r="O316" i="21"/>
  <c r="N316" i="21"/>
  <c r="M316" i="21"/>
  <c r="L316" i="21"/>
  <c r="K316" i="21"/>
  <c r="P315" i="21"/>
  <c r="O315" i="21"/>
  <c r="N315" i="21"/>
  <c r="M315" i="21"/>
  <c r="L315" i="21"/>
  <c r="K315" i="21"/>
  <c r="P314" i="21"/>
  <c r="N314" i="21"/>
  <c r="M314" i="21"/>
  <c r="L314" i="21"/>
  <c r="K314" i="21"/>
  <c r="J314" i="21"/>
  <c r="O314" i="21" s="1"/>
  <c r="P313" i="21"/>
  <c r="O313" i="21"/>
  <c r="N313" i="21"/>
  <c r="M313" i="21"/>
  <c r="L313" i="21"/>
  <c r="J313" i="21"/>
  <c r="K313" i="21" s="1"/>
  <c r="P312" i="21"/>
  <c r="O312" i="21"/>
  <c r="N312" i="21"/>
  <c r="M312" i="21"/>
  <c r="L312" i="21"/>
  <c r="J312" i="21"/>
  <c r="K312" i="21" s="1"/>
  <c r="P311" i="21"/>
  <c r="O311" i="21"/>
  <c r="N311" i="21"/>
  <c r="M311" i="21"/>
  <c r="L311" i="21"/>
  <c r="J311" i="21"/>
  <c r="K311" i="21" s="1"/>
  <c r="O309" i="21"/>
  <c r="N309" i="21"/>
  <c r="M309" i="21"/>
  <c r="L309" i="21"/>
  <c r="K309" i="21"/>
  <c r="J309" i="21"/>
  <c r="P309" i="21" s="1"/>
  <c r="P308" i="21"/>
  <c r="O308" i="21"/>
  <c r="N308" i="21"/>
  <c r="M308" i="21"/>
  <c r="L308" i="21"/>
  <c r="J308" i="21"/>
  <c r="K308" i="21" s="1"/>
  <c r="P307" i="21"/>
  <c r="O307" i="21"/>
  <c r="N307" i="21"/>
  <c r="M307" i="21"/>
  <c r="L307" i="21"/>
  <c r="J307" i="21"/>
  <c r="K307" i="21" s="1"/>
  <c r="P306" i="21"/>
  <c r="O306" i="21"/>
  <c r="N306" i="21"/>
  <c r="M306" i="21"/>
  <c r="L306" i="21"/>
  <c r="J306" i="21"/>
  <c r="K306" i="21" s="1"/>
  <c r="O305" i="21"/>
  <c r="N305" i="21"/>
  <c r="M305" i="21"/>
  <c r="L305" i="21"/>
  <c r="K305" i="21"/>
  <c r="J305" i="21"/>
  <c r="P305" i="21" s="1"/>
  <c r="P304" i="21"/>
  <c r="O304" i="21"/>
  <c r="N304" i="21"/>
  <c r="M304" i="21"/>
  <c r="L304" i="21"/>
  <c r="J304" i="21"/>
  <c r="K304" i="21" s="1"/>
  <c r="P303" i="21"/>
  <c r="O303" i="21"/>
  <c r="N303" i="21"/>
  <c r="M303" i="21"/>
  <c r="L303" i="21"/>
  <c r="J303" i="21"/>
  <c r="K303" i="21" s="1"/>
  <c r="P302" i="21"/>
  <c r="O302" i="21"/>
  <c r="N302" i="21"/>
  <c r="M302" i="21"/>
  <c r="L302" i="21"/>
  <c r="J302" i="21"/>
  <c r="K302" i="21" s="1"/>
  <c r="O301" i="21"/>
  <c r="N301" i="21"/>
  <c r="M301" i="21"/>
  <c r="L301" i="21"/>
  <c r="K301" i="21"/>
  <c r="J301" i="21"/>
  <c r="P301" i="21" s="1"/>
  <c r="P300" i="21"/>
  <c r="O300" i="21"/>
  <c r="N300" i="21"/>
  <c r="M300" i="21"/>
  <c r="L300" i="21"/>
  <c r="J300" i="21"/>
  <c r="K300" i="21" s="1"/>
  <c r="P299" i="21"/>
  <c r="O299" i="21"/>
  <c r="N299" i="21"/>
  <c r="M299" i="21"/>
  <c r="L299" i="21"/>
  <c r="J299" i="21"/>
  <c r="K299" i="21" s="1"/>
  <c r="P298" i="21"/>
  <c r="O298" i="21"/>
  <c r="N298" i="21"/>
  <c r="M298" i="21"/>
  <c r="L298" i="21"/>
  <c r="J298" i="21"/>
  <c r="K298" i="21" s="1"/>
  <c r="O283" i="21"/>
  <c r="N283" i="21"/>
  <c r="M283" i="21"/>
  <c r="L283" i="21"/>
  <c r="K283" i="21"/>
  <c r="J283" i="21"/>
  <c r="P283" i="21" s="1"/>
  <c r="P282" i="21"/>
  <c r="O282" i="21"/>
  <c r="N282" i="21"/>
  <c r="M282" i="21"/>
  <c r="L282" i="21"/>
  <c r="J282" i="21"/>
  <c r="K282" i="21" s="1"/>
  <c r="P281" i="21"/>
  <c r="O281" i="21"/>
  <c r="N281" i="21"/>
  <c r="M281" i="21"/>
  <c r="L281" i="21"/>
  <c r="J281" i="21"/>
  <c r="K281" i="21" s="1"/>
  <c r="P280" i="21"/>
  <c r="O280" i="21"/>
  <c r="N280" i="21"/>
  <c r="M280" i="21"/>
  <c r="L280" i="21"/>
  <c r="J280" i="21"/>
  <c r="K280" i="21" s="1"/>
  <c r="O278" i="21"/>
  <c r="N278" i="21"/>
  <c r="M278" i="21"/>
  <c r="L278" i="21"/>
  <c r="K278" i="21"/>
  <c r="J278" i="21"/>
  <c r="P278" i="21" s="1"/>
  <c r="P276" i="21"/>
  <c r="O276" i="21"/>
  <c r="N276" i="21"/>
  <c r="M276" i="21"/>
  <c r="L276" i="21"/>
  <c r="J276" i="21"/>
  <c r="K276" i="21" s="1"/>
  <c r="P275" i="21"/>
  <c r="O275" i="21"/>
  <c r="N275" i="21"/>
  <c r="M275" i="21"/>
  <c r="L275" i="21"/>
  <c r="J275" i="21"/>
  <c r="K275" i="21" s="1"/>
  <c r="P274" i="21"/>
  <c r="O274" i="21"/>
  <c r="N274" i="21"/>
  <c r="M274" i="21"/>
  <c r="L274" i="21"/>
  <c r="J274" i="21"/>
  <c r="K274" i="21" s="1"/>
  <c r="O273" i="21"/>
  <c r="N273" i="21"/>
  <c r="M273" i="21"/>
  <c r="L273" i="21"/>
  <c r="K273" i="21"/>
  <c r="J273" i="21"/>
  <c r="P273" i="21" s="1"/>
  <c r="P272" i="21"/>
  <c r="O272" i="21"/>
  <c r="N272" i="21"/>
  <c r="M272" i="21"/>
  <c r="L272" i="21"/>
  <c r="J272" i="21"/>
  <c r="K272" i="21" s="1"/>
  <c r="P271" i="21"/>
  <c r="O271" i="21"/>
  <c r="N271" i="21"/>
  <c r="M271" i="21"/>
  <c r="L271" i="21"/>
  <c r="J271" i="21"/>
  <c r="K271" i="21" s="1"/>
  <c r="P270" i="21"/>
  <c r="O270" i="21"/>
  <c r="N270" i="21"/>
  <c r="M270" i="21"/>
  <c r="L270" i="21"/>
  <c r="J270" i="21"/>
  <c r="K270" i="21" s="1"/>
  <c r="O269" i="21"/>
  <c r="N269" i="21"/>
  <c r="M269" i="21"/>
  <c r="L269" i="21"/>
  <c r="K269" i="21"/>
  <c r="J269" i="21"/>
  <c r="P269" i="21" s="1"/>
  <c r="P268" i="21"/>
  <c r="O268" i="21"/>
  <c r="N268" i="21"/>
  <c r="M268" i="21"/>
  <c r="L268" i="21"/>
  <c r="J268" i="21"/>
  <c r="K268" i="21" s="1"/>
  <c r="P267" i="21"/>
  <c r="O267" i="21"/>
  <c r="N267" i="21"/>
  <c r="M267" i="21"/>
  <c r="L267" i="21"/>
  <c r="J267" i="21"/>
  <c r="K267" i="21" s="1"/>
  <c r="P266" i="21"/>
  <c r="O266" i="21"/>
  <c r="N266" i="21"/>
  <c r="M266" i="21"/>
  <c r="L266" i="21"/>
  <c r="J266" i="21"/>
  <c r="K266" i="21" s="1"/>
  <c r="O265" i="21"/>
  <c r="N265" i="21"/>
  <c r="M265" i="21"/>
  <c r="L265" i="21"/>
  <c r="K265" i="21"/>
  <c r="J265" i="21"/>
  <c r="P265" i="21" s="1"/>
  <c r="P262" i="21"/>
  <c r="O262" i="21"/>
  <c r="N262" i="21"/>
  <c r="M262" i="21"/>
  <c r="L262" i="21"/>
  <c r="J262" i="21"/>
  <c r="K262" i="21" s="1"/>
  <c r="P261" i="21"/>
  <c r="O261" i="21"/>
  <c r="N261" i="21"/>
  <c r="M261" i="21"/>
  <c r="L261" i="21"/>
  <c r="J261" i="21"/>
  <c r="K261" i="21" s="1"/>
  <c r="P260" i="21"/>
  <c r="O260" i="21"/>
  <c r="N260" i="21"/>
  <c r="M260" i="21"/>
  <c r="L260" i="21"/>
  <c r="J260" i="21"/>
  <c r="K260" i="21" s="1"/>
  <c r="O259" i="21"/>
  <c r="N259" i="21"/>
  <c r="M259" i="21"/>
  <c r="L259" i="21"/>
  <c r="K259" i="21"/>
  <c r="J259" i="21"/>
  <c r="P259" i="21" s="1"/>
  <c r="P258" i="21"/>
  <c r="O258" i="21"/>
  <c r="N258" i="21"/>
  <c r="M258" i="21"/>
  <c r="L258" i="21"/>
  <c r="J258" i="21"/>
  <c r="K258" i="21" s="1"/>
  <c r="P257" i="21"/>
  <c r="O257" i="21"/>
  <c r="N257" i="21"/>
  <c r="M257" i="21"/>
  <c r="L257" i="21"/>
  <c r="J257" i="21"/>
  <c r="K257" i="21" s="1"/>
  <c r="P256" i="21"/>
  <c r="O256" i="21"/>
  <c r="N256" i="21"/>
  <c r="M256" i="21"/>
  <c r="L256" i="21"/>
  <c r="J256" i="21"/>
  <c r="K256" i="21" s="1"/>
  <c r="P255" i="21"/>
  <c r="N255" i="21"/>
  <c r="M255" i="21"/>
  <c r="L255" i="21"/>
  <c r="K255" i="21"/>
  <c r="J255" i="21"/>
  <c r="O255" i="21" s="1"/>
  <c r="P254" i="21"/>
  <c r="O254" i="21"/>
  <c r="N254" i="21"/>
  <c r="M254" i="21"/>
  <c r="L254" i="21"/>
  <c r="J254" i="21"/>
  <c r="K254" i="21" s="1"/>
  <c r="P253" i="21"/>
  <c r="O253" i="21"/>
  <c r="N253" i="21"/>
  <c r="M253" i="21"/>
  <c r="L253" i="21"/>
  <c r="J253" i="21"/>
  <c r="K253" i="21" s="1"/>
  <c r="P252" i="21"/>
  <c r="O252" i="21"/>
  <c r="N252" i="21"/>
  <c r="M252" i="21"/>
  <c r="L252" i="21"/>
  <c r="J252" i="21"/>
  <c r="K252" i="21" s="1"/>
  <c r="P251" i="21"/>
  <c r="N251" i="21"/>
  <c r="M251" i="21"/>
  <c r="L251" i="21"/>
  <c r="K251" i="21"/>
  <c r="J251" i="21"/>
  <c r="O251" i="21" s="1"/>
  <c r="P250" i="21"/>
  <c r="O250" i="21"/>
  <c r="N250" i="21"/>
  <c r="M250" i="21"/>
  <c r="L250" i="21"/>
  <c r="J250" i="21"/>
  <c r="K250" i="21" s="1"/>
  <c r="P249" i="21"/>
  <c r="O249" i="21"/>
  <c r="N249" i="21"/>
  <c r="M249" i="21"/>
  <c r="L249" i="21"/>
  <c r="J249" i="21"/>
  <c r="K249" i="21" s="1"/>
  <c r="P248" i="21"/>
  <c r="O248" i="21"/>
  <c r="N248" i="21"/>
  <c r="M248" i="21"/>
  <c r="L248" i="21"/>
  <c r="J248" i="21"/>
  <c r="K248" i="21" s="1"/>
  <c r="P247" i="21"/>
  <c r="N247" i="21"/>
  <c r="M247" i="21"/>
  <c r="L247" i="21"/>
  <c r="K247" i="21"/>
  <c r="J247" i="21"/>
  <c r="O247" i="21" s="1"/>
  <c r="P246" i="21"/>
  <c r="O246" i="21"/>
  <c r="N246" i="21"/>
  <c r="M246" i="21"/>
  <c r="L246" i="21"/>
  <c r="J246" i="21"/>
  <c r="K246" i="21" s="1"/>
  <c r="P245" i="21"/>
  <c r="O245" i="21"/>
  <c r="N245" i="21"/>
  <c r="M245" i="21"/>
  <c r="L245" i="21"/>
  <c r="J245" i="21"/>
  <c r="K245" i="21" s="1"/>
  <c r="P244" i="21"/>
  <c r="O244" i="21"/>
  <c r="N244" i="21"/>
  <c r="M244" i="21"/>
  <c r="L244" i="21"/>
  <c r="J244" i="21"/>
  <c r="K244" i="21" s="1"/>
  <c r="P243" i="21"/>
  <c r="O243" i="21"/>
  <c r="N243" i="21"/>
  <c r="M243" i="21"/>
  <c r="L243" i="21"/>
  <c r="K243" i="21"/>
  <c r="J243" i="21"/>
  <c r="P242" i="21"/>
  <c r="O242" i="21"/>
  <c r="N242" i="21"/>
  <c r="M242" i="21"/>
  <c r="L242" i="21"/>
  <c r="K242" i="21"/>
  <c r="J242" i="21"/>
  <c r="P241" i="21"/>
  <c r="O241" i="21"/>
  <c r="N241" i="21"/>
  <c r="M241" i="21"/>
  <c r="L241" i="21"/>
  <c r="K241" i="21"/>
  <c r="J241" i="21"/>
  <c r="P240" i="21"/>
  <c r="O240" i="21"/>
  <c r="N240" i="21"/>
  <c r="M240" i="21"/>
  <c r="L240" i="21"/>
  <c r="K240" i="21"/>
  <c r="J240" i="21"/>
  <c r="P239" i="21"/>
  <c r="O239" i="21"/>
  <c r="M239" i="21"/>
  <c r="L239" i="21"/>
  <c r="K239" i="21"/>
  <c r="J239" i="21"/>
  <c r="N239" i="21" s="1"/>
  <c r="P238" i="21"/>
  <c r="O238" i="21"/>
  <c r="N238" i="21"/>
  <c r="M238" i="21"/>
  <c r="L238" i="21"/>
  <c r="J238" i="21"/>
  <c r="K238" i="21" s="1"/>
  <c r="P237" i="21"/>
  <c r="O237" i="21"/>
  <c r="N237" i="21"/>
  <c r="M237" i="21"/>
  <c r="L237" i="21"/>
  <c r="J237" i="21"/>
  <c r="K237" i="21" s="1"/>
  <c r="P236" i="21"/>
  <c r="O236" i="21"/>
  <c r="N236" i="21"/>
  <c r="M236" i="21"/>
  <c r="L236" i="21"/>
  <c r="J236" i="21"/>
  <c r="K236" i="21" s="1"/>
  <c r="P235" i="21"/>
  <c r="O235" i="21"/>
  <c r="M235" i="21"/>
  <c r="L235" i="21"/>
  <c r="K235" i="21"/>
  <c r="J235" i="21"/>
  <c r="N235" i="21" s="1"/>
  <c r="P234" i="21"/>
  <c r="O234" i="21"/>
  <c r="N234" i="21"/>
  <c r="M234" i="21"/>
  <c r="L234" i="21"/>
  <c r="J234" i="21"/>
  <c r="K234" i="21" s="1"/>
  <c r="P233" i="21"/>
  <c r="O233" i="21"/>
  <c r="N233" i="21"/>
  <c r="M233" i="21"/>
  <c r="L233" i="21"/>
  <c r="J233" i="21"/>
  <c r="K233" i="21" s="1"/>
  <c r="P232" i="21"/>
  <c r="O232" i="21"/>
  <c r="N232" i="21"/>
  <c r="M232" i="21"/>
  <c r="L232" i="21"/>
  <c r="J232" i="21"/>
  <c r="K232" i="21" s="1"/>
  <c r="P231" i="21"/>
  <c r="O231" i="21"/>
  <c r="N231" i="21"/>
  <c r="M231" i="21"/>
  <c r="L231" i="21"/>
  <c r="K231" i="21"/>
  <c r="J231" i="21"/>
  <c r="P230" i="21"/>
  <c r="O230" i="21"/>
  <c r="N230" i="21"/>
  <c r="M230" i="21"/>
  <c r="L230" i="21"/>
  <c r="K230" i="21"/>
  <c r="J230" i="21"/>
  <c r="P229" i="21"/>
  <c r="O229" i="21"/>
  <c r="N229" i="21"/>
  <c r="M229" i="21"/>
  <c r="L229" i="21"/>
  <c r="K229" i="21"/>
  <c r="J229" i="21"/>
  <c r="P228" i="21"/>
  <c r="O228" i="21"/>
  <c r="M228" i="21"/>
  <c r="L228" i="21"/>
  <c r="K228" i="21"/>
  <c r="J228" i="21"/>
  <c r="N228" i="21" s="1"/>
  <c r="P227" i="21"/>
  <c r="O227" i="21"/>
  <c r="M227" i="21"/>
  <c r="L227" i="21"/>
  <c r="J227" i="21"/>
  <c r="K227" i="21" s="1"/>
  <c r="P226" i="21"/>
  <c r="O226" i="21"/>
  <c r="N226" i="21"/>
  <c r="M226" i="21"/>
  <c r="L226" i="21"/>
  <c r="J226" i="21"/>
  <c r="K226" i="21" s="1"/>
  <c r="P225" i="21"/>
  <c r="O225" i="21"/>
  <c r="N225" i="21"/>
  <c r="M225" i="21"/>
  <c r="L225" i="21"/>
  <c r="J225" i="21"/>
  <c r="K225" i="21" s="1"/>
  <c r="P224" i="21"/>
  <c r="O224" i="21"/>
  <c r="N224" i="21"/>
  <c r="M224" i="21"/>
  <c r="L224" i="21"/>
  <c r="J224" i="21"/>
  <c r="K224" i="21" s="1"/>
  <c r="P223" i="21"/>
  <c r="O223" i="21"/>
  <c r="M223" i="21"/>
  <c r="L223" i="21"/>
  <c r="K223" i="21"/>
  <c r="J223" i="21"/>
  <c r="N223" i="21" s="1"/>
  <c r="P222" i="21"/>
  <c r="O222" i="21"/>
  <c r="N222" i="21"/>
  <c r="M222" i="21"/>
  <c r="L222" i="21"/>
  <c r="J222" i="21"/>
  <c r="K222" i="21" s="1"/>
  <c r="P221" i="21"/>
  <c r="O221" i="21"/>
  <c r="N221" i="21"/>
  <c r="M221" i="21"/>
  <c r="L221" i="21"/>
  <c r="J221" i="21"/>
  <c r="K221" i="21" s="1"/>
  <c r="P220" i="21"/>
  <c r="O220" i="21"/>
  <c r="N220" i="21"/>
  <c r="M220" i="21"/>
  <c r="L220" i="21"/>
  <c r="K220" i="21"/>
  <c r="J220" i="21"/>
  <c r="P219" i="21"/>
  <c r="O219" i="21"/>
  <c r="N219" i="21"/>
  <c r="M219" i="21"/>
  <c r="L219" i="21"/>
  <c r="K219" i="21"/>
  <c r="J219" i="21"/>
  <c r="P218" i="21"/>
  <c r="O218" i="21"/>
  <c r="N218" i="21"/>
  <c r="M218" i="21"/>
  <c r="L218" i="21"/>
  <c r="K218" i="21"/>
  <c r="J218" i="21"/>
  <c r="P217" i="21"/>
  <c r="O217" i="21"/>
  <c r="N217" i="21"/>
  <c r="M217" i="21"/>
  <c r="L217" i="21"/>
  <c r="K217" i="21"/>
  <c r="J217" i="21"/>
  <c r="P216" i="21"/>
  <c r="O216" i="21"/>
  <c r="M216" i="21"/>
  <c r="L216" i="21"/>
  <c r="K216" i="21"/>
  <c r="J216" i="21"/>
  <c r="N216" i="21" s="1"/>
  <c r="P215" i="21"/>
  <c r="O215" i="21"/>
  <c r="N215" i="21"/>
  <c r="M215" i="21"/>
  <c r="L215" i="21"/>
  <c r="J215" i="21"/>
  <c r="K215" i="21" s="1"/>
  <c r="P214" i="21"/>
  <c r="O214" i="21"/>
  <c r="N214" i="21"/>
  <c r="M214" i="21"/>
  <c r="L214" i="21"/>
  <c r="J214" i="21"/>
  <c r="K214" i="21" s="1"/>
  <c r="P213" i="21"/>
  <c r="O213" i="21"/>
  <c r="N213" i="21"/>
  <c r="M213" i="21"/>
  <c r="L213" i="21"/>
  <c r="J213" i="21"/>
  <c r="K213" i="21" s="1"/>
  <c r="P212" i="21"/>
  <c r="O212" i="21"/>
  <c r="M212" i="21"/>
  <c r="L212" i="21"/>
  <c r="K212" i="21"/>
  <c r="J212" i="21"/>
  <c r="N212" i="21" s="1"/>
  <c r="P211" i="21"/>
  <c r="O211" i="21"/>
  <c r="N211" i="21"/>
  <c r="M211" i="21"/>
  <c r="L211" i="21"/>
  <c r="J211" i="21"/>
  <c r="K211" i="21" s="1"/>
  <c r="P210" i="21"/>
  <c r="O210" i="21"/>
  <c r="N210" i="21"/>
  <c r="M210" i="21"/>
  <c r="L210" i="21"/>
  <c r="J210" i="21"/>
  <c r="K210" i="21" s="1"/>
  <c r="P209" i="21"/>
  <c r="O209" i="21"/>
  <c r="N209" i="21"/>
  <c r="M209" i="21"/>
  <c r="L209" i="21"/>
  <c r="J209" i="21"/>
  <c r="K209" i="21" s="1"/>
  <c r="O208" i="21"/>
  <c r="N208" i="21"/>
  <c r="M208" i="21"/>
  <c r="L208" i="21"/>
  <c r="K208" i="21"/>
  <c r="J208" i="21"/>
  <c r="P208" i="21" s="1"/>
  <c r="P207" i="21"/>
  <c r="O207" i="21"/>
  <c r="N207" i="21"/>
  <c r="M207" i="21"/>
  <c r="L207" i="21"/>
  <c r="J207" i="21"/>
  <c r="K207" i="21" s="1"/>
  <c r="P206" i="21"/>
  <c r="O206" i="21"/>
  <c r="N206" i="21"/>
  <c r="M206" i="21"/>
  <c r="L206" i="21"/>
  <c r="J206" i="21"/>
  <c r="K206" i="21" s="1"/>
  <c r="P205" i="21"/>
  <c r="O205" i="21"/>
  <c r="N205" i="21"/>
  <c r="M205" i="21"/>
  <c r="L205" i="21"/>
  <c r="J205" i="21"/>
  <c r="K205" i="21" s="1"/>
  <c r="O204" i="21"/>
  <c r="N204" i="21"/>
  <c r="M204" i="21"/>
  <c r="L204" i="21"/>
  <c r="K204" i="21"/>
  <c r="J204" i="21"/>
  <c r="P204" i="21" s="1"/>
  <c r="P203" i="21"/>
  <c r="O203" i="21"/>
  <c r="N203" i="21"/>
  <c r="M203" i="21"/>
  <c r="L203" i="21"/>
  <c r="J203" i="21"/>
  <c r="K203" i="21" s="1"/>
  <c r="P202" i="21"/>
  <c r="O202" i="21"/>
  <c r="N202" i="21"/>
  <c r="M202" i="21"/>
  <c r="L202" i="21"/>
  <c r="J202" i="21"/>
  <c r="K202" i="21" s="1"/>
  <c r="P201" i="21"/>
  <c r="O201" i="21"/>
  <c r="N201" i="21"/>
  <c r="M201" i="21"/>
  <c r="L201" i="21"/>
  <c r="J201" i="21"/>
  <c r="K201" i="21" s="1"/>
  <c r="O200" i="21"/>
  <c r="N200" i="21"/>
  <c r="M200" i="21"/>
  <c r="L200" i="21"/>
  <c r="K200" i="21"/>
  <c r="J200" i="21"/>
  <c r="P200" i="21" s="1"/>
  <c r="P199" i="21"/>
  <c r="O199" i="21"/>
  <c r="N199" i="21"/>
  <c r="M199" i="21"/>
  <c r="L199" i="21"/>
  <c r="J199" i="21"/>
  <c r="K199" i="21" s="1"/>
  <c r="P198" i="21"/>
  <c r="O198" i="21"/>
  <c r="N198" i="21"/>
  <c r="M198" i="21"/>
  <c r="L198" i="21"/>
  <c r="J198" i="21"/>
  <c r="K198" i="21" s="1"/>
  <c r="P197" i="21"/>
  <c r="O197" i="21"/>
  <c r="N197" i="21"/>
  <c r="M197" i="21"/>
  <c r="L197" i="21"/>
  <c r="K197" i="21"/>
  <c r="J197" i="21"/>
  <c r="P196" i="21"/>
  <c r="O196" i="21"/>
  <c r="N196" i="21"/>
  <c r="M196" i="21"/>
  <c r="L196" i="21"/>
  <c r="K196" i="21"/>
  <c r="J196" i="21"/>
  <c r="P195" i="21"/>
  <c r="O195" i="21"/>
  <c r="N195" i="21"/>
  <c r="M195" i="21"/>
  <c r="L195" i="21"/>
  <c r="K195" i="21"/>
  <c r="J195" i="21"/>
  <c r="P194" i="21"/>
  <c r="O194" i="21"/>
  <c r="N194" i="21"/>
  <c r="M194" i="21"/>
  <c r="L194" i="21"/>
  <c r="K194" i="21"/>
  <c r="J194" i="21"/>
  <c r="P193" i="21"/>
  <c r="O193" i="21"/>
  <c r="M193" i="21"/>
  <c r="L193" i="21"/>
  <c r="K193" i="21"/>
  <c r="J193" i="21"/>
  <c r="N193" i="21" s="1"/>
  <c r="P192" i="21"/>
  <c r="O192" i="21"/>
  <c r="N192" i="21"/>
  <c r="M192" i="21"/>
  <c r="L192" i="21"/>
  <c r="J192" i="21"/>
  <c r="K192" i="21" s="1"/>
  <c r="P191" i="21"/>
  <c r="O191" i="21"/>
  <c r="N191" i="21"/>
  <c r="M191" i="21"/>
  <c r="L191" i="21"/>
  <c r="J191" i="21"/>
  <c r="K191" i="21" s="1"/>
  <c r="P190" i="21"/>
  <c r="O190" i="21"/>
  <c r="N190" i="21"/>
  <c r="M190" i="21"/>
  <c r="L190" i="21"/>
  <c r="J190" i="21"/>
  <c r="K190" i="21" s="1"/>
  <c r="P189" i="21"/>
  <c r="O189" i="21"/>
  <c r="M189" i="21"/>
  <c r="L189" i="21"/>
  <c r="K189" i="21"/>
  <c r="J189" i="21"/>
  <c r="N189" i="21" s="1"/>
  <c r="P188" i="21"/>
  <c r="O188" i="21"/>
  <c r="N188" i="21"/>
  <c r="M188" i="21"/>
  <c r="L188" i="21"/>
  <c r="J188" i="21"/>
  <c r="K188" i="21" s="1"/>
  <c r="P187" i="21"/>
  <c r="O187" i="21"/>
  <c r="N187" i="21"/>
  <c r="M187" i="21"/>
  <c r="L187" i="21"/>
  <c r="J187" i="21"/>
  <c r="K187" i="21" s="1"/>
  <c r="P186" i="21"/>
  <c r="N186" i="21"/>
  <c r="M186" i="21"/>
  <c r="L186" i="21"/>
  <c r="K186" i="21"/>
  <c r="J186" i="21"/>
  <c r="O186" i="21" s="1"/>
  <c r="P185" i="21"/>
  <c r="O185" i="21"/>
  <c r="N185" i="21"/>
  <c r="M185" i="21"/>
  <c r="L185" i="21"/>
  <c r="J185" i="21"/>
  <c r="K185" i="21" s="1"/>
  <c r="P184" i="21"/>
  <c r="O184" i="21"/>
  <c r="N184" i="21"/>
  <c r="M184" i="21"/>
  <c r="L184" i="21"/>
  <c r="J184" i="21"/>
  <c r="K184" i="21" s="1"/>
  <c r="P183" i="21"/>
  <c r="O183" i="21"/>
  <c r="N183" i="21"/>
  <c r="M183" i="21"/>
  <c r="L183" i="21"/>
  <c r="J183" i="21"/>
  <c r="K183" i="21" s="1"/>
  <c r="P182" i="21"/>
  <c r="N182" i="21"/>
  <c r="M182" i="21"/>
  <c r="L182" i="21"/>
  <c r="K182" i="21"/>
  <c r="J182" i="21"/>
  <c r="O182" i="21" s="1"/>
  <c r="P181" i="21"/>
  <c r="O181" i="21"/>
  <c r="N181" i="21"/>
  <c r="M181" i="21"/>
  <c r="L181" i="21"/>
  <c r="J181" i="21"/>
  <c r="K181" i="21" s="1"/>
  <c r="P180" i="21"/>
  <c r="O180" i="21"/>
  <c r="N180" i="21"/>
  <c r="M180" i="21"/>
  <c r="L180" i="21"/>
  <c r="J180" i="21"/>
  <c r="K180" i="21" s="1"/>
  <c r="P179" i="21"/>
  <c r="O179" i="21"/>
  <c r="N179" i="21"/>
  <c r="M179" i="21"/>
  <c r="L179" i="21"/>
  <c r="J179" i="21"/>
  <c r="K179" i="21" s="1"/>
  <c r="P178" i="21"/>
  <c r="N178" i="21"/>
  <c r="M178" i="21"/>
  <c r="L178" i="21"/>
  <c r="K178" i="21"/>
  <c r="J178" i="21"/>
  <c r="O178" i="21" s="1"/>
  <c r="P177" i="21"/>
  <c r="O177" i="21"/>
  <c r="N177" i="21"/>
  <c r="M177" i="21"/>
  <c r="L177" i="21"/>
  <c r="J177" i="21"/>
  <c r="K177" i="21" s="1"/>
  <c r="P176" i="21"/>
  <c r="O176" i="21"/>
  <c r="N176" i="21"/>
  <c r="M176" i="21"/>
  <c r="L176" i="21"/>
  <c r="J176" i="21"/>
  <c r="K176" i="21" s="1"/>
  <c r="P175" i="21"/>
  <c r="O175" i="21"/>
  <c r="N175" i="21"/>
  <c r="M175" i="21"/>
  <c r="L175" i="21"/>
  <c r="J175" i="21"/>
  <c r="K175" i="21" s="1"/>
  <c r="P174" i="21"/>
  <c r="O174" i="21"/>
  <c r="M174" i="21"/>
  <c r="L174" i="21"/>
  <c r="K174" i="21"/>
  <c r="J174" i="21"/>
  <c r="N174" i="21" s="1"/>
  <c r="P173" i="21"/>
  <c r="O173" i="21"/>
  <c r="N173" i="21"/>
  <c r="M173" i="21"/>
  <c r="L173" i="21"/>
  <c r="J173" i="21"/>
  <c r="K173" i="21" s="1"/>
  <c r="P172" i="21"/>
  <c r="O172" i="21"/>
  <c r="N172" i="21"/>
  <c r="M172" i="21"/>
  <c r="L172" i="21"/>
  <c r="J172" i="21"/>
  <c r="K172" i="21" s="1"/>
  <c r="P171" i="21"/>
  <c r="O171" i="21"/>
  <c r="N171" i="21"/>
  <c r="M171" i="21"/>
  <c r="L171" i="21"/>
  <c r="J171" i="21"/>
  <c r="K171" i="21" s="1"/>
  <c r="P169" i="21"/>
  <c r="O169" i="21"/>
  <c r="M169" i="21"/>
  <c r="L169" i="21"/>
  <c r="K169" i="21"/>
  <c r="J169" i="21"/>
  <c r="N169" i="21" s="1"/>
  <c r="P168" i="21"/>
  <c r="O168" i="21"/>
  <c r="M168" i="21"/>
  <c r="L168" i="21"/>
  <c r="K168" i="21"/>
  <c r="J168" i="21"/>
  <c r="N168" i="21" s="1"/>
  <c r="P166" i="21"/>
  <c r="O166" i="21"/>
  <c r="N166" i="21"/>
  <c r="M166" i="21"/>
  <c r="L166" i="21"/>
  <c r="J166" i="21"/>
  <c r="K166" i="21" s="1"/>
  <c r="P165" i="21"/>
  <c r="O165" i="21"/>
  <c r="N165" i="21"/>
  <c r="M165" i="21"/>
  <c r="L165" i="21"/>
  <c r="J165" i="21"/>
  <c r="K165" i="21" s="1"/>
  <c r="P164" i="21"/>
  <c r="O164" i="21"/>
  <c r="M164" i="21"/>
  <c r="L164" i="21"/>
  <c r="K164" i="21"/>
  <c r="J164" i="21"/>
  <c r="N164" i="21" s="1"/>
  <c r="P163" i="21"/>
  <c r="O163" i="21"/>
  <c r="N163" i="21"/>
  <c r="M163" i="21"/>
  <c r="L163" i="21"/>
  <c r="J163" i="21"/>
  <c r="K163" i="21" s="1"/>
  <c r="P162" i="21"/>
  <c r="O162" i="21"/>
  <c r="N162" i="21"/>
  <c r="M162" i="21"/>
  <c r="L162" i="21"/>
  <c r="J162" i="21"/>
  <c r="K162" i="21" s="1"/>
  <c r="P161" i="21"/>
  <c r="O161" i="21"/>
  <c r="N161" i="21"/>
  <c r="M161" i="21"/>
  <c r="L161" i="21"/>
  <c r="J161" i="21"/>
  <c r="K161" i="21" s="1"/>
  <c r="P148" i="21"/>
  <c r="O148" i="21"/>
  <c r="M148" i="21"/>
  <c r="L148" i="21"/>
  <c r="K148" i="21"/>
  <c r="J148" i="21"/>
  <c r="N148" i="21" s="1"/>
  <c r="P147" i="21"/>
  <c r="O147" i="21"/>
  <c r="N147" i="21"/>
  <c r="M147" i="21"/>
  <c r="L147" i="21"/>
  <c r="J147" i="21"/>
  <c r="K147" i="21" s="1"/>
  <c r="P146" i="21"/>
  <c r="O146" i="21"/>
  <c r="N146" i="21"/>
  <c r="M146" i="21"/>
  <c r="L146" i="21"/>
  <c r="J146" i="21"/>
  <c r="K146" i="21" s="1"/>
  <c r="P145" i="21"/>
  <c r="O145" i="21"/>
  <c r="N145" i="21"/>
  <c r="M145" i="21"/>
  <c r="L145" i="21"/>
  <c r="J145" i="21"/>
  <c r="K145" i="21" s="1"/>
  <c r="P144" i="21"/>
  <c r="O144" i="21"/>
  <c r="M144" i="21"/>
  <c r="L144" i="21"/>
  <c r="K144" i="21"/>
  <c r="J144" i="21"/>
  <c r="N144" i="21" s="1"/>
  <c r="P143" i="21"/>
  <c r="O143" i="21"/>
  <c r="N143" i="21"/>
  <c r="M143" i="21"/>
  <c r="L143" i="21"/>
  <c r="J143" i="21"/>
  <c r="K143" i="21" s="1"/>
  <c r="P142" i="21"/>
  <c r="O142" i="21"/>
  <c r="N142" i="21"/>
  <c r="M142" i="21"/>
  <c r="L142" i="21"/>
  <c r="J142" i="21"/>
  <c r="K142" i="21" s="1"/>
  <c r="P141" i="21"/>
  <c r="O141" i="21"/>
  <c r="N141" i="21"/>
  <c r="M141" i="21"/>
  <c r="L141" i="21"/>
  <c r="J141" i="21"/>
  <c r="K141" i="21" s="1"/>
  <c r="P140" i="21"/>
  <c r="O140" i="21"/>
  <c r="M140" i="21"/>
  <c r="L140" i="21"/>
  <c r="K140" i="21"/>
  <c r="J140" i="21"/>
  <c r="N140" i="21" s="1"/>
  <c r="P139" i="21"/>
  <c r="O139" i="21"/>
  <c r="N139" i="21"/>
  <c r="M139" i="21"/>
  <c r="L139" i="21"/>
  <c r="J139" i="21"/>
  <c r="K139" i="21" s="1"/>
  <c r="P138" i="21"/>
  <c r="O138" i="21"/>
  <c r="N138" i="21"/>
  <c r="M138" i="21"/>
  <c r="L138" i="21"/>
  <c r="J138" i="21"/>
  <c r="K138" i="21" s="1"/>
  <c r="P136" i="21"/>
  <c r="O136" i="21"/>
  <c r="N136" i="21"/>
  <c r="M136" i="21"/>
  <c r="L136" i="21"/>
  <c r="K136" i="21"/>
  <c r="J136" i="21"/>
  <c r="P135" i="21"/>
  <c r="O135" i="21"/>
  <c r="N135" i="21"/>
  <c r="M135" i="21"/>
  <c r="L135" i="21"/>
  <c r="K135" i="21"/>
  <c r="J135" i="21"/>
  <c r="P134" i="21"/>
  <c r="O134" i="21"/>
  <c r="N134" i="21"/>
  <c r="M134" i="21"/>
  <c r="L134" i="21"/>
  <c r="K134" i="21"/>
  <c r="J134" i="21"/>
  <c r="P133" i="21"/>
  <c r="O133" i="21"/>
  <c r="N133" i="21"/>
  <c r="M133" i="21"/>
  <c r="L133" i="21"/>
  <c r="K133" i="21"/>
  <c r="J133" i="21"/>
  <c r="O132" i="21"/>
  <c r="N132" i="21"/>
  <c r="M132" i="21"/>
  <c r="L132" i="21"/>
  <c r="K132" i="21"/>
  <c r="J132" i="21"/>
  <c r="P132" i="21" s="1"/>
  <c r="P131" i="21"/>
  <c r="O131" i="21"/>
  <c r="N131" i="21"/>
  <c r="M131" i="21"/>
  <c r="L131" i="21"/>
  <c r="J131" i="21"/>
  <c r="K131" i="21" s="1"/>
  <c r="P130" i="21"/>
  <c r="O130" i="21"/>
  <c r="N130" i="21"/>
  <c r="M130" i="21"/>
  <c r="L130" i="21"/>
  <c r="J130" i="21"/>
  <c r="K130" i="21" s="1"/>
  <c r="P129" i="21"/>
  <c r="O129" i="21"/>
  <c r="N129" i="21"/>
  <c r="M129" i="21"/>
  <c r="L129" i="21"/>
  <c r="J129" i="21"/>
  <c r="K129" i="21" s="1"/>
  <c r="O128" i="21"/>
  <c r="N128" i="21"/>
  <c r="M128" i="21"/>
  <c r="L128" i="21"/>
  <c r="K128" i="21"/>
  <c r="J128" i="21"/>
  <c r="P128" i="21" s="1"/>
  <c r="P127" i="21"/>
  <c r="O127" i="21"/>
  <c r="N127" i="21"/>
  <c r="M127" i="21"/>
  <c r="L127" i="21"/>
  <c r="J127" i="21"/>
  <c r="K127" i="21" s="1"/>
  <c r="P126" i="21"/>
  <c r="O126" i="21"/>
  <c r="N126" i="21"/>
  <c r="M126" i="21"/>
  <c r="L126" i="21"/>
  <c r="J126" i="21"/>
  <c r="K126" i="21" s="1"/>
  <c r="P125" i="21"/>
  <c r="O125" i="21"/>
  <c r="N125" i="21"/>
  <c r="M125" i="21"/>
  <c r="L125" i="21"/>
  <c r="J125" i="21"/>
  <c r="K125" i="21" s="1"/>
  <c r="P124" i="21"/>
  <c r="O124" i="21"/>
  <c r="N124" i="21"/>
  <c r="M124" i="21"/>
  <c r="L124" i="21"/>
  <c r="K124" i="21"/>
  <c r="J124" i="21"/>
  <c r="P123" i="21"/>
  <c r="O123" i="21"/>
  <c r="N123" i="21"/>
  <c r="M123" i="21"/>
  <c r="L123" i="21"/>
  <c r="K123" i="21"/>
  <c r="J123" i="21"/>
  <c r="P122" i="21"/>
  <c r="O122" i="21"/>
  <c r="N122" i="21"/>
  <c r="M122" i="21"/>
  <c r="L122" i="21"/>
  <c r="K122" i="21"/>
  <c r="J122" i="21"/>
  <c r="P121" i="21"/>
  <c r="O121" i="21"/>
  <c r="N121" i="21"/>
  <c r="M121" i="21"/>
  <c r="L121" i="21"/>
  <c r="K121" i="21"/>
  <c r="J121" i="21"/>
  <c r="O120" i="21"/>
  <c r="N120" i="21"/>
  <c r="M120" i="21"/>
  <c r="L120" i="21"/>
  <c r="K120" i="21"/>
  <c r="J120" i="21"/>
  <c r="P120" i="21" s="1"/>
  <c r="P119" i="21"/>
  <c r="O119" i="21"/>
  <c r="N119" i="21"/>
  <c r="M119" i="21"/>
  <c r="L119" i="21"/>
  <c r="J119" i="21"/>
  <c r="K119" i="21" s="1"/>
  <c r="P118" i="21"/>
  <c r="O118" i="21"/>
  <c r="N118" i="21"/>
  <c r="M118" i="21"/>
  <c r="L118" i="21"/>
  <c r="J118" i="21"/>
  <c r="K118" i="21" s="1"/>
  <c r="P117" i="21"/>
  <c r="O117" i="21"/>
  <c r="N117" i="21"/>
  <c r="M117" i="21"/>
  <c r="L117" i="21"/>
  <c r="J117" i="21"/>
  <c r="K117" i="21" s="1"/>
  <c r="O116" i="21"/>
  <c r="N116" i="21"/>
  <c r="M116" i="21"/>
  <c r="L116" i="21"/>
  <c r="K116" i="21"/>
  <c r="J116" i="21"/>
  <c r="P116" i="21" s="1"/>
  <c r="P115" i="21"/>
  <c r="O115" i="21"/>
  <c r="N115" i="21"/>
  <c r="M115" i="21"/>
  <c r="L115" i="21"/>
  <c r="J115" i="21"/>
  <c r="K115" i="21" s="1"/>
  <c r="P114" i="21"/>
  <c r="O114" i="21"/>
  <c r="N114" i="21"/>
  <c r="M114" i="21"/>
  <c r="L114" i="21"/>
  <c r="J114" i="21"/>
  <c r="K114" i="21" s="1"/>
  <c r="P113" i="21"/>
  <c r="O113" i="21"/>
  <c r="N113" i="21"/>
  <c r="M113" i="21"/>
  <c r="L113" i="21"/>
  <c r="J113" i="21"/>
  <c r="K113" i="21" s="1"/>
  <c r="P684" i="21"/>
  <c r="O684" i="21"/>
  <c r="M684" i="21"/>
  <c r="L684" i="21"/>
  <c r="K684" i="21"/>
  <c r="J684" i="21"/>
  <c r="N684" i="21" s="1"/>
  <c r="P683" i="21"/>
  <c r="O683" i="21"/>
  <c r="N683" i="21"/>
  <c r="M683" i="21"/>
  <c r="L683" i="21"/>
  <c r="J683" i="21"/>
  <c r="K683" i="21" s="1"/>
  <c r="P682" i="21"/>
  <c r="O682" i="21"/>
  <c r="N682" i="21"/>
  <c r="M682" i="21"/>
  <c r="L682" i="21"/>
  <c r="J682" i="21"/>
  <c r="K682" i="21" s="1"/>
  <c r="P681" i="21"/>
  <c r="O681" i="21"/>
  <c r="N681" i="21"/>
  <c r="M681" i="21"/>
  <c r="L681" i="21"/>
  <c r="J681" i="21"/>
  <c r="K681" i="21" s="1"/>
  <c r="P680" i="21"/>
  <c r="O680" i="21"/>
  <c r="M680" i="21"/>
  <c r="L680" i="21"/>
  <c r="K680" i="21"/>
  <c r="J680" i="21"/>
  <c r="N680" i="21" s="1"/>
  <c r="P679" i="21"/>
  <c r="O679" i="21"/>
  <c r="M679" i="21"/>
  <c r="L679" i="21"/>
  <c r="K679" i="21"/>
  <c r="J679" i="21"/>
  <c r="N679" i="21" s="1"/>
  <c r="P676" i="21"/>
  <c r="O676" i="21"/>
  <c r="N676" i="21"/>
  <c r="M676" i="21"/>
  <c r="L676" i="21"/>
  <c r="J676" i="21"/>
  <c r="K676" i="21" s="1"/>
  <c r="P675" i="21"/>
  <c r="O675" i="21"/>
  <c r="N675" i="21"/>
  <c r="M675" i="21"/>
  <c r="L675" i="21"/>
  <c r="J675" i="21"/>
  <c r="K675" i="21" s="1"/>
  <c r="P674" i="21"/>
  <c r="O674" i="21"/>
  <c r="M674" i="21"/>
  <c r="L674" i="21"/>
  <c r="K674" i="21"/>
  <c r="J674" i="21"/>
  <c r="N674" i="21" s="1"/>
  <c r="P673" i="21"/>
  <c r="O673" i="21"/>
  <c r="N673" i="21"/>
  <c r="M673" i="21"/>
  <c r="L673" i="21"/>
  <c r="J673" i="21"/>
  <c r="K673" i="21" s="1"/>
  <c r="P672" i="21"/>
  <c r="O672" i="21"/>
  <c r="N672" i="21"/>
  <c r="M672" i="21"/>
  <c r="L672" i="21"/>
  <c r="J672" i="21"/>
  <c r="K672" i="21" s="1"/>
  <c r="P671" i="21"/>
  <c r="O671" i="21"/>
  <c r="N671" i="21"/>
  <c r="M671" i="21"/>
  <c r="L671" i="21"/>
  <c r="J671" i="21"/>
  <c r="K671" i="21" s="1"/>
  <c r="P670" i="21"/>
  <c r="O670" i="21"/>
  <c r="M670" i="21"/>
  <c r="L670" i="21"/>
  <c r="K670" i="21"/>
  <c r="J670" i="21"/>
  <c r="N670" i="21" s="1"/>
  <c r="P669" i="21"/>
  <c r="O669" i="21"/>
  <c r="N669" i="21"/>
  <c r="M669" i="21"/>
  <c r="L669" i="21"/>
  <c r="J669" i="21"/>
  <c r="K669" i="21" s="1"/>
  <c r="P668" i="21"/>
  <c r="O668" i="21"/>
  <c r="N668" i="21"/>
  <c r="M668" i="21"/>
  <c r="L668" i="21"/>
  <c r="J668" i="21"/>
  <c r="K668" i="21" s="1"/>
  <c r="P667" i="21"/>
  <c r="O667" i="21"/>
  <c r="N667" i="21"/>
  <c r="M667" i="21"/>
  <c r="L667" i="21"/>
  <c r="J667" i="21"/>
  <c r="K667" i="21" s="1"/>
  <c r="P666" i="21"/>
  <c r="O666" i="21"/>
  <c r="M666" i="21"/>
  <c r="L666" i="21"/>
  <c r="K666" i="21"/>
  <c r="J666" i="21"/>
  <c r="N666" i="21" s="1"/>
  <c r="P663" i="21"/>
  <c r="O663" i="21"/>
  <c r="N663" i="21"/>
  <c r="M663" i="21"/>
  <c r="L663" i="21"/>
  <c r="J663" i="21"/>
  <c r="K663" i="21" s="1"/>
  <c r="P662" i="21"/>
  <c r="O662" i="21"/>
  <c r="N662" i="21"/>
  <c r="M662" i="21"/>
  <c r="L662" i="21"/>
  <c r="J662" i="21"/>
  <c r="K662" i="21" s="1"/>
  <c r="P661" i="21"/>
  <c r="O661" i="21"/>
  <c r="N661" i="21"/>
  <c r="M661" i="21"/>
  <c r="L661" i="21"/>
  <c r="J661" i="21"/>
  <c r="K661" i="21" s="1"/>
  <c r="P660" i="21"/>
  <c r="O660" i="21"/>
  <c r="M660" i="21"/>
  <c r="L660" i="21"/>
  <c r="K660" i="21"/>
  <c r="J660" i="21"/>
  <c r="N660" i="21" s="1"/>
  <c r="P659" i="21"/>
  <c r="O659" i="21"/>
  <c r="N659" i="21"/>
  <c r="M659" i="21"/>
  <c r="L659" i="21"/>
  <c r="J659" i="21"/>
  <c r="K659" i="21" s="1"/>
  <c r="P658" i="21"/>
  <c r="O658" i="21"/>
  <c r="N658" i="21"/>
  <c r="M658" i="21"/>
  <c r="L658" i="21"/>
  <c r="J658" i="21"/>
  <c r="K658" i="21" s="1"/>
  <c r="P657" i="21"/>
  <c r="O657" i="21"/>
  <c r="N657" i="21"/>
  <c r="M657" i="21"/>
  <c r="L657" i="21"/>
  <c r="J657" i="21"/>
  <c r="K657" i="21" s="1"/>
  <c r="O656" i="21"/>
  <c r="N656" i="21"/>
  <c r="M656" i="21"/>
  <c r="L656" i="21"/>
  <c r="K656" i="21"/>
  <c r="J656" i="21"/>
  <c r="P656" i="21" s="1"/>
  <c r="P655" i="21"/>
  <c r="O655" i="21"/>
  <c r="N655" i="21"/>
  <c r="M655" i="21"/>
  <c r="L655" i="21"/>
  <c r="J655" i="21"/>
  <c r="K655" i="21" s="1"/>
  <c r="P654" i="21"/>
  <c r="O654" i="21"/>
  <c r="N654" i="21"/>
  <c r="M654" i="21"/>
  <c r="L654" i="21"/>
  <c r="J654" i="21"/>
  <c r="K654" i="21" s="1"/>
  <c r="P653" i="21"/>
  <c r="O653" i="21"/>
  <c r="N653" i="21"/>
  <c r="M653" i="21"/>
  <c r="L653" i="21"/>
  <c r="J653" i="21"/>
  <c r="K653" i="21" s="1"/>
  <c r="O651" i="21"/>
  <c r="N651" i="21"/>
  <c r="M651" i="21"/>
  <c r="L651" i="21"/>
  <c r="K651" i="21"/>
  <c r="J651" i="21"/>
  <c r="P651" i="21" s="1"/>
  <c r="P648" i="21"/>
  <c r="O648" i="21"/>
  <c r="N648" i="21"/>
  <c r="M648" i="21"/>
  <c r="L648" i="21"/>
  <c r="J648" i="21"/>
  <c r="K648" i="21" s="1"/>
  <c r="P647" i="21"/>
  <c r="O647" i="21"/>
  <c r="N647" i="21"/>
  <c r="M647" i="21"/>
  <c r="L647" i="21"/>
  <c r="J647" i="21"/>
  <c r="K647" i="21" s="1"/>
  <c r="O646" i="21"/>
  <c r="N646" i="21"/>
  <c r="M646" i="21"/>
  <c r="L646" i="21"/>
  <c r="K646" i="21"/>
  <c r="J646" i="21"/>
  <c r="P646" i="21" s="1"/>
  <c r="P645" i="21"/>
  <c r="O645" i="21"/>
  <c r="N645" i="21"/>
  <c r="M645" i="21"/>
  <c r="L645" i="21"/>
  <c r="J645" i="21"/>
  <c r="K645" i="21" s="1"/>
  <c r="P644" i="21"/>
  <c r="O644" i="21"/>
  <c r="N644" i="21"/>
  <c r="M644" i="21"/>
  <c r="L644" i="21"/>
  <c r="J644" i="21"/>
  <c r="K644" i="21" s="1"/>
  <c r="P643" i="21"/>
  <c r="O643" i="21"/>
  <c r="N643" i="21"/>
  <c r="M643" i="21"/>
  <c r="L643" i="21"/>
  <c r="J643" i="21"/>
  <c r="K643" i="21" s="1"/>
  <c r="P642" i="21"/>
  <c r="O642" i="21"/>
  <c r="M642" i="21"/>
  <c r="L642" i="21"/>
  <c r="K642" i="21"/>
  <c r="J642" i="21"/>
  <c r="N642" i="21" s="1"/>
  <c r="P641" i="21"/>
  <c r="O641" i="21"/>
  <c r="N641" i="21"/>
  <c r="M641" i="21"/>
  <c r="L641" i="21"/>
  <c r="J641" i="21"/>
  <c r="K641" i="21" s="1"/>
  <c r="P640" i="21"/>
  <c r="O640" i="21"/>
  <c r="N640" i="21"/>
  <c r="M640" i="21"/>
  <c r="L640" i="21"/>
  <c r="J640" i="21"/>
  <c r="K640" i="21" s="1"/>
  <c r="P639" i="21"/>
  <c r="O639" i="21"/>
  <c r="N639" i="21"/>
  <c r="M639" i="21"/>
  <c r="L639" i="21"/>
  <c r="J639" i="21"/>
  <c r="K639" i="21" s="1"/>
  <c r="P638" i="21"/>
  <c r="O638" i="21"/>
  <c r="M638" i="21"/>
  <c r="L638" i="21"/>
  <c r="K638" i="21"/>
  <c r="J638" i="21"/>
  <c r="N638" i="21" s="1"/>
  <c r="P637" i="21"/>
  <c r="O637" i="21"/>
  <c r="N637" i="21"/>
  <c r="M637" i="21"/>
  <c r="L637" i="21"/>
  <c r="J637" i="21"/>
  <c r="K637" i="21" s="1"/>
  <c r="P636" i="21"/>
  <c r="O636" i="21"/>
  <c r="N636" i="21"/>
  <c r="M636" i="21"/>
  <c r="L636" i="21"/>
  <c r="J636" i="21"/>
  <c r="K636" i="21" s="1"/>
  <c r="P635" i="21"/>
  <c r="O635" i="21"/>
  <c r="N635" i="21"/>
  <c r="M635" i="21"/>
  <c r="L635" i="21"/>
  <c r="J635" i="21"/>
  <c r="K635" i="21" s="1"/>
  <c r="P634" i="21"/>
  <c r="O634" i="21"/>
  <c r="M634" i="21"/>
  <c r="L634" i="21"/>
  <c r="K634" i="21"/>
  <c r="J634" i="21"/>
  <c r="N634" i="21" s="1"/>
  <c r="P633" i="21"/>
  <c r="O633" i="21"/>
  <c r="N633" i="21"/>
  <c r="M633" i="21"/>
  <c r="L633" i="21"/>
  <c r="J633" i="21"/>
  <c r="K633" i="21" s="1"/>
  <c r="P632" i="21"/>
  <c r="O632" i="21"/>
  <c r="N632" i="21"/>
  <c r="M632" i="21"/>
  <c r="L632" i="21"/>
  <c r="J632" i="21"/>
  <c r="K632" i="21" s="1"/>
  <c r="P631" i="21"/>
  <c r="O631" i="21"/>
  <c r="M631" i="21"/>
  <c r="L631" i="21"/>
  <c r="K631" i="21"/>
  <c r="J631" i="21"/>
  <c r="N631" i="21" s="1"/>
  <c r="P630" i="21"/>
  <c r="O630" i="21"/>
  <c r="N630" i="21"/>
  <c r="M630" i="21"/>
  <c r="L630" i="21"/>
  <c r="J630" i="21"/>
  <c r="K630" i="21" s="1"/>
  <c r="P629" i="21"/>
  <c r="O629" i="21"/>
  <c r="N629" i="21"/>
  <c r="M629" i="21"/>
  <c r="L629" i="21"/>
  <c r="J629" i="21"/>
  <c r="K629" i="21" s="1"/>
  <c r="P628" i="21"/>
  <c r="O628" i="21"/>
  <c r="N628" i="21"/>
  <c r="M628" i="21"/>
  <c r="L628" i="21"/>
  <c r="J628" i="21"/>
  <c r="K628" i="21" s="1"/>
  <c r="P627" i="21"/>
  <c r="O627" i="21"/>
  <c r="M627" i="21"/>
  <c r="L627" i="21"/>
  <c r="K627" i="21"/>
  <c r="J627" i="21"/>
  <c r="N627" i="21" s="1"/>
  <c r="P626" i="21"/>
  <c r="O626" i="21"/>
  <c r="N626" i="21"/>
  <c r="M626" i="21"/>
  <c r="L626" i="21"/>
  <c r="J626" i="21"/>
  <c r="K626" i="21" s="1"/>
  <c r="P625" i="21"/>
  <c r="O625" i="21"/>
  <c r="N625" i="21"/>
  <c r="M625" i="21"/>
  <c r="L625" i="21"/>
  <c r="J625" i="21"/>
  <c r="K625" i="21" s="1"/>
  <c r="P624" i="21"/>
  <c r="O624" i="21"/>
  <c r="N624" i="21"/>
  <c r="M624" i="21"/>
  <c r="L624" i="21"/>
  <c r="J624" i="21"/>
  <c r="K624" i="21" s="1"/>
  <c r="P623" i="21"/>
  <c r="O623" i="21"/>
  <c r="M623" i="21"/>
  <c r="L623" i="21"/>
  <c r="K623" i="21"/>
  <c r="J623" i="21"/>
  <c r="N623" i="21" s="1"/>
  <c r="P622" i="21"/>
  <c r="O622" i="21"/>
  <c r="N622" i="21"/>
  <c r="M622" i="21"/>
  <c r="L622" i="21"/>
  <c r="J622" i="21"/>
  <c r="K622" i="21" s="1"/>
  <c r="P621" i="21"/>
  <c r="O621" i="21"/>
  <c r="N621" i="21"/>
  <c r="M621" i="21"/>
  <c r="L621" i="21"/>
  <c r="J621" i="21"/>
  <c r="K621" i="21" s="1"/>
  <c r="P620" i="21"/>
  <c r="O620" i="21"/>
  <c r="N620" i="21"/>
  <c r="M620" i="21"/>
  <c r="L620" i="21"/>
  <c r="J620" i="21"/>
  <c r="K620" i="21" s="1"/>
  <c r="P619" i="21"/>
  <c r="O619" i="21"/>
  <c r="M619" i="21"/>
  <c r="L619" i="21"/>
  <c r="K619" i="21"/>
  <c r="J619" i="21"/>
  <c r="N619" i="21" s="1"/>
  <c r="P618" i="21"/>
  <c r="O618" i="21"/>
  <c r="N618" i="21"/>
  <c r="M618" i="21"/>
  <c r="L618" i="21"/>
  <c r="J618" i="21"/>
  <c r="K618" i="21" s="1"/>
  <c r="P617" i="21"/>
  <c r="O617" i="21"/>
  <c r="N617" i="21"/>
  <c r="M617" i="21"/>
  <c r="L617" i="21"/>
  <c r="J617" i="21"/>
  <c r="K617" i="21" s="1"/>
  <c r="P616" i="21"/>
  <c r="O616" i="21"/>
  <c r="N616" i="21"/>
  <c r="M616" i="21"/>
  <c r="L616" i="21"/>
  <c r="J616" i="21"/>
  <c r="K616" i="21" s="1"/>
  <c r="P615" i="21"/>
  <c r="O615" i="21"/>
  <c r="M615" i="21"/>
  <c r="L615" i="21"/>
  <c r="K615" i="21"/>
  <c r="J615" i="21"/>
  <c r="N615" i="21" s="1"/>
  <c r="P614" i="21"/>
  <c r="O614" i="21"/>
  <c r="N614" i="21"/>
  <c r="M614" i="21"/>
  <c r="L614" i="21"/>
  <c r="J614" i="21"/>
  <c r="K614" i="21" s="1"/>
  <c r="P613" i="21"/>
  <c r="O613" i="21"/>
  <c r="N613" i="21"/>
  <c r="M613" i="21"/>
  <c r="L613" i="21"/>
  <c r="J613" i="21"/>
  <c r="K613" i="21" s="1"/>
  <c r="P612" i="21"/>
  <c r="O612" i="21"/>
  <c r="N612" i="21"/>
  <c r="M612" i="21"/>
  <c r="L612" i="21"/>
  <c r="J612" i="21"/>
  <c r="K612" i="21" s="1"/>
  <c r="P611" i="21"/>
  <c r="O611" i="21"/>
  <c r="M611" i="21"/>
  <c r="L611" i="21"/>
  <c r="K611" i="21"/>
  <c r="J611" i="21"/>
  <c r="N611" i="21" s="1"/>
  <c r="P610" i="21"/>
  <c r="O610" i="21"/>
  <c r="N610" i="21"/>
  <c r="M610" i="21"/>
  <c r="L610" i="21"/>
  <c r="J610" i="21"/>
  <c r="K610" i="21" s="1"/>
  <c r="P609" i="21"/>
  <c r="O609" i="21"/>
  <c r="N609" i="21"/>
  <c r="M609" i="21"/>
  <c r="L609" i="21"/>
  <c r="J609" i="21"/>
  <c r="K609" i="21" s="1"/>
  <c r="P608" i="21"/>
  <c r="O608" i="21"/>
  <c r="N608" i="21"/>
  <c r="M608" i="21"/>
  <c r="L608" i="21"/>
  <c r="J608" i="21"/>
  <c r="K608" i="21" s="1"/>
  <c r="P607" i="21"/>
  <c r="O607" i="21"/>
  <c r="M607" i="21"/>
  <c r="L607" i="21"/>
  <c r="K607" i="21"/>
  <c r="J607" i="21"/>
  <c r="N607" i="21" s="1"/>
  <c r="P606" i="21"/>
  <c r="O606" i="21"/>
  <c r="N606" i="21"/>
  <c r="M606" i="21"/>
  <c r="L606" i="21"/>
  <c r="J606" i="21"/>
  <c r="K606" i="21" s="1"/>
  <c r="P605" i="21"/>
  <c r="O605" i="21"/>
  <c r="N605" i="21"/>
  <c r="M605" i="21"/>
  <c r="L605" i="21"/>
  <c r="J605" i="21"/>
  <c r="K605" i="21" s="1"/>
  <c r="P604" i="21"/>
  <c r="O604" i="21"/>
  <c r="N604" i="21"/>
  <c r="M604" i="21"/>
  <c r="L604" i="21"/>
  <c r="J604" i="21"/>
  <c r="K604" i="21" s="1"/>
  <c r="O603" i="21"/>
  <c r="N603" i="21"/>
  <c r="M603" i="21"/>
  <c r="L603" i="21"/>
  <c r="K603" i="21"/>
  <c r="J603" i="21"/>
  <c r="P603" i="21" s="1"/>
  <c r="P602" i="21"/>
  <c r="O602" i="21"/>
  <c r="N602" i="21"/>
  <c r="M602" i="21"/>
  <c r="L602" i="21"/>
  <c r="J602" i="21"/>
  <c r="K602" i="21" s="1"/>
  <c r="P601" i="21"/>
  <c r="O601" i="21"/>
  <c r="N601" i="21"/>
  <c r="M601" i="21"/>
  <c r="L601" i="21"/>
  <c r="J601" i="21"/>
  <c r="K601" i="21" s="1"/>
  <c r="P600" i="21"/>
  <c r="O600" i="21"/>
  <c r="N600" i="21"/>
  <c r="M600" i="21"/>
  <c r="L600" i="21"/>
  <c r="J600" i="21"/>
  <c r="K600" i="21" s="1"/>
  <c r="O599" i="21"/>
  <c r="N599" i="21"/>
  <c r="M599" i="21"/>
  <c r="L599" i="21"/>
  <c r="K599" i="21"/>
  <c r="J599" i="21"/>
  <c r="P599" i="21" s="1"/>
  <c r="P598" i="21"/>
  <c r="O598" i="21"/>
  <c r="N598" i="21"/>
  <c r="M598" i="21"/>
  <c r="L598" i="21"/>
  <c r="J598" i="21"/>
  <c r="K598" i="21" s="1"/>
  <c r="P597" i="21"/>
  <c r="O597" i="21"/>
  <c r="N597" i="21"/>
  <c r="M597" i="21"/>
  <c r="L597" i="21"/>
  <c r="J597" i="21"/>
  <c r="K597" i="21" s="1"/>
  <c r="P596" i="21"/>
  <c r="O596" i="21"/>
  <c r="N596" i="21"/>
  <c r="M596" i="21"/>
  <c r="L596" i="21"/>
  <c r="J596" i="21"/>
  <c r="K596" i="21" s="1"/>
  <c r="O595" i="21"/>
  <c r="N595" i="21"/>
  <c r="M595" i="21"/>
  <c r="L595" i="21"/>
  <c r="K595" i="21"/>
  <c r="J595" i="21"/>
  <c r="P595" i="21" s="1"/>
  <c r="P594" i="21"/>
  <c r="O594" i="21"/>
  <c r="N594" i="21"/>
  <c r="M594" i="21"/>
  <c r="L594" i="21"/>
  <c r="J594" i="21"/>
  <c r="K594" i="21" s="1"/>
  <c r="P593" i="21"/>
  <c r="O593" i="21"/>
  <c r="N593" i="21"/>
  <c r="M593" i="21"/>
  <c r="L593" i="21"/>
  <c r="J593" i="21"/>
  <c r="K593" i="21" s="1"/>
  <c r="P592" i="21"/>
  <c r="O592" i="21"/>
  <c r="N592" i="21"/>
  <c r="M592" i="21"/>
  <c r="L592" i="21"/>
  <c r="J592" i="21"/>
  <c r="K592" i="21" s="1"/>
  <c r="P591" i="21"/>
  <c r="N591" i="21"/>
  <c r="M591" i="21"/>
  <c r="L591" i="21"/>
  <c r="K591" i="21"/>
  <c r="J591" i="21"/>
  <c r="O591" i="21" s="1"/>
  <c r="P590" i="21"/>
  <c r="O590" i="21"/>
  <c r="N590" i="21"/>
  <c r="M590" i="21"/>
  <c r="L590" i="21"/>
  <c r="J590" i="21"/>
  <c r="K590" i="21" s="1"/>
  <c r="P589" i="21"/>
  <c r="O589" i="21"/>
  <c r="N589" i="21"/>
  <c r="M589" i="21"/>
  <c r="L589" i="21"/>
  <c r="J589" i="21"/>
  <c r="K589" i="21" s="1"/>
  <c r="P588" i="21"/>
  <c r="N588" i="21"/>
  <c r="M588" i="21"/>
  <c r="L588" i="21"/>
  <c r="K588" i="21"/>
  <c r="J588" i="21"/>
  <c r="O588" i="21" s="1"/>
  <c r="P587" i="21"/>
  <c r="O587" i="21"/>
  <c r="N587" i="21"/>
  <c r="M587" i="21"/>
  <c r="L587" i="21"/>
  <c r="J587" i="21"/>
  <c r="K587" i="21" s="1"/>
  <c r="P586" i="21"/>
  <c r="O586" i="21"/>
  <c r="N586" i="21"/>
  <c r="M586" i="21"/>
  <c r="L586" i="21"/>
  <c r="J586" i="21"/>
  <c r="K586" i="21" s="1"/>
  <c r="O585" i="21"/>
  <c r="N585" i="21"/>
  <c r="M585" i="21"/>
  <c r="L585" i="21"/>
  <c r="K585" i="21"/>
  <c r="J585" i="21"/>
  <c r="P585" i="21" s="1"/>
  <c r="P584" i="21"/>
  <c r="O584" i="21"/>
  <c r="N584" i="21"/>
  <c r="M584" i="21"/>
  <c r="L584" i="21"/>
  <c r="J584" i="21"/>
  <c r="K584" i="21" s="1"/>
  <c r="P583" i="21"/>
  <c r="O583" i="21"/>
  <c r="N583" i="21"/>
  <c r="M583" i="21"/>
  <c r="L583" i="21"/>
  <c r="J583" i="21"/>
  <c r="K583" i="21" s="1"/>
  <c r="P582" i="21"/>
  <c r="O582" i="21"/>
  <c r="N582" i="21"/>
  <c r="M582" i="21"/>
  <c r="L582" i="21"/>
  <c r="J582" i="21"/>
  <c r="K582" i="21" s="1"/>
  <c r="O581" i="21"/>
  <c r="N581" i="21"/>
  <c r="M581" i="21"/>
  <c r="L581" i="21"/>
  <c r="K581" i="21"/>
  <c r="J581" i="21"/>
  <c r="P581" i="21" s="1"/>
  <c r="P580" i="21"/>
  <c r="O580" i="21"/>
  <c r="N580" i="21"/>
  <c r="M580" i="21"/>
  <c r="L580" i="21"/>
  <c r="J580" i="21"/>
  <c r="K580" i="21" s="1"/>
  <c r="P579" i="21"/>
  <c r="O579" i="21"/>
  <c r="N579" i="21"/>
  <c r="M579" i="21"/>
  <c r="L579" i="21"/>
  <c r="J579" i="21"/>
  <c r="K579" i="21" s="1"/>
  <c r="P578" i="21"/>
  <c r="O578" i="21"/>
  <c r="N578" i="21"/>
  <c r="M578" i="21"/>
  <c r="L578" i="21"/>
  <c r="J578" i="21"/>
  <c r="K578" i="21" s="1"/>
  <c r="P577" i="21"/>
  <c r="O577" i="21"/>
  <c r="M577" i="21"/>
  <c r="L577" i="21"/>
  <c r="K577" i="21"/>
  <c r="J577" i="21"/>
  <c r="N577" i="21" s="1"/>
  <c r="P576" i="21"/>
  <c r="O576" i="21"/>
  <c r="N576" i="21"/>
  <c r="M576" i="21"/>
  <c r="L576" i="21"/>
  <c r="J576" i="21"/>
  <c r="K576" i="21" s="1"/>
  <c r="P575" i="21"/>
  <c r="O575" i="21"/>
  <c r="N575" i="21"/>
  <c r="M575" i="21"/>
  <c r="L575" i="21"/>
  <c r="J575" i="21"/>
  <c r="K575" i="21" s="1"/>
  <c r="P574" i="21"/>
  <c r="O574" i="21"/>
  <c r="N574" i="21"/>
  <c r="M574" i="21"/>
  <c r="L574" i="21"/>
  <c r="J574" i="21"/>
  <c r="K574" i="21" s="1"/>
  <c r="P573" i="21"/>
  <c r="O573" i="21"/>
  <c r="M573" i="21"/>
  <c r="L573" i="21"/>
  <c r="K573" i="21"/>
  <c r="J573" i="21"/>
  <c r="N573" i="21" s="1"/>
  <c r="P572" i="21"/>
  <c r="O572" i="21"/>
  <c r="N572" i="21"/>
  <c r="M572" i="21"/>
  <c r="L572" i="21"/>
  <c r="J572" i="21"/>
  <c r="K572" i="21" s="1"/>
  <c r="P571" i="21"/>
  <c r="O571" i="21"/>
  <c r="N571" i="21"/>
  <c r="M571" i="21"/>
  <c r="L571" i="21"/>
  <c r="J571" i="21"/>
  <c r="K571" i="21" s="1"/>
  <c r="P570" i="21"/>
  <c r="O570" i="21"/>
  <c r="M570" i="21"/>
  <c r="L570" i="21"/>
  <c r="K570" i="21"/>
  <c r="J570" i="21"/>
  <c r="N570" i="21" s="1"/>
  <c r="P569" i="21"/>
  <c r="O569" i="21"/>
  <c r="N569" i="21"/>
  <c r="M569" i="21"/>
  <c r="L569" i="21"/>
  <c r="J569" i="21"/>
  <c r="K569" i="21" s="1"/>
  <c r="P568" i="21"/>
  <c r="O568" i="21"/>
  <c r="N568" i="21"/>
  <c r="M568" i="21"/>
  <c r="L568" i="21"/>
  <c r="J568" i="21"/>
  <c r="K568" i="21" s="1"/>
  <c r="P567" i="21"/>
  <c r="O567" i="21"/>
  <c r="N567" i="21"/>
  <c r="M567" i="21"/>
  <c r="L567" i="21"/>
  <c r="J567" i="21"/>
  <c r="K567" i="21" s="1"/>
  <c r="P566" i="21"/>
  <c r="O566" i="21"/>
  <c r="M566" i="21"/>
  <c r="L566" i="21"/>
  <c r="K566" i="21"/>
  <c r="J566" i="21"/>
  <c r="N566" i="21" s="1"/>
  <c r="P565" i="21"/>
  <c r="O565" i="21"/>
  <c r="N565" i="21"/>
  <c r="M565" i="21"/>
  <c r="L565" i="21"/>
  <c r="J565" i="21"/>
  <c r="K565" i="21" s="1"/>
  <c r="P564" i="21"/>
  <c r="O564" i="21"/>
  <c r="N564" i="21"/>
  <c r="M564" i="21"/>
  <c r="L564" i="21"/>
  <c r="J564" i="21"/>
  <c r="K564" i="21" s="1"/>
  <c r="P563" i="21"/>
  <c r="O563" i="21"/>
  <c r="N563" i="21"/>
  <c r="M563" i="21"/>
  <c r="L563" i="21"/>
  <c r="J563" i="21"/>
  <c r="K563" i="21" s="1"/>
  <c r="P562" i="21"/>
  <c r="O562" i="21"/>
  <c r="M562" i="21"/>
  <c r="L562" i="21"/>
  <c r="K562" i="21"/>
  <c r="J562" i="21"/>
  <c r="N562" i="21" s="1"/>
  <c r="P561" i="21"/>
  <c r="O561" i="21"/>
  <c r="N561" i="21"/>
  <c r="M561" i="21"/>
  <c r="L561" i="21"/>
  <c r="J561" i="21"/>
  <c r="K561" i="21" s="1"/>
  <c r="P560" i="21"/>
  <c r="O560" i="21"/>
  <c r="N560" i="21"/>
  <c r="M560" i="21"/>
  <c r="L560" i="21"/>
  <c r="J560" i="21"/>
  <c r="K560" i="21" s="1"/>
  <c r="O559" i="21"/>
  <c r="N559" i="21"/>
  <c r="M559" i="21"/>
  <c r="L559" i="21"/>
  <c r="K559" i="21"/>
  <c r="J559" i="21"/>
  <c r="P559" i="21" s="1"/>
  <c r="P558" i="21"/>
  <c r="O558" i="21"/>
  <c r="N558" i="21"/>
  <c r="M558" i="21"/>
  <c r="L558" i="21"/>
  <c r="J558" i="21"/>
  <c r="K558" i="21" s="1"/>
  <c r="P557" i="21"/>
  <c r="O557" i="21"/>
  <c r="N557" i="21"/>
  <c r="M557" i="21"/>
  <c r="L557" i="21"/>
  <c r="J557" i="21"/>
  <c r="K557" i="21" s="1"/>
  <c r="P556" i="21"/>
  <c r="O556" i="21"/>
  <c r="N556" i="21"/>
  <c r="M556" i="21"/>
  <c r="L556" i="21"/>
  <c r="J556" i="21"/>
  <c r="K556" i="21" s="1"/>
  <c r="O555" i="21"/>
  <c r="N555" i="21"/>
  <c r="M555" i="21"/>
  <c r="L555" i="21"/>
  <c r="K555" i="21"/>
  <c r="J555" i="21"/>
  <c r="P555" i="21" s="1"/>
  <c r="P554" i="21"/>
  <c r="O554" i="21"/>
  <c r="N554" i="21"/>
  <c r="M554" i="21"/>
  <c r="L554" i="21"/>
  <c r="J554" i="21"/>
  <c r="K554" i="21" s="1"/>
  <c r="P553" i="21"/>
  <c r="O553" i="21"/>
  <c r="N553" i="21"/>
  <c r="M553" i="21"/>
  <c r="L553" i="21"/>
  <c r="J553" i="21"/>
  <c r="K553" i="21" s="1"/>
  <c r="P552" i="21"/>
  <c r="O552" i="21"/>
  <c r="N552" i="21"/>
  <c r="M552" i="21"/>
  <c r="L552" i="21"/>
  <c r="J552" i="21"/>
  <c r="K552" i="21" s="1"/>
  <c r="O551" i="21"/>
  <c r="N551" i="21"/>
  <c r="M551" i="21"/>
  <c r="L551" i="21"/>
  <c r="K551" i="21"/>
  <c r="J551" i="21"/>
  <c r="P551" i="21" s="1"/>
  <c r="P550" i="21"/>
  <c r="O550" i="21"/>
  <c r="N550" i="21"/>
  <c r="M550" i="21"/>
  <c r="L550" i="21"/>
  <c r="J550" i="21"/>
  <c r="K550" i="21" s="1"/>
  <c r="P549" i="21"/>
  <c r="O549" i="21"/>
  <c r="N549" i="21"/>
  <c r="M549" i="21"/>
  <c r="L549" i="21"/>
  <c r="J549" i="21"/>
  <c r="K549" i="21" s="1"/>
  <c r="P548" i="21"/>
  <c r="O548" i="21"/>
  <c r="N548" i="21"/>
  <c r="M548" i="21"/>
  <c r="L548" i="21"/>
  <c r="J548" i="21"/>
  <c r="K548" i="21" s="1"/>
  <c r="O547" i="21"/>
  <c r="N547" i="21"/>
  <c r="M547" i="21"/>
  <c r="L547" i="21"/>
  <c r="K547" i="21"/>
  <c r="J547" i="21"/>
  <c r="P547" i="21" s="1"/>
  <c r="P546" i="21"/>
  <c r="O546" i="21"/>
  <c r="N546" i="21"/>
  <c r="M546" i="21"/>
  <c r="L546" i="21"/>
  <c r="J546" i="21"/>
  <c r="K546" i="21" s="1"/>
  <c r="P545" i="21"/>
  <c r="O545" i="21"/>
  <c r="N545" i="21"/>
  <c r="M545" i="21"/>
  <c r="L545" i="21"/>
  <c r="J545" i="21"/>
  <c r="K545" i="21" s="1"/>
  <c r="P544" i="21"/>
  <c r="O544" i="21"/>
  <c r="N544" i="21"/>
  <c r="M544" i="21"/>
  <c r="L544" i="21"/>
  <c r="J544" i="21"/>
  <c r="K544" i="21" s="1"/>
  <c r="O543" i="21"/>
  <c r="N543" i="21"/>
  <c r="M543" i="21"/>
  <c r="L543" i="21"/>
  <c r="K543" i="21"/>
  <c r="J543" i="21"/>
  <c r="P543" i="21" s="1"/>
  <c r="P542" i="21"/>
  <c r="O542" i="21"/>
  <c r="N542" i="21"/>
  <c r="M542" i="21"/>
  <c r="L542" i="21"/>
  <c r="J542" i="21"/>
  <c r="K542" i="21" s="1"/>
  <c r="P541" i="21"/>
  <c r="O541" i="21"/>
  <c r="N541" i="21"/>
  <c r="M541" i="21"/>
  <c r="L541" i="21"/>
  <c r="J541" i="21"/>
  <c r="K541" i="21" s="1"/>
  <c r="P540" i="21"/>
  <c r="O540" i="21"/>
  <c r="N540" i="21"/>
  <c r="M540" i="21"/>
  <c r="L540" i="21"/>
  <c r="J540" i="21"/>
  <c r="K540" i="21" s="1"/>
  <c r="O539" i="21"/>
  <c r="N539" i="21"/>
  <c r="M539" i="21"/>
  <c r="L539" i="21"/>
  <c r="K539" i="21"/>
  <c r="J539" i="21"/>
  <c r="P539" i="21" s="1"/>
  <c r="P538" i="21"/>
  <c r="O538" i="21"/>
  <c r="N538" i="21"/>
  <c r="M538" i="21"/>
  <c r="L538" i="21"/>
  <c r="J538" i="21"/>
  <c r="K538" i="21" s="1"/>
  <c r="P537" i="21"/>
  <c r="O537" i="21"/>
  <c r="N537" i="21"/>
  <c r="M537" i="21"/>
  <c r="L537" i="21"/>
  <c r="J537" i="21"/>
  <c r="K537" i="21" s="1"/>
  <c r="P536" i="21"/>
  <c r="O536" i="21"/>
  <c r="N536" i="21"/>
  <c r="M536" i="21"/>
  <c r="L536" i="21"/>
  <c r="J536" i="21"/>
  <c r="K536" i="21" s="1"/>
  <c r="O535" i="21"/>
  <c r="N535" i="21"/>
  <c r="M535" i="21"/>
  <c r="L535" i="21"/>
  <c r="K535" i="21"/>
  <c r="J535" i="21"/>
  <c r="P535" i="21" s="1"/>
  <c r="P534" i="21"/>
  <c r="O534" i="21"/>
  <c r="N534" i="21"/>
  <c r="M534" i="21"/>
  <c r="L534" i="21"/>
  <c r="J534" i="21"/>
  <c r="K534" i="21" s="1"/>
  <c r="P533" i="21"/>
  <c r="O533" i="21"/>
  <c r="N533" i="21"/>
  <c r="M533" i="21"/>
  <c r="L533" i="21"/>
  <c r="J533" i="21"/>
  <c r="K533" i="21" s="1"/>
  <c r="P532" i="21"/>
  <c r="O532" i="21"/>
  <c r="N532" i="21"/>
  <c r="M532" i="21"/>
  <c r="L532" i="21"/>
  <c r="J532" i="21"/>
  <c r="K532" i="21" s="1"/>
  <c r="O531" i="21"/>
  <c r="N531" i="21"/>
  <c r="M531" i="21"/>
  <c r="L531" i="21"/>
  <c r="K531" i="21"/>
  <c r="J531" i="21"/>
  <c r="P531" i="21" s="1"/>
  <c r="P530" i="21"/>
  <c r="O530" i="21"/>
  <c r="N530" i="21"/>
  <c r="M530" i="21"/>
  <c r="L530" i="21"/>
  <c r="J530" i="21"/>
  <c r="K530" i="21" s="1"/>
  <c r="P529" i="21"/>
  <c r="O529" i="21"/>
  <c r="N529" i="21"/>
  <c r="M529" i="21"/>
  <c r="L529" i="21"/>
  <c r="J529" i="21"/>
  <c r="K529" i="21" s="1"/>
  <c r="P528" i="21"/>
  <c r="O528" i="21"/>
  <c r="N528" i="21"/>
  <c r="M528" i="21"/>
  <c r="L528" i="21"/>
  <c r="J528" i="21"/>
  <c r="K528" i="21" s="1"/>
  <c r="O527" i="21"/>
  <c r="N527" i="21"/>
  <c r="M527" i="21"/>
  <c r="L527" i="21"/>
  <c r="K527" i="21"/>
  <c r="J527" i="21"/>
  <c r="P527" i="21" s="1"/>
  <c r="P526" i="21"/>
  <c r="O526" i="21"/>
  <c r="N526" i="21"/>
  <c r="M526" i="21"/>
  <c r="L526" i="21"/>
  <c r="J526" i="21"/>
  <c r="K526" i="21" s="1"/>
  <c r="P525" i="21"/>
  <c r="O525" i="21"/>
  <c r="N525" i="21"/>
  <c r="M525" i="21"/>
  <c r="L525" i="21"/>
  <c r="J525" i="21"/>
  <c r="K525" i="21" s="1"/>
  <c r="P524" i="21"/>
  <c r="O524" i="21"/>
  <c r="N524" i="21"/>
  <c r="M524" i="21"/>
  <c r="L524" i="21"/>
  <c r="J524" i="21"/>
  <c r="K524" i="21" s="1"/>
  <c r="P523" i="21"/>
  <c r="O523" i="21"/>
  <c r="M523" i="21"/>
  <c r="L523" i="21"/>
  <c r="K523" i="21"/>
  <c r="J523" i="21"/>
  <c r="N523" i="21" s="1"/>
  <c r="P522" i="21"/>
  <c r="O522" i="21"/>
  <c r="N522" i="21"/>
  <c r="M522" i="21"/>
  <c r="L522" i="21"/>
  <c r="J522" i="21"/>
  <c r="K522" i="21" s="1"/>
  <c r="P521" i="21"/>
  <c r="O521" i="21"/>
  <c r="N521" i="21"/>
  <c r="M521" i="21"/>
  <c r="L521" i="21"/>
  <c r="J521" i="21"/>
  <c r="K521" i="21" s="1"/>
  <c r="P520" i="21"/>
  <c r="O520" i="21"/>
  <c r="N520" i="21"/>
  <c r="M520" i="21"/>
  <c r="L520" i="21"/>
  <c r="J520" i="21"/>
  <c r="K520" i="21" s="1"/>
  <c r="P519" i="21"/>
  <c r="O519" i="21"/>
  <c r="M519" i="21"/>
  <c r="L519" i="21"/>
  <c r="K519" i="21"/>
  <c r="J519" i="21"/>
  <c r="N519" i="21" s="1"/>
  <c r="P518" i="21"/>
  <c r="O518" i="21"/>
  <c r="N518" i="21"/>
  <c r="M518" i="21"/>
  <c r="L518" i="21"/>
  <c r="J518" i="21"/>
  <c r="K518" i="21" s="1"/>
  <c r="P517" i="21"/>
  <c r="O517" i="21"/>
  <c r="N517" i="21"/>
  <c r="M517" i="21"/>
  <c r="L517" i="21"/>
  <c r="J517" i="21"/>
  <c r="K517" i="21" s="1"/>
  <c r="P749" i="21"/>
  <c r="O749" i="21"/>
  <c r="N749" i="21"/>
  <c r="M749" i="21"/>
  <c r="L749" i="21"/>
  <c r="K749" i="21"/>
  <c r="J749" i="21"/>
  <c r="Q749" i="21" s="1"/>
  <c r="P748" i="21"/>
  <c r="O748" i="21"/>
  <c r="N748" i="21"/>
  <c r="M748" i="21"/>
  <c r="L748" i="21"/>
  <c r="J748" i="21"/>
  <c r="K748" i="21" s="1"/>
  <c r="P747" i="21"/>
  <c r="O747" i="21"/>
  <c r="N747" i="21"/>
  <c r="M747" i="21"/>
  <c r="L747" i="21"/>
  <c r="J747" i="21"/>
  <c r="K747" i="21" s="1"/>
  <c r="P746" i="21"/>
  <c r="O746" i="21"/>
  <c r="N746" i="21"/>
  <c r="M746" i="21"/>
  <c r="L746" i="21"/>
  <c r="J746" i="21"/>
  <c r="K746" i="21" s="1"/>
  <c r="P745" i="21"/>
  <c r="O745" i="21"/>
  <c r="N745" i="21"/>
  <c r="M745" i="21"/>
  <c r="L745" i="21"/>
  <c r="K745" i="21"/>
  <c r="J745" i="21"/>
  <c r="Q745" i="21" s="1"/>
  <c r="P744" i="21"/>
  <c r="O744" i="21"/>
  <c r="N744" i="21"/>
  <c r="M744" i="21"/>
  <c r="L744" i="21"/>
  <c r="J744" i="21"/>
  <c r="K744" i="21" s="1"/>
  <c r="P743" i="21"/>
  <c r="O743" i="21"/>
  <c r="N743" i="21"/>
  <c r="M743" i="21"/>
  <c r="L743" i="21"/>
  <c r="J743" i="21"/>
  <c r="K743" i="21" s="1"/>
  <c r="P742" i="21"/>
  <c r="O742" i="21"/>
  <c r="N742" i="21"/>
  <c r="M742" i="21"/>
  <c r="L742" i="21"/>
  <c r="J742" i="21"/>
  <c r="K742" i="21" s="1"/>
  <c r="P741" i="21"/>
  <c r="O741" i="21"/>
  <c r="N741" i="21"/>
  <c r="M741" i="21"/>
  <c r="L741" i="21"/>
  <c r="K741" i="21"/>
  <c r="J741" i="21"/>
  <c r="Q741" i="21" s="1"/>
  <c r="P740" i="21"/>
  <c r="O740" i="21"/>
  <c r="N740" i="21"/>
  <c r="M740" i="21"/>
  <c r="L740" i="21"/>
  <c r="J740" i="21"/>
  <c r="K740" i="21" s="1"/>
  <c r="P739" i="21"/>
  <c r="O739" i="21"/>
  <c r="N739" i="21"/>
  <c r="M739" i="21"/>
  <c r="L739" i="21"/>
  <c r="J739" i="21"/>
  <c r="K739" i="21" s="1"/>
  <c r="P738" i="21"/>
  <c r="O738" i="21"/>
  <c r="N738" i="21"/>
  <c r="M738" i="21"/>
  <c r="L738" i="21"/>
  <c r="J738" i="21"/>
  <c r="K738" i="21" s="1"/>
  <c r="P737" i="21"/>
  <c r="O737" i="21"/>
  <c r="N737" i="21"/>
  <c r="M737" i="21"/>
  <c r="L737" i="21"/>
  <c r="K737" i="21"/>
  <c r="J737" i="21"/>
  <c r="Q737" i="21" s="1"/>
  <c r="P736" i="21"/>
  <c r="O736" i="21"/>
  <c r="N736" i="21"/>
  <c r="M736" i="21"/>
  <c r="L736" i="21"/>
  <c r="J736" i="21"/>
  <c r="K736" i="21" s="1"/>
  <c r="P735" i="21"/>
  <c r="O735" i="21"/>
  <c r="N735" i="21"/>
  <c r="M735" i="21"/>
  <c r="L735" i="21"/>
  <c r="J735" i="21"/>
  <c r="K735" i="21" s="1"/>
  <c r="P734" i="21"/>
  <c r="O734" i="21"/>
  <c r="N734" i="21"/>
  <c r="M734" i="21"/>
  <c r="L734" i="21"/>
  <c r="J734" i="21"/>
  <c r="K734" i="21" s="1"/>
  <c r="P733" i="21"/>
  <c r="O733" i="21"/>
  <c r="N733" i="21"/>
  <c r="M733" i="21"/>
  <c r="L733" i="21"/>
  <c r="K733" i="21"/>
  <c r="J733" i="21"/>
  <c r="Q733" i="21" s="1"/>
  <c r="P732" i="21"/>
  <c r="O732" i="21"/>
  <c r="N732" i="21"/>
  <c r="M732" i="21"/>
  <c r="L732" i="21"/>
  <c r="J732" i="21"/>
  <c r="K732" i="21" s="1"/>
  <c r="P731" i="21"/>
  <c r="O731" i="21"/>
  <c r="N731" i="21"/>
  <c r="M731" i="21"/>
  <c r="L731" i="21"/>
  <c r="J731" i="21"/>
  <c r="K731" i="21" s="1"/>
  <c r="P730" i="21"/>
  <c r="O730" i="21"/>
  <c r="N730" i="21"/>
  <c r="M730" i="21"/>
  <c r="L730" i="21"/>
  <c r="J730" i="21"/>
  <c r="K730" i="21" s="1"/>
  <c r="P729" i="21"/>
  <c r="N729" i="21"/>
  <c r="M729" i="21"/>
  <c r="L729" i="21"/>
  <c r="K729" i="21"/>
  <c r="J729" i="21"/>
  <c r="O729" i="21" s="1"/>
  <c r="P728" i="21"/>
  <c r="O728" i="21"/>
  <c r="N728" i="21"/>
  <c r="M728" i="21"/>
  <c r="L728" i="21"/>
  <c r="J728" i="21"/>
  <c r="K728" i="21" s="1"/>
  <c r="P727" i="21"/>
  <c r="O727" i="21"/>
  <c r="N727" i="21"/>
  <c r="M727" i="21"/>
  <c r="L727" i="21"/>
  <c r="J727" i="21"/>
  <c r="K727" i="21" s="1"/>
  <c r="P726" i="21"/>
  <c r="O726" i="21"/>
  <c r="N726" i="21"/>
  <c r="M726" i="21"/>
  <c r="L726" i="21"/>
  <c r="J726" i="21"/>
  <c r="K726" i="21" s="1"/>
  <c r="P725" i="21"/>
  <c r="N725" i="21"/>
  <c r="M725" i="21"/>
  <c r="L725" i="21"/>
  <c r="K725" i="21"/>
  <c r="J725" i="21"/>
  <c r="O725" i="21" s="1"/>
  <c r="P724" i="21"/>
  <c r="O724" i="21"/>
  <c r="N724" i="21"/>
  <c r="M724" i="21"/>
  <c r="L724" i="21"/>
  <c r="J724" i="21"/>
  <c r="K724" i="21" s="1"/>
  <c r="P723" i="21"/>
  <c r="O723" i="21"/>
  <c r="N723" i="21"/>
  <c r="M723" i="21"/>
  <c r="L723" i="21"/>
  <c r="J723" i="21"/>
  <c r="K723" i="21" s="1"/>
  <c r="P722" i="21"/>
  <c r="O722" i="21"/>
  <c r="N722" i="21"/>
  <c r="M722" i="21"/>
  <c r="L722" i="21"/>
  <c r="J722" i="21"/>
  <c r="K722" i="21" s="1"/>
  <c r="P721" i="21"/>
  <c r="N721" i="21"/>
  <c r="M721" i="21"/>
  <c r="L721" i="21"/>
  <c r="K721" i="21"/>
  <c r="J721" i="21"/>
  <c r="O721" i="21" s="1"/>
  <c r="P720" i="21"/>
  <c r="O720" i="21"/>
  <c r="N720" i="21"/>
  <c r="M720" i="21"/>
  <c r="L720" i="21"/>
  <c r="J720" i="21"/>
  <c r="K720" i="21" s="1"/>
  <c r="P719" i="21"/>
  <c r="O719" i="21"/>
  <c r="N719" i="21"/>
  <c r="M719" i="21"/>
  <c r="L719" i="21"/>
  <c r="J719" i="21"/>
  <c r="K719" i="21" s="1"/>
  <c r="P718" i="21"/>
  <c r="O718" i="21"/>
  <c r="N718" i="21"/>
  <c r="M718" i="21"/>
  <c r="L718" i="21"/>
  <c r="J718" i="21"/>
  <c r="K718" i="21" s="1"/>
  <c r="P717" i="21"/>
  <c r="N717" i="21"/>
  <c r="M717" i="21"/>
  <c r="L717" i="21"/>
  <c r="K717" i="21"/>
  <c r="J717" i="21"/>
  <c r="O717" i="21" s="1"/>
  <c r="P716" i="21"/>
  <c r="O716" i="21"/>
  <c r="N716" i="21"/>
  <c r="M716" i="21"/>
  <c r="L716" i="21"/>
  <c r="J716" i="21"/>
  <c r="K716" i="21" s="1"/>
  <c r="P715" i="21"/>
  <c r="O715" i="21"/>
  <c r="N715" i="21"/>
  <c r="M715" i="21"/>
  <c r="L715" i="21"/>
  <c r="J715" i="21"/>
  <c r="K715" i="21" s="1"/>
  <c r="P714" i="21"/>
  <c r="O714" i="21"/>
  <c r="N714" i="21"/>
  <c r="M714" i="21"/>
  <c r="L714" i="21"/>
  <c r="J714" i="21"/>
  <c r="K714" i="21" s="1"/>
  <c r="P713" i="21"/>
  <c r="N713" i="21"/>
  <c r="M713" i="21"/>
  <c r="L713" i="21"/>
  <c r="K713" i="21"/>
  <c r="J713" i="21"/>
  <c r="O713" i="21" s="1"/>
  <c r="P712" i="21"/>
  <c r="O712" i="21"/>
  <c r="N712" i="21"/>
  <c r="M712" i="21"/>
  <c r="L712" i="21"/>
  <c r="J712" i="21"/>
  <c r="K712" i="21" s="1"/>
  <c r="P711" i="21"/>
  <c r="O711" i="21"/>
  <c r="N711" i="21"/>
  <c r="M711" i="21"/>
  <c r="L711" i="21"/>
  <c r="J711" i="21"/>
  <c r="K711" i="21" s="1"/>
  <c r="P710" i="21"/>
  <c r="O710" i="21"/>
  <c r="N710" i="21"/>
  <c r="M710" i="21"/>
  <c r="L710" i="21"/>
  <c r="J710" i="21"/>
  <c r="K710" i="21" s="1"/>
  <c r="P709" i="21"/>
  <c r="N709" i="21"/>
  <c r="M709" i="21"/>
  <c r="L709" i="21"/>
  <c r="K709" i="21"/>
  <c r="J709" i="21"/>
  <c r="O709" i="21" s="1"/>
  <c r="P708" i="21"/>
  <c r="O708" i="21"/>
  <c r="N708" i="21"/>
  <c r="M708" i="21"/>
  <c r="L708" i="21"/>
  <c r="J708" i="21"/>
  <c r="K708" i="21" s="1"/>
  <c r="P707" i="21"/>
  <c r="O707" i="21"/>
  <c r="N707" i="21"/>
  <c r="M707" i="21"/>
  <c r="L707" i="21"/>
  <c r="J707" i="21"/>
  <c r="K707" i="21" s="1"/>
  <c r="P706" i="21"/>
  <c r="O706" i="21"/>
  <c r="N706" i="21"/>
  <c r="M706" i="21"/>
  <c r="L706" i="21"/>
  <c r="J706" i="21"/>
  <c r="K706" i="21" s="1"/>
  <c r="P704" i="21"/>
  <c r="N704" i="21"/>
  <c r="M704" i="21"/>
  <c r="L704" i="21"/>
  <c r="K704" i="21"/>
  <c r="J704" i="21"/>
  <c r="O704" i="21" s="1"/>
  <c r="P703" i="21"/>
  <c r="O703" i="21"/>
  <c r="N703" i="21"/>
  <c r="M703" i="21"/>
  <c r="L703" i="21"/>
  <c r="J703" i="21"/>
  <c r="K703" i="21" s="1"/>
  <c r="P702" i="21"/>
  <c r="O702" i="21"/>
  <c r="N702" i="21"/>
  <c r="M702" i="21"/>
  <c r="L702" i="21"/>
  <c r="J702" i="21"/>
  <c r="K702" i="21" s="1"/>
  <c r="P701" i="21"/>
  <c r="N701" i="21"/>
  <c r="M701" i="21"/>
  <c r="L701" i="21"/>
  <c r="K701" i="21"/>
  <c r="J701" i="21"/>
  <c r="O701" i="21" s="1"/>
  <c r="P700" i="21"/>
  <c r="O700" i="21"/>
  <c r="N700" i="21"/>
  <c r="M700" i="21"/>
  <c r="L700" i="21"/>
  <c r="J700" i="21"/>
  <c r="K700" i="21" s="1"/>
  <c r="P699" i="21"/>
  <c r="N699" i="21"/>
  <c r="M699" i="21"/>
  <c r="L699" i="21"/>
  <c r="K699" i="21"/>
  <c r="J699" i="21"/>
  <c r="O699" i="21" s="1"/>
  <c r="P698" i="21"/>
  <c r="O698" i="21"/>
  <c r="N698" i="21"/>
  <c r="M698" i="21"/>
  <c r="L698" i="21"/>
  <c r="J698" i="21"/>
  <c r="K698" i="21" s="1"/>
  <c r="P697" i="21"/>
  <c r="O697" i="21"/>
  <c r="N697" i="21"/>
  <c r="M697" i="21"/>
  <c r="L697" i="21"/>
  <c r="J697" i="21"/>
  <c r="K697" i="21" s="1"/>
  <c r="P696" i="21"/>
  <c r="N696" i="21"/>
  <c r="M696" i="21"/>
  <c r="L696" i="21"/>
  <c r="K696" i="21"/>
  <c r="J696" i="21"/>
  <c r="O696" i="21" s="1"/>
  <c r="P695" i="21"/>
  <c r="O695" i="21"/>
  <c r="N695" i="21"/>
  <c r="M695" i="21"/>
  <c r="L695" i="21"/>
  <c r="J695" i="21"/>
  <c r="K695" i="21" s="1"/>
  <c r="P694" i="21"/>
  <c r="N694" i="21"/>
  <c r="M694" i="21"/>
  <c r="L694" i="21"/>
  <c r="K694" i="21"/>
  <c r="J694" i="21"/>
  <c r="O694" i="21" s="1"/>
  <c r="P693" i="21"/>
  <c r="O693" i="21"/>
  <c r="N693" i="21"/>
  <c r="M693" i="21"/>
  <c r="L693" i="21"/>
  <c r="J693" i="21"/>
  <c r="K693" i="21" s="1"/>
  <c r="P692" i="21"/>
  <c r="O692" i="21"/>
  <c r="N692" i="21"/>
  <c r="M692" i="21"/>
  <c r="L692" i="21"/>
  <c r="J692" i="21"/>
  <c r="K692" i="21" s="1"/>
  <c r="P691" i="21"/>
  <c r="N691" i="21"/>
  <c r="M691" i="21"/>
  <c r="L691" i="21"/>
  <c r="K691" i="21"/>
  <c r="J691" i="21"/>
  <c r="O691" i="21" s="1"/>
  <c r="P690" i="21"/>
  <c r="O690" i="21"/>
  <c r="N690" i="21"/>
  <c r="M690" i="21"/>
  <c r="L690" i="21"/>
  <c r="J690" i="21"/>
  <c r="K690" i="21" s="1"/>
  <c r="P689" i="21"/>
  <c r="N689" i="21"/>
  <c r="M689" i="21"/>
  <c r="L689" i="21"/>
  <c r="K689" i="21"/>
  <c r="J689" i="21"/>
  <c r="O689" i="21" s="1"/>
  <c r="P688" i="21"/>
  <c r="O688" i="21"/>
  <c r="N688" i="21"/>
  <c r="M688" i="21"/>
  <c r="L688" i="21"/>
  <c r="J688" i="21"/>
  <c r="K688" i="21" s="1"/>
  <c r="P687" i="21"/>
  <c r="O687" i="21"/>
  <c r="N687" i="21"/>
  <c r="M687" i="21"/>
  <c r="L687" i="21"/>
  <c r="J687" i="21"/>
  <c r="K687" i="21" s="1"/>
  <c r="P686" i="21"/>
  <c r="N686" i="21"/>
  <c r="M686" i="21"/>
  <c r="L686" i="21"/>
  <c r="K686" i="21"/>
  <c r="J686" i="21"/>
  <c r="O686" i="21" s="1"/>
  <c r="P685" i="21"/>
  <c r="O685" i="21"/>
  <c r="N685" i="21"/>
  <c r="M685" i="21"/>
  <c r="L685" i="21"/>
  <c r="J685" i="21"/>
  <c r="K685" i="21" s="1"/>
  <c r="P112" i="21"/>
  <c r="O112" i="21"/>
  <c r="N112" i="21"/>
  <c r="M112" i="21"/>
  <c r="L112" i="21"/>
  <c r="K112" i="21"/>
  <c r="J112" i="21"/>
  <c r="P111" i="21"/>
  <c r="O111" i="21"/>
  <c r="N111" i="21"/>
  <c r="M111" i="21"/>
  <c r="L111" i="21"/>
  <c r="K111" i="21"/>
  <c r="J111" i="21"/>
  <c r="P110" i="21"/>
  <c r="O110" i="21"/>
  <c r="N110" i="21"/>
  <c r="M110" i="21"/>
  <c r="L110" i="21"/>
  <c r="K110" i="21"/>
  <c r="J110" i="21"/>
  <c r="P109" i="21"/>
  <c r="O109" i="21"/>
  <c r="N109" i="21"/>
  <c r="M109" i="21"/>
  <c r="L109" i="21"/>
  <c r="K109" i="21"/>
  <c r="J109" i="21"/>
  <c r="O108" i="21"/>
  <c r="N108" i="21"/>
  <c r="M108" i="21"/>
  <c r="L108" i="21"/>
  <c r="K108" i="21"/>
  <c r="J108" i="21"/>
  <c r="P108" i="21" s="1"/>
  <c r="P107" i="21"/>
  <c r="O107" i="21"/>
  <c r="N107" i="21"/>
  <c r="M107" i="21"/>
  <c r="L107" i="21"/>
  <c r="J107" i="21"/>
  <c r="K107" i="21" s="1"/>
  <c r="P106" i="21"/>
  <c r="O106" i="21"/>
  <c r="N106" i="21"/>
  <c r="M106" i="21"/>
  <c r="L106" i="21"/>
  <c r="J106" i="21"/>
  <c r="K106" i="21" s="1"/>
  <c r="P105" i="21"/>
  <c r="O105" i="21"/>
  <c r="N105" i="21"/>
  <c r="M105" i="21"/>
  <c r="L105" i="21"/>
  <c r="J105" i="21"/>
  <c r="K105" i="21" s="1"/>
  <c r="O104" i="21"/>
  <c r="N104" i="21"/>
  <c r="M104" i="21"/>
  <c r="L104" i="21"/>
  <c r="K104" i="21"/>
  <c r="J104" i="21"/>
  <c r="P104" i="21" s="1"/>
  <c r="P103" i="21"/>
  <c r="O103" i="21"/>
  <c r="N103" i="21"/>
  <c r="M103" i="21"/>
  <c r="L103" i="21"/>
  <c r="J103" i="21"/>
  <c r="K103" i="21" s="1"/>
  <c r="P102" i="21"/>
  <c r="O102" i="21"/>
  <c r="N102" i="21"/>
  <c r="M102" i="21"/>
  <c r="L102" i="21"/>
  <c r="J102" i="21"/>
  <c r="K102" i="21" s="1"/>
  <c r="P101" i="21"/>
  <c r="O101" i="21"/>
  <c r="N101" i="21"/>
  <c r="M101" i="21"/>
  <c r="L101" i="21"/>
  <c r="J101" i="21"/>
  <c r="K101" i="21" s="1"/>
  <c r="P801" i="21"/>
  <c r="N801" i="21"/>
  <c r="M801" i="21"/>
  <c r="L801" i="21"/>
  <c r="K801" i="21"/>
  <c r="J801" i="21"/>
  <c r="O801" i="21" s="1"/>
  <c r="P800" i="21"/>
  <c r="O800" i="21"/>
  <c r="N800" i="21"/>
  <c r="M800" i="21"/>
  <c r="L800" i="21"/>
  <c r="J800" i="21"/>
  <c r="K800" i="21" s="1"/>
  <c r="P799" i="21"/>
  <c r="O799" i="21"/>
  <c r="N799" i="21"/>
  <c r="M799" i="21"/>
  <c r="L799" i="21"/>
  <c r="J799" i="21"/>
  <c r="K799" i="21" s="1"/>
  <c r="P798" i="21"/>
  <c r="N798" i="21"/>
  <c r="M798" i="21"/>
  <c r="L798" i="21"/>
  <c r="K798" i="21"/>
  <c r="J798" i="21"/>
  <c r="O798" i="21" s="1"/>
  <c r="P797" i="21"/>
  <c r="O797" i="21"/>
  <c r="N797" i="21"/>
  <c r="M797" i="21"/>
  <c r="L797" i="21"/>
  <c r="J797" i="21"/>
  <c r="K797" i="21" s="1"/>
  <c r="P796" i="21"/>
  <c r="O796" i="21"/>
  <c r="N796" i="21"/>
  <c r="M796" i="21"/>
  <c r="L796" i="21"/>
  <c r="J796" i="21"/>
  <c r="K796" i="21" s="1"/>
  <c r="P795" i="21"/>
  <c r="O795" i="21"/>
  <c r="N795" i="21"/>
  <c r="M795" i="21"/>
  <c r="L795" i="21"/>
  <c r="J795" i="21"/>
  <c r="K795" i="21" s="1"/>
  <c r="P794" i="21"/>
  <c r="N794" i="21"/>
  <c r="M794" i="21"/>
  <c r="L794" i="21"/>
  <c r="K794" i="21"/>
  <c r="J794" i="21"/>
  <c r="O794" i="21" s="1"/>
  <c r="P793" i="21"/>
  <c r="O793" i="21"/>
  <c r="N793" i="21"/>
  <c r="M793" i="21"/>
  <c r="L793" i="21"/>
  <c r="J793" i="21"/>
  <c r="K793" i="21" s="1"/>
  <c r="P792" i="21"/>
  <c r="O792" i="21"/>
  <c r="N792" i="21"/>
  <c r="M792" i="21"/>
  <c r="L792" i="21"/>
  <c r="J792" i="21"/>
  <c r="K792" i="21" s="1"/>
  <c r="P791" i="21"/>
  <c r="O791" i="21"/>
  <c r="N791" i="21"/>
  <c r="M791" i="21"/>
  <c r="L791" i="21"/>
  <c r="J791" i="21"/>
  <c r="K791" i="21" s="1"/>
  <c r="P790" i="21"/>
  <c r="N790" i="21"/>
  <c r="M790" i="21"/>
  <c r="L790" i="21"/>
  <c r="K790" i="21"/>
  <c r="J790" i="21"/>
  <c r="O790" i="21" s="1"/>
  <c r="P789" i="21"/>
  <c r="O789" i="21"/>
  <c r="N789" i="21"/>
  <c r="M789" i="21"/>
  <c r="L789" i="21"/>
  <c r="J789" i="21"/>
  <c r="K789" i="21" s="1"/>
  <c r="P788" i="21"/>
  <c r="O788" i="21"/>
  <c r="N788" i="21"/>
  <c r="M788" i="21"/>
  <c r="L788" i="21"/>
  <c r="J788" i="21"/>
  <c r="K788" i="21" s="1"/>
  <c r="P787" i="21"/>
  <c r="O787" i="21"/>
  <c r="N787" i="21"/>
  <c r="M787" i="21"/>
  <c r="L787" i="21"/>
  <c r="J787" i="21"/>
  <c r="K787" i="21" s="1"/>
  <c r="P786" i="21"/>
  <c r="O786" i="21"/>
  <c r="M786" i="21"/>
  <c r="L786" i="21"/>
  <c r="K786" i="21"/>
  <c r="J786" i="21"/>
  <c r="N786" i="21" s="1"/>
  <c r="P785" i="21"/>
  <c r="O785" i="21"/>
  <c r="N785" i="21"/>
  <c r="M785" i="21"/>
  <c r="L785" i="21"/>
  <c r="J785" i="21"/>
  <c r="K785" i="21" s="1"/>
  <c r="P784" i="21"/>
  <c r="O784" i="21"/>
  <c r="N784" i="21"/>
  <c r="M784" i="21"/>
  <c r="L784" i="21"/>
  <c r="J784" i="21"/>
  <c r="K784" i="21" s="1"/>
  <c r="P783" i="21"/>
  <c r="O783" i="21"/>
  <c r="N783" i="21"/>
  <c r="M783" i="21"/>
  <c r="L783" i="21"/>
  <c r="J783" i="21"/>
  <c r="K783" i="21" s="1"/>
  <c r="P782" i="21"/>
  <c r="O782" i="21"/>
  <c r="M782" i="21"/>
  <c r="L782" i="21"/>
  <c r="K782" i="21"/>
  <c r="J782" i="21"/>
  <c r="N782" i="21" s="1"/>
  <c r="P781" i="21"/>
  <c r="O781" i="21"/>
  <c r="N781" i="21"/>
  <c r="M781" i="21"/>
  <c r="L781" i="21"/>
  <c r="J781" i="21"/>
  <c r="K781" i="21" s="1"/>
  <c r="P780" i="21"/>
  <c r="O780" i="21"/>
  <c r="N780" i="21"/>
  <c r="M780" i="21"/>
  <c r="L780" i="21"/>
  <c r="J780" i="21"/>
  <c r="K780" i="21" s="1"/>
  <c r="P779" i="21"/>
  <c r="O779" i="21"/>
  <c r="N779" i="21"/>
  <c r="M779" i="21"/>
  <c r="L779" i="21"/>
  <c r="J779" i="21"/>
  <c r="K779" i="21" s="1"/>
  <c r="P778" i="21"/>
  <c r="O778" i="21"/>
  <c r="M778" i="21"/>
  <c r="L778" i="21"/>
  <c r="K778" i="21"/>
  <c r="J778" i="21"/>
  <c r="N778" i="21" s="1"/>
  <c r="P777" i="21"/>
  <c r="O777" i="21"/>
  <c r="N777" i="21"/>
  <c r="M777" i="21"/>
  <c r="L777" i="21"/>
  <c r="J777" i="21"/>
  <c r="K777" i="21" s="1"/>
  <c r="P776" i="21"/>
  <c r="O776" i="21"/>
  <c r="N776" i="21"/>
  <c r="M776" i="21"/>
  <c r="L776" i="21"/>
  <c r="J776" i="21"/>
  <c r="K776" i="21" s="1"/>
  <c r="P775" i="21"/>
  <c r="O775" i="21"/>
  <c r="M775" i="21"/>
  <c r="L775" i="21"/>
  <c r="K775" i="21"/>
  <c r="J775" i="21"/>
  <c r="N775" i="21" s="1"/>
  <c r="P774" i="21"/>
  <c r="O774" i="21"/>
  <c r="N774" i="21"/>
  <c r="M774" i="21"/>
  <c r="L774" i="21"/>
  <c r="J774" i="21"/>
  <c r="K774" i="21" s="1"/>
  <c r="P773" i="21"/>
  <c r="O773" i="21"/>
  <c r="N773" i="21"/>
  <c r="M773" i="21"/>
  <c r="L773" i="21"/>
  <c r="J773" i="21"/>
  <c r="K773" i="21" s="1"/>
  <c r="P772" i="21"/>
  <c r="O772" i="21"/>
  <c r="N772" i="21"/>
  <c r="M772" i="21"/>
  <c r="L772" i="21"/>
  <c r="J772" i="21"/>
  <c r="K772" i="21" s="1"/>
  <c r="P769" i="21"/>
  <c r="O769" i="21"/>
  <c r="M769" i="21"/>
  <c r="L769" i="21"/>
  <c r="K769" i="21"/>
  <c r="J769" i="21"/>
  <c r="N769" i="21" s="1"/>
  <c r="P768" i="21"/>
  <c r="O768" i="21"/>
  <c r="N768" i="21"/>
  <c r="M768" i="21"/>
  <c r="L768" i="21"/>
  <c r="J768" i="21"/>
  <c r="K768" i="21" s="1"/>
  <c r="P767" i="21"/>
  <c r="O767" i="21"/>
  <c r="N767" i="21"/>
  <c r="M767" i="21"/>
  <c r="L767" i="21"/>
  <c r="J767" i="21"/>
  <c r="K767" i="21" s="1"/>
  <c r="P766" i="21"/>
  <c r="O766" i="21"/>
  <c r="N766" i="21"/>
  <c r="M766" i="21"/>
  <c r="L766" i="21"/>
  <c r="J766" i="21"/>
  <c r="K766" i="21" s="1"/>
  <c r="P765" i="21"/>
  <c r="O765" i="21"/>
  <c r="M765" i="21"/>
  <c r="L765" i="21"/>
  <c r="K765" i="21"/>
  <c r="J765" i="21"/>
  <c r="N765" i="21" s="1"/>
  <c r="P764" i="21"/>
  <c r="O764" i="21"/>
  <c r="N764" i="21"/>
  <c r="M764" i="21"/>
  <c r="L764" i="21"/>
  <c r="J764" i="21"/>
  <c r="K764" i="21" s="1"/>
  <c r="P763" i="21"/>
  <c r="O763" i="21"/>
  <c r="N763" i="21"/>
  <c r="M763" i="21"/>
  <c r="L763" i="21"/>
  <c r="J763" i="21"/>
  <c r="K763" i="21" s="1"/>
  <c r="P762" i="21"/>
  <c r="O762" i="21"/>
  <c r="N762" i="21"/>
  <c r="M762" i="21"/>
  <c r="L762" i="21"/>
  <c r="J762" i="21"/>
  <c r="K762" i="21" s="1"/>
  <c r="P806" i="21"/>
  <c r="O806" i="21"/>
  <c r="M806" i="21"/>
  <c r="L806" i="21"/>
  <c r="K806" i="21"/>
  <c r="J806" i="21"/>
  <c r="N806" i="21" s="1"/>
  <c r="P805" i="21"/>
  <c r="O805" i="21"/>
  <c r="N805" i="21"/>
  <c r="M805" i="21"/>
  <c r="L805" i="21"/>
  <c r="J805" i="21"/>
  <c r="K805" i="21" s="1"/>
  <c r="P804" i="21"/>
  <c r="N804" i="21"/>
  <c r="M804" i="21"/>
  <c r="L804" i="21"/>
  <c r="K804" i="21"/>
  <c r="J804" i="21"/>
  <c r="O804" i="21" s="1"/>
  <c r="P803" i="21"/>
  <c r="O803" i="21"/>
  <c r="N803" i="21"/>
  <c r="M803" i="21"/>
  <c r="L803" i="21"/>
  <c r="J803" i="21"/>
  <c r="K803" i="21" s="1"/>
  <c r="P802" i="21"/>
  <c r="O802" i="21"/>
  <c r="N802" i="21"/>
  <c r="M802" i="21"/>
  <c r="L802" i="21"/>
  <c r="J802" i="21"/>
  <c r="K802" i="21" s="1"/>
  <c r="P813" i="21"/>
  <c r="O813" i="21"/>
  <c r="M813" i="21"/>
  <c r="L813" i="21"/>
  <c r="K813" i="21"/>
  <c r="J813" i="21"/>
  <c r="N813" i="21" s="1"/>
  <c r="P812" i="21"/>
  <c r="O812" i="21"/>
  <c r="N812" i="21"/>
  <c r="M812" i="21"/>
  <c r="L812" i="21"/>
  <c r="J812" i="21"/>
  <c r="K812" i="21" s="1"/>
  <c r="P811" i="21"/>
  <c r="O811" i="21"/>
  <c r="N811" i="21"/>
  <c r="M811" i="21"/>
  <c r="L811" i="21"/>
  <c r="J811" i="21"/>
  <c r="K811" i="21" s="1"/>
  <c r="P810" i="21"/>
  <c r="O810" i="21"/>
  <c r="N810" i="21"/>
  <c r="M810" i="21"/>
  <c r="L810" i="21"/>
  <c r="J810" i="21"/>
  <c r="K810" i="21" s="1"/>
  <c r="P809" i="21"/>
  <c r="O809" i="21"/>
  <c r="M809" i="21"/>
  <c r="L809" i="21"/>
  <c r="K809" i="21"/>
  <c r="J809" i="21"/>
  <c r="N809" i="21" s="1"/>
  <c r="P808" i="21"/>
  <c r="O808" i="21"/>
  <c r="N808" i="21"/>
  <c r="M808" i="21"/>
  <c r="L808" i="21"/>
  <c r="J808" i="21"/>
  <c r="K808" i="21" s="1"/>
  <c r="P807" i="21"/>
  <c r="O807" i="21"/>
  <c r="N807" i="21"/>
  <c r="M807" i="21"/>
  <c r="L807" i="21"/>
  <c r="J807" i="21"/>
  <c r="K807" i="21" s="1"/>
  <c r="P2172" i="21"/>
  <c r="O2172" i="21"/>
  <c r="N2172" i="21"/>
  <c r="M2172" i="21"/>
  <c r="L2172" i="21"/>
  <c r="K2172" i="21"/>
  <c r="J2172" i="21"/>
  <c r="P2171" i="21"/>
  <c r="O2171" i="21"/>
  <c r="N2171" i="21"/>
  <c r="M2171" i="21"/>
  <c r="L2171" i="21"/>
  <c r="K2171" i="21"/>
  <c r="J2171" i="21"/>
  <c r="P2170" i="21"/>
  <c r="O2170" i="21"/>
  <c r="N2170" i="21"/>
  <c r="M2170" i="21"/>
  <c r="L2170" i="21"/>
  <c r="K2170" i="21"/>
  <c r="J2170" i="21"/>
  <c r="P2169" i="21"/>
  <c r="O2169" i="21"/>
  <c r="N2169" i="21"/>
  <c r="M2169" i="21"/>
  <c r="L2169" i="21"/>
  <c r="K2169" i="21"/>
  <c r="J2169" i="21"/>
  <c r="P2168" i="21"/>
  <c r="O2168" i="21"/>
  <c r="N2168" i="21"/>
  <c r="M2168" i="21"/>
  <c r="L2168" i="21"/>
  <c r="K2168" i="21"/>
  <c r="J2168" i="21"/>
  <c r="P2167" i="21"/>
  <c r="O2167" i="21"/>
  <c r="N2167" i="21"/>
  <c r="M2167" i="21"/>
  <c r="L2167" i="21"/>
  <c r="K2167" i="21"/>
  <c r="J2167" i="21"/>
  <c r="P2166" i="21"/>
  <c r="O2166" i="21"/>
  <c r="N2166" i="21"/>
  <c r="M2166" i="21"/>
  <c r="L2166" i="21"/>
  <c r="K2166" i="21"/>
  <c r="J2166" i="21"/>
  <c r="P2165" i="21"/>
  <c r="O2165" i="21"/>
  <c r="N2165" i="21"/>
  <c r="M2165" i="21"/>
  <c r="L2165" i="21"/>
  <c r="K2165" i="21"/>
  <c r="J2165" i="21"/>
  <c r="P2164" i="21"/>
  <c r="O2164" i="21"/>
  <c r="N2164" i="21"/>
  <c r="M2164" i="21"/>
  <c r="L2164" i="21"/>
  <c r="K2164" i="21"/>
  <c r="J2164" i="21"/>
  <c r="P2163" i="21"/>
  <c r="O2163" i="21"/>
  <c r="N2163" i="21"/>
  <c r="M2163" i="21"/>
  <c r="L2163" i="21"/>
  <c r="J2163" i="21"/>
  <c r="K2163" i="21" s="1"/>
  <c r="P2162" i="21"/>
  <c r="O2162" i="21"/>
  <c r="N2162" i="21"/>
  <c r="M2162" i="21"/>
  <c r="L2162" i="21"/>
  <c r="K2162" i="21"/>
  <c r="J2162" i="21"/>
  <c r="P2161" i="21"/>
  <c r="O2161" i="21"/>
  <c r="N2161" i="21"/>
  <c r="M2161" i="21"/>
  <c r="L2161" i="21"/>
  <c r="J2161" i="21"/>
  <c r="K2161" i="21" s="1"/>
  <c r="G92" i="21"/>
  <c r="G91" i="21"/>
  <c r="G90" i="21"/>
  <c r="G89" i="21"/>
  <c r="G77" i="21"/>
  <c r="G80" i="21"/>
  <c r="G79" i="21"/>
  <c r="G78" i="21"/>
  <c r="G66" i="21"/>
  <c r="G33" i="11"/>
  <c r="G34" i="11"/>
  <c r="J34" i="11" s="1"/>
  <c r="M34" i="11" s="1"/>
  <c r="G35" i="11"/>
  <c r="P34" i="11"/>
  <c r="O34" i="11"/>
  <c r="N34" i="11"/>
  <c r="L34" i="11"/>
  <c r="K34" i="11"/>
  <c r="E103" i="4"/>
  <c r="H103" i="4" s="1"/>
  <c r="J103" i="4" s="1"/>
  <c r="E104" i="4"/>
  <c r="H104" i="4" s="1"/>
  <c r="K104" i="4" s="1"/>
  <c r="E105" i="4"/>
  <c r="H105" i="4" s="1"/>
  <c r="L105" i="4" s="1"/>
  <c r="E106" i="4"/>
  <c r="H106" i="4" s="1"/>
  <c r="L106" i="4" s="1"/>
  <c r="E107" i="4"/>
  <c r="H107" i="4" s="1"/>
  <c r="L107" i="4" s="1"/>
  <c r="Q104" i="4"/>
  <c r="P104" i="4"/>
  <c r="O104" i="4"/>
  <c r="N104" i="4"/>
  <c r="M104" i="4"/>
  <c r="L104" i="4"/>
  <c r="J104" i="4"/>
  <c r="I104" i="4"/>
  <c r="Q105" i="4"/>
  <c r="P105" i="4"/>
  <c r="O105" i="4"/>
  <c r="N105" i="4"/>
  <c r="M105" i="4"/>
  <c r="K105" i="4"/>
  <c r="J105" i="4"/>
  <c r="I105" i="4"/>
  <c r="Q84" i="4"/>
  <c r="P84" i="4"/>
  <c r="O84" i="4"/>
  <c r="N84" i="4"/>
  <c r="M84" i="4"/>
  <c r="K84" i="4"/>
  <c r="J84" i="4"/>
  <c r="I84" i="4"/>
  <c r="H84" i="4"/>
  <c r="L84" i="4" s="1"/>
  <c r="Q83" i="4"/>
  <c r="P83" i="4"/>
  <c r="O83" i="4"/>
  <c r="N83" i="4"/>
  <c r="M83" i="4"/>
  <c r="K83" i="4"/>
  <c r="J83" i="4"/>
  <c r="I83" i="4"/>
  <c r="H83" i="4"/>
  <c r="L83" i="4" s="1"/>
  <c r="Q85" i="4"/>
  <c r="P85" i="4"/>
  <c r="O85" i="4"/>
  <c r="N85" i="4"/>
  <c r="M85" i="4"/>
  <c r="K85" i="4"/>
  <c r="J85" i="4"/>
  <c r="I85" i="4"/>
  <c r="H85" i="4"/>
  <c r="L85" i="4" s="1"/>
  <c r="E78" i="4"/>
  <c r="H78" i="4" s="1"/>
  <c r="L78" i="4" s="1"/>
  <c r="E73" i="4"/>
  <c r="H73" i="4" s="1"/>
  <c r="L73" i="4" s="1"/>
  <c r="E72" i="4"/>
  <c r="H72" i="4" s="1"/>
  <c r="L72" i="4" s="1"/>
  <c r="E71" i="4"/>
  <c r="H71" i="4" s="1"/>
  <c r="K71" i="4" s="1"/>
  <c r="E70" i="4"/>
  <c r="H70" i="4" s="1"/>
  <c r="J70" i="4" s="1"/>
  <c r="Q171" i="4"/>
  <c r="P171" i="4"/>
  <c r="O171" i="4"/>
  <c r="N171" i="4"/>
  <c r="M171" i="4"/>
  <c r="K171" i="4"/>
  <c r="J171" i="4"/>
  <c r="I171" i="4"/>
  <c r="H171" i="4"/>
  <c r="L171" i="4" s="1"/>
  <c r="Q170" i="4"/>
  <c r="P170" i="4"/>
  <c r="O170" i="4"/>
  <c r="N170" i="4"/>
  <c r="M170" i="4"/>
  <c r="L170" i="4"/>
  <c r="K170" i="4"/>
  <c r="I170" i="4"/>
  <c r="H170" i="4"/>
  <c r="J170" i="4" s="1"/>
  <c r="Q167" i="4"/>
  <c r="P167" i="4"/>
  <c r="O167" i="4"/>
  <c r="N167" i="4"/>
  <c r="M167" i="4"/>
  <c r="K167" i="4"/>
  <c r="J167" i="4"/>
  <c r="I167" i="4"/>
  <c r="H167" i="4"/>
  <c r="L167" i="4" s="1"/>
  <c r="Q166" i="4"/>
  <c r="P166" i="4"/>
  <c r="O166" i="4"/>
  <c r="N166" i="4"/>
  <c r="M166" i="4"/>
  <c r="K166" i="4"/>
  <c r="J166" i="4"/>
  <c r="I166" i="4"/>
  <c r="H166" i="4"/>
  <c r="L166" i="4" s="1"/>
  <c r="Q165" i="4"/>
  <c r="P165" i="4"/>
  <c r="O165" i="4"/>
  <c r="N165" i="4"/>
  <c r="M165" i="4"/>
  <c r="L165" i="4"/>
  <c r="K165" i="4"/>
  <c r="I165" i="4"/>
  <c r="H165" i="4"/>
  <c r="J165" i="4" s="1"/>
  <c r="Q162" i="4"/>
  <c r="P162" i="4"/>
  <c r="O162" i="4"/>
  <c r="N162" i="4"/>
  <c r="M162" i="4"/>
  <c r="K162" i="4"/>
  <c r="J162" i="4"/>
  <c r="I162" i="4"/>
  <c r="H162" i="4"/>
  <c r="L162" i="4" s="1"/>
  <c r="Q161" i="4"/>
  <c r="P161" i="4"/>
  <c r="O161" i="4"/>
  <c r="N161" i="4"/>
  <c r="M161" i="4"/>
  <c r="K161" i="4"/>
  <c r="J161" i="4"/>
  <c r="I161" i="4"/>
  <c r="H161" i="4"/>
  <c r="L161" i="4" s="1"/>
  <c r="Q158" i="4"/>
  <c r="P158" i="4"/>
  <c r="O158" i="4"/>
  <c r="N158" i="4"/>
  <c r="M158" i="4"/>
  <c r="L158" i="4"/>
  <c r="K158" i="4"/>
  <c r="I158" i="4"/>
  <c r="H158" i="4"/>
  <c r="J158" i="4" s="1"/>
  <c r="Q155" i="4"/>
  <c r="P155" i="4"/>
  <c r="O155" i="4"/>
  <c r="N155" i="4"/>
  <c r="M155" i="4"/>
  <c r="K155" i="4"/>
  <c r="J155" i="4"/>
  <c r="I155" i="4"/>
  <c r="H155" i="4"/>
  <c r="L155" i="4" s="1"/>
  <c r="Q154" i="4"/>
  <c r="P154" i="4"/>
  <c r="O154" i="4"/>
  <c r="N154" i="4"/>
  <c r="M154" i="4"/>
  <c r="K154" i="4"/>
  <c r="J154" i="4"/>
  <c r="I154" i="4"/>
  <c r="H154" i="4"/>
  <c r="L154" i="4" s="1"/>
  <c r="Q153" i="4"/>
  <c r="P153" i="4"/>
  <c r="O153" i="4"/>
  <c r="N153" i="4"/>
  <c r="M153" i="4"/>
  <c r="K153" i="4"/>
  <c r="J153" i="4"/>
  <c r="I153" i="4"/>
  <c r="H153" i="4"/>
  <c r="L153" i="4" s="1"/>
  <c r="Q146" i="4"/>
  <c r="P146" i="4"/>
  <c r="O146" i="4"/>
  <c r="N146" i="4"/>
  <c r="L146" i="4"/>
  <c r="K146" i="4"/>
  <c r="J146" i="4"/>
  <c r="I146" i="4"/>
  <c r="H146" i="4"/>
  <c r="M146" i="4" s="1"/>
  <c r="Q145" i="4"/>
  <c r="P145" i="4"/>
  <c r="O145" i="4"/>
  <c r="N145" i="4"/>
  <c r="L145" i="4"/>
  <c r="K145" i="4"/>
  <c r="J145" i="4"/>
  <c r="I145" i="4"/>
  <c r="H145" i="4"/>
  <c r="M145" i="4" s="1"/>
  <c r="Q144" i="4"/>
  <c r="P144" i="4"/>
  <c r="O144" i="4"/>
  <c r="N144" i="4"/>
  <c r="L144" i="4"/>
  <c r="K144" i="4"/>
  <c r="J144" i="4"/>
  <c r="I144" i="4"/>
  <c r="H144" i="4"/>
  <c r="M144" i="4" s="1"/>
  <c r="Q143" i="4"/>
  <c r="P143" i="4"/>
  <c r="O143" i="4"/>
  <c r="N143" i="4"/>
  <c r="M143" i="4"/>
  <c r="L143" i="4"/>
  <c r="K143" i="4"/>
  <c r="I143" i="4"/>
  <c r="H143" i="4"/>
  <c r="J143" i="4" s="1"/>
  <c r="Q140" i="4"/>
  <c r="P140" i="4"/>
  <c r="O140" i="4"/>
  <c r="N140" i="4"/>
  <c r="L140" i="4"/>
  <c r="K140" i="4"/>
  <c r="J140" i="4"/>
  <c r="I140" i="4"/>
  <c r="H140" i="4"/>
  <c r="M140" i="4" s="1"/>
  <c r="Q139" i="4"/>
  <c r="P139" i="4"/>
  <c r="O139" i="4"/>
  <c r="N139" i="4"/>
  <c r="L139" i="4"/>
  <c r="K139" i="4"/>
  <c r="J139" i="4"/>
  <c r="I139" i="4"/>
  <c r="H139" i="4"/>
  <c r="M139" i="4" s="1"/>
  <c r="Q137" i="4"/>
  <c r="P137" i="4"/>
  <c r="O137" i="4"/>
  <c r="N137" i="4"/>
  <c r="M137" i="4"/>
  <c r="K137" i="4"/>
  <c r="J137" i="4"/>
  <c r="I137" i="4"/>
  <c r="H137" i="4"/>
  <c r="L137" i="4" s="1"/>
  <c r="Q136" i="4"/>
  <c r="P136" i="4"/>
  <c r="O136" i="4"/>
  <c r="N136" i="4"/>
  <c r="M136" i="4"/>
  <c r="L136" i="4"/>
  <c r="K136" i="4"/>
  <c r="I136" i="4"/>
  <c r="H136" i="4"/>
  <c r="J136" i="4" s="1"/>
  <c r="Q133" i="4"/>
  <c r="P133" i="4"/>
  <c r="O133" i="4"/>
  <c r="N133" i="4"/>
  <c r="M133" i="4"/>
  <c r="K133" i="4"/>
  <c r="J133" i="4"/>
  <c r="I133" i="4"/>
  <c r="H133" i="4"/>
  <c r="L133" i="4" s="1"/>
  <c r="Q132" i="4"/>
  <c r="P132" i="4"/>
  <c r="O132" i="4"/>
  <c r="N132" i="4"/>
  <c r="M132" i="4"/>
  <c r="K132" i="4"/>
  <c r="J132" i="4"/>
  <c r="I132" i="4"/>
  <c r="H132" i="4"/>
  <c r="L132" i="4" s="1"/>
  <c r="Q131" i="4"/>
  <c r="P131" i="4"/>
  <c r="O131" i="4"/>
  <c r="N131" i="4"/>
  <c r="M131" i="4"/>
  <c r="L131" i="4"/>
  <c r="K131" i="4"/>
  <c r="I131" i="4"/>
  <c r="H131" i="4"/>
  <c r="J131" i="4" s="1"/>
  <c r="Q128" i="4"/>
  <c r="P128" i="4"/>
  <c r="O128" i="4"/>
  <c r="N128" i="4"/>
  <c r="M128" i="4"/>
  <c r="K128" i="4"/>
  <c r="J128" i="4"/>
  <c r="I128" i="4"/>
  <c r="H128" i="4"/>
  <c r="L128" i="4" s="1"/>
  <c r="Q127" i="4"/>
  <c r="P127" i="4"/>
  <c r="O127" i="4"/>
  <c r="N127" i="4"/>
  <c r="M127" i="4"/>
  <c r="K127" i="4"/>
  <c r="J127" i="4"/>
  <c r="I127" i="4"/>
  <c r="H127" i="4"/>
  <c r="L127" i="4" s="1"/>
  <c r="Q126" i="4"/>
  <c r="P126" i="4"/>
  <c r="O126" i="4"/>
  <c r="N126" i="4"/>
  <c r="M126" i="4"/>
  <c r="L126" i="4"/>
  <c r="K126" i="4"/>
  <c r="I126" i="4"/>
  <c r="H126" i="4"/>
  <c r="J126" i="4" s="1"/>
  <c r="Q123" i="4"/>
  <c r="P123" i="4"/>
  <c r="O123" i="4"/>
  <c r="N123" i="4"/>
  <c r="M123" i="4"/>
  <c r="K123" i="4"/>
  <c r="J123" i="4"/>
  <c r="I123" i="4"/>
  <c r="H123" i="4"/>
  <c r="L123" i="4" s="1"/>
  <c r="Q122" i="4"/>
  <c r="P122" i="4"/>
  <c r="O122" i="4"/>
  <c r="N122" i="4"/>
  <c r="M122" i="4"/>
  <c r="K122" i="4"/>
  <c r="J122" i="4"/>
  <c r="I122" i="4"/>
  <c r="H122" i="4"/>
  <c r="L122" i="4" s="1"/>
  <c r="Q121" i="4"/>
  <c r="P121" i="4"/>
  <c r="O121" i="4"/>
  <c r="N121" i="4"/>
  <c r="M121" i="4"/>
  <c r="L121" i="4"/>
  <c r="K121" i="4"/>
  <c r="I121" i="4"/>
  <c r="H121" i="4"/>
  <c r="J121" i="4" s="1"/>
  <c r="Q118" i="4"/>
  <c r="P118" i="4"/>
  <c r="O118" i="4"/>
  <c r="N118" i="4"/>
  <c r="M118" i="4"/>
  <c r="K118" i="4"/>
  <c r="J118" i="4"/>
  <c r="I118" i="4"/>
  <c r="H118" i="4"/>
  <c r="L118" i="4" s="1"/>
  <c r="Q117" i="4"/>
  <c r="P117" i="4"/>
  <c r="O117" i="4"/>
  <c r="N117" i="4"/>
  <c r="M117" i="4"/>
  <c r="K117" i="4"/>
  <c r="J117" i="4"/>
  <c r="I117" i="4"/>
  <c r="H117" i="4"/>
  <c r="L117" i="4" s="1"/>
  <c r="Q116" i="4"/>
  <c r="P116" i="4"/>
  <c r="O116" i="4"/>
  <c r="N116" i="4"/>
  <c r="M116" i="4"/>
  <c r="L116" i="4"/>
  <c r="K116" i="4"/>
  <c r="I116" i="4"/>
  <c r="H116" i="4"/>
  <c r="J116" i="4" s="1"/>
  <c r="Q113" i="4"/>
  <c r="P113" i="4"/>
  <c r="O113" i="4"/>
  <c r="N113" i="4"/>
  <c r="M113" i="4"/>
  <c r="K113" i="4"/>
  <c r="J113" i="4"/>
  <c r="I113" i="4"/>
  <c r="H113" i="4"/>
  <c r="L113" i="4" s="1"/>
  <c r="Q112" i="4"/>
  <c r="P112" i="4"/>
  <c r="O112" i="4"/>
  <c r="N112" i="4"/>
  <c r="M112" i="4"/>
  <c r="K112" i="4"/>
  <c r="J112" i="4"/>
  <c r="I112" i="4"/>
  <c r="H112" i="4"/>
  <c r="L112" i="4" s="1"/>
  <c r="Q111" i="4"/>
  <c r="P111" i="4"/>
  <c r="O111" i="4"/>
  <c r="N111" i="4"/>
  <c r="M111" i="4"/>
  <c r="L111" i="4"/>
  <c r="K111" i="4"/>
  <c r="I111" i="4"/>
  <c r="H111" i="4"/>
  <c r="J111" i="4" s="1"/>
  <c r="Q107" i="4"/>
  <c r="P107" i="4"/>
  <c r="O107" i="4"/>
  <c r="N107" i="4"/>
  <c r="M107" i="4"/>
  <c r="K107" i="4"/>
  <c r="J107" i="4"/>
  <c r="I107" i="4"/>
  <c r="Q106" i="4"/>
  <c r="P106" i="4"/>
  <c r="O106" i="4"/>
  <c r="N106" i="4"/>
  <c r="M106" i="4"/>
  <c r="K106" i="4"/>
  <c r="J106" i="4"/>
  <c r="I106" i="4"/>
  <c r="Q103" i="4"/>
  <c r="P103" i="4"/>
  <c r="O103" i="4"/>
  <c r="N103" i="4"/>
  <c r="M103" i="4"/>
  <c r="L103" i="4"/>
  <c r="K103" i="4"/>
  <c r="I103" i="4"/>
  <c r="Q100" i="4"/>
  <c r="P100" i="4"/>
  <c r="O100" i="4"/>
  <c r="N100" i="4"/>
  <c r="M100" i="4"/>
  <c r="K100" i="4"/>
  <c r="J100" i="4"/>
  <c r="I100" i="4"/>
  <c r="H100" i="4"/>
  <c r="L100" i="4" s="1"/>
  <c r="Q99" i="4"/>
  <c r="P99" i="4"/>
  <c r="O99" i="4"/>
  <c r="N99" i="4"/>
  <c r="M99" i="4"/>
  <c r="K99" i="4"/>
  <c r="J99" i="4"/>
  <c r="I99" i="4"/>
  <c r="H99" i="4"/>
  <c r="L99" i="4" s="1"/>
  <c r="Q98" i="4"/>
  <c r="P98" i="4"/>
  <c r="O98" i="4"/>
  <c r="N98" i="4"/>
  <c r="M98" i="4"/>
  <c r="K98" i="4"/>
  <c r="J98" i="4"/>
  <c r="I98" i="4"/>
  <c r="H98" i="4"/>
  <c r="L98" i="4" s="1"/>
  <c r="Q97" i="4"/>
  <c r="P97" i="4"/>
  <c r="O97" i="4"/>
  <c r="N97" i="4"/>
  <c r="M97" i="4"/>
  <c r="L97" i="4"/>
  <c r="K97" i="4"/>
  <c r="I97" i="4"/>
  <c r="H97" i="4"/>
  <c r="J97" i="4" s="1"/>
  <c r="Q94" i="4"/>
  <c r="P94" i="4"/>
  <c r="O94" i="4"/>
  <c r="N94" i="4"/>
  <c r="M94" i="4"/>
  <c r="K94" i="4"/>
  <c r="J94" i="4"/>
  <c r="I94" i="4"/>
  <c r="H94" i="4"/>
  <c r="L94" i="4" s="1"/>
  <c r="Q93" i="4"/>
  <c r="P93" i="4"/>
  <c r="O93" i="4"/>
  <c r="N93" i="4"/>
  <c r="M93" i="4"/>
  <c r="K93" i="4"/>
  <c r="J93" i="4"/>
  <c r="I93" i="4"/>
  <c r="H93" i="4"/>
  <c r="L93" i="4" s="1"/>
  <c r="Q92" i="4"/>
  <c r="P92" i="4"/>
  <c r="O92" i="4"/>
  <c r="N92" i="4"/>
  <c r="M92" i="4"/>
  <c r="K92" i="4"/>
  <c r="J92" i="4"/>
  <c r="I92" i="4"/>
  <c r="H92" i="4"/>
  <c r="L92" i="4" s="1"/>
  <c r="Q91" i="4"/>
  <c r="P91" i="4"/>
  <c r="O91" i="4"/>
  <c r="N91" i="4"/>
  <c r="M91" i="4"/>
  <c r="K91" i="4"/>
  <c r="J91" i="4"/>
  <c r="I91" i="4"/>
  <c r="H91" i="4"/>
  <c r="L91" i="4" s="1"/>
  <c r="Q90" i="4"/>
  <c r="P90" i="4"/>
  <c r="O90" i="4"/>
  <c r="N90" i="4"/>
  <c r="M90" i="4"/>
  <c r="L90" i="4"/>
  <c r="K90" i="4"/>
  <c r="I90" i="4"/>
  <c r="H90" i="4"/>
  <c r="J90" i="4" s="1"/>
  <c r="Q87" i="4"/>
  <c r="P87" i="4"/>
  <c r="O87" i="4"/>
  <c r="N87" i="4"/>
  <c r="M87" i="4"/>
  <c r="L87" i="4"/>
  <c r="K87" i="4"/>
  <c r="J87" i="4"/>
  <c r="I87" i="4"/>
  <c r="H87" i="4"/>
  <c r="Q86" i="4"/>
  <c r="P86" i="4"/>
  <c r="O86" i="4"/>
  <c r="N86" i="4"/>
  <c r="M86" i="4"/>
  <c r="K86" i="4"/>
  <c r="J86" i="4"/>
  <c r="I86" i="4"/>
  <c r="H86" i="4"/>
  <c r="L86" i="4" s="1"/>
  <c r="Q82" i="4"/>
  <c r="P82" i="4"/>
  <c r="O82" i="4"/>
  <c r="N82" i="4"/>
  <c r="M82" i="4"/>
  <c r="L82" i="4"/>
  <c r="J82" i="4"/>
  <c r="I82" i="4"/>
  <c r="H82" i="4"/>
  <c r="K82" i="4" s="1"/>
  <c r="Q81" i="4"/>
  <c r="P81" i="4"/>
  <c r="O81" i="4"/>
  <c r="N81" i="4"/>
  <c r="M81" i="4"/>
  <c r="L81" i="4"/>
  <c r="K81" i="4"/>
  <c r="I81" i="4"/>
  <c r="H81" i="4"/>
  <c r="J81" i="4" s="1"/>
  <c r="Q78" i="4"/>
  <c r="P78" i="4"/>
  <c r="O78" i="4"/>
  <c r="N78" i="4"/>
  <c r="M78" i="4"/>
  <c r="K78" i="4"/>
  <c r="J78" i="4"/>
  <c r="I78" i="4"/>
  <c r="Q77" i="4"/>
  <c r="P77" i="4"/>
  <c r="O77" i="4"/>
  <c r="N77" i="4"/>
  <c r="M77" i="4"/>
  <c r="L77" i="4"/>
  <c r="K77" i="4"/>
  <c r="I77" i="4"/>
  <c r="H77" i="4"/>
  <c r="J77" i="4" s="1"/>
  <c r="Q74" i="4"/>
  <c r="P74" i="4"/>
  <c r="O74" i="4"/>
  <c r="N74" i="4"/>
  <c r="M74" i="4"/>
  <c r="L74" i="4"/>
  <c r="K74" i="4"/>
  <c r="J74" i="4"/>
  <c r="I74" i="4"/>
  <c r="H74" i="4"/>
  <c r="Q73" i="4"/>
  <c r="P73" i="4"/>
  <c r="O73" i="4"/>
  <c r="N73" i="4"/>
  <c r="M73" i="4"/>
  <c r="K73" i="4"/>
  <c r="J73" i="4"/>
  <c r="I73" i="4"/>
  <c r="Q72" i="4"/>
  <c r="P72" i="4"/>
  <c r="O72" i="4"/>
  <c r="N72" i="4"/>
  <c r="M72" i="4"/>
  <c r="K72" i="4"/>
  <c r="J72" i="4"/>
  <c r="I72" i="4"/>
  <c r="Q71" i="4"/>
  <c r="P71" i="4"/>
  <c r="O71" i="4"/>
  <c r="N71" i="4"/>
  <c r="M71" i="4"/>
  <c r="L71" i="4"/>
  <c r="J71" i="4"/>
  <c r="I71" i="4"/>
  <c r="Q70" i="4"/>
  <c r="P70" i="4"/>
  <c r="O70" i="4"/>
  <c r="N70" i="4"/>
  <c r="M70" i="4"/>
  <c r="L70" i="4"/>
  <c r="K70" i="4"/>
  <c r="I70" i="4"/>
  <c r="E66" i="4"/>
  <c r="E67" i="4"/>
  <c r="N350" i="21" l="1"/>
  <c r="O148" i="4"/>
  <c r="L148" i="4"/>
  <c r="J148" i="4"/>
  <c r="N148" i="4"/>
  <c r="P148" i="4"/>
  <c r="K148" i="4"/>
  <c r="Q148" i="4"/>
  <c r="I148" i="4"/>
  <c r="M148" i="4"/>
  <c r="N227" i="21"/>
  <c r="K169" i="4"/>
  <c r="N142" i="4"/>
  <c r="P142" i="4"/>
  <c r="M135" i="4"/>
  <c r="O130" i="4"/>
  <c r="J130" i="4"/>
  <c r="K130" i="4"/>
  <c r="M115" i="4"/>
  <c r="N169" i="4"/>
  <c r="Q120" i="4"/>
  <c r="L130" i="4"/>
  <c r="L169" i="4"/>
  <c r="L120" i="4"/>
  <c r="K110" i="4"/>
  <c r="I115" i="4"/>
  <c r="K115" i="4"/>
  <c r="P120" i="4"/>
  <c r="K142" i="4"/>
  <c r="J142" i="4"/>
  <c r="L142" i="4"/>
  <c r="K120" i="4"/>
  <c r="M120" i="4"/>
  <c r="P135" i="4"/>
  <c r="M130" i="4"/>
  <c r="M142" i="4"/>
  <c r="Q142" i="4"/>
  <c r="L135" i="4"/>
  <c r="O120" i="4"/>
  <c r="P130" i="4"/>
  <c r="P169" i="4"/>
  <c r="N110" i="4"/>
  <c r="J115" i="4"/>
  <c r="I130" i="4"/>
  <c r="Q102" i="4"/>
  <c r="J102" i="4"/>
  <c r="I102" i="4"/>
  <c r="L102" i="4"/>
  <c r="P102" i="4"/>
  <c r="M102" i="4"/>
  <c r="O102" i="4"/>
  <c r="K157" i="4"/>
  <c r="O96" i="4"/>
  <c r="K96" i="4"/>
  <c r="J89" i="4"/>
  <c r="Q89" i="4"/>
  <c r="K80" i="4"/>
  <c r="I76" i="4"/>
  <c r="P157" i="4"/>
  <c r="J164" i="4"/>
  <c r="O157" i="4"/>
  <c r="N76" i="4"/>
  <c r="P125" i="4"/>
  <c r="L157" i="4"/>
  <c r="K125" i="4"/>
  <c r="Q125" i="4"/>
  <c r="P76" i="4"/>
  <c r="I80" i="4"/>
  <c r="M157" i="4"/>
  <c r="I164" i="4"/>
  <c r="K164" i="4"/>
  <c r="P80" i="4"/>
  <c r="N157" i="4"/>
  <c r="O80" i="4"/>
  <c r="I89" i="4"/>
  <c r="Q110" i="4"/>
  <c r="L96" i="4"/>
  <c r="N102" i="4"/>
  <c r="J120" i="4"/>
  <c r="M125" i="4"/>
  <c r="Q130" i="4"/>
  <c r="I135" i="4"/>
  <c r="O142" i="4"/>
  <c r="L89" i="4"/>
  <c r="I96" i="4"/>
  <c r="I120" i="4"/>
  <c r="J135" i="4"/>
  <c r="M69" i="4"/>
  <c r="M89" i="4"/>
  <c r="O89" i="4"/>
  <c r="J96" i="4"/>
  <c r="I110" i="4"/>
  <c r="M110" i="4"/>
  <c r="P115" i="4"/>
  <c r="O125" i="4"/>
  <c r="K135" i="4"/>
  <c r="M164" i="4"/>
  <c r="O164" i="4"/>
  <c r="Q164" i="4"/>
  <c r="I169" i="4"/>
  <c r="P89" i="4"/>
  <c r="O115" i="4"/>
  <c r="N125" i="4"/>
  <c r="L164" i="4"/>
  <c r="P164" i="4"/>
  <c r="L80" i="4"/>
  <c r="N89" i="4"/>
  <c r="J110" i="4"/>
  <c r="L110" i="4"/>
  <c r="Q115" i="4"/>
  <c r="N164" i="4"/>
  <c r="J169" i="4"/>
  <c r="Q76" i="4"/>
  <c r="I157" i="4"/>
  <c r="Q96" i="4"/>
  <c r="L125" i="4"/>
  <c r="J80" i="4"/>
  <c r="M96" i="4"/>
  <c r="K102" i="4"/>
  <c r="J125" i="4"/>
  <c r="N135" i="4"/>
  <c r="J157" i="4"/>
  <c r="N96" i="4"/>
  <c r="P96" i="4"/>
  <c r="L115" i="4"/>
  <c r="N115" i="4"/>
  <c r="N120" i="4"/>
  <c r="I125" i="4"/>
  <c r="O135" i="4"/>
  <c r="Q135" i="4"/>
  <c r="I142" i="4"/>
  <c r="M169" i="4"/>
  <c r="Q169" i="4"/>
  <c r="M80" i="4"/>
  <c r="Q80" i="4"/>
  <c r="K89" i="4"/>
  <c r="O110" i="4"/>
  <c r="Q157" i="4"/>
  <c r="O169" i="4"/>
  <c r="N80" i="4"/>
  <c r="P110" i="4"/>
  <c r="N130" i="4"/>
  <c r="K76" i="4"/>
  <c r="O76" i="4"/>
  <c r="L76" i="4"/>
  <c r="J76" i="4"/>
  <c r="M76" i="4"/>
  <c r="L69" i="4"/>
  <c r="Q69" i="4"/>
  <c r="I69" i="4"/>
  <c r="J69" i="4"/>
  <c r="K69" i="4"/>
  <c r="O69" i="4"/>
  <c r="P69" i="4"/>
  <c r="N69" i="4"/>
  <c r="G29" i="24" l="1"/>
  <c r="G28" i="24"/>
  <c r="E3981" i="4"/>
  <c r="E3982" i="4"/>
  <c r="E3983" i="4"/>
  <c r="E3984" i="4"/>
  <c r="E3985" i="4"/>
  <c r="E3976" i="4"/>
  <c r="E3977" i="4"/>
  <c r="E3978" i="4"/>
  <c r="G64" i="21" l="1"/>
  <c r="J64" i="21" s="1"/>
  <c r="N64" i="21" s="1"/>
  <c r="G63" i="21"/>
  <c r="J63" i="21" s="1"/>
  <c r="K63" i="21" s="1"/>
  <c r="G62" i="21"/>
  <c r="J62" i="21" s="1"/>
  <c r="K62" i="21" s="1"/>
  <c r="G58" i="21"/>
  <c r="J58" i="21" s="1"/>
  <c r="K58" i="21" s="1"/>
  <c r="G59" i="21"/>
  <c r="J59" i="21" s="1"/>
  <c r="K59" i="21" s="1"/>
  <c r="G60" i="21"/>
  <c r="J60" i="21" s="1"/>
  <c r="K60" i="21" s="1"/>
  <c r="G61" i="21"/>
  <c r="J61" i="21" s="1"/>
  <c r="O61" i="21" s="1"/>
  <c r="G46" i="21"/>
  <c r="J46" i="21" s="1"/>
  <c r="K46" i="21" s="1"/>
  <c r="G47" i="21"/>
  <c r="J47" i="21" s="1"/>
  <c r="K47" i="21" s="1"/>
  <c r="G48" i="21"/>
  <c r="J48" i="21" s="1"/>
  <c r="K48" i="21" s="1"/>
  <c r="G49" i="21"/>
  <c r="J49" i="21" s="1"/>
  <c r="O49" i="21" s="1"/>
  <c r="G34" i="21"/>
  <c r="J34" i="21" s="1"/>
  <c r="K34" i="21" s="1"/>
  <c r="G35" i="21"/>
  <c r="J35" i="21" s="1"/>
  <c r="K35" i="21" s="1"/>
  <c r="G36" i="21"/>
  <c r="J36" i="21" s="1"/>
  <c r="K36" i="21" s="1"/>
  <c r="G37" i="21"/>
  <c r="J37" i="21" s="1"/>
  <c r="K37" i="21" s="1"/>
  <c r="P100" i="21"/>
  <c r="O100" i="21"/>
  <c r="N100" i="21"/>
  <c r="M100" i="21"/>
  <c r="L100" i="21"/>
  <c r="K100" i="21"/>
  <c r="J100" i="21"/>
  <c r="P99" i="21"/>
  <c r="O99" i="21"/>
  <c r="N99" i="21"/>
  <c r="M99" i="21"/>
  <c r="L99" i="21"/>
  <c r="K99" i="21"/>
  <c r="J99" i="21"/>
  <c r="P98" i="21"/>
  <c r="O98" i="21"/>
  <c r="N98" i="21"/>
  <c r="M98" i="21"/>
  <c r="L98" i="21"/>
  <c r="K98" i="21"/>
  <c r="J98" i="21"/>
  <c r="P97" i="21"/>
  <c r="O97" i="21"/>
  <c r="N97" i="21"/>
  <c r="M97" i="21"/>
  <c r="L97" i="21"/>
  <c r="K97" i="21"/>
  <c r="J97" i="21"/>
  <c r="P96" i="21"/>
  <c r="N96" i="21"/>
  <c r="M96" i="21"/>
  <c r="L96" i="21"/>
  <c r="K96" i="21"/>
  <c r="J96" i="21"/>
  <c r="O96" i="21" s="1"/>
  <c r="P95" i="21"/>
  <c r="O95" i="21"/>
  <c r="N95" i="21"/>
  <c r="M95" i="21"/>
  <c r="L95" i="21"/>
  <c r="J95" i="21"/>
  <c r="K95" i="21" s="1"/>
  <c r="P94" i="21"/>
  <c r="O94" i="21"/>
  <c r="N94" i="21"/>
  <c r="M94" i="21"/>
  <c r="L94" i="21"/>
  <c r="J94" i="21"/>
  <c r="K94" i="21" s="1"/>
  <c r="P93" i="21"/>
  <c r="O93" i="21"/>
  <c r="N93" i="21"/>
  <c r="M93" i="21"/>
  <c r="L93" i="21"/>
  <c r="J93" i="21"/>
  <c r="K93" i="21" s="1"/>
  <c r="P92" i="21"/>
  <c r="N92" i="21"/>
  <c r="M92" i="21"/>
  <c r="L92" i="21"/>
  <c r="K92" i="21"/>
  <c r="J92" i="21"/>
  <c r="O92" i="21" s="1"/>
  <c r="P91" i="21"/>
  <c r="O91" i="21"/>
  <c r="N91" i="21"/>
  <c r="M91" i="21"/>
  <c r="L91" i="21"/>
  <c r="J91" i="21"/>
  <c r="K91" i="21" s="1"/>
  <c r="P90" i="21"/>
  <c r="O90" i="21"/>
  <c r="N90" i="21"/>
  <c r="M90" i="21"/>
  <c r="L90" i="21"/>
  <c r="J90" i="21"/>
  <c r="K90" i="21" s="1"/>
  <c r="P89" i="21"/>
  <c r="O89" i="21"/>
  <c r="N89" i="21"/>
  <c r="M89" i="21"/>
  <c r="L89" i="21"/>
  <c r="J89" i="21"/>
  <c r="K89" i="21" s="1"/>
  <c r="P761" i="21"/>
  <c r="O761" i="21"/>
  <c r="N761" i="21"/>
  <c r="M761" i="21"/>
  <c r="L761" i="21"/>
  <c r="K761" i="21"/>
  <c r="J761" i="21"/>
  <c r="Q761" i="21" s="1"/>
  <c r="Q2197" i="21" s="1"/>
  <c r="Q19" i="21" s="1"/>
  <c r="AG19" i="21" s="1"/>
  <c r="P760" i="21"/>
  <c r="O760" i="21"/>
  <c r="N760" i="21"/>
  <c r="M760" i="21"/>
  <c r="L760" i="21"/>
  <c r="J760" i="21"/>
  <c r="K760" i="21" s="1"/>
  <c r="P759" i="21"/>
  <c r="O759" i="21"/>
  <c r="N759" i="21"/>
  <c r="M759" i="21"/>
  <c r="L759" i="21"/>
  <c r="J759" i="21"/>
  <c r="K759" i="21" s="1"/>
  <c r="P758" i="21"/>
  <c r="O758" i="21"/>
  <c r="N758" i="21"/>
  <c r="M758" i="21"/>
  <c r="L758" i="21"/>
  <c r="J758" i="21"/>
  <c r="K758" i="21" s="1"/>
  <c r="P757" i="21"/>
  <c r="O757" i="21"/>
  <c r="N757" i="21"/>
  <c r="M757" i="21"/>
  <c r="L757" i="21"/>
  <c r="K757" i="21"/>
  <c r="J757" i="21"/>
  <c r="Q757" i="21" s="1"/>
  <c r="Q2196" i="21" s="1"/>
  <c r="Q18" i="21" s="1"/>
  <c r="P756" i="21"/>
  <c r="O756" i="21"/>
  <c r="N756" i="21"/>
  <c r="M756" i="21"/>
  <c r="L756" i="21"/>
  <c r="J756" i="21"/>
  <c r="K756" i="21" s="1"/>
  <c r="P755" i="21"/>
  <c r="O755" i="21"/>
  <c r="N755" i="21"/>
  <c r="M755" i="21"/>
  <c r="L755" i="21"/>
  <c r="J755" i="21"/>
  <c r="K755" i="21" s="1"/>
  <c r="P754" i="21"/>
  <c r="O754" i="21"/>
  <c r="N754" i="21"/>
  <c r="M754" i="21"/>
  <c r="L754" i="21"/>
  <c r="J754" i="21"/>
  <c r="K754" i="21" s="1"/>
  <c r="O753" i="21"/>
  <c r="N753" i="21"/>
  <c r="M753" i="21"/>
  <c r="L753" i="21"/>
  <c r="K753" i="21"/>
  <c r="J753" i="21"/>
  <c r="P752" i="21"/>
  <c r="O752" i="21"/>
  <c r="N752" i="21"/>
  <c r="M752" i="21"/>
  <c r="L752" i="21"/>
  <c r="J752" i="21"/>
  <c r="K752" i="21" s="1"/>
  <c r="P751" i="21"/>
  <c r="O751" i="21"/>
  <c r="N751" i="21"/>
  <c r="M751" i="21"/>
  <c r="L751" i="21"/>
  <c r="J751" i="21"/>
  <c r="K751" i="21" s="1"/>
  <c r="P750" i="21"/>
  <c r="O750" i="21"/>
  <c r="N750" i="21"/>
  <c r="M750" i="21"/>
  <c r="L750" i="21"/>
  <c r="J750" i="21"/>
  <c r="K750" i="21" s="1"/>
  <c r="P88" i="21"/>
  <c r="O88" i="21"/>
  <c r="N88" i="21"/>
  <c r="M88" i="21"/>
  <c r="L88" i="21"/>
  <c r="K88" i="21"/>
  <c r="J88" i="21"/>
  <c r="P87" i="21"/>
  <c r="O87" i="21"/>
  <c r="N87" i="21"/>
  <c r="M87" i="21"/>
  <c r="L87" i="21"/>
  <c r="K87" i="21"/>
  <c r="J87" i="21"/>
  <c r="P86" i="21"/>
  <c r="O86" i="21"/>
  <c r="N86" i="21"/>
  <c r="M86" i="21"/>
  <c r="L86" i="21"/>
  <c r="K86" i="21"/>
  <c r="J86" i="21"/>
  <c r="P85" i="21"/>
  <c r="O85" i="21"/>
  <c r="N85" i="21"/>
  <c r="M85" i="21"/>
  <c r="L85" i="21"/>
  <c r="K85" i="21"/>
  <c r="J85" i="21"/>
  <c r="P84" i="21"/>
  <c r="N84" i="21"/>
  <c r="M84" i="21"/>
  <c r="L84" i="21"/>
  <c r="K84" i="21"/>
  <c r="J84" i="21"/>
  <c r="O84" i="21" s="1"/>
  <c r="P83" i="21"/>
  <c r="O83" i="21"/>
  <c r="N83" i="21"/>
  <c r="M83" i="21"/>
  <c r="L83" i="21"/>
  <c r="J83" i="21"/>
  <c r="K83" i="21" s="1"/>
  <c r="P82" i="21"/>
  <c r="O82" i="21"/>
  <c r="N82" i="21"/>
  <c r="M82" i="21"/>
  <c r="L82" i="21"/>
  <c r="J82" i="21"/>
  <c r="K82" i="21" s="1"/>
  <c r="P81" i="21"/>
  <c r="O81" i="21"/>
  <c r="N81" i="21"/>
  <c r="M81" i="21"/>
  <c r="L81" i="21"/>
  <c r="J81" i="21"/>
  <c r="K81" i="21" s="1"/>
  <c r="P80" i="21"/>
  <c r="N80" i="21"/>
  <c r="M80" i="21"/>
  <c r="L80" i="21"/>
  <c r="K80" i="21"/>
  <c r="J80" i="21"/>
  <c r="O80" i="21" s="1"/>
  <c r="P79" i="21"/>
  <c r="O79" i="21"/>
  <c r="N79" i="21"/>
  <c r="M79" i="21"/>
  <c r="L79" i="21"/>
  <c r="J79" i="21"/>
  <c r="K79" i="21" s="1"/>
  <c r="P78" i="21"/>
  <c r="O78" i="21"/>
  <c r="N78" i="21"/>
  <c r="M78" i="21"/>
  <c r="L78" i="21"/>
  <c r="J78" i="21"/>
  <c r="K78" i="21" s="1"/>
  <c r="P77" i="21"/>
  <c r="O77" i="21"/>
  <c r="N77" i="21"/>
  <c r="M77" i="21"/>
  <c r="L77" i="21"/>
  <c r="J77" i="21"/>
  <c r="K77" i="21" s="1"/>
  <c r="P76" i="21"/>
  <c r="O76" i="21"/>
  <c r="N76" i="21"/>
  <c r="M76" i="21"/>
  <c r="L76" i="21"/>
  <c r="K76" i="21"/>
  <c r="J76" i="21"/>
  <c r="P75" i="21"/>
  <c r="O75" i="21"/>
  <c r="N75" i="21"/>
  <c r="M75" i="21"/>
  <c r="L75" i="21"/>
  <c r="K75" i="21"/>
  <c r="J75" i="21"/>
  <c r="P74" i="21"/>
  <c r="O74" i="21"/>
  <c r="N74" i="21"/>
  <c r="M74" i="21"/>
  <c r="L74" i="21"/>
  <c r="K74" i="21"/>
  <c r="J74" i="21"/>
  <c r="P73" i="21"/>
  <c r="O73" i="21"/>
  <c r="N73" i="21"/>
  <c r="M73" i="21"/>
  <c r="L73" i="21"/>
  <c r="K73" i="21"/>
  <c r="J73" i="21"/>
  <c r="P72" i="21"/>
  <c r="N72" i="21"/>
  <c r="M72" i="21"/>
  <c r="L72" i="21"/>
  <c r="K72" i="21"/>
  <c r="J72" i="21"/>
  <c r="O72" i="21" s="1"/>
  <c r="P71" i="21"/>
  <c r="O71" i="21"/>
  <c r="N71" i="21"/>
  <c r="M71" i="21"/>
  <c r="L71" i="21"/>
  <c r="J71" i="21"/>
  <c r="K71" i="21" s="1"/>
  <c r="P70" i="21"/>
  <c r="O70" i="21"/>
  <c r="N70" i="21"/>
  <c r="M70" i="21"/>
  <c r="L70" i="21"/>
  <c r="J70" i="21"/>
  <c r="K70" i="21" s="1"/>
  <c r="P69" i="21"/>
  <c r="O69" i="21"/>
  <c r="N69" i="21"/>
  <c r="M69" i="21"/>
  <c r="L69" i="21"/>
  <c r="J69" i="21"/>
  <c r="K69" i="21" s="1"/>
  <c r="P68" i="21"/>
  <c r="N68" i="21"/>
  <c r="M68" i="21"/>
  <c r="L68" i="21"/>
  <c r="K68" i="21"/>
  <c r="J68" i="21"/>
  <c r="O68" i="21" s="1"/>
  <c r="P67" i="21"/>
  <c r="O67" i="21"/>
  <c r="N67" i="21"/>
  <c r="M67" i="21"/>
  <c r="L67" i="21"/>
  <c r="J67" i="21"/>
  <c r="K67" i="21" s="1"/>
  <c r="P66" i="21"/>
  <c r="O66" i="21"/>
  <c r="N66" i="21"/>
  <c r="M66" i="21"/>
  <c r="L66" i="21"/>
  <c r="J66" i="21"/>
  <c r="K66" i="21" s="1"/>
  <c r="P64" i="21"/>
  <c r="O64" i="21"/>
  <c r="M64" i="21"/>
  <c r="L64" i="21"/>
  <c r="K64" i="21"/>
  <c r="P63" i="21"/>
  <c r="O63" i="21"/>
  <c r="N63" i="21"/>
  <c r="M63" i="21"/>
  <c r="L63" i="21"/>
  <c r="P62" i="21"/>
  <c r="O62" i="21"/>
  <c r="N62" i="21"/>
  <c r="M62" i="21"/>
  <c r="L62" i="21"/>
  <c r="P61" i="21"/>
  <c r="N61" i="21"/>
  <c r="M61" i="21"/>
  <c r="L61" i="21"/>
  <c r="K61" i="21"/>
  <c r="P60" i="21"/>
  <c r="O60" i="21"/>
  <c r="N60" i="21"/>
  <c r="M60" i="21"/>
  <c r="L60" i="21"/>
  <c r="P59" i="21"/>
  <c r="O59" i="21"/>
  <c r="N59" i="21"/>
  <c r="M59" i="21"/>
  <c r="L59" i="21"/>
  <c r="P58" i="21"/>
  <c r="O58" i="21"/>
  <c r="N58" i="21"/>
  <c r="M58" i="21"/>
  <c r="L58" i="21"/>
  <c r="P49" i="21"/>
  <c r="N49" i="21"/>
  <c r="M49" i="21"/>
  <c r="L49" i="21"/>
  <c r="K49" i="21"/>
  <c r="P48" i="21"/>
  <c r="O48" i="21"/>
  <c r="N48" i="21"/>
  <c r="M48" i="21"/>
  <c r="L48" i="21"/>
  <c r="P47" i="21"/>
  <c r="O47" i="21"/>
  <c r="N47" i="21"/>
  <c r="M47" i="21"/>
  <c r="L47" i="21"/>
  <c r="P46" i="21"/>
  <c r="O46" i="21"/>
  <c r="N46" i="21"/>
  <c r="M46" i="21"/>
  <c r="L46" i="21"/>
  <c r="P34" i="21"/>
  <c r="O34" i="21"/>
  <c r="N34" i="21"/>
  <c r="M34" i="21"/>
  <c r="L34" i="21"/>
  <c r="O37" i="21"/>
  <c r="N37" i="21"/>
  <c r="M37" i="21"/>
  <c r="L37" i="21"/>
  <c r="P36" i="21"/>
  <c r="O36" i="21"/>
  <c r="N36" i="21"/>
  <c r="M36" i="21"/>
  <c r="L36" i="21"/>
  <c r="P35" i="21"/>
  <c r="O35" i="21"/>
  <c r="N35" i="21"/>
  <c r="M35" i="21"/>
  <c r="L35" i="21"/>
  <c r="Q4077" i="4"/>
  <c r="P4077" i="4"/>
  <c r="O4077" i="4"/>
  <c r="N4077" i="4"/>
  <c r="M4077" i="4"/>
  <c r="K4077" i="4"/>
  <c r="J4077" i="4"/>
  <c r="I4077" i="4"/>
  <c r="H4077" i="4"/>
  <c r="L4077" i="4" s="1"/>
  <c r="Q4076" i="4"/>
  <c r="P4076" i="4"/>
  <c r="O4076" i="4"/>
  <c r="N4076" i="4"/>
  <c r="M4076" i="4"/>
  <c r="K4076" i="4"/>
  <c r="J4076" i="4"/>
  <c r="I4076" i="4"/>
  <c r="H4076" i="4"/>
  <c r="L4076" i="4" s="1"/>
  <c r="Q4075" i="4"/>
  <c r="P4075" i="4"/>
  <c r="O4075" i="4"/>
  <c r="N4075" i="4"/>
  <c r="M4075" i="4"/>
  <c r="L4075" i="4"/>
  <c r="K4075" i="4"/>
  <c r="I4075" i="4"/>
  <c r="H4075" i="4"/>
  <c r="J4075" i="4" s="1"/>
  <c r="Q4071" i="4"/>
  <c r="P4071" i="4"/>
  <c r="O4071" i="4"/>
  <c r="N4071" i="4"/>
  <c r="M4071" i="4"/>
  <c r="K4071" i="4"/>
  <c r="J4071" i="4"/>
  <c r="I4071" i="4"/>
  <c r="H4071" i="4"/>
  <c r="L4071" i="4" s="1"/>
  <c r="Q4070" i="4"/>
  <c r="P4070" i="4"/>
  <c r="O4070" i="4"/>
  <c r="N4070" i="4"/>
  <c r="M4070" i="4"/>
  <c r="K4070" i="4"/>
  <c r="J4070" i="4"/>
  <c r="I4070" i="4"/>
  <c r="H4070" i="4"/>
  <c r="L4070" i="4" s="1"/>
  <c r="Q4069" i="4"/>
  <c r="P4069" i="4"/>
  <c r="O4069" i="4"/>
  <c r="N4069" i="4"/>
  <c r="M4069" i="4"/>
  <c r="L4069" i="4"/>
  <c r="K4069" i="4"/>
  <c r="I4069" i="4"/>
  <c r="H4069" i="4"/>
  <c r="J4069" i="4" s="1"/>
  <c r="Q4066" i="4"/>
  <c r="P4066" i="4"/>
  <c r="O4066" i="4"/>
  <c r="N4066" i="4"/>
  <c r="M4066" i="4"/>
  <c r="K4066" i="4"/>
  <c r="J4066" i="4"/>
  <c r="I4066" i="4"/>
  <c r="H4066" i="4"/>
  <c r="L4066" i="4" s="1"/>
  <c r="Q4065" i="4"/>
  <c r="P4065" i="4"/>
  <c r="O4065" i="4"/>
  <c r="N4065" i="4"/>
  <c r="M4065" i="4"/>
  <c r="L4065" i="4"/>
  <c r="J4065" i="4"/>
  <c r="I4065" i="4"/>
  <c r="H4065" i="4"/>
  <c r="K4065" i="4" s="1"/>
  <c r="Q4064" i="4"/>
  <c r="P4064" i="4"/>
  <c r="O4064" i="4"/>
  <c r="N4064" i="4"/>
  <c r="M4064" i="4"/>
  <c r="L4064" i="4"/>
  <c r="K4064" i="4"/>
  <c r="I4064" i="4"/>
  <c r="H4064" i="4"/>
  <c r="J4064" i="4" s="1"/>
  <c r="Q4061" i="4"/>
  <c r="P4061" i="4"/>
  <c r="O4061" i="4"/>
  <c r="N4061" i="4"/>
  <c r="M4061" i="4"/>
  <c r="K4061" i="4"/>
  <c r="J4061" i="4"/>
  <c r="I4061" i="4"/>
  <c r="H4061" i="4"/>
  <c r="L4061" i="4" s="1"/>
  <c r="Q4060" i="4"/>
  <c r="P4060" i="4"/>
  <c r="O4060" i="4"/>
  <c r="N4060" i="4"/>
  <c r="M4060" i="4"/>
  <c r="K4060" i="4"/>
  <c r="J4060" i="4"/>
  <c r="I4060" i="4"/>
  <c r="H4060" i="4"/>
  <c r="L4060" i="4" s="1"/>
  <c r="Q4059" i="4"/>
  <c r="P4059" i="4"/>
  <c r="O4059" i="4"/>
  <c r="N4059" i="4"/>
  <c r="M4059" i="4"/>
  <c r="L4059" i="4"/>
  <c r="K4059" i="4"/>
  <c r="I4059" i="4"/>
  <c r="H4059" i="4"/>
  <c r="J4059" i="4" s="1"/>
  <c r="Q4056" i="4"/>
  <c r="P4056" i="4"/>
  <c r="O4056" i="4"/>
  <c r="N4056" i="4"/>
  <c r="M4056" i="4"/>
  <c r="K4056" i="4"/>
  <c r="J4056" i="4"/>
  <c r="I4056" i="4"/>
  <c r="H4056" i="4"/>
  <c r="L4056" i="4" s="1"/>
  <c r="Q4055" i="4"/>
  <c r="P4055" i="4"/>
  <c r="O4055" i="4"/>
  <c r="N4055" i="4"/>
  <c r="M4055" i="4"/>
  <c r="K4055" i="4"/>
  <c r="J4055" i="4"/>
  <c r="I4055" i="4"/>
  <c r="H4055" i="4"/>
  <c r="L4055" i="4" s="1"/>
  <c r="Q4054" i="4"/>
  <c r="P4054" i="4"/>
  <c r="O4054" i="4"/>
  <c r="N4054" i="4"/>
  <c r="M4054" i="4"/>
  <c r="K4054" i="4"/>
  <c r="J4054" i="4"/>
  <c r="I4054" i="4"/>
  <c r="H4054" i="4"/>
  <c r="L4054" i="4" s="1"/>
  <c r="Q4053" i="4"/>
  <c r="P4053" i="4"/>
  <c r="O4053" i="4"/>
  <c r="N4053" i="4"/>
  <c r="M4053" i="4"/>
  <c r="K4053" i="4"/>
  <c r="J4053" i="4"/>
  <c r="I4053" i="4"/>
  <c r="H4053" i="4"/>
  <c r="L4053" i="4" s="1"/>
  <c r="Q4052" i="4"/>
  <c r="P4052" i="4"/>
  <c r="O4052" i="4"/>
  <c r="N4052" i="4"/>
  <c r="M4052" i="4"/>
  <c r="L4052" i="4"/>
  <c r="K4052" i="4"/>
  <c r="I4052" i="4"/>
  <c r="H4052" i="4"/>
  <c r="J4052" i="4" s="1"/>
  <c r="Q4049" i="4"/>
  <c r="P4049" i="4"/>
  <c r="O4049" i="4"/>
  <c r="N4049" i="4"/>
  <c r="M4049" i="4"/>
  <c r="K4049" i="4"/>
  <c r="J4049" i="4"/>
  <c r="I4049" i="4"/>
  <c r="H4049" i="4"/>
  <c r="L4049" i="4" s="1"/>
  <c r="Q4048" i="4"/>
  <c r="P4048" i="4"/>
  <c r="O4048" i="4"/>
  <c r="N4048" i="4"/>
  <c r="M4048" i="4"/>
  <c r="K4048" i="4"/>
  <c r="J4048" i="4"/>
  <c r="I4048" i="4"/>
  <c r="H4048" i="4"/>
  <c r="L4048" i="4" s="1"/>
  <c r="Q4047" i="4"/>
  <c r="P4047" i="4"/>
  <c r="O4047" i="4"/>
  <c r="N4047" i="4"/>
  <c r="M4047" i="4"/>
  <c r="L4047" i="4"/>
  <c r="K4047" i="4"/>
  <c r="I4047" i="4"/>
  <c r="H4047" i="4"/>
  <c r="J4047" i="4" s="1"/>
  <c r="Q4044" i="4"/>
  <c r="P4044" i="4"/>
  <c r="O4044" i="4"/>
  <c r="N4044" i="4"/>
  <c r="M4044" i="4"/>
  <c r="K4044" i="4"/>
  <c r="J4044" i="4"/>
  <c r="I4044" i="4"/>
  <c r="H4044" i="4"/>
  <c r="L4044" i="4" s="1"/>
  <c r="Q4043" i="4"/>
  <c r="P4043" i="4"/>
  <c r="O4043" i="4"/>
  <c r="N4043" i="4"/>
  <c r="M4043" i="4"/>
  <c r="K4043" i="4"/>
  <c r="J4043" i="4"/>
  <c r="I4043" i="4"/>
  <c r="H4043" i="4"/>
  <c r="L4043" i="4" s="1"/>
  <c r="Q4042" i="4"/>
  <c r="P4042" i="4"/>
  <c r="O4042" i="4"/>
  <c r="N4042" i="4"/>
  <c r="M4042" i="4"/>
  <c r="L4042" i="4"/>
  <c r="K4042" i="4"/>
  <c r="I4042" i="4"/>
  <c r="H4042" i="4"/>
  <c r="J4042" i="4" s="1"/>
  <c r="Q4039" i="4"/>
  <c r="P4039" i="4"/>
  <c r="O4039" i="4"/>
  <c r="N4039" i="4"/>
  <c r="M4039" i="4"/>
  <c r="K4039" i="4"/>
  <c r="J4039" i="4"/>
  <c r="I4039" i="4"/>
  <c r="H4039" i="4"/>
  <c r="L4039" i="4" s="1"/>
  <c r="Q4038" i="4"/>
  <c r="P4038" i="4"/>
  <c r="O4038" i="4"/>
  <c r="N4038" i="4"/>
  <c r="M4038" i="4"/>
  <c r="K4038" i="4"/>
  <c r="J4038" i="4"/>
  <c r="I4038" i="4"/>
  <c r="H4038" i="4"/>
  <c r="L4038" i="4" s="1"/>
  <c r="Q4035" i="4"/>
  <c r="P4035" i="4"/>
  <c r="O4035" i="4"/>
  <c r="N4035" i="4"/>
  <c r="M4035" i="4"/>
  <c r="L4035" i="4"/>
  <c r="K4035" i="4"/>
  <c r="I4035" i="4"/>
  <c r="H4035" i="4"/>
  <c r="J4035" i="4" s="1"/>
  <c r="Q4032" i="4"/>
  <c r="P4032" i="4"/>
  <c r="O4032" i="4"/>
  <c r="N4032" i="4"/>
  <c r="M4032" i="4"/>
  <c r="K4032" i="4"/>
  <c r="J4032" i="4"/>
  <c r="I4032" i="4"/>
  <c r="H4032" i="4"/>
  <c r="L4032" i="4" s="1"/>
  <c r="Q4031" i="4"/>
  <c r="P4031" i="4"/>
  <c r="O4031" i="4"/>
  <c r="N4031" i="4"/>
  <c r="M4031" i="4"/>
  <c r="K4031" i="4"/>
  <c r="J4031" i="4"/>
  <c r="I4031" i="4"/>
  <c r="H4031" i="4"/>
  <c r="L4031" i="4" s="1"/>
  <c r="Q4030" i="4"/>
  <c r="P4030" i="4"/>
  <c r="O4030" i="4"/>
  <c r="N4030" i="4"/>
  <c r="M4030" i="4"/>
  <c r="L4030" i="4"/>
  <c r="K4030" i="4"/>
  <c r="I4030" i="4"/>
  <c r="H4030" i="4"/>
  <c r="J4030" i="4" s="1"/>
  <c r="Q4026" i="4"/>
  <c r="P4026" i="4"/>
  <c r="O4026" i="4"/>
  <c r="N4026" i="4"/>
  <c r="M4026" i="4"/>
  <c r="L4026" i="4"/>
  <c r="K4026" i="4"/>
  <c r="J4026" i="4"/>
  <c r="I4026" i="4"/>
  <c r="H4026" i="4"/>
  <c r="Q4025" i="4"/>
  <c r="P4025" i="4"/>
  <c r="O4025" i="4"/>
  <c r="N4025" i="4"/>
  <c r="M4025" i="4"/>
  <c r="K4025" i="4"/>
  <c r="J4025" i="4"/>
  <c r="I4025" i="4"/>
  <c r="H4025" i="4"/>
  <c r="L4025" i="4" s="1"/>
  <c r="Q4024" i="4"/>
  <c r="P4024" i="4"/>
  <c r="O4024" i="4"/>
  <c r="N4024" i="4"/>
  <c r="M4024" i="4"/>
  <c r="K4024" i="4"/>
  <c r="J4024" i="4"/>
  <c r="I4024" i="4"/>
  <c r="H4024" i="4"/>
  <c r="L4024" i="4" s="1"/>
  <c r="Q4023" i="4"/>
  <c r="P4023" i="4"/>
  <c r="O4023" i="4"/>
  <c r="N4023" i="4"/>
  <c r="M4023" i="4"/>
  <c r="L4023" i="4"/>
  <c r="K4023" i="4"/>
  <c r="I4023" i="4"/>
  <c r="H4023" i="4"/>
  <c r="J4023" i="4" s="1"/>
  <c r="Q4020" i="4"/>
  <c r="P4020" i="4"/>
  <c r="O4020" i="4"/>
  <c r="N4020" i="4"/>
  <c r="M4020" i="4"/>
  <c r="K4020" i="4"/>
  <c r="J4020" i="4"/>
  <c r="I4020" i="4"/>
  <c r="H4020" i="4"/>
  <c r="L4020" i="4" s="1"/>
  <c r="Q4019" i="4"/>
  <c r="P4019" i="4"/>
  <c r="O4019" i="4"/>
  <c r="N4019" i="4"/>
  <c r="M4019" i="4"/>
  <c r="K4019" i="4"/>
  <c r="J4019" i="4"/>
  <c r="I4019" i="4"/>
  <c r="H4019" i="4"/>
  <c r="L4019" i="4" s="1"/>
  <c r="Q4018" i="4"/>
  <c r="P4018" i="4"/>
  <c r="O4018" i="4"/>
  <c r="N4018" i="4"/>
  <c r="M4018" i="4"/>
  <c r="L4018" i="4"/>
  <c r="K4018" i="4"/>
  <c r="I4018" i="4"/>
  <c r="H4018" i="4"/>
  <c r="J4018" i="4" s="1"/>
  <c r="Q4015" i="4"/>
  <c r="P4015" i="4"/>
  <c r="O4015" i="4"/>
  <c r="N4015" i="4"/>
  <c r="M4015" i="4"/>
  <c r="K4015" i="4"/>
  <c r="J4015" i="4"/>
  <c r="I4015" i="4"/>
  <c r="H4015" i="4"/>
  <c r="L4015" i="4" s="1"/>
  <c r="Q4014" i="4"/>
  <c r="P4014" i="4"/>
  <c r="O4014" i="4"/>
  <c r="N4014" i="4"/>
  <c r="M4014" i="4"/>
  <c r="K4014" i="4"/>
  <c r="J4014" i="4"/>
  <c r="I4014" i="4"/>
  <c r="H4014" i="4"/>
  <c r="L4014" i="4" s="1"/>
  <c r="Q4013" i="4"/>
  <c r="P4013" i="4"/>
  <c r="O4013" i="4"/>
  <c r="N4013" i="4"/>
  <c r="M4013" i="4"/>
  <c r="K4013" i="4"/>
  <c r="J4013" i="4"/>
  <c r="I4013" i="4"/>
  <c r="H4013" i="4"/>
  <c r="L4013" i="4" s="1"/>
  <c r="Q4012" i="4"/>
  <c r="P4012" i="4"/>
  <c r="O4012" i="4"/>
  <c r="N4012" i="4"/>
  <c r="M4012" i="4"/>
  <c r="K4012" i="4"/>
  <c r="J4012" i="4"/>
  <c r="I4012" i="4"/>
  <c r="H4012" i="4"/>
  <c r="L4012" i="4" s="1"/>
  <c r="Q4011" i="4"/>
  <c r="P4011" i="4"/>
  <c r="O4011" i="4"/>
  <c r="N4011" i="4"/>
  <c r="M4011" i="4"/>
  <c r="L4011" i="4"/>
  <c r="K4011" i="4"/>
  <c r="I4011" i="4"/>
  <c r="H4011" i="4"/>
  <c r="J4011" i="4" s="1"/>
  <c r="Q4008" i="4"/>
  <c r="P4008" i="4"/>
  <c r="O4008" i="4"/>
  <c r="N4008" i="4"/>
  <c r="M4008" i="4"/>
  <c r="K4008" i="4"/>
  <c r="J4008" i="4"/>
  <c r="I4008" i="4"/>
  <c r="H4008" i="4"/>
  <c r="L4008" i="4" s="1"/>
  <c r="Q4007" i="4"/>
  <c r="P4007" i="4"/>
  <c r="O4007" i="4"/>
  <c r="N4007" i="4"/>
  <c r="M4007" i="4"/>
  <c r="K4007" i="4"/>
  <c r="J4007" i="4"/>
  <c r="I4007" i="4"/>
  <c r="H4007" i="4"/>
  <c r="L4007" i="4" s="1"/>
  <c r="Q4006" i="4"/>
  <c r="P4006" i="4"/>
  <c r="O4006" i="4"/>
  <c r="N4006" i="4"/>
  <c r="M4006" i="4"/>
  <c r="L4006" i="4"/>
  <c r="K4006" i="4"/>
  <c r="I4006" i="4"/>
  <c r="H4006" i="4"/>
  <c r="J4006" i="4" s="1"/>
  <c r="Q4003" i="4"/>
  <c r="P4003" i="4"/>
  <c r="O4003" i="4"/>
  <c r="N4003" i="4"/>
  <c r="M4003" i="4"/>
  <c r="K4003" i="4"/>
  <c r="J4003" i="4"/>
  <c r="I4003" i="4"/>
  <c r="H4003" i="4"/>
  <c r="L4003" i="4" s="1"/>
  <c r="Q4002" i="4"/>
  <c r="P4002" i="4"/>
  <c r="O4002" i="4"/>
  <c r="N4002" i="4"/>
  <c r="M4002" i="4"/>
  <c r="K4002" i="4"/>
  <c r="J4002" i="4"/>
  <c r="I4002" i="4"/>
  <c r="H4002" i="4"/>
  <c r="L4002" i="4" s="1"/>
  <c r="Q4001" i="4"/>
  <c r="P4001" i="4"/>
  <c r="O4001" i="4"/>
  <c r="N4001" i="4"/>
  <c r="M4001" i="4"/>
  <c r="L4001" i="4"/>
  <c r="K4001" i="4"/>
  <c r="I4001" i="4"/>
  <c r="H4001" i="4"/>
  <c r="J4001" i="4" s="1"/>
  <c r="Q3998" i="4"/>
  <c r="P3998" i="4"/>
  <c r="O3998" i="4"/>
  <c r="N3998" i="4"/>
  <c r="K3998" i="4"/>
  <c r="J3998" i="4"/>
  <c r="I3998" i="4"/>
  <c r="H3998" i="4"/>
  <c r="M3998" i="4" s="1"/>
  <c r="Q3997" i="4"/>
  <c r="P3997" i="4"/>
  <c r="O3997" i="4"/>
  <c r="N3997" i="4"/>
  <c r="M3997" i="4"/>
  <c r="K3997" i="4"/>
  <c r="J3997" i="4"/>
  <c r="I3997" i="4"/>
  <c r="H3997" i="4"/>
  <c r="L3997" i="4" s="1"/>
  <c r="Q3996" i="4"/>
  <c r="P3996" i="4"/>
  <c r="O3996" i="4"/>
  <c r="N3996" i="4"/>
  <c r="M3996" i="4"/>
  <c r="K3996" i="4"/>
  <c r="J3996" i="4"/>
  <c r="I3996" i="4"/>
  <c r="H3996" i="4"/>
  <c r="L3996" i="4" s="1"/>
  <c r="Q3995" i="4"/>
  <c r="P3995" i="4"/>
  <c r="O3995" i="4"/>
  <c r="N3995" i="4"/>
  <c r="M3995" i="4"/>
  <c r="L3995" i="4"/>
  <c r="J3995" i="4"/>
  <c r="I3995" i="4"/>
  <c r="H3995" i="4"/>
  <c r="K3995" i="4" s="1"/>
  <c r="Q3994" i="4"/>
  <c r="P3994" i="4"/>
  <c r="O3994" i="4"/>
  <c r="N3994" i="4"/>
  <c r="M3994" i="4"/>
  <c r="L3994" i="4"/>
  <c r="K3994" i="4"/>
  <c r="I3994" i="4"/>
  <c r="H3994" i="4"/>
  <c r="J3994" i="4" s="1"/>
  <c r="Q3991" i="4"/>
  <c r="P3991" i="4"/>
  <c r="O3991" i="4"/>
  <c r="N3991" i="4"/>
  <c r="K3991" i="4"/>
  <c r="J3991" i="4"/>
  <c r="I3991" i="4"/>
  <c r="H3991" i="4"/>
  <c r="M3991" i="4" s="1"/>
  <c r="Q3990" i="4"/>
  <c r="P3990" i="4"/>
  <c r="O3990" i="4"/>
  <c r="N3990" i="4"/>
  <c r="M3990" i="4"/>
  <c r="K3990" i="4"/>
  <c r="J3990" i="4"/>
  <c r="I3990" i="4"/>
  <c r="H3990" i="4"/>
  <c r="L3990" i="4" s="1"/>
  <c r="Q3989" i="4"/>
  <c r="P3989" i="4"/>
  <c r="O3989" i="4"/>
  <c r="N3989" i="4"/>
  <c r="M3989" i="4"/>
  <c r="L3989" i="4"/>
  <c r="K3989" i="4"/>
  <c r="I3989" i="4"/>
  <c r="H3989" i="4"/>
  <c r="J3989" i="4" s="1"/>
  <c r="Q3985" i="4"/>
  <c r="P3985" i="4"/>
  <c r="O3985" i="4"/>
  <c r="M3985" i="4"/>
  <c r="K3985" i="4"/>
  <c r="J3985" i="4"/>
  <c r="I3985" i="4"/>
  <c r="H3985" i="4"/>
  <c r="N3985" i="4" s="1"/>
  <c r="Q3984" i="4"/>
  <c r="P3984" i="4"/>
  <c r="O3984" i="4"/>
  <c r="N3984" i="4"/>
  <c r="K3984" i="4"/>
  <c r="J3984" i="4"/>
  <c r="I3984" i="4"/>
  <c r="H3984" i="4"/>
  <c r="M3984" i="4" s="1"/>
  <c r="Q3983" i="4"/>
  <c r="P3983" i="4"/>
  <c r="O3983" i="4"/>
  <c r="N3983" i="4"/>
  <c r="K3983" i="4"/>
  <c r="J3983" i="4"/>
  <c r="I3983" i="4"/>
  <c r="H3983" i="4"/>
  <c r="M3983" i="4" s="1"/>
  <c r="Q3982" i="4"/>
  <c r="P3982" i="4"/>
  <c r="O3982" i="4"/>
  <c r="N3982" i="4"/>
  <c r="K3982" i="4"/>
  <c r="J3982" i="4"/>
  <c r="I3982" i="4"/>
  <c r="H3982" i="4"/>
  <c r="M3982" i="4" s="1"/>
  <c r="Q3981" i="4"/>
  <c r="P3981" i="4"/>
  <c r="O3981" i="4"/>
  <c r="N3981" i="4"/>
  <c r="M3981" i="4"/>
  <c r="L3981" i="4"/>
  <c r="K3981" i="4"/>
  <c r="I3981" i="4"/>
  <c r="H3981" i="4"/>
  <c r="J3981" i="4" s="1"/>
  <c r="Q3978" i="4"/>
  <c r="P3978" i="4"/>
  <c r="O3978" i="4"/>
  <c r="N3978" i="4"/>
  <c r="K3978" i="4"/>
  <c r="J3978" i="4"/>
  <c r="I3978" i="4"/>
  <c r="H3978" i="4"/>
  <c r="M3978" i="4" s="1"/>
  <c r="Q3977" i="4"/>
  <c r="P3977" i="4"/>
  <c r="O3977" i="4"/>
  <c r="N3977" i="4"/>
  <c r="K3977" i="4"/>
  <c r="J3977" i="4"/>
  <c r="I3977" i="4"/>
  <c r="H3977" i="4"/>
  <c r="M3977" i="4" s="1"/>
  <c r="Q3976" i="4"/>
  <c r="P3976" i="4"/>
  <c r="O3976" i="4"/>
  <c r="N3976" i="4"/>
  <c r="M3976" i="4"/>
  <c r="L3976" i="4"/>
  <c r="K3976" i="4"/>
  <c r="I3976" i="4"/>
  <c r="H3976" i="4"/>
  <c r="J3976" i="4" s="1"/>
  <c r="AG18" i="21" l="1"/>
  <c r="I28" i="13"/>
  <c r="P753" i="21"/>
  <c r="Q753" i="21"/>
  <c r="L3991" i="4"/>
  <c r="L3988" i="4" s="1"/>
  <c r="L3998" i="4"/>
  <c r="L3993" i="4" s="1"/>
  <c r="K2197" i="21"/>
  <c r="L2197" i="21"/>
  <c r="M2197" i="21"/>
  <c r="N2197" i="21"/>
  <c r="O2197" i="21"/>
  <c r="I4029" i="4"/>
  <c r="L3982" i="4"/>
  <c r="K4029" i="4"/>
  <c r="O4058" i="4"/>
  <c r="Q4068" i="4"/>
  <c r="L4017" i="4"/>
  <c r="N4017" i="4"/>
  <c r="O4017" i="4"/>
  <c r="P4029" i="4"/>
  <c r="I4063" i="4"/>
  <c r="K4063" i="4"/>
  <c r="M4063" i="4"/>
  <c r="O4063" i="4"/>
  <c r="M4017" i="4"/>
  <c r="J4029" i="4"/>
  <c r="N4058" i="4"/>
  <c r="O4010" i="4"/>
  <c r="K4022" i="4"/>
  <c r="M4022" i="4"/>
  <c r="J4034" i="4"/>
  <c r="M4000" i="4"/>
  <c r="P4063" i="4"/>
  <c r="P4074" i="4"/>
  <c r="L4074" i="4"/>
  <c r="N4000" i="4"/>
  <c r="P4017" i="4"/>
  <c r="Q4041" i="4"/>
  <c r="M4058" i="4"/>
  <c r="Q4074" i="4"/>
  <c r="I4074" i="4"/>
  <c r="O4000" i="4"/>
  <c r="P4068" i="4"/>
  <c r="K4005" i="4"/>
  <c r="L3985" i="4"/>
  <c r="N4010" i="4"/>
  <c r="N4063" i="4"/>
  <c r="L3984" i="4"/>
  <c r="K4000" i="4"/>
  <c r="L4029" i="4"/>
  <c r="N4074" i="4"/>
  <c r="P4010" i="4"/>
  <c r="M4074" i="4"/>
  <c r="L4000" i="4"/>
  <c r="I4034" i="4"/>
  <c r="L4022" i="4"/>
  <c r="L4005" i="4"/>
  <c r="N4068" i="4"/>
  <c r="M4005" i="4"/>
  <c r="I4041" i="4"/>
  <c r="K4041" i="4"/>
  <c r="M4041" i="4"/>
  <c r="O4041" i="4"/>
  <c r="M4051" i="4"/>
  <c r="O4068" i="4"/>
  <c r="L3978" i="4"/>
  <c r="N4051" i="4"/>
  <c r="L3983" i="4"/>
  <c r="J3980" i="4"/>
  <c r="N4005" i="4"/>
  <c r="Q4017" i="4"/>
  <c r="O4005" i="4"/>
  <c r="I4005" i="4"/>
  <c r="M4029" i="4"/>
  <c r="Q4046" i="4"/>
  <c r="I4058" i="4"/>
  <c r="I4068" i="4"/>
  <c r="M4068" i="4"/>
  <c r="J3993" i="4"/>
  <c r="P3993" i="4"/>
  <c r="J4017" i="4"/>
  <c r="O4029" i="4"/>
  <c r="Q4029" i="4"/>
  <c r="K4046" i="4"/>
  <c r="M4046" i="4"/>
  <c r="O4046" i="4"/>
  <c r="Q4063" i="4"/>
  <c r="O4074" i="4"/>
  <c r="O4051" i="4"/>
  <c r="K4074" i="4"/>
  <c r="O3980" i="4"/>
  <c r="Q4010" i="4"/>
  <c r="K4010" i="4"/>
  <c r="N4022" i="4"/>
  <c r="Q4000" i="4"/>
  <c r="I4010" i="4"/>
  <c r="O4022" i="4"/>
  <c r="I4022" i="4"/>
  <c r="L4034" i="4"/>
  <c r="N4034" i="4"/>
  <c r="P4034" i="4"/>
  <c r="Q4051" i="4"/>
  <c r="I4051" i="4"/>
  <c r="K4051" i="4"/>
  <c r="P3980" i="4"/>
  <c r="P4000" i="4"/>
  <c r="L4010" i="4"/>
  <c r="P4051" i="4"/>
  <c r="J4063" i="4"/>
  <c r="J4074" i="4"/>
  <c r="Q3980" i="4"/>
  <c r="J4000" i="4"/>
  <c r="P4022" i="4"/>
  <c r="J4022" i="4"/>
  <c r="M4034" i="4"/>
  <c r="O4034" i="4"/>
  <c r="Q4034" i="4"/>
  <c r="J4051" i="4"/>
  <c r="Q3988" i="4"/>
  <c r="M4010" i="4"/>
  <c r="J4010" i="4"/>
  <c r="K4034" i="4"/>
  <c r="L4051" i="4"/>
  <c r="L4063" i="4"/>
  <c r="L3977" i="4"/>
  <c r="I4000" i="4"/>
  <c r="Q4022" i="4"/>
  <c r="P4041" i="4"/>
  <c r="P4058" i="4"/>
  <c r="Q4058" i="4"/>
  <c r="J4005" i="4"/>
  <c r="L4041" i="4"/>
  <c r="J4058" i="4"/>
  <c r="L4058" i="4"/>
  <c r="J4068" i="4"/>
  <c r="L4068" i="4"/>
  <c r="N4041" i="4"/>
  <c r="I4046" i="4"/>
  <c r="N3980" i="4"/>
  <c r="J4041" i="4"/>
  <c r="Q4005" i="4"/>
  <c r="K4058" i="4"/>
  <c r="K4068" i="4"/>
  <c r="I3993" i="4"/>
  <c r="P4005" i="4"/>
  <c r="I4017" i="4"/>
  <c r="K4017" i="4"/>
  <c r="N4029" i="4"/>
  <c r="J4046" i="4"/>
  <c r="L4046" i="4"/>
  <c r="N4046" i="4"/>
  <c r="P4046" i="4"/>
  <c r="Q3975" i="4"/>
  <c r="P3975" i="4"/>
  <c r="P37" i="21"/>
  <c r="P2197" i="21" s="1"/>
  <c r="I3975" i="4"/>
  <c r="N3975" i="4"/>
  <c r="O3975" i="4"/>
  <c r="K3975" i="4"/>
  <c r="J3975" i="4"/>
  <c r="M3980" i="4"/>
  <c r="I3980" i="4"/>
  <c r="K3980" i="4"/>
  <c r="K3988" i="4"/>
  <c r="N3988" i="4"/>
  <c r="O3988" i="4"/>
  <c r="J3988" i="4"/>
  <c r="I3988" i="4"/>
  <c r="P3988" i="4"/>
  <c r="K3993" i="4"/>
  <c r="Q3993" i="4"/>
  <c r="N3993" i="4"/>
  <c r="O3993" i="4"/>
  <c r="M3975" i="4"/>
  <c r="M3988" i="4"/>
  <c r="M3993" i="4"/>
  <c r="Q2195" i="21" l="1"/>
  <c r="Q17" i="21" s="1"/>
  <c r="Q2194" i="21"/>
  <c r="L3980" i="4"/>
  <c r="L3975" i="4"/>
  <c r="O4494" i="4"/>
  <c r="O20" i="4" s="1"/>
  <c r="AH20" i="4" s="1"/>
  <c r="J4494" i="4"/>
  <c r="J20" i="4" s="1"/>
  <c r="AC20" i="4" s="1"/>
  <c r="P4494" i="4"/>
  <c r="P20" i="4" s="1"/>
  <c r="AI20" i="4" s="1"/>
  <c r="Q4494" i="4"/>
  <c r="Q20" i="4" s="1"/>
  <c r="AJ20" i="4" s="1"/>
  <c r="I4494" i="4"/>
  <c r="I20" i="4" s="1"/>
  <c r="AB20" i="4" s="1"/>
  <c r="M4494" i="4"/>
  <c r="M20" i="4" s="1"/>
  <c r="AF20" i="4" s="1"/>
  <c r="N4494" i="4"/>
  <c r="N20" i="4" s="1"/>
  <c r="AG20" i="4" s="1"/>
  <c r="K4494" i="4"/>
  <c r="K20" i="4" s="1"/>
  <c r="AD20" i="4" s="1"/>
  <c r="AG17" i="21" l="1"/>
  <c r="H21" i="13"/>
  <c r="H44" i="22" s="1"/>
  <c r="L4494" i="4"/>
  <c r="L20" i="4" s="1"/>
  <c r="AE20" i="4" s="1"/>
  <c r="Q2140" i="4"/>
  <c r="P2140" i="4"/>
  <c r="O2140" i="4"/>
  <c r="N2140" i="4"/>
  <c r="L2140" i="4"/>
  <c r="K2140" i="4"/>
  <c r="J2140" i="4"/>
  <c r="I2140" i="4"/>
  <c r="H2140" i="4"/>
  <c r="M2140" i="4" s="1"/>
  <c r="Q2139" i="4"/>
  <c r="P2139" i="4"/>
  <c r="O2139" i="4"/>
  <c r="N2139" i="4"/>
  <c r="L2139" i="4"/>
  <c r="K2139" i="4"/>
  <c r="J2139" i="4"/>
  <c r="I2139" i="4"/>
  <c r="H2139" i="4"/>
  <c r="M2139" i="4" s="1"/>
  <c r="Q2138" i="4"/>
  <c r="P2138" i="4"/>
  <c r="O2138" i="4"/>
  <c r="N2138" i="4"/>
  <c r="L2138" i="4"/>
  <c r="K2138" i="4"/>
  <c r="J2138" i="4"/>
  <c r="I2138" i="4"/>
  <c r="H2138" i="4"/>
  <c r="M2138" i="4" s="1"/>
  <c r="Q2137" i="4"/>
  <c r="P2137" i="4"/>
  <c r="O2137" i="4"/>
  <c r="N2137" i="4"/>
  <c r="M2137" i="4"/>
  <c r="L2137" i="4"/>
  <c r="J2137" i="4"/>
  <c r="I2137" i="4"/>
  <c r="H2137" i="4"/>
  <c r="K2137" i="4" s="1"/>
  <c r="Q2129" i="4"/>
  <c r="P2129" i="4"/>
  <c r="O2129" i="4"/>
  <c r="N2129" i="4"/>
  <c r="L2129" i="4"/>
  <c r="K2129" i="4"/>
  <c r="J2129" i="4"/>
  <c r="I2129" i="4"/>
  <c r="H2129" i="4"/>
  <c r="M2129" i="4" s="1"/>
  <c r="Q2128" i="4"/>
  <c r="P2128" i="4"/>
  <c r="O2128" i="4"/>
  <c r="N2128" i="4"/>
  <c r="L2128" i="4"/>
  <c r="K2128" i="4"/>
  <c r="J2128" i="4"/>
  <c r="I2128" i="4"/>
  <c r="H2128" i="4"/>
  <c r="M2128" i="4" s="1"/>
  <c r="Q2127" i="4"/>
  <c r="P2127" i="4"/>
  <c r="O2127" i="4"/>
  <c r="N2127" i="4"/>
  <c r="L2127" i="4"/>
  <c r="K2127" i="4"/>
  <c r="J2127" i="4"/>
  <c r="I2127" i="4"/>
  <c r="H2127" i="4"/>
  <c r="M2127" i="4" s="1"/>
  <c r="Q2131" i="4"/>
  <c r="P2131" i="4"/>
  <c r="O2131" i="4"/>
  <c r="M2131" i="4"/>
  <c r="L2131" i="4"/>
  <c r="K2131" i="4"/>
  <c r="J2131" i="4"/>
  <c r="I2131" i="4"/>
  <c r="H2131" i="4"/>
  <c r="N2131" i="4" s="1"/>
  <c r="Q2130" i="4"/>
  <c r="P2130" i="4"/>
  <c r="O2130" i="4"/>
  <c r="M2130" i="4"/>
  <c r="L2130" i="4"/>
  <c r="K2130" i="4"/>
  <c r="J2130" i="4"/>
  <c r="I2130" i="4"/>
  <c r="H2130" i="4"/>
  <c r="N2130" i="4" s="1"/>
  <c r="E2119" i="4"/>
  <c r="E2120" i="4"/>
  <c r="E2121" i="4"/>
  <c r="E2122" i="4"/>
  <c r="E2123" i="4"/>
  <c r="E2110" i="4"/>
  <c r="H2110" i="4" s="1"/>
  <c r="M2110" i="4" s="1"/>
  <c r="Q2110" i="4"/>
  <c r="P2110" i="4"/>
  <c r="O2110" i="4"/>
  <c r="N2110" i="4"/>
  <c r="L2110" i="4"/>
  <c r="K2110" i="4"/>
  <c r="J2110" i="4"/>
  <c r="I2110" i="4"/>
  <c r="E2116" i="4"/>
  <c r="E2115" i="4"/>
  <c r="E2114" i="4"/>
  <c r="E2113" i="4"/>
  <c r="H2113" i="4" s="1"/>
  <c r="M2113" i="4" s="1"/>
  <c r="E2112" i="4"/>
  <c r="H2112" i="4" s="1"/>
  <c r="M2112" i="4" s="1"/>
  <c r="E2111" i="4"/>
  <c r="H2111" i="4" s="1"/>
  <c r="M2111" i="4" s="1"/>
  <c r="E2109" i="4"/>
  <c r="Q2113" i="4"/>
  <c r="P2113" i="4"/>
  <c r="O2113" i="4"/>
  <c r="N2113" i="4"/>
  <c r="L2113" i="4"/>
  <c r="K2113" i="4"/>
  <c r="J2113" i="4"/>
  <c r="I2113" i="4"/>
  <c r="Q2112" i="4"/>
  <c r="P2112" i="4"/>
  <c r="O2112" i="4"/>
  <c r="N2112" i="4"/>
  <c r="L2112" i="4"/>
  <c r="K2112" i="4"/>
  <c r="J2112" i="4"/>
  <c r="I2112" i="4"/>
  <c r="Q2111" i="4"/>
  <c r="P2111" i="4"/>
  <c r="O2111" i="4"/>
  <c r="N2111" i="4"/>
  <c r="L2111" i="4"/>
  <c r="K2111" i="4"/>
  <c r="J2111" i="4"/>
  <c r="I2111" i="4"/>
  <c r="G57" i="21"/>
  <c r="G56" i="21"/>
  <c r="G55" i="21"/>
  <c r="J55" i="21" s="1"/>
  <c r="K55" i="21" s="1"/>
  <c r="G54" i="21"/>
  <c r="P55" i="21"/>
  <c r="O55" i="21"/>
  <c r="N55" i="21"/>
  <c r="M55" i="21"/>
  <c r="L55" i="21"/>
  <c r="G42" i="21"/>
  <c r="G43" i="21"/>
  <c r="G44" i="21"/>
  <c r="G45" i="21"/>
  <c r="G33" i="21"/>
  <c r="G32" i="21"/>
  <c r="G31" i="21"/>
  <c r="G30" i="21"/>
  <c r="M2192" i="21"/>
  <c r="M2191" i="21"/>
  <c r="M2190" i="21"/>
  <c r="M2189" i="21"/>
  <c r="M2188" i="21"/>
  <c r="M2187" i="21"/>
  <c r="M2186" i="21"/>
  <c r="M2185" i="21"/>
  <c r="M57" i="21"/>
  <c r="M56" i="21"/>
  <c r="M54" i="21"/>
  <c r="M53" i="21"/>
  <c r="M52" i="21"/>
  <c r="M51" i="21"/>
  <c r="M50" i="21"/>
  <c r="M45" i="21"/>
  <c r="M44" i="21"/>
  <c r="M43" i="21"/>
  <c r="M42" i="21"/>
  <c r="M41" i="21"/>
  <c r="M40" i="21"/>
  <c r="M39" i="21"/>
  <c r="M38" i="21"/>
  <c r="M30" i="21"/>
  <c r="M31" i="21"/>
  <c r="M32" i="21"/>
  <c r="M33" i="21"/>
  <c r="M26" i="21"/>
  <c r="M27" i="21"/>
  <c r="M28" i="21"/>
  <c r="M29" i="21"/>
  <c r="Q54" i="4"/>
  <c r="P54" i="4"/>
  <c r="O54" i="4"/>
  <c r="N54" i="4"/>
  <c r="L54" i="4"/>
  <c r="K54" i="4"/>
  <c r="J54" i="4"/>
  <c r="I54" i="4"/>
  <c r="H54" i="4"/>
  <c r="M54" i="4" s="1"/>
  <c r="Q53" i="4"/>
  <c r="P53" i="4"/>
  <c r="O53" i="4"/>
  <c r="N53" i="4"/>
  <c r="M53" i="4"/>
  <c r="K53" i="4"/>
  <c r="J53" i="4"/>
  <c r="I53" i="4"/>
  <c r="H53" i="4"/>
  <c r="L53" i="4" s="1"/>
  <c r="Q52" i="4"/>
  <c r="P52" i="4"/>
  <c r="O52" i="4"/>
  <c r="N52" i="4"/>
  <c r="M52" i="4"/>
  <c r="K52" i="4"/>
  <c r="J52" i="4"/>
  <c r="I52" i="4"/>
  <c r="H52" i="4"/>
  <c r="L52" i="4" s="1"/>
  <c r="Q40" i="4"/>
  <c r="P40" i="4"/>
  <c r="O40" i="4"/>
  <c r="N40" i="4"/>
  <c r="M40" i="4"/>
  <c r="K40" i="4"/>
  <c r="J40" i="4"/>
  <c r="I40" i="4"/>
  <c r="E40" i="4"/>
  <c r="H40" i="4" s="1"/>
  <c r="L40" i="4" s="1"/>
  <c r="E48" i="4"/>
  <c r="E45" i="4"/>
  <c r="E46" i="4"/>
  <c r="E47" i="4"/>
  <c r="E44" i="4"/>
  <c r="H44" i="4" s="1"/>
  <c r="M44" i="4" s="1"/>
  <c r="E43" i="4"/>
  <c r="H43" i="4" s="1"/>
  <c r="M43" i="4" s="1"/>
  <c r="E42" i="4"/>
  <c r="H42" i="4" s="1"/>
  <c r="M42" i="4" s="1"/>
  <c r="E41" i="4"/>
  <c r="H41" i="4" s="1"/>
  <c r="M41" i="4" s="1"/>
  <c r="E39" i="4"/>
  <c r="Q44" i="4"/>
  <c r="P44" i="4"/>
  <c r="O44" i="4"/>
  <c r="N44" i="4"/>
  <c r="L44" i="4"/>
  <c r="K44" i="4"/>
  <c r="J44" i="4"/>
  <c r="I44" i="4"/>
  <c r="Q43" i="4"/>
  <c r="P43" i="4"/>
  <c r="O43" i="4"/>
  <c r="N43" i="4"/>
  <c r="L43" i="4"/>
  <c r="K43" i="4"/>
  <c r="J43" i="4"/>
  <c r="I43" i="4"/>
  <c r="Q42" i="4"/>
  <c r="P42" i="4"/>
  <c r="O42" i="4"/>
  <c r="N42" i="4"/>
  <c r="L42" i="4"/>
  <c r="K42" i="4"/>
  <c r="J42" i="4"/>
  <c r="I42" i="4"/>
  <c r="Q41" i="4"/>
  <c r="P41" i="4"/>
  <c r="O41" i="4"/>
  <c r="N41" i="4"/>
  <c r="L41" i="4"/>
  <c r="K41" i="4"/>
  <c r="J41" i="4"/>
  <c r="I41" i="4"/>
  <c r="E35" i="4"/>
  <c r="H35" i="4" s="1"/>
  <c r="M35" i="4" s="1"/>
  <c r="E34" i="4"/>
  <c r="H34" i="4" s="1"/>
  <c r="M34" i="4" s="1"/>
  <c r="E33" i="4"/>
  <c r="H33" i="4" s="1"/>
  <c r="L33" i="4" s="1"/>
  <c r="E32" i="4"/>
  <c r="E31" i="4"/>
  <c r="E30" i="4"/>
  <c r="Q34" i="4"/>
  <c r="P34" i="4"/>
  <c r="O34" i="4"/>
  <c r="N34" i="4"/>
  <c r="L34" i="4"/>
  <c r="K34" i="4"/>
  <c r="J34" i="4"/>
  <c r="I34" i="4"/>
  <c r="Q33" i="4"/>
  <c r="P33" i="4"/>
  <c r="O33" i="4"/>
  <c r="N33" i="4"/>
  <c r="M33" i="4"/>
  <c r="K33" i="4"/>
  <c r="J33" i="4"/>
  <c r="I33" i="4"/>
  <c r="Q35" i="4"/>
  <c r="P35" i="4"/>
  <c r="O35" i="4"/>
  <c r="N35" i="4"/>
  <c r="L35" i="4"/>
  <c r="K35" i="4"/>
  <c r="J35" i="4"/>
  <c r="I35" i="4"/>
  <c r="G53" i="21"/>
  <c r="J53" i="21" s="1"/>
  <c r="O53" i="21" s="1"/>
  <c r="G52" i="21"/>
  <c r="G51" i="21"/>
  <c r="G50" i="21"/>
  <c r="P53" i="21"/>
  <c r="N53" i="21"/>
  <c r="L53" i="21"/>
  <c r="K53" i="21"/>
  <c r="G41" i="21"/>
  <c r="G40" i="21"/>
  <c r="G39" i="21"/>
  <c r="G38" i="21"/>
  <c r="G29" i="21"/>
  <c r="G28" i="21"/>
  <c r="G27" i="21"/>
  <c r="G26" i="21"/>
  <c r="G29" i="11"/>
  <c r="J29" i="11" s="1"/>
  <c r="M29" i="11" s="1"/>
  <c r="P29" i="11"/>
  <c r="O29" i="11"/>
  <c r="N29" i="11"/>
  <c r="L29" i="11"/>
  <c r="K29" i="11"/>
  <c r="G30" i="11"/>
  <c r="J30" i="11" s="1"/>
  <c r="M30" i="11" s="1"/>
  <c r="G28" i="11"/>
  <c r="J28" i="11" s="1"/>
  <c r="M28" i="11" s="1"/>
  <c r="P30" i="11"/>
  <c r="O30" i="11"/>
  <c r="N30" i="11"/>
  <c r="L30" i="11"/>
  <c r="K30" i="11"/>
  <c r="G27" i="11"/>
  <c r="P28" i="11"/>
  <c r="O28" i="11"/>
  <c r="N28" i="11"/>
  <c r="L28" i="11"/>
  <c r="K28" i="11"/>
  <c r="G31" i="11"/>
  <c r="G26" i="11"/>
  <c r="G25" i="11"/>
  <c r="G26" i="24"/>
  <c r="G25" i="24"/>
  <c r="P139" i="24"/>
  <c r="O139" i="24"/>
  <c r="N139" i="24"/>
  <c r="M139" i="24"/>
  <c r="L139" i="24"/>
  <c r="K139" i="24"/>
  <c r="J139" i="24"/>
  <c r="P138" i="24"/>
  <c r="O138" i="24"/>
  <c r="N138" i="24"/>
  <c r="M138" i="24"/>
  <c r="L138" i="24"/>
  <c r="K138" i="24"/>
  <c r="J138" i="24"/>
  <c r="S137" i="24"/>
  <c r="P137" i="24"/>
  <c r="O137" i="24"/>
  <c r="N137" i="24"/>
  <c r="M137" i="24"/>
  <c r="L137" i="24"/>
  <c r="K137" i="24"/>
  <c r="J137" i="24"/>
  <c r="P136" i="24"/>
  <c r="O136" i="24"/>
  <c r="N136" i="24"/>
  <c r="M136" i="24"/>
  <c r="L136" i="24"/>
  <c r="K136" i="24"/>
  <c r="J136" i="24"/>
  <c r="P135" i="24"/>
  <c r="O135" i="24"/>
  <c r="N135" i="24"/>
  <c r="M135" i="24"/>
  <c r="L135" i="24"/>
  <c r="K135" i="24"/>
  <c r="J135" i="24"/>
  <c r="P134" i="24"/>
  <c r="O134" i="24"/>
  <c r="N134" i="24"/>
  <c r="M134" i="24"/>
  <c r="L134" i="24"/>
  <c r="K134" i="24"/>
  <c r="J134" i="24"/>
  <c r="P133" i="24"/>
  <c r="O133" i="24"/>
  <c r="N133" i="24"/>
  <c r="M133" i="24"/>
  <c r="L133" i="24"/>
  <c r="K133" i="24"/>
  <c r="J133" i="24"/>
  <c r="P132" i="24"/>
  <c r="O132" i="24"/>
  <c r="N132" i="24"/>
  <c r="M132" i="24"/>
  <c r="L132" i="24"/>
  <c r="K132" i="24"/>
  <c r="J132" i="24"/>
  <c r="P131" i="24"/>
  <c r="O131" i="24"/>
  <c r="N131" i="24"/>
  <c r="M131" i="24"/>
  <c r="L131" i="24"/>
  <c r="K131" i="24"/>
  <c r="J131" i="24"/>
  <c r="P130" i="24"/>
  <c r="O130" i="24"/>
  <c r="N130" i="24"/>
  <c r="M130" i="24"/>
  <c r="L130" i="24"/>
  <c r="K130" i="24"/>
  <c r="J130" i="24"/>
  <c r="P129" i="24"/>
  <c r="O129" i="24"/>
  <c r="N129" i="24"/>
  <c r="M129" i="24"/>
  <c r="L129" i="24"/>
  <c r="K129" i="24"/>
  <c r="J129" i="24"/>
  <c r="P128" i="24"/>
  <c r="O128" i="24"/>
  <c r="N128" i="24"/>
  <c r="M128" i="24"/>
  <c r="L128" i="24"/>
  <c r="K128" i="24"/>
  <c r="J128" i="24"/>
  <c r="P127" i="24"/>
  <c r="O127" i="24"/>
  <c r="N127" i="24"/>
  <c r="M127" i="24"/>
  <c r="L127" i="24"/>
  <c r="K127" i="24"/>
  <c r="J127" i="24"/>
  <c r="P126" i="24"/>
  <c r="O126" i="24"/>
  <c r="N126" i="24"/>
  <c r="M126" i="24"/>
  <c r="L126" i="24"/>
  <c r="K126" i="24"/>
  <c r="J126" i="24"/>
  <c r="S125" i="24"/>
  <c r="P125" i="24"/>
  <c r="O125" i="24"/>
  <c r="N125" i="24"/>
  <c r="M125" i="24"/>
  <c r="L125" i="24"/>
  <c r="K125" i="24"/>
  <c r="J125" i="24"/>
  <c r="P124" i="24"/>
  <c r="O124" i="24"/>
  <c r="N124" i="24"/>
  <c r="M124" i="24"/>
  <c r="L124" i="24"/>
  <c r="K124" i="24"/>
  <c r="J124" i="24"/>
  <c r="P123" i="24"/>
  <c r="O123" i="24"/>
  <c r="N123" i="24"/>
  <c r="M123" i="24"/>
  <c r="L123" i="24"/>
  <c r="K123" i="24"/>
  <c r="J123" i="24"/>
  <c r="P122" i="24"/>
  <c r="O122" i="24"/>
  <c r="N122" i="24"/>
  <c r="M122" i="24"/>
  <c r="L122" i="24"/>
  <c r="K122" i="24"/>
  <c r="J122" i="24"/>
  <c r="P121" i="24"/>
  <c r="O121" i="24"/>
  <c r="N121" i="24"/>
  <c r="M121" i="24"/>
  <c r="L121" i="24"/>
  <c r="K121" i="24"/>
  <c r="J121" i="24"/>
  <c r="P120" i="24"/>
  <c r="O120" i="24"/>
  <c r="N120" i="24"/>
  <c r="M120" i="24"/>
  <c r="L120" i="24"/>
  <c r="K120" i="24"/>
  <c r="J120" i="24"/>
  <c r="P119" i="24"/>
  <c r="O119" i="24"/>
  <c r="N119" i="24"/>
  <c r="M119" i="24"/>
  <c r="L119" i="24"/>
  <c r="K119" i="24"/>
  <c r="J119" i="24"/>
  <c r="P118" i="24"/>
  <c r="O118" i="24"/>
  <c r="N118" i="24"/>
  <c r="M118" i="24"/>
  <c r="L118" i="24"/>
  <c r="K118" i="24"/>
  <c r="J118" i="24"/>
  <c r="P117" i="24"/>
  <c r="O117" i="24"/>
  <c r="N117" i="24"/>
  <c r="M117" i="24"/>
  <c r="L117" i="24"/>
  <c r="K117" i="24"/>
  <c r="J117" i="24"/>
  <c r="P116" i="24"/>
  <c r="O116" i="24"/>
  <c r="N116" i="24"/>
  <c r="M116" i="24"/>
  <c r="L116" i="24"/>
  <c r="K116" i="24"/>
  <c r="J116" i="24"/>
  <c r="P115" i="24"/>
  <c r="O115" i="24"/>
  <c r="N115" i="24"/>
  <c r="M115" i="24"/>
  <c r="L115" i="24"/>
  <c r="K115" i="24"/>
  <c r="J115" i="24"/>
  <c r="P114" i="24"/>
  <c r="O114" i="24"/>
  <c r="N114" i="24"/>
  <c r="M114" i="24"/>
  <c r="L114" i="24"/>
  <c r="K114" i="24"/>
  <c r="J114" i="24"/>
  <c r="S113" i="24"/>
  <c r="P113" i="24"/>
  <c r="O113" i="24"/>
  <c r="N113" i="24"/>
  <c r="M113" i="24"/>
  <c r="L113" i="24"/>
  <c r="K113" i="24"/>
  <c r="J113" i="24"/>
  <c r="P112" i="24"/>
  <c r="O112" i="24"/>
  <c r="N112" i="24"/>
  <c r="M112" i="24"/>
  <c r="L112" i="24"/>
  <c r="K112" i="24"/>
  <c r="J112" i="24"/>
  <c r="P111" i="24"/>
  <c r="O111" i="24"/>
  <c r="N111" i="24"/>
  <c r="M111" i="24"/>
  <c r="L111" i="24"/>
  <c r="K111" i="24"/>
  <c r="J111" i="24"/>
  <c r="P110" i="24"/>
  <c r="O110" i="24"/>
  <c r="N110" i="24"/>
  <c r="M110" i="24"/>
  <c r="L110" i="24"/>
  <c r="K110" i="24"/>
  <c r="J110" i="24"/>
  <c r="P109" i="24"/>
  <c r="O109" i="24"/>
  <c r="N109" i="24"/>
  <c r="M109" i="24"/>
  <c r="L109" i="24"/>
  <c r="K109" i="24"/>
  <c r="J109" i="24"/>
  <c r="P108" i="24"/>
  <c r="O108" i="24"/>
  <c r="N108" i="24"/>
  <c r="M108" i="24"/>
  <c r="L108" i="24"/>
  <c r="K108" i="24"/>
  <c r="J108" i="24"/>
  <c r="P107" i="24"/>
  <c r="O107" i="24"/>
  <c r="N107" i="24"/>
  <c r="M107" i="24"/>
  <c r="L107" i="24"/>
  <c r="K107" i="24"/>
  <c r="J107" i="24"/>
  <c r="P106" i="24"/>
  <c r="O106" i="24"/>
  <c r="N106" i="24"/>
  <c r="M106" i="24"/>
  <c r="L106" i="24"/>
  <c r="K106" i="24"/>
  <c r="J106" i="24"/>
  <c r="P105" i="24"/>
  <c r="O105" i="24"/>
  <c r="N105" i="24"/>
  <c r="M105" i="24"/>
  <c r="L105" i="24"/>
  <c r="K105" i="24"/>
  <c r="J105" i="24"/>
  <c r="P104" i="24"/>
  <c r="O104" i="24"/>
  <c r="N104" i="24"/>
  <c r="M104" i="24"/>
  <c r="L104" i="24"/>
  <c r="K104" i="24"/>
  <c r="J104" i="24"/>
  <c r="P103" i="24"/>
  <c r="O103" i="24"/>
  <c r="N103" i="24"/>
  <c r="M103" i="24"/>
  <c r="L103" i="24"/>
  <c r="K103" i="24"/>
  <c r="J103" i="24"/>
  <c r="P102" i="24"/>
  <c r="O102" i="24"/>
  <c r="N102" i="24"/>
  <c r="M102" i="24"/>
  <c r="L102" i="24"/>
  <c r="K102" i="24"/>
  <c r="J102" i="24"/>
  <c r="S101" i="24"/>
  <c r="P101" i="24"/>
  <c r="O101" i="24"/>
  <c r="N101" i="24"/>
  <c r="M101" i="24"/>
  <c r="L101" i="24"/>
  <c r="K101" i="24"/>
  <c r="J101" i="24"/>
  <c r="P100" i="24"/>
  <c r="O100" i="24"/>
  <c r="N100" i="24"/>
  <c r="M100" i="24"/>
  <c r="L100" i="24"/>
  <c r="K100" i="24"/>
  <c r="J100" i="24"/>
  <c r="P99" i="24"/>
  <c r="O99" i="24"/>
  <c r="N99" i="24"/>
  <c r="M99" i="24"/>
  <c r="L99" i="24"/>
  <c r="K99" i="24"/>
  <c r="J99" i="24"/>
  <c r="P98" i="24"/>
  <c r="O98" i="24"/>
  <c r="N98" i="24"/>
  <c r="M98" i="24"/>
  <c r="L98" i="24"/>
  <c r="K98" i="24"/>
  <c r="J98" i="24"/>
  <c r="P97" i="24"/>
  <c r="O97" i="24"/>
  <c r="N97" i="24"/>
  <c r="M97" i="24"/>
  <c r="L97" i="24"/>
  <c r="K97" i="24"/>
  <c r="J97" i="24"/>
  <c r="P96" i="24"/>
  <c r="O96" i="24"/>
  <c r="N96" i="24"/>
  <c r="M96" i="24"/>
  <c r="L96" i="24"/>
  <c r="K96" i="24"/>
  <c r="J96" i="24"/>
  <c r="P95" i="24"/>
  <c r="O95" i="24"/>
  <c r="N95" i="24"/>
  <c r="M95" i="24"/>
  <c r="L95" i="24"/>
  <c r="K95" i="24"/>
  <c r="J95" i="24"/>
  <c r="P94" i="24"/>
  <c r="O94" i="24"/>
  <c r="N94" i="24"/>
  <c r="M94" i="24"/>
  <c r="L94" i="24"/>
  <c r="K94" i="24"/>
  <c r="J94" i="24"/>
  <c r="P93" i="24"/>
  <c r="O93" i="24"/>
  <c r="N93" i="24"/>
  <c r="M93" i="24"/>
  <c r="L93" i="24"/>
  <c r="K93" i="24"/>
  <c r="J93" i="24"/>
  <c r="P92" i="24"/>
  <c r="O92" i="24"/>
  <c r="N92" i="24"/>
  <c r="M92" i="24"/>
  <c r="L92" i="24"/>
  <c r="K92" i="24"/>
  <c r="J92" i="24"/>
  <c r="S91" i="24"/>
  <c r="P91" i="24"/>
  <c r="O91" i="24"/>
  <c r="N91" i="24"/>
  <c r="M91" i="24"/>
  <c r="L91" i="24"/>
  <c r="K91" i="24"/>
  <c r="J91" i="24"/>
  <c r="P90" i="24"/>
  <c r="O90" i="24"/>
  <c r="N90" i="24"/>
  <c r="M90" i="24"/>
  <c r="L90" i="24"/>
  <c r="K90" i="24"/>
  <c r="J90" i="24"/>
  <c r="P89" i="24"/>
  <c r="O89" i="24"/>
  <c r="N89" i="24"/>
  <c r="M89" i="24"/>
  <c r="L89" i="24"/>
  <c r="K89" i="24"/>
  <c r="J89" i="24"/>
  <c r="P88" i="24"/>
  <c r="O88" i="24"/>
  <c r="N88" i="24"/>
  <c r="M88" i="24"/>
  <c r="L88" i="24"/>
  <c r="K88" i="24"/>
  <c r="J88" i="24"/>
  <c r="P87" i="24"/>
  <c r="O87" i="24"/>
  <c r="N87" i="24"/>
  <c r="M87" i="24"/>
  <c r="L87" i="24"/>
  <c r="K87" i="24"/>
  <c r="J87" i="24"/>
  <c r="P86" i="24"/>
  <c r="O86" i="24"/>
  <c r="N86" i="24"/>
  <c r="M86" i="24"/>
  <c r="L86" i="24"/>
  <c r="K86" i="24"/>
  <c r="J86" i="24"/>
  <c r="P85" i="24"/>
  <c r="O85" i="24"/>
  <c r="N85" i="24"/>
  <c r="M85" i="24"/>
  <c r="L85" i="24"/>
  <c r="K85" i="24"/>
  <c r="J85" i="24"/>
  <c r="P84" i="24"/>
  <c r="O84" i="24"/>
  <c r="N84" i="24"/>
  <c r="M84" i="24"/>
  <c r="L84" i="24"/>
  <c r="K84" i="24"/>
  <c r="J84" i="24"/>
  <c r="P83" i="24"/>
  <c r="O83" i="24"/>
  <c r="N83" i="24"/>
  <c r="M83" i="24"/>
  <c r="L83" i="24"/>
  <c r="K83" i="24"/>
  <c r="J83" i="24"/>
  <c r="P82" i="24"/>
  <c r="O82" i="24"/>
  <c r="N82" i="24"/>
  <c r="M82" i="24"/>
  <c r="L82" i="24"/>
  <c r="K82" i="24"/>
  <c r="J82" i="24"/>
  <c r="P81" i="24"/>
  <c r="O81" i="24"/>
  <c r="N81" i="24"/>
  <c r="M81" i="24"/>
  <c r="L81" i="24"/>
  <c r="K81" i="24"/>
  <c r="J81" i="24"/>
  <c r="P80" i="24"/>
  <c r="O80" i="24"/>
  <c r="N80" i="24"/>
  <c r="M80" i="24"/>
  <c r="L80" i="24"/>
  <c r="K80" i="24"/>
  <c r="J80" i="24"/>
  <c r="S79" i="24"/>
  <c r="P79" i="24"/>
  <c r="O79" i="24"/>
  <c r="N79" i="24"/>
  <c r="M79" i="24"/>
  <c r="L79" i="24"/>
  <c r="K79" i="24"/>
  <c r="J79" i="24"/>
  <c r="P78" i="24"/>
  <c r="O78" i="24"/>
  <c r="N78" i="24"/>
  <c r="M78" i="24"/>
  <c r="L78" i="24"/>
  <c r="K78" i="24"/>
  <c r="J78" i="24"/>
  <c r="P77" i="24"/>
  <c r="O77" i="24"/>
  <c r="N77" i="24"/>
  <c r="M77" i="24"/>
  <c r="L77" i="24"/>
  <c r="K77" i="24"/>
  <c r="J77" i="24"/>
  <c r="P76" i="24"/>
  <c r="O76" i="24"/>
  <c r="N76" i="24"/>
  <c r="M76" i="24"/>
  <c r="L76" i="24"/>
  <c r="K76" i="24"/>
  <c r="J76" i="24"/>
  <c r="P75" i="24"/>
  <c r="O75" i="24"/>
  <c r="N75" i="24"/>
  <c r="M75" i="24"/>
  <c r="L75" i="24"/>
  <c r="K75" i="24"/>
  <c r="J75" i="24"/>
  <c r="P74" i="24"/>
  <c r="O74" i="24"/>
  <c r="N74" i="24"/>
  <c r="M74" i="24"/>
  <c r="L74" i="24"/>
  <c r="K74" i="24"/>
  <c r="J74" i="24"/>
  <c r="P73" i="24"/>
  <c r="O73" i="24"/>
  <c r="N73" i="24"/>
  <c r="M73" i="24"/>
  <c r="L73" i="24"/>
  <c r="K73" i="24"/>
  <c r="J73" i="24"/>
  <c r="P72" i="24"/>
  <c r="O72" i="24"/>
  <c r="N72" i="24"/>
  <c r="M72" i="24"/>
  <c r="L72" i="24"/>
  <c r="K72" i="24"/>
  <c r="J72" i="24"/>
  <c r="P71" i="24"/>
  <c r="O71" i="24"/>
  <c r="N71" i="24"/>
  <c r="M71" i="24"/>
  <c r="L71" i="24"/>
  <c r="K71" i="24"/>
  <c r="J71" i="24"/>
  <c r="P70" i="24"/>
  <c r="O70" i="24"/>
  <c r="N70" i="24"/>
  <c r="M70" i="24"/>
  <c r="L70" i="24"/>
  <c r="K70" i="24"/>
  <c r="J70" i="24"/>
  <c r="P69" i="24"/>
  <c r="O69" i="24"/>
  <c r="N69" i="24"/>
  <c r="M69" i="24"/>
  <c r="L69" i="24"/>
  <c r="K69" i="24"/>
  <c r="J69" i="24"/>
  <c r="P68" i="24"/>
  <c r="O68" i="24"/>
  <c r="N68" i="24"/>
  <c r="M68" i="24"/>
  <c r="L68" i="24"/>
  <c r="K68" i="24"/>
  <c r="J68" i="24"/>
  <c r="S67" i="24"/>
  <c r="P67" i="24"/>
  <c r="O67" i="24"/>
  <c r="N67" i="24"/>
  <c r="M67" i="24"/>
  <c r="L67" i="24"/>
  <c r="K67" i="24"/>
  <c r="J67" i="24"/>
  <c r="P66" i="24"/>
  <c r="O66" i="24"/>
  <c r="N66" i="24"/>
  <c r="M66" i="24"/>
  <c r="L66" i="24"/>
  <c r="K66" i="24"/>
  <c r="J66" i="24"/>
  <c r="P65" i="24"/>
  <c r="O65" i="24"/>
  <c r="N65" i="24"/>
  <c r="M65" i="24"/>
  <c r="L65" i="24"/>
  <c r="K65" i="24"/>
  <c r="J65" i="24"/>
  <c r="P64" i="24"/>
  <c r="O64" i="24"/>
  <c r="N64" i="24"/>
  <c r="M64" i="24"/>
  <c r="L64" i="24"/>
  <c r="K64" i="24"/>
  <c r="J64" i="24"/>
  <c r="P63" i="24"/>
  <c r="O63" i="24"/>
  <c r="N63" i="24"/>
  <c r="M63" i="24"/>
  <c r="L63" i="24"/>
  <c r="K63" i="24"/>
  <c r="J63" i="24"/>
  <c r="P62" i="24"/>
  <c r="O62" i="24"/>
  <c r="N62" i="24"/>
  <c r="M62" i="24"/>
  <c r="L62" i="24"/>
  <c r="K62" i="24"/>
  <c r="J62" i="24"/>
  <c r="P61" i="24"/>
  <c r="O61" i="24"/>
  <c r="N61" i="24"/>
  <c r="M61" i="24"/>
  <c r="L61" i="24"/>
  <c r="K61" i="24"/>
  <c r="J61" i="24"/>
  <c r="P60" i="24"/>
  <c r="O60" i="24"/>
  <c r="N60" i="24"/>
  <c r="M60" i="24"/>
  <c r="L60" i="24"/>
  <c r="K60" i="24"/>
  <c r="J60" i="24"/>
  <c r="P59" i="24"/>
  <c r="O59" i="24"/>
  <c r="N59" i="24"/>
  <c r="M59" i="24"/>
  <c r="L59" i="24"/>
  <c r="K59" i="24"/>
  <c r="J59" i="24"/>
  <c r="P58" i="24"/>
  <c r="O58" i="24"/>
  <c r="N58" i="24"/>
  <c r="M58" i="24"/>
  <c r="L58" i="24"/>
  <c r="K58" i="24"/>
  <c r="J58" i="24"/>
  <c r="P57" i="24"/>
  <c r="O57" i="24"/>
  <c r="N57" i="24"/>
  <c r="M57" i="24"/>
  <c r="L57" i="24"/>
  <c r="K57" i="24"/>
  <c r="J57" i="24"/>
  <c r="P56" i="24"/>
  <c r="O56" i="24"/>
  <c r="N56" i="24"/>
  <c r="M56" i="24"/>
  <c r="L56" i="24"/>
  <c r="K56" i="24"/>
  <c r="J56" i="24"/>
  <c r="S55" i="24"/>
  <c r="P55" i="24"/>
  <c r="O55" i="24"/>
  <c r="N55" i="24"/>
  <c r="M55" i="24"/>
  <c r="L55" i="24"/>
  <c r="K55" i="24"/>
  <c r="J55" i="24"/>
  <c r="P54" i="24"/>
  <c r="O54" i="24"/>
  <c r="N54" i="24"/>
  <c r="M54" i="24"/>
  <c r="L54" i="24"/>
  <c r="K54" i="24"/>
  <c r="J54" i="24"/>
  <c r="P53" i="24"/>
  <c r="O53" i="24"/>
  <c r="N53" i="24"/>
  <c r="M53" i="24"/>
  <c r="L53" i="24"/>
  <c r="J53" i="24"/>
  <c r="K53" i="24" s="1"/>
  <c r="P52" i="24"/>
  <c r="O52" i="24"/>
  <c r="M52" i="24"/>
  <c r="L52" i="24"/>
  <c r="K52" i="24"/>
  <c r="J52" i="24"/>
  <c r="N52" i="24" s="1"/>
  <c r="P50" i="24"/>
  <c r="O50" i="24"/>
  <c r="N50" i="24"/>
  <c r="M50" i="24"/>
  <c r="L50" i="24"/>
  <c r="J50" i="24"/>
  <c r="K50" i="24" s="1"/>
  <c r="P49" i="24"/>
  <c r="O49" i="24"/>
  <c r="M49" i="24"/>
  <c r="L49" i="24"/>
  <c r="K49" i="24"/>
  <c r="J49" i="24"/>
  <c r="N49" i="24" s="1"/>
  <c r="P47" i="24"/>
  <c r="O47" i="24"/>
  <c r="N47" i="24"/>
  <c r="M47" i="24"/>
  <c r="L47" i="24"/>
  <c r="J47" i="24"/>
  <c r="K47" i="24" s="1"/>
  <c r="P46" i="24"/>
  <c r="O46" i="24"/>
  <c r="N46" i="24"/>
  <c r="M46" i="24"/>
  <c r="L46" i="24"/>
  <c r="K46" i="24"/>
  <c r="J46" i="24"/>
  <c r="P44" i="24"/>
  <c r="O44" i="24"/>
  <c r="N44" i="24"/>
  <c r="M44" i="24"/>
  <c r="L44" i="24"/>
  <c r="J44" i="24"/>
  <c r="K44" i="24" s="1"/>
  <c r="P43" i="24"/>
  <c r="O43" i="24"/>
  <c r="N43" i="24"/>
  <c r="M43" i="24"/>
  <c r="L43" i="24"/>
  <c r="K43" i="24"/>
  <c r="J43" i="24"/>
  <c r="P38" i="24"/>
  <c r="O38" i="24"/>
  <c r="N38" i="24"/>
  <c r="M38" i="24"/>
  <c r="L38" i="24"/>
  <c r="J38" i="24"/>
  <c r="K38" i="24" s="1"/>
  <c r="P37" i="24"/>
  <c r="O37" i="24"/>
  <c r="M37" i="24"/>
  <c r="L37" i="24"/>
  <c r="K37" i="24"/>
  <c r="J37" i="24"/>
  <c r="N37" i="24" s="1"/>
  <c r="P35" i="24"/>
  <c r="O35" i="24"/>
  <c r="N35" i="24"/>
  <c r="M35" i="24"/>
  <c r="L35" i="24"/>
  <c r="J35" i="24"/>
  <c r="K35" i="24" s="1"/>
  <c r="P34" i="24"/>
  <c r="O34" i="24"/>
  <c r="M34" i="24"/>
  <c r="L34" i="24"/>
  <c r="K34" i="24"/>
  <c r="J34" i="24"/>
  <c r="N34" i="24" s="1"/>
  <c r="P32" i="24"/>
  <c r="O32" i="24"/>
  <c r="N32" i="24"/>
  <c r="M32" i="24"/>
  <c r="L32" i="24"/>
  <c r="J32" i="24"/>
  <c r="K32" i="24" s="1"/>
  <c r="S31" i="24"/>
  <c r="P31" i="24"/>
  <c r="O31" i="24"/>
  <c r="M31" i="24"/>
  <c r="L31" i="24"/>
  <c r="K31" i="24"/>
  <c r="J31" i="24"/>
  <c r="N31" i="24" s="1"/>
  <c r="P29" i="24"/>
  <c r="O29" i="24"/>
  <c r="N29" i="24"/>
  <c r="M29" i="24"/>
  <c r="L29" i="24"/>
  <c r="J29" i="24"/>
  <c r="K29" i="24" s="1"/>
  <c r="P28" i="24"/>
  <c r="O28" i="24"/>
  <c r="N28" i="24"/>
  <c r="M28" i="24"/>
  <c r="L28" i="24"/>
  <c r="K28" i="24"/>
  <c r="J28" i="24"/>
  <c r="P26" i="24"/>
  <c r="O26" i="24"/>
  <c r="N26" i="24"/>
  <c r="M26" i="24"/>
  <c r="L26" i="24"/>
  <c r="J26" i="24"/>
  <c r="S25" i="24"/>
  <c r="P25" i="24"/>
  <c r="O25" i="24"/>
  <c r="M25" i="24"/>
  <c r="L25" i="24"/>
  <c r="K25" i="24"/>
  <c r="J25" i="24"/>
  <c r="D21" i="24"/>
  <c r="C17" i="24"/>
  <c r="D13" i="24"/>
  <c r="P239" i="11"/>
  <c r="O239" i="11"/>
  <c r="N239" i="11"/>
  <c r="M239" i="11"/>
  <c r="L239" i="11"/>
  <c r="K239" i="11"/>
  <c r="J239" i="11"/>
  <c r="P238" i="11"/>
  <c r="O238" i="11"/>
  <c r="N238" i="11"/>
  <c r="M238" i="11"/>
  <c r="L238" i="11"/>
  <c r="K238" i="11"/>
  <c r="J238" i="11"/>
  <c r="S237" i="11"/>
  <c r="P237" i="11"/>
  <c r="O237" i="11"/>
  <c r="N237" i="11"/>
  <c r="M237" i="11"/>
  <c r="L237" i="11"/>
  <c r="K237" i="11"/>
  <c r="J237" i="11"/>
  <c r="P236" i="11"/>
  <c r="O236" i="11"/>
  <c r="N236" i="11"/>
  <c r="M236" i="11"/>
  <c r="L236" i="11"/>
  <c r="K236" i="11"/>
  <c r="J236" i="11"/>
  <c r="P235" i="11"/>
  <c r="O235" i="11"/>
  <c r="N235" i="11"/>
  <c r="M235" i="11"/>
  <c r="L235" i="11"/>
  <c r="K235" i="11"/>
  <c r="J235" i="11"/>
  <c r="P234" i="11"/>
  <c r="O234" i="11"/>
  <c r="N234" i="11"/>
  <c r="M234" i="11"/>
  <c r="L234" i="11"/>
  <c r="K234" i="11"/>
  <c r="J234" i="11"/>
  <c r="P233" i="11"/>
  <c r="O233" i="11"/>
  <c r="N233" i="11"/>
  <c r="M233" i="11"/>
  <c r="L233" i="11"/>
  <c r="K233" i="11"/>
  <c r="J233" i="11"/>
  <c r="P232" i="11"/>
  <c r="O232" i="11"/>
  <c r="N232" i="11"/>
  <c r="M232" i="11"/>
  <c r="L232" i="11"/>
  <c r="K232" i="11"/>
  <c r="J232" i="11"/>
  <c r="P231" i="11"/>
  <c r="O231" i="11"/>
  <c r="N231" i="11"/>
  <c r="M231" i="11"/>
  <c r="L231" i="11"/>
  <c r="K231" i="11"/>
  <c r="J231" i="11"/>
  <c r="P230" i="11"/>
  <c r="O230" i="11"/>
  <c r="N230" i="11"/>
  <c r="M230" i="11"/>
  <c r="L230" i="11"/>
  <c r="K230" i="11"/>
  <c r="J230" i="11"/>
  <c r="P229" i="11"/>
  <c r="O229" i="11"/>
  <c r="N229" i="11"/>
  <c r="M229" i="11"/>
  <c r="L229" i="11"/>
  <c r="K229" i="11"/>
  <c r="J229" i="11"/>
  <c r="P228" i="11"/>
  <c r="O228" i="11"/>
  <c r="N228" i="11"/>
  <c r="M228" i="11"/>
  <c r="L228" i="11"/>
  <c r="K228" i="11"/>
  <c r="J228" i="11"/>
  <c r="P227" i="11"/>
  <c r="O227" i="11"/>
  <c r="N227" i="11"/>
  <c r="M227" i="11"/>
  <c r="L227" i="11"/>
  <c r="K227" i="11"/>
  <c r="J227" i="11"/>
  <c r="P226" i="11"/>
  <c r="O226" i="11"/>
  <c r="N226" i="11"/>
  <c r="M226" i="11"/>
  <c r="L226" i="11"/>
  <c r="K226" i="11"/>
  <c r="J226" i="11"/>
  <c r="S225" i="11"/>
  <c r="P225" i="11"/>
  <c r="O225" i="11"/>
  <c r="N225" i="11"/>
  <c r="M225" i="11"/>
  <c r="L225" i="11"/>
  <c r="K225" i="11"/>
  <c r="J225" i="11"/>
  <c r="P224" i="11"/>
  <c r="O224" i="11"/>
  <c r="N224" i="11"/>
  <c r="M224" i="11"/>
  <c r="L224" i="11"/>
  <c r="K224" i="11"/>
  <c r="J224" i="11"/>
  <c r="P223" i="11"/>
  <c r="O223" i="11"/>
  <c r="N223" i="11"/>
  <c r="M223" i="11"/>
  <c r="L223" i="11"/>
  <c r="K223" i="11"/>
  <c r="J223" i="11"/>
  <c r="P222" i="11"/>
  <c r="O222" i="11"/>
  <c r="N222" i="11"/>
  <c r="M222" i="11"/>
  <c r="L222" i="11"/>
  <c r="K222" i="11"/>
  <c r="J222" i="11"/>
  <c r="P221" i="11"/>
  <c r="O221" i="11"/>
  <c r="N221" i="11"/>
  <c r="M221" i="11"/>
  <c r="L221" i="11"/>
  <c r="K221" i="11"/>
  <c r="J221" i="11"/>
  <c r="P220" i="11"/>
  <c r="O220" i="11"/>
  <c r="N220" i="11"/>
  <c r="M220" i="11"/>
  <c r="L220" i="11"/>
  <c r="K220" i="11"/>
  <c r="J220" i="11"/>
  <c r="P219" i="11"/>
  <c r="O219" i="11"/>
  <c r="N219" i="11"/>
  <c r="M219" i="11"/>
  <c r="L219" i="11"/>
  <c r="K219" i="11"/>
  <c r="J219" i="11"/>
  <c r="P218" i="11"/>
  <c r="O218" i="11"/>
  <c r="N218" i="11"/>
  <c r="M218" i="11"/>
  <c r="L218" i="11"/>
  <c r="K218" i="11"/>
  <c r="J218" i="11"/>
  <c r="P217" i="11"/>
  <c r="O217" i="11"/>
  <c r="N217" i="11"/>
  <c r="M217" i="11"/>
  <c r="L217" i="11"/>
  <c r="K217" i="11"/>
  <c r="J217" i="11"/>
  <c r="P216" i="11"/>
  <c r="O216" i="11"/>
  <c r="N216" i="11"/>
  <c r="M216" i="11"/>
  <c r="L216" i="11"/>
  <c r="K216" i="11"/>
  <c r="J216" i="11"/>
  <c r="P215" i="11"/>
  <c r="O215" i="11"/>
  <c r="N215" i="11"/>
  <c r="M215" i="11"/>
  <c r="L215" i="11"/>
  <c r="K215" i="11"/>
  <c r="J215" i="11"/>
  <c r="P214" i="11"/>
  <c r="O214" i="11"/>
  <c r="N214" i="11"/>
  <c r="M214" i="11"/>
  <c r="L214" i="11"/>
  <c r="K214" i="11"/>
  <c r="J214" i="11"/>
  <c r="S213" i="11"/>
  <c r="P213" i="11"/>
  <c r="O213" i="11"/>
  <c r="N213" i="11"/>
  <c r="M213" i="11"/>
  <c r="L213" i="11"/>
  <c r="K213" i="11"/>
  <c r="J213" i="11"/>
  <c r="P212" i="11"/>
  <c r="O212" i="11"/>
  <c r="N212" i="11"/>
  <c r="M212" i="11"/>
  <c r="L212" i="11"/>
  <c r="K212" i="11"/>
  <c r="J212" i="11"/>
  <c r="P211" i="11"/>
  <c r="O211" i="11"/>
  <c r="N211" i="11"/>
  <c r="M211" i="11"/>
  <c r="L211" i="11"/>
  <c r="K211" i="11"/>
  <c r="J211" i="11"/>
  <c r="P210" i="11"/>
  <c r="O210" i="11"/>
  <c r="N210" i="11"/>
  <c r="M210" i="11"/>
  <c r="L210" i="11"/>
  <c r="K210" i="11"/>
  <c r="J210" i="11"/>
  <c r="P209" i="11"/>
  <c r="O209" i="11"/>
  <c r="N209" i="11"/>
  <c r="M209" i="11"/>
  <c r="L209" i="11"/>
  <c r="K209" i="11"/>
  <c r="J209" i="11"/>
  <c r="P208" i="11"/>
  <c r="O208" i="11"/>
  <c r="N208" i="11"/>
  <c r="M208" i="11"/>
  <c r="L208" i="11"/>
  <c r="K208" i="11"/>
  <c r="J208" i="11"/>
  <c r="P207" i="11"/>
  <c r="O207" i="11"/>
  <c r="N207" i="11"/>
  <c r="L207" i="11"/>
  <c r="K207" i="11"/>
  <c r="J207" i="11"/>
  <c r="M207" i="11" s="1"/>
  <c r="P206" i="11"/>
  <c r="O206" i="11"/>
  <c r="N206" i="11"/>
  <c r="L206" i="11"/>
  <c r="K206" i="11"/>
  <c r="J206" i="11"/>
  <c r="M206" i="11" s="1"/>
  <c r="P205" i="11"/>
  <c r="O205" i="11"/>
  <c r="N205" i="11"/>
  <c r="L205" i="11"/>
  <c r="K205" i="11"/>
  <c r="J205" i="11"/>
  <c r="M205" i="11" s="1"/>
  <c r="P204" i="11"/>
  <c r="O204" i="11"/>
  <c r="N204" i="11"/>
  <c r="L204" i="11"/>
  <c r="K204" i="11"/>
  <c r="J204" i="11"/>
  <c r="M204" i="11" s="1"/>
  <c r="P203" i="11"/>
  <c r="O203" i="11"/>
  <c r="N203" i="11"/>
  <c r="L203" i="11"/>
  <c r="K203" i="11"/>
  <c r="J203" i="11"/>
  <c r="M203" i="11" s="1"/>
  <c r="P202" i="11"/>
  <c r="O202" i="11"/>
  <c r="N202" i="11"/>
  <c r="L202" i="11"/>
  <c r="K202" i="11"/>
  <c r="J202" i="11"/>
  <c r="M202" i="11" s="1"/>
  <c r="S201" i="11"/>
  <c r="P201" i="11"/>
  <c r="O201" i="11"/>
  <c r="N201" i="11"/>
  <c r="L201" i="11"/>
  <c r="K201" i="11"/>
  <c r="J201" i="11"/>
  <c r="M201" i="11" s="1"/>
  <c r="P200" i="11"/>
  <c r="O200" i="11"/>
  <c r="N200" i="11"/>
  <c r="L200" i="11"/>
  <c r="K200" i="11"/>
  <c r="J200" i="11"/>
  <c r="M200" i="11" s="1"/>
  <c r="P198" i="11"/>
  <c r="O198" i="11"/>
  <c r="N198" i="11"/>
  <c r="L198" i="11"/>
  <c r="K198" i="11"/>
  <c r="J198" i="11"/>
  <c r="M198" i="11" s="1"/>
  <c r="P196" i="11"/>
  <c r="O196" i="11"/>
  <c r="N196" i="11"/>
  <c r="M196" i="11"/>
  <c r="K196" i="11"/>
  <c r="J196" i="11"/>
  <c r="L196" i="11" s="1"/>
  <c r="P84" i="11"/>
  <c r="O84" i="11"/>
  <c r="N84" i="11"/>
  <c r="L84" i="11"/>
  <c r="K84" i="11"/>
  <c r="J84" i="11"/>
  <c r="M84" i="11" s="1"/>
  <c r="P83" i="11"/>
  <c r="O83" i="11"/>
  <c r="N83" i="11"/>
  <c r="L83" i="11"/>
  <c r="K83" i="11"/>
  <c r="J83" i="11"/>
  <c r="M83" i="11" s="1"/>
  <c r="O53" i="11"/>
  <c r="N53" i="11"/>
  <c r="M53" i="11"/>
  <c r="L53" i="11"/>
  <c r="K53" i="11"/>
  <c r="J53" i="11"/>
  <c r="P53" i="11" s="1"/>
  <c r="P49" i="11"/>
  <c r="O49" i="11"/>
  <c r="N49" i="11"/>
  <c r="M49" i="11"/>
  <c r="L49" i="11"/>
  <c r="J49" i="11"/>
  <c r="K49" i="11" s="1"/>
  <c r="P261" i="11"/>
  <c r="O261" i="11"/>
  <c r="N261" i="11"/>
  <c r="M261" i="11"/>
  <c r="L261" i="11"/>
  <c r="K261" i="11"/>
  <c r="J261" i="11"/>
  <c r="P260" i="11"/>
  <c r="O260" i="11"/>
  <c r="N260" i="11"/>
  <c r="M260" i="11"/>
  <c r="L260" i="11"/>
  <c r="K260" i="11"/>
  <c r="J260" i="11"/>
  <c r="S259" i="11"/>
  <c r="P259" i="11"/>
  <c r="O259" i="11"/>
  <c r="N259" i="11"/>
  <c r="M259" i="11"/>
  <c r="L259" i="11"/>
  <c r="K259" i="11"/>
  <c r="J259" i="11"/>
  <c r="P258" i="11"/>
  <c r="O258" i="11"/>
  <c r="N258" i="11"/>
  <c r="M258" i="11"/>
  <c r="L258" i="11"/>
  <c r="K258" i="11"/>
  <c r="J258" i="11"/>
  <c r="P257" i="11"/>
  <c r="O257" i="11"/>
  <c r="N257" i="11"/>
  <c r="M257" i="11"/>
  <c r="L257" i="11"/>
  <c r="K257" i="11"/>
  <c r="J257" i="11"/>
  <c r="P256" i="11"/>
  <c r="O256" i="11"/>
  <c r="N256" i="11"/>
  <c r="M256" i="11"/>
  <c r="L256" i="11"/>
  <c r="K256" i="11"/>
  <c r="J256" i="11"/>
  <c r="P255" i="11"/>
  <c r="O255" i="11"/>
  <c r="N255" i="11"/>
  <c r="M255" i="11"/>
  <c r="L255" i="11"/>
  <c r="K255" i="11"/>
  <c r="J255" i="11"/>
  <c r="P254" i="11"/>
  <c r="O254" i="11"/>
  <c r="N254" i="11"/>
  <c r="M254" i="11"/>
  <c r="L254" i="11"/>
  <c r="K254" i="11"/>
  <c r="J254" i="11"/>
  <c r="P253" i="11"/>
  <c r="O253" i="11"/>
  <c r="N253" i="11"/>
  <c r="M253" i="11"/>
  <c r="L253" i="11"/>
  <c r="K253" i="11"/>
  <c r="J253" i="11"/>
  <c r="P252" i="11"/>
  <c r="O252" i="11"/>
  <c r="N252" i="11"/>
  <c r="M252" i="11"/>
  <c r="L252" i="11"/>
  <c r="K252" i="11"/>
  <c r="J252" i="11"/>
  <c r="P251" i="11"/>
  <c r="O251" i="11"/>
  <c r="N251" i="11"/>
  <c r="M251" i="11"/>
  <c r="L251" i="11"/>
  <c r="K251" i="11"/>
  <c r="J251" i="11"/>
  <c r="P250" i="11"/>
  <c r="O250" i="11"/>
  <c r="N250" i="11"/>
  <c r="M250" i="11"/>
  <c r="L250" i="11"/>
  <c r="K250" i="11"/>
  <c r="J250" i="11"/>
  <c r="P249" i="11"/>
  <c r="O249" i="11"/>
  <c r="N249" i="11"/>
  <c r="M249" i="11"/>
  <c r="L249" i="11"/>
  <c r="K249" i="11"/>
  <c r="J249" i="11"/>
  <c r="P248" i="11"/>
  <c r="O248" i="11"/>
  <c r="N248" i="11"/>
  <c r="M248" i="11"/>
  <c r="L248" i="11"/>
  <c r="K248" i="11"/>
  <c r="J248" i="11"/>
  <c r="S247" i="11"/>
  <c r="P247" i="11"/>
  <c r="O247" i="11"/>
  <c r="N247" i="11"/>
  <c r="M247" i="11"/>
  <c r="L247" i="11"/>
  <c r="K247" i="11"/>
  <c r="J247" i="11"/>
  <c r="P246" i="11"/>
  <c r="O246" i="11"/>
  <c r="N246" i="11"/>
  <c r="M246" i="11"/>
  <c r="L246" i="11"/>
  <c r="K246" i="11"/>
  <c r="J246" i="11"/>
  <c r="P245" i="11"/>
  <c r="O245" i="11"/>
  <c r="N245" i="11"/>
  <c r="M245" i="11"/>
  <c r="L245" i="11"/>
  <c r="K245" i="11"/>
  <c r="J245" i="11"/>
  <c r="P244" i="11"/>
  <c r="O244" i="11"/>
  <c r="N244" i="11"/>
  <c r="M244" i="11"/>
  <c r="L244" i="11"/>
  <c r="K244" i="11"/>
  <c r="J244" i="11"/>
  <c r="P243" i="11"/>
  <c r="O243" i="11"/>
  <c r="N243" i="11"/>
  <c r="M243" i="11"/>
  <c r="L243" i="11"/>
  <c r="K243" i="11"/>
  <c r="J243" i="11"/>
  <c r="P242" i="11"/>
  <c r="O242" i="11"/>
  <c r="N242" i="11"/>
  <c r="M242" i="11"/>
  <c r="L242" i="11"/>
  <c r="K242" i="11"/>
  <c r="J242" i="11"/>
  <c r="P241" i="11"/>
  <c r="O241" i="11"/>
  <c r="N241" i="11"/>
  <c r="M241" i="11"/>
  <c r="L241" i="11"/>
  <c r="K241" i="11"/>
  <c r="J241" i="11"/>
  <c r="P240" i="11"/>
  <c r="O240" i="11"/>
  <c r="N240" i="11"/>
  <c r="M240" i="11"/>
  <c r="L240" i="11"/>
  <c r="K240" i="11"/>
  <c r="J240" i="11"/>
  <c r="O48" i="11"/>
  <c r="N48" i="11"/>
  <c r="M48" i="11"/>
  <c r="L48" i="11"/>
  <c r="K48" i="11"/>
  <c r="J48" i="11"/>
  <c r="P48" i="11" s="1"/>
  <c r="P44" i="11"/>
  <c r="O44" i="11"/>
  <c r="N44" i="11"/>
  <c r="M44" i="11"/>
  <c r="L44" i="11"/>
  <c r="J44" i="11"/>
  <c r="K44" i="11" s="1"/>
  <c r="P273" i="11"/>
  <c r="O273" i="11"/>
  <c r="N273" i="11"/>
  <c r="M273" i="11"/>
  <c r="L273" i="11"/>
  <c r="K273" i="11"/>
  <c r="J273" i="11"/>
  <c r="P272" i="11"/>
  <c r="O272" i="11"/>
  <c r="N272" i="11"/>
  <c r="M272" i="11"/>
  <c r="L272" i="11"/>
  <c r="K272" i="11"/>
  <c r="J272" i="11"/>
  <c r="S271" i="11"/>
  <c r="P271" i="11"/>
  <c r="O271" i="11"/>
  <c r="N271" i="11"/>
  <c r="M271" i="11"/>
  <c r="L271" i="11"/>
  <c r="K271" i="11"/>
  <c r="J271" i="11"/>
  <c r="P270" i="11"/>
  <c r="O270" i="11"/>
  <c r="N270" i="11"/>
  <c r="M270" i="11"/>
  <c r="L270" i="11"/>
  <c r="K270" i="11"/>
  <c r="J270" i="11"/>
  <c r="P269" i="11"/>
  <c r="O269" i="11"/>
  <c r="N269" i="11"/>
  <c r="M269" i="11"/>
  <c r="L269" i="11"/>
  <c r="K269" i="11"/>
  <c r="J269" i="11"/>
  <c r="P268" i="11"/>
  <c r="O268" i="11"/>
  <c r="N268" i="11"/>
  <c r="M268" i="11"/>
  <c r="L268" i="11"/>
  <c r="K268" i="11"/>
  <c r="J268" i="11"/>
  <c r="P267" i="11"/>
  <c r="O267" i="11"/>
  <c r="N267" i="11"/>
  <c r="M267" i="11"/>
  <c r="L267" i="11"/>
  <c r="K267" i="11"/>
  <c r="J267" i="11"/>
  <c r="P266" i="11"/>
  <c r="O266" i="11"/>
  <c r="N266" i="11"/>
  <c r="M266" i="11"/>
  <c r="L266" i="11"/>
  <c r="K266" i="11"/>
  <c r="J266" i="11"/>
  <c r="P265" i="11"/>
  <c r="O265" i="11"/>
  <c r="N265" i="11"/>
  <c r="M265" i="11"/>
  <c r="L265" i="11"/>
  <c r="K265" i="11"/>
  <c r="J265" i="11"/>
  <c r="P264" i="11"/>
  <c r="O264" i="11"/>
  <c r="N264" i="11"/>
  <c r="M264" i="11"/>
  <c r="L264" i="11"/>
  <c r="K264" i="11"/>
  <c r="J264" i="11"/>
  <c r="P263" i="11"/>
  <c r="O263" i="11"/>
  <c r="N263" i="11"/>
  <c r="M263" i="11"/>
  <c r="L263" i="11"/>
  <c r="K263" i="11"/>
  <c r="J263" i="11"/>
  <c r="P262" i="11"/>
  <c r="O262" i="11"/>
  <c r="N262" i="11"/>
  <c r="M262" i="11"/>
  <c r="L262" i="11"/>
  <c r="K262" i="11"/>
  <c r="J262" i="11"/>
  <c r="J144" i="24" l="1"/>
  <c r="M19" i="21"/>
  <c r="AC19" i="21" s="1"/>
  <c r="J143" i="24"/>
  <c r="M2195" i="21"/>
  <c r="M17" i="21" s="1"/>
  <c r="M2196" i="21"/>
  <c r="M18" i="21" s="1"/>
  <c r="M2194" i="21"/>
  <c r="S29" i="24"/>
  <c r="K26" i="24"/>
  <c r="K141" i="24" s="1"/>
  <c r="K18" i="24" s="1"/>
  <c r="B6" i="13" s="1"/>
  <c r="H24" i="22" s="1"/>
  <c r="M141" i="24"/>
  <c r="M18" i="24" s="1"/>
  <c r="D6" i="13" s="1"/>
  <c r="L141" i="24"/>
  <c r="L18" i="24" s="1"/>
  <c r="C6" i="13" s="1"/>
  <c r="O141" i="24"/>
  <c r="O18" i="24" s="1"/>
  <c r="F6" i="13" s="1"/>
  <c r="P141" i="24"/>
  <c r="P18" i="24" s="1"/>
  <c r="G6" i="13" s="1"/>
  <c r="N25" i="24"/>
  <c r="N141" i="24" s="1"/>
  <c r="N18" i="24" s="1"/>
  <c r="E6" i="13" s="1"/>
  <c r="H25" i="22" s="1"/>
  <c r="P224" i="23"/>
  <c r="P223" i="23"/>
  <c r="N224" i="23"/>
  <c r="N223" i="23"/>
  <c r="L274" i="2"/>
  <c r="L273" i="2"/>
  <c r="L271" i="2"/>
  <c r="L268" i="2"/>
  <c r="L269" i="2"/>
  <c r="L264" i="2"/>
  <c r="L263" i="2"/>
  <c r="L262" i="2"/>
  <c r="L261" i="2"/>
  <c r="L260" i="2"/>
  <c r="L259" i="2"/>
  <c r="L258" i="2"/>
  <c r="L257" i="2"/>
  <c r="L255" i="2"/>
  <c r="P221" i="23"/>
  <c r="P220" i="23"/>
  <c r="P219" i="23"/>
  <c r="P218" i="23"/>
  <c r="P217" i="23"/>
  <c r="P216" i="23"/>
  <c r="P215" i="23"/>
  <c r="P214" i="23"/>
  <c r="P213" i="23"/>
  <c r="P212" i="23"/>
  <c r="P210" i="23"/>
  <c r="P209" i="23"/>
  <c r="P211" i="23"/>
  <c r="P207" i="23"/>
  <c r="P206" i="23"/>
  <c r="P205" i="23"/>
  <c r="P204" i="23"/>
  <c r="P203" i="23"/>
  <c r="N202" i="23"/>
  <c r="P202" i="23"/>
  <c r="P201" i="23"/>
  <c r="P208" i="23"/>
  <c r="P200" i="23"/>
  <c r="P199" i="23"/>
  <c r="P198" i="23"/>
  <c r="P197" i="23"/>
  <c r="P196" i="23"/>
  <c r="P195" i="23"/>
  <c r="Q244" i="23"/>
  <c r="N244" i="23"/>
  <c r="M244" i="23"/>
  <c r="L244" i="23"/>
  <c r="K244" i="23"/>
  <c r="Q243" i="23"/>
  <c r="N243" i="23"/>
  <c r="M243" i="23"/>
  <c r="L243" i="23"/>
  <c r="K243" i="23"/>
  <c r="Q242" i="23"/>
  <c r="N242" i="23"/>
  <c r="M242" i="23"/>
  <c r="L242" i="23"/>
  <c r="K242" i="23"/>
  <c r="Q241" i="23"/>
  <c r="N241" i="23"/>
  <c r="M241" i="23"/>
  <c r="L241" i="23"/>
  <c r="K241" i="23"/>
  <c r="Q240" i="23"/>
  <c r="N240" i="23"/>
  <c r="M240" i="23"/>
  <c r="L240" i="23"/>
  <c r="K240" i="23"/>
  <c r="Q239" i="23"/>
  <c r="N239" i="23"/>
  <c r="O239" i="23" s="1"/>
  <c r="M239" i="23"/>
  <c r="L239" i="23"/>
  <c r="K239" i="23"/>
  <c r="Q238" i="23"/>
  <c r="N238" i="23"/>
  <c r="M238" i="23"/>
  <c r="L238" i="23"/>
  <c r="K238" i="23"/>
  <c r="Q237" i="23"/>
  <c r="O237" i="23" s="1"/>
  <c r="N237" i="23"/>
  <c r="M237" i="23"/>
  <c r="L237" i="23"/>
  <c r="K237" i="23"/>
  <c r="Q236" i="23"/>
  <c r="M236" i="23"/>
  <c r="L236" i="23"/>
  <c r="K236" i="23"/>
  <c r="Q235" i="23"/>
  <c r="N235" i="23"/>
  <c r="M235" i="23"/>
  <c r="L235" i="23"/>
  <c r="K235" i="23"/>
  <c r="Q234" i="23"/>
  <c r="N234" i="23"/>
  <c r="M234" i="23"/>
  <c r="L234" i="23"/>
  <c r="K234" i="23"/>
  <c r="Q233" i="23"/>
  <c r="N233" i="23"/>
  <c r="M233" i="23"/>
  <c r="L233" i="23"/>
  <c r="K233" i="23"/>
  <c r="Q232" i="23"/>
  <c r="N232" i="23"/>
  <c r="M232" i="23"/>
  <c r="L232" i="23"/>
  <c r="K232" i="23"/>
  <c r="Q231" i="23"/>
  <c r="N231" i="23"/>
  <c r="M231" i="23"/>
  <c r="L231" i="23"/>
  <c r="K231" i="23"/>
  <c r="Q230" i="23"/>
  <c r="N230" i="23"/>
  <c r="M230" i="23"/>
  <c r="L230" i="23"/>
  <c r="K230" i="23"/>
  <c r="Q229" i="23"/>
  <c r="N229" i="23"/>
  <c r="M229" i="23"/>
  <c r="L229" i="23"/>
  <c r="K229" i="23"/>
  <c r="Q228" i="23"/>
  <c r="N228" i="23"/>
  <c r="M228" i="23"/>
  <c r="L228" i="23"/>
  <c r="K228" i="23"/>
  <c r="Q227" i="23"/>
  <c r="N227" i="23"/>
  <c r="M227" i="23"/>
  <c r="L227" i="23"/>
  <c r="K227" i="23"/>
  <c r="Q226" i="23"/>
  <c r="M226" i="23"/>
  <c r="L226" i="23"/>
  <c r="Q224" i="23"/>
  <c r="M224" i="23"/>
  <c r="L224" i="23"/>
  <c r="K224" i="23"/>
  <c r="Q223" i="23"/>
  <c r="M223" i="23"/>
  <c r="L223" i="23"/>
  <c r="K223" i="23"/>
  <c r="Q221" i="23"/>
  <c r="N221" i="23"/>
  <c r="M221" i="23"/>
  <c r="L221" i="23"/>
  <c r="K221" i="23"/>
  <c r="Q220" i="23"/>
  <c r="N220" i="23"/>
  <c r="M220" i="23"/>
  <c r="L220" i="23"/>
  <c r="K220" i="23"/>
  <c r="Q219" i="23"/>
  <c r="N219" i="23"/>
  <c r="M219" i="23"/>
  <c r="L219" i="23"/>
  <c r="K219" i="23"/>
  <c r="Q218" i="23"/>
  <c r="N218" i="23"/>
  <c r="M218" i="23"/>
  <c r="L218" i="23"/>
  <c r="K218" i="23"/>
  <c r="Q217" i="23"/>
  <c r="O217" i="23" s="1"/>
  <c r="N217" i="23"/>
  <c r="M217" i="23"/>
  <c r="L217" i="23"/>
  <c r="K217" i="23"/>
  <c r="Q216" i="23"/>
  <c r="N216" i="23"/>
  <c r="M216" i="23"/>
  <c r="L216" i="23"/>
  <c r="K216" i="23"/>
  <c r="Q215" i="23"/>
  <c r="N215" i="23"/>
  <c r="M215" i="23"/>
  <c r="L215" i="23"/>
  <c r="K215" i="23"/>
  <c r="Q214" i="23"/>
  <c r="N214" i="23"/>
  <c r="M214" i="23"/>
  <c r="L214" i="23"/>
  <c r="K214" i="23"/>
  <c r="Q213" i="23"/>
  <c r="N213" i="23"/>
  <c r="M213" i="23"/>
  <c r="L213" i="23"/>
  <c r="K213" i="23"/>
  <c r="Q212" i="23"/>
  <c r="N212" i="23"/>
  <c r="M212" i="23"/>
  <c r="L212" i="23"/>
  <c r="K212" i="23"/>
  <c r="Q211" i="23"/>
  <c r="N211" i="23"/>
  <c r="M211" i="23"/>
  <c r="L211" i="23"/>
  <c r="K211" i="23"/>
  <c r="Q210" i="23"/>
  <c r="N210" i="23"/>
  <c r="M210" i="23"/>
  <c r="L210" i="23"/>
  <c r="K210" i="23"/>
  <c r="Q209" i="23"/>
  <c r="N209" i="23"/>
  <c r="M209" i="23"/>
  <c r="L209" i="23"/>
  <c r="K209" i="23"/>
  <c r="Q208" i="23"/>
  <c r="N208" i="23"/>
  <c r="M208" i="23"/>
  <c r="L208" i="23"/>
  <c r="K208" i="23"/>
  <c r="Q207" i="23"/>
  <c r="N207" i="23"/>
  <c r="M207" i="23"/>
  <c r="L207" i="23"/>
  <c r="K207" i="23"/>
  <c r="Q206" i="23"/>
  <c r="N206" i="23"/>
  <c r="M206" i="23"/>
  <c r="L206" i="23"/>
  <c r="K206" i="23"/>
  <c r="Q205" i="23"/>
  <c r="N205" i="23"/>
  <c r="M205" i="23"/>
  <c r="L205" i="23"/>
  <c r="K205" i="23"/>
  <c r="Q204" i="23"/>
  <c r="N204" i="23"/>
  <c r="M204" i="23"/>
  <c r="L204" i="23"/>
  <c r="K204" i="23"/>
  <c r="Q203" i="23"/>
  <c r="N203" i="23"/>
  <c r="M203" i="23"/>
  <c r="L203" i="23"/>
  <c r="K203" i="23"/>
  <c r="Q202" i="23"/>
  <c r="M202" i="23"/>
  <c r="L202" i="23"/>
  <c r="K202" i="23"/>
  <c r="Q201" i="23"/>
  <c r="N201" i="23"/>
  <c r="M201" i="23"/>
  <c r="L201" i="23"/>
  <c r="K201" i="23"/>
  <c r="Q260" i="23"/>
  <c r="M260" i="23"/>
  <c r="L260" i="23"/>
  <c r="Q258" i="23"/>
  <c r="N258" i="23"/>
  <c r="M258" i="23"/>
  <c r="L258" i="23"/>
  <c r="K258" i="23"/>
  <c r="Q257" i="23"/>
  <c r="N257" i="23"/>
  <c r="O257" i="23" s="1"/>
  <c r="M257" i="23"/>
  <c r="L257" i="23"/>
  <c r="K257" i="23"/>
  <c r="Q256" i="23"/>
  <c r="N256" i="23"/>
  <c r="M256" i="23"/>
  <c r="L256" i="23"/>
  <c r="K256" i="23"/>
  <c r="Q255" i="23"/>
  <c r="N255" i="23"/>
  <c r="M255" i="23"/>
  <c r="L255" i="23"/>
  <c r="K255" i="23"/>
  <c r="Q254" i="23"/>
  <c r="N254" i="23"/>
  <c r="M254" i="23"/>
  <c r="L254" i="23"/>
  <c r="K254" i="23"/>
  <c r="Q253" i="23"/>
  <c r="N253" i="23"/>
  <c r="M253" i="23"/>
  <c r="L253" i="23"/>
  <c r="K253" i="23"/>
  <c r="Q252" i="23"/>
  <c r="N252" i="23"/>
  <c r="M252" i="23"/>
  <c r="L252" i="23"/>
  <c r="K252" i="23"/>
  <c r="Q251" i="23"/>
  <c r="N251" i="23"/>
  <c r="M251" i="23"/>
  <c r="L251" i="23"/>
  <c r="K251" i="23"/>
  <c r="Q250" i="23"/>
  <c r="N250" i="23"/>
  <c r="M250" i="23"/>
  <c r="L250" i="23"/>
  <c r="K250" i="23"/>
  <c r="Q249" i="23"/>
  <c r="N249" i="23"/>
  <c r="M249" i="23"/>
  <c r="L249" i="23"/>
  <c r="K249" i="23"/>
  <c r="Q248" i="23"/>
  <c r="N248" i="23"/>
  <c r="M248" i="23"/>
  <c r="L248" i="23"/>
  <c r="K248" i="23"/>
  <c r="Q247" i="23"/>
  <c r="N247" i="23"/>
  <c r="M247" i="23"/>
  <c r="L247" i="23"/>
  <c r="K247" i="23"/>
  <c r="Q246" i="23"/>
  <c r="N246" i="23"/>
  <c r="M246" i="23"/>
  <c r="L246" i="23"/>
  <c r="K246" i="23"/>
  <c r="Q245" i="23"/>
  <c r="N245" i="23"/>
  <c r="O245" i="23" s="1"/>
  <c r="M245" i="23"/>
  <c r="L245" i="23"/>
  <c r="K245" i="23"/>
  <c r="L253" i="2"/>
  <c r="L250" i="2"/>
  <c r="L243" i="2"/>
  <c r="L240" i="2"/>
  <c r="L237" i="2"/>
  <c r="AC18" i="21" l="1"/>
  <c r="E28" i="13"/>
  <c r="AC17" i="21"/>
  <c r="D21" i="13"/>
  <c r="H40" i="22" s="1"/>
  <c r="O201" i="23"/>
  <c r="O233" i="23"/>
  <c r="O255" i="23"/>
  <c r="O260" i="23"/>
  <c r="O247" i="23"/>
  <c r="O229" i="23"/>
  <c r="O227" i="23"/>
  <c r="O254" i="23"/>
  <c r="O235" i="23"/>
  <c r="O252" i="23"/>
  <c r="O250" i="23"/>
  <c r="O231" i="23"/>
  <c r="O243" i="23"/>
  <c r="O253" i="23"/>
  <c r="O241" i="23"/>
  <c r="O246" i="23"/>
  <c r="O258" i="23"/>
  <c r="O234" i="23"/>
  <c r="O248" i="23"/>
  <c r="O251" i="23"/>
  <c r="O256" i="23"/>
  <c r="O249" i="23"/>
  <c r="O226" i="23"/>
  <c r="O203" i="23"/>
  <c r="O242" i="23"/>
  <c r="O240" i="23"/>
  <c r="O238" i="23"/>
  <c r="O236" i="23"/>
  <c r="O232" i="23"/>
  <c r="O230" i="23"/>
  <c r="O228" i="23"/>
  <c r="O224" i="23"/>
  <c r="O204" i="23"/>
  <c r="O244" i="23"/>
  <c r="Q18" i="24"/>
  <c r="O223" i="23"/>
  <c r="O209" i="23"/>
  <c r="O214" i="23"/>
  <c r="O207" i="23"/>
  <c r="O213" i="23"/>
  <c r="O215" i="23"/>
  <c r="O211" i="23"/>
  <c r="O221" i="23"/>
  <c r="O219" i="23"/>
  <c r="O205" i="23"/>
  <c r="O220" i="23"/>
  <c r="O218" i="23"/>
  <c r="O216" i="23"/>
  <c r="O210" i="23"/>
  <c r="O208" i="23"/>
  <c r="O206" i="23"/>
  <c r="O212" i="23"/>
  <c r="O202" i="23"/>
  <c r="L230" i="2"/>
  <c r="L227" i="2"/>
  <c r="L226" i="2"/>
  <c r="L225" i="2"/>
  <c r="L216" i="2"/>
  <c r="L215" i="2"/>
  <c r="L214" i="2"/>
  <c r="L213" i="2"/>
  <c r="L212" i="2"/>
  <c r="L211" i="2"/>
  <c r="L210" i="2"/>
  <c r="L209" i="2"/>
  <c r="L208" i="2"/>
  <c r="L207" i="2"/>
  <c r="P171" i="23"/>
  <c r="N171" i="23"/>
  <c r="L205" i="2"/>
  <c r="L200" i="2"/>
  <c r="L193" i="2"/>
  <c r="P193" i="23" l="1"/>
  <c r="P192" i="23"/>
  <c r="P191" i="23"/>
  <c r="P190" i="23"/>
  <c r="P189" i="23"/>
  <c r="P188" i="23"/>
  <c r="P187" i="23"/>
  <c r="P186" i="23"/>
  <c r="P185" i="23"/>
  <c r="P184" i="23"/>
  <c r="P183" i="23"/>
  <c r="P182" i="23"/>
  <c r="P181" i="23"/>
  <c r="P180" i="23"/>
  <c r="P179" i="23"/>
  <c r="P175" i="23"/>
  <c r="P178" i="23"/>
  <c r="P177" i="23"/>
  <c r="P176" i="23"/>
  <c r="P174" i="23"/>
  <c r="P173" i="23"/>
  <c r="P172" i="23"/>
  <c r="P169" i="23"/>
  <c r="P168" i="23"/>
  <c r="P167" i="23"/>
  <c r="P170" i="23"/>
  <c r="P165" i="23"/>
  <c r="P162" i="23"/>
  <c r="P166" i="23"/>
  <c r="P164" i="23"/>
  <c r="P163" i="23"/>
  <c r="P161" i="23"/>
  <c r="P160" i="23"/>
  <c r="P159" i="23"/>
  <c r="P158" i="23"/>
  <c r="P157" i="23"/>
  <c r="P156" i="23"/>
  <c r="P155" i="23"/>
  <c r="P154" i="23"/>
  <c r="P153" i="23"/>
  <c r="P152" i="23"/>
  <c r="Q193" i="23"/>
  <c r="N193" i="23"/>
  <c r="M193" i="23"/>
  <c r="L193" i="23"/>
  <c r="K193" i="23"/>
  <c r="Q192" i="23"/>
  <c r="N192" i="23"/>
  <c r="M192" i="23"/>
  <c r="L192" i="23"/>
  <c r="K192" i="23"/>
  <c r="Q188" i="23"/>
  <c r="N188" i="23"/>
  <c r="M188" i="23"/>
  <c r="L188" i="23"/>
  <c r="K188" i="23"/>
  <c r="Q152" i="23"/>
  <c r="N152" i="23"/>
  <c r="M152" i="23"/>
  <c r="L152" i="23"/>
  <c r="Q187" i="23"/>
  <c r="N187" i="23"/>
  <c r="M187" i="23"/>
  <c r="L187" i="23"/>
  <c r="K187" i="23"/>
  <c r="Q186" i="23"/>
  <c r="N186" i="23"/>
  <c r="M186" i="23"/>
  <c r="L186" i="23"/>
  <c r="K186" i="23"/>
  <c r="Q185" i="23"/>
  <c r="N185" i="23"/>
  <c r="M185" i="23"/>
  <c r="L185" i="23"/>
  <c r="K185" i="23"/>
  <c r="Q184" i="23"/>
  <c r="N184" i="23"/>
  <c r="M184" i="23"/>
  <c r="L184" i="23"/>
  <c r="K184" i="23"/>
  <c r="Q183" i="23"/>
  <c r="N183" i="23"/>
  <c r="M183" i="23"/>
  <c r="L183" i="23"/>
  <c r="K183" i="23"/>
  <c r="Q182" i="23"/>
  <c r="N182" i="23"/>
  <c r="M182" i="23"/>
  <c r="L182" i="23"/>
  <c r="K182" i="23"/>
  <c r="Q181" i="23"/>
  <c r="N181" i="23"/>
  <c r="M181" i="23"/>
  <c r="L181" i="23"/>
  <c r="K181" i="23"/>
  <c r="Q180" i="23"/>
  <c r="N180" i="23"/>
  <c r="M180" i="23"/>
  <c r="L180" i="23"/>
  <c r="K180" i="23"/>
  <c r="Q179" i="23"/>
  <c r="N179" i="23"/>
  <c r="M179" i="23"/>
  <c r="L179" i="23"/>
  <c r="K179" i="23"/>
  <c r="Q178" i="23"/>
  <c r="N178" i="23"/>
  <c r="M178" i="23"/>
  <c r="L178" i="23"/>
  <c r="K178" i="23"/>
  <c r="Q177" i="23"/>
  <c r="N177" i="23"/>
  <c r="M177" i="23"/>
  <c r="L177" i="23"/>
  <c r="K177" i="23"/>
  <c r="Q176" i="23"/>
  <c r="N176" i="23"/>
  <c r="M176" i="23"/>
  <c r="L176" i="23"/>
  <c r="K176" i="23"/>
  <c r="Q175" i="23"/>
  <c r="N175" i="23"/>
  <c r="M175" i="23"/>
  <c r="L175" i="23"/>
  <c r="K175" i="23"/>
  <c r="Q174" i="23"/>
  <c r="N174" i="23"/>
  <c r="M174" i="23"/>
  <c r="L174" i="23"/>
  <c r="K174" i="23"/>
  <c r="Q173" i="23"/>
  <c r="N173" i="23"/>
  <c r="M173" i="23"/>
  <c r="L173" i="23"/>
  <c r="K173" i="23"/>
  <c r="Q172" i="23"/>
  <c r="N172" i="23"/>
  <c r="M172" i="23"/>
  <c r="L172" i="23"/>
  <c r="K172" i="23"/>
  <c r="Q171" i="23"/>
  <c r="M171" i="23"/>
  <c r="L171" i="23"/>
  <c r="K171" i="23"/>
  <c r="Q170" i="23"/>
  <c r="N170" i="23"/>
  <c r="M170" i="23"/>
  <c r="L170" i="23"/>
  <c r="K170" i="23"/>
  <c r="Q169" i="23"/>
  <c r="N169" i="23"/>
  <c r="M169" i="23"/>
  <c r="L169" i="23"/>
  <c r="K169" i="23"/>
  <c r="Q168" i="23"/>
  <c r="N168" i="23"/>
  <c r="M168" i="23"/>
  <c r="L168" i="23"/>
  <c r="K168" i="23"/>
  <c r="Q167" i="23"/>
  <c r="N167" i="23"/>
  <c r="M167" i="23"/>
  <c r="L167" i="23"/>
  <c r="K167" i="23"/>
  <c r="Q166" i="23"/>
  <c r="N166" i="23"/>
  <c r="M166" i="23"/>
  <c r="L166" i="23"/>
  <c r="K166" i="23"/>
  <c r="Q165" i="23"/>
  <c r="N165" i="23"/>
  <c r="M165" i="23"/>
  <c r="L165" i="23"/>
  <c r="K165" i="23"/>
  <c r="Q164" i="23"/>
  <c r="N164" i="23"/>
  <c r="M164" i="23"/>
  <c r="L164" i="23"/>
  <c r="K164" i="23"/>
  <c r="Q163" i="23"/>
  <c r="N163" i="23"/>
  <c r="M163" i="23"/>
  <c r="L163" i="23"/>
  <c r="K163" i="23"/>
  <c r="Q162" i="23"/>
  <c r="N162" i="23"/>
  <c r="M162" i="23"/>
  <c r="L162" i="23"/>
  <c r="K162" i="23"/>
  <c r="Q161" i="23"/>
  <c r="N161" i="23"/>
  <c r="M161" i="23"/>
  <c r="L161" i="23"/>
  <c r="K161" i="23"/>
  <c r="Q160" i="23"/>
  <c r="N160" i="23"/>
  <c r="M160" i="23"/>
  <c r="L160" i="23"/>
  <c r="K160" i="23"/>
  <c r="Q159" i="23"/>
  <c r="N159" i="23"/>
  <c r="M159" i="23"/>
  <c r="L159" i="23"/>
  <c r="K159" i="23"/>
  <c r="Q158" i="23"/>
  <c r="N158" i="23"/>
  <c r="M158" i="23"/>
  <c r="L158" i="23"/>
  <c r="K158" i="23"/>
  <c r="Q157" i="23"/>
  <c r="N157" i="23"/>
  <c r="M157" i="23"/>
  <c r="L157" i="23"/>
  <c r="K157" i="23"/>
  <c r="Q156" i="23"/>
  <c r="N156" i="23"/>
  <c r="M156" i="23"/>
  <c r="L156" i="23"/>
  <c r="K156" i="23"/>
  <c r="Q155" i="23"/>
  <c r="N155" i="23"/>
  <c r="M155" i="23"/>
  <c r="L155" i="23"/>
  <c r="K155" i="23"/>
  <c r="O188" i="23" l="1"/>
  <c r="O168" i="23"/>
  <c r="O192" i="23"/>
  <c r="O186" i="23"/>
  <c r="O176" i="23"/>
  <c r="O183" i="23"/>
  <c r="O162" i="23"/>
  <c r="O172" i="23"/>
  <c r="O182" i="23"/>
  <c r="O180" i="23"/>
  <c r="O193" i="23"/>
  <c r="O184" i="23"/>
  <c r="O185" i="23"/>
  <c r="O179" i="23"/>
  <c r="O177" i="23"/>
  <c r="O175" i="23"/>
  <c r="O173" i="23"/>
  <c r="O171" i="23"/>
  <c r="O160" i="23"/>
  <c r="O187" i="23"/>
  <c r="O181" i="23"/>
  <c r="O178" i="23"/>
  <c r="O174" i="23"/>
  <c r="O170" i="23"/>
  <c r="O165" i="23"/>
  <c r="O163" i="23"/>
  <c r="O167" i="23"/>
  <c r="O161" i="23"/>
  <c r="O166" i="23"/>
  <c r="O164" i="23"/>
  <c r="O169" i="23"/>
  <c r="O158" i="23"/>
  <c r="O159" i="23"/>
  <c r="O156" i="23"/>
  <c r="O155" i="23"/>
  <c r="O157" i="23"/>
  <c r="L191" i="2"/>
  <c r="L188" i="2"/>
  <c r="L181" i="2"/>
  <c r="L178" i="2"/>
  <c r="L175" i="2"/>
  <c r="L168" i="2"/>
  <c r="L165" i="2"/>
  <c r="L158" i="2"/>
  <c r="L157" i="2"/>
  <c r="L156" i="2"/>
  <c r="L155" i="2"/>
  <c r="L154" i="2"/>
  <c r="L153" i="2"/>
  <c r="L152" i="2"/>
  <c r="L151" i="2"/>
  <c r="P150" i="23"/>
  <c r="P146" i="23"/>
  <c r="P149" i="23"/>
  <c r="P145" i="23"/>
  <c r="P148" i="23"/>
  <c r="P144" i="23"/>
  <c r="P147" i="23"/>
  <c r="P143" i="23"/>
  <c r="P142" i="23"/>
  <c r="P141" i="23"/>
  <c r="P139" i="23"/>
  <c r="P137" i="23"/>
  <c r="P140" i="23"/>
  <c r="P138" i="23"/>
  <c r="P136" i="23"/>
  <c r="P135" i="23"/>
  <c r="P134" i="23"/>
  <c r="P133" i="23"/>
  <c r="P131" i="23"/>
  <c r="P128" i="23"/>
  <c r="P132" i="23"/>
  <c r="P130" i="23"/>
  <c r="P129" i="23"/>
  <c r="P127" i="23"/>
  <c r="P125" i="23"/>
  <c r="P124" i="23"/>
  <c r="P123" i="23"/>
  <c r="P122" i="23"/>
  <c r="P121" i="23"/>
  <c r="P126" i="23"/>
  <c r="P120" i="23"/>
  <c r="Q150" i="23"/>
  <c r="N150" i="23"/>
  <c r="M150" i="23"/>
  <c r="L150" i="23"/>
  <c r="Q149" i="23"/>
  <c r="N149" i="23"/>
  <c r="M149" i="23"/>
  <c r="L149" i="23"/>
  <c r="Q145" i="23"/>
  <c r="N145" i="23"/>
  <c r="M145" i="23"/>
  <c r="L145" i="23"/>
  <c r="Q142" i="23"/>
  <c r="N142" i="23"/>
  <c r="M142" i="23"/>
  <c r="L142" i="23"/>
  <c r="Q197" i="23"/>
  <c r="N197" i="23"/>
  <c r="M197" i="23"/>
  <c r="L197" i="23"/>
  <c r="K197" i="23"/>
  <c r="Q196" i="23"/>
  <c r="N196" i="23"/>
  <c r="M196" i="23"/>
  <c r="L196" i="23"/>
  <c r="K196" i="23"/>
  <c r="Q195" i="23"/>
  <c r="N195" i="23"/>
  <c r="M195" i="23"/>
  <c r="L195" i="23"/>
  <c r="K195" i="23"/>
  <c r="Q191" i="23"/>
  <c r="N191" i="23"/>
  <c r="M191" i="23"/>
  <c r="L191" i="23"/>
  <c r="K191" i="23"/>
  <c r="Q190" i="23"/>
  <c r="N190" i="23"/>
  <c r="M190" i="23"/>
  <c r="L190" i="23"/>
  <c r="K190" i="23"/>
  <c r="Q189" i="23"/>
  <c r="N189" i="23"/>
  <c r="M189" i="23"/>
  <c r="L189" i="23"/>
  <c r="K189" i="23"/>
  <c r="Q154" i="23"/>
  <c r="N154" i="23"/>
  <c r="M154" i="23"/>
  <c r="L154" i="23"/>
  <c r="K154" i="23"/>
  <c r="Q153" i="23"/>
  <c r="N153" i="23"/>
  <c r="M153" i="23"/>
  <c r="L153" i="23"/>
  <c r="K153" i="23"/>
  <c r="K152" i="23"/>
  <c r="K150" i="23"/>
  <c r="K149" i="23"/>
  <c r="Q148" i="23"/>
  <c r="N148" i="23"/>
  <c r="M148" i="23"/>
  <c r="L148" i="23"/>
  <c r="K148" i="23"/>
  <c r="Q147" i="23"/>
  <c r="N147" i="23"/>
  <c r="M147" i="23"/>
  <c r="L147" i="23"/>
  <c r="K147" i="23"/>
  <c r="Q146" i="23"/>
  <c r="N146" i="23"/>
  <c r="M146" i="23"/>
  <c r="L146" i="23"/>
  <c r="K146" i="23"/>
  <c r="K145" i="23"/>
  <c r="Q144" i="23"/>
  <c r="N144" i="23"/>
  <c r="M144" i="23"/>
  <c r="L144" i="23"/>
  <c r="K144" i="23"/>
  <c r="Q143" i="23"/>
  <c r="N143" i="23"/>
  <c r="M143" i="23"/>
  <c r="L143" i="23"/>
  <c r="K143" i="23"/>
  <c r="K142" i="23"/>
  <c r="Q141" i="23"/>
  <c r="N141" i="23"/>
  <c r="M141" i="23"/>
  <c r="L141" i="23"/>
  <c r="K141" i="23"/>
  <c r="Q140" i="23"/>
  <c r="N140" i="23"/>
  <c r="M140" i="23"/>
  <c r="L140" i="23"/>
  <c r="K140" i="23"/>
  <c r="Q139" i="23"/>
  <c r="N139" i="23"/>
  <c r="M139" i="23"/>
  <c r="L139" i="23"/>
  <c r="K139" i="23"/>
  <c r="Q200" i="23"/>
  <c r="N200" i="23"/>
  <c r="M200" i="23"/>
  <c r="L200" i="23"/>
  <c r="K200" i="23"/>
  <c r="Q199" i="23"/>
  <c r="N199" i="23"/>
  <c r="M199" i="23"/>
  <c r="L199" i="23"/>
  <c r="K199" i="23"/>
  <c r="Q198" i="23"/>
  <c r="N198" i="23"/>
  <c r="M198" i="23"/>
  <c r="L198" i="23"/>
  <c r="K198" i="23"/>
  <c r="L139" i="2"/>
  <c r="L136" i="2"/>
  <c r="L132" i="2"/>
  <c r="L129" i="2"/>
  <c r="L126" i="2"/>
  <c r="L123" i="2"/>
  <c r="L117" i="2"/>
  <c r="L116" i="2"/>
  <c r="L115" i="2"/>
  <c r="L112" i="2"/>
  <c r="L111" i="2"/>
  <c r="L110" i="2"/>
  <c r="L109" i="2"/>
  <c r="L108" i="2"/>
  <c r="L107" i="2"/>
  <c r="L105" i="2"/>
  <c r="L104" i="2"/>
  <c r="L103" i="2"/>
  <c r="L102" i="2"/>
  <c r="L101" i="2"/>
  <c r="N95" i="23"/>
  <c r="L100" i="2"/>
  <c r="L99" i="2"/>
  <c r="L97" i="2"/>
  <c r="O191" i="23" l="1"/>
  <c r="O189" i="23"/>
  <c r="O196" i="23"/>
  <c r="O190" i="23"/>
  <c r="O152" i="23"/>
  <c r="O148" i="23"/>
  <c r="O153" i="23"/>
  <c r="O197" i="23"/>
  <c r="O199" i="23"/>
  <c r="O195" i="23"/>
  <c r="O154" i="23"/>
  <c r="O145" i="23"/>
  <c r="O141" i="23"/>
  <c r="O150" i="23"/>
  <c r="O149" i="23"/>
  <c r="O142" i="23"/>
  <c r="O139" i="23"/>
  <c r="O147" i="23"/>
  <c r="O143" i="23"/>
  <c r="O146" i="23"/>
  <c r="O144" i="23"/>
  <c r="O140" i="23"/>
  <c r="O200" i="23"/>
  <c r="O198" i="23"/>
  <c r="L96" i="2"/>
  <c r="L95" i="2"/>
  <c r="N93" i="23"/>
  <c r="P118" i="23"/>
  <c r="P116" i="23"/>
  <c r="P117" i="23"/>
  <c r="P115" i="23"/>
  <c r="P114" i="23"/>
  <c r="P113" i="23"/>
  <c r="P112" i="23"/>
  <c r="P111" i="23"/>
  <c r="P110" i="23"/>
  <c r="P109" i="23"/>
  <c r="P108" i="23"/>
  <c r="P107" i="23"/>
  <c r="P106" i="23"/>
  <c r="P105" i="23"/>
  <c r="P104" i="23"/>
  <c r="P103" i="23"/>
  <c r="P102" i="23"/>
  <c r="P100" i="23"/>
  <c r="P101" i="23"/>
  <c r="P99" i="23"/>
  <c r="P98" i="23"/>
  <c r="P97" i="23"/>
  <c r="P96" i="23"/>
  <c r="P95" i="23"/>
  <c r="P93" i="23"/>
  <c r="P94" i="23"/>
  <c r="P92" i="23"/>
  <c r="P91" i="23"/>
  <c r="P90" i="23"/>
  <c r="P89" i="23"/>
  <c r="P88" i="23"/>
  <c r="P87" i="23"/>
  <c r="P86" i="23"/>
  <c r="Q127" i="23"/>
  <c r="N127" i="23"/>
  <c r="M127" i="23"/>
  <c r="L127" i="23"/>
  <c r="K127" i="23"/>
  <c r="Q126" i="23"/>
  <c r="N126" i="23"/>
  <c r="M126" i="23"/>
  <c r="L126" i="23"/>
  <c r="K126" i="23"/>
  <c r="Q125" i="23"/>
  <c r="N125" i="23"/>
  <c r="M125" i="23"/>
  <c r="L125" i="23"/>
  <c r="K125" i="23"/>
  <c r="Q124" i="23"/>
  <c r="N124" i="23"/>
  <c r="M124" i="23"/>
  <c r="L124" i="23"/>
  <c r="K124" i="23"/>
  <c r="Q123" i="23"/>
  <c r="N123" i="23"/>
  <c r="M123" i="23"/>
  <c r="L123" i="23"/>
  <c r="K123" i="23"/>
  <c r="Q122" i="23"/>
  <c r="N122" i="23"/>
  <c r="M122" i="23"/>
  <c r="L122" i="23"/>
  <c r="K122" i="23"/>
  <c r="Q121" i="23"/>
  <c r="N121" i="23"/>
  <c r="M121" i="23"/>
  <c r="L121" i="23"/>
  <c r="K121" i="23"/>
  <c r="Q120" i="23"/>
  <c r="N120" i="23"/>
  <c r="M120" i="23"/>
  <c r="L120" i="23"/>
  <c r="K120" i="23"/>
  <c r="Q118" i="23"/>
  <c r="N118" i="23"/>
  <c r="M118" i="23"/>
  <c r="L118" i="23"/>
  <c r="K118" i="23"/>
  <c r="Q117" i="23"/>
  <c r="N117" i="23"/>
  <c r="M117" i="23"/>
  <c r="L117" i="23"/>
  <c r="K117" i="23"/>
  <c r="Q116" i="23"/>
  <c r="N116" i="23"/>
  <c r="M116" i="23"/>
  <c r="L116" i="23"/>
  <c r="K116" i="23"/>
  <c r="Q115" i="23"/>
  <c r="N115" i="23"/>
  <c r="M115" i="23"/>
  <c r="L115" i="23"/>
  <c r="K115" i="23"/>
  <c r="Q114" i="23"/>
  <c r="N114" i="23"/>
  <c r="M114" i="23"/>
  <c r="L114" i="23"/>
  <c r="K114" i="23"/>
  <c r="Q113" i="23"/>
  <c r="N113" i="23"/>
  <c r="M113" i="23"/>
  <c r="L113" i="23"/>
  <c r="K113" i="23"/>
  <c r="Q112" i="23"/>
  <c r="N112" i="23"/>
  <c r="M112" i="23"/>
  <c r="L112" i="23"/>
  <c r="K112" i="23"/>
  <c r="Q111" i="23"/>
  <c r="N111" i="23"/>
  <c r="M111" i="23"/>
  <c r="L111" i="23"/>
  <c r="K111" i="23"/>
  <c r="Q110" i="23"/>
  <c r="N110" i="23"/>
  <c r="M110" i="23"/>
  <c r="L110" i="23"/>
  <c r="K110" i="23"/>
  <c r="Q109" i="23"/>
  <c r="N109" i="23"/>
  <c r="M109" i="23"/>
  <c r="L109" i="23"/>
  <c r="K109" i="23"/>
  <c r="Q108" i="23"/>
  <c r="N108" i="23"/>
  <c r="M108" i="23"/>
  <c r="L108" i="23"/>
  <c r="K108" i="23"/>
  <c r="Q107" i="23"/>
  <c r="N107" i="23"/>
  <c r="M107" i="23"/>
  <c r="L107" i="23"/>
  <c r="K107" i="23"/>
  <c r="Q106" i="23"/>
  <c r="N106" i="23"/>
  <c r="M106" i="23"/>
  <c r="L106" i="23"/>
  <c r="K106" i="23"/>
  <c r="Q105" i="23"/>
  <c r="N105" i="23"/>
  <c r="M105" i="23"/>
  <c r="L105" i="23"/>
  <c r="K105" i="23"/>
  <c r="Q138" i="23"/>
  <c r="N138" i="23"/>
  <c r="M138" i="23"/>
  <c r="L138" i="23"/>
  <c r="K138" i="23"/>
  <c r="Q137" i="23"/>
  <c r="N137" i="23"/>
  <c r="M137" i="23"/>
  <c r="L137" i="23"/>
  <c r="K137" i="23"/>
  <c r="Q136" i="23"/>
  <c r="N136" i="23"/>
  <c r="M136" i="23"/>
  <c r="L136" i="23"/>
  <c r="K136" i="23"/>
  <c r="Q135" i="23"/>
  <c r="N135" i="23"/>
  <c r="M135" i="23"/>
  <c r="L135" i="23"/>
  <c r="K135" i="23"/>
  <c r="Q134" i="23"/>
  <c r="N134" i="23"/>
  <c r="M134" i="23"/>
  <c r="L134" i="23"/>
  <c r="K134" i="23"/>
  <c r="Q133" i="23"/>
  <c r="N133" i="23"/>
  <c r="M133" i="23"/>
  <c r="L133" i="23"/>
  <c r="K133" i="23"/>
  <c r="Q132" i="23"/>
  <c r="N132" i="23"/>
  <c r="M132" i="23"/>
  <c r="L132" i="23"/>
  <c r="K132" i="23"/>
  <c r="Q131" i="23"/>
  <c r="N131" i="23"/>
  <c r="M131" i="23"/>
  <c r="L131" i="23"/>
  <c r="K131" i="23"/>
  <c r="Q130" i="23"/>
  <c r="N130" i="23"/>
  <c r="M130" i="23"/>
  <c r="L130" i="23"/>
  <c r="K130" i="23"/>
  <c r="Q129" i="23"/>
  <c r="N129" i="23"/>
  <c r="M129" i="23"/>
  <c r="L129" i="23"/>
  <c r="K129" i="23"/>
  <c r="Q128" i="23"/>
  <c r="N128" i="23"/>
  <c r="M128" i="23"/>
  <c r="L128" i="23"/>
  <c r="K128" i="23"/>
  <c r="L93" i="2"/>
  <c r="L90" i="2"/>
  <c r="L83" i="2"/>
  <c r="L80" i="2"/>
  <c r="L77" i="2"/>
  <c r="L76" i="2"/>
  <c r="L75" i="2"/>
  <c r="L74" i="2"/>
  <c r="L73" i="2"/>
  <c r="P84" i="23"/>
  <c r="P83" i="23"/>
  <c r="P82" i="23"/>
  <c r="P81" i="23"/>
  <c r="P80" i="23"/>
  <c r="P78" i="23"/>
  <c r="P77" i="23"/>
  <c r="P76" i="23"/>
  <c r="P79" i="23"/>
  <c r="P75" i="23"/>
  <c r="O132" i="23" l="1"/>
  <c r="O123" i="23"/>
  <c r="O127" i="23"/>
  <c r="O138" i="23"/>
  <c r="O137" i="23"/>
  <c r="O121" i="23"/>
  <c r="O135" i="23"/>
  <c r="O128" i="23"/>
  <c r="O110" i="23"/>
  <c r="O130" i="23"/>
  <c r="O133" i="23"/>
  <c r="O124" i="23"/>
  <c r="O131" i="23"/>
  <c r="O136" i="23"/>
  <c r="O129" i="23"/>
  <c r="O134" i="23"/>
  <c r="O125" i="23"/>
  <c r="O106" i="23"/>
  <c r="O113" i="23"/>
  <c r="O126" i="23"/>
  <c r="O120" i="23"/>
  <c r="O122" i="23"/>
  <c r="O105" i="23"/>
  <c r="O116" i="23"/>
  <c r="O114" i="23"/>
  <c r="O112" i="23"/>
  <c r="O108" i="23"/>
  <c r="O117" i="23"/>
  <c r="O115" i="23"/>
  <c r="O109" i="23"/>
  <c r="O118" i="23"/>
  <c r="O111" i="23"/>
  <c r="O107" i="23"/>
  <c r="P73" i="23"/>
  <c r="P72" i="23"/>
  <c r="P74" i="23"/>
  <c r="P70" i="23"/>
  <c r="P69" i="23"/>
  <c r="P71" i="23"/>
  <c r="P68" i="23"/>
  <c r="Q97" i="23"/>
  <c r="N97" i="23"/>
  <c r="M97" i="23"/>
  <c r="L97" i="23"/>
  <c r="K97" i="23"/>
  <c r="Q96" i="23"/>
  <c r="N96" i="23"/>
  <c r="M96" i="23"/>
  <c r="L96" i="23"/>
  <c r="K96" i="23"/>
  <c r="Q95" i="23"/>
  <c r="M95" i="23"/>
  <c r="L95" i="23"/>
  <c r="K95" i="23"/>
  <c r="Q94" i="23"/>
  <c r="N94" i="23"/>
  <c r="M94" i="23"/>
  <c r="L94" i="23"/>
  <c r="K94" i="23"/>
  <c r="Q93" i="23"/>
  <c r="M93" i="23"/>
  <c r="L93" i="23"/>
  <c r="K93" i="23"/>
  <c r="Q92" i="23"/>
  <c r="N92" i="23"/>
  <c r="M92" i="23"/>
  <c r="L92" i="23"/>
  <c r="K92" i="23"/>
  <c r="Q91" i="23"/>
  <c r="N91" i="23"/>
  <c r="M91" i="23"/>
  <c r="L91" i="23"/>
  <c r="K91" i="23"/>
  <c r="Q90" i="23"/>
  <c r="N90" i="23"/>
  <c r="M90" i="23"/>
  <c r="L90" i="23"/>
  <c r="K90" i="23"/>
  <c r="Q89" i="23"/>
  <c r="N89" i="23"/>
  <c r="M89" i="23"/>
  <c r="L89" i="23"/>
  <c r="K89" i="23"/>
  <c r="Q88" i="23"/>
  <c r="N88" i="23"/>
  <c r="M88" i="23"/>
  <c r="L88" i="23"/>
  <c r="K88" i="23"/>
  <c r="Q87" i="23"/>
  <c r="N87" i="23"/>
  <c r="M87" i="23"/>
  <c r="L87" i="23"/>
  <c r="K87" i="23"/>
  <c r="Q86" i="23"/>
  <c r="N86" i="23"/>
  <c r="M86" i="23"/>
  <c r="L86" i="23"/>
  <c r="K86" i="23"/>
  <c r="Q84" i="23"/>
  <c r="N84" i="23"/>
  <c r="M84" i="23"/>
  <c r="L84" i="23"/>
  <c r="K84" i="23"/>
  <c r="Q83" i="23"/>
  <c r="N83" i="23"/>
  <c r="M83" i="23"/>
  <c r="L83" i="23"/>
  <c r="K83" i="23"/>
  <c r="Q82" i="23"/>
  <c r="N82" i="23"/>
  <c r="M82" i="23"/>
  <c r="L82" i="23"/>
  <c r="K82" i="23"/>
  <c r="Q81" i="23"/>
  <c r="N81" i="23"/>
  <c r="M81" i="23"/>
  <c r="L81" i="23"/>
  <c r="K81" i="23"/>
  <c r="Q80" i="23"/>
  <c r="N80" i="23"/>
  <c r="M80" i="23"/>
  <c r="L80" i="23"/>
  <c r="K80" i="23"/>
  <c r="Q79" i="23"/>
  <c r="N79" i="23"/>
  <c r="M79" i="23"/>
  <c r="L79" i="23"/>
  <c r="K79" i="23"/>
  <c r="Q78" i="23"/>
  <c r="N78" i="23"/>
  <c r="M78" i="23"/>
  <c r="L78" i="23"/>
  <c r="K78" i="23"/>
  <c r="L66" i="2"/>
  <c r="L63" i="2"/>
  <c r="L61" i="2"/>
  <c r="L53" i="2"/>
  <c r="L51" i="2"/>
  <c r="L48" i="2"/>
  <c r="L47" i="2"/>
  <c r="L46" i="2"/>
  <c r="L45" i="2"/>
  <c r="L44" i="2"/>
  <c r="L41" i="2"/>
  <c r="L40" i="2"/>
  <c r="L39" i="2"/>
  <c r="L38" i="2"/>
  <c r="L36" i="2"/>
  <c r="P65" i="23"/>
  <c r="P64" i="23"/>
  <c r="P63" i="23"/>
  <c r="P62" i="23"/>
  <c r="P61" i="23"/>
  <c r="P60" i="23"/>
  <c r="P66" i="23"/>
  <c r="P59" i="23"/>
  <c r="P58" i="23"/>
  <c r="O95" i="23" l="1"/>
  <c r="O78" i="23"/>
  <c r="O91" i="23"/>
  <c r="O96" i="23"/>
  <c r="O87" i="23"/>
  <c r="O97" i="23"/>
  <c r="O93" i="23"/>
  <c r="O90" i="23"/>
  <c r="O83" i="23"/>
  <c r="O89" i="23"/>
  <c r="O94" i="23"/>
  <c r="O86" i="23"/>
  <c r="O80" i="23"/>
  <c r="O88" i="23"/>
  <c r="O84" i="23"/>
  <c r="O82" i="23"/>
  <c r="O92" i="23"/>
  <c r="O81" i="23"/>
  <c r="O79" i="23"/>
  <c r="P57" i="23"/>
  <c r="P56" i="23"/>
  <c r="P54" i="23"/>
  <c r="P52" i="23"/>
  <c r="P49" i="23"/>
  <c r="N55" i="23"/>
  <c r="P55" i="23"/>
  <c r="P48" i="23"/>
  <c r="N53" i="23"/>
  <c r="N51" i="23"/>
  <c r="P53" i="23"/>
  <c r="P47" i="23"/>
  <c r="P51" i="23"/>
  <c r="P50" i="23"/>
  <c r="P46" i="23"/>
  <c r="P45" i="23"/>
  <c r="Q71" i="23"/>
  <c r="N71" i="23"/>
  <c r="M71" i="23"/>
  <c r="L71" i="23"/>
  <c r="K71" i="23"/>
  <c r="Q70" i="23"/>
  <c r="N70" i="23"/>
  <c r="M70" i="23"/>
  <c r="L70" i="23"/>
  <c r="K70" i="23"/>
  <c r="Q69" i="23"/>
  <c r="N69" i="23"/>
  <c r="M69" i="23"/>
  <c r="L69" i="23"/>
  <c r="K69" i="23"/>
  <c r="Q68" i="23"/>
  <c r="N68" i="23"/>
  <c r="M68" i="23"/>
  <c r="L68" i="23"/>
  <c r="K68" i="23"/>
  <c r="Q66" i="23"/>
  <c r="N66" i="23"/>
  <c r="M66" i="23"/>
  <c r="L66" i="23"/>
  <c r="K66" i="23"/>
  <c r="Q65" i="23"/>
  <c r="N65" i="23"/>
  <c r="M65" i="23"/>
  <c r="L65" i="23"/>
  <c r="K65" i="23"/>
  <c r="Q64" i="23"/>
  <c r="N64" i="23"/>
  <c r="M64" i="23"/>
  <c r="L64" i="23"/>
  <c r="K64" i="23"/>
  <c r="Q63" i="23"/>
  <c r="N63" i="23"/>
  <c r="M63" i="23"/>
  <c r="L63" i="23"/>
  <c r="K63" i="23"/>
  <c r="Q62" i="23"/>
  <c r="N62" i="23"/>
  <c r="M62" i="23"/>
  <c r="L62" i="23"/>
  <c r="K62" i="23"/>
  <c r="Q61" i="23"/>
  <c r="N61" i="23"/>
  <c r="M61" i="23"/>
  <c r="L61" i="23"/>
  <c r="K61" i="23"/>
  <c r="Q60" i="23"/>
  <c r="N60" i="23"/>
  <c r="M60" i="23"/>
  <c r="L60" i="23"/>
  <c r="K60" i="23"/>
  <c r="Q59" i="23"/>
  <c r="N59" i="23"/>
  <c r="M59" i="23"/>
  <c r="L59" i="23"/>
  <c r="K59" i="23"/>
  <c r="Q58" i="23"/>
  <c r="N58" i="23"/>
  <c r="M58" i="23"/>
  <c r="L58" i="23"/>
  <c r="K58" i="23"/>
  <c r="Q57" i="23"/>
  <c r="N57" i="23"/>
  <c r="M57" i="23"/>
  <c r="L57" i="23"/>
  <c r="K57" i="23"/>
  <c r="Q56" i="23"/>
  <c r="N56" i="23"/>
  <c r="M56" i="23"/>
  <c r="L56" i="23"/>
  <c r="K56" i="23"/>
  <c r="Q55" i="23"/>
  <c r="M55" i="23"/>
  <c r="L55" i="23"/>
  <c r="K55" i="23"/>
  <c r="Q54" i="23"/>
  <c r="N54" i="23"/>
  <c r="M54" i="23"/>
  <c r="L54" i="23"/>
  <c r="K54" i="23"/>
  <c r="Q53" i="23"/>
  <c r="M53" i="23"/>
  <c r="L53" i="23"/>
  <c r="K53" i="23"/>
  <c r="Q52" i="23"/>
  <c r="N52" i="23"/>
  <c r="M52" i="23"/>
  <c r="L52" i="23"/>
  <c r="K52" i="23"/>
  <c r="Q51" i="23"/>
  <c r="M51" i="23"/>
  <c r="L51" i="23"/>
  <c r="K51" i="23"/>
  <c r="Q50" i="23"/>
  <c r="N50" i="23"/>
  <c r="M50" i="23"/>
  <c r="L50" i="23"/>
  <c r="K50" i="23"/>
  <c r="Q49" i="23"/>
  <c r="N49" i="23"/>
  <c r="M49" i="23"/>
  <c r="L49" i="23"/>
  <c r="K49" i="23"/>
  <c r="Q48" i="23"/>
  <c r="N48" i="23"/>
  <c r="M48" i="23"/>
  <c r="L48" i="23"/>
  <c r="K48" i="23"/>
  <c r="Q47" i="23"/>
  <c r="N47" i="23"/>
  <c r="M47" i="23"/>
  <c r="L47" i="23"/>
  <c r="K47" i="23"/>
  <c r="Q46" i="23"/>
  <c r="N46" i="23"/>
  <c r="M46" i="23"/>
  <c r="L46" i="23"/>
  <c r="K46" i="23"/>
  <c r="Q103" i="23"/>
  <c r="N103" i="23"/>
  <c r="M103" i="23"/>
  <c r="L103" i="23"/>
  <c r="K103" i="23"/>
  <c r="Q102" i="23"/>
  <c r="N102" i="23"/>
  <c r="M102" i="23"/>
  <c r="L102" i="23"/>
  <c r="K102" i="23"/>
  <c r="Q101" i="23"/>
  <c r="N101" i="23"/>
  <c r="M101" i="23"/>
  <c r="L101" i="23"/>
  <c r="K101" i="23"/>
  <c r="Q100" i="23"/>
  <c r="N100" i="23"/>
  <c r="M100" i="23"/>
  <c r="L100" i="23"/>
  <c r="K100" i="23"/>
  <c r="Q99" i="23"/>
  <c r="N99" i="23"/>
  <c r="M99" i="23"/>
  <c r="L99" i="23"/>
  <c r="K99" i="23"/>
  <c r="Q98" i="23"/>
  <c r="N98" i="23"/>
  <c r="M98" i="23"/>
  <c r="L98" i="23"/>
  <c r="K98" i="23"/>
  <c r="Q77" i="23"/>
  <c r="N77" i="23"/>
  <c r="M77" i="23"/>
  <c r="L77" i="23"/>
  <c r="K77" i="23"/>
  <c r="Q76" i="23"/>
  <c r="N76" i="23"/>
  <c r="M76" i="23"/>
  <c r="L76" i="23"/>
  <c r="K76" i="23"/>
  <c r="Q75" i="23"/>
  <c r="N75" i="23"/>
  <c r="M75" i="23"/>
  <c r="L75" i="23"/>
  <c r="K75" i="23"/>
  <c r="Q74" i="23"/>
  <c r="N74" i="23"/>
  <c r="M74" i="23"/>
  <c r="L74" i="23"/>
  <c r="K74" i="23"/>
  <c r="Q73" i="23"/>
  <c r="N73" i="23"/>
  <c r="M73" i="23"/>
  <c r="L73" i="23"/>
  <c r="K73" i="23"/>
  <c r="Q72" i="23"/>
  <c r="N72" i="23"/>
  <c r="M72" i="23"/>
  <c r="L72" i="23"/>
  <c r="K72" i="23"/>
  <c r="Q45" i="23"/>
  <c r="N45" i="23"/>
  <c r="M45" i="23"/>
  <c r="L45" i="23"/>
  <c r="K45" i="23"/>
  <c r="L34" i="2"/>
  <c r="L33" i="2"/>
  <c r="L32" i="2"/>
  <c r="L31" i="2"/>
  <c r="L30" i="2"/>
  <c r="L29" i="2"/>
  <c r="L28" i="2"/>
  <c r="L24" i="2"/>
  <c r="L23" i="2"/>
  <c r="P36" i="23"/>
  <c r="P39" i="23"/>
  <c r="P33" i="23"/>
  <c r="P37" i="23"/>
  <c r="P40" i="23"/>
  <c r="P34" i="23"/>
  <c r="P38" i="23"/>
  <c r="P35" i="23"/>
  <c r="P32" i="23"/>
  <c r="P42" i="23"/>
  <c r="P30" i="23"/>
  <c r="P43" i="23"/>
  <c r="P41" i="23"/>
  <c r="P31" i="23"/>
  <c r="P29" i="23"/>
  <c r="Q42" i="23"/>
  <c r="N42" i="23"/>
  <c r="M42" i="23"/>
  <c r="L42" i="23"/>
  <c r="K42" i="23"/>
  <c r="Q41" i="23"/>
  <c r="N41" i="23"/>
  <c r="M41" i="23"/>
  <c r="L41" i="23"/>
  <c r="K41" i="23"/>
  <c r="Q40" i="23"/>
  <c r="N40" i="23"/>
  <c r="M40" i="23"/>
  <c r="L40" i="23"/>
  <c r="K40" i="23"/>
  <c r="Q39" i="23"/>
  <c r="N39" i="23"/>
  <c r="M39" i="23"/>
  <c r="L39" i="23"/>
  <c r="K39" i="23"/>
  <c r="Q38" i="23"/>
  <c r="N38" i="23"/>
  <c r="M38" i="23"/>
  <c r="L38" i="23"/>
  <c r="K38" i="23"/>
  <c r="Q37" i="23"/>
  <c r="N37" i="23"/>
  <c r="M37" i="23"/>
  <c r="L37" i="23"/>
  <c r="K37" i="23"/>
  <c r="Q36" i="23"/>
  <c r="N36" i="23"/>
  <c r="M36" i="23"/>
  <c r="L36" i="23"/>
  <c r="K36" i="23"/>
  <c r="Q35" i="23"/>
  <c r="N35" i="23"/>
  <c r="M35" i="23"/>
  <c r="L35" i="23"/>
  <c r="K35" i="23"/>
  <c r="Q34" i="23"/>
  <c r="N34" i="23"/>
  <c r="M34" i="23"/>
  <c r="L34" i="23"/>
  <c r="K34" i="23"/>
  <c r="Q33" i="23"/>
  <c r="N33" i="23"/>
  <c r="M33" i="23"/>
  <c r="L33" i="23"/>
  <c r="K33" i="23"/>
  <c r="Q32" i="23"/>
  <c r="N32" i="23"/>
  <c r="M32" i="23"/>
  <c r="L32" i="23"/>
  <c r="K32" i="23"/>
  <c r="Q31" i="23"/>
  <c r="N31" i="23"/>
  <c r="M31" i="23"/>
  <c r="L31" i="23"/>
  <c r="K31" i="23"/>
  <c r="Q30" i="23"/>
  <c r="N30" i="23"/>
  <c r="M30" i="23"/>
  <c r="L30" i="23"/>
  <c r="K30" i="23"/>
  <c r="Q29" i="23"/>
  <c r="N29" i="23"/>
  <c r="M29" i="23"/>
  <c r="L29" i="23"/>
  <c r="K29" i="23"/>
  <c r="Q288" i="23"/>
  <c r="F5" i="14" s="1"/>
  <c r="F8" i="14" s="1"/>
  <c r="N288" i="23"/>
  <c r="B5" i="14" s="1"/>
  <c r="M288" i="23"/>
  <c r="E5" i="14" s="1"/>
  <c r="L288" i="23"/>
  <c r="D5" i="14" s="1"/>
  <c r="Q104" i="23"/>
  <c r="N104" i="23"/>
  <c r="M104" i="23"/>
  <c r="L104" i="23"/>
  <c r="K104" i="23"/>
  <c r="Q43" i="23"/>
  <c r="N43" i="23"/>
  <c r="M43" i="23"/>
  <c r="L43" i="23"/>
  <c r="K43" i="23"/>
  <c r="L21" i="2"/>
  <c r="L20" i="2"/>
  <c r="P24" i="23"/>
  <c r="P23" i="23"/>
  <c r="P22" i="23"/>
  <c r="P27" i="23"/>
  <c r="P26" i="23"/>
  <c r="P21" i="23"/>
  <c r="P20" i="23"/>
  <c r="P25" i="23"/>
  <c r="Q27" i="23"/>
  <c r="N27" i="23"/>
  <c r="M27" i="23"/>
  <c r="L27" i="23"/>
  <c r="K27" i="23"/>
  <c r="Q26" i="23"/>
  <c r="N26" i="23"/>
  <c r="M26" i="23"/>
  <c r="L26" i="23"/>
  <c r="K26" i="23"/>
  <c r="Q25" i="23"/>
  <c r="N25" i="23"/>
  <c r="M25" i="23"/>
  <c r="L25" i="23"/>
  <c r="K25" i="23"/>
  <c r="Q24" i="23"/>
  <c r="N24" i="23"/>
  <c r="M24" i="23"/>
  <c r="L24" i="23"/>
  <c r="K24" i="23"/>
  <c r="Q23" i="23"/>
  <c r="N23" i="23"/>
  <c r="M23" i="23"/>
  <c r="L23" i="23"/>
  <c r="K23" i="23"/>
  <c r="Q22" i="23"/>
  <c r="N22" i="23"/>
  <c r="M22" i="23"/>
  <c r="L22" i="23"/>
  <c r="K22" i="23"/>
  <c r="Q21" i="23"/>
  <c r="N21" i="23"/>
  <c r="M21" i="23"/>
  <c r="L21" i="23"/>
  <c r="K21" i="23"/>
  <c r="Q20" i="23"/>
  <c r="N20" i="23"/>
  <c r="M20" i="23"/>
  <c r="L20" i="23"/>
  <c r="K20" i="23"/>
  <c r="Q285" i="23"/>
  <c r="M285" i="23"/>
  <c r="L285" i="23"/>
  <c r="Q284" i="23"/>
  <c r="M284" i="23"/>
  <c r="L284" i="23"/>
  <c r="Q286" i="23"/>
  <c r="M286" i="23"/>
  <c r="L286" i="23"/>
  <c r="Q287" i="23"/>
  <c r="M287" i="23"/>
  <c r="L287" i="23"/>
  <c r="O285" i="23" l="1"/>
  <c r="O27" i="23"/>
  <c r="O103" i="23"/>
  <c r="O98" i="23"/>
  <c r="O286" i="23"/>
  <c r="O101" i="23"/>
  <c r="O99" i="23"/>
  <c r="O284" i="23"/>
  <c r="O102" i="23"/>
  <c r="O104" i="23"/>
  <c r="O287" i="23"/>
  <c r="O100" i="23"/>
  <c r="O70" i="23"/>
  <c r="O23" i="23"/>
  <c r="O74" i="23"/>
  <c r="O76" i="23"/>
  <c r="O72" i="23"/>
  <c r="O68" i="23"/>
  <c r="O77" i="23"/>
  <c r="O48" i="23"/>
  <c r="O25" i="23"/>
  <c r="O24" i="23"/>
  <c r="O69" i="23"/>
  <c r="O66" i="23"/>
  <c r="O71" i="23"/>
  <c r="O75" i="23"/>
  <c r="O60" i="23"/>
  <c r="O20" i="23"/>
  <c r="O22" i="23"/>
  <c r="O21" i="23"/>
  <c r="O26" i="23"/>
  <c r="O73" i="23"/>
  <c r="O54" i="23"/>
  <c r="O63" i="23"/>
  <c r="O61" i="23"/>
  <c r="O62" i="23"/>
  <c r="O59" i="23"/>
  <c r="O64" i="23"/>
  <c r="O58" i="23"/>
  <c r="O53" i="23"/>
  <c r="O52" i="23"/>
  <c r="O55" i="23"/>
  <c r="O51" i="23"/>
  <c r="O65" i="23"/>
  <c r="O56" i="23"/>
  <c r="O57" i="23"/>
  <c r="O46" i="23"/>
  <c r="O49" i="23"/>
  <c r="O50" i="23"/>
  <c r="O47" i="23"/>
  <c r="O45" i="23"/>
  <c r="O40" i="23"/>
  <c r="O38" i="23"/>
  <c r="O32" i="23"/>
  <c r="O33" i="23"/>
  <c r="O29" i="23"/>
  <c r="O41" i="23"/>
  <c r="O36" i="23"/>
  <c r="O43" i="23"/>
  <c r="O34" i="23"/>
  <c r="O31" i="23"/>
  <c r="O39" i="23"/>
  <c r="O30" i="23"/>
  <c r="O42" i="23"/>
  <c r="O37" i="23"/>
  <c r="O35" i="23"/>
  <c r="Q8" i="23"/>
  <c r="Q9" i="23"/>
  <c r="O288" i="23" l="1"/>
  <c r="C5" i="14" s="1"/>
  <c r="D702" i="2"/>
  <c r="D701" i="2"/>
  <c r="G700" i="2"/>
  <c r="G699" i="2"/>
  <c r="G698" i="2"/>
  <c r="H691" i="2"/>
  <c r="H692" i="2"/>
  <c r="H693" i="2"/>
  <c r="H694" i="2"/>
  <c r="H695" i="2"/>
  <c r="H696" i="2"/>
  <c r="D280" i="2"/>
  <c r="D279" i="2"/>
  <c r="G277" i="2"/>
  <c r="H348" i="15"/>
  <c r="G348" i="15"/>
  <c r="H347" i="15"/>
  <c r="G347" i="15"/>
  <c r="H346" i="15"/>
  <c r="G346" i="15"/>
  <c r="H345" i="15"/>
  <c r="G345" i="15"/>
  <c r="H344" i="15"/>
  <c r="G344" i="15"/>
  <c r="H343" i="15"/>
  <c r="G343" i="15"/>
  <c r="H342" i="15"/>
  <c r="G342" i="15"/>
  <c r="H341" i="15"/>
  <c r="G341" i="15"/>
  <c r="H340" i="15"/>
  <c r="G340" i="15"/>
  <c r="H339" i="15"/>
  <c r="G339" i="15"/>
  <c r="H338" i="15"/>
  <c r="G338" i="15"/>
  <c r="H337" i="15"/>
  <c r="G337" i="15"/>
  <c r="H336" i="15"/>
  <c r="G336" i="15"/>
  <c r="H335" i="15"/>
  <c r="G335" i="15"/>
  <c r="H334" i="15"/>
  <c r="G334" i="15"/>
  <c r="H333" i="15"/>
  <c r="G333" i="15"/>
  <c r="H332" i="15"/>
  <c r="G332" i="15"/>
  <c r="H331" i="15"/>
  <c r="G331" i="15"/>
  <c r="H330" i="15"/>
  <c r="G330" i="15"/>
  <c r="H329" i="15"/>
  <c r="G329" i="15"/>
  <c r="H328" i="15"/>
  <c r="G328" i="15"/>
  <c r="H327" i="15"/>
  <c r="G327" i="15"/>
  <c r="H326" i="15"/>
  <c r="G326" i="15"/>
  <c r="H325" i="15"/>
  <c r="G325" i="15"/>
  <c r="H324" i="15"/>
  <c r="G324" i="15"/>
  <c r="H323" i="15"/>
  <c r="G323" i="15"/>
  <c r="H322" i="15"/>
  <c r="G322" i="15"/>
  <c r="H321" i="15"/>
  <c r="G321" i="15"/>
  <c r="H320" i="15"/>
  <c r="G320" i="15"/>
  <c r="H319" i="15"/>
  <c r="G319" i="15"/>
  <c r="H318" i="15"/>
  <c r="G318" i="15"/>
  <c r="H317" i="15"/>
  <c r="G317" i="15"/>
  <c r="H316" i="15"/>
  <c r="G316" i="15"/>
  <c r="H315" i="15"/>
  <c r="G315" i="15"/>
  <c r="H314" i="15"/>
  <c r="G314" i="15"/>
  <c r="H313" i="15"/>
  <c r="G313" i="15"/>
  <c r="H312" i="15"/>
  <c r="G312" i="15"/>
  <c r="H311" i="15"/>
  <c r="G311" i="15"/>
  <c r="H368" i="15"/>
  <c r="G368" i="15"/>
  <c r="H367" i="15"/>
  <c r="G367" i="15"/>
  <c r="H366" i="15"/>
  <c r="G366" i="15"/>
  <c r="H365" i="15"/>
  <c r="G365" i="15"/>
  <c r="H364" i="15"/>
  <c r="G364" i="15"/>
  <c r="H363" i="15"/>
  <c r="G363" i="15"/>
  <c r="H362" i="15"/>
  <c r="G362" i="15"/>
  <c r="H361" i="15"/>
  <c r="G361" i="15"/>
  <c r="H360" i="15"/>
  <c r="G360" i="15"/>
  <c r="H359" i="15"/>
  <c r="G359" i="15"/>
  <c r="H357" i="15"/>
  <c r="G357" i="15"/>
  <c r="H356" i="15"/>
  <c r="G356" i="15"/>
  <c r="H354" i="15"/>
  <c r="G354" i="15"/>
  <c r="H353" i="15"/>
  <c r="G353" i="15"/>
  <c r="H352" i="15"/>
  <c r="G352" i="15"/>
  <c r="H351" i="15"/>
  <c r="G351" i="15"/>
  <c r="H350" i="15"/>
  <c r="G350" i="15"/>
  <c r="H349" i="15"/>
  <c r="G349" i="15"/>
  <c r="I696" i="2"/>
  <c r="G696" i="2"/>
  <c r="G695" i="2"/>
  <c r="I694" i="2"/>
  <c r="G694" i="2"/>
  <c r="I695" i="2"/>
  <c r="I693" i="2" l="1"/>
  <c r="G693" i="2"/>
  <c r="D693" i="2"/>
  <c r="J693" i="2" s="1"/>
  <c r="I692" i="2"/>
  <c r="J692" i="2" s="1"/>
  <c r="G692" i="2"/>
  <c r="G690" i="2"/>
  <c r="H690" i="2" s="1"/>
  <c r="D690" i="2"/>
  <c r="I691" i="2"/>
  <c r="J691" i="2" s="1"/>
  <c r="G691" i="2"/>
  <c r="I690" i="2"/>
  <c r="J690" i="2" s="1"/>
  <c r="G689" i="2"/>
  <c r="H689" i="2" s="1"/>
  <c r="D687" i="2"/>
  <c r="J687" i="2" s="1"/>
  <c r="G685" i="2"/>
  <c r="D685" i="2"/>
  <c r="G684" i="2"/>
  <c r="I683" i="2"/>
  <c r="G683" i="2"/>
  <c r="G681" i="2"/>
  <c r="H681" i="2" s="1"/>
  <c r="G680" i="2"/>
  <c r="H680" i="2" s="1"/>
  <c r="G679" i="2"/>
  <c r="H679" i="2" s="1"/>
  <c r="G678" i="2"/>
  <c r="D678" i="2"/>
  <c r="J678" i="2" s="1"/>
  <c r="I677" i="2"/>
  <c r="G677" i="2"/>
  <c r="D677" i="2"/>
  <c r="J677" i="2" s="1"/>
  <c r="G676" i="2"/>
  <c r="J706" i="2"/>
  <c r="H706" i="2"/>
  <c r="J705" i="2"/>
  <c r="H705" i="2"/>
  <c r="J704" i="2"/>
  <c r="H704" i="2"/>
  <c r="J702" i="2"/>
  <c r="H702" i="2"/>
  <c r="J701" i="2"/>
  <c r="H701" i="2"/>
  <c r="J700" i="2"/>
  <c r="H700" i="2"/>
  <c r="J699" i="2"/>
  <c r="H699" i="2"/>
  <c r="J698" i="2"/>
  <c r="H698" i="2"/>
  <c r="J696" i="2"/>
  <c r="J695" i="2"/>
  <c r="J694" i="2"/>
  <c r="J689" i="2"/>
  <c r="J688" i="2"/>
  <c r="H688" i="2"/>
  <c r="H687" i="2"/>
  <c r="J686" i="2"/>
  <c r="H686" i="2"/>
  <c r="J685" i="2"/>
  <c r="H685" i="2"/>
  <c r="J684" i="2"/>
  <c r="H684" i="2"/>
  <c r="J683" i="2"/>
  <c r="H683" i="2"/>
  <c r="J682" i="2"/>
  <c r="H682" i="2"/>
  <c r="J681" i="2"/>
  <c r="J680" i="2"/>
  <c r="J679" i="2"/>
  <c r="H678" i="2"/>
  <c r="J720" i="2"/>
  <c r="H720" i="2"/>
  <c r="J719" i="2"/>
  <c r="H719" i="2"/>
  <c r="J718" i="2"/>
  <c r="H718" i="2"/>
  <c r="J717" i="2"/>
  <c r="H717" i="2"/>
  <c r="J716" i="2"/>
  <c r="H716" i="2"/>
  <c r="J715" i="2"/>
  <c r="H715" i="2"/>
  <c r="J714" i="2"/>
  <c r="H714" i="2"/>
  <c r="J713" i="2"/>
  <c r="H713" i="2"/>
  <c r="J712" i="2"/>
  <c r="H712" i="2"/>
  <c r="J711" i="2"/>
  <c r="H711" i="2"/>
  <c r="J710" i="2"/>
  <c r="H710" i="2"/>
  <c r="J709" i="2"/>
  <c r="H709" i="2"/>
  <c r="J708" i="2"/>
  <c r="H708" i="2"/>
  <c r="J707" i="2"/>
  <c r="H707" i="2"/>
  <c r="G675" i="2"/>
  <c r="H675" i="2" s="1"/>
  <c r="G673" i="2"/>
  <c r="H673" i="2" s="1"/>
  <c r="D675" i="2"/>
  <c r="I274" i="2"/>
  <c r="G672" i="2"/>
  <c r="H672" i="2" s="1"/>
  <c r="G671" i="2"/>
  <c r="H671" i="2" s="1"/>
  <c r="G670" i="2"/>
  <c r="J724" i="2"/>
  <c r="H724" i="2"/>
  <c r="J723" i="2"/>
  <c r="H723" i="2"/>
  <c r="J722" i="2"/>
  <c r="H722" i="2"/>
  <c r="J721" i="2"/>
  <c r="H721" i="2"/>
  <c r="J676" i="2"/>
  <c r="H676" i="2"/>
  <c r="J675" i="2"/>
  <c r="J674" i="2"/>
  <c r="H674" i="2"/>
  <c r="J673" i="2"/>
  <c r="J672" i="2"/>
  <c r="J671" i="2"/>
  <c r="G274" i="2"/>
  <c r="D273" i="2"/>
  <c r="D271" i="2"/>
  <c r="G269" i="2"/>
  <c r="D269" i="2"/>
  <c r="H677" i="2" l="1"/>
  <c r="D268" i="2"/>
  <c r="G267" i="2"/>
  <c r="I266" i="2"/>
  <c r="G266" i="2"/>
  <c r="G264" i="2"/>
  <c r="G263" i="2"/>
  <c r="I262" i="2"/>
  <c r="G262" i="2"/>
  <c r="I261" i="2"/>
  <c r="G261" i="2"/>
  <c r="I260" i="2"/>
  <c r="G260" i="2"/>
  <c r="G259" i="2"/>
  <c r="G258" i="2"/>
  <c r="D258" i="2"/>
  <c r="I257" i="2"/>
  <c r="G257" i="2"/>
  <c r="D257" i="2"/>
  <c r="I255" i="2"/>
  <c r="G255" i="2"/>
  <c r="D255" i="2"/>
  <c r="H81" i="18" l="1"/>
  <c r="G81" i="18"/>
  <c r="H80" i="18"/>
  <c r="G80" i="18"/>
  <c r="H79" i="18"/>
  <c r="G79" i="18"/>
  <c r="H78" i="18"/>
  <c r="G78" i="18"/>
  <c r="H77" i="18"/>
  <c r="G77" i="18"/>
  <c r="H76" i="18"/>
  <c r="G76" i="18"/>
  <c r="H75" i="18"/>
  <c r="G75" i="18"/>
  <c r="H74" i="18"/>
  <c r="G74" i="18"/>
  <c r="D666" i="2"/>
  <c r="H666" i="2" s="1"/>
  <c r="H371" i="15"/>
  <c r="G371" i="15"/>
  <c r="H370" i="15"/>
  <c r="G370" i="15"/>
  <c r="H369" i="15"/>
  <c r="G369" i="15"/>
  <c r="H310" i="15"/>
  <c r="G310" i="15"/>
  <c r="H309" i="15"/>
  <c r="G309" i="15"/>
  <c r="H308" i="15"/>
  <c r="G308" i="15"/>
  <c r="H306" i="15"/>
  <c r="G306" i="15"/>
  <c r="H305" i="15"/>
  <c r="G305" i="15"/>
  <c r="H304" i="15"/>
  <c r="G304" i="15"/>
  <c r="H303" i="15"/>
  <c r="G303" i="15"/>
  <c r="H302" i="15"/>
  <c r="G302" i="15"/>
  <c r="H301" i="15"/>
  <c r="G301" i="15"/>
  <c r="H300" i="15"/>
  <c r="G300" i="15"/>
  <c r="H299" i="15"/>
  <c r="G299" i="15"/>
  <c r="H298" i="15"/>
  <c r="G298" i="15"/>
  <c r="H375" i="15"/>
  <c r="G375" i="15"/>
  <c r="H374" i="15"/>
  <c r="G374" i="15"/>
  <c r="H373" i="15"/>
  <c r="G373" i="15"/>
  <c r="H372" i="15"/>
  <c r="G372" i="15"/>
  <c r="H412" i="15"/>
  <c r="G412" i="15"/>
  <c r="H411" i="15"/>
  <c r="G411" i="15"/>
  <c r="I665" i="2"/>
  <c r="G665" i="2"/>
  <c r="H665" i="2" s="1"/>
  <c r="G664" i="2"/>
  <c r="H664" i="2" s="1"/>
  <c r="G663" i="2"/>
  <c r="H663" i="2" s="1"/>
  <c r="G662" i="2"/>
  <c r="H662" i="2" s="1"/>
  <c r="G661" i="2"/>
  <c r="H661" i="2" s="1"/>
  <c r="I660" i="2"/>
  <c r="G660" i="2"/>
  <c r="H660" i="2" s="1"/>
  <c r="D659" i="2"/>
  <c r="D658" i="2"/>
  <c r="I657" i="2"/>
  <c r="G657" i="2"/>
  <c r="H657" i="2" s="1"/>
  <c r="I656" i="2"/>
  <c r="G656" i="2"/>
  <c r="H656" i="2" s="1"/>
  <c r="I654" i="2"/>
  <c r="H654" i="2"/>
  <c r="G654" i="2"/>
  <c r="I651" i="2"/>
  <c r="G651" i="2"/>
  <c r="H651" i="2" s="1"/>
  <c r="H652" i="2"/>
  <c r="H653" i="2"/>
  <c r="H655" i="2"/>
  <c r="H658" i="2"/>
  <c r="H659" i="2"/>
  <c r="J650" i="2"/>
  <c r="H650" i="2"/>
  <c r="G649" i="2"/>
  <c r="G648" i="2"/>
  <c r="G605" i="2"/>
  <c r="G644" i="2"/>
  <c r="G647" i="2"/>
  <c r="G641" i="2"/>
  <c r="I640" i="2"/>
  <c r="G640" i="2"/>
  <c r="G639" i="2"/>
  <c r="G636" i="2"/>
  <c r="G601" i="2"/>
  <c r="G646" i="2"/>
  <c r="G642" i="2"/>
  <c r="G638" i="2"/>
  <c r="G634" i="2"/>
  <c r="G633" i="2"/>
  <c r="I632" i="2"/>
  <c r="G632" i="2"/>
  <c r="G631" i="2"/>
  <c r="D631" i="2"/>
  <c r="G630" i="2"/>
  <c r="G629" i="2"/>
  <c r="G627" i="2"/>
  <c r="G626" i="2"/>
  <c r="D626" i="2"/>
  <c r="G625" i="2"/>
  <c r="D625" i="2"/>
  <c r="G624" i="2"/>
  <c r="D624" i="2"/>
  <c r="G623" i="2"/>
  <c r="D623" i="2"/>
  <c r="G622" i="2"/>
  <c r="D622" i="2"/>
  <c r="G621" i="2"/>
  <c r="D621" i="2"/>
  <c r="G620" i="2"/>
  <c r="D620" i="2"/>
  <c r="G619" i="2"/>
  <c r="D619" i="2"/>
  <c r="D618" i="2"/>
  <c r="D617" i="2"/>
  <c r="G615" i="2"/>
  <c r="G613" i="2"/>
  <c r="G612" i="2"/>
  <c r="D611" i="2" l="1"/>
  <c r="I610" i="2"/>
  <c r="J610" i="2" s="1"/>
  <c r="G610" i="2"/>
  <c r="H610" i="2" s="1"/>
  <c r="G609" i="2"/>
  <c r="I605" i="2"/>
  <c r="J605" i="2" s="1"/>
  <c r="I601" i="2"/>
  <c r="I609" i="2"/>
  <c r="G608" i="2"/>
  <c r="G606" i="2"/>
  <c r="J607" i="2"/>
  <c r="H607" i="2"/>
  <c r="J603" i="2"/>
  <c r="H603" i="2"/>
  <c r="G602" i="2"/>
  <c r="G599" i="2"/>
  <c r="J640" i="2"/>
  <c r="H640" i="2"/>
  <c r="J639" i="2"/>
  <c r="H639" i="2"/>
  <c r="J638" i="2"/>
  <c r="H638" i="2"/>
  <c r="J637" i="2"/>
  <c r="H637" i="2"/>
  <c r="J636" i="2"/>
  <c r="H636" i="2"/>
  <c r="J635" i="2"/>
  <c r="H635" i="2"/>
  <c r="J634" i="2"/>
  <c r="H634" i="2"/>
  <c r="J633" i="2"/>
  <c r="H633" i="2"/>
  <c r="J632" i="2"/>
  <c r="H632" i="2"/>
  <c r="J631" i="2"/>
  <c r="H631" i="2"/>
  <c r="J630" i="2"/>
  <c r="H630" i="2"/>
  <c r="J629" i="2"/>
  <c r="H629" i="2"/>
  <c r="J628" i="2"/>
  <c r="H628" i="2"/>
  <c r="J627" i="2"/>
  <c r="H627" i="2"/>
  <c r="J626" i="2"/>
  <c r="H626" i="2"/>
  <c r="J625" i="2"/>
  <c r="H625" i="2"/>
  <c r="J624" i="2"/>
  <c r="H624" i="2"/>
  <c r="J623" i="2"/>
  <c r="H623" i="2"/>
  <c r="J622" i="2"/>
  <c r="H622" i="2"/>
  <c r="J621" i="2"/>
  <c r="H621" i="2"/>
  <c r="J620" i="2"/>
  <c r="H620" i="2"/>
  <c r="J619" i="2"/>
  <c r="H619" i="2"/>
  <c r="J618" i="2"/>
  <c r="H618" i="2"/>
  <c r="J617" i="2"/>
  <c r="H617" i="2"/>
  <c r="J616" i="2"/>
  <c r="H616" i="2"/>
  <c r="J615" i="2"/>
  <c r="H615" i="2"/>
  <c r="J614" i="2"/>
  <c r="H614" i="2"/>
  <c r="J613" i="2"/>
  <c r="H613" i="2"/>
  <c r="J612" i="2"/>
  <c r="H612" i="2"/>
  <c r="J611" i="2"/>
  <c r="H611" i="2"/>
  <c r="J609" i="2"/>
  <c r="H609" i="2"/>
  <c r="J608" i="2"/>
  <c r="H608" i="2"/>
  <c r="J606" i="2"/>
  <c r="H606" i="2"/>
  <c r="H605" i="2"/>
  <c r="J604" i="2"/>
  <c r="H604" i="2"/>
  <c r="J602" i="2"/>
  <c r="H602" i="2"/>
  <c r="J601" i="2"/>
  <c r="H601" i="2"/>
  <c r="J600" i="2"/>
  <c r="H600" i="2"/>
  <c r="J660" i="2"/>
  <c r="J659" i="2"/>
  <c r="J658" i="2"/>
  <c r="J657" i="2"/>
  <c r="J656" i="2"/>
  <c r="J655" i="2"/>
  <c r="J654" i="2"/>
  <c r="J653" i="2"/>
  <c r="J652" i="2"/>
  <c r="J651" i="2"/>
  <c r="J649" i="2"/>
  <c r="H649" i="2"/>
  <c r="J648" i="2"/>
  <c r="H648" i="2"/>
  <c r="J647" i="2"/>
  <c r="H647" i="2"/>
  <c r="J646" i="2"/>
  <c r="H646" i="2"/>
  <c r="J645" i="2"/>
  <c r="H645" i="2"/>
  <c r="J644" i="2"/>
  <c r="H644" i="2"/>
  <c r="J643" i="2"/>
  <c r="H643" i="2"/>
  <c r="J642" i="2"/>
  <c r="H64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J670" i="2"/>
  <c r="H670" i="2"/>
  <c r="J668" i="2"/>
  <c r="H668" i="2"/>
  <c r="J667" i="2"/>
  <c r="H667" i="2"/>
  <c r="J666" i="2"/>
  <c r="J665" i="2"/>
  <c r="J664" i="2"/>
  <c r="J663" i="2"/>
  <c r="J662" i="2"/>
  <c r="J661" i="2"/>
  <c r="J641" i="2"/>
  <c r="H641" i="2"/>
  <c r="I253" i="2"/>
  <c r="J253" i="2" s="1"/>
  <c r="G253" i="2"/>
  <c r="H253" i="2" s="1"/>
  <c r="G250" i="2"/>
  <c r="D250" i="2"/>
  <c r="G243" i="2"/>
  <c r="D243" i="2"/>
  <c r="K243" i="2" s="1"/>
  <c r="G240" i="2"/>
  <c r="I240" i="2"/>
  <c r="G237" i="2"/>
  <c r="H237" i="2" s="1"/>
  <c r="D237" i="2"/>
  <c r="G230" i="2"/>
  <c r="D230" i="2"/>
  <c r="J230" i="2" s="1"/>
  <c r="I227" i="2"/>
  <c r="G227" i="2"/>
  <c r="G226" i="2"/>
  <c r="G225" i="2"/>
  <c r="G224" i="2"/>
  <c r="H224" i="2" s="1"/>
  <c r="G222" i="2"/>
  <c r="G221" i="2"/>
  <c r="G220" i="2"/>
  <c r="D220" i="2"/>
  <c r="H220" i="2" s="1"/>
  <c r="G219" i="2"/>
  <c r="G218" i="2"/>
  <c r="G217" i="2"/>
  <c r="H217" i="2" s="1"/>
  <c r="D217" i="2"/>
  <c r="G216" i="2"/>
  <c r="D216" i="2"/>
  <c r="O216" i="2" s="1"/>
  <c r="G214" i="2"/>
  <c r="D214" i="2"/>
  <c r="J214" i="2" s="1"/>
  <c r="I215" i="2"/>
  <c r="G215" i="2"/>
  <c r="D215" i="2"/>
  <c r="J215" i="2" s="1"/>
  <c r="I213" i="2"/>
  <c r="G213" i="2"/>
  <c r="D213" i="2"/>
  <c r="O213" i="2" s="1"/>
  <c r="D212" i="2"/>
  <c r="K212" i="2" s="1"/>
  <c r="D211" i="2"/>
  <c r="I210" i="2"/>
  <c r="H210" i="2"/>
  <c r="G210" i="2"/>
  <c r="I208" i="2"/>
  <c r="J208" i="2" s="1"/>
  <c r="G208" i="2"/>
  <c r="H208" i="2" s="1"/>
  <c r="I209" i="2"/>
  <c r="J209" i="2" s="1"/>
  <c r="H209" i="2"/>
  <c r="G209" i="2"/>
  <c r="I207" i="2"/>
  <c r="G207" i="2"/>
  <c r="G206" i="2"/>
  <c r="D205" i="2"/>
  <c r="G204" i="2"/>
  <c r="H204" i="2" s="1"/>
  <c r="I203" i="2"/>
  <c r="G203" i="2"/>
  <c r="H203" i="2" s="1"/>
  <c r="G202" i="2"/>
  <c r="G201" i="2"/>
  <c r="J202" i="2"/>
  <c r="H202" i="2"/>
  <c r="I201" i="2"/>
  <c r="J201" i="2" s="1"/>
  <c r="H201" i="2"/>
  <c r="G200" i="2"/>
  <c r="H200" i="2" s="1"/>
  <c r="I200" i="2"/>
  <c r="O285" i="2"/>
  <c r="M285" i="2"/>
  <c r="N285" i="2" s="1"/>
  <c r="K285" i="2"/>
  <c r="J285" i="2"/>
  <c r="H285" i="2"/>
  <c r="O284" i="2"/>
  <c r="M284" i="2"/>
  <c r="N284" i="2" s="1"/>
  <c r="K284" i="2"/>
  <c r="J284" i="2"/>
  <c r="H284" i="2"/>
  <c r="O283" i="2"/>
  <c r="M283" i="2"/>
  <c r="N283" i="2" s="1"/>
  <c r="K283" i="2"/>
  <c r="J283" i="2"/>
  <c r="H283" i="2"/>
  <c r="O282" i="2"/>
  <c r="M282" i="2"/>
  <c r="N282" i="2" s="1"/>
  <c r="K282" i="2"/>
  <c r="J282" i="2"/>
  <c r="H282" i="2"/>
  <c r="O280" i="2"/>
  <c r="M280" i="2"/>
  <c r="N280" i="2" s="1"/>
  <c r="K280" i="2"/>
  <c r="J280" i="2"/>
  <c r="H280" i="2"/>
  <c r="O279" i="2"/>
  <c r="M279" i="2"/>
  <c r="N279" i="2" s="1"/>
  <c r="K279" i="2"/>
  <c r="J279" i="2"/>
  <c r="H279" i="2"/>
  <c r="O278" i="2"/>
  <c r="M278" i="2"/>
  <c r="N278" i="2" s="1"/>
  <c r="K278" i="2"/>
  <c r="J278" i="2"/>
  <c r="H278" i="2"/>
  <c r="O277" i="2"/>
  <c r="M277" i="2"/>
  <c r="N277" i="2" s="1"/>
  <c r="K277" i="2"/>
  <c r="J277" i="2"/>
  <c r="H277" i="2"/>
  <c r="O276" i="2"/>
  <c r="M276" i="2"/>
  <c r="N276" i="2" s="1"/>
  <c r="K276" i="2"/>
  <c r="J276" i="2"/>
  <c r="H276" i="2"/>
  <c r="O274" i="2"/>
  <c r="M274" i="2"/>
  <c r="N274" i="2" s="1"/>
  <c r="K274" i="2"/>
  <c r="J274" i="2"/>
  <c r="H274" i="2"/>
  <c r="O273" i="2"/>
  <c r="M273" i="2"/>
  <c r="N273" i="2" s="1"/>
  <c r="K273" i="2"/>
  <c r="J273" i="2"/>
  <c r="H273" i="2"/>
  <c r="O272" i="2"/>
  <c r="M272" i="2"/>
  <c r="N272" i="2" s="1"/>
  <c r="K272" i="2"/>
  <c r="J272" i="2"/>
  <c r="H272" i="2"/>
  <c r="O271" i="2"/>
  <c r="M271" i="2"/>
  <c r="N271" i="2" s="1"/>
  <c r="K271" i="2"/>
  <c r="J271" i="2"/>
  <c r="H271" i="2"/>
  <c r="O270" i="2"/>
  <c r="M270" i="2"/>
  <c r="N270" i="2" s="1"/>
  <c r="K270" i="2"/>
  <c r="J270" i="2"/>
  <c r="H270" i="2"/>
  <c r="O269" i="2"/>
  <c r="M269" i="2"/>
  <c r="N269" i="2" s="1"/>
  <c r="K269" i="2"/>
  <c r="J269" i="2"/>
  <c r="H269" i="2"/>
  <c r="O268" i="2"/>
  <c r="M268" i="2"/>
  <c r="N268" i="2" s="1"/>
  <c r="K268" i="2"/>
  <c r="J268" i="2"/>
  <c r="H268" i="2"/>
  <c r="O267" i="2"/>
  <c r="M267" i="2"/>
  <c r="N267" i="2" s="1"/>
  <c r="K267" i="2"/>
  <c r="J267" i="2"/>
  <c r="H267" i="2"/>
  <c r="O266" i="2"/>
  <c r="M266" i="2"/>
  <c r="N266" i="2" s="1"/>
  <c r="K266" i="2"/>
  <c r="J266" i="2"/>
  <c r="H266" i="2"/>
  <c r="O265" i="2"/>
  <c r="M265" i="2"/>
  <c r="N265" i="2" s="1"/>
  <c r="K265" i="2"/>
  <c r="J265" i="2"/>
  <c r="H265" i="2"/>
  <c r="O264" i="2"/>
  <c r="M264" i="2"/>
  <c r="N264" i="2" s="1"/>
  <c r="K264" i="2"/>
  <c r="J264" i="2"/>
  <c r="H264" i="2"/>
  <c r="O263" i="2"/>
  <c r="M263" i="2"/>
  <c r="N263" i="2" s="1"/>
  <c r="K263" i="2"/>
  <c r="J263" i="2"/>
  <c r="H263" i="2"/>
  <c r="O262" i="2"/>
  <c r="M262" i="2"/>
  <c r="N262" i="2" s="1"/>
  <c r="K262" i="2"/>
  <c r="J262" i="2"/>
  <c r="H262" i="2"/>
  <c r="O261" i="2"/>
  <c r="M261" i="2"/>
  <c r="N261" i="2" s="1"/>
  <c r="K261" i="2"/>
  <c r="J261" i="2"/>
  <c r="H261" i="2"/>
  <c r="O260" i="2"/>
  <c r="M260" i="2"/>
  <c r="N260" i="2" s="1"/>
  <c r="K260" i="2"/>
  <c r="J260" i="2"/>
  <c r="H260" i="2"/>
  <c r="O259" i="2"/>
  <c r="M259" i="2"/>
  <c r="N259" i="2" s="1"/>
  <c r="K259" i="2"/>
  <c r="J259" i="2"/>
  <c r="H259" i="2"/>
  <c r="O258" i="2"/>
  <c r="M258" i="2"/>
  <c r="N258" i="2" s="1"/>
  <c r="K258" i="2"/>
  <c r="J258" i="2"/>
  <c r="H258" i="2"/>
  <c r="O257" i="2"/>
  <c r="M257" i="2"/>
  <c r="N257" i="2" s="1"/>
  <c r="K257" i="2"/>
  <c r="J257" i="2"/>
  <c r="H257" i="2"/>
  <c r="O256" i="2"/>
  <c r="M256" i="2"/>
  <c r="N256" i="2" s="1"/>
  <c r="K256" i="2"/>
  <c r="J256" i="2"/>
  <c r="H256" i="2"/>
  <c r="O255" i="2"/>
  <c r="M255" i="2"/>
  <c r="N255" i="2" s="1"/>
  <c r="K255" i="2"/>
  <c r="J255" i="2"/>
  <c r="H255" i="2"/>
  <c r="O253" i="2"/>
  <c r="N253" i="2"/>
  <c r="M253" i="2"/>
  <c r="K253" i="2"/>
  <c r="O252" i="2"/>
  <c r="M252" i="2"/>
  <c r="N252" i="2" s="1"/>
  <c r="K252" i="2"/>
  <c r="J252" i="2"/>
  <c r="H252" i="2"/>
  <c r="O251" i="2"/>
  <c r="M251" i="2"/>
  <c r="N251" i="2" s="1"/>
  <c r="K251" i="2"/>
  <c r="J251" i="2"/>
  <c r="H251" i="2"/>
  <c r="O250" i="2"/>
  <c r="M250" i="2"/>
  <c r="N250" i="2" s="1"/>
  <c r="K250" i="2"/>
  <c r="J250" i="2"/>
  <c r="H250" i="2"/>
  <c r="O249" i="2"/>
  <c r="M249" i="2"/>
  <c r="N249" i="2" s="1"/>
  <c r="K249" i="2"/>
  <c r="J249" i="2"/>
  <c r="H249" i="2"/>
  <c r="O248" i="2"/>
  <c r="M248" i="2"/>
  <c r="N248" i="2" s="1"/>
  <c r="K248" i="2"/>
  <c r="J248" i="2"/>
  <c r="H248" i="2"/>
  <c r="O247" i="2"/>
  <c r="M247" i="2"/>
  <c r="N247" i="2" s="1"/>
  <c r="K247" i="2"/>
  <c r="J247" i="2"/>
  <c r="H247" i="2"/>
  <c r="O246" i="2"/>
  <c r="M246" i="2"/>
  <c r="N246" i="2" s="1"/>
  <c r="K246" i="2"/>
  <c r="J246" i="2"/>
  <c r="H246" i="2"/>
  <c r="O245" i="2"/>
  <c r="M245" i="2"/>
  <c r="N245" i="2" s="1"/>
  <c r="K245" i="2"/>
  <c r="J245" i="2"/>
  <c r="H245" i="2"/>
  <c r="O244" i="2"/>
  <c r="M244" i="2"/>
  <c r="N244" i="2" s="1"/>
  <c r="K244" i="2"/>
  <c r="J244" i="2"/>
  <c r="H244" i="2"/>
  <c r="O243" i="2"/>
  <c r="M243" i="2"/>
  <c r="N243" i="2" s="1"/>
  <c r="H243" i="2"/>
  <c r="O242" i="2"/>
  <c r="M242" i="2"/>
  <c r="N242" i="2" s="1"/>
  <c r="K242" i="2"/>
  <c r="J242" i="2"/>
  <c r="H242" i="2"/>
  <c r="O241" i="2"/>
  <c r="M241" i="2"/>
  <c r="N241" i="2" s="1"/>
  <c r="K241" i="2"/>
  <c r="J241" i="2"/>
  <c r="H241" i="2"/>
  <c r="O240" i="2"/>
  <c r="M240" i="2"/>
  <c r="N240" i="2" s="1"/>
  <c r="K240" i="2"/>
  <c r="J240" i="2"/>
  <c r="H240" i="2"/>
  <c r="O239" i="2"/>
  <c r="M239" i="2"/>
  <c r="N239" i="2" s="1"/>
  <c r="K239" i="2"/>
  <c r="J239" i="2"/>
  <c r="H239" i="2"/>
  <c r="O238" i="2"/>
  <c r="M238" i="2"/>
  <c r="N238" i="2" s="1"/>
  <c r="K238" i="2"/>
  <c r="J238" i="2"/>
  <c r="H238" i="2"/>
  <c r="O237" i="2"/>
  <c r="M237" i="2"/>
  <c r="N237" i="2" s="1"/>
  <c r="K237" i="2"/>
  <c r="J237" i="2"/>
  <c r="O236" i="2"/>
  <c r="M236" i="2"/>
  <c r="N236" i="2" s="1"/>
  <c r="K236" i="2"/>
  <c r="J236" i="2"/>
  <c r="H236" i="2"/>
  <c r="O235" i="2"/>
  <c r="M235" i="2"/>
  <c r="N235" i="2" s="1"/>
  <c r="K235" i="2"/>
  <c r="J235" i="2"/>
  <c r="H235" i="2"/>
  <c r="O234" i="2"/>
  <c r="M234" i="2"/>
  <c r="N234" i="2" s="1"/>
  <c r="K234" i="2"/>
  <c r="J234" i="2"/>
  <c r="H234" i="2"/>
  <c r="O233" i="2"/>
  <c r="M233" i="2"/>
  <c r="N233" i="2" s="1"/>
  <c r="K233" i="2"/>
  <c r="J233" i="2"/>
  <c r="H233" i="2"/>
  <c r="O232" i="2"/>
  <c r="M232" i="2"/>
  <c r="N232" i="2" s="1"/>
  <c r="K232" i="2"/>
  <c r="J232" i="2"/>
  <c r="H232" i="2"/>
  <c r="O231" i="2"/>
  <c r="M231" i="2"/>
  <c r="N231" i="2" s="1"/>
  <c r="K231" i="2"/>
  <c r="J231" i="2"/>
  <c r="H231" i="2"/>
  <c r="O230" i="2"/>
  <c r="M230" i="2"/>
  <c r="N230" i="2" s="1"/>
  <c r="K230" i="2"/>
  <c r="O229" i="2"/>
  <c r="N229" i="2"/>
  <c r="M229" i="2"/>
  <c r="K229" i="2"/>
  <c r="J229" i="2"/>
  <c r="H229" i="2"/>
  <c r="O228" i="2"/>
  <c r="M228" i="2"/>
  <c r="N228" i="2" s="1"/>
  <c r="K228" i="2"/>
  <c r="J228" i="2"/>
  <c r="H228" i="2"/>
  <c r="O227" i="2"/>
  <c r="M227" i="2"/>
  <c r="N227" i="2" s="1"/>
  <c r="K227" i="2"/>
  <c r="J227" i="2"/>
  <c r="H227" i="2"/>
  <c r="O226" i="2"/>
  <c r="M226" i="2"/>
  <c r="N226" i="2" s="1"/>
  <c r="K226" i="2"/>
  <c r="J226" i="2"/>
  <c r="H226" i="2"/>
  <c r="O225" i="2"/>
  <c r="M225" i="2"/>
  <c r="N225" i="2" s="1"/>
  <c r="K225" i="2"/>
  <c r="J225" i="2"/>
  <c r="H225" i="2"/>
  <c r="O224" i="2"/>
  <c r="M224" i="2"/>
  <c r="N224" i="2" s="1"/>
  <c r="K224" i="2"/>
  <c r="J224" i="2"/>
  <c r="O223" i="2"/>
  <c r="M223" i="2"/>
  <c r="N223" i="2" s="1"/>
  <c r="K223" i="2"/>
  <c r="J223" i="2"/>
  <c r="H223" i="2"/>
  <c r="O222" i="2"/>
  <c r="M222" i="2"/>
  <c r="N222" i="2" s="1"/>
  <c r="K222" i="2"/>
  <c r="J222" i="2"/>
  <c r="H222" i="2"/>
  <c r="O221" i="2"/>
  <c r="M221" i="2"/>
  <c r="N221" i="2" s="1"/>
  <c r="K221" i="2"/>
  <c r="J221" i="2"/>
  <c r="H221" i="2"/>
  <c r="O220" i="2"/>
  <c r="M220" i="2"/>
  <c r="N220" i="2" s="1"/>
  <c r="K220" i="2"/>
  <c r="J220" i="2"/>
  <c r="O219" i="2"/>
  <c r="M219" i="2"/>
  <c r="N219" i="2" s="1"/>
  <c r="K219" i="2"/>
  <c r="J219" i="2"/>
  <c r="H219" i="2"/>
  <c r="O218" i="2"/>
  <c r="M218" i="2"/>
  <c r="N218" i="2" s="1"/>
  <c r="K218" i="2"/>
  <c r="J218" i="2"/>
  <c r="H218" i="2"/>
  <c r="O217" i="2"/>
  <c r="N217" i="2"/>
  <c r="M217" i="2"/>
  <c r="K217" i="2"/>
  <c r="J217" i="2"/>
  <c r="M216" i="2"/>
  <c r="N216" i="2" s="1"/>
  <c r="K216" i="2"/>
  <c r="H216" i="2"/>
  <c r="M215" i="2"/>
  <c r="N215" i="2" s="1"/>
  <c r="O214" i="2"/>
  <c r="M214" i="2"/>
  <c r="N214" i="2" s="1"/>
  <c r="K214" i="2"/>
  <c r="H214" i="2"/>
  <c r="M213" i="2"/>
  <c r="N213" i="2" s="1"/>
  <c r="K213" i="2"/>
  <c r="J213" i="2"/>
  <c r="H213" i="2"/>
  <c r="O212" i="2"/>
  <c r="M212" i="2"/>
  <c r="N212" i="2" s="1"/>
  <c r="H212" i="2"/>
  <c r="O211" i="2"/>
  <c r="M211" i="2"/>
  <c r="N211" i="2" s="1"/>
  <c r="K211" i="2"/>
  <c r="J211" i="2"/>
  <c r="H211" i="2"/>
  <c r="O210" i="2"/>
  <c r="M210" i="2"/>
  <c r="N210" i="2" s="1"/>
  <c r="K210" i="2"/>
  <c r="J210" i="2"/>
  <c r="O209" i="2"/>
  <c r="M209" i="2"/>
  <c r="N209" i="2" s="1"/>
  <c r="K209" i="2"/>
  <c r="O208" i="2"/>
  <c r="M208" i="2"/>
  <c r="N208" i="2" s="1"/>
  <c r="K208" i="2"/>
  <c r="O207" i="2"/>
  <c r="M207" i="2"/>
  <c r="N207" i="2" s="1"/>
  <c r="K207" i="2"/>
  <c r="J207" i="2"/>
  <c r="H207" i="2"/>
  <c r="O206" i="2"/>
  <c r="M206" i="2"/>
  <c r="N206" i="2" s="1"/>
  <c r="K206" i="2"/>
  <c r="J206" i="2"/>
  <c r="H206" i="2"/>
  <c r="O205" i="2"/>
  <c r="N205" i="2"/>
  <c r="M205" i="2"/>
  <c r="K205" i="2"/>
  <c r="J205" i="2"/>
  <c r="H205" i="2"/>
  <c r="O204" i="2"/>
  <c r="M204" i="2"/>
  <c r="N204" i="2" s="1"/>
  <c r="K204" i="2"/>
  <c r="J204" i="2"/>
  <c r="O203" i="2"/>
  <c r="M203" i="2"/>
  <c r="N203" i="2" s="1"/>
  <c r="K203" i="2"/>
  <c r="J203" i="2"/>
  <c r="O202" i="2"/>
  <c r="M202" i="2"/>
  <c r="N202" i="2" s="1"/>
  <c r="K202" i="2"/>
  <c r="O201" i="2"/>
  <c r="M201" i="2"/>
  <c r="N201" i="2" s="1"/>
  <c r="K201" i="2"/>
  <c r="O200" i="2"/>
  <c r="M200" i="2"/>
  <c r="N200" i="2" s="1"/>
  <c r="K200" i="2"/>
  <c r="J200" i="2"/>
  <c r="O199" i="2"/>
  <c r="M199" i="2"/>
  <c r="N199" i="2" s="1"/>
  <c r="K199" i="2"/>
  <c r="J199" i="2"/>
  <c r="H199" i="2"/>
  <c r="O198" i="2"/>
  <c r="M198" i="2"/>
  <c r="N198" i="2" s="1"/>
  <c r="K198" i="2"/>
  <c r="J198" i="2"/>
  <c r="H198" i="2"/>
  <c r="O197" i="2"/>
  <c r="M197" i="2"/>
  <c r="N197" i="2" s="1"/>
  <c r="K197" i="2"/>
  <c r="J197" i="2"/>
  <c r="H197" i="2"/>
  <c r="O196" i="2"/>
  <c r="M196" i="2"/>
  <c r="N196" i="2" s="1"/>
  <c r="K196" i="2"/>
  <c r="J196" i="2"/>
  <c r="H196" i="2"/>
  <c r="O195" i="2"/>
  <c r="M195" i="2"/>
  <c r="N195" i="2" s="1"/>
  <c r="K195" i="2"/>
  <c r="J195" i="2"/>
  <c r="H195" i="2"/>
  <c r="O333" i="2"/>
  <c r="M333" i="2"/>
  <c r="N333" i="2" s="1"/>
  <c r="K333" i="2"/>
  <c r="J333" i="2"/>
  <c r="H333" i="2"/>
  <c r="O332" i="2"/>
  <c r="M332" i="2"/>
  <c r="N332" i="2" s="1"/>
  <c r="K332" i="2"/>
  <c r="J332" i="2"/>
  <c r="H332" i="2"/>
  <c r="O331" i="2"/>
  <c r="M331" i="2"/>
  <c r="N331" i="2" s="1"/>
  <c r="K331" i="2"/>
  <c r="J331" i="2"/>
  <c r="H331" i="2"/>
  <c r="O330" i="2"/>
  <c r="M330" i="2"/>
  <c r="N330" i="2" s="1"/>
  <c r="K330" i="2"/>
  <c r="J330" i="2"/>
  <c r="H330" i="2"/>
  <c r="O329" i="2"/>
  <c r="M329" i="2"/>
  <c r="N329" i="2" s="1"/>
  <c r="K329" i="2"/>
  <c r="J329" i="2"/>
  <c r="H329" i="2"/>
  <c r="O328" i="2"/>
  <c r="M328" i="2"/>
  <c r="N328" i="2" s="1"/>
  <c r="K328" i="2"/>
  <c r="J328" i="2"/>
  <c r="H328" i="2"/>
  <c r="O327" i="2"/>
  <c r="M327" i="2"/>
  <c r="N327" i="2" s="1"/>
  <c r="K327" i="2"/>
  <c r="J327" i="2"/>
  <c r="H327" i="2"/>
  <c r="O326" i="2"/>
  <c r="M326" i="2"/>
  <c r="N326" i="2" s="1"/>
  <c r="K326" i="2"/>
  <c r="J326" i="2"/>
  <c r="H326" i="2"/>
  <c r="O325" i="2"/>
  <c r="M325" i="2"/>
  <c r="N325" i="2" s="1"/>
  <c r="K325" i="2"/>
  <c r="J325" i="2"/>
  <c r="H325" i="2"/>
  <c r="O324" i="2"/>
  <c r="M324" i="2"/>
  <c r="N324" i="2" s="1"/>
  <c r="K324" i="2"/>
  <c r="J324" i="2"/>
  <c r="H324" i="2"/>
  <c r="O323" i="2"/>
  <c r="M323" i="2"/>
  <c r="N323" i="2" s="1"/>
  <c r="K323" i="2"/>
  <c r="J323" i="2"/>
  <c r="H323" i="2"/>
  <c r="O322" i="2"/>
  <c r="M322" i="2"/>
  <c r="N322" i="2" s="1"/>
  <c r="K322" i="2"/>
  <c r="J322" i="2"/>
  <c r="H322" i="2"/>
  <c r="O321" i="2"/>
  <c r="M321" i="2"/>
  <c r="N321" i="2" s="1"/>
  <c r="K321" i="2"/>
  <c r="J321" i="2"/>
  <c r="H321" i="2"/>
  <c r="O320" i="2"/>
  <c r="M320" i="2"/>
  <c r="N320" i="2" s="1"/>
  <c r="K320" i="2"/>
  <c r="J320" i="2"/>
  <c r="H320" i="2"/>
  <c r="O319" i="2"/>
  <c r="M319" i="2"/>
  <c r="N319" i="2" s="1"/>
  <c r="K319" i="2"/>
  <c r="J319" i="2"/>
  <c r="H319" i="2"/>
  <c r="O318" i="2"/>
  <c r="M318" i="2"/>
  <c r="N318" i="2" s="1"/>
  <c r="K318" i="2"/>
  <c r="J318" i="2"/>
  <c r="H318" i="2"/>
  <c r="O317" i="2"/>
  <c r="M317" i="2"/>
  <c r="N317" i="2" s="1"/>
  <c r="K317" i="2"/>
  <c r="J317" i="2"/>
  <c r="H317" i="2"/>
  <c r="O316" i="2"/>
  <c r="M316" i="2"/>
  <c r="N316" i="2" s="1"/>
  <c r="K316" i="2"/>
  <c r="J316" i="2"/>
  <c r="H316" i="2"/>
  <c r="O315" i="2"/>
  <c r="M315" i="2"/>
  <c r="N315" i="2" s="1"/>
  <c r="K315" i="2"/>
  <c r="J315" i="2"/>
  <c r="H315" i="2"/>
  <c r="O314" i="2"/>
  <c r="M314" i="2"/>
  <c r="N314" i="2" s="1"/>
  <c r="K314" i="2"/>
  <c r="J314" i="2"/>
  <c r="H314" i="2"/>
  <c r="O313" i="2"/>
  <c r="M313" i="2"/>
  <c r="N313" i="2" s="1"/>
  <c r="K313" i="2"/>
  <c r="J313" i="2"/>
  <c r="H313" i="2"/>
  <c r="O312" i="2"/>
  <c r="M312" i="2"/>
  <c r="N312" i="2" s="1"/>
  <c r="K312" i="2"/>
  <c r="J312" i="2"/>
  <c r="H312" i="2"/>
  <c r="O310" i="2"/>
  <c r="M310" i="2"/>
  <c r="N310" i="2" s="1"/>
  <c r="K310" i="2"/>
  <c r="J310" i="2"/>
  <c r="H310" i="2"/>
  <c r="O309" i="2"/>
  <c r="M309" i="2"/>
  <c r="N309" i="2" s="1"/>
  <c r="K309" i="2"/>
  <c r="J309" i="2"/>
  <c r="H309" i="2"/>
  <c r="O308" i="2"/>
  <c r="M308" i="2"/>
  <c r="N308" i="2" s="1"/>
  <c r="K308" i="2"/>
  <c r="J308" i="2"/>
  <c r="H308" i="2"/>
  <c r="O307" i="2"/>
  <c r="M307" i="2"/>
  <c r="N307" i="2" s="1"/>
  <c r="K307" i="2"/>
  <c r="J307" i="2"/>
  <c r="H307" i="2"/>
  <c r="O306" i="2"/>
  <c r="M306" i="2"/>
  <c r="N306" i="2" s="1"/>
  <c r="K306" i="2"/>
  <c r="J306" i="2"/>
  <c r="H306" i="2"/>
  <c r="O305" i="2"/>
  <c r="M305" i="2"/>
  <c r="N305" i="2" s="1"/>
  <c r="K305" i="2"/>
  <c r="J305" i="2"/>
  <c r="H305" i="2"/>
  <c r="O304" i="2"/>
  <c r="M304" i="2"/>
  <c r="N304" i="2" s="1"/>
  <c r="K304" i="2"/>
  <c r="J304" i="2"/>
  <c r="H304" i="2"/>
  <c r="O303" i="2"/>
  <c r="M303" i="2"/>
  <c r="N303" i="2" s="1"/>
  <c r="K303" i="2"/>
  <c r="J303" i="2"/>
  <c r="H303" i="2"/>
  <c r="O302" i="2"/>
  <c r="M302" i="2"/>
  <c r="N302" i="2" s="1"/>
  <c r="K302" i="2"/>
  <c r="J302" i="2"/>
  <c r="H302" i="2"/>
  <c r="O301" i="2"/>
  <c r="M301" i="2"/>
  <c r="N301" i="2" s="1"/>
  <c r="K301" i="2"/>
  <c r="J301" i="2"/>
  <c r="H301" i="2"/>
  <c r="O300" i="2"/>
  <c r="M300" i="2"/>
  <c r="N300" i="2" s="1"/>
  <c r="K300" i="2"/>
  <c r="J300" i="2"/>
  <c r="H300" i="2"/>
  <c r="O299" i="2"/>
  <c r="M299" i="2"/>
  <c r="N299" i="2" s="1"/>
  <c r="K299" i="2"/>
  <c r="J299" i="2"/>
  <c r="H299" i="2"/>
  <c r="O298" i="2"/>
  <c r="M298" i="2"/>
  <c r="N298" i="2" s="1"/>
  <c r="K298" i="2"/>
  <c r="J298" i="2"/>
  <c r="H298" i="2"/>
  <c r="O297" i="2"/>
  <c r="M297" i="2"/>
  <c r="N297" i="2" s="1"/>
  <c r="K297" i="2"/>
  <c r="J297" i="2"/>
  <c r="H297" i="2"/>
  <c r="O296" i="2"/>
  <c r="M296" i="2"/>
  <c r="N296" i="2" s="1"/>
  <c r="K296" i="2"/>
  <c r="J296" i="2"/>
  <c r="H296" i="2"/>
  <c r="O295" i="2"/>
  <c r="M295" i="2"/>
  <c r="N295" i="2" s="1"/>
  <c r="K295" i="2"/>
  <c r="J295" i="2"/>
  <c r="H295" i="2"/>
  <c r="O294" i="2"/>
  <c r="M294" i="2"/>
  <c r="N294" i="2" s="1"/>
  <c r="K294" i="2"/>
  <c r="J294" i="2"/>
  <c r="H294" i="2"/>
  <c r="O293" i="2"/>
  <c r="M293" i="2"/>
  <c r="N293" i="2" s="1"/>
  <c r="K293" i="2"/>
  <c r="J293" i="2"/>
  <c r="H293" i="2"/>
  <c r="O292" i="2"/>
  <c r="M292" i="2"/>
  <c r="N292" i="2" s="1"/>
  <c r="K292" i="2"/>
  <c r="J292" i="2"/>
  <c r="H292" i="2"/>
  <c r="O350" i="2"/>
  <c r="M350" i="2"/>
  <c r="N350" i="2" s="1"/>
  <c r="K350" i="2"/>
  <c r="J350" i="2"/>
  <c r="H350" i="2"/>
  <c r="O349" i="2"/>
  <c r="M349" i="2"/>
  <c r="N349" i="2" s="1"/>
  <c r="K349" i="2"/>
  <c r="J349" i="2"/>
  <c r="H349" i="2"/>
  <c r="O348" i="2"/>
  <c r="M348" i="2"/>
  <c r="N348" i="2" s="1"/>
  <c r="K348" i="2"/>
  <c r="J348" i="2"/>
  <c r="H348" i="2"/>
  <c r="O347" i="2"/>
  <c r="M347" i="2"/>
  <c r="N347" i="2" s="1"/>
  <c r="K347" i="2"/>
  <c r="J347" i="2"/>
  <c r="H347" i="2"/>
  <c r="O346" i="2"/>
  <c r="M346" i="2"/>
  <c r="N346" i="2" s="1"/>
  <c r="K346" i="2"/>
  <c r="J346" i="2"/>
  <c r="H346" i="2"/>
  <c r="O345" i="2"/>
  <c r="M345" i="2"/>
  <c r="N345" i="2" s="1"/>
  <c r="K345" i="2"/>
  <c r="J345" i="2"/>
  <c r="H345" i="2"/>
  <c r="O344" i="2"/>
  <c r="M344" i="2"/>
  <c r="N344" i="2" s="1"/>
  <c r="K344" i="2"/>
  <c r="J344" i="2"/>
  <c r="H344" i="2"/>
  <c r="O343" i="2"/>
  <c r="M343" i="2"/>
  <c r="N343" i="2" s="1"/>
  <c r="K343" i="2"/>
  <c r="J343" i="2"/>
  <c r="H343" i="2"/>
  <c r="O342" i="2"/>
  <c r="M342" i="2"/>
  <c r="N342" i="2" s="1"/>
  <c r="K342" i="2"/>
  <c r="J342" i="2"/>
  <c r="H342" i="2"/>
  <c r="O341" i="2"/>
  <c r="M341" i="2"/>
  <c r="N341" i="2" s="1"/>
  <c r="K341" i="2"/>
  <c r="J341" i="2"/>
  <c r="H341" i="2"/>
  <c r="O340" i="2"/>
  <c r="M340" i="2"/>
  <c r="N340" i="2" s="1"/>
  <c r="K340" i="2"/>
  <c r="J340" i="2"/>
  <c r="H340" i="2"/>
  <c r="O339" i="2"/>
  <c r="M339" i="2"/>
  <c r="N339" i="2" s="1"/>
  <c r="K339" i="2"/>
  <c r="J339" i="2"/>
  <c r="H339" i="2"/>
  <c r="O338" i="2"/>
  <c r="M338" i="2"/>
  <c r="N338" i="2" s="1"/>
  <c r="K338" i="2"/>
  <c r="J338" i="2"/>
  <c r="H338" i="2"/>
  <c r="O337" i="2"/>
  <c r="M337" i="2"/>
  <c r="N337" i="2" s="1"/>
  <c r="K337" i="2"/>
  <c r="J337" i="2"/>
  <c r="H337" i="2"/>
  <c r="O336" i="2"/>
  <c r="M336" i="2"/>
  <c r="N336" i="2" s="1"/>
  <c r="K336" i="2"/>
  <c r="J336" i="2"/>
  <c r="H336" i="2"/>
  <c r="O335" i="2"/>
  <c r="M335" i="2"/>
  <c r="N335" i="2" s="1"/>
  <c r="K335" i="2"/>
  <c r="J335" i="2"/>
  <c r="H335" i="2"/>
  <c r="O334" i="2"/>
  <c r="M334" i="2"/>
  <c r="N334" i="2" s="1"/>
  <c r="K334" i="2"/>
  <c r="J334" i="2"/>
  <c r="H334" i="2"/>
  <c r="O291" i="2"/>
  <c r="M291" i="2"/>
  <c r="N291" i="2" s="1"/>
  <c r="K291" i="2"/>
  <c r="J291" i="2"/>
  <c r="H291" i="2"/>
  <c r="O290" i="2"/>
  <c r="M290" i="2"/>
  <c r="N290" i="2" s="1"/>
  <c r="K290" i="2"/>
  <c r="J290" i="2"/>
  <c r="H290" i="2"/>
  <c r="O289" i="2"/>
  <c r="M289" i="2"/>
  <c r="N289" i="2" s="1"/>
  <c r="K289" i="2"/>
  <c r="J289" i="2"/>
  <c r="H289" i="2"/>
  <c r="O288" i="2"/>
  <c r="M288" i="2"/>
  <c r="N288" i="2" s="1"/>
  <c r="K288" i="2"/>
  <c r="J288" i="2"/>
  <c r="H288" i="2"/>
  <c r="O287" i="2"/>
  <c r="M287" i="2"/>
  <c r="N287" i="2" s="1"/>
  <c r="K287" i="2"/>
  <c r="J287" i="2"/>
  <c r="H287" i="2"/>
  <c r="O286" i="2"/>
  <c r="M286" i="2"/>
  <c r="N286" i="2" s="1"/>
  <c r="K286" i="2"/>
  <c r="J286" i="2"/>
  <c r="H286" i="2"/>
  <c r="O194" i="2"/>
  <c r="M194" i="2"/>
  <c r="N194" i="2" s="1"/>
  <c r="K194" i="2"/>
  <c r="J194" i="2"/>
  <c r="H194" i="2"/>
  <c r="J243" i="2" l="1"/>
  <c r="H230" i="2"/>
  <c r="J216" i="2"/>
  <c r="H215" i="2"/>
  <c r="K215" i="2"/>
  <c r="O215" i="2"/>
  <c r="J212" i="2"/>
  <c r="H69" i="18"/>
  <c r="G69" i="18"/>
  <c r="H68" i="18"/>
  <c r="G68" i="18"/>
  <c r="H67" i="18"/>
  <c r="G67" i="18"/>
  <c r="H66" i="18"/>
  <c r="G66" i="18"/>
  <c r="H65" i="18"/>
  <c r="G65" i="18"/>
  <c r="H64" i="18"/>
  <c r="G64" i="18"/>
  <c r="H63" i="18"/>
  <c r="G63" i="18"/>
  <c r="H62" i="18"/>
  <c r="G62" i="18"/>
  <c r="H61" i="18"/>
  <c r="G61" i="18"/>
  <c r="H60" i="18"/>
  <c r="G60" i="18"/>
  <c r="H59" i="18"/>
  <c r="G59" i="18"/>
  <c r="H263" i="15"/>
  <c r="G263" i="15"/>
  <c r="H262" i="15"/>
  <c r="G262" i="15"/>
  <c r="H261" i="15"/>
  <c r="G261" i="15"/>
  <c r="H260" i="15"/>
  <c r="G260" i="15"/>
  <c r="H259" i="15"/>
  <c r="G259" i="15"/>
  <c r="H258" i="15"/>
  <c r="G258" i="15"/>
  <c r="H257" i="15"/>
  <c r="G257" i="15"/>
  <c r="H256" i="15"/>
  <c r="G256" i="15"/>
  <c r="H255" i="15"/>
  <c r="G255" i="15"/>
  <c r="H254" i="15"/>
  <c r="G254" i="15"/>
  <c r="H253" i="15"/>
  <c r="G253" i="15"/>
  <c r="H252" i="15"/>
  <c r="G252" i="15"/>
  <c r="H251" i="15"/>
  <c r="G251" i="15"/>
  <c r="H250" i="15"/>
  <c r="G250" i="15"/>
  <c r="H249" i="15"/>
  <c r="G249" i="15"/>
  <c r="H248" i="15"/>
  <c r="G248" i="15"/>
  <c r="H247" i="15"/>
  <c r="G247" i="15"/>
  <c r="H246" i="15"/>
  <c r="G246" i="15"/>
  <c r="H245" i="15"/>
  <c r="G245" i="15"/>
  <c r="H244" i="15"/>
  <c r="G244" i="15"/>
  <c r="H243" i="15"/>
  <c r="G243" i="15"/>
  <c r="H242" i="15"/>
  <c r="G242" i="15"/>
  <c r="H241" i="15"/>
  <c r="G241" i="15"/>
  <c r="H240" i="15"/>
  <c r="G240" i="15"/>
  <c r="H239" i="15"/>
  <c r="G239" i="15"/>
  <c r="H238" i="15"/>
  <c r="G238" i="15"/>
  <c r="H237" i="15"/>
  <c r="G237" i="15"/>
  <c r="H236" i="15"/>
  <c r="G236" i="15"/>
  <c r="H235" i="15"/>
  <c r="G235" i="15"/>
  <c r="H233" i="15"/>
  <c r="G233" i="15"/>
  <c r="H232" i="15"/>
  <c r="G232" i="15"/>
  <c r="H231" i="15"/>
  <c r="G231" i="15"/>
  <c r="H230" i="15"/>
  <c r="G230" i="15"/>
  <c r="H229" i="15"/>
  <c r="G229" i="15"/>
  <c r="H282" i="15"/>
  <c r="G282" i="15"/>
  <c r="H281" i="15"/>
  <c r="G281" i="15"/>
  <c r="H280" i="15"/>
  <c r="G280" i="15"/>
  <c r="H279" i="15"/>
  <c r="G279" i="15"/>
  <c r="H278" i="15"/>
  <c r="G278" i="15"/>
  <c r="H277" i="15"/>
  <c r="G277" i="15"/>
  <c r="H276" i="15"/>
  <c r="G276" i="15"/>
  <c r="H275" i="15"/>
  <c r="G275" i="15"/>
  <c r="H274" i="15"/>
  <c r="G274" i="15"/>
  <c r="H273" i="15"/>
  <c r="G273" i="15"/>
  <c r="H272" i="15"/>
  <c r="G272" i="15"/>
  <c r="H271" i="15"/>
  <c r="G271" i="15"/>
  <c r="H270" i="15"/>
  <c r="G270" i="15"/>
  <c r="H269" i="15"/>
  <c r="G269" i="15"/>
  <c r="H268" i="15"/>
  <c r="G268" i="15"/>
  <c r="H267" i="15"/>
  <c r="G267" i="15"/>
  <c r="H266" i="15"/>
  <c r="G266" i="15"/>
  <c r="H265" i="15"/>
  <c r="G265" i="15"/>
  <c r="H264" i="15"/>
  <c r="G264" i="15"/>
  <c r="H291" i="15"/>
  <c r="G291" i="15"/>
  <c r="H290" i="15"/>
  <c r="G290" i="15"/>
  <c r="H289" i="15"/>
  <c r="G289" i="15"/>
  <c r="H288" i="15"/>
  <c r="G288" i="15"/>
  <c r="H287" i="15"/>
  <c r="G287" i="15"/>
  <c r="H286" i="15"/>
  <c r="G286" i="15"/>
  <c r="H285" i="15"/>
  <c r="G285" i="15"/>
  <c r="H284" i="15"/>
  <c r="G284" i="15"/>
  <c r="H283" i="15"/>
  <c r="G283" i="15"/>
  <c r="H228" i="15"/>
  <c r="G228" i="15"/>
  <c r="H296" i="15"/>
  <c r="G296" i="15"/>
  <c r="H295" i="15"/>
  <c r="G295" i="15"/>
  <c r="H294" i="15"/>
  <c r="G294" i="15"/>
  <c r="H293" i="15"/>
  <c r="G293" i="15"/>
  <c r="H292" i="15"/>
  <c r="G292" i="15"/>
  <c r="I597" i="2"/>
  <c r="G597" i="2"/>
  <c r="G596" i="2"/>
  <c r="G595" i="2"/>
  <c r="G594" i="2"/>
  <c r="G593" i="2"/>
  <c r="I592" i="2"/>
  <c r="G592" i="2"/>
  <c r="I590" i="2"/>
  <c r="G590" i="2"/>
  <c r="I591" i="2"/>
  <c r="G591" i="2"/>
  <c r="D591" i="2"/>
  <c r="D590" i="2"/>
  <c r="I589" i="2"/>
  <c r="G589" i="2"/>
  <c r="I588" i="2"/>
  <c r="G588" i="2"/>
  <c r="I586" i="2"/>
  <c r="G586" i="2"/>
  <c r="G583" i="2"/>
  <c r="I583" i="2"/>
  <c r="J582" i="2"/>
  <c r="I582" i="2"/>
  <c r="H582" i="2"/>
  <c r="G582" i="2"/>
  <c r="G581" i="2" l="1"/>
  <c r="H581" i="2" s="1"/>
  <c r="G580" i="2"/>
  <c r="H580" i="2" s="1"/>
  <c r="G579" i="2"/>
  <c r="H579" i="2" s="1"/>
  <c r="G573" i="2"/>
  <c r="H573" i="2" s="1"/>
  <c r="G571" i="2"/>
  <c r="G565" i="2"/>
  <c r="G576" i="2"/>
  <c r="I572" i="2"/>
  <c r="H572" i="2"/>
  <c r="G572" i="2"/>
  <c r="G578" i="2"/>
  <c r="G574" i="2"/>
  <c r="H574" i="2" s="1"/>
  <c r="G570" i="2"/>
  <c r="G566" i="2"/>
  <c r="G564" i="2"/>
  <c r="G563" i="2"/>
  <c r="G562" i="2"/>
  <c r="G561" i="2"/>
  <c r="G560" i="2"/>
  <c r="H560" i="2" s="1"/>
  <c r="G559" i="2"/>
  <c r="H559" i="2" s="1"/>
  <c r="G558" i="2"/>
  <c r="G556" i="2"/>
  <c r="H556" i="2" s="1"/>
  <c r="G557" i="2"/>
  <c r="G554" i="2"/>
  <c r="G555" i="2"/>
  <c r="G568" i="2"/>
  <c r="G549" i="2"/>
  <c r="G548" i="2"/>
  <c r="H548" i="2" s="1"/>
  <c r="G546" i="2"/>
  <c r="H546" i="2" s="1"/>
  <c r="G545" i="2"/>
  <c r="G542" i="2"/>
  <c r="H542" i="2"/>
  <c r="H545" i="2"/>
  <c r="H543" i="2"/>
  <c r="G541" i="2"/>
  <c r="I564" i="2"/>
  <c r="D555" i="2"/>
  <c r="J555" i="2" s="1"/>
  <c r="D557" i="2"/>
  <c r="J557" i="2" s="1"/>
  <c r="D556" i="2"/>
  <c r="D554" i="2"/>
  <c r="J554" i="2" s="1"/>
  <c r="G553" i="2"/>
  <c r="H553" i="2" s="1"/>
  <c r="G550" i="2"/>
  <c r="H549" i="2"/>
  <c r="I549" i="2"/>
  <c r="I548" i="2"/>
  <c r="J590" i="2"/>
  <c r="J589" i="2"/>
  <c r="J588" i="2"/>
  <c r="J587" i="2"/>
  <c r="J586" i="2"/>
  <c r="J585" i="2"/>
  <c r="J584" i="2"/>
  <c r="J583" i="2"/>
  <c r="J581" i="2"/>
  <c r="J580" i="2"/>
  <c r="J579" i="2"/>
  <c r="J578" i="2"/>
  <c r="H578" i="2"/>
  <c r="J577" i="2"/>
  <c r="H577" i="2"/>
  <c r="J576" i="2"/>
  <c r="H576" i="2"/>
  <c r="J575" i="2"/>
  <c r="H575" i="2"/>
  <c r="J574" i="2"/>
  <c r="J573" i="2"/>
  <c r="J725" i="2"/>
  <c r="H725" i="2"/>
  <c r="J599" i="2"/>
  <c r="H599" i="2"/>
  <c r="J597" i="2"/>
  <c r="J596" i="2"/>
  <c r="J595" i="2"/>
  <c r="J594" i="2"/>
  <c r="J593" i="2"/>
  <c r="J592" i="2"/>
  <c r="J591" i="2"/>
  <c r="I541" i="2"/>
  <c r="J561" i="2"/>
  <c r="H561" i="2"/>
  <c r="J560" i="2"/>
  <c r="J559" i="2"/>
  <c r="J558" i="2"/>
  <c r="H558" i="2"/>
  <c r="J556" i="2"/>
  <c r="J553" i="2"/>
  <c r="J552" i="2"/>
  <c r="H552" i="2"/>
  <c r="J551" i="2"/>
  <c r="H551" i="2"/>
  <c r="J550" i="2"/>
  <c r="H550" i="2"/>
  <c r="J549" i="2"/>
  <c r="J548" i="2"/>
  <c r="J547" i="2"/>
  <c r="H547" i="2"/>
  <c r="J546" i="2"/>
  <c r="J545" i="2"/>
  <c r="J544" i="2"/>
  <c r="H544" i="2"/>
  <c r="J543" i="2"/>
  <c r="J542" i="2"/>
  <c r="I191" i="2"/>
  <c r="G191" i="2"/>
  <c r="H191" i="2"/>
  <c r="G188" i="2"/>
  <c r="D188" i="2"/>
  <c r="G181" i="2"/>
  <c r="H557" i="2" l="1"/>
  <c r="H555" i="2"/>
  <c r="H554" i="2"/>
  <c r="D181" i="2"/>
  <c r="I178" i="2" l="1"/>
  <c r="G178" i="2"/>
  <c r="H178" i="2" s="1"/>
  <c r="G175" i="2"/>
  <c r="D175" i="2"/>
  <c r="K175" i="2" s="1"/>
  <c r="G168" i="2"/>
  <c r="D168" i="2"/>
  <c r="H168" i="2" s="1"/>
  <c r="G165" i="2"/>
  <c r="I165" i="2"/>
  <c r="J165" i="2" s="1"/>
  <c r="H165" i="2"/>
  <c r="G164" i="2"/>
  <c r="G163" i="2"/>
  <c r="G162" i="2"/>
  <c r="D162" i="2"/>
  <c r="O162" i="2" s="1"/>
  <c r="G161" i="2"/>
  <c r="G160" i="2"/>
  <c r="G159" i="2"/>
  <c r="D159" i="2"/>
  <c r="G158" i="2"/>
  <c r="H158" i="2"/>
  <c r="D158" i="2"/>
  <c r="K158" i="2" s="1"/>
  <c r="I157" i="2"/>
  <c r="J157" i="2" s="1"/>
  <c r="G157" i="2"/>
  <c r="H157" i="2"/>
  <c r="D157" i="2"/>
  <c r="G156" i="2"/>
  <c r="H156" i="2" s="1"/>
  <c r="D156" i="2"/>
  <c r="K156" i="2" s="1"/>
  <c r="I155" i="2"/>
  <c r="G155" i="2"/>
  <c r="D155" i="2"/>
  <c r="I154" i="2"/>
  <c r="J154" i="2" s="1"/>
  <c r="G154" i="2"/>
  <c r="H154" i="2" s="1"/>
  <c r="I153" i="2"/>
  <c r="J153" i="2" s="1"/>
  <c r="G153" i="2"/>
  <c r="H153" i="2" s="1"/>
  <c r="I152" i="2"/>
  <c r="G152" i="2"/>
  <c r="I151" i="2"/>
  <c r="G151" i="2"/>
  <c r="G150" i="2"/>
  <c r="H150" i="2" s="1"/>
  <c r="I149" i="2"/>
  <c r="H149" i="2"/>
  <c r="G149" i="2"/>
  <c r="G148" i="2"/>
  <c r="G147" i="2"/>
  <c r="I147" i="2"/>
  <c r="O184" i="2"/>
  <c r="M184" i="2"/>
  <c r="N184" i="2" s="1"/>
  <c r="K184" i="2"/>
  <c r="J184" i="2"/>
  <c r="H184" i="2"/>
  <c r="O183" i="2"/>
  <c r="M183" i="2"/>
  <c r="N183" i="2" s="1"/>
  <c r="K183" i="2"/>
  <c r="J183" i="2"/>
  <c r="H183" i="2"/>
  <c r="O182" i="2"/>
  <c r="M182" i="2"/>
  <c r="N182" i="2" s="1"/>
  <c r="K182" i="2"/>
  <c r="J182" i="2"/>
  <c r="H182" i="2"/>
  <c r="O181" i="2"/>
  <c r="M181" i="2"/>
  <c r="N181" i="2" s="1"/>
  <c r="K181" i="2"/>
  <c r="J181" i="2"/>
  <c r="H181" i="2"/>
  <c r="O180" i="2"/>
  <c r="M180" i="2"/>
  <c r="N180" i="2" s="1"/>
  <c r="K180" i="2"/>
  <c r="J180" i="2"/>
  <c r="H180" i="2"/>
  <c r="O179" i="2"/>
  <c r="N179" i="2"/>
  <c r="M179" i="2"/>
  <c r="K179" i="2"/>
  <c r="J179" i="2"/>
  <c r="H179" i="2"/>
  <c r="O178" i="2"/>
  <c r="M178" i="2"/>
  <c r="N178" i="2" s="1"/>
  <c r="K178" i="2"/>
  <c r="J178" i="2"/>
  <c r="O177" i="2"/>
  <c r="M177" i="2"/>
  <c r="N177" i="2" s="1"/>
  <c r="K177" i="2"/>
  <c r="J177" i="2"/>
  <c r="H177" i="2"/>
  <c r="O176" i="2"/>
  <c r="M176" i="2"/>
  <c r="N176" i="2" s="1"/>
  <c r="K176" i="2"/>
  <c r="J176" i="2"/>
  <c r="H176" i="2"/>
  <c r="O175" i="2"/>
  <c r="M175" i="2"/>
  <c r="N175" i="2" s="1"/>
  <c r="J175" i="2"/>
  <c r="H175" i="2"/>
  <c r="O174" i="2"/>
  <c r="M174" i="2"/>
  <c r="N174" i="2" s="1"/>
  <c r="K174" i="2"/>
  <c r="J174" i="2"/>
  <c r="H174" i="2"/>
  <c r="O173" i="2"/>
  <c r="N173" i="2"/>
  <c r="M173" i="2"/>
  <c r="K173" i="2"/>
  <c r="J173" i="2"/>
  <c r="H173" i="2"/>
  <c r="O172" i="2"/>
  <c r="M172" i="2"/>
  <c r="N172" i="2" s="1"/>
  <c r="K172" i="2"/>
  <c r="J172" i="2"/>
  <c r="H172" i="2"/>
  <c r="O171" i="2"/>
  <c r="M171" i="2"/>
  <c r="N171" i="2" s="1"/>
  <c r="K171" i="2"/>
  <c r="J171" i="2"/>
  <c r="H171" i="2"/>
  <c r="O170" i="2"/>
  <c r="M170" i="2"/>
  <c r="N170" i="2" s="1"/>
  <c r="K170" i="2"/>
  <c r="J170" i="2"/>
  <c r="H170" i="2"/>
  <c r="O169" i="2"/>
  <c r="M169" i="2"/>
  <c r="N169" i="2" s="1"/>
  <c r="K169" i="2"/>
  <c r="J169" i="2"/>
  <c r="H169" i="2"/>
  <c r="O168" i="2"/>
  <c r="M168" i="2"/>
  <c r="N168" i="2" s="1"/>
  <c r="K168" i="2"/>
  <c r="J168" i="2"/>
  <c r="O167" i="2"/>
  <c r="M167" i="2"/>
  <c r="N167" i="2" s="1"/>
  <c r="K167" i="2"/>
  <c r="J167" i="2"/>
  <c r="H167" i="2"/>
  <c r="O166" i="2"/>
  <c r="M166" i="2"/>
  <c r="N166" i="2" s="1"/>
  <c r="K166" i="2"/>
  <c r="J166" i="2"/>
  <c r="H166" i="2"/>
  <c r="O165" i="2"/>
  <c r="M165" i="2"/>
  <c r="N165" i="2" s="1"/>
  <c r="K165" i="2"/>
  <c r="O164" i="2"/>
  <c r="M164" i="2"/>
  <c r="N164" i="2" s="1"/>
  <c r="K164" i="2"/>
  <c r="J164" i="2"/>
  <c r="H164" i="2"/>
  <c r="O163" i="2"/>
  <c r="N163" i="2"/>
  <c r="M163" i="2"/>
  <c r="K163" i="2"/>
  <c r="J163" i="2"/>
  <c r="H163" i="2"/>
  <c r="M162" i="2"/>
  <c r="N162" i="2" s="1"/>
  <c r="O161" i="2"/>
  <c r="M161" i="2"/>
  <c r="N161" i="2" s="1"/>
  <c r="K161" i="2"/>
  <c r="J161" i="2"/>
  <c r="H161" i="2"/>
  <c r="O160" i="2"/>
  <c r="M160" i="2"/>
  <c r="N160" i="2" s="1"/>
  <c r="K160" i="2"/>
  <c r="J160" i="2"/>
  <c r="H160" i="2"/>
  <c r="O159" i="2"/>
  <c r="M159" i="2"/>
  <c r="N159" i="2" s="1"/>
  <c r="K159" i="2"/>
  <c r="J159" i="2"/>
  <c r="H159" i="2"/>
  <c r="O158" i="2"/>
  <c r="M158" i="2"/>
  <c r="N158" i="2" s="1"/>
  <c r="O157" i="2"/>
  <c r="M157" i="2"/>
  <c r="N157" i="2" s="1"/>
  <c r="K157" i="2"/>
  <c r="O156" i="2"/>
  <c r="M156" i="2"/>
  <c r="N156" i="2" s="1"/>
  <c r="O155" i="2"/>
  <c r="M155" i="2"/>
  <c r="N155" i="2" s="1"/>
  <c r="K155" i="2"/>
  <c r="J155" i="2"/>
  <c r="H155" i="2"/>
  <c r="O154" i="2"/>
  <c r="M154" i="2"/>
  <c r="N154" i="2" s="1"/>
  <c r="K154" i="2"/>
  <c r="O153" i="2"/>
  <c r="M153" i="2"/>
  <c r="N153" i="2" s="1"/>
  <c r="K153" i="2"/>
  <c r="O152" i="2"/>
  <c r="M152" i="2"/>
  <c r="N152" i="2" s="1"/>
  <c r="K152" i="2"/>
  <c r="J152" i="2"/>
  <c r="H152" i="2"/>
  <c r="H52" i="18"/>
  <c r="G52" i="18"/>
  <c r="H51" i="18"/>
  <c r="G51" i="18"/>
  <c r="H50" i="18"/>
  <c r="G50" i="18"/>
  <c r="H49" i="18"/>
  <c r="G49" i="18"/>
  <c r="H48" i="18"/>
  <c r="G48" i="18"/>
  <c r="H47" i="18"/>
  <c r="G47" i="18"/>
  <c r="H46" i="18"/>
  <c r="G46" i="18"/>
  <c r="H45" i="18"/>
  <c r="G45" i="18"/>
  <c r="H44" i="18"/>
  <c r="G44" i="18"/>
  <c r="H43" i="18"/>
  <c r="G43" i="18"/>
  <c r="H42" i="18"/>
  <c r="G42" i="18"/>
  <c r="H41" i="18"/>
  <c r="G41" i="18"/>
  <c r="H40" i="18"/>
  <c r="G40" i="18"/>
  <c r="H39" i="18"/>
  <c r="G39" i="18"/>
  <c r="H38" i="18"/>
  <c r="G38" i="18"/>
  <c r="H37" i="18"/>
  <c r="G37" i="18"/>
  <c r="H73" i="18"/>
  <c r="G73" i="18"/>
  <c r="H71" i="18"/>
  <c r="G71" i="18"/>
  <c r="H70" i="18"/>
  <c r="G70" i="18"/>
  <c r="H58" i="18"/>
  <c r="G58" i="18"/>
  <c r="H56" i="18"/>
  <c r="G56" i="18"/>
  <c r="H55" i="18"/>
  <c r="G55" i="18"/>
  <c r="H54" i="18"/>
  <c r="G54" i="18"/>
  <c r="H53" i="18"/>
  <c r="G53" i="18"/>
  <c r="H84" i="18"/>
  <c r="G84" i="18"/>
  <c r="H83" i="18"/>
  <c r="G83" i="18"/>
  <c r="H82" i="18"/>
  <c r="G82" i="18"/>
  <c r="H36" i="18"/>
  <c r="G36" i="18"/>
  <c r="H197" i="15"/>
  <c r="G197" i="15"/>
  <c r="H196" i="15"/>
  <c r="G196" i="15"/>
  <c r="H195" i="15"/>
  <c r="G195" i="15"/>
  <c r="H194" i="15"/>
  <c r="G194" i="15"/>
  <c r="H193" i="15"/>
  <c r="G193" i="15"/>
  <c r="H192" i="15"/>
  <c r="G192" i="15"/>
  <c r="H191" i="15"/>
  <c r="G191" i="15"/>
  <c r="H190" i="15"/>
  <c r="G190" i="15"/>
  <c r="H189" i="15"/>
  <c r="G189" i="15"/>
  <c r="H188" i="15"/>
  <c r="G188" i="15"/>
  <c r="H187" i="15"/>
  <c r="G187" i="15"/>
  <c r="H186" i="15"/>
  <c r="G186" i="15"/>
  <c r="H185" i="15"/>
  <c r="G185" i="15"/>
  <c r="H184" i="15"/>
  <c r="G184" i="15"/>
  <c r="H183" i="15"/>
  <c r="G183" i="15"/>
  <c r="H182" i="15"/>
  <c r="G182" i="15"/>
  <c r="H181" i="15"/>
  <c r="G181" i="15"/>
  <c r="H180" i="15"/>
  <c r="G180" i="15"/>
  <c r="H179" i="15"/>
  <c r="G179" i="15"/>
  <c r="H177" i="15"/>
  <c r="G177" i="15"/>
  <c r="H176" i="15"/>
  <c r="G176" i="15"/>
  <c r="H175" i="15"/>
  <c r="G175" i="15"/>
  <c r="H174" i="15"/>
  <c r="G174" i="15"/>
  <c r="H173" i="15"/>
  <c r="G173" i="15"/>
  <c r="H172" i="15"/>
  <c r="G172" i="15"/>
  <c r="H171" i="15"/>
  <c r="G171" i="15"/>
  <c r="H170" i="15"/>
  <c r="G170" i="15"/>
  <c r="H169" i="15"/>
  <c r="G169" i="15"/>
  <c r="H168" i="15"/>
  <c r="G168" i="15"/>
  <c r="H167" i="15"/>
  <c r="G167" i="15"/>
  <c r="H166" i="15"/>
  <c r="G166" i="15"/>
  <c r="H165" i="15"/>
  <c r="G165" i="15"/>
  <c r="H164" i="15"/>
  <c r="G164" i="15"/>
  <c r="H163" i="15"/>
  <c r="G163" i="15"/>
  <c r="H162" i="15"/>
  <c r="G162" i="15"/>
  <c r="H161" i="15"/>
  <c r="G161" i="15"/>
  <c r="H160" i="15"/>
  <c r="G160" i="15"/>
  <c r="H159" i="15"/>
  <c r="G159" i="15"/>
  <c r="H158" i="15"/>
  <c r="G158" i="15"/>
  <c r="H157" i="15"/>
  <c r="G157" i="15"/>
  <c r="H219" i="15"/>
  <c r="G219" i="15"/>
  <c r="H218" i="15"/>
  <c r="G218" i="15"/>
  <c r="H217" i="15"/>
  <c r="G217" i="15"/>
  <c r="H216" i="15"/>
  <c r="G216" i="15"/>
  <c r="H215" i="15"/>
  <c r="G215" i="15"/>
  <c r="H214" i="15"/>
  <c r="G214" i="15"/>
  <c r="H213" i="15"/>
  <c r="G213" i="15"/>
  <c r="H212" i="15"/>
  <c r="G212" i="15"/>
  <c r="H211" i="15"/>
  <c r="G211" i="15"/>
  <c r="H210" i="15"/>
  <c r="G210" i="15"/>
  <c r="H209" i="15"/>
  <c r="G209" i="15"/>
  <c r="H208" i="15"/>
  <c r="G208" i="15"/>
  <c r="H207" i="15"/>
  <c r="G207" i="15"/>
  <c r="H206" i="15"/>
  <c r="G206" i="15"/>
  <c r="H205" i="15"/>
  <c r="G205" i="15"/>
  <c r="H204" i="15"/>
  <c r="G204" i="15"/>
  <c r="H203" i="15"/>
  <c r="G203" i="15"/>
  <c r="H202" i="15"/>
  <c r="G202" i="15"/>
  <c r="H201" i="15"/>
  <c r="G201" i="15"/>
  <c r="H200" i="15"/>
  <c r="G200" i="15"/>
  <c r="H199" i="15"/>
  <c r="G199" i="15"/>
  <c r="H198" i="15"/>
  <c r="G198" i="15"/>
  <c r="H222" i="15"/>
  <c r="G222" i="15"/>
  <c r="H221" i="15"/>
  <c r="G221" i="15"/>
  <c r="H220" i="15"/>
  <c r="G220" i="15"/>
  <c r="H143" i="15"/>
  <c r="G143" i="15"/>
  <c r="H142" i="15"/>
  <c r="G142" i="15"/>
  <c r="H141" i="15"/>
  <c r="G141" i="15"/>
  <c r="H140" i="15"/>
  <c r="G140" i="15"/>
  <c r="H139" i="15"/>
  <c r="G139" i="15"/>
  <c r="H138" i="15"/>
  <c r="G138" i="15"/>
  <c r="H137" i="15"/>
  <c r="G137" i="15"/>
  <c r="H136" i="15"/>
  <c r="G136" i="15"/>
  <c r="H135" i="15"/>
  <c r="G135" i="15"/>
  <c r="H134" i="15"/>
  <c r="G134" i="15"/>
  <c r="H133" i="15"/>
  <c r="G133" i="15"/>
  <c r="H132" i="15"/>
  <c r="G132" i="15"/>
  <c r="H131" i="15"/>
  <c r="G131" i="15"/>
  <c r="H130" i="15"/>
  <c r="G130" i="15"/>
  <c r="H129" i="15"/>
  <c r="G129" i="15"/>
  <c r="H128" i="15"/>
  <c r="G128" i="15"/>
  <c r="H127" i="15"/>
  <c r="G127" i="15"/>
  <c r="H126" i="15"/>
  <c r="G126" i="15"/>
  <c r="H125" i="15"/>
  <c r="G125" i="15"/>
  <c r="H124" i="15"/>
  <c r="G124" i="15"/>
  <c r="H123" i="15"/>
  <c r="G123" i="15"/>
  <c r="H155" i="15"/>
  <c r="G155" i="15"/>
  <c r="H154" i="15"/>
  <c r="G154" i="15"/>
  <c r="H153" i="15"/>
  <c r="G153" i="15"/>
  <c r="H152" i="15"/>
  <c r="G152" i="15"/>
  <c r="H151" i="15"/>
  <c r="G151" i="15"/>
  <c r="H150" i="15"/>
  <c r="G150" i="15"/>
  <c r="H149" i="15"/>
  <c r="G149" i="15"/>
  <c r="H148" i="15"/>
  <c r="G148" i="15"/>
  <c r="H147" i="15"/>
  <c r="G147" i="15"/>
  <c r="H146" i="15"/>
  <c r="G146" i="15"/>
  <c r="H145" i="15"/>
  <c r="G145" i="15"/>
  <c r="H144" i="15"/>
  <c r="G144" i="15"/>
  <c r="H226" i="15"/>
  <c r="G226" i="15"/>
  <c r="H225" i="15"/>
  <c r="G225" i="15"/>
  <c r="H224" i="15"/>
  <c r="G224" i="15"/>
  <c r="H223" i="15"/>
  <c r="G223" i="15"/>
  <c r="H156" i="15"/>
  <c r="G156" i="15"/>
  <c r="H297" i="15"/>
  <c r="G297" i="15"/>
  <c r="H227" i="15"/>
  <c r="G227" i="15"/>
  <c r="H162" i="2" l="1"/>
  <c r="J162" i="2"/>
  <c r="K162" i="2"/>
  <c r="J158" i="2"/>
  <c r="J156" i="2"/>
  <c r="I538" i="2"/>
  <c r="J538" i="2" s="1"/>
  <c r="G538" i="2"/>
  <c r="G537" i="2"/>
  <c r="G536" i="2"/>
  <c r="G535" i="2"/>
  <c r="H535" i="2" s="1"/>
  <c r="I534" i="2"/>
  <c r="G534" i="2"/>
  <c r="D534" i="2"/>
  <c r="I533" i="2"/>
  <c r="J533" i="2" s="1"/>
  <c r="G533" i="2"/>
  <c r="H533" i="2" s="1"/>
  <c r="I532" i="2"/>
  <c r="J532" i="2" s="1"/>
  <c r="G532" i="2"/>
  <c r="H532" i="2" s="1"/>
  <c r="I531" i="2"/>
  <c r="J531" i="2" s="1"/>
  <c r="G531" i="2"/>
  <c r="G530" i="2"/>
  <c r="I530" i="2"/>
  <c r="J530" i="2" s="1"/>
  <c r="H530" i="2"/>
  <c r="I528" i="2"/>
  <c r="J528" i="2" s="1"/>
  <c r="G528" i="2"/>
  <c r="H528" i="2" s="1"/>
  <c r="I527" i="2"/>
  <c r="J527" i="2" s="1"/>
  <c r="G527" i="2"/>
  <c r="I526" i="2"/>
  <c r="J526" i="2" s="1"/>
  <c r="G526" i="2"/>
  <c r="H540" i="2"/>
  <c r="H541" i="2"/>
  <c r="H562" i="2"/>
  <c r="H563" i="2"/>
  <c r="H564" i="2"/>
  <c r="H565" i="2"/>
  <c r="H566" i="2"/>
  <c r="H567" i="2"/>
  <c r="H568" i="2"/>
  <c r="H569" i="2"/>
  <c r="H570" i="2"/>
  <c r="H527" i="2"/>
  <c r="H529" i="2"/>
  <c r="H531" i="2"/>
  <c r="H536" i="2"/>
  <c r="H537" i="2"/>
  <c r="H538" i="2"/>
  <c r="H526" i="2"/>
  <c r="J563" i="2"/>
  <c r="J562" i="2"/>
  <c r="J541" i="2"/>
  <c r="J540" i="2"/>
  <c r="J537" i="2"/>
  <c r="J536" i="2"/>
  <c r="J535" i="2"/>
  <c r="J529" i="2"/>
  <c r="J572" i="2"/>
  <c r="J571" i="2"/>
  <c r="H571" i="2"/>
  <c r="J570" i="2"/>
  <c r="J569" i="2"/>
  <c r="J568" i="2"/>
  <c r="J567" i="2"/>
  <c r="J566" i="2"/>
  <c r="J565" i="2"/>
  <c r="J564" i="2"/>
  <c r="H525" i="2"/>
  <c r="G525" i="2"/>
  <c r="G524" i="2"/>
  <c r="I524" i="2"/>
  <c r="G521" i="2"/>
  <c r="G518" i="2"/>
  <c r="D518" i="2"/>
  <c r="G517" i="2"/>
  <c r="D517" i="2"/>
  <c r="G514" i="2"/>
  <c r="I486" i="2"/>
  <c r="G486" i="2"/>
  <c r="G511" i="2"/>
  <c r="I485" i="2"/>
  <c r="G508" i="2"/>
  <c r="G523" i="2"/>
  <c r="G522" i="2"/>
  <c r="G520" i="2"/>
  <c r="G519" i="2"/>
  <c r="G516" i="2"/>
  <c r="G515" i="2"/>
  <c r="G513" i="2"/>
  <c r="G512" i="2"/>
  <c r="G510" i="2"/>
  <c r="G509" i="2"/>
  <c r="G507" i="2"/>
  <c r="G506" i="2"/>
  <c r="G482" i="2"/>
  <c r="G485" i="2"/>
  <c r="G480" i="2"/>
  <c r="G505" i="2"/>
  <c r="D505" i="2"/>
  <c r="G504" i="2"/>
  <c r="G499" i="2"/>
  <c r="G498" i="2"/>
  <c r="G497" i="2"/>
  <c r="G496" i="2"/>
  <c r="G495" i="2"/>
  <c r="G494" i="2"/>
  <c r="G503" i="2"/>
  <c r="D503" i="2"/>
  <c r="G500" i="2"/>
  <c r="G501" i="2"/>
  <c r="G502" i="2"/>
  <c r="D499" i="2"/>
  <c r="D498" i="2"/>
  <c r="D497" i="2"/>
  <c r="D496" i="2"/>
  <c r="D495" i="2"/>
  <c r="G490" i="2"/>
  <c r="G489" i="2"/>
  <c r="D494" i="2"/>
  <c r="D493" i="2"/>
  <c r="D492" i="2"/>
  <c r="D487" i="2"/>
  <c r="G484" i="2"/>
  <c r="G481" i="2"/>
  <c r="H534" i="2" l="1"/>
  <c r="J534" i="2"/>
  <c r="G479" i="2"/>
  <c r="D120" i="2"/>
  <c r="D123" i="2"/>
  <c r="J507" i="2"/>
  <c r="H507" i="2"/>
  <c r="J506" i="2"/>
  <c r="H506" i="2"/>
  <c r="J505" i="2"/>
  <c r="H505" i="2"/>
  <c r="J504" i="2"/>
  <c r="H504" i="2"/>
  <c r="J503" i="2"/>
  <c r="H503" i="2"/>
  <c r="J502" i="2"/>
  <c r="H502" i="2"/>
  <c r="J501" i="2"/>
  <c r="H501" i="2"/>
  <c r="J500" i="2"/>
  <c r="H500" i="2"/>
  <c r="J499" i="2"/>
  <c r="H499" i="2"/>
  <c r="J498" i="2"/>
  <c r="H498" i="2"/>
  <c r="J497" i="2"/>
  <c r="H497" i="2"/>
  <c r="J496" i="2"/>
  <c r="H496" i="2"/>
  <c r="J495" i="2"/>
  <c r="H495" i="2"/>
  <c r="J494" i="2"/>
  <c r="H494" i="2"/>
  <c r="J493" i="2"/>
  <c r="H493" i="2"/>
  <c r="J492" i="2"/>
  <c r="H492" i="2"/>
  <c r="J491" i="2"/>
  <c r="H491" i="2"/>
  <c r="J490" i="2"/>
  <c r="H490" i="2"/>
  <c r="J489" i="2"/>
  <c r="H489" i="2"/>
  <c r="J488" i="2"/>
  <c r="H488" i="2"/>
  <c r="J487" i="2"/>
  <c r="H487" i="2"/>
  <c r="J486" i="2"/>
  <c r="H486" i="2"/>
  <c r="J485" i="2"/>
  <c r="H485" i="2"/>
  <c r="J484" i="2"/>
  <c r="H484" i="2"/>
  <c r="J483" i="2"/>
  <c r="H483" i="2"/>
  <c r="J482" i="2"/>
  <c r="H482" i="2"/>
  <c r="J481" i="2"/>
  <c r="H481" i="2"/>
  <c r="J520" i="2"/>
  <c r="H520" i="2"/>
  <c r="J519" i="2"/>
  <c r="H519" i="2"/>
  <c r="J518" i="2"/>
  <c r="H518" i="2"/>
  <c r="J517" i="2"/>
  <c r="H517" i="2"/>
  <c r="J516" i="2"/>
  <c r="H516" i="2"/>
  <c r="J515" i="2"/>
  <c r="H515" i="2"/>
  <c r="J514" i="2"/>
  <c r="H514" i="2"/>
  <c r="J513" i="2"/>
  <c r="H513" i="2"/>
  <c r="J512" i="2"/>
  <c r="H512" i="2"/>
  <c r="J511" i="2"/>
  <c r="H511" i="2"/>
  <c r="J510" i="2"/>
  <c r="H510" i="2"/>
  <c r="J509" i="2"/>
  <c r="H509" i="2"/>
  <c r="J508" i="2"/>
  <c r="H508" i="2"/>
  <c r="J480" i="2"/>
  <c r="H480" i="2"/>
  <c r="J752" i="2"/>
  <c r="H752" i="2"/>
  <c r="J726" i="2"/>
  <c r="H726" i="2"/>
  <c r="J525" i="2"/>
  <c r="J524" i="2"/>
  <c r="H524" i="2"/>
  <c r="J523" i="2"/>
  <c r="H523" i="2"/>
  <c r="J522" i="2"/>
  <c r="H522" i="2"/>
  <c r="J521" i="2"/>
  <c r="H521" i="2"/>
  <c r="I139" i="2"/>
  <c r="G102" i="2"/>
  <c r="G103" i="2"/>
  <c r="G104" i="2"/>
  <c r="D139" i="2"/>
  <c r="D136" i="2"/>
  <c r="D132" i="2"/>
  <c r="D129" i="2"/>
  <c r="D126" i="2"/>
  <c r="I126" i="2"/>
  <c r="D119" i="2"/>
  <c r="D117" i="2" l="1"/>
  <c r="D116" i="2"/>
  <c r="D115" i="2"/>
  <c r="D114" i="2"/>
  <c r="G112" i="2"/>
  <c r="G111" i="2"/>
  <c r="G110" i="2" l="1"/>
  <c r="I109" i="2"/>
  <c r="G109" i="2"/>
  <c r="G108" i="2"/>
  <c r="G107" i="2"/>
  <c r="G105" i="2"/>
  <c r="I104" i="2"/>
  <c r="I103" i="2"/>
  <c r="I102" i="2" l="1"/>
  <c r="G101" i="2"/>
  <c r="G100" i="2"/>
  <c r="I99" i="2"/>
  <c r="G99" i="2"/>
  <c r="I98" i="2"/>
  <c r="G97" i="2"/>
  <c r="G98" i="2"/>
  <c r="H98" i="2"/>
  <c r="I97" i="2"/>
  <c r="G96" i="2"/>
  <c r="H96" i="2" s="1"/>
  <c r="I95" i="2"/>
  <c r="G95" i="2"/>
  <c r="O139" i="2"/>
  <c r="M139" i="2"/>
  <c r="N139" i="2" s="1"/>
  <c r="K139" i="2"/>
  <c r="J139" i="2"/>
  <c r="H139" i="2"/>
  <c r="O138" i="2"/>
  <c r="M138" i="2"/>
  <c r="N138" i="2" s="1"/>
  <c r="K138" i="2"/>
  <c r="J138" i="2"/>
  <c r="H138" i="2"/>
  <c r="O137" i="2"/>
  <c r="M137" i="2"/>
  <c r="N137" i="2" s="1"/>
  <c r="K137" i="2"/>
  <c r="J137" i="2"/>
  <c r="H137" i="2"/>
  <c r="O136" i="2"/>
  <c r="M136" i="2"/>
  <c r="N136" i="2" s="1"/>
  <c r="K136" i="2"/>
  <c r="J136" i="2"/>
  <c r="H136" i="2"/>
  <c r="O135" i="2"/>
  <c r="M135" i="2"/>
  <c r="N135" i="2" s="1"/>
  <c r="K135" i="2"/>
  <c r="J135" i="2"/>
  <c r="H135" i="2"/>
  <c r="O134" i="2"/>
  <c r="M134" i="2"/>
  <c r="N134" i="2" s="1"/>
  <c r="K134" i="2"/>
  <c r="J134" i="2"/>
  <c r="H134" i="2"/>
  <c r="O133" i="2"/>
  <c r="M133" i="2"/>
  <c r="N133" i="2" s="1"/>
  <c r="K133" i="2"/>
  <c r="J133" i="2"/>
  <c r="H133" i="2"/>
  <c r="O132" i="2"/>
  <c r="M132" i="2"/>
  <c r="N132" i="2" s="1"/>
  <c r="K132" i="2"/>
  <c r="J132" i="2"/>
  <c r="H132" i="2"/>
  <c r="O131" i="2"/>
  <c r="M131" i="2"/>
  <c r="N131" i="2" s="1"/>
  <c r="K131" i="2"/>
  <c r="J131" i="2"/>
  <c r="H131" i="2"/>
  <c r="O130" i="2"/>
  <c r="M130" i="2"/>
  <c r="N130" i="2" s="1"/>
  <c r="K130" i="2"/>
  <c r="J130" i="2"/>
  <c r="H130" i="2"/>
  <c r="O129" i="2"/>
  <c r="M129" i="2"/>
  <c r="N129" i="2" s="1"/>
  <c r="K129" i="2"/>
  <c r="J129" i="2"/>
  <c r="H129" i="2"/>
  <c r="O128" i="2"/>
  <c r="M128" i="2"/>
  <c r="N128" i="2" s="1"/>
  <c r="K128" i="2"/>
  <c r="J128" i="2"/>
  <c r="H128" i="2"/>
  <c r="O127" i="2"/>
  <c r="M127" i="2"/>
  <c r="N127" i="2" s="1"/>
  <c r="K127" i="2"/>
  <c r="J127" i="2"/>
  <c r="H127" i="2"/>
  <c r="O126" i="2"/>
  <c r="M126" i="2"/>
  <c r="N126" i="2" s="1"/>
  <c r="K126" i="2"/>
  <c r="J126" i="2"/>
  <c r="H126" i="2"/>
  <c r="O125" i="2"/>
  <c r="M125" i="2"/>
  <c r="N125" i="2" s="1"/>
  <c r="K125" i="2"/>
  <c r="J125" i="2"/>
  <c r="H125" i="2"/>
  <c r="O124" i="2"/>
  <c r="M124" i="2"/>
  <c r="N124" i="2" s="1"/>
  <c r="K124" i="2"/>
  <c r="J124" i="2"/>
  <c r="H124" i="2"/>
  <c r="O123" i="2"/>
  <c r="M123" i="2"/>
  <c r="N123" i="2" s="1"/>
  <c r="K123" i="2"/>
  <c r="J123" i="2"/>
  <c r="H123" i="2"/>
  <c r="O122" i="2"/>
  <c r="M122" i="2"/>
  <c r="N122" i="2" s="1"/>
  <c r="K122" i="2"/>
  <c r="J122" i="2"/>
  <c r="H122" i="2"/>
  <c r="O121" i="2"/>
  <c r="M121" i="2"/>
  <c r="N121" i="2" s="1"/>
  <c r="K121" i="2"/>
  <c r="J121" i="2"/>
  <c r="H121" i="2"/>
  <c r="O120" i="2"/>
  <c r="M120" i="2"/>
  <c r="N120" i="2" s="1"/>
  <c r="K120" i="2"/>
  <c r="J120" i="2"/>
  <c r="H120" i="2"/>
  <c r="O119" i="2"/>
  <c r="M119" i="2"/>
  <c r="N119" i="2" s="1"/>
  <c r="K119" i="2"/>
  <c r="J119" i="2"/>
  <c r="H119" i="2"/>
  <c r="O118" i="2"/>
  <c r="M118" i="2"/>
  <c r="N118" i="2" s="1"/>
  <c r="K118" i="2"/>
  <c r="J118" i="2"/>
  <c r="H118" i="2"/>
  <c r="O117" i="2"/>
  <c r="M117" i="2"/>
  <c r="N117" i="2" s="1"/>
  <c r="K117" i="2"/>
  <c r="J117" i="2"/>
  <c r="H117" i="2"/>
  <c r="O116" i="2"/>
  <c r="M116" i="2"/>
  <c r="N116" i="2" s="1"/>
  <c r="K116" i="2"/>
  <c r="J116" i="2"/>
  <c r="H116" i="2"/>
  <c r="O115" i="2"/>
  <c r="M115" i="2"/>
  <c r="N115" i="2" s="1"/>
  <c r="K115" i="2"/>
  <c r="J115" i="2"/>
  <c r="H115" i="2"/>
  <c r="O114" i="2"/>
  <c r="M114" i="2"/>
  <c r="N114" i="2" s="1"/>
  <c r="K114" i="2"/>
  <c r="J114" i="2"/>
  <c r="H114" i="2"/>
  <c r="O113" i="2"/>
  <c r="M113" i="2"/>
  <c r="N113" i="2" s="1"/>
  <c r="K113" i="2"/>
  <c r="J113" i="2"/>
  <c r="H113" i="2"/>
  <c r="O112" i="2"/>
  <c r="M112" i="2"/>
  <c r="N112" i="2" s="1"/>
  <c r="K112" i="2"/>
  <c r="J112" i="2"/>
  <c r="H112" i="2"/>
  <c r="O111" i="2"/>
  <c r="M111" i="2"/>
  <c r="N111" i="2" s="1"/>
  <c r="K111" i="2"/>
  <c r="J111" i="2"/>
  <c r="H111" i="2"/>
  <c r="O110" i="2"/>
  <c r="M110" i="2"/>
  <c r="N110" i="2" s="1"/>
  <c r="K110" i="2"/>
  <c r="J110" i="2"/>
  <c r="H110" i="2"/>
  <c r="O109" i="2"/>
  <c r="M109" i="2"/>
  <c r="N109" i="2" s="1"/>
  <c r="K109" i="2"/>
  <c r="J109" i="2"/>
  <c r="H109" i="2"/>
  <c r="O108" i="2"/>
  <c r="M108" i="2"/>
  <c r="N108" i="2" s="1"/>
  <c r="K108" i="2"/>
  <c r="J108" i="2"/>
  <c r="H108" i="2"/>
  <c r="O107" i="2"/>
  <c r="M107" i="2"/>
  <c r="N107" i="2" s="1"/>
  <c r="K107" i="2"/>
  <c r="J107" i="2"/>
  <c r="H107" i="2"/>
  <c r="O106" i="2"/>
  <c r="M106" i="2"/>
  <c r="N106" i="2" s="1"/>
  <c r="K106" i="2"/>
  <c r="J106" i="2"/>
  <c r="H106" i="2"/>
  <c r="O105" i="2"/>
  <c r="M105" i="2"/>
  <c r="N105" i="2" s="1"/>
  <c r="K105" i="2"/>
  <c r="J105" i="2"/>
  <c r="H105" i="2"/>
  <c r="O104" i="2"/>
  <c r="M104" i="2"/>
  <c r="N104" i="2" s="1"/>
  <c r="K104" i="2"/>
  <c r="J104" i="2"/>
  <c r="H104" i="2"/>
  <c r="O103" i="2"/>
  <c r="M103" i="2"/>
  <c r="N103" i="2" s="1"/>
  <c r="K103" i="2"/>
  <c r="J103" i="2"/>
  <c r="H103" i="2"/>
  <c r="O102" i="2"/>
  <c r="M102" i="2"/>
  <c r="N102" i="2" s="1"/>
  <c r="K102" i="2"/>
  <c r="J102" i="2"/>
  <c r="H102" i="2"/>
  <c r="O101" i="2"/>
  <c r="M101" i="2"/>
  <c r="N101" i="2" s="1"/>
  <c r="K101" i="2"/>
  <c r="J101" i="2"/>
  <c r="H101" i="2"/>
  <c r="O100" i="2"/>
  <c r="M100" i="2"/>
  <c r="N100" i="2" s="1"/>
  <c r="K100" i="2"/>
  <c r="J100" i="2"/>
  <c r="H100" i="2"/>
  <c r="O99" i="2"/>
  <c r="M99" i="2"/>
  <c r="N99" i="2" s="1"/>
  <c r="K99" i="2"/>
  <c r="J99" i="2"/>
  <c r="H99" i="2"/>
  <c r="O98" i="2"/>
  <c r="M98" i="2"/>
  <c r="N98" i="2" s="1"/>
  <c r="K98" i="2"/>
  <c r="J98" i="2"/>
  <c r="O97" i="2"/>
  <c r="M97" i="2"/>
  <c r="N97" i="2" s="1"/>
  <c r="K97" i="2"/>
  <c r="J97" i="2"/>
  <c r="H97" i="2"/>
  <c r="O96" i="2"/>
  <c r="M96" i="2"/>
  <c r="N96" i="2" s="1"/>
  <c r="K96" i="2"/>
  <c r="J96" i="2"/>
  <c r="O353" i="2"/>
  <c r="M353" i="2"/>
  <c r="N353" i="2" s="1"/>
  <c r="K353" i="2"/>
  <c r="J353" i="2"/>
  <c r="H353" i="2"/>
  <c r="O352" i="2"/>
  <c r="M352" i="2"/>
  <c r="N352" i="2" s="1"/>
  <c r="K352" i="2"/>
  <c r="J352" i="2"/>
  <c r="H352" i="2"/>
  <c r="O351" i="2"/>
  <c r="M351" i="2"/>
  <c r="N351" i="2" s="1"/>
  <c r="K351" i="2"/>
  <c r="J351" i="2"/>
  <c r="H351" i="2"/>
  <c r="O193" i="2"/>
  <c r="M193" i="2"/>
  <c r="N193" i="2" s="1"/>
  <c r="K193" i="2"/>
  <c r="J193" i="2"/>
  <c r="H193" i="2"/>
  <c r="O191" i="2"/>
  <c r="M191" i="2"/>
  <c r="N191" i="2" s="1"/>
  <c r="K191" i="2"/>
  <c r="J191" i="2"/>
  <c r="O190" i="2"/>
  <c r="M190" i="2"/>
  <c r="N190" i="2" s="1"/>
  <c r="K190" i="2"/>
  <c r="J190" i="2"/>
  <c r="H190" i="2"/>
  <c r="O189" i="2"/>
  <c r="M189" i="2"/>
  <c r="N189" i="2" s="1"/>
  <c r="K189" i="2"/>
  <c r="J189" i="2"/>
  <c r="H189" i="2"/>
  <c r="O188" i="2"/>
  <c r="M188" i="2"/>
  <c r="N188" i="2" s="1"/>
  <c r="K188" i="2"/>
  <c r="J188" i="2"/>
  <c r="H188" i="2"/>
  <c r="O187" i="2"/>
  <c r="M187" i="2"/>
  <c r="N187" i="2" s="1"/>
  <c r="K187" i="2"/>
  <c r="J187" i="2"/>
  <c r="H187" i="2"/>
  <c r="O186" i="2"/>
  <c r="M186" i="2"/>
  <c r="N186" i="2" s="1"/>
  <c r="K186" i="2"/>
  <c r="J186" i="2"/>
  <c r="H186" i="2"/>
  <c r="O185" i="2"/>
  <c r="M185" i="2"/>
  <c r="N185" i="2" s="1"/>
  <c r="K185" i="2"/>
  <c r="J185" i="2"/>
  <c r="H185" i="2"/>
  <c r="O151" i="2"/>
  <c r="M151" i="2"/>
  <c r="N151" i="2" s="1"/>
  <c r="K151" i="2"/>
  <c r="J151" i="2"/>
  <c r="H151" i="2"/>
  <c r="O150" i="2"/>
  <c r="M150" i="2"/>
  <c r="N150" i="2" s="1"/>
  <c r="K150" i="2"/>
  <c r="J150" i="2"/>
  <c r="O149" i="2"/>
  <c r="M149" i="2"/>
  <c r="N149" i="2" s="1"/>
  <c r="K149" i="2"/>
  <c r="J149" i="2"/>
  <c r="O148" i="2"/>
  <c r="M148" i="2"/>
  <c r="N148" i="2" s="1"/>
  <c r="K148" i="2"/>
  <c r="J148" i="2"/>
  <c r="H148" i="2"/>
  <c r="O147" i="2"/>
  <c r="M147" i="2"/>
  <c r="N147" i="2" s="1"/>
  <c r="K147" i="2"/>
  <c r="J147" i="2"/>
  <c r="H147" i="2"/>
  <c r="O146" i="2"/>
  <c r="M146" i="2"/>
  <c r="N146" i="2" s="1"/>
  <c r="K146" i="2"/>
  <c r="J146" i="2"/>
  <c r="H146" i="2"/>
  <c r="O145" i="2"/>
  <c r="M145" i="2"/>
  <c r="N145" i="2" s="1"/>
  <c r="K145" i="2"/>
  <c r="J145" i="2"/>
  <c r="H145" i="2"/>
  <c r="O144" i="2"/>
  <c r="M144" i="2"/>
  <c r="N144" i="2" s="1"/>
  <c r="K144" i="2"/>
  <c r="J144" i="2"/>
  <c r="H144" i="2"/>
  <c r="O143" i="2"/>
  <c r="M143" i="2"/>
  <c r="N143" i="2" s="1"/>
  <c r="K143" i="2"/>
  <c r="J143" i="2"/>
  <c r="H143" i="2"/>
  <c r="O142" i="2"/>
  <c r="M142" i="2"/>
  <c r="N142" i="2" s="1"/>
  <c r="K142" i="2"/>
  <c r="J142" i="2"/>
  <c r="H142" i="2"/>
  <c r="O141" i="2"/>
  <c r="M141" i="2"/>
  <c r="N141" i="2" s="1"/>
  <c r="K141" i="2"/>
  <c r="J141" i="2"/>
  <c r="H141" i="2"/>
  <c r="O364" i="2"/>
  <c r="M364" i="2"/>
  <c r="N364" i="2" s="1"/>
  <c r="K364" i="2"/>
  <c r="J364" i="2"/>
  <c r="H364" i="2"/>
  <c r="O363" i="2"/>
  <c r="M363" i="2"/>
  <c r="N363" i="2" s="1"/>
  <c r="K363" i="2"/>
  <c r="J363" i="2"/>
  <c r="H363" i="2"/>
  <c r="O362" i="2"/>
  <c r="M362" i="2"/>
  <c r="N362" i="2" s="1"/>
  <c r="K362" i="2"/>
  <c r="J362" i="2"/>
  <c r="H362" i="2"/>
  <c r="O361" i="2"/>
  <c r="M361" i="2"/>
  <c r="N361" i="2" s="1"/>
  <c r="K361" i="2"/>
  <c r="J361" i="2"/>
  <c r="H361" i="2"/>
  <c r="O360" i="2"/>
  <c r="M360" i="2"/>
  <c r="N360" i="2" s="1"/>
  <c r="K360" i="2"/>
  <c r="J360" i="2"/>
  <c r="H360" i="2"/>
  <c r="O359" i="2"/>
  <c r="M359" i="2"/>
  <c r="N359" i="2" s="1"/>
  <c r="K359" i="2"/>
  <c r="J359" i="2"/>
  <c r="H359" i="2"/>
  <c r="O358" i="2"/>
  <c r="M358" i="2"/>
  <c r="N358" i="2" s="1"/>
  <c r="K358" i="2"/>
  <c r="J358" i="2"/>
  <c r="H358" i="2"/>
  <c r="O357" i="2"/>
  <c r="M357" i="2"/>
  <c r="N357" i="2" s="1"/>
  <c r="K357" i="2"/>
  <c r="J357" i="2"/>
  <c r="H357" i="2"/>
  <c r="O356" i="2"/>
  <c r="M356" i="2"/>
  <c r="N356" i="2" s="1"/>
  <c r="K356" i="2"/>
  <c r="J356" i="2"/>
  <c r="H356" i="2"/>
  <c r="O355" i="2"/>
  <c r="M355" i="2"/>
  <c r="N355" i="2" s="1"/>
  <c r="K355" i="2"/>
  <c r="J355" i="2"/>
  <c r="H355" i="2"/>
  <c r="O354" i="2"/>
  <c r="M354" i="2"/>
  <c r="N354" i="2" s="1"/>
  <c r="K354" i="2"/>
  <c r="J354" i="2"/>
  <c r="H354" i="2"/>
  <c r="G467" i="2"/>
  <c r="H467" i="2" s="1"/>
  <c r="G451" i="2"/>
  <c r="G449" i="2"/>
  <c r="G458" i="2"/>
  <c r="G455" i="2"/>
  <c r="G453" i="2"/>
  <c r="G446" i="2"/>
  <c r="G444" i="2"/>
  <c r="G426" i="2"/>
  <c r="H426" i="2"/>
  <c r="H112" i="15"/>
  <c r="G112" i="15"/>
  <c r="H111" i="15"/>
  <c r="G111" i="15"/>
  <c r="H110" i="15"/>
  <c r="G110" i="15"/>
  <c r="H109" i="15"/>
  <c r="G109" i="15"/>
  <c r="H108" i="15"/>
  <c r="G108" i="15"/>
  <c r="H107" i="15"/>
  <c r="G107" i="15"/>
  <c r="H106" i="15"/>
  <c r="G106" i="15"/>
  <c r="H105" i="15"/>
  <c r="G105" i="15"/>
  <c r="G477" i="2" l="1"/>
  <c r="I476" i="2"/>
  <c r="G476" i="2"/>
  <c r="D476" i="2"/>
  <c r="I473" i="2"/>
  <c r="G473" i="2"/>
  <c r="D473" i="2"/>
  <c r="H473" i="2" s="1"/>
  <c r="G472" i="2"/>
  <c r="H472" i="2" s="1"/>
  <c r="G471" i="2"/>
  <c r="H471" i="2"/>
  <c r="G470" i="2"/>
  <c r="I469" i="2"/>
  <c r="G469" i="2"/>
  <c r="G468" i="2"/>
  <c r="H468" i="2" s="1"/>
  <c r="H469" i="2"/>
  <c r="H470" i="2"/>
  <c r="H474" i="2"/>
  <c r="H475" i="2"/>
  <c r="H476" i="2"/>
  <c r="G428" i="2"/>
  <c r="H428" i="2" s="1"/>
  <c r="G429" i="2"/>
  <c r="H429" i="2" s="1"/>
  <c r="G430" i="2"/>
  <c r="H430" i="2" s="1"/>
  <c r="G431" i="2"/>
  <c r="H431" i="2" s="1"/>
  <c r="G427" i="2"/>
  <c r="H427" i="2" s="1"/>
  <c r="G406" i="2"/>
  <c r="H406" i="2" s="1"/>
  <c r="G407" i="2"/>
  <c r="H407" i="2"/>
  <c r="G405" i="2"/>
  <c r="H405" i="2" s="1"/>
  <c r="G390" i="2"/>
  <c r="H390" i="2" s="1"/>
  <c r="G391" i="2"/>
  <c r="H391" i="2" s="1"/>
  <c r="G389" i="2"/>
  <c r="H389" i="2" s="1"/>
  <c r="G461" i="2"/>
  <c r="H461" i="2"/>
  <c r="G462" i="2"/>
  <c r="H462" i="2"/>
  <c r="G463" i="2"/>
  <c r="H463" i="2" s="1"/>
  <c r="G464" i="2"/>
  <c r="H464" i="2" s="1"/>
  <c r="G465" i="2"/>
  <c r="H465" i="2"/>
  <c r="G466" i="2"/>
  <c r="H466" i="2"/>
  <c r="G460" i="2"/>
  <c r="H460" i="2" s="1"/>
  <c r="G459" i="2"/>
  <c r="D459" i="2"/>
  <c r="H459" i="2" s="1"/>
  <c r="I455" i="2"/>
  <c r="D455" i="2"/>
  <c r="I452" i="2"/>
  <c r="G452" i="2"/>
  <c r="D452" i="2"/>
  <c r="J452" i="2" s="1"/>
  <c r="H451" i="2"/>
  <c r="G450" i="2"/>
  <c r="H450" i="2" s="1"/>
  <c r="H449" i="2"/>
  <c r="G448" i="2"/>
  <c r="H448" i="2" s="1"/>
  <c r="G447" i="2"/>
  <c r="H447" i="2" s="1"/>
  <c r="I446" i="2"/>
  <c r="J446" i="2" s="1"/>
  <c r="H446" i="2"/>
  <c r="G445" i="2"/>
  <c r="H445" i="2"/>
  <c r="I444" i="2"/>
  <c r="J458" i="2"/>
  <c r="H458" i="2"/>
  <c r="J457" i="2"/>
  <c r="H457" i="2"/>
  <c r="J456" i="2"/>
  <c r="H456" i="2"/>
  <c r="J455" i="2"/>
  <c r="J454" i="2"/>
  <c r="H454" i="2"/>
  <c r="J453" i="2"/>
  <c r="H453" i="2"/>
  <c r="J451" i="2"/>
  <c r="J450" i="2"/>
  <c r="J449" i="2"/>
  <c r="J448" i="2"/>
  <c r="J447" i="2"/>
  <c r="J445" i="2"/>
  <c r="J475" i="2"/>
  <c r="J474" i="2"/>
  <c r="J472" i="2"/>
  <c r="J471" i="2"/>
  <c r="J470" i="2"/>
  <c r="J469" i="2"/>
  <c r="J468" i="2"/>
  <c r="I93" i="2"/>
  <c r="G93" i="2"/>
  <c r="D93" i="2"/>
  <c r="D90" i="2"/>
  <c r="D83" i="2"/>
  <c r="I80" i="2"/>
  <c r="G80" i="2"/>
  <c r="D80" i="2"/>
  <c r="G79" i="2"/>
  <c r="G78" i="2"/>
  <c r="G77" i="2"/>
  <c r="G76" i="2"/>
  <c r="G75" i="2"/>
  <c r="I75" i="2"/>
  <c r="J473" i="2" l="1"/>
  <c r="H455" i="2"/>
  <c r="H452" i="2"/>
  <c r="J459" i="2"/>
  <c r="G74" i="2"/>
  <c r="H74" i="2" s="1"/>
  <c r="G73" i="2"/>
  <c r="H73" i="2" s="1"/>
  <c r="I74" i="2"/>
  <c r="I73" i="2"/>
  <c r="G72" i="2"/>
  <c r="H72" i="2" s="1"/>
  <c r="G71" i="2"/>
  <c r="I71" i="2"/>
  <c r="J71" i="2" s="1"/>
  <c r="H71" i="2"/>
  <c r="G70" i="2"/>
  <c r="G69" i="2"/>
  <c r="G68" i="2"/>
  <c r="H68" i="2" s="1"/>
  <c r="O85" i="2"/>
  <c r="M85" i="2"/>
  <c r="N85" i="2" s="1"/>
  <c r="K85" i="2"/>
  <c r="J85" i="2"/>
  <c r="H85" i="2"/>
  <c r="O84" i="2"/>
  <c r="M84" i="2"/>
  <c r="N84" i="2" s="1"/>
  <c r="K84" i="2"/>
  <c r="J84" i="2"/>
  <c r="H84" i="2"/>
  <c r="O83" i="2"/>
  <c r="M83" i="2"/>
  <c r="N83" i="2" s="1"/>
  <c r="K83" i="2"/>
  <c r="J83" i="2"/>
  <c r="H83" i="2"/>
  <c r="O82" i="2"/>
  <c r="M82" i="2"/>
  <c r="N82" i="2" s="1"/>
  <c r="K82" i="2"/>
  <c r="J82" i="2"/>
  <c r="H82" i="2"/>
  <c r="O81" i="2"/>
  <c r="M81" i="2"/>
  <c r="N81" i="2" s="1"/>
  <c r="K81" i="2"/>
  <c r="J81" i="2"/>
  <c r="H81" i="2"/>
  <c r="O80" i="2"/>
  <c r="M80" i="2"/>
  <c r="N80" i="2" s="1"/>
  <c r="K80" i="2"/>
  <c r="J80" i="2"/>
  <c r="H80" i="2"/>
  <c r="O79" i="2"/>
  <c r="M79" i="2"/>
  <c r="N79" i="2" s="1"/>
  <c r="K79" i="2"/>
  <c r="J79" i="2"/>
  <c r="H79" i="2"/>
  <c r="O78" i="2"/>
  <c r="M78" i="2"/>
  <c r="N78" i="2" s="1"/>
  <c r="K78" i="2"/>
  <c r="J78" i="2"/>
  <c r="H78" i="2"/>
  <c r="O77" i="2"/>
  <c r="M77" i="2"/>
  <c r="N77" i="2" s="1"/>
  <c r="K77" i="2"/>
  <c r="J77" i="2"/>
  <c r="H77" i="2"/>
  <c r="O76" i="2"/>
  <c r="M76" i="2"/>
  <c r="N76" i="2" s="1"/>
  <c r="K76" i="2"/>
  <c r="J76" i="2"/>
  <c r="H76" i="2"/>
  <c r="O75" i="2"/>
  <c r="M75" i="2"/>
  <c r="N75" i="2" s="1"/>
  <c r="K75" i="2"/>
  <c r="J75" i="2"/>
  <c r="H75" i="2"/>
  <c r="O74" i="2"/>
  <c r="M74" i="2"/>
  <c r="N74" i="2" s="1"/>
  <c r="K74" i="2"/>
  <c r="J74" i="2"/>
  <c r="O73" i="2"/>
  <c r="M73" i="2"/>
  <c r="N73" i="2" s="1"/>
  <c r="K73" i="2"/>
  <c r="J73" i="2"/>
  <c r="O72" i="2"/>
  <c r="M72" i="2"/>
  <c r="N72" i="2" s="1"/>
  <c r="K72" i="2"/>
  <c r="J72" i="2"/>
  <c r="O71" i="2"/>
  <c r="M71" i="2"/>
  <c r="N71" i="2" s="1"/>
  <c r="K71" i="2"/>
  <c r="O70" i="2"/>
  <c r="M70" i="2"/>
  <c r="N70" i="2" s="1"/>
  <c r="K70" i="2"/>
  <c r="J70" i="2"/>
  <c r="H70" i="2"/>
  <c r="O69" i="2"/>
  <c r="M69" i="2"/>
  <c r="N69" i="2" s="1"/>
  <c r="K69" i="2"/>
  <c r="J69" i="2"/>
  <c r="H69" i="2"/>
  <c r="O68" i="2"/>
  <c r="M68" i="2"/>
  <c r="N68" i="2" s="1"/>
  <c r="K68" i="2"/>
  <c r="J68" i="2"/>
  <c r="O95" i="2"/>
  <c r="M95" i="2"/>
  <c r="N95" i="2" s="1"/>
  <c r="K95" i="2"/>
  <c r="J95" i="2"/>
  <c r="H95" i="2"/>
  <c r="O93" i="2"/>
  <c r="M93" i="2"/>
  <c r="N93" i="2" s="1"/>
  <c r="K93" i="2"/>
  <c r="J93" i="2"/>
  <c r="H93" i="2"/>
  <c r="O92" i="2"/>
  <c r="M92" i="2"/>
  <c r="N92" i="2" s="1"/>
  <c r="K92" i="2"/>
  <c r="J92" i="2"/>
  <c r="H92" i="2"/>
  <c r="O91" i="2"/>
  <c r="M91" i="2"/>
  <c r="N91" i="2" s="1"/>
  <c r="K91" i="2"/>
  <c r="J91" i="2"/>
  <c r="H91" i="2"/>
  <c r="O90" i="2"/>
  <c r="M90" i="2"/>
  <c r="N90" i="2" s="1"/>
  <c r="K90" i="2"/>
  <c r="J90" i="2"/>
  <c r="H90" i="2"/>
  <c r="O89" i="2"/>
  <c r="M89" i="2"/>
  <c r="N89" i="2" s="1"/>
  <c r="K89" i="2"/>
  <c r="J89" i="2"/>
  <c r="H89" i="2"/>
  <c r="O88" i="2"/>
  <c r="M88" i="2"/>
  <c r="N88" i="2" s="1"/>
  <c r="K88" i="2"/>
  <c r="J88" i="2"/>
  <c r="H88" i="2"/>
  <c r="O87" i="2"/>
  <c r="M87" i="2"/>
  <c r="N87" i="2" s="1"/>
  <c r="K87" i="2"/>
  <c r="J87" i="2"/>
  <c r="H87" i="2"/>
  <c r="O86" i="2"/>
  <c r="M86" i="2"/>
  <c r="N86" i="2" s="1"/>
  <c r="K86" i="2"/>
  <c r="J86" i="2"/>
  <c r="H86" i="2"/>
  <c r="O369" i="2"/>
  <c r="M369" i="2"/>
  <c r="N369" i="2" s="1"/>
  <c r="K369" i="2"/>
  <c r="J369" i="2"/>
  <c r="H369" i="2"/>
  <c r="O368" i="2"/>
  <c r="M368" i="2"/>
  <c r="N368" i="2" s="1"/>
  <c r="K368" i="2"/>
  <c r="J368" i="2"/>
  <c r="H368" i="2"/>
  <c r="O367" i="2"/>
  <c r="M367" i="2"/>
  <c r="N367" i="2" s="1"/>
  <c r="K367" i="2"/>
  <c r="J367" i="2"/>
  <c r="H367" i="2"/>
  <c r="O366" i="2"/>
  <c r="M366" i="2"/>
  <c r="N366" i="2" s="1"/>
  <c r="K366" i="2"/>
  <c r="J366" i="2"/>
  <c r="H366" i="2"/>
  <c r="H97" i="15"/>
  <c r="G97" i="15"/>
  <c r="H96" i="15"/>
  <c r="G96" i="15"/>
  <c r="H95" i="15"/>
  <c r="G95" i="15"/>
  <c r="H94" i="15"/>
  <c r="G94" i="15"/>
  <c r="H93" i="15"/>
  <c r="G93" i="15"/>
  <c r="H92" i="15"/>
  <c r="G92" i="15"/>
  <c r="H91" i="15"/>
  <c r="G91" i="15"/>
  <c r="H90" i="15"/>
  <c r="G90" i="15"/>
  <c r="H88" i="15"/>
  <c r="G88" i="15"/>
  <c r="H87" i="15"/>
  <c r="G87" i="15"/>
  <c r="H86" i="15"/>
  <c r="G86" i="15"/>
  <c r="H85" i="15"/>
  <c r="G85" i="15"/>
  <c r="H84" i="15"/>
  <c r="G84" i="15"/>
  <c r="H83" i="15"/>
  <c r="G83" i="15"/>
  <c r="H82" i="15"/>
  <c r="G82" i="15"/>
  <c r="H81" i="15"/>
  <c r="G81" i="15"/>
  <c r="H80" i="15"/>
  <c r="G80" i="15"/>
  <c r="H113" i="15"/>
  <c r="G113" i="15"/>
  <c r="H104" i="15"/>
  <c r="G104" i="15"/>
  <c r="H103" i="15"/>
  <c r="G103" i="15"/>
  <c r="H102" i="15"/>
  <c r="G102" i="15"/>
  <c r="H101" i="15"/>
  <c r="G101" i="15"/>
  <c r="H100" i="15"/>
  <c r="G100" i="15"/>
  <c r="H99" i="15"/>
  <c r="G99" i="15"/>
  <c r="H98" i="15"/>
  <c r="G98" i="15"/>
  <c r="H79" i="15"/>
  <c r="G79" i="15"/>
  <c r="H78" i="15"/>
  <c r="G78" i="15"/>
  <c r="H77" i="15"/>
  <c r="G77" i="15"/>
  <c r="H76" i="15"/>
  <c r="G76" i="15"/>
  <c r="H75" i="15"/>
  <c r="G75" i="15"/>
  <c r="H74" i="15"/>
  <c r="G74" i="15"/>
  <c r="H73" i="15"/>
  <c r="G73" i="15"/>
  <c r="H72" i="15"/>
  <c r="G72" i="15"/>
  <c r="H71" i="15"/>
  <c r="G71" i="15"/>
  <c r="H70" i="15"/>
  <c r="G70" i="15"/>
  <c r="H69" i="15"/>
  <c r="G69" i="15"/>
  <c r="H68" i="15"/>
  <c r="G68" i="15"/>
  <c r="H67" i="15"/>
  <c r="G67" i="15"/>
  <c r="H66" i="15"/>
  <c r="G66" i="15"/>
  <c r="H65" i="15"/>
  <c r="G65" i="15"/>
  <c r="H64" i="15"/>
  <c r="G64" i="15"/>
  <c r="H63" i="15"/>
  <c r="G63" i="15"/>
  <c r="H116" i="15"/>
  <c r="G116" i="15"/>
  <c r="H115" i="15"/>
  <c r="G115" i="15"/>
  <c r="H114" i="15"/>
  <c r="G114" i="15"/>
  <c r="H120" i="15"/>
  <c r="G120" i="15"/>
  <c r="H119" i="15"/>
  <c r="G119" i="15"/>
  <c r="H118" i="15"/>
  <c r="G118" i="15"/>
  <c r="H117" i="15"/>
  <c r="G117" i="15"/>
  <c r="H413" i="15"/>
  <c r="G413" i="15"/>
  <c r="H122" i="15"/>
  <c r="G122" i="15"/>
  <c r="H101" i="18"/>
  <c r="H100" i="18"/>
  <c r="H99" i="18"/>
  <c r="H98" i="18"/>
  <c r="H86" i="18"/>
  <c r="H85" i="18"/>
  <c r="H34" i="18"/>
  <c r="H33" i="18"/>
  <c r="H32" i="18"/>
  <c r="H31" i="18"/>
  <c r="H30" i="18"/>
  <c r="H29" i="18"/>
  <c r="H28" i="18"/>
  <c r="H26" i="18"/>
  <c r="H25" i="18"/>
  <c r="H24" i="18"/>
  <c r="H23" i="18"/>
  <c r="H22" i="18"/>
  <c r="H21" i="18"/>
  <c r="H20" i="18"/>
  <c r="H19" i="18"/>
  <c r="H18" i="18"/>
  <c r="H17" i="18"/>
  <c r="G98" i="18"/>
  <c r="G86" i="18"/>
  <c r="G85" i="18"/>
  <c r="G34" i="18"/>
  <c r="G33" i="18"/>
  <c r="G32" i="18"/>
  <c r="G31" i="18"/>
  <c r="G30" i="18"/>
  <c r="G29" i="18"/>
  <c r="G28" i="18"/>
  <c r="G26" i="18"/>
  <c r="G25" i="18"/>
  <c r="G24" i="18"/>
  <c r="G23" i="18"/>
  <c r="G414" i="2"/>
  <c r="G413" i="2"/>
  <c r="G412" i="2"/>
  <c r="G411" i="2"/>
  <c r="G410" i="2"/>
  <c r="G409" i="2"/>
  <c r="G441" i="2"/>
  <c r="G440" i="2"/>
  <c r="G439" i="2"/>
  <c r="D439" i="2"/>
  <c r="I438" i="2"/>
  <c r="H437" i="2"/>
  <c r="H436" i="2"/>
  <c r="H435" i="2"/>
  <c r="H434" i="2"/>
  <c r="H433" i="2"/>
  <c r="G438" i="2"/>
  <c r="H438" i="2" s="1"/>
  <c r="D438" i="2"/>
  <c r="G437" i="2"/>
  <c r="G436" i="2"/>
  <c r="G435" i="2"/>
  <c r="G434" i="2"/>
  <c r="G433" i="2"/>
  <c r="G432" i="2"/>
  <c r="H432" i="2" s="1"/>
  <c r="J432" i="2"/>
  <c r="I425" i="2"/>
  <c r="G425" i="2"/>
  <c r="D425" i="2"/>
  <c r="H425" i="2" s="1"/>
  <c r="I424" i="2"/>
  <c r="G424" i="2"/>
  <c r="D424" i="2"/>
  <c r="I423" i="2"/>
  <c r="G423" i="2"/>
  <c r="D423" i="2"/>
  <c r="H423" i="2" s="1"/>
  <c r="I422" i="2"/>
  <c r="G422" i="2"/>
  <c r="D422" i="2"/>
  <c r="H422" i="2" s="1"/>
  <c r="I421" i="2"/>
  <c r="G421" i="2"/>
  <c r="D421" i="2"/>
  <c r="I420" i="2"/>
  <c r="G420" i="2"/>
  <c r="D420" i="2"/>
  <c r="H420" i="2" s="1"/>
  <c r="I419" i="2"/>
  <c r="G419" i="2"/>
  <c r="D419" i="2"/>
  <c r="I418" i="2"/>
  <c r="G418" i="2"/>
  <c r="D418" i="2"/>
  <c r="H421" i="2" l="1"/>
  <c r="G417" i="2"/>
  <c r="H417" i="2" s="1"/>
  <c r="G416" i="2"/>
  <c r="H416" i="2"/>
  <c r="G415" i="2"/>
  <c r="H415" i="2" s="1"/>
  <c r="J438" i="2"/>
  <c r="J437" i="2"/>
  <c r="J436" i="2"/>
  <c r="J435" i="2"/>
  <c r="J434" i="2"/>
  <c r="J433" i="2"/>
  <c r="J425" i="2"/>
  <c r="J424" i="2"/>
  <c r="H424" i="2"/>
  <c r="J423" i="2"/>
  <c r="J422" i="2"/>
  <c r="J421" i="2"/>
  <c r="J420" i="2"/>
  <c r="J419" i="2"/>
  <c r="H419" i="2"/>
  <c r="J418" i="2"/>
  <c r="H418" i="2"/>
  <c r="J444" i="2"/>
  <c r="H444" i="2"/>
  <c r="J443" i="2"/>
  <c r="H443" i="2"/>
  <c r="J441" i="2"/>
  <c r="H441" i="2"/>
  <c r="J440" i="2"/>
  <c r="H440" i="2"/>
  <c r="J439" i="2"/>
  <c r="H439" i="2"/>
  <c r="J417" i="2"/>
  <c r="J416" i="2"/>
  <c r="J415" i="2"/>
  <c r="I66" i="2"/>
  <c r="G66" i="2"/>
  <c r="I63" i="2"/>
  <c r="G63" i="2"/>
  <c r="D66" i="2"/>
  <c r="D63" i="2"/>
  <c r="I61" i="2"/>
  <c r="G61" i="2"/>
  <c r="D61" i="2"/>
  <c r="H61" i="2" s="1"/>
  <c r="I58" i="2"/>
  <c r="G58" i="2"/>
  <c r="D58" i="2"/>
  <c r="I56" i="2"/>
  <c r="G56" i="2"/>
  <c r="D56" i="2"/>
  <c r="I53" i="2"/>
  <c r="H53" i="2"/>
  <c r="G53" i="2"/>
  <c r="D53" i="2"/>
  <c r="I51" i="2"/>
  <c r="G51" i="2"/>
  <c r="H58" i="2" l="1"/>
  <c r="D51" i="2"/>
  <c r="O51" i="2" s="1"/>
  <c r="I48" i="2"/>
  <c r="G48" i="2"/>
  <c r="D48" i="2"/>
  <c r="K48" i="2" s="1"/>
  <c r="G47" i="2"/>
  <c r="G46" i="2"/>
  <c r="G45" i="2"/>
  <c r="H45" i="2" s="1"/>
  <c r="G44" i="2"/>
  <c r="G43" i="2"/>
  <c r="O42" i="2"/>
  <c r="M42" i="2"/>
  <c r="N42" i="2" s="1"/>
  <c r="K42" i="2"/>
  <c r="J42" i="2"/>
  <c r="H42" i="2"/>
  <c r="G41" i="2"/>
  <c r="H41" i="2"/>
  <c r="G40" i="2"/>
  <c r="H40" i="2"/>
  <c r="G39" i="2"/>
  <c r="H39" i="2" s="1"/>
  <c r="G38" i="2"/>
  <c r="H38" i="2"/>
  <c r="G37" i="2"/>
  <c r="G36" i="2"/>
  <c r="H36" i="2" s="1"/>
  <c r="O62" i="2"/>
  <c r="M62" i="2"/>
  <c r="N62" i="2" s="1"/>
  <c r="K62" i="2"/>
  <c r="J62" i="2"/>
  <c r="H62" i="2"/>
  <c r="O61" i="2"/>
  <c r="M61" i="2"/>
  <c r="N61" i="2" s="1"/>
  <c r="K61" i="2"/>
  <c r="J61" i="2"/>
  <c r="O60" i="2"/>
  <c r="M60" i="2"/>
  <c r="N60" i="2" s="1"/>
  <c r="K60" i="2"/>
  <c r="J60" i="2"/>
  <c r="H60" i="2"/>
  <c r="O59" i="2"/>
  <c r="M59" i="2"/>
  <c r="N59" i="2" s="1"/>
  <c r="K59" i="2"/>
  <c r="J59" i="2"/>
  <c r="H59" i="2"/>
  <c r="O58" i="2"/>
  <c r="M58" i="2"/>
  <c r="N58" i="2" s="1"/>
  <c r="K58" i="2"/>
  <c r="J58" i="2"/>
  <c r="O57" i="2"/>
  <c r="M57" i="2"/>
  <c r="N57" i="2" s="1"/>
  <c r="K57" i="2"/>
  <c r="J57" i="2"/>
  <c r="H57" i="2"/>
  <c r="O56" i="2"/>
  <c r="M56" i="2"/>
  <c r="N56" i="2" s="1"/>
  <c r="K56" i="2"/>
  <c r="J56" i="2"/>
  <c r="H56" i="2"/>
  <c r="O55" i="2"/>
  <c r="M55" i="2"/>
  <c r="N55" i="2" s="1"/>
  <c r="K55" i="2"/>
  <c r="J55" i="2"/>
  <c r="H55" i="2"/>
  <c r="O54" i="2"/>
  <c r="M54" i="2"/>
  <c r="N54" i="2" s="1"/>
  <c r="K54" i="2"/>
  <c r="J54" i="2"/>
  <c r="H54" i="2"/>
  <c r="O53" i="2"/>
  <c r="M53" i="2"/>
  <c r="N53" i="2" s="1"/>
  <c r="K53" i="2"/>
  <c r="J53" i="2"/>
  <c r="O52" i="2"/>
  <c r="M52" i="2"/>
  <c r="N52" i="2" s="1"/>
  <c r="K52" i="2"/>
  <c r="J52" i="2"/>
  <c r="H52" i="2"/>
  <c r="M51" i="2"/>
  <c r="N51" i="2" s="1"/>
  <c r="H51" i="2"/>
  <c r="O365" i="2"/>
  <c r="M365" i="2"/>
  <c r="N365" i="2" s="1"/>
  <c r="K365" i="2"/>
  <c r="J365" i="2"/>
  <c r="H365" i="2"/>
  <c r="O66" i="2"/>
  <c r="M66" i="2"/>
  <c r="N66" i="2" s="1"/>
  <c r="K66" i="2"/>
  <c r="J66" i="2"/>
  <c r="H66" i="2"/>
  <c r="O65" i="2"/>
  <c r="M65" i="2"/>
  <c r="N65" i="2" s="1"/>
  <c r="K65" i="2"/>
  <c r="J65" i="2"/>
  <c r="H65" i="2"/>
  <c r="O64" i="2"/>
  <c r="M64" i="2"/>
  <c r="N64" i="2" s="1"/>
  <c r="K64" i="2"/>
  <c r="J64" i="2"/>
  <c r="H64" i="2"/>
  <c r="O63" i="2"/>
  <c r="M63" i="2"/>
  <c r="N63" i="2" s="1"/>
  <c r="K63" i="2"/>
  <c r="J63" i="2"/>
  <c r="H63" i="2"/>
  <c r="M48" i="2"/>
  <c r="N48" i="2" s="1"/>
  <c r="O47" i="2"/>
  <c r="M47" i="2"/>
  <c r="N47" i="2" s="1"/>
  <c r="K47" i="2"/>
  <c r="J47" i="2"/>
  <c r="H47" i="2"/>
  <c r="O46" i="2"/>
  <c r="M46" i="2"/>
  <c r="N46" i="2" s="1"/>
  <c r="K46" i="2"/>
  <c r="J46" i="2"/>
  <c r="H46" i="2"/>
  <c r="O45" i="2"/>
  <c r="M45" i="2"/>
  <c r="N45" i="2" s="1"/>
  <c r="K45" i="2"/>
  <c r="J45" i="2"/>
  <c r="O44" i="2"/>
  <c r="M44" i="2"/>
  <c r="N44" i="2" s="1"/>
  <c r="K44" i="2"/>
  <c r="J44" i="2"/>
  <c r="H44" i="2"/>
  <c r="O43" i="2"/>
  <c r="M43" i="2"/>
  <c r="N43" i="2" s="1"/>
  <c r="K43" i="2"/>
  <c r="J43" i="2"/>
  <c r="H43" i="2"/>
  <c r="O41" i="2"/>
  <c r="M41" i="2"/>
  <c r="N41" i="2" s="1"/>
  <c r="K41" i="2"/>
  <c r="J41" i="2"/>
  <c r="O40" i="2"/>
  <c r="M40" i="2"/>
  <c r="N40" i="2" s="1"/>
  <c r="K40" i="2"/>
  <c r="J40" i="2"/>
  <c r="O50" i="2"/>
  <c r="M50" i="2"/>
  <c r="N50" i="2" s="1"/>
  <c r="K50" i="2"/>
  <c r="J50" i="2"/>
  <c r="H50" i="2"/>
  <c r="O49" i="2"/>
  <c r="M49" i="2"/>
  <c r="N49" i="2" s="1"/>
  <c r="K49" i="2"/>
  <c r="J49" i="2"/>
  <c r="H49" i="2"/>
  <c r="O39" i="2"/>
  <c r="M39" i="2"/>
  <c r="N39" i="2" s="1"/>
  <c r="K39" i="2"/>
  <c r="J39" i="2"/>
  <c r="O38" i="2"/>
  <c r="M38" i="2"/>
  <c r="N38" i="2" s="1"/>
  <c r="K38" i="2"/>
  <c r="J38" i="2"/>
  <c r="O37" i="2"/>
  <c r="M37" i="2"/>
  <c r="N37" i="2" s="1"/>
  <c r="K37" i="2"/>
  <c r="J37" i="2"/>
  <c r="H37" i="2"/>
  <c r="O36" i="2"/>
  <c r="M36" i="2"/>
  <c r="N36" i="2" s="1"/>
  <c r="K36" i="2"/>
  <c r="J36" i="2"/>
  <c r="O372" i="2"/>
  <c r="M372" i="2"/>
  <c r="N372" i="2" s="1"/>
  <c r="K372" i="2"/>
  <c r="J372" i="2"/>
  <c r="H372" i="2"/>
  <c r="O371" i="2"/>
  <c r="M371" i="2"/>
  <c r="N371" i="2" s="1"/>
  <c r="K371" i="2"/>
  <c r="J371" i="2"/>
  <c r="H371" i="2"/>
  <c r="O370" i="2"/>
  <c r="M370" i="2"/>
  <c r="N370" i="2" s="1"/>
  <c r="K370" i="2"/>
  <c r="J370" i="2"/>
  <c r="H370" i="2"/>
  <c r="H54" i="15"/>
  <c r="G54" i="15"/>
  <c r="H53" i="15"/>
  <c r="G53" i="15"/>
  <c r="H52" i="15"/>
  <c r="G52" i="15"/>
  <c r="H51" i="15"/>
  <c r="G51" i="15"/>
  <c r="H49" i="15"/>
  <c r="G49" i="15"/>
  <c r="H48" i="15"/>
  <c r="G48" i="15"/>
  <c r="H47" i="15"/>
  <c r="G47" i="15"/>
  <c r="H46" i="15"/>
  <c r="G46" i="15"/>
  <c r="H56" i="15"/>
  <c r="G56" i="15"/>
  <c r="H55" i="15"/>
  <c r="G55" i="15"/>
  <c r="H45" i="15"/>
  <c r="G45" i="15"/>
  <c r="H44" i="15"/>
  <c r="G44" i="15"/>
  <c r="H43" i="15"/>
  <c r="G43" i="15"/>
  <c r="H42" i="15"/>
  <c r="G42" i="15"/>
  <c r="H41" i="15"/>
  <c r="G41" i="15"/>
  <c r="H40" i="15"/>
  <c r="G40" i="15"/>
  <c r="D404" i="2"/>
  <c r="D403" i="2"/>
  <c r="I399" i="2"/>
  <c r="I398" i="2"/>
  <c r="I400" i="2"/>
  <c r="I401" i="2"/>
  <c r="I397" i="2"/>
  <c r="D402" i="2"/>
  <c r="G401" i="2"/>
  <c r="G400" i="2"/>
  <c r="G399" i="2"/>
  <c r="G398" i="2"/>
  <c r="G397" i="2"/>
  <c r="J477" i="2"/>
  <c r="H477" i="2"/>
  <c r="J476" i="2"/>
  <c r="J414" i="2"/>
  <c r="H414" i="2"/>
  <c r="J413" i="2"/>
  <c r="H413" i="2"/>
  <c r="J412" i="2"/>
  <c r="H412" i="2"/>
  <c r="J411" i="2"/>
  <c r="H411" i="2"/>
  <c r="J410" i="2"/>
  <c r="H410" i="2"/>
  <c r="J409" i="2"/>
  <c r="H409" i="2"/>
  <c r="J755" i="2"/>
  <c r="H755" i="2"/>
  <c r="J754" i="2"/>
  <c r="H754" i="2"/>
  <c r="J753" i="2"/>
  <c r="H753" i="2"/>
  <c r="J479" i="2"/>
  <c r="H479" i="2"/>
  <c r="J757" i="2"/>
  <c r="H757" i="2"/>
  <c r="J756" i="2"/>
  <c r="H756" i="2"/>
  <c r="O48" i="2" l="1"/>
  <c r="H48" i="2"/>
  <c r="J51" i="2"/>
  <c r="K51" i="2"/>
  <c r="J48" i="2"/>
  <c r="G34" i="2"/>
  <c r="G33" i="2"/>
  <c r="G32" i="2"/>
  <c r="D31" i="2"/>
  <c r="G30" i="2"/>
  <c r="I29" i="2"/>
  <c r="G29" i="2"/>
  <c r="H29" i="2" s="1"/>
  <c r="I28" i="2"/>
  <c r="G28" i="2"/>
  <c r="H28" i="2" s="1"/>
  <c r="I26" i="2"/>
  <c r="G26" i="2"/>
  <c r="I24" i="2"/>
  <c r="G24" i="2"/>
  <c r="I23" i="2"/>
  <c r="G23" i="2"/>
  <c r="I21" i="2" l="1"/>
  <c r="I20" i="2"/>
  <c r="I19" i="2"/>
  <c r="I16" i="2"/>
  <c r="G21" i="2"/>
  <c r="G20" i="2"/>
  <c r="G19" i="2"/>
  <c r="G16" i="2"/>
  <c r="I395" i="2"/>
  <c r="I394" i="2"/>
  <c r="I393" i="2"/>
  <c r="I392" i="2"/>
  <c r="G395" i="2"/>
  <c r="H395" i="2" s="1"/>
  <c r="G394" i="2"/>
  <c r="H394" i="2" s="1"/>
  <c r="G393" i="2"/>
  <c r="G392" i="2"/>
  <c r="H392" i="2" s="1"/>
  <c r="H393" i="2"/>
  <c r="G388" i="2"/>
  <c r="G387" i="2"/>
  <c r="G386" i="2"/>
  <c r="G383" i="2"/>
  <c r="N29" i="22" l="1"/>
  <c r="N30" i="22" s="1"/>
  <c r="Q2264" i="4" l="1"/>
  <c r="P2264" i="4"/>
  <c r="O2264" i="4"/>
  <c r="N2264" i="4"/>
  <c r="L2264" i="4"/>
  <c r="K2264" i="4"/>
  <c r="J2264" i="4"/>
  <c r="I2264" i="4"/>
  <c r="H2264" i="4"/>
  <c r="M2264" i="4" s="1"/>
  <c r="Q2238" i="4"/>
  <c r="P2238" i="4"/>
  <c r="O2238" i="4"/>
  <c r="N2238" i="4"/>
  <c r="K2238" i="4"/>
  <c r="J2238" i="4"/>
  <c r="I2238" i="4"/>
  <c r="H2238" i="4"/>
  <c r="L2238" i="4" s="1"/>
  <c r="Q2237" i="4"/>
  <c r="P2237" i="4"/>
  <c r="O2237" i="4"/>
  <c r="N2237" i="4"/>
  <c r="L2237" i="4"/>
  <c r="K2237" i="4"/>
  <c r="J2237" i="4"/>
  <c r="I2237" i="4"/>
  <c r="H2237" i="4"/>
  <c r="M2237" i="4" s="1"/>
  <c r="Q2236" i="4"/>
  <c r="P2236" i="4"/>
  <c r="O2236" i="4"/>
  <c r="N2236" i="4"/>
  <c r="M2236" i="4"/>
  <c r="K2236" i="4"/>
  <c r="J2236" i="4"/>
  <c r="I2236" i="4"/>
  <c r="H2236" i="4"/>
  <c r="L2236" i="4" s="1"/>
  <c r="Q2177" i="4"/>
  <c r="P2177" i="4"/>
  <c r="O2177" i="4"/>
  <c r="M2177" i="4"/>
  <c r="K2177" i="4"/>
  <c r="J2177" i="4"/>
  <c r="I2177" i="4"/>
  <c r="H2177" i="4"/>
  <c r="L2177" i="4" s="1"/>
  <c r="Q2164" i="4"/>
  <c r="P2164" i="4"/>
  <c r="O2164" i="4"/>
  <c r="M2164" i="4"/>
  <c r="L2164" i="4"/>
  <c r="K2164" i="4"/>
  <c r="J2164" i="4"/>
  <c r="I2164" i="4"/>
  <c r="H2164" i="4"/>
  <c r="N2164" i="4" s="1"/>
  <c r="Q2163" i="4"/>
  <c r="P2163" i="4"/>
  <c r="O2163" i="4"/>
  <c r="M2163" i="4"/>
  <c r="L2163" i="4"/>
  <c r="K2163" i="4"/>
  <c r="J2163" i="4"/>
  <c r="I2163" i="4"/>
  <c r="H2163" i="4"/>
  <c r="N2163" i="4" s="1"/>
  <c r="Q2165" i="4"/>
  <c r="P2165" i="4"/>
  <c r="O2165" i="4"/>
  <c r="M2165" i="4"/>
  <c r="K2165" i="4"/>
  <c r="J2165" i="4"/>
  <c r="I2165" i="4"/>
  <c r="H2165" i="4"/>
  <c r="L2165" i="4" s="1"/>
  <c r="Q2143" i="4"/>
  <c r="P2143" i="4"/>
  <c r="O2143" i="4"/>
  <c r="L2143" i="4"/>
  <c r="K2143" i="4"/>
  <c r="J2143" i="4"/>
  <c r="I2143" i="4"/>
  <c r="H2143" i="4"/>
  <c r="M2143" i="4" s="1"/>
  <c r="H249" i="4"/>
  <c r="H248" i="4"/>
  <c r="Q214" i="4"/>
  <c r="P214" i="4"/>
  <c r="O214" i="4"/>
  <c r="M214" i="4"/>
  <c r="K214" i="4"/>
  <c r="J214" i="4"/>
  <c r="I214" i="4"/>
  <c r="H214" i="4"/>
  <c r="L214" i="4" s="1"/>
  <c r="Q215" i="4"/>
  <c r="P215" i="4"/>
  <c r="O215" i="4"/>
  <c r="M215" i="4"/>
  <c r="K215" i="4"/>
  <c r="J215" i="4"/>
  <c r="I215" i="4"/>
  <c r="H215" i="4"/>
  <c r="L215" i="4" s="1"/>
  <c r="Q204" i="4"/>
  <c r="P204" i="4"/>
  <c r="O204" i="4"/>
  <c r="M204" i="4"/>
  <c r="K204" i="4"/>
  <c r="J204" i="4"/>
  <c r="I204" i="4"/>
  <c r="H204" i="4"/>
  <c r="L204" i="4" s="1"/>
  <c r="Q203" i="4"/>
  <c r="P203" i="4"/>
  <c r="O203" i="4"/>
  <c r="N203" i="4"/>
  <c r="K203" i="4"/>
  <c r="J203" i="4"/>
  <c r="I203" i="4"/>
  <c r="H203" i="4"/>
  <c r="L203" i="4" s="1"/>
  <c r="Q175" i="4"/>
  <c r="P175" i="4"/>
  <c r="O175" i="4"/>
  <c r="N175" i="4"/>
  <c r="M175" i="4"/>
  <c r="K175" i="4"/>
  <c r="J175" i="4"/>
  <c r="I175" i="4"/>
  <c r="H175" i="4"/>
  <c r="L175" i="4" s="1"/>
  <c r="Q67" i="4"/>
  <c r="P67" i="4"/>
  <c r="O67" i="4"/>
  <c r="N67" i="4"/>
  <c r="M67" i="4"/>
  <c r="K67" i="4"/>
  <c r="I67" i="4"/>
  <c r="H67" i="4"/>
  <c r="J67" i="4" s="1"/>
  <c r="Q62" i="4"/>
  <c r="P62" i="4"/>
  <c r="O62" i="4"/>
  <c r="N62" i="4"/>
  <c r="K62" i="4"/>
  <c r="J62" i="4"/>
  <c r="I62" i="4"/>
  <c r="H62" i="4"/>
  <c r="L62" i="4" s="1"/>
  <c r="Q61" i="4"/>
  <c r="P61" i="4"/>
  <c r="O61" i="4"/>
  <c r="N61" i="4"/>
  <c r="K61" i="4"/>
  <c r="J61" i="4"/>
  <c r="I61" i="4"/>
  <c r="H61" i="4"/>
  <c r="L61" i="4" s="1"/>
  <c r="J2190" i="21"/>
  <c r="K2190" i="21" s="1"/>
  <c r="P2190" i="21"/>
  <c r="O2190" i="21"/>
  <c r="N2190" i="21"/>
  <c r="L2190" i="21"/>
  <c r="J2189" i="21"/>
  <c r="K2189" i="21" s="1"/>
  <c r="P2189" i="21"/>
  <c r="O2189" i="21"/>
  <c r="N2189" i="21"/>
  <c r="L2189" i="21"/>
  <c r="N214" i="4" l="1"/>
  <c r="M2238" i="4"/>
  <c r="N215" i="4"/>
  <c r="N204" i="4"/>
  <c r="M203" i="4"/>
  <c r="N2177" i="4"/>
  <c r="N2165" i="4"/>
  <c r="L67" i="4"/>
  <c r="N2143" i="4"/>
  <c r="M61" i="4"/>
  <c r="M62" i="4"/>
  <c r="J42" i="21"/>
  <c r="N42" i="21" s="1"/>
  <c r="P42" i="21"/>
  <c r="O42" i="21"/>
  <c r="L42" i="21"/>
  <c r="P41" i="21"/>
  <c r="N41" i="21"/>
  <c r="K41" i="21"/>
  <c r="J41" i="21"/>
  <c r="L41" i="21" s="1"/>
  <c r="J31" i="21"/>
  <c r="L31" i="21" s="1"/>
  <c r="J30" i="21"/>
  <c r="K30" i="21" s="1"/>
  <c r="P30" i="21"/>
  <c r="O30" i="21"/>
  <c r="N30" i="21"/>
  <c r="L30" i="21"/>
  <c r="P31" i="21"/>
  <c r="O31" i="21"/>
  <c r="N31" i="21"/>
  <c r="O41" i="21" l="1"/>
  <c r="K42" i="21"/>
  <c r="K31" i="21"/>
  <c r="P2192" i="21"/>
  <c r="O2192" i="21"/>
  <c r="N2192" i="21"/>
  <c r="L2192" i="21"/>
  <c r="J2192" i="21"/>
  <c r="K2192" i="21" s="1"/>
  <c r="P2191" i="21"/>
  <c r="O2191" i="21"/>
  <c r="N2191" i="21"/>
  <c r="K2191" i="21"/>
  <c r="J2191" i="21"/>
  <c r="L2191" i="21" s="1"/>
  <c r="P2188" i="21"/>
  <c r="O2188" i="21"/>
  <c r="N2188" i="21"/>
  <c r="L2188" i="21"/>
  <c r="K2188" i="21"/>
  <c r="J2188" i="21"/>
  <c r="P2187" i="21"/>
  <c r="O2187" i="21"/>
  <c r="N2187" i="21"/>
  <c r="K2187" i="21"/>
  <c r="J2187" i="21"/>
  <c r="L2187" i="21" s="1"/>
  <c r="P2186" i="21"/>
  <c r="O2186" i="21"/>
  <c r="N2186" i="21"/>
  <c r="L2186" i="21"/>
  <c r="J2186" i="21"/>
  <c r="K2186" i="21" s="1"/>
  <c r="P2185" i="21"/>
  <c r="O2185" i="21"/>
  <c r="K2185" i="21"/>
  <c r="J2185" i="21"/>
  <c r="L2185" i="21" s="1"/>
  <c r="P57" i="21"/>
  <c r="N57" i="21"/>
  <c r="L57" i="21"/>
  <c r="J57" i="21"/>
  <c r="K57" i="21" s="1"/>
  <c r="P56" i="21"/>
  <c r="N56" i="21"/>
  <c r="J56" i="21"/>
  <c r="L56" i="21" s="1"/>
  <c r="P54" i="21"/>
  <c r="O54" i="21"/>
  <c r="N54" i="21"/>
  <c r="J54" i="21"/>
  <c r="L54" i="21" s="1"/>
  <c r="P52" i="21"/>
  <c r="O52" i="21"/>
  <c r="N52" i="21"/>
  <c r="J52" i="21"/>
  <c r="L52" i="21" s="1"/>
  <c r="P51" i="21"/>
  <c r="N51" i="21"/>
  <c r="L51" i="21"/>
  <c r="J51" i="21"/>
  <c r="O51" i="21" s="1"/>
  <c r="P50" i="21"/>
  <c r="N50" i="21"/>
  <c r="J50" i="21"/>
  <c r="L50" i="21" s="1"/>
  <c r="P45" i="21"/>
  <c r="N45" i="21"/>
  <c r="L45" i="21"/>
  <c r="J45" i="21"/>
  <c r="K45" i="21" s="1"/>
  <c r="P44" i="21"/>
  <c r="O44" i="21"/>
  <c r="N44" i="21"/>
  <c r="J44" i="21"/>
  <c r="L44" i="21" s="1"/>
  <c r="P43" i="21"/>
  <c r="O43" i="21"/>
  <c r="N43" i="21"/>
  <c r="L43" i="21"/>
  <c r="J43" i="21"/>
  <c r="K43" i="21" s="1"/>
  <c r="P40" i="21"/>
  <c r="O40" i="21"/>
  <c r="N40" i="21"/>
  <c r="J40" i="21"/>
  <c r="L40" i="21" s="1"/>
  <c r="P39" i="21"/>
  <c r="N39" i="21"/>
  <c r="L39" i="21"/>
  <c r="J39" i="21"/>
  <c r="O39" i="21" s="1"/>
  <c r="P38" i="21"/>
  <c r="P19" i="21" s="1"/>
  <c r="AF19" i="21" s="1"/>
  <c r="N38" i="21"/>
  <c r="J38" i="21"/>
  <c r="L38" i="21" s="1"/>
  <c r="L19" i="21" s="1"/>
  <c r="AB19" i="21" s="1"/>
  <c r="O33" i="21"/>
  <c r="N33" i="21"/>
  <c r="L33" i="21"/>
  <c r="J33" i="21"/>
  <c r="K33" i="21" s="1"/>
  <c r="P32" i="21"/>
  <c r="O32" i="21"/>
  <c r="J32" i="21"/>
  <c r="L32" i="21" s="1"/>
  <c r="O29" i="21"/>
  <c r="N29" i="21"/>
  <c r="L29" i="21"/>
  <c r="J29" i="21"/>
  <c r="K29" i="21" s="1"/>
  <c r="P28" i="21"/>
  <c r="O28" i="21"/>
  <c r="J28" i="21"/>
  <c r="L28" i="21" s="1"/>
  <c r="P27" i="21"/>
  <c r="O27" i="21"/>
  <c r="L27" i="21"/>
  <c r="J27" i="21"/>
  <c r="N27" i="21" s="1"/>
  <c r="P26" i="21"/>
  <c r="O26" i="21"/>
  <c r="J26" i="21"/>
  <c r="L26" i="21" s="1"/>
  <c r="D22" i="21"/>
  <c r="K56" i="21" l="1"/>
  <c r="O57" i="21"/>
  <c r="K54" i="21"/>
  <c r="K39" i="21"/>
  <c r="O45" i="21"/>
  <c r="P33" i="21"/>
  <c r="P2196" i="21" s="1"/>
  <c r="P18" i="21" s="1"/>
  <c r="K32" i="21"/>
  <c r="K40" i="21"/>
  <c r="K38" i="21"/>
  <c r="K19" i="21" s="1"/>
  <c r="P29" i="21"/>
  <c r="K26" i="21"/>
  <c r="P2195" i="21"/>
  <c r="P17" i="21" s="1"/>
  <c r="K52" i="21"/>
  <c r="K51" i="21"/>
  <c r="K50" i="21"/>
  <c r="K28" i="21"/>
  <c r="K27" i="21"/>
  <c r="C27" i="21"/>
  <c r="O50" i="21"/>
  <c r="O38" i="21"/>
  <c r="O19" i="21" s="1"/>
  <c r="AE19" i="21" s="1"/>
  <c r="N2185" i="21"/>
  <c r="N19" i="21" s="1"/>
  <c r="AD19" i="21" s="1"/>
  <c r="O56" i="21"/>
  <c r="K44" i="21"/>
  <c r="N32" i="21"/>
  <c r="N2196" i="21" s="1"/>
  <c r="N18" i="21" s="1"/>
  <c r="N28" i="21"/>
  <c r="N26" i="21"/>
  <c r="L2196" i="21"/>
  <c r="L18" i="21" s="1"/>
  <c r="L2195" i="21"/>
  <c r="L17" i="21" s="1"/>
  <c r="L2194" i="21"/>
  <c r="AD18" i="21" l="1"/>
  <c r="F28" i="13"/>
  <c r="AF17" i="21"/>
  <c r="G21" i="13"/>
  <c r="H43" i="22" s="1"/>
  <c r="AA19" i="21"/>
  <c r="R19" i="21"/>
  <c r="AF18" i="21"/>
  <c r="H28" i="13"/>
  <c r="AB18" i="21"/>
  <c r="D28" i="13"/>
  <c r="O2196" i="21"/>
  <c r="O18" i="21" s="1"/>
  <c r="K2196" i="21"/>
  <c r="K18" i="21" s="1"/>
  <c r="P2194" i="21"/>
  <c r="C21" i="13"/>
  <c r="AB17" i="21"/>
  <c r="K2195" i="21"/>
  <c r="K17" i="21" s="1"/>
  <c r="O2195" i="21"/>
  <c r="O17" i="21" s="1"/>
  <c r="N2194" i="21"/>
  <c r="K2194" i="21"/>
  <c r="O2194" i="21"/>
  <c r="N2195" i="21"/>
  <c r="N17" i="21" s="1"/>
  <c r="AD17" i="21" s="1"/>
  <c r="AE18" i="21" l="1"/>
  <c r="G28" i="13"/>
  <c r="AA18" i="21"/>
  <c r="C28" i="13"/>
  <c r="R18" i="21"/>
  <c r="R17" i="21"/>
  <c r="F21" i="13"/>
  <c r="H42" i="22" s="1"/>
  <c r="AE17" i="21"/>
  <c r="B21" i="13"/>
  <c r="AA17" i="21"/>
  <c r="E21" i="13"/>
  <c r="H41" i="22" s="1"/>
  <c r="P277" i="11"/>
  <c r="O277" i="11"/>
  <c r="M277" i="11"/>
  <c r="L277" i="11"/>
  <c r="K277" i="11"/>
  <c r="J277" i="11"/>
  <c r="N277" i="11" s="1"/>
  <c r="P276" i="11"/>
  <c r="O276" i="11"/>
  <c r="M276" i="11"/>
  <c r="L276" i="11"/>
  <c r="K276" i="11"/>
  <c r="J276" i="11"/>
  <c r="N276" i="11" s="1"/>
  <c r="P275" i="11"/>
  <c r="O275" i="11"/>
  <c r="N275" i="11"/>
  <c r="M275" i="11"/>
  <c r="L275" i="11"/>
  <c r="K275" i="11"/>
  <c r="J275" i="11"/>
  <c r="P274" i="11"/>
  <c r="O274" i="11"/>
  <c r="M274" i="11"/>
  <c r="L274" i="11"/>
  <c r="K274" i="11"/>
  <c r="J274" i="11"/>
  <c r="N274" i="11" s="1"/>
  <c r="P279" i="11"/>
  <c r="O279" i="11"/>
  <c r="N279" i="11"/>
  <c r="M279" i="11"/>
  <c r="L279" i="11"/>
  <c r="K279" i="11"/>
  <c r="J279" i="11"/>
  <c r="P278" i="11"/>
  <c r="O278" i="11"/>
  <c r="M278" i="11"/>
  <c r="L278" i="11"/>
  <c r="K278" i="11"/>
  <c r="J278" i="11"/>
  <c r="N278" i="11" s="1"/>
  <c r="J281" i="11"/>
  <c r="J42" i="11"/>
  <c r="H39" i="22" l="1"/>
  <c r="L21" i="13"/>
  <c r="G101" i="18"/>
  <c r="G100" i="18"/>
  <c r="G99" i="18"/>
  <c r="G22" i="18"/>
  <c r="G21" i="18"/>
  <c r="G20" i="18"/>
  <c r="G19" i="18"/>
  <c r="G18" i="18"/>
  <c r="G17" i="18"/>
  <c r="H404" i="2"/>
  <c r="H403" i="2"/>
  <c r="H402" i="2"/>
  <c r="H401" i="2"/>
  <c r="H400" i="2"/>
  <c r="H399" i="2"/>
  <c r="H397" i="2"/>
  <c r="H398" i="2"/>
  <c r="H385" i="2"/>
  <c r="H384" i="2"/>
  <c r="J385" i="2"/>
  <c r="J386" i="2"/>
  <c r="J387" i="2"/>
  <c r="J388" i="2"/>
  <c r="J392" i="2"/>
  <c r="J393" i="2"/>
  <c r="J394" i="2"/>
  <c r="J395" i="2"/>
  <c r="J397" i="2"/>
  <c r="J398" i="2"/>
  <c r="J399" i="2"/>
  <c r="J400" i="2"/>
  <c r="J401" i="2"/>
  <c r="J402" i="2"/>
  <c r="J403" i="2"/>
  <c r="J404" i="2"/>
  <c r="J758" i="2"/>
  <c r="J759" i="2"/>
  <c r="J760" i="2"/>
  <c r="H387" i="2"/>
  <c r="H388" i="2"/>
  <c r="H758" i="2"/>
  <c r="H759" i="2"/>
  <c r="H760" i="2"/>
  <c r="H386" i="2"/>
  <c r="J384" i="2"/>
  <c r="J383" i="2"/>
  <c r="H383" i="2"/>
  <c r="M34" i="2" l="1"/>
  <c r="N34" i="2" s="1"/>
  <c r="M30" i="2"/>
  <c r="N30" i="2" s="1"/>
  <c r="H19" i="2" l="1"/>
  <c r="J19" i="2"/>
  <c r="O19" i="2"/>
  <c r="M19" i="2"/>
  <c r="N19" i="2" s="1"/>
  <c r="K19" i="2"/>
  <c r="M87" i="20" l="1"/>
  <c r="M88" i="20"/>
  <c r="M89" i="20"/>
  <c r="M90" i="20"/>
  <c r="M91" i="20"/>
  <c r="M86" i="20"/>
  <c r="M85" i="20"/>
  <c r="M84" i="20"/>
  <c r="M30" i="20"/>
  <c r="M29" i="20"/>
  <c r="M28" i="20"/>
  <c r="M27" i="20"/>
  <c r="M25" i="20"/>
  <c r="G103" i="18" l="1"/>
  <c r="D15" i="14" s="1"/>
  <c r="P91" i="20"/>
  <c r="O91" i="20"/>
  <c r="K91" i="20"/>
  <c r="J91" i="20"/>
  <c r="N91" i="20" s="1"/>
  <c r="P90" i="20"/>
  <c r="O90" i="20"/>
  <c r="N90" i="20"/>
  <c r="J90" i="20"/>
  <c r="K90" i="20" s="1"/>
  <c r="P89" i="20"/>
  <c r="O89" i="20"/>
  <c r="K89" i="20"/>
  <c r="J89" i="20"/>
  <c r="N89" i="20" s="1"/>
  <c r="P88" i="20"/>
  <c r="O88" i="20"/>
  <c r="N88" i="20"/>
  <c r="J88" i="20"/>
  <c r="K88" i="20" s="1"/>
  <c r="P87" i="20"/>
  <c r="O87" i="20"/>
  <c r="K87" i="20"/>
  <c r="J87" i="20"/>
  <c r="N87" i="20" s="1"/>
  <c r="P86" i="20"/>
  <c r="O86" i="20"/>
  <c r="N86" i="20"/>
  <c r="J86" i="20"/>
  <c r="K86" i="20" s="1"/>
  <c r="P85" i="20"/>
  <c r="O85" i="20"/>
  <c r="K85" i="20"/>
  <c r="J85" i="20"/>
  <c r="N85" i="20" s="1"/>
  <c r="P84" i="20"/>
  <c r="O84" i="20"/>
  <c r="N84" i="20"/>
  <c r="J84" i="20"/>
  <c r="K84" i="20" s="1"/>
  <c r="P30" i="20"/>
  <c r="O30" i="20"/>
  <c r="N30" i="20"/>
  <c r="J30" i="20"/>
  <c r="K30" i="20" s="1"/>
  <c r="P29" i="20"/>
  <c r="O29" i="20"/>
  <c r="K29" i="20"/>
  <c r="J29" i="20"/>
  <c r="N29" i="20" s="1"/>
  <c r="P28" i="20"/>
  <c r="O28" i="20"/>
  <c r="N28" i="20"/>
  <c r="J28" i="20"/>
  <c r="K28" i="20" s="1"/>
  <c r="P27" i="20"/>
  <c r="O27" i="20"/>
  <c r="K27" i="20"/>
  <c r="J27" i="20"/>
  <c r="N27" i="20" s="1"/>
  <c r="P26" i="20"/>
  <c r="O26" i="20"/>
  <c r="N26" i="20"/>
  <c r="J26" i="20"/>
  <c r="P25" i="20"/>
  <c r="O25" i="20"/>
  <c r="N25" i="20"/>
  <c r="J25" i="20"/>
  <c r="K25" i="20" s="1"/>
  <c r="P24" i="20"/>
  <c r="O24" i="20"/>
  <c r="K24" i="20"/>
  <c r="J24" i="20"/>
  <c r="D20" i="20"/>
  <c r="M375" i="2"/>
  <c r="N375" i="2" s="1"/>
  <c r="M374" i="2"/>
  <c r="N374" i="2" s="1"/>
  <c r="M27" i="2"/>
  <c r="N27" i="2" s="1"/>
  <c r="M373" i="2"/>
  <c r="N373" i="2" s="1"/>
  <c r="M32" i="2"/>
  <c r="N32" i="2" s="1"/>
  <c r="M33" i="2"/>
  <c r="N33" i="2" s="1"/>
  <c r="M31" i="2"/>
  <c r="N31" i="2" s="1"/>
  <c r="M29" i="2"/>
  <c r="N29" i="2" s="1"/>
  <c r="M28" i="2"/>
  <c r="N28" i="2" s="1"/>
  <c r="M24" i="2"/>
  <c r="N24" i="2" s="1"/>
  <c r="M26" i="2"/>
  <c r="N26" i="2" s="1"/>
  <c r="M25" i="2"/>
  <c r="N25" i="2" s="1"/>
  <c r="M23" i="2"/>
  <c r="N23" i="2" s="1"/>
  <c r="M21" i="2"/>
  <c r="N21" i="2" s="1"/>
  <c r="M20" i="2"/>
  <c r="N20" i="2" s="1"/>
  <c r="M18" i="2"/>
  <c r="N18" i="2" s="1"/>
  <c r="M16" i="2"/>
  <c r="N16" i="2" s="1"/>
  <c r="M17" i="2"/>
  <c r="N17" i="2" s="1"/>
  <c r="H67" i="22" l="1"/>
  <c r="D16" i="14"/>
  <c r="L24" i="20"/>
  <c r="M24" i="20"/>
  <c r="K26" i="20"/>
  <c r="M26" i="20"/>
  <c r="M377" i="2"/>
  <c r="H103" i="18"/>
  <c r="K121" i="20"/>
  <c r="K17" i="20" s="1"/>
  <c r="O121" i="20"/>
  <c r="O17" i="20" s="1"/>
  <c r="P121" i="20"/>
  <c r="P17" i="20" s="1"/>
  <c r="L87" i="20"/>
  <c r="L89" i="20"/>
  <c r="L28" i="20"/>
  <c r="L84" i="20"/>
  <c r="L91" i="20"/>
  <c r="L90" i="20"/>
  <c r="L88" i="20"/>
  <c r="L86" i="20"/>
  <c r="L85" i="20"/>
  <c r="L30" i="20"/>
  <c r="L29" i="20"/>
  <c r="L27" i="20"/>
  <c r="L26" i="20"/>
  <c r="L25" i="20"/>
  <c r="N24" i="20"/>
  <c r="N121" i="20" s="1"/>
  <c r="K9" i="18" l="1"/>
  <c r="C15" i="14"/>
  <c r="H70" i="22" s="1"/>
  <c r="H26" i="13"/>
  <c r="AD17" i="20"/>
  <c r="G26" i="13"/>
  <c r="AC17" i="20"/>
  <c r="C26" i="13"/>
  <c r="H68" i="22" s="1"/>
  <c r="Y17" i="20"/>
  <c r="M121" i="20"/>
  <c r="M17" i="20" s="1"/>
  <c r="K8" i="18"/>
  <c r="N17" i="20"/>
  <c r="AB17" i="20" s="1"/>
  <c r="L121" i="20"/>
  <c r="L17" i="20" s="1"/>
  <c r="Z17" i="20" s="1"/>
  <c r="E26" i="13" l="1"/>
  <c r="AA17" i="20"/>
  <c r="Q17" i="20"/>
  <c r="D26" i="13"/>
  <c r="H69" i="22" s="1"/>
  <c r="S283" i="11" l="1"/>
  <c r="H16" i="2" l="1"/>
  <c r="H16" i="15"/>
  <c r="H2158" i="4"/>
  <c r="H2279" i="4"/>
  <c r="M2279" i="4" s="1"/>
  <c r="I2279" i="4"/>
  <c r="J2279" i="4"/>
  <c r="K2279" i="4"/>
  <c r="L2279" i="4"/>
  <c r="N2279" i="4"/>
  <c r="O2279" i="4"/>
  <c r="P2279" i="4"/>
  <c r="Q2279" i="4"/>
  <c r="H2254" i="4"/>
  <c r="H2263" i="4"/>
  <c r="H2265" i="4"/>
  <c r="H2266" i="4"/>
  <c r="H2251" i="4"/>
  <c r="K2251" i="4" s="1"/>
  <c r="I2251" i="4"/>
  <c r="J2251" i="4"/>
  <c r="L2251" i="4"/>
  <c r="M2251" i="4"/>
  <c r="N2251" i="4"/>
  <c r="O2251" i="4"/>
  <c r="P2251" i="4"/>
  <c r="Q2251" i="4"/>
  <c r="H2244" i="4"/>
  <c r="L2244" i="4" s="1"/>
  <c r="I2244" i="4"/>
  <c r="J2244" i="4"/>
  <c r="K2244" i="4"/>
  <c r="N2244" i="4"/>
  <c r="O2244" i="4"/>
  <c r="P2244" i="4"/>
  <c r="Q2244" i="4"/>
  <c r="H2230" i="4"/>
  <c r="M2230" i="4" s="1"/>
  <c r="I2230" i="4"/>
  <c r="J2230" i="4"/>
  <c r="K2230" i="4"/>
  <c r="L2230" i="4"/>
  <c r="N2230" i="4"/>
  <c r="O2230" i="4"/>
  <c r="P2230" i="4"/>
  <c r="Q2230" i="4"/>
  <c r="H2231" i="4"/>
  <c r="M2231" i="4" s="1"/>
  <c r="I2231" i="4"/>
  <c r="K2231" i="4"/>
  <c r="L2231" i="4"/>
  <c r="N2231" i="4"/>
  <c r="O2231" i="4"/>
  <c r="P2231" i="4"/>
  <c r="Q2231" i="4"/>
  <c r="H2218" i="4"/>
  <c r="M2218" i="4" s="1"/>
  <c r="I2218" i="4"/>
  <c r="J2218" i="4"/>
  <c r="K2218" i="4"/>
  <c r="N2218" i="4"/>
  <c r="O2218" i="4"/>
  <c r="P2218" i="4"/>
  <c r="Q2218" i="4"/>
  <c r="H2204" i="4"/>
  <c r="M2204" i="4" s="1"/>
  <c r="I2204" i="4"/>
  <c r="J2204" i="4"/>
  <c r="K2204" i="4"/>
  <c r="L2204" i="4"/>
  <c r="N2204" i="4"/>
  <c r="O2204" i="4"/>
  <c r="P2204" i="4"/>
  <c r="Q2204" i="4"/>
  <c r="H2205" i="4"/>
  <c r="M2205" i="4" s="1"/>
  <c r="I2205" i="4"/>
  <c r="K2205" i="4"/>
  <c r="L2205" i="4"/>
  <c r="N2205" i="4"/>
  <c r="O2205" i="4"/>
  <c r="P2205" i="4"/>
  <c r="Q2205" i="4"/>
  <c r="M2244" i="4" l="1"/>
  <c r="L2218" i="4"/>
  <c r="J2231" i="4"/>
  <c r="J2205" i="4"/>
  <c r="H2180" i="4"/>
  <c r="M2180" i="4" s="1"/>
  <c r="I2180" i="4"/>
  <c r="J2180" i="4"/>
  <c r="K2180" i="4"/>
  <c r="L2180" i="4"/>
  <c r="N2180" i="4"/>
  <c r="O2180" i="4"/>
  <c r="Q2180" i="4"/>
  <c r="H2123" i="4"/>
  <c r="L2123" i="4" s="1"/>
  <c r="I2123" i="4"/>
  <c r="J2123" i="4"/>
  <c r="K2123" i="4"/>
  <c r="M2123" i="4"/>
  <c r="O2123" i="4"/>
  <c r="P2123" i="4"/>
  <c r="Q2123" i="4"/>
  <c r="Q3964" i="4"/>
  <c r="P3964" i="4"/>
  <c r="O3964" i="4"/>
  <c r="N3964" i="4"/>
  <c r="M3964" i="4"/>
  <c r="L3964" i="4"/>
  <c r="K3964" i="4"/>
  <c r="I3964" i="4"/>
  <c r="H3964" i="4"/>
  <c r="J3964" i="4" s="1"/>
  <c r="Q3963" i="4"/>
  <c r="P3963" i="4"/>
  <c r="O3963" i="4"/>
  <c r="L3963" i="4"/>
  <c r="K3963" i="4"/>
  <c r="I3963" i="4"/>
  <c r="H3963" i="4"/>
  <c r="M3963" i="4" s="1"/>
  <c r="Q3962" i="4"/>
  <c r="P3962" i="4"/>
  <c r="O3962" i="4"/>
  <c r="L3962" i="4"/>
  <c r="K3962" i="4"/>
  <c r="J3962" i="4"/>
  <c r="I3962" i="4"/>
  <c r="H3962" i="4"/>
  <c r="M3962" i="4" s="1"/>
  <c r="Q3961" i="4"/>
  <c r="P3961" i="4"/>
  <c r="O3961" i="4"/>
  <c r="L3961" i="4"/>
  <c r="K3961" i="4"/>
  <c r="J3961" i="4"/>
  <c r="I3961" i="4"/>
  <c r="H3961" i="4"/>
  <c r="N3961" i="4" s="1"/>
  <c r="Q3960" i="4"/>
  <c r="P3960" i="4"/>
  <c r="O3960" i="4"/>
  <c r="N3960" i="4"/>
  <c r="M3960" i="4"/>
  <c r="L3960" i="4"/>
  <c r="K3960" i="4"/>
  <c r="I3960" i="4"/>
  <c r="H3960" i="4"/>
  <c r="J3960" i="4" s="1"/>
  <c r="Q2282" i="4"/>
  <c r="P2282" i="4"/>
  <c r="O2282" i="4"/>
  <c r="N2282" i="4"/>
  <c r="M2282" i="4"/>
  <c r="K2282" i="4"/>
  <c r="I2282" i="4"/>
  <c r="H2282" i="4"/>
  <c r="L2282" i="4" s="1"/>
  <c r="Q2269" i="4"/>
  <c r="P2269" i="4"/>
  <c r="O2269" i="4"/>
  <c r="N2269" i="4"/>
  <c r="K2269" i="4"/>
  <c r="I2269" i="4"/>
  <c r="H2269" i="4"/>
  <c r="L2269" i="4" s="1"/>
  <c r="Q2266" i="4"/>
  <c r="P2266" i="4"/>
  <c r="O2266" i="4"/>
  <c r="N2266" i="4"/>
  <c r="L2266" i="4"/>
  <c r="K2266" i="4"/>
  <c r="J2266" i="4"/>
  <c r="I2266" i="4"/>
  <c r="M2266" i="4"/>
  <c r="Q2265" i="4"/>
  <c r="P2265" i="4"/>
  <c r="O2265" i="4"/>
  <c r="N2265" i="4"/>
  <c r="L2265" i="4"/>
  <c r="K2265" i="4"/>
  <c r="J2265" i="4"/>
  <c r="I2265" i="4"/>
  <c r="M2265" i="4"/>
  <c r="Q2263" i="4"/>
  <c r="P2263" i="4"/>
  <c r="O2263" i="4"/>
  <c r="N2263" i="4"/>
  <c r="M2263" i="4"/>
  <c r="L2263" i="4"/>
  <c r="K2263" i="4"/>
  <c r="I2263" i="4"/>
  <c r="J2263" i="4"/>
  <c r="Q2254" i="4"/>
  <c r="P2254" i="4"/>
  <c r="O2254" i="4"/>
  <c r="N2254" i="4"/>
  <c r="M2254" i="4"/>
  <c r="K2254" i="4"/>
  <c r="J2254" i="4"/>
  <c r="I2254" i="4"/>
  <c r="L2254" i="4"/>
  <c r="Q2250" i="4"/>
  <c r="P2250" i="4"/>
  <c r="O2250" i="4"/>
  <c r="N2250" i="4"/>
  <c r="K2250" i="4"/>
  <c r="I2250" i="4"/>
  <c r="H2250" i="4"/>
  <c r="L2250" i="4" s="1"/>
  <c r="Q2249" i="4"/>
  <c r="P2249" i="4"/>
  <c r="O2249" i="4"/>
  <c r="N2249" i="4"/>
  <c r="K2249" i="4"/>
  <c r="J2249" i="4"/>
  <c r="I2249" i="4"/>
  <c r="H2249" i="4"/>
  <c r="L2249" i="4" s="1"/>
  <c r="Q2248" i="4"/>
  <c r="P2248" i="4"/>
  <c r="O2248" i="4"/>
  <c r="N2248" i="4"/>
  <c r="M2248" i="4"/>
  <c r="K2248" i="4"/>
  <c r="I2248" i="4"/>
  <c r="H2248" i="4"/>
  <c r="L2248" i="4" s="1"/>
  <c r="Q2247" i="4"/>
  <c r="P2247" i="4"/>
  <c r="O2247" i="4"/>
  <c r="N2247" i="4"/>
  <c r="I2247" i="4"/>
  <c r="H2247" i="4"/>
  <c r="L2247" i="4" s="1"/>
  <c r="Q2243" i="4"/>
  <c r="P2243" i="4"/>
  <c r="O2243" i="4"/>
  <c r="N2243" i="4"/>
  <c r="K2243" i="4"/>
  <c r="J2243" i="4"/>
  <c r="I2243" i="4"/>
  <c r="H2243" i="4"/>
  <c r="L2243" i="4" s="1"/>
  <c r="Q2242" i="4"/>
  <c r="P2242" i="4"/>
  <c r="O2242" i="4"/>
  <c r="N2242" i="4"/>
  <c r="M2242" i="4"/>
  <c r="K2242" i="4"/>
  <c r="J2242" i="4"/>
  <c r="I2242" i="4"/>
  <c r="H2242" i="4"/>
  <c r="L2242" i="4" s="1"/>
  <c r="Q2241" i="4"/>
  <c r="P2241" i="4"/>
  <c r="O2241" i="4"/>
  <c r="N2241" i="4"/>
  <c r="K2241" i="4"/>
  <c r="I2241" i="4"/>
  <c r="H2241" i="4"/>
  <c r="J2241" i="4" s="1"/>
  <c r="Q2235" i="4"/>
  <c r="P2235" i="4"/>
  <c r="O2235" i="4"/>
  <c r="N2235" i="4"/>
  <c r="M2235" i="4"/>
  <c r="K2235" i="4"/>
  <c r="I2235" i="4"/>
  <c r="H2235" i="4"/>
  <c r="J2235" i="4" s="1"/>
  <c r="Q2222" i="4"/>
  <c r="P2222" i="4"/>
  <c r="O2222" i="4"/>
  <c r="N2222" i="4"/>
  <c r="K2222" i="4"/>
  <c r="I2222" i="4"/>
  <c r="H2222" i="4"/>
  <c r="L2222" i="4" s="1"/>
  <c r="Q2219" i="4"/>
  <c r="P2219" i="4"/>
  <c r="O2219" i="4"/>
  <c r="N2219" i="4"/>
  <c r="L2219" i="4"/>
  <c r="K2219" i="4"/>
  <c r="I2219" i="4"/>
  <c r="H2219" i="4"/>
  <c r="J2219" i="4" s="1"/>
  <c r="Q2208" i="4"/>
  <c r="P2208" i="4"/>
  <c r="O2208" i="4"/>
  <c r="N2208" i="4"/>
  <c r="M2208" i="4"/>
  <c r="K2208" i="4"/>
  <c r="I2208" i="4"/>
  <c r="H2208" i="4"/>
  <c r="L2208" i="4" s="1"/>
  <c r="Q2203" i="4"/>
  <c r="P2203" i="4"/>
  <c r="O2203" i="4"/>
  <c r="N2203" i="4"/>
  <c r="K2203" i="4"/>
  <c r="J2203" i="4"/>
  <c r="I2203" i="4"/>
  <c r="H2203" i="4"/>
  <c r="L2203" i="4" s="1"/>
  <c r="Q2196" i="4"/>
  <c r="P2196" i="4"/>
  <c r="O2196" i="4"/>
  <c r="N2196" i="4"/>
  <c r="K2196" i="4"/>
  <c r="I2196" i="4"/>
  <c r="H2196" i="4"/>
  <c r="L2196" i="4" s="1"/>
  <c r="Q2193" i="4"/>
  <c r="P2193" i="4"/>
  <c r="O2193" i="4"/>
  <c r="N2193" i="4"/>
  <c r="M2193" i="4"/>
  <c r="K2193" i="4"/>
  <c r="I2193" i="4"/>
  <c r="H2193" i="4"/>
  <c r="L2193" i="4" s="1"/>
  <c r="Q2192" i="4"/>
  <c r="P2192" i="4"/>
  <c r="O2192" i="4"/>
  <c r="M2192" i="4"/>
  <c r="K2192" i="4"/>
  <c r="J2192" i="4"/>
  <c r="I2192" i="4"/>
  <c r="H2192" i="4"/>
  <c r="L2192" i="4" s="1"/>
  <c r="Q2184" i="4"/>
  <c r="P2184" i="4"/>
  <c r="O2184" i="4"/>
  <c r="N2184" i="4"/>
  <c r="M2184" i="4"/>
  <c r="K2184" i="4"/>
  <c r="I2184" i="4"/>
  <c r="H2184" i="4"/>
  <c r="J2184" i="4" s="1"/>
  <c r="Q2181" i="4"/>
  <c r="P2181" i="4"/>
  <c r="O2181" i="4"/>
  <c r="N2181" i="4"/>
  <c r="M2181" i="4"/>
  <c r="L2181" i="4"/>
  <c r="K2181" i="4"/>
  <c r="I2181" i="4"/>
  <c r="H2181" i="4"/>
  <c r="J2181" i="4" s="1"/>
  <c r="Q2176" i="4"/>
  <c r="P2176" i="4"/>
  <c r="O2176" i="4"/>
  <c r="K2176" i="4"/>
  <c r="J2176" i="4"/>
  <c r="I2176" i="4"/>
  <c r="H2176" i="4"/>
  <c r="M2176" i="4" s="1"/>
  <c r="Q2169" i="4"/>
  <c r="P2169" i="4"/>
  <c r="O2169" i="4"/>
  <c r="N2169" i="4"/>
  <c r="M2169" i="4"/>
  <c r="L2169" i="4"/>
  <c r="K2169" i="4"/>
  <c r="I2169" i="4"/>
  <c r="H2169" i="4"/>
  <c r="J2169" i="4" s="1"/>
  <c r="Q2166" i="4"/>
  <c r="P2166" i="4"/>
  <c r="O2166" i="4"/>
  <c r="M2166" i="4"/>
  <c r="K2166" i="4"/>
  <c r="I2166" i="4"/>
  <c r="H2166" i="4"/>
  <c r="L2166" i="4" s="1"/>
  <c r="Q2158" i="4"/>
  <c r="P2158" i="4"/>
  <c r="O2158" i="4"/>
  <c r="N2158" i="4"/>
  <c r="L2158" i="4"/>
  <c r="K2158" i="4"/>
  <c r="J2158" i="4"/>
  <c r="I2158" i="4"/>
  <c r="M2158" i="4"/>
  <c r="Q2155" i="4"/>
  <c r="P2155" i="4"/>
  <c r="O2155" i="4"/>
  <c r="M2155" i="4"/>
  <c r="K2155" i="4"/>
  <c r="J2155" i="4"/>
  <c r="I2155" i="4"/>
  <c r="H2155" i="4"/>
  <c r="L2155" i="4" s="1"/>
  <c r="Q2147" i="4"/>
  <c r="P2147" i="4"/>
  <c r="O2147" i="4"/>
  <c r="N2147" i="4"/>
  <c r="M2147" i="4"/>
  <c r="K2147" i="4"/>
  <c r="I2147" i="4"/>
  <c r="H2147" i="4"/>
  <c r="L2147" i="4" s="1"/>
  <c r="Q2142" i="4"/>
  <c r="P2142" i="4"/>
  <c r="O2142" i="4"/>
  <c r="K2142" i="4"/>
  <c r="J2142" i="4"/>
  <c r="I2142" i="4"/>
  <c r="H2142" i="4"/>
  <c r="L2142" i="4" s="1"/>
  <c r="Q2141" i="4"/>
  <c r="P2141" i="4"/>
  <c r="O2141" i="4"/>
  <c r="L2141" i="4"/>
  <c r="J2141" i="4"/>
  <c r="I2141" i="4"/>
  <c r="H2141" i="4"/>
  <c r="K2141" i="4" s="1"/>
  <c r="Q2136" i="4"/>
  <c r="P2136" i="4"/>
  <c r="O2136" i="4"/>
  <c r="N2136" i="4"/>
  <c r="K2136" i="4"/>
  <c r="I2136" i="4"/>
  <c r="H2136" i="4"/>
  <c r="L2136" i="4" s="1"/>
  <c r="Q2133" i="4"/>
  <c r="P2133" i="4"/>
  <c r="O2133" i="4"/>
  <c r="M2133" i="4"/>
  <c r="K2133" i="4"/>
  <c r="I2133" i="4"/>
  <c r="H2133" i="4"/>
  <c r="L2133" i="4" s="1"/>
  <c r="Q2132" i="4"/>
  <c r="P2132" i="4"/>
  <c r="O2132" i="4"/>
  <c r="M2132" i="4"/>
  <c r="K2132" i="4"/>
  <c r="J2132" i="4"/>
  <c r="I2132" i="4"/>
  <c r="H2132" i="4"/>
  <c r="L2132" i="4" s="1"/>
  <c r="Q2126" i="4"/>
  <c r="P2126" i="4"/>
  <c r="O2126" i="4"/>
  <c r="N2126" i="4"/>
  <c r="M2126" i="4"/>
  <c r="K2126" i="4"/>
  <c r="I2126" i="4"/>
  <c r="H2126" i="4"/>
  <c r="J2126" i="4" s="1"/>
  <c r="Q2122" i="4"/>
  <c r="P2122" i="4"/>
  <c r="O2122" i="4"/>
  <c r="N2122" i="4"/>
  <c r="K2122" i="4"/>
  <c r="J2122" i="4"/>
  <c r="I2122" i="4"/>
  <c r="H2122" i="4"/>
  <c r="L2122" i="4" s="1"/>
  <c r="Q2121" i="4"/>
  <c r="P2121" i="4"/>
  <c r="O2121" i="4"/>
  <c r="N2121" i="4"/>
  <c r="K2121" i="4"/>
  <c r="J2121" i="4"/>
  <c r="I2121" i="4"/>
  <c r="H2121" i="4"/>
  <c r="L2121" i="4" s="1"/>
  <c r="Q2120" i="4"/>
  <c r="P2120" i="4"/>
  <c r="O2120" i="4"/>
  <c r="N2120" i="4"/>
  <c r="K2120" i="4"/>
  <c r="J2120" i="4"/>
  <c r="I2120" i="4"/>
  <c r="H2120" i="4"/>
  <c r="L2120" i="4" s="1"/>
  <c r="Q2119" i="4"/>
  <c r="P2119" i="4"/>
  <c r="O2119" i="4"/>
  <c r="N2119" i="4"/>
  <c r="M2119" i="4"/>
  <c r="K2119" i="4"/>
  <c r="I2119" i="4"/>
  <c r="H2119" i="4"/>
  <c r="L2119" i="4" s="1"/>
  <c r="Q2116" i="4"/>
  <c r="P2116" i="4"/>
  <c r="N2116" i="4"/>
  <c r="M2116" i="4"/>
  <c r="L2116" i="4"/>
  <c r="K2116" i="4"/>
  <c r="I2116" i="4"/>
  <c r="H2116" i="4"/>
  <c r="J2116" i="4" s="1"/>
  <c r="Q2115" i="4"/>
  <c r="P2115" i="4"/>
  <c r="N2115" i="4"/>
  <c r="M2115" i="4"/>
  <c r="K2115" i="4"/>
  <c r="I2115" i="4"/>
  <c r="H2115" i="4"/>
  <c r="L2115" i="4" s="1"/>
  <c r="Q2114" i="4"/>
  <c r="P2114" i="4"/>
  <c r="O2114" i="4"/>
  <c r="N2114" i="4"/>
  <c r="K2114" i="4"/>
  <c r="J2114" i="4"/>
  <c r="I2114" i="4"/>
  <c r="H2114" i="4"/>
  <c r="L2114" i="4" s="1"/>
  <c r="Q2109" i="4"/>
  <c r="P2109" i="4"/>
  <c r="O2109" i="4"/>
  <c r="N2109" i="4"/>
  <c r="M2109" i="4"/>
  <c r="K2109" i="4"/>
  <c r="I2109" i="4"/>
  <c r="H2109" i="4"/>
  <c r="J2109" i="4" s="1"/>
  <c r="Q2089" i="4"/>
  <c r="P2089" i="4"/>
  <c r="O2089" i="4"/>
  <c r="N2089" i="4"/>
  <c r="M2089" i="4"/>
  <c r="L2089" i="4"/>
  <c r="K2089" i="4"/>
  <c r="I2089" i="4"/>
  <c r="H2089" i="4"/>
  <c r="J2089" i="4" s="1"/>
  <c r="Q2088" i="4"/>
  <c r="P2088" i="4"/>
  <c r="O2088" i="4"/>
  <c r="N2088" i="4"/>
  <c r="M2088" i="4"/>
  <c r="K2088" i="4"/>
  <c r="I2088" i="4"/>
  <c r="H2088" i="4"/>
  <c r="L2088" i="4" s="1"/>
  <c r="Q2087" i="4"/>
  <c r="P2087" i="4"/>
  <c r="O2087" i="4"/>
  <c r="N2087" i="4"/>
  <c r="M2087" i="4"/>
  <c r="J2087" i="4"/>
  <c r="I2087" i="4"/>
  <c r="H2087" i="4"/>
  <c r="K2087" i="4" s="1"/>
  <c r="Q2086" i="4"/>
  <c r="P2086" i="4"/>
  <c r="O2086" i="4"/>
  <c r="N2086" i="4"/>
  <c r="M2086" i="4"/>
  <c r="K2086" i="4"/>
  <c r="I2086" i="4"/>
  <c r="H2086" i="4"/>
  <c r="J2086" i="4" s="1"/>
  <c r="Q703" i="4"/>
  <c r="P703" i="4"/>
  <c r="O703" i="4"/>
  <c r="M703" i="4"/>
  <c r="L703" i="4"/>
  <c r="K703" i="4"/>
  <c r="I703" i="4"/>
  <c r="H703" i="4"/>
  <c r="J703" i="4" s="1"/>
  <c r="Q702" i="4"/>
  <c r="P702" i="4"/>
  <c r="O702" i="4"/>
  <c r="M702" i="4"/>
  <c r="K702" i="4"/>
  <c r="I702" i="4"/>
  <c r="H702" i="4"/>
  <c r="L702" i="4" s="1"/>
  <c r="Q701" i="4"/>
  <c r="P701" i="4"/>
  <c r="O701" i="4"/>
  <c r="N701" i="4"/>
  <c r="K701" i="4"/>
  <c r="I701" i="4"/>
  <c r="H701" i="4"/>
  <c r="L701" i="4" s="1"/>
  <c r="Q700" i="4"/>
  <c r="P700" i="4"/>
  <c r="O700" i="4"/>
  <c r="N700" i="4"/>
  <c r="J700" i="4"/>
  <c r="I700" i="4"/>
  <c r="H700" i="4"/>
  <c r="K700" i="4" s="1"/>
  <c r="Q696" i="4"/>
  <c r="P696" i="4"/>
  <c r="O696" i="4"/>
  <c r="N696" i="4"/>
  <c r="M696" i="4"/>
  <c r="K696" i="4"/>
  <c r="I696" i="4"/>
  <c r="H696" i="4"/>
  <c r="L696" i="4" s="1"/>
  <c r="Q290" i="4"/>
  <c r="P290" i="4"/>
  <c r="O290" i="4"/>
  <c r="M290" i="4"/>
  <c r="K290" i="4"/>
  <c r="I290" i="4"/>
  <c r="H290" i="4"/>
  <c r="J290" i="4" s="1"/>
  <c r="Q283" i="4"/>
  <c r="P283" i="4"/>
  <c r="O283" i="4"/>
  <c r="N283" i="4"/>
  <c r="K283" i="4"/>
  <c r="I283" i="4"/>
  <c r="H283" i="4"/>
  <c r="L283" i="4" s="1"/>
  <c r="Q280" i="4"/>
  <c r="P280" i="4"/>
  <c r="O280" i="4"/>
  <c r="N280" i="4"/>
  <c r="M280" i="4"/>
  <c r="K280" i="4"/>
  <c r="I280" i="4"/>
  <c r="H280" i="4"/>
  <c r="J280" i="4" s="1"/>
  <c r="Q279" i="4"/>
  <c r="P279" i="4"/>
  <c r="O279" i="4"/>
  <c r="N279" i="4"/>
  <c r="M279" i="4"/>
  <c r="K279" i="4"/>
  <c r="I279" i="4"/>
  <c r="H279" i="4"/>
  <c r="L279" i="4" s="1"/>
  <c r="Q278" i="4"/>
  <c r="P278" i="4"/>
  <c r="O278" i="4"/>
  <c r="N278" i="4"/>
  <c r="M278" i="4"/>
  <c r="J278" i="4"/>
  <c r="I278" i="4"/>
  <c r="H278" i="4"/>
  <c r="L278" i="4" s="1"/>
  <c r="Q277" i="4"/>
  <c r="P277" i="4"/>
  <c r="O277" i="4"/>
  <c r="N277" i="4"/>
  <c r="M277" i="4"/>
  <c r="K277" i="4"/>
  <c r="I277" i="4"/>
  <c r="H277" i="4"/>
  <c r="J277" i="4" s="1"/>
  <c r="Q274" i="4"/>
  <c r="P274" i="4"/>
  <c r="O274" i="4"/>
  <c r="N274" i="4"/>
  <c r="K274" i="4"/>
  <c r="J274" i="4"/>
  <c r="I274" i="4"/>
  <c r="H274" i="4"/>
  <c r="L274" i="4" s="1"/>
  <c r="Q273" i="4"/>
  <c r="P273" i="4"/>
  <c r="O273" i="4"/>
  <c r="M273" i="4"/>
  <c r="K273" i="4"/>
  <c r="J273" i="4"/>
  <c r="I273" i="4"/>
  <c r="H273" i="4"/>
  <c r="L273" i="4" s="1"/>
  <c r="Q272" i="4"/>
  <c r="P272" i="4"/>
  <c r="O272" i="4"/>
  <c r="N272" i="4"/>
  <c r="M272" i="4"/>
  <c r="K272" i="4"/>
  <c r="I272" i="4"/>
  <c r="H272" i="4"/>
  <c r="L272" i="4" s="1"/>
  <c r="Q269" i="4"/>
  <c r="P269" i="4"/>
  <c r="O269" i="4"/>
  <c r="N269" i="4"/>
  <c r="K269" i="4"/>
  <c r="J269" i="4"/>
  <c r="I269" i="4"/>
  <c r="H269" i="4"/>
  <c r="L269" i="4" s="1"/>
  <c r="Q262" i="4"/>
  <c r="P262" i="4"/>
  <c r="O262" i="4"/>
  <c r="N262" i="4"/>
  <c r="M262" i="4"/>
  <c r="K262" i="4"/>
  <c r="I262" i="4"/>
  <c r="H262" i="4"/>
  <c r="L262" i="4" s="1"/>
  <c r="Q252" i="4"/>
  <c r="P252" i="4"/>
  <c r="O252" i="4"/>
  <c r="N252" i="4"/>
  <c r="M252" i="4"/>
  <c r="K252" i="4"/>
  <c r="I252" i="4"/>
  <c r="H252" i="4"/>
  <c r="L252" i="4" s="1"/>
  <c r="Q249" i="4"/>
  <c r="P249" i="4"/>
  <c r="O249" i="4"/>
  <c r="N249" i="4"/>
  <c r="M249" i="4"/>
  <c r="L249" i="4"/>
  <c r="K249" i="4"/>
  <c r="I249" i="4"/>
  <c r="J249" i="4"/>
  <c r="Q248" i="4"/>
  <c r="P248" i="4"/>
  <c r="O248" i="4"/>
  <c r="N248" i="4"/>
  <c r="M248" i="4"/>
  <c r="K248" i="4"/>
  <c r="J248" i="4"/>
  <c r="I248" i="4"/>
  <c r="L248" i="4"/>
  <c r="Q245" i="4"/>
  <c r="P245" i="4"/>
  <c r="O245" i="4"/>
  <c r="N245" i="4"/>
  <c r="M245" i="4"/>
  <c r="K245" i="4"/>
  <c r="J245" i="4"/>
  <c r="I245" i="4"/>
  <c r="H245" i="4"/>
  <c r="L245" i="4" s="1"/>
  <c r="Q244" i="4"/>
  <c r="P244" i="4"/>
  <c r="O244" i="4"/>
  <c r="N244" i="4"/>
  <c r="M244" i="4"/>
  <c r="K244" i="4"/>
  <c r="I244" i="4"/>
  <c r="H244" i="4"/>
  <c r="L244" i="4" s="1"/>
  <c r="H233" i="4"/>
  <c r="L233" i="4" s="1"/>
  <c r="I233" i="4"/>
  <c r="K233" i="4"/>
  <c r="N233" i="4"/>
  <c r="O233" i="4"/>
  <c r="P233" i="4"/>
  <c r="Q233" i="4"/>
  <c r="H36" i="4"/>
  <c r="J283" i="11"/>
  <c r="L283" i="11" s="1"/>
  <c r="K283" i="11"/>
  <c r="M283" i="11"/>
  <c r="O283" i="11"/>
  <c r="P283" i="11"/>
  <c r="J284" i="11"/>
  <c r="N284" i="11" s="1"/>
  <c r="K284" i="11"/>
  <c r="L284" i="11"/>
  <c r="M284" i="11"/>
  <c r="O284" i="11"/>
  <c r="P284" i="11"/>
  <c r="J43" i="11"/>
  <c r="N43" i="11" s="1"/>
  <c r="K43" i="11"/>
  <c r="L43" i="11"/>
  <c r="O43" i="11"/>
  <c r="P43" i="11"/>
  <c r="J280" i="11"/>
  <c r="N280" i="11" s="1"/>
  <c r="K280" i="11"/>
  <c r="L280" i="11"/>
  <c r="M280" i="11"/>
  <c r="O280" i="11"/>
  <c r="P280" i="11"/>
  <c r="J37" i="11"/>
  <c r="L37" i="11" s="1"/>
  <c r="M37" i="11"/>
  <c r="O37" i="11"/>
  <c r="P37" i="11"/>
  <c r="J35" i="11"/>
  <c r="N35" i="11" s="1"/>
  <c r="K35" i="11"/>
  <c r="L35" i="11"/>
  <c r="O35" i="11"/>
  <c r="P35" i="11"/>
  <c r="J26" i="11"/>
  <c r="L26" i="11" s="1"/>
  <c r="K26" i="11"/>
  <c r="N26" i="11"/>
  <c r="O26" i="11"/>
  <c r="P26" i="11"/>
  <c r="J27" i="11"/>
  <c r="L27" i="11" s="1"/>
  <c r="K27" i="11"/>
  <c r="M27" i="11"/>
  <c r="N27" i="11"/>
  <c r="O27" i="11"/>
  <c r="P27" i="11"/>
  <c r="H30" i="2"/>
  <c r="N702" i="4" l="1"/>
  <c r="M700" i="4"/>
  <c r="M701" i="4"/>
  <c r="N703" i="4"/>
  <c r="N290" i="4"/>
  <c r="N282" i="4" s="1"/>
  <c r="J283" i="4"/>
  <c r="L280" i="4"/>
  <c r="M269" i="4"/>
  <c r="M261" i="4" s="1"/>
  <c r="J252" i="4"/>
  <c r="J251" i="4" s="1"/>
  <c r="J244" i="4"/>
  <c r="J243" i="4" s="1"/>
  <c r="M233" i="4"/>
  <c r="M43" i="11"/>
  <c r="N3963" i="4"/>
  <c r="N3962" i="4"/>
  <c r="J2247" i="4"/>
  <c r="M2219" i="4"/>
  <c r="M2207" i="4" s="1"/>
  <c r="N2123" i="4"/>
  <c r="N2118" i="4" s="1"/>
  <c r="J2269" i="4"/>
  <c r="J2268" i="4" s="1"/>
  <c r="K37" i="11"/>
  <c r="M35" i="11"/>
  <c r="J2196" i="4"/>
  <c r="J2195" i="4" s="1"/>
  <c r="N2166" i="4"/>
  <c r="N2157" i="4" s="1"/>
  <c r="N2192" i="4"/>
  <c r="N2183" i="4" s="1"/>
  <c r="P2180" i="4"/>
  <c r="P2168" i="4" s="1"/>
  <c r="N2176" i="4"/>
  <c r="N2168" i="4" s="1"/>
  <c r="N2155" i="4"/>
  <c r="N2146" i="4" s="1"/>
  <c r="J2147" i="4"/>
  <c r="J2146" i="4" s="1"/>
  <c r="N2142" i="4"/>
  <c r="J2136" i="4"/>
  <c r="J2135" i="4" s="1"/>
  <c r="N2141" i="4"/>
  <c r="N2133" i="4"/>
  <c r="N2132" i="4"/>
  <c r="M2114" i="4"/>
  <c r="M2108" i="4" s="1"/>
  <c r="J2119" i="4"/>
  <c r="M2122" i="4"/>
  <c r="M2120" i="4"/>
  <c r="O2115" i="4"/>
  <c r="O2116" i="4"/>
  <c r="M26" i="11"/>
  <c r="J3963" i="4"/>
  <c r="J3959" i="4" s="1"/>
  <c r="M2222" i="4"/>
  <c r="M2221" i="4" s="1"/>
  <c r="J2250" i="4"/>
  <c r="M2247" i="4"/>
  <c r="M2241" i="4"/>
  <c r="L2235" i="4"/>
  <c r="L2234" i="4" s="1"/>
  <c r="J2166" i="4"/>
  <c r="J2157" i="4" s="1"/>
  <c r="J2133" i="4"/>
  <c r="J2125" i="4" s="1"/>
  <c r="L2126" i="4"/>
  <c r="L2125" i="4" s="1"/>
  <c r="J2115" i="4"/>
  <c r="J2108" i="4" s="1"/>
  <c r="L2109" i="4"/>
  <c r="L2108" i="4" s="1"/>
  <c r="J2088" i="4"/>
  <c r="J2085" i="4" s="1"/>
  <c r="L2086" i="4"/>
  <c r="J702" i="4"/>
  <c r="J279" i="4"/>
  <c r="J276" i="4" s="1"/>
  <c r="M2125" i="4"/>
  <c r="L277" i="4"/>
  <c r="J262" i="4"/>
  <c r="M2157" i="4"/>
  <c r="J233" i="4"/>
  <c r="Q282" i="4"/>
  <c r="I271" i="4"/>
  <c r="N283" i="11"/>
  <c r="N37" i="11"/>
  <c r="I695" i="4"/>
  <c r="M2183" i="4"/>
  <c r="I2085" i="4"/>
  <c r="K2207" i="4"/>
  <c r="M2234" i="4"/>
  <c r="M2168" i="4"/>
  <c r="K282" i="4"/>
  <c r="M2146" i="4"/>
  <c r="J247" i="4"/>
  <c r="K251" i="4"/>
  <c r="O282" i="4"/>
  <c r="P282" i="4"/>
  <c r="L2176" i="4"/>
  <c r="L2168" i="4" s="1"/>
  <c r="M2253" i="4"/>
  <c r="L2268" i="4"/>
  <c r="J2282" i="4"/>
  <c r="N2281" i="4"/>
  <c r="M3961" i="4"/>
  <c r="M3959" i="4" s="1"/>
  <c r="O3959" i="4"/>
  <c r="M2281" i="4"/>
  <c r="O2281" i="4"/>
  <c r="I2281" i="4"/>
  <c r="Q2281" i="4"/>
  <c r="P2281" i="4"/>
  <c r="K2268" i="4"/>
  <c r="M2269" i="4"/>
  <c r="M2268" i="4" s="1"/>
  <c r="Q2268" i="4"/>
  <c r="K2281" i="4"/>
  <c r="Q2207" i="4"/>
  <c r="P2268" i="4"/>
  <c r="M2250" i="4"/>
  <c r="M2249" i="4"/>
  <c r="J2248" i="4"/>
  <c r="K2247" i="4"/>
  <c r="K2246" i="4" s="1"/>
  <c r="L2241" i="4"/>
  <c r="L2240" i="4" s="1"/>
  <c r="M2243" i="4"/>
  <c r="O2240" i="4"/>
  <c r="N2240" i="4"/>
  <c r="P2234" i="4"/>
  <c r="K2221" i="4"/>
  <c r="J2222" i="4"/>
  <c r="J2221" i="4" s="1"/>
  <c r="P2221" i="4"/>
  <c r="L2207" i="4"/>
  <c r="J2208" i="4"/>
  <c r="J2207" i="4" s="1"/>
  <c r="N2207" i="4"/>
  <c r="M2203" i="4"/>
  <c r="M2196" i="4"/>
  <c r="K2195" i="4"/>
  <c r="K2157" i="4"/>
  <c r="L2157" i="4"/>
  <c r="I2195" i="4"/>
  <c r="N2195" i="4"/>
  <c r="Q2195" i="4"/>
  <c r="J2193" i="4"/>
  <c r="J2183" i="4" s="1"/>
  <c r="L2184" i="4"/>
  <c r="L2183" i="4" s="1"/>
  <c r="O2195" i="4"/>
  <c r="P2207" i="4"/>
  <c r="O2207" i="4"/>
  <c r="K2234" i="4"/>
  <c r="Q2246" i="4"/>
  <c r="I2268" i="4"/>
  <c r="N2268" i="4"/>
  <c r="I2246" i="4"/>
  <c r="P2183" i="4"/>
  <c r="O2221" i="4"/>
  <c r="I2221" i="4"/>
  <c r="N2221" i="4"/>
  <c r="Q2221" i="4"/>
  <c r="P3959" i="4"/>
  <c r="I2125" i="4"/>
  <c r="Q2146" i="4"/>
  <c r="K3959" i="4"/>
  <c r="N2108" i="4"/>
  <c r="O2234" i="4"/>
  <c r="N2234" i="4"/>
  <c r="I2240" i="4"/>
  <c r="Q2240" i="4"/>
  <c r="K2240" i="4"/>
  <c r="L3959" i="4"/>
  <c r="L2146" i="4"/>
  <c r="Q2157" i="4"/>
  <c r="I2168" i="4"/>
  <c r="P2246" i="4"/>
  <c r="N2246" i="4"/>
  <c r="O2268" i="4"/>
  <c r="I2157" i="4"/>
  <c r="P2157" i="4"/>
  <c r="K2183" i="4"/>
  <c r="O2183" i="4"/>
  <c r="K2108" i="4"/>
  <c r="O2157" i="4"/>
  <c r="P2108" i="4"/>
  <c r="O2253" i="4"/>
  <c r="P2146" i="4"/>
  <c r="I2146" i="4"/>
  <c r="K2146" i="4"/>
  <c r="O2146" i="4"/>
  <c r="M2142" i="4"/>
  <c r="M2141" i="4"/>
  <c r="M2136" i="4"/>
  <c r="Q2183" i="4"/>
  <c r="Q2234" i="4"/>
  <c r="K2125" i="4"/>
  <c r="O2125" i="4"/>
  <c r="I2183" i="4"/>
  <c r="P2195" i="4"/>
  <c r="I2234" i="4"/>
  <c r="P2240" i="4"/>
  <c r="K2253" i="4"/>
  <c r="Q3959" i="4"/>
  <c r="O251" i="4"/>
  <c r="I2207" i="4"/>
  <c r="J2240" i="4"/>
  <c r="O2246" i="4"/>
  <c r="I3959" i="4"/>
  <c r="I2135" i="4"/>
  <c r="Q2135" i="4"/>
  <c r="P2135" i="4"/>
  <c r="Q2125" i="4"/>
  <c r="P2125" i="4"/>
  <c r="M2121" i="4"/>
  <c r="L2253" i="4"/>
  <c r="Q2253" i="4"/>
  <c r="I2253" i="4"/>
  <c r="K2168" i="4"/>
  <c r="O2168" i="4"/>
  <c r="Q2118" i="4"/>
  <c r="P2118" i="4"/>
  <c r="I2118" i="4"/>
  <c r="Q2168" i="4"/>
  <c r="J2253" i="4"/>
  <c r="N2253" i="4"/>
  <c r="I2108" i="4"/>
  <c r="Q2108" i="4"/>
  <c r="O2118" i="4"/>
  <c r="O2135" i="4"/>
  <c r="K2118" i="4"/>
  <c r="P2253" i="4"/>
  <c r="L2246" i="4"/>
  <c r="K2135" i="4"/>
  <c r="J2168" i="4"/>
  <c r="L2221" i="4"/>
  <c r="L2118" i="4"/>
  <c r="L2135" i="4"/>
  <c r="L2195" i="4"/>
  <c r="L2281" i="4"/>
  <c r="P251" i="4"/>
  <c r="I247" i="4"/>
  <c r="N247" i="4"/>
  <c r="I251" i="4"/>
  <c r="O247" i="4"/>
  <c r="Q247" i="4"/>
  <c r="N251" i="4"/>
  <c r="K247" i="4"/>
  <c r="P247" i="4"/>
  <c r="I261" i="4"/>
  <c r="I282" i="4"/>
  <c r="I243" i="4"/>
  <c r="Q251" i="4"/>
  <c r="I276" i="4"/>
  <c r="N2085" i="4"/>
  <c r="M2085" i="4"/>
  <c r="Q2085" i="4"/>
  <c r="P2085" i="4"/>
  <c r="L2087" i="4"/>
  <c r="O2085" i="4"/>
  <c r="K2085" i="4"/>
  <c r="K278" i="4"/>
  <c r="K276" i="4" s="1"/>
  <c r="O695" i="4"/>
  <c r="Q695" i="4"/>
  <c r="P695" i="4"/>
  <c r="J701" i="4"/>
  <c r="L700" i="4"/>
  <c r="J696" i="4"/>
  <c r="K695" i="4"/>
  <c r="L290" i="4"/>
  <c r="M283" i="4"/>
  <c r="M282" i="4" s="1"/>
  <c r="N273" i="4"/>
  <c r="N271" i="4" s="1"/>
  <c r="O261" i="4"/>
  <c r="N276" i="4"/>
  <c r="M276" i="4"/>
  <c r="P276" i="4"/>
  <c r="Q276" i="4"/>
  <c r="O276" i="4"/>
  <c r="M274" i="4"/>
  <c r="K271" i="4"/>
  <c r="P271" i="4"/>
  <c r="J272" i="4"/>
  <c r="O271" i="4"/>
  <c r="Q271" i="4"/>
  <c r="L271" i="4"/>
  <c r="K261" i="4"/>
  <c r="Q261" i="4"/>
  <c r="N261" i="4"/>
  <c r="P261" i="4"/>
  <c r="L261" i="4"/>
  <c r="M251" i="4"/>
  <c r="L251" i="4"/>
  <c r="L247" i="4"/>
  <c r="O243" i="4"/>
  <c r="K243" i="4"/>
  <c r="P243" i="4"/>
  <c r="L243" i="4"/>
  <c r="M243" i="4"/>
  <c r="Q243" i="4"/>
  <c r="N243" i="4"/>
  <c r="H490" i="15"/>
  <c r="G490" i="15"/>
  <c r="H489" i="15"/>
  <c r="G489" i="15"/>
  <c r="H488" i="15"/>
  <c r="G488" i="15"/>
  <c r="H487" i="15"/>
  <c r="G487" i="15"/>
  <c r="H486" i="15"/>
  <c r="G486" i="15"/>
  <c r="H485" i="15"/>
  <c r="G485" i="15"/>
  <c r="H484" i="15"/>
  <c r="G484" i="15"/>
  <c r="H483" i="15"/>
  <c r="G483" i="15"/>
  <c r="H482" i="15"/>
  <c r="G482" i="15"/>
  <c r="H481" i="15"/>
  <c r="G481" i="15"/>
  <c r="H480" i="15"/>
  <c r="G480" i="15"/>
  <c r="H479" i="15"/>
  <c r="G479" i="15"/>
  <c r="H478" i="15"/>
  <c r="G478" i="15"/>
  <c r="H477" i="15"/>
  <c r="G477" i="15"/>
  <c r="H476" i="15"/>
  <c r="G476" i="15"/>
  <c r="H475" i="15"/>
  <c r="G475" i="15"/>
  <c r="H474" i="15"/>
  <c r="G474" i="15"/>
  <c r="H473" i="15"/>
  <c r="G473" i="15"/>
  <c r="H472" i="15"/>
  <c r="G472" i="15"/>
  <c r="H471" i="15"/>
  <c r="G471" i="15"/>
  <c r="H470" i="15"/>
  <c r="G470" i="15"/>
  <c r="H469" i="15"/>
  <c r="G469" i="15"/>
  <c r="H468" i="15"/>
  <c r="G468" i="15"/>
  <c r="H467" i="15"/>
  <c r="G467" i="15"/>
  <c r="H466" i="15"/>
  <c r="G466" i="15"/>
  <c r="H465" i="15"/>
  <c r="G465" i="15"/>
  <c r="H464" i="15"/>
  <c r="G464" i="15"/>
  <c r="H463" i="15"/>
  <c r="G463" i="15"/>
  <c r="H462" i="15"/>
  <c r="G462" i="15"/>
  <c r="H461" i="15"/>
  <c r="G461" i="15"/>
  <c r="H460" i="15"/>
  <c r="G460" i="15"/>
  <c r="H459" i="15"/>
  <c r="G459" i="15"/>
  <c r="G451" i="15"/>
  <c r="H451" i="15"/>
  <c r="G59" i="15"/>
  <c r="H59" i="15"/>
  <c r="G60" i="15"/>
  <c r="H60" i="15"/>
  <c r="G61" i="15"/>
  <c r="H61" i="15"/>
  <c r="G62" i="15"/>
  <c r="H62" i="15"/>
  <c r="G414" i="15"/>
  <c r="H414" i="15"/>
  <c r="G450" i="15"/>
  <c r="H450" i="15"/>
  <c r="G17" i="15"/>
  <c r="H17" i="15"/>
  <c r="G18" i="15"/>
  <c r="H18" i="15"/>
  <c r="G19" i="15"/>
  <c r="H19" i="15"/>
  <c r="G20" i="15"/>
  <c r="H20" i="15"/>
  <c r="G21" i="15"/>
  <c r="H21" i="15"/>
  <c r="G22" i="15"/>
  <c r="H22" i="15"/>
  <c r="G23" i="15"/>
  <c r="H23" i="15"/>
  <c r="G24" i="15"/>
  <c r="H24" i="15"/>
  <c r="G25" i="15"/>
  <c r="H25" i="15"/>
  <c r="G26" i="15"/>
  <c r="H26" i="15"/>
  <c r="G27" i="15"/>
  <c r="H27" i="15"/>
  <c r="G28" i="15"/>
  <c r="H28" i="15"/>
  <c r="G29" i="15"/>
  <c r="H29" i="15"/>
  <c r="G30" i="15"/>
  <c r="H30" i="15"/>
  <c r="G31" i="15"/>
  <c r="H31" i="15"/>
  <c r="G32" i="15"/>
  <c r="H32" i="15"/>
  <c r="G33" i="15"/>
  <c r="H33" i="15"/>
  <c r="G35" i="15"/>
  <c r="H35" i="15"/>
  <c r="G36" i="15"/>
  <c r="H36" i="15"/>
  <c r="G37" i="15"/>
  <c r="H37" i="15"/>
  <c r="G38" i="15"/>
  <c r="H38" i="15"/>
  <c r="G39" i="15"/>
  <c r="H39" i="15"/>
  <c r="G57" i="15"/>
  <c r="H57" i="15"/>
  <c r="G58" i="15"/>
  <c r="H58" i="15"/>
  <c r="J25" i="2"/>
  <c r="M695" i="4" l="1"/>
  <c r="N695" i="4"/>
  <c r="L276" i="4"/>
  <c r="N3959" i="4"/>
  <c r="N2135" i="4"/>
  <c r="O2108" i="4"/>
  <c r="O3967" i="4" s="1"/>
  <c r="O19" i="4" s="1"/>
  <c r="H27" i="13" s="1"/>
  <c r="M2118" i="4"/>
  <c r="N2125" i="4"/>
  <c r="J2234" i="4"/>
  <c r="J2281" i="4"/>
  <c r="J2118" i="4"/>
  <c r="M2240" i="4"/>
  <c r="J2246" i="4"/>
  <c r="J271" i="4"/>
  <c r="L2085" i="4"/>
  <c r="J261" i="4"/>
  <c r="M2135" i="4"/>
  <c r="M2246" i="4"/>
  <c r="L282" i="4"/>
  <c r="J282" i="4"/>
  <c r="M2195" i="4"/>
  <c r="H453" i="15"/>
  <c r="L3967" i="4"/>
  <c r="L19" i="4" s="1"/>
  <c r="E27" i="13" s="1"/>
  <c r="E32" i="13" s="1"/>
  <c r="G492" i="15"/>
  <c r="B13" i="14" s="1"/>
  <c r="H492" i="15"/>
  <c r="K3967" i="4"/>
  <c r="K19" i="4" s="1"/>
  <c r="D27" i="13" s="1"/>
  <c r="D32" i="13" s="1"/>
  <c r="P3967" i="4"/>
  <c r="P19" i="4" s="1"/>
  <c r="Q3967" i="4"/>
  <c r="Q19" i="4" s="1"/>
  <c r="I3967" i="4"/>
  <c r="I19" i="4" s="1"/>
  <c r="AB19" i="4" s="1"/>
  <c r="L695" i="4"/>
  <c r="M247" i="4"/>
  <c r="J695" i="4"/>
  <c r="M271" i="4"/>
  <c r="J375" i="2"/>
  <c r="K16" i="2"/>
  <c r="J17" i="2"/>
  <c r="J16" i="2"/>
  <c r="H17" i="2"/>
  <c r="H18" i="2"/>
  <c r="H20" i="2"/>
  <c r="H21" i="2"/>
  <c r="H23" i="2"/>
  <c r="H24" i="2"/>
  <c r="H25" i="2"/>
  <c r="H26" i="2"/>
  <c r="H27" i="2"/>
  <c r="H31" i="2"/>
  <c r="H32" i="2"/>
  <c r="H33" i="2"/>
  <c r="H34" i="2"/>
  <c r="H373" i="2"/>
  <c r="H374" i="2"/>
  <c r="H375" i="2"/>
  <c r="J374" i="2"/>
  <c r="K28" i="2"/>
  <c r="K29" i="2"/>
  <c r="K30" i="2"/>
  <c r="K31" i="2"/>
  <c r="K32" i="2"/>
  <c r="K33" i="2"/>
  <c r="K34" i="2"/>
  <c r="K373" i="2"/>
  <c r="K374" i="2"/>
  <c r="K375" i="2"/>
  <c r="J32" i="2"/>
  <c r="K17" i="2"/>
  <c r="K18" i="2"/>
  <c r="K20" i="2"/>
  <c r="K21" i="2"/>
  <c r="K23" i="2"/>
  <c r="K24" i="2"/>
  <c r="K25" i="2"/>
  <c r="K26" i="2"/>
  <c r="K27" i="2"/>
  <c r="J28" i="2"/>
  <c r="O28" i="2"/>
  <c r="J29" i="2"/>
  <c r="O29" i="2"/>
  <c r="J30" i="2"/>
  <c r="O30" i="2"/>
  <c r="J31" i="2"/>
  <c r="O31" i="2"/>
  <c r="O32" i="2"/>
  <c r="J33" i="2"/>
  <c r="O33" i="2"/>
  <c r="J34" i="2"/>
  <c r="O34" i="2"/>
  <c r="J373" i="2"/>
  <c r="O373" i="2"/>
  <c r="O374" i="2"/>
  <c r="O375" i="2"/>
  <c r="G16" i="15"/>
  <c r="G453" i="15" s="1"/>
  <c r="H32" i="13" l="1"/>
  <c r="H61" i="22"/>
  <c r="AI19" i="4"/>
  <c r="I27" i="13"/>
  <c r="AJ19" i="4"/>
  <c r="J27" i="13"/>
  <c r="N3967" i="4"/>
  <c r="N19" i="4" s="1"/>
  <c r="H57" i="22"/>
  <c r="AD19" i="4"/>
  <c r="AH19" i="4"/>
  <c r="H58" i="22"/>
  <c r="AE19" i="4"/>
  <c r="J3967" i="4"/>
  <c r="J19" i="4" s="1"/>
  <c r="C27" i="13" s="1"/>
  <c r="C32" i="13" s="1"/>
  <c r="M3967" i="4"/>
  <c r="M19" i="4" s="1"/>
  <c r="F27" i="13" s="1"/>
  <c r="F32" i="13" s="1"/>
  <c r="C13" i="14"/>
  <c r="H377" i="2"/>
  <c r="B27" i="13"/>
  <c r="B29" i="13" s="1"/>
  <c r="K377" i="2"/>
  <c r="H17" i="22"/>
  <c r="K30" i="4"/>
  <c r="K31" i="4"/>
  <c r="K32" i="4"/>
  <c r="K36" i="4"/>
  <c r="K39" i="4"/>
  <c r="K45" i="4"/>
  <c r="K46" i="4"/>
  <c r="K47" i="4"/>
  <c r="K51" i="4"/>
  <c r="K55" i="4"/>
  <c r="K58" i="4"/>
  <c r="K60" i="4"/>
  <c r="K66" i="4"/>
  <c r="K174" i="4"/>
  <c r="K178" i="4"/>
  <c r="K184" i="4"/>
  <c r="K185" i="4"/>
  <c r="K194" i="4"/>
  <c r="K195" i="4"/>
  <c r="K196" i="4"/>
  <c r="K199" i="4"/>
  <c r="K205" i="4"/>
  <c r="K209" i="4"/>
  <c r="K216" i="4"/>
  <c r="K220" i="4"/>
  <c r="K223" i="4"/>
  <c r="K227" i="4"/>
  <c r="K232" i="4"/>
  <c r="K237" i="4"/>
  <c r="K240" i="4"/>
  <c r="K241" i="4"/>
  <c r="N30" i="4"/>
  <c r="N31" i="4"/>
  <c r="N32" i="4"/>
  <c r="N36" i="4"/>
  <c r="N39" i="4"/>
  <c r="N45" i="4"/>
  <c r="N46" i="4"/>
  <c r="N47" i="4"/>
  <c r="N48" i="4"/>
  <c r="N51" i="4"/>
  <c r="N55" i="4"/>
  <c r="N58" i="4"/>
  <c r="N59" i="4"/>
  <c r="N60" i="4"/>
  <c r="N66" i="4"/>
  <c r="N174" i="4"/>
  <c r="N178" i="4"/>
  <c r="N185" i="4"/>
  <c r="N199" i="4"/>
  <c r="N209" i="4"/>
  <c r="N216" i="4"/>
  <c r="N220" i="4"/>
  <c r="N223" i="4"/>
  <c r="N224" i="4"/>
  <c r="N227" i="4"/>
  <c r="N232" i="4"/>
  <c r="N234" i="4"/>
  <c r="N237" i="4"/>
  <c r="N240" i="4"/>
  <c r="N241" i="4"/>
  <c r="O30" i="4"/>
  <c r="O31" i="4"/>
  <c r="O32" i="4"/>
  <c r="O36" i="4"/>
  <c r="O39" i="4"/>
  <c r="O45" i="4"/>
  <c r="O46" i="4"/>
  <c r="O47" i="4"/>
  <c r="O48" i="4"/>
  <c r="O51" i="4"/>
  <c r="O55" i="4"/>
  <c r="O58" i="4"/>
  <c r="O59" i="4"/>
  <c r="O60" i="4"/>
  <c r="O66" i="4"/>
  <c r="O174" i="4"/>
  <c r="O178" i="4"/>
  <c r="O184" i="4"/>
  <c r="O194" i="4"/>
  <c r="O195" i="4"/>
  <c r="O196" i="4"/>
  <c r="O199" i="4"/>
  <c r="O205" i="4"/>
  <c r="O206" i="4"/>
  <c r="O209" i="4"/>
  <c r="O216" i="4"/>
  <c r="O220" i="4"/>
  <c r="O223" i="4"/>
  <c r="O224" i="4"/>
  <c r="O227" i="4"/>
  <c r="O232" i="4"/>
  <c r="O234" i="4"/>
  <c r="O237" i="4"/>
  <c r="O240" i="4"/>
  <c r="O241" i="4"/>
  <c r="H30" i="4"/>
  <c r="L30" i="4" s="1"/>
  <c r="H31" i="4"/>
  <c r="L31" i="4" s="1"/>
  <c r="L36" i="4"/>
  <c r="L48" i="4"/>
  <c r="L185" i="4"/>
  <c r="L206" i="4"/>
  <c r="L224" i="4"/>
  <c r="L234" i="4"/>
  <c r="M30" i="4"/>
  <c r="M31" i="4"/>
  <c r="H32" i="4"/>
  <c r="M32" i="4" s="1"/>
  <c r="M36" i="4"/>
  <c r="M39" i="4"/>
  <c r="M51" i="4"/>
  <c r="M58" i="4"/>
  <c r="M59" i="4"/>
  <c r="M60" i="4"/>
  <c r="M66" i="4"/>
  <c r="M178" i="4"/>
  <c r="M196" i="4"/>
  <c r="M199" i="4"/>
  <c r="M205" i="4"/>
  <c r="M206" i="4"/>
  <c r="M209" i="4"/>
  <c r="M216" i="4"/>
  <c r="M220" i="4"/>
  <c r="M227" i="4"/>
  <c r="M232" i="4"/>
  <c r="I30" i="4"/>
  <c r="I31" i="4"/>
  <c r="I32" i="4"/>
  <c r="I36" i="4"/>
  <c r="J31" i="4"/>
  <c r="J36" i="4"/>
  <c r="P30" i="4"/>
  <c r="P31" i="4"/>
  <c r="P32" i="4"/>
  <c r="P36" i="4"/>
  <c r="Q30" i="4"/>
  <c r="Q31" i="4"/>
  <c r="Q32" i="4"/>
  <c r="Q36" i="4"/>
  <c r="O12" i="15"/>
  <c r="O13" i="15"/>
  <c r="O453" i="15"/>
  <c r="U453" i="15"/>
  <c r="V453" i="15" s="1"/>
  <c r="C17" i="11"/>
  <c r="J18" i="2"/>
  <c r="J20" i="2"/>
  <c r="J21" i="2"/>
  <c r="J23" i="2"/>
  <c r="J24" i="2"/>
  <c r="J26" i="2"/>
  <c r="J27" i="2"/>
  <c r="H45" i="4"/>
  <c r="L45" i="4" s="1"/>
  <c r="H48" i="4"/>
  <c r="K48" i="4" s="1"/>
  <c r="H55" i="4"/>
  <c r="L55" i="4" s="1"/>
  <c r="H58" i="4"/>
  <c r="L58" i="4" s="1"/>
  <c r="H59" i="4"/>
  <c r="L59" i="4" s="1"/>
  <c r="H60" i="4"/>
  <c r="L60" i="4" s="1"/>
  <c r="H66" i="4"/>
  <c r="L66" i="4" s="1"/>
  <c r="H174" i="4"/>
  <c r="L174" i="4" s="1"/>
  <c r="H178" i="4"/>
  <c r="L178" i="4" s="1"/>
  <c r="H184" i="4"/>
  <c r="L184" i="4" s="1"/>
  <c r="H185" i="4"/>
  <c r="M185" i="4" s="1"/>
  <c r="H194" i="4"/>
  <c r="M194" i="4" s="1"/>
  <c r="H195" i="4"/>
  <c r="M195" i="4" s="1"/>
  <c r="H196" i="4"/>
  <c r="L196" i="4" s="1"/>
  <c r="H199" i="4"/>
  <c r="L199" i="4" s="1"/>
  <c r="H205" i="4"/>
  <c r="L205" i="4" s="1"/>
  <c r="H206" i="4"/>
  <c r="K206" i="4" s="1"/>
  <c r="H216" i="4"/>
  <c r="L216" i="4" s="1"/>
  <c r="H220" i="4"/>
  <c r="L220" i="4" s="1"/>
  <c r="H223" i="4"/>
  <c r="L223" i="4" s="1"/>
  <c r="H224" i="4"/>
  <c r="K224" i="4" s="1"/>
  <c r="H227" i="4"/>
  <c r="L227" i="4" s="1"/>
  <c r="H232" i="4"/>
  <c r="L232" i="4" s="1"/>
  <c r="H234" i="4"/>
  <c r="K234" i="4" s="1"/>
  <c r="H237" i="4"/>
  <c r="M237" i="4" s="1"/>
  <c r="H240" i="4"/>
  <c r="M240" i="4" s="1"/>
  <c r="H241" i="4"/>
  <c r="M241" i="4" s="1"/>
  <c r="H39" i="4"/>
  <c r="L39" i="4" s="1"/>
  <c r="H46" i="4"/>
  <c r="L46" i="4" s="1"/>
  <c r="H47" i="4"/>
  <c r="L47" i="4" s="1"/>
  <c r="H51" i="4"/>
  <c r="L51" i="4" s="1"/>
  <c r="H209" i="4"/>
  <c r="L209" i="4" s="1"/>
  <c r="J25" i="11"/>
  <c r="M25" i="11" s="1"/>
  <c r="J31" i="11"/>
  <c r="N31" i="11" s="1"/>
  <c r="J33" i="11"/>
  <c r="N33" i="11" s="1"/>
  <c r="J41" i="11"/>
  <c r="N41" i="11" s="1"/>
  <c r="L42" i="11"/>
  <c r="L281" i="11"/>
  <c r="J282" i="11"/>
  <c r="N282" i="11" s="1"/>
  <c r="J285" i="11"/>
  <c r="N285" i="11" s="1"/>
  <c r="M31" i="11"/>
  <c r="M41" i="11"/>
  <c r="M42" i="11"/>
  <c r="M281" i="11"/>
  <c r="M282" i="11"/>
  <c r="M285" i="11"/>
  <c r="N42" i="11"/>
  <c r="N281" i="11"/>
  <c r="O25" i="11"/>
  <c r="O33" i="11"/>
  <c r="O42" i="11"/>
  <c r="O281" i="11"/>
  <c r="O282" i="11"/>
  <c r="O285" i="11"/>
  <c r="J45" i="4"/>
  <c r="J46" i="4"/>
  <c r="J47" i="4"/>
  <c r="J55" i="4"/>
  <c r="J184" i="4"/>
  <c r="J195" i="4"/>
  <c r="J196" i="4"/>
  <c r="J240" i="4"/>
  <c r="J59" i="4"/>
  <c r="J60" i="4"/>
  <c r="J205" i="4"/>
  <c r="J223" i="4"/>
  <c r="J232" i="4"/>
  <c r="P45" i="4"/>
  <c r="P48" i="4"/>
  <c r="P39" i="4"/>
  <c r="P46" i="4"/>
  <c r="P47" i="4"/>
  <c r="P51" i="4"/>
  <c r="P55" i="4"/>
  <c r="P66" i="4"/>
  <c r="P178" i="4"/>
  <c r="P184" i="4"/>
  <c r="P185" i="4"/>
  <c r="P194" i="4"/>
  <c r="P195" i="4"/>
  <c r="P196" i="4"/>
  <c r="P237" i="4"/>
  <c r="P240" i="4"/>
  <c r="P241" i="4"/>
  <c r="P59" i="4"/>
  <c r="P58" i="4"/>
  <c r="P60" i="4"/>
  <c r="P174" i="4"/>
  <c r="P199" i="4"/>
  <c r="P205" i="4"/>
  <c r="P206" i="4"/>
  <c r="P209" i="4"/>
  <c r="P216" i="4"/>
  <c r="P220" i="4"/>
  <c r="P223" i="4"/>
  <c r="P224" i="4"/>
  <c r="P227" i="4"/>
  <c r="P232" i="4"/>
  <c r="P234" i="4"/>
  <c r="C25" i="13"/>
  <c r="D25" i="13"/>
  <c r="E25" i="13"/>
  <c r="F25" i="13"/>
  <c r="G25" i="13"/>
  <c r="H25" i="13"/>
  <c r="B25" i="13"/>
  <c r="I47" i="4"/>
  <c r="Q47" i="4"/>
  <c r="I46" i="4"/>
  <c r="Q46" i="4"/>
  <c r="O27" i="2"/>
  <c r="O26" i="2"/>
  <c r="O25" i="2"/>
  <c r="O23" i="2"/>
  <c r="O24" i="2"/>
  <c r="M16" i="13"/>
  <c r="N13" i="13"/>
  <c r="Q241" i="4"/>
  <c r="I241" i="4"/>
  <c r="Q240" i="4"/>
  <c r="I240" i="4"/>
  <c r="Q237" i="4"/>
  <c r="I237" i="4"/>
  <c r="Q234" i="4"/>
  <c r="I234" i="4"/>
  <c r="Q232" i="4"/>
  <c r="I232" i="4"/>
  <c r="Q227" i="4"/>
  <c r="I227" i="4"/>
  <c r="Q224" i="4"/>
  <c r="I224" i="4"/>
  <c r="Q223" i="4"/>
  <c r="I223" i="4"/>
  <c r="Q220" i="4"/>
  <c r="I220" i="4"/>
  <c r="O17" i="2"/>
  <c r="O18" i="2"/>
  <c r="O20" i="2"/>
  <c r="O21" i="2"/>
  <c r="O16" i="2"/>
  <c r="Q216" i="4"/>
  <c r="I216" i="4"/>
  <c r="Q209" i="4"/>
  <c r="I209" i="4"/>
  <c r="Q206" i="4"/>
  <c r="I206" i="4"/>
  <c r="Q205" i="4"/>
  <c r="I205" i="4"/>
  <c r="Q199" i="4"/>
  <c r="I199" i="4"/>
  <c r="Q196" i="4"/>
  <c r="I196" i="4"/>
  <c r="Q195" i="4"/>
  <c r="I195" i="4"/>
  <c r="Q194" i="4"/>
  <c r="I194" i="4"/>
  <c r="H27" i="22"/>
  <c r="D21" i="11"/>
  <c r="K285" i="11"/>
  <c r="L285" i="11"/>
  <c r="P285" i="11"/>
  <c r="K281" i="11"/>
  <c r="P281" i="11"/>
  <c r="P282" i="11"/>
  <c r="L282" i="11"/>
  <c r="K282" i="11"/>
  <c r="P42" i="11"/>
  <c r="K42" i="11"/>
  <c r="P41" i="11"/>
  <c r="K41" i="11"/>
  <c r="P33" i="11"/>
  <c r="L33" i="11"/>
  <c r="K33" i="11"/>
  <c r="P31" i="11"/>
  <c r="L31" i="11"/>
  <c r="P25" i="11"/>
  <c r="L25" i="11"/>
  <c r="K25" i="11"/>
  <c r="K31" i="11"/>
  <c r="D13" i="11"/>
  <c r="Q185" i="4"/>
  <c r="I185" i="4"/>
  <c r="Q184" i="4"/>
  <c r="I184" i="4"/>
  <c r="Q178" i="4"/>
  <c r="I178" i="4"/>
  <c r="Q174" i="4"/>
  <c r="I174" i="4"/>
  <c r="Q66" i="4"/>
  <c r="I66" i="4"/>
  <c r="Q60" i="4"/>
  <c r="I60" i="4"/>
  <c r="Q59" i="4"/>
  <c r="I59" i="4"/>
  <c r="Q58" i="4"/>
  <c r="I58" i="4"/>
  <c r="Q55" i="4"/>
  <c r="I55" i="4"/>
  <c r="Q51" i="4"/>
  <c r="I51" i="4"/>
  <c r="Q48" i="4"/>
  <c r="I48" i="4"/>
  <c r="Q45" i="4"/>
  <c r="I45" i="4"/>
  <c r="Q39" i="4"/>
  <c r="I39" i="4"/>
  <c r="G27" i="13" l="1"/>
  <c r="G32" i="13" s="1"/>
  <c r="J29" i="13"/>
  <c r="J32" i="13"/>
  <c r="H63" i="22"/>
  <c r="I32" i="13"/>
  <c r="H62" i="22"/>
  <c r="I29" i="13"/>
  <c r="M234" i="4"/>
  <c r="M226" i="4" s="1"/>
  <c r="M224" i="4"/>
  <c r="M223" i="4"/>
  <c r="J220" i="4"/>
  <c r="AG19" i="4"/>
  <c r="E29" i="13"/>
  <c r="N205" i="4"/>
  <c r="N196" i="4"/>
  <c r="O187" i="4"/>
  <c r="J199" i="4"/>
  <c r="M187" i="4"/>
  <c r="K187" i="4"/>
  <c r="N195" i="4"/>
  <c r="P187" i="4"/>
  <c r="N194" i="4"/>
  <c r="I187" i="4"/>
  <c r="Q187" i="4"/>
  <c r="N206" i="4"/>
  <c r="O185" i="4"/>
  <c r="O177" i="4" s="1"/>
  <c r="N184" i="4"/>
  <c r="N177" i="4" s="1"/>
  <c r="J174" i="4"/>
  <c r="J173" i="4" s="1"/>
  <c r="H59" i="22"/>
  <c r="AF19" i="4"/>
  <c r="H56" i="22"/>
  <c r="AC19" i="4"/>
  <c r="S33" i="11"/>
  <c r="O41" i="11"/>
  <c r="O31" i="11"/>
  <c r="M33" i="11"/>
  <c r="M287" i="11" s="1"/>
  <c r="M18" i="11" s="1"/>
  <c r="S25" i="11"/>
  <c r="J66" i="4"/>
  <c r="J65" i="4" s="1"/>
  <c r="M47" i="4"/>
  <c r="J39" i="4"/>
  <c r="M46" i="4"/>
  <c r="M45" i="4"/>
  <c r="J58" i="4"/>
  <c r="M55" i="4"/>
  <c r="M50" i="4" s="1"/>
  <c r="M48" i="4"/>
  <c r="J209" i="4"/>
  <c r="L194" i="4"/>
  <c r="J241" i="4"/>
  <c r="J32" i="4"/>
  <c r="L237" i="4"/>
  <c r="H28" i="22"/>
  <c r="L41" i="11"/>
  <c r="L287" i="11" s="1"/>
  <c r="L18" i="11" s="1"/>
  <c r="J290" i="11"/>
  <c r="J289" i="11"/>
  <c r="I226" i="4"/>
  <c r="I198" i="4"/>
  <c r="I38" i="4"/>
  <c r="I57" i="4"/>
  <c r="I173" i="4"/>
  <c r="I219" i="4"/>
  <c r="I236" i="4"/>
  <c r="J51" i="4"/>
  <c r="I29" i="4"/>
  <c r="I50" i="4"/>
  <c r="I65" i="4"/>
  <c r="I177" i="4"/>
  <c r="I208" i="4"/>
  <c r="J227" i="4"/>
  <c r="J178" i="4"/>
  <c r="J185" i="4"/>
  <c r="L241" i="4"/>
  <c r="J237" i="4"/>
  <c r="L240" i="4"/>
  <c r="J224" i="4"/>
  <c r="J206" i="4"/>
  <c r="J234" i="4"/>
  <c r="J216" i="4"/>
  <c r="L195" i="4"/>
  <c r="J194" i="4"/>
  <c r="J187" i="4" s="1"/>
  <c r="M184" i="4"/>
  <c r="M177" i="4" s="1"/>
  <c r="M174" i="4"/>
  <c r="M173" i="4" s="1"/>
  <c r="J48" i="4"/>
  <c r="N38" i="4"/>
  <c r="K59" i="4"/>
  <c r="K57" i="4" s="1"/>
  <c r="L32" i="4"/>
  <c r="L29" i="4" s="1"/>
  <c r="J30" i="4"/>
  <c r="L50" i="4"/>
  <c r="L38" i="4"/>
  <c r="K38" i="4"/>
  <c r="K29" i="4"/>
  <c r="O38" i="4"/>
  <c r="M57" i="4"/>
  <c r="N57" i="4"/>
  <c r="N29" i="4"/>
  <c r="Q226" i="4"/>
  <c r="P226" i="4"/>
  <c r="P236" i="4"/>
  <c r="P177" i="4"/>
  <c r="P65" i="4"/>
  <c r="P50" i="4"/>
  <c r="L219" i="4"/>
  <c r="M29" i="4"/>
  <c r="P219" i="4"/>
  <c r="Q38" i="4"/>
  <c r="Q177" i="4"/>
  <c r="Q198" i="4"/>
  <c r="O50" i="4"/>
  <c r="K65" i="4"/>
  <c r="P38" i="4"/>
  <c r="L208" i="4"/>
  <c r="Q29" i="4"/>
  <c r="P29" i="4"/>
  <c r="O219" i="4"/>
  <c r="L57" i="4"/>
  <c r="O29" i="4"/>
  <c r="N236" i="4"/>
  <c r="Q208" i="4"/>
  <c r="O57" i="4"/>
  <c r="K226" i="4"/>
  <c r="P208" i="4"/>
  <c r="P173" i="4"/>
  <c r="M65" i="4"/>
  <c r="M198" i="4"/>
  <c r="N208" i="4"/>
  <c r="K236" i="4"/>
  <c r="K198" i="4"/>
  <c r="Q219" i="4"/>
  <c r="Q236" i="4"/>
  <c r="M208" i="4"/>
  <c r="O236" i="4"/>
  <c r="O208" i="4"/>
  <c r="O198" i="4"/>
  <c r="O65" i="4"/>
  <c r="N219" i="4"/>
  <c r="K208" i="4"/>
  <c r="K173" i="4"/>
  <c r="Q65" i="4"/>
  <c r="P198" i="4"/>
  <c r="O226" i="4"/>
  <c r="N65" i="4"/>
  <c r="Q50" i="4"/>
  <c r="Q57" i="4"/>
  <c r="Q173" i="4"/>
  <c r="P57" i="4"/>
  <c r="L177" i="4"/>
  <c r="O173" i="4"/>
  <c r="N226" i="4"/>
  <c r="N173" i="4"/>
  <c r="N50" i="4"/>
  <c r="K219" i="4"/>
  <c r="K177" i="4"/>
  <c r="L226" i="4"/>
  <c r="L198" i="4"/>
  <c r="L173" i="4"/>
  <c r="M236" i="4"/>
  <c r="L65" i="4"/>
  <c r="K50" i="4"/>
  <c r="S31" i="11"/>
  <c r="N25" i="11"/>
  <c r="N287" i="11" s="1"/>
  <c r="N18" i="11" s="1"/>
  <c r="P287" i="11"/>
  <c r="P18" i="11" s="1"/>
  <c r="K287" i="11"/>
  <c r="K18" i="11" s="1"/>
  <c r="J761" i="2"/>
  <c r="C14" i="14" s="1"/>
  <c r="H65" i="22" s="1"/>
  <c r="H761" i="2"/>
  <c r="B14" i="14" s="1"/>
  <c r="H55" i="22" s="1"/>
  <c r="J377" i="2"/>
  <c r="B6" i="14"/>
  <c r="F6" i="14"/>
  <c r="F9" i="14" s="1"/>
  <c r="O377" i="2"/>
  <c r="G6" i="14" s="1"/>
  <c r="G7" i="14" s="1"/>
  <c r="H72" i="22" s="1"/>
  <c r="D6" i="14"/>
  <c r="H38" i="22" s="1"/>
  <c r="H29" i="13"/>
  <c r="C12" i="14"/>
  <c r="H64" i="22" s="1"/>
  <c r="B12" i="14"/>
  <c r="H54" i="22" s="1"/>
  <c r="H60" i="22" l="1"/>
  <c r="R19" i="11"/>
  <c r="B11" i="13"/>
  <c r="H29" i="22" s="1"/>
  <c r="S19" i="11"/>
  <c r="C11" i="13"/>
  <c r="H30" i="22" s="1"/>
  <c r="W19" i="11"/>
  <c r="G11" i="13"/>
  <c r="H34" i="22" s="1"/>
  <c r="J219" i="4"/>
  <c r="M219" i="4"/>
  <c r="N187" i="4"/>
  <c r="O287" i="11"/>
  <c r="O18" i="11" s="1"/>
  <c r="F11" i="13" s="1"/>
  <c r="H33" i="22" s="1"/>
  <c r="N198" i="4"/>
  <c r="L187" i="4"/>
  <c r="J198" i="4"/>
  <c r="C29" i="13"/>
  <c r="F29" i="13"/>
  <c r="E11" i="13"/>
  <c r="H32" i="22" s="1"/>
  <c r="U19" i="11"/>
  <c r="D11" i="13"/>
  <c r="H31" i="22" s="1"/>
  <c r="T19" i="11"/>
  <c r="J38" i="4"/>
  <c r="M38" i="4"/>
  <c r="M2091" i="4" s="1"/>
  <c r="M18" i="4" s="1"/>
  <c r="J208" i="4"/>
  <c r="J57" i="4"/>
  <c r="F7" i="14"/>
  <c r="H37" i="22"/>
  <c r="B7" i="14"/>
  <c r="H18" i="22"/>
  <c r="J29" i="4"/>
  <c r="J226" i="4"/>
  <c r="J177" i="4"/>
  <c r="D7" i="14"/>
  <c r="H35" i="22"/>
  <c r="J50" i="4"/>
  <c r="J236" i="4"/>
  <c r="G29" i="13"/>
  <c r="Q2091" i="4"/>
  <c r="Q18" i="4" s="1"/>
  <c r="AJ18" i="4" s="1"/>
  <c r="K2091" i="4"/>
  <c r="K18" i="4" s="1"/>
  <c r="I2091" i="4"/>
  <c r="I18" i="4" s="1"/>
  <c r="AB18" i="4" s="1"/>
  <c r="O2091" i="4"/>
  <c r="O18" i="4" s="1"/>
  <c r="P2091" i="4"/>
  <c r="P18" i="4" s="1"/>
  <c r="L236" i="4"/>
  <c r="D29" i="13"/>
  <c r="C16" i="14"/>
  <c r="M11" i="2"/>
  <c r="B16" i="14"/>
  <c r="M10" i="2"/>
  <c r="E6" i="14"/>
  <c r="H51" i="22" s="1"/>
  <c r="N377" i="2"/>
  <c r="C6" i="14" s="1"/>
  <c r="J9" i="15"/>
  <c r="J8" i="15"/>
  <c r="AH18" i="4" l="1"/>
  <c r="G16" i="13"/>
  <c r="H50" i="22" s="1"/>
  <c r="L11" i="13"/>
  <c r="N2091" i="4"/>
  <c r="N18" i="4" s="1"/>
  <c r="F16" i="13" s="1"/>
  <c r="H49" i="22" s="1"/>
  <c r="Q18" i="11"/>
  <c r="V19" i="11"/>
  <c r="E16" i="13"/>
  <c r="H48" i="22" s="1"/>
  <c r="AF18" i="4"/>
  <c r="C16" i="13"/>
  <c r="H46" i="22" s="1"/>
  <c r="AD18" i="4"/>
  <c r="AI18" i="4"/>
  <c r="L2091" i="4"/>
  <c r="L18" i="4" s="1"/>
  <c r="J2091" i="4"/>
  <c r="J18" i="4" s="1"/>
  <c r="AC18" i="4" s="1"/>
  <c r="E7" i="14"/>
  <c r="C7" i="14"/>
  <c r="I22" i="4"/>
  <c r="Q22" i="4"/>
  <c r="O22" i="4"/>
  <c r="M22" i="4"/>
  <c r="K22" i="4"/>
  <c r="P22" i="4"/>
  <c r="AG18" i="4" l="1"/>
  <c r="N22" i="4"/>
  <c r="D16" i="13"/>
  <c r="H47" i="22" s="1"/>
  <c r="AE18" i="4"/>
  <c r="L22" i="4"/>
  <c r="B16" i="13"/>
  <c r="J22" i="4"/>
  <c r="L29" i="13"/>
  <c r="R22" i="4" l="1"/>
  <c r="L16" i="13"/>
  <c r="N11" i="13" s="1"/>
  <c r="H45" i="2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 Silveira Alencar</author>
    <author>Gabriel Silveria Alencar</author>
  </authors>
  <commentList>
    <comment ref="H389" authorId="0" shapeId="0" xr:uid="{3DA97EA9-ED52-4A9F-839B-C09751A5801E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NA VIGA DA AREA DO PILAR</t>
        </r>
      </text>
    </comment>
    <comment ref="H392" authorId="1" shapeId="0" xr:uid="{796240FD-A260-4F97-852D-C8A9433BB33A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405" authorId="0" shapeId="0" xr:uid="{102DA65C-E7D9-4C9B-BEA9-8B6E17CFDDF1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NA VIGA DA AREA DO PILAR</t>
        </r>
      </text>
    </comment>
    <comment ref="H426" authorId="0" shapeId="0" xr:uid="{A5D3174B-8684-49F8-AD90-CF039B9D390B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DA FORMA DE VIGA OND PASSA A LAJE
</t>
        </r>
      </text>
    </comment>
    <comment ref="H427" authorId="0" shapeId="0" xr:uid="{F86A8948-3F7A-41E9-A7E4-57D507FBA7BB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NA VIGA DA AREA DO PILAR</t>
        </r>
      </text>
    </comment>
    <comment ref="H432" authorId="1" shapeId="0" xr:uid="{2D07B2BE-C1EE-4760-9BB6-56C3393D74D1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460" authorId="0" shapeId="0" xr:uid="{CACF38C3-5673-407D-9310-F8EF7E4FA01E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NA VIGA DA AREA DO PILAR</t>
        </r>
      </text>
    </comment>
    <comment ref="H467" authorId="0" shapeId="0" xr:uid="{37BAE60F-EA46-4B76-B701-51D722238E59}">
      <text>
        <r>
          <rPr>
            <b/>
            <sz val="9"/>
            <color indexed="81"/>
            <rFont val="Segoe UI"/>
            <charset val="1"/>
          </rPr>
          <t>Gabriel Silveira Alencar:</t>
        </r>
        <r>
          <rPr>
            <sz val="9"/>
            <color indexed="81"/>
            <rFont val="Segoe UI"/>
            <charset val="1"/>
          </rPr>
          <t xml:space="preserve">
DESCONTO DA FORMA DE VIGA OND PASSA A LAJE
</t>
        </r>
      </text>
    </comment>
    <comment ref="H468" authorId="1" shapeId="0" xr:uid="{C1E7D0D4-7E6E-45EE-AAC7-3C9E39823827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526" authorId="1" shapeId="0" xr:uid="{B42ABDB3-6FEC-40B2-9303-1DF846874B6E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582" authorId="1" shapeId="0" xr:uid="{59F38EBE-04A6-4470-9ACF-6CC882AE39AF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650" authorId="1" shapeId="0" xr:uid="{3A4F6997-441D-40F5-B518-086FA72C0AAD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690" authorId="1" shapeId="0" xr:uid="{687A11FC-2A6F-425A-A1D3-F316D759B2A0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0" authorId="1" shapeId="0" xr:uid="{28821B09-7EA8-4AD5-93B5-3E0828A74247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1" authorId="1" shapeId="0" xr:uid="{A17115E1-DC1D-4189-ACE7-EEED16995962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2" authorId="1" shapeId="0" xr:uid="{3FBF5716-ABD0-47F8-82CB-49C1116D8E6F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3" authorId="1" shapeId="0" xr:uid="{67A69644-2ABB-46E3-B9B8-E5100CC1F3CC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4" authorId="1" shapeId="0" xr:uid="{1A8B91B8-FDB5-4B38-847D-C663989ED481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5" authorId="1" shapeId="0" xr:uid="{63B81571-715E-4A4B-8DE2-7DCDFD785E12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6" authorId="1" shapeId="0" xr:uid="{8293B53E-A62E-46B6-A425-DBED3387A8DF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7" authorId="1" shapeId="0" xr:uid="{EE89A21F-168F-426A-8D94-693C500AF3EF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8" authorId="1" shapeId="0" xr:uid="{014E6113-57DE-4979-A8FC-47172BA33DE6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39" authorId="1" shapeId="0" xr:uid="{7ADE0224-880E-49EA-BCF2-2ACD3834C645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40" authorId="1" shapeId="0" xr:uid="{ABCB13F9-BC39-43C9-AEE7-FE2338F1E173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  <comment ref="H741" authorId="1" shapeId="0" xr:uid="{BFFAE5E9-71C1-4301-8102-0363D09DDC61}">
      <text>
        <r>
          <rPr>
            <b/>
            <sz val="9"/>
            <color indexed="81"/>
            <rFont val="Segoe UI"/>
            <charset val="1"/>
          </rPr>
          <t>Gabriel Silveria Alencar:</t>
        </r>
        <r>
          <rPr>
            <sz val="9"/>
            <color indexed="81"/>
            <rFont val="Segoe UI"/>
            <charset val="1"/>
          </rPr>
          <t xml:space="preserve">
FORMULA SEM FUNDO, USAR ALVENARIA</t>
        </r>
      </text>
    </comment>
  </commentList>
</comments>
</file>

<file path=xl/sharedStrings.xml><?xml version="1.0" encoding="utf-8"?>
<sst xmlns="http://schemas.openxmlformats.org/spreadsheetml/2006/main" count="6995" uniqueCount="2261">
  <si>
    <t>PILARES</t>
  </si>
  <si>
    <t>REF</t>
  </si>
  <si>
    <t>COMP</t>
  </si>
  <si>
    <t>LARG</t>
  </si>
  <si>
    <t>ALT</t>
  </si>
  <si>
    <t>NÍVEL</t>
  </si>
  <si>
    <t>DIM (M)</t>
  </si>
  <si>
    <t>FÔRMA (M2)</t>
  </si>
  <si>
    <t>CONCRETO (M3)</t>
  </si>
  <si>
    <t>QUANT</t>
  </si>
  <si>
    <t>TOTAL =</t>
  </si>
  <si>
    <t>OBSERV.</t>
  </si>
  <si>
    <t>LOCALIZ</t>
  </si>
  <si>
    <t>CHECK</t>
  </si>
  <si>
    <t>M2</t>
  </si>
  <si>
    <t>M3</t>
  </si>
  <si>
    <t>FÔRMA =</t>
  </si>
  <si>
    <t>Dados</t>
  </si>
  <si>
    <t>Peso ( kg )</t>
  </si>
  <si>
    <t>N.</t>
  </si>
  <si>
    <t>Q</t>
  </si>
  <si>
    <t>Bitola</t>
  </si>
  <si>
    <t>TOTAL GERAL</t>
  </si>
  <si>
    <t>5.0</t>
  </si>
  <si>
    <t>6.3</t>
  </si>
  <si>
    <t>8.0</t>
  </si>
  <si>
    <t>10.0</t>
  </si>
  <si>
    <t>12.5</t>
  </si>
  <si>
    <t>16.0</t>
  </si>
  <si>
    <t>20.0</t>
  </si>
  <si>
    <t>25.0</t>
  </si>
  <si>
    <t>4.2</t>
  </si>
  <si>
    <t>Comp. (m)</t>
  </si>
  <si>
    <t>Comp tot (m)</t>
  </si>
  <si>
    <t>COMP TOT (M)</t>
  </si>
  <si>
    <t>Total Geral =</t>
  </si>
  <si>
    <t>REPÚBLICA FEDERATIVA DO BRASIL</t>
  </si>
  <si>
    <t>MINISTÉRIO DA EDUCAÇÃO</t>
  </si>
  <si>
    <t>INSTITUTO FEDERAL DE EDUCAÇÃO, CIÊNCIA E TECNOLOGIA DO AMAZONAS</t>
  </si>
  <si>
    <t>SECRETARIA DE EDUCAÇÃO MÉDIA  E TECNOLÓGICA</t>
  </si>
  <si>
    <t>CA-50 A</t>
  </si>
  <si>
    <t>PESO (KG)</t>
  </si>
  <si>
    <t>BALDRAME</t>
  </si>
  <si>
    <t>CA-60B</t>
  </si>
  <si>
    <t>PILAR</t>
  </si>
  <si>
    <t>OBS.:</t>
  </si>
  <si>
    <t>TOTAL (KG)</t>
  </si>
  <si>
    <t>LOCAL/SITUA</t>
  </si>
  <si>
    <t>CONCRETO FCK 25 MPA =</t>
  </si>
  <si>
    <t>FUNDAÇÃO</t>
  </si>
  <si>
    <t>COBERTURA</t>
  </si>
  <si>
    <t>ESCAVAÇÃO (M3)</t>
  </si>
  <si>
    <t>REATERRO (M3)</t>
  </si>
  <si>
    <t>CONCRETO MAGRO (M3)</t>
  </si>
  <si>
    <t>Pavimento : BALDRAME</t>
  </si>
  <si>
    <t>VIGA BALDRAME</t>
  </si>
  <si>
    <t>Concreto magro h- 5 cm
Abertura da escavação 15cm de cada lado da vala da viga baldrame</t>
  </si>
  <si>
    <t>ESCAVAÇÃO 30 CM DE CADA LADO
CONCRETO MAGRO COM H = 5CM</t>
  </si>
  <si>
    <t>Listagem de Ferro SAPATA - RESUMO</t>
  </si>
  <si>
    <t>PESO TOTAL (KG) =</t>
  </si>
  <si>
    <t>TOTAL:</t>
  </si>
  <si>
    <t>Listagem de Ferro VIGAS</t>
  </si>
  <si>
    <t>Total (Kg) por diâmetro de aço =</t>
  </si>
  <si>
    <t>AÇO CA-60B</t>
  </si>
  <si>
    <t>AÇO CA-50A</t>
  </si>
  <si>
    <t>10,0 MM</t>
  </si>
  <si>
    <t>12,5 MM</t>
  </si>
  <si>
    <t>16,0 MM</t>
  </si>
  <si>
    <t>AÇO INFRAESTRUTURA (VIGA BALDRAME)</t>
  </si>
  <si>
    <t>AÇO SUPERESTRUTURA (PILARES E VIGAS)</t>
  </si>
  <si>
    <t>PILAR:</t>
  </si>
  <si>
    <t>BIT:</t>
  </si>
  <si>
    <t>TIPO:</t>
  </si>
  <si>
    <t>RESUMO AÇO</t>
  </si>
  <si>
    <t>ITENS:</t>
  </si>
  <si>
    <t>FORMA (M2)</t>
  </si>
  <si>
    <t>RESUMO LEVANTAMENTOS</t>
  </si>
  <si>
    <t xml:space="preserve">VIGA: </t>
  </si>
  <si>
    <t>INFRA:</t>
  </si>
  <si>
    <t>SUPER</t>
  </si>
  <si>
    <t>IMPERMEABILIZAÇÃO (M2)</t>
  </si>
  <si>
    <t>VIGAS BALDRAME</t>
  </si>
  <si>
    <t>VIGAS SUPERIOR</t>
  </si>
  <si>
    <t>TOTAL</t>
  </si>
  <si>
    <t>KG</t>
  </si>
  <si>
    <t>LUIZ</t>
  </si>
  <si>
    <t>R1</t>
  </si>
  <si>
    <t>R2</t>
  </si>
  <si>
    <t>VOLUME</t>
  </si>
  <si>
    <t>DESCONTOS/ ACRÉCIMOS (M²)</t>
  </si>
  <si>
    <t>DESCONTOS/ ACRÉCIMOS (M³)</t>
  </si>
  <si>
    <t>ANEXO 2</t>
  </si>
  <si>
    <t>6,3 MM</t>
  </si>
  <si>
    <t>obeservação</t>
  </si>
  <si>
    <t>ARRANQUE</t>
  </si>
  <si>
    <t>V 18</t>
  </si>
  <si>
    <t>V 22</t>
  </si>
  <si>
    <t>5,00 MM</t>
  </si>
  <si>
    <t>8,00 MM</t>
  </si>
  <si>
    <t xml:space="preserve">SUPERIOR </t>
  </si>
  <si>
    <t>COMP. DE ESCAVAÇÃO</t>
  </si>
  <si>
    <t>LAJES</t>
  </si>
  <si>
    <t xml:space="preserve">LAJE </t>
  </si>
  <si>
    <t>ARMADURA POSITIVA</t>
  </si>
  <si>
    <t>LAJE:</t>
  </si>
  <si>
    <t>ARRANQUE:</t>
  </si>
  <si>
    <t>MINISTÉRIO DA EDUCAÇÃO - MEC</t>
  </si>
  <si>
    <t>SECRETARIA DE EDUCAÇÃO MÉDIA  E TECNOLÓGICA - SEMTEC</t>
  </si>
  <si>
    <t>INSTITUTO FEDERAL DE EDUCAÇÃO, CIÊNCIA E TECNOLOGIA DO AMAZONAS - IFAM</t>
  </si>
  <si>
    <t>PRO-REITORIA DE ADMINISTRAÇÃO - PROAD</t>
  </si>
  <si>
    <t>DIRETORIA DE INFRAESTRUTURA - DINFRA</t>
  </si>
  <si>
    <t>Listagem de AÇO ARRANQUES E PILARES - RESUMO</t>
  </si>
  <si>
    <t>OK</t>
  </si>
  <si>
    <t>TÉRREO</t>
  </si>
  <si>
    <t>TOTAL ARRANQUE</t>
  </si>
  <si>
    <t>TOTAL TÉRREO</t>
  </si>
  <si>
    <t>AÇO INFRAESTRUTURA (ARRANQUE)</t>
  </si>
  <si>
    <t>8 MM</t>
  </si>
  <si>
    <t>20,0 MM</t>
  </si>
  <si>
    <t>LAJE</t>
  </si>
  <si>
    <t>5,0 MM</t>
  </si>
  <si>
    <t>SECRETARIA DA EDUCAÇÃO TECNOLÓGICA</t>
  </si>
  <si>
    <t>INSTITUTO DE EDUCAÇÃO CIENCIA E TECNOLOGIA DO AMAZONAS</t>
  </si>
  <si>
    <t xml:space="preserve"> PRÓ-REITORIA DE ADMINISTRAÇÃO</t>
  </si>
  <si>
    <t>DIRETORIA DE INFRAESTRUTURA</t>
  </si>
  <si>
    <t>ok</t>
  </si>
  <si>
    <t>verificar se retira por conta da utilizaçao</t>
  </si>
  <si>
    <t>atualizar cotacao</t>
  </si>
  <si>
    <t>composicao atualizada</t>
  </si>
  <si>
    <t>item retirado</t>
  </si>
  <si>
    <t>quantidade nova</t>
  </si>
  <si>
    <t>CPU NOVA</t>
  </si>
  <si>
    <t>item novo</t>
  </si>
  <si>
    <t>MEMÓRIA DE CÁLCULO</t>
  </si>
  <si>
    <t>MOVIMENTO DE TERRA</t>
  </si>
  <si>
    <t>ANEXO 02</t>
  </si>
  <si>
    <t>INFRAESTRUTURA</t>
  </si>
  <si>
    <t>5.1</t>
  </si>
  <si>
    <t>LASTRO DE CONCRETO MAGRO, APLICADO EM BLOCOS DE COROAMENTO OU SAPATAS, ESPESSURA DE 5 CM. AF_08/2017</t>
  </si>
  <si>
    <t>CP-96555-70363089</t>
  </si>
  <si>
    <t>CONCRETAGEM DE BLOCOS DE COROAMENTO E VIGAS BALDRAME, FCK 25 MPA, COM USO DE JERICA, LANÇAMENTO, ADENSAMENTO E ACABAMENTO</t>
  </si>
  <si>
    <t>5.2</t>
  </si>
  <si>
    <t>ARRANQUE - VIGA BALDRAME</t>
  </si>
  <si>
    <t>ARMAÇÃO DE PILAR OU VIGA DE ESTRUTURA CONVENCIONAL DE CONCRETO ARMADO UTILIZANDO AÇO CA-50 DE 6,3 MM - MONTAGEM. AF_06/2022</t>
  </si>
  <si>
    <t>ARMAÇÃO DE PILAR OU VIGA DE ESTRUTURA CONVENCIONAL DE CONCRETO ARMADO UTILIZANDO AÇO CA-50 DE 12,5 MM - MONTAGEM. AF_06/2022</t>
  </si>
  <si>
    <t>CONCRETAGEM DE PILARES, FCK = 25 MPA, COM USO DE BALDES - LANÇAMENTO, ADENSAMENTO E ACABAMENTO. AF_02/2022</t>
  </si>
  <si>
    <t>SUPERESTRUTURA</t>
  </si>
  <si>
    <t>6.1</t>
  </si>
  <si>
    <t>PILARES - VIGAS DE COBERTURA</t>
  </si>
  <si>
    <t>ARMAÇÃO DE PILAR OU VIGA DE ESTRUTURA CONVENCIONAL DE CONCRETO ARMADO UTILIZANDO AÇO CA-50 DE 8,0 MM - MONTAGEM. AF_06/2022</t>
  </si>
  <si>
    <t>ARMAÇÃO DE PILAR OU VIGA DE ESTRUTURA CONVENCIONAL DE CONCRETO ARMADO UTILIZANDO AÇO CA-50 DE 10,0 MM - MONTAGEM. AF_06/2022</t>
  </si>
  <si>
    <t>CONCRETAGEM DE VIGAS E LAJES, FCK=25 MPA, PARA QUALQUER TIPO DE LAJE COM BALDES EM EDIFICAÇÃO TÉRREA - LANÇAMENTO, ADENSAMENTO E ACABAMENTO. AF_02/2022</t>
  </si>
  <si>
    <t>ARMAÇÃO DE LAJE DE ESTRUTURA CONVENCIONAL DE CONCRETO ARMADO UTILIZANDO AÇO CA-60 DE 5,0 MM - MONTAGEM. AF_06/2022</t>
  </si>
  <si>
    <t>ARMAÇÃO DE PILAR OU VIGA DE ESTRUTURA CONVENCIONAL DE CONCRETO ARMADO UTILIZANDO AÇO CA-60 DE 5,0 MM - MONTAGEM. AF_06/2022</t>
  </si>
  <si>
    <t>foi retirado CPU_IFAM.COZ.096</t>
  </si>
  <si>
    <t>ARMAÇÃO DE SAPATA ISOLADA, VIGA BALDRAME E SAPATA CORRIDA UTILIZANDO AÇO CA-50 DE 8 MM - MONTAGEM. AF_01/2024</t>
  </si>
  <si>
    <t>ARMAÇÃO DE SAPATA ISOLADA, VIGA BALDRAME E SAPATA CORRIDA UTILIZANDO AÇO CA-50 DE 10 MM - MONTAGEM. AF_01/2024</t>
  </si>
  <si>
    <t>ARMAÇÃO DE SAPATA ISOLADA, VIGA BALDRAME E SAPATA CORRIDA UTILIZANDO A ÇO CA-60 DE 5 MM - MONTAGEM. AF_01/2024</t>
  </si>
  <si>
    <t>ARMAÇÃO DE LAJE DE ESTRUTURA CONVENCIONAL DE CONCRETO ARMADO UTILIZANDO AÇO CA-50 DE 6,3 MM - MONTAGEM. AF_06/2022</t>
  </si>
  <si>
    <t>6.2</t>
  </si>
  <si>
    <r>
      <t xml:space="preserve">Obra: </t>
    </r>
    <r>
      <rPr>
        <i/>
        <sz val="10"/>
        <color rgb="FF000000"/>
        <rFont val="Arial"/>
        <family val="2"/>
      </rPr>
      <t>Construção de Cozinha Industrial e Refeitório do Campus Itacoatiara</t>
    </r>
  </si>
  <si>
    <r>
      <t xml:space="preserve">Endereço: </t>
    </r>
    <r>
      <rPr>
        <i/>
        <sz val="10"/>
        <color rgb="FF000000"/>
        <rFont val="Arial"/>
        <family val="2"/>
      </rPr>
      <t>Rod. AM-010, KM 08, s/n - Comunidade da Penha - Itacoatiara/AM - CEP: 69.100-00</t>
    </r>
  </si>
  <si>
    <t>PRO-REITORIA DE ADMINISTRAÇÃO</t>
  </si>
  <si>
    <t>Listagem de AÇO ARRANQUES E PILARES</t>
  </si>
  <si>
    <t>Listagem de Aço LAJES - RESUMO</t>
  </si>
  <si>
    <t>Listagem de AÇO LAJES</t>
  </si>
  <si>
    <t>Listagem de AÇO VIGAS</t>
  </si>
  <si>
    <t>Listagem de AÇO VIGAS - RESUMO</t>
  </si>
  <si>
    <t>PE-1</t>
  </si>
  <si>
    <t>PE-2</t>
  </si>
  <si>
    <t>PE-3</t>
  </si>
  <si>
    <t>PE-4</t>
  </si>
  <si>
    <t>PE-5</t>
  </si>
  <si>
    <t>PE-6</t>
  </si>
  <si>
    <t>PE-7</t>
  </si>
  <si>
    <t>PE-8</t>
  </si>
  <si>
    <t>PE-9</t>
  </si>
  <si>
    <t>PE-10</t>
  </si>
  <si>
    <t>VCE-1</t>
  </si>
  <si>
    <t>VCE-2</t>
  </si>
  <si>
    <t>VCE-3</t>
  </si>
  <si>
    <t>VCE-4</t>
  </si>
  <si>
    <t>VCE-5</t>
  </si>
  <si>
    <t>VCE-6</t>
  </si>
  <si>
    <t>PLATIBANDA</t>
  </si>
  <si>
    <t>VPE-1</t>
  </si>
  <si>
    <t>VPE-2</t>
  </si>
  <si>
    <t>VPE-3</t>
  </si>
  <si>
    <t>VPE-4</t>
  </si>
  <si>
    <t>VBE-1</t>
  </si>
  <si>
    <t>VBE-2</t>
  </si>
  <si>
    <t>VBE-3</t>
  </si>
  <si>
    <t>VBE-4</t>
  </si>
  <si>
    <t>VBE-5</t>
  </si>
  <si>
    <t>VBE-6</t>
  </si>
  <si>
    <t>BLOCO E - BIBLIOTECA</t>
  </si>
  <si>
    <t>BLOCO D - HIGIENE</t>
  </si>
  <si>
    <t>VBD-1</t>
  </si>
  <si>
    <t>VBD-2</t>
  </si>
  <si>
    <t>VBD-3</t>
  </si>
  <si>
    <t>VBD-4</t>
  </si>
  <si>
    <t>VBD-5</t>
  </si>
  <si>
    <t>VBD-6</t>
  </si>
  <si>
    <t>VBD-7</t>
  </si>
  <si>
    <t>VBD-8</t>
  </si>
  <si>
    <t>VBD-9</t>
  </si>
  <si>
    <t>VBD-10</t>
  </si>
  <si>
    <t>VBD-11</t>
  </si>
  <si>
    <t>VBD-12</t>
  </si>
  <si>
    <t>VCD-1</t>
  </si>
  <si>
    <t>VCD-2</t>
  </si>
  <si>
    <t>VCD-3</t>
  </si>
  <si>
    <t>VCD-4</t>
  </si>
  <si>
    <t>VCD-5</t>
  </si>
  <si>
    <t>VCD-6</t>
  </si>
  <si>
    <t>VCD-7</t>
  </si>
  <si>
    <t>VCD-8</t>
  </si>
  <si>
    <t>PD-1</t>
  </si>
  <si>
    <t>PD-2</t>
  </si>
  <si>
    <t>PD-3</t>
  </si>
  <si>
    <t>PD-4</t>
  </si>
  <si>
    <t>PD-5</t>
  </si>
  <si>
    <t>PD-6</t>
  </si>
  <si>
    <t>PD-7</t>
  </si>
  <si>
    <t>PD-8</t>
  </si>
  <si>
    <t>PD-9</t>
  </si>
  <si>
    <t>PD-10</t>
  </si>
  <si>
    <t>PD-11</t>
  </si>
  <si>
    <t>PD-12</t>
  </si>
  <si>
    <t>PD-13</t>
  </si>
  <si>
    <t>PD-14</t>
  </si>
  <si>
    <t>PD-15</t>
  </si>
  <si>
    <t>VBF-1</t>
  </si>
  <si>
    <t>VBF-2</t>
  </si>
  <si>
    <t>VBF-3</t>
  </si>
  <si>
    <t>VBF-4</t>
  </si>
  <si>
    <t>VBF-5</t>
  </si>
  <si>
    <t>VBF-6</t>
  </si>
  <si>
    <t>VBF-7</t>
  </si>
  <si>
    <t>VBF-8</t>
  </si>
  <si>
    <t>VBF-9</t>
  </si>
  <si>
    <t>VBF-10</t>
  </si>
  <si>
    <t>VBF-11</t>
  </si>
  <si>
    <t>VBF-12</t>
  </si>
  <si>
    <t>VBF-13</t>
  </si>
  <si>
    <t>VBF-14</t>
  </si>
  <si>
    <t>VBF-15</t>
  </si>
  <si>
    <t>VBF-16</t>
  </si>
  <si>
    <t>VBF-17</t>
  </si>
  <si>
    <t>VBF-18</t>
  </si>
  <si>
    <t>VBF-19</t>
  </si>
  <si>
    <t>VBF-20</t>
  </si>
  <si>
    <t>VBF-21</t>
  </si>
  <si>
    <t>VBF-22</t>
  </si>
  <si>
    <t>VBF-23</t>
  </si>
  <si>
    <t>VBF-24</t>
  </si>
  <si>
    <t>VBF-25</t>
  </si>
  <si>
    <t>VBF-26</t>
  </si>
  <si>
    <t>VBF-27</t>
  </si>
  <si>
    <t>VBF-28</t>
  </si>
  <si>
    <t>VBF-29</t>
  </si>
  <si>
    <t>VBF-30</t>
  </si>
  <si>
    <t>PF1/PF2/PF3/PF4/PF5/PF6</t>
  </si>
  <si>
    <t>VCF-1</t>
  </si>
  <si>
    <t>VCF-2</t>
  </si>
  <si>
    <t>VCF-3</t>
  </si>
  <si>
    <t>VCF-4</t>
  </si>
  <si>
    <t>VCF-5</t>
  </si>
  <si>
    <t>VCF-6</t>
  </si>
  <si>
    <t>VCF-7</t>
  </si>
  <si>
    <t>VCF-8</t>
  </si>
  <si>
    <t>VCF-9</t>
  </si>
  <si>
    <t>VCF-10</t>
  </si>
  <si>
    <t>VCF-11</t>
  </si>
  <si>
    <t>VCF-12</t>
  </si>
  <si>
    <t>VCF-13</t>
  </si>
  <si>
    <t>VCF-14</t>
  </si>
  <si>
    <t>VCF-15</t>
  </si>
  <si>
    <t>VCF-16</t>
  </si>
  <si>
    <t>VCF-17</t>
  </si>
  <si>
    <t>VPF-1</t>
  </si>
  <si>
    <t>BLOCO F - SALAS MULTIUSO</t>
  </si>
  <si>
    <t>VPF-2</t>
  </si>
  <si>
    <t>VPF-3</t>
  </si>
  <si>
    <t>VPF-4</t>
  </si>
  <si>
    <t>VPF-5</t>
  </si>
  <si>
    <t>VPF-6</t>
  </si>
  <si>
    <t>VPF-7</t>
  </si>
  <si>
    <t>VPF-8</t>
  </si>
  <si>
    <t>PF2/PF3/PF4/PF5</t>
  </si>
  <si>
    <t>PF16/PF17/PF18/PF19/PF20/PF21</t>
  </si>
  <si>
    <t>LTF-1</t>
  </si>
  <si>
    <t>LTF-2</t>
  </si>
  <si>
    <t>LTF-3</t>
  </si>
  <si>
    <t>LTF-4</t>
  </si>
  <si>
    <t>LTF-5</t>
  </si>
  <si>
    <t>LTF-6</t>
  </si>
  <si>
    <t>LTF-7</t>
  </si>
  <si>
    <t>LTF-8</t>
  </si>
  <si>
    <t>LTF-9</t>
  </si>
  <si>
    <t>LTF-10</t>
  </si>
  <si>
    <t>PF-1</t>
  </si>
  <si>
    <t>PF-2</t>
  </si>
  <si>
    <t>PF-3</t>
  </si>
  <si>
    <t>PF-4</t>
  </si>
  <si>
    <t>PF-5</t>
  </si>
  <si>
    <t>PF-6</t>
  </si>
  <si>
    <t>PF-7</t>
  </si>
  <si>
    <t>PF-8</t>
  </si>
  <si>
    <t>PF-9</t>
  </si>
  <si>
    <t>PF-10</t>
  </si>
  <si>
    <t>PF-11</t>
  </si>
  <si>
    <t>PF-12</t>
  </si>
  <si>
    <t>PF-13</t>
  </si>
  <si>
    <t>PF-14</t>
  </si>
  <si>
    <t>PF-15</t>
  </si>
  <si>
    <t>PF-16</t>
  </si>
  <si>
    <t>PF-17</t>
  </si>
  <si>
    <t>PF-18</t>
  </si>
  <si>
    <t>PF-19</t>
  </si>
  <si>
    <t>PF-20</t>
  </si>
  <si>
    <t>PF-21</t>
  </si>
  <si>
    <t>PF-22</t>
  </si>
  <si>
    <t>BLOCO G - PEDAGOGICO 1</t>
  </si>
  <si>
    <t>VBG-1</t>
  </si>
  <si>
    <t>VBG-2</t>
  </si>
  <si>
    <t>VBG-3</t>
  </si>
  <si>
    <t>VBG-4</t>
  </si>
  <si>
    <t>VBG-5</t>
  </si>
  <si>
    <t>VBG-6</t>
  </si>
  <si>
    <t>VBG-7</t>
  </si>
  <si>
    <t>VBG-8</t>
  </si>
  <si>
    <t>VBG-9</t>
  </si>
  <si>
    <t>VBG-10</t>
  </si>
  <si>
    <t>VBG-11</t>
  </si>
  <si>
    <t>VBG-12</t>
  </si>
  <si>
    <t>VBG-13</t>
  </si>
  <si>
    <t>VBG-14</t>
  </si>
  <si>
    <t>VBG-15</t>
  </si>
  <si>
    <t>VBG-16</t>
  </si>
  <si>
    <t>VBG-17</t>
  </si>
  <si>
    <t>VBG-18</t>
  </si>
  <si>
    <t>VBG-19</t>
  </si>
  <si>
    <t>VBG-20</t>
  </si>
  <si>
    <t>VBG-21</t>
  </si>
  <si>
    <t>VBG-22</t>
  </si>
  <si>
    <t>VBG-23</t>
  </si>
  <si>
    <t>VBG-24</t>
  </si>
  <si>
    <t>VBG-25</t>
  </si>
  <si>
    <t>VBG-26</t>
  </si>
  <si>
    <t>VCG-1</t>
  </si>
  <si>
    <t>VCG-2</t>
  </si>
  <si>
    <t>VCG-3</t>
  </si>
  <si>
    <t>VCG-4</t>
  </si>
  <si>
    <t>VCG-5</t>
  </si>
  <si>
    <t>VCG-6</t>
  </si>
  <si>
    <t>VCG-7</t>
  </si>
  <si>
    <t>VCG-8</t>
  </si>
  <si>
    <t>VCG-9</t>
  </si>
  <si>
    <t>VCG-10</t>
  </si>
  <si>
    <t>VCG-11</t>
  </si>
  <si>
    <t>VCG-12</t>
  </si>
  <si>
    <t>VCG-13</t>
  </si>
  <si>
    <t>VCG-14</t>
  </si>
  <si>
    <t>VCG-15</t>
  </si>
  <si>
    <t>VCG-16</t>
  </si>
  <si>
    <t>VCG-17</t>
  </si>
  <si>
    <t>PG1</t>
  </si>
  <si>
    <t>PG2-3-5-7</t>
  </si>
  <si>
    <t>PG4-</t>
  </si>
  <si>
    <t>PG6-15-</t>
  </si>
  <si>
    <t>PG8-10-12</t>
  </si>
  <si>
    <t>PG13-14-16-</t>
  </si>
  <si>
    <t>PG17</t>
  </si>
  <si>
    <t>PE1-2-7-8</t>
  </si>
  <si>
    <t>PE3-5-</t>
  </si>
  <si>
    <t>PE4-6</t>
  </si>
  <si>
    <t>PD1-3-4-6-7-10-12-13-15</t>
  </si>
  <si>
    <t>PD2-5-9-11-14</t>
  </si>
  <si>
    <t>PD8</t>
  </si>
  <si>
    <t>PF1-2-3-4-5-6</t>
  </si>
  <si>
    <t>PF7-8-9-10-11</t>
  </si>
  <si>
    <t>PF12</t>
  </si>
  <si>
    <t>PF13-14-21</t>
  </si>
  <si>
    <t>PF15-16-17-18-19-20-22</t>
  </si>
  <si>
    <t>VPG-1</t>
  </si>
  <si>
    <t>VPG-2</t>
  </si>
  <si>
    <t>VPG-3</t>
  </si>
  <si>
    <t>VPG-4</t>
  </si>
  <si>
    <t>VPG-5</t>
  </si>
  <si>
    <t>VPG-6</t>
  </si>
  <si>
    <t>VPG-7</t>
  </si>
  <si>
    <t>VPG-8</t>
  </si>
  <si>
    <t>VPG-9</t>
  </si>
  <si>
    <t>PG-14/PG-16</t>
  </si>
  <si>
    <t>PG-1</t>
  </si>
  <si>
    <t>PG-2</t>
  </si>
  <si>
    <t>PG-3</t>
  </si>
  <si>
    <t>PG-4</t>
  </si>
  <si>
    <t>PG-5</t>
  </si>
  <si>
    <t>PG-6</t>
  </si>
  <si>
    <t>PG-7</t>
  </si>
  <si>
    <t>PG-8</t>
  </si>
  <si>
    <t>PG-10</t>
  </si>
  <si>
    <t>PG-12</t>
  </si>
  <si>
    <t>PG-13</t>
  </si>
  <si>
    <t>PG-14</t>
  </si>
  <si>
    <t>PG-15</t>
  </si>
  <si>
    <t>PG-16</t>
  </si>
  <si>
    <t>PG-17</t>
  </si>
  <si>
    <t>PG-18</t>
  </si>
  <si>
    <t>PG-19</t>
  </si>
  <si>
    <t>PG-20</t>
  </si>
  <si>
    <t>PILARES E VIGA Q ATRAVESSAM A LAJE</t>
  </si>
  <si>
    <t>PILARES E VIGAS QUE ATRAVESSAM A LAJE</t>
  </si>
  <si>
    <t>LCG-1</t>
  </si>
  <si>
    <t>LCG-2</t>
  </si>
  <si>
    <t>LCG-3</t>
  </si>
  <si>
    <t>LCG-4</t>
  </si>
  <si>
    <t>LCG-5</t>
  </si>
  <si>
    <t>LCG-6</t>
  </si>
  <si>
    <t>LCG-7</t>
  </si>
  <si>
    <t>BLOCO H - PEDAGOGICO 2</t>
  </si>
  <si>
    <t>VBH-1</t>
  </si>
  <si>
    <t>VBH-2</t>
  </si>
  <si>
    <t>VBH-3</t>
  </si>
  <si>
    <t>VBH-4</t>
  </si>
  <si>
    <t>VBH-5</t>
  </si>
  <si>
    <t>VBH-6</t>
  </si>
  <si>
    <t>VBH-7</t>
  </si>
  <si>
    <t>VBH-8</t>
  </si>
  <si>
    <t>VBH-9</t>
  </si>
  <si>
    <t>VBH-10</t>
  </si>
  <si>
    <t>VBH-11</t>
  </si>
  <si>
    <t>VBH-12</t>
  </si>
  <si>
    <t>VBH-13</t>
  </si>
  <si>
    <t>VBH-14</t>
  </si>
  <si>
    <t>VBH-15</t>
  </si>
  <si>
    <t>VBH-16</t>
  </si>
  <si>
    <t>VBH-17</t>
  </si>
  <si>
    <t>VBH-18</t>
  </si>
  <si>
    <t>VBH-19</t>
  </si>
  <si>
    <t>VBH-20</t>
  </si>
  <si>
    <t>VBH-21</t>
  </si>
  <si>
    <t>VBH-22</t>
  </si>
  <si>
    <t>VBH-23</t>
  </si>
  <si>
    <t>VBH-24</t>
  </si>
  <si>
    <t>VBH-25</t>
  </si>
  <si>
    <t>VBH-26</t>
  </si>
  <si>
    <t>VBH-27</t>
  </si>
  <si>
    <t>VBH-28</t>
  </si>
  <si>
    <t>VBH-29</t>
  </si>
  <si>
    <t>VBH-30</t>
  </si>
  <si>
    <t>VBH-31</t>
  </si>
  <si>
    <t>VBH-32</t>
  </si>
  <si>
    <t>VBH-33</t>
  </si>
  <si>
    <t>VBH-34</t>
  </si>
  <si>
    <t>VBH-35</t>
  </si>
  <si>
    <t>VBH-36</t>
  </si>
  <si>
    <t>VBH-37</t>
  </si>
  <si>
    <t>VBH-38</t>
  </si>
  <si>
    <t>VBH-39</t>
  </si>
  <si>
    <t>VBH-40</t>
  </si>
  <si>
    <t>VBH-41</t>
  </si>
  <si>
    <t>VBH-42</t>
  </si>
  <si>
    <t>VBH-43</t>
  </si>
  <si>
    <t>VBH-44</t>
  </si>
  <si>
    <t>VBH-45</t>
  </si>
  <si>
    <t>VCH-1</t>
  </si>
  <si>
    <t>VCH-2</t>
  </si>
  <si>
    <t>VCH-3</t>
  </si>
  <si>
    <t>VCH-4</t>
  </si>
  <si>
    <t>VCH-5</t>
  </si>
  <si>
    <t>VCH-6</t>
  </si>
  <si>
    <t>VCH-7</t>
  </si>
  <si>
    <t>VCH-8</t>
  </si>
  <si>
    <t>VCH-9</t>
  </si>
  <si>
    <t>VCH-10</t>
  </si>
  <si>
    <t>VCH-11</t>
  </si>
  <si>
    <t>VCH-12</t>
  </si>
  <si>
    <t>VCH-13</t>
  </si>
  <si>
    <t>VCH-14</t>
  </si>
  <si>
    <t>VCH-15</t>
  </si>
  <si>
    <t>VCH-16</t>
  </si>
  <si>
    <t>VCH-17</t>
  </si>
  <si>
    <t>VCH-18</t>
  </si>
  <si>
    <t>VCH-19</t>
  </si>
  <si>
    <t>VCH-20</t>
  </si>
  <si>
    <t>VCH-21</t>
  </si>
  <si>
    <t>VCH-22</t>
  </si>
  <si>
    <t>VCH-23</t>
  </si>
  <si>
    <t>VCH-24</t>
  </si>
  <si>
    <t>VCH-25</t>
  </si>
  <si>
    <t>VCH-26</t>
  </si>
  <si>
    <t>VCH-27</t>
  </si>
  <si>
    <t>VCH-28</t>
  </si>
  <si>
    <t>VCH-29</t>
  </si>
  <si>
    <t>VCH-30</t>
  </si>
  <si>
    <t>VCH-31</t>
  </si>
  <si>
    <t>VCH-32</t>
  </si>
  <si>
    <t>VCH-33</t>
  </si>
  <si>
    <t>VCH-34</t>
  </si>
  <si>
    <t>VCH-35</t>
  </si>
  <si>
    <t>VCH-36</t>
  </si>
  <si>
    <t>VCH-37</t>
  </si>
  <si>
    <t>VCH-38</t>
  </si>
  <si>
    <t>VCH-39</t>
  </si>
  <si>
    <t>VCH-40</t>
  </si>
  <si>
    <t>VCH-41</t>
  </si>
  <si>
    <t>VCH-42</t>
  </si>
  <si>
    <t>VCH-43</t>
  </si>
  <si>
    <t>VCH-44</t>
  </si>
  <si>
    <t>VCH-45</t>
  </si>
  <si>
    <t>VCH-46</t>
  </si>
  <si>
    <t>PH28-31-32</t>
  </si>
  <si>
    <t>VPH-1</t>
  </si>
  <si>
    <t>VPH-2</t>
  </si>
  <si>
    <t>VPH-3</t>
  </si>
  <si>
    <t>VPH-4</t>
  </si>
  <si>
    <t>VPH-5</t>
  </si>
  <si>
    <t>VPH-6</t>
  </si>
  <si>
    <t>VPH-7</t>
  </si>
  <si>
    <t>VPH-8</t>
  </si>
  <si>
    <t>VPH-9</t>
  </si>
  <si>
    <t>VPH-10</t>
  </si>
  <si>
    <t>VPH-11</t>
  </si>
  <si>
    <t>VPH-12</t>
  </si>
  <si>
    <t>VPH-13</t>
  </si>
  <si>
    <t>PH-1</t>
  </si>
  <si>
    <t>PH-2</t>
  </si>
  <si>
    <t>PH-3</t>
  </si>
  <si>
    <t>PH-4</t>
  </si>
  <si>
    <t>PH-5</t>
  </si>
  <si>
    <t>PH-6</t>
  </si>
  <si>
    <t>PH-7</t>
  </si>
  <si>
    <t>PH-8</t>
  </si>
  <si>
    <t>PH-9</t>
  </si>
  <si>
    <t>PH-10</t>
  </si>
  <si>
    <t>PH-11</t>
  </si>
  <si>
    <t>PH-12</t>
  </si>
  <si>
    <t>PH-13</t>
  </si>
  <si>
    <t>PH-14</t>
  </si>
  <si>
    <t>PH-15</t>
  </si>
  <si>
    <t>PH-16</t>
  </si>
  <si>
    <t>PH-18</t>
  </si>
  <si>
    <t>PH-20</t>
  </si>
  <si>
    <t>PH-22</t>
  </si>
  <si>
    <t>PH-23</t>
  </si>
  <si>
    <t>PH-24</t>
  </si>
  <si>
    <t>PH-25</t>
  </si>
  <si>
    <t>PH-26</t>
  </si>
  <si>
    <t>PH-27</t>
  </si>
  <si>
    <t>PH-28</t>
  </si>
  <si>
    <t>PH-29</t>
  </si>
  <si>
    <t>PH-30</t>
  </si>
  <si>
    <t>PH-31</t>
  </si>
  <si>
    <t>PH-32</t>
  </si>
  <si>
    <t>PH-33</t>
  </si>
  <si>
    <t>PH-34</t>
  </si>
  <si>
    <t>PH-35</t>
  </si>
  <si>
    <t>PH-36</t>
  </si>
  <si>
    <t>PH-37</t>
  </si>
  <si>
    <t>LH-1</t>
  </si>
  <si>
    <t>LH-2</t>
  </si>
  <si>
    <t>LH-3</t>
  </si>
  <si>
    <t>LH-4</t>
  </si>
  <si>
    <t>LH-5</t>
  </si>
  <si>
    <t>LH-6</t>
  </si>
  <si>
    <t>LH-7</t>
  </si>
  <si>
    <t>LH-8</t>
  </si>
  <si>
    <t>LH-9</t>
  </si>
  <si>
    <t>LH-10</t>
  </si>
  <si>
    <t>LH-11</t>
  </si>
  <si>
    <t>LH-12</t>
  </si>
  <si>
    <t>LH-13</t>
  </si>
  <si>
    <t>LH-14</t>
  </si>
  <si>
    <t>LH-15</t>
  </si>
  <si>
    <t>LH-16</t>
  </si>
  <si>
    <t>LH-17</t>
  </si>
  <si>
    <t>LH-18</t>
  </si>
  <si>
    <t>LH-19</t>
  </si>
  <si>
    <t>LH-20</t>
  </si>
  <si>
    <t>LH-21</t>
  </si>
  <si>
    <t>BLOCO I - PEDAGOGICO 3</t>
  </si>
  <si>
    <t>VBI-1</t>
  </si>
  <si>
    <t>VBI-2</t>
  </si>
  <si>
    <t>VBI-3</t>
  </si>
  <si>
    <t>VBI-4</t>
  </si>
  <si>
    <t>VBI-5</t>
  </si>
  <si>
    <t>VBI-6</t>
  </si>
  <si>
    <t>VBI-7</t>
  </si>
  <si>
    <t>VBI-8</t>
  </si>
  <si>
    <t>VBI-9</t>
  </si>
  <si>
    <t>VBI-10</t>
  </si>
  <si>
    <t>VBI-11</t>
  </si>
  <si>
    <t>VBI-12</t>
  </si>
  <si>
    <t>VBI-13</t>
  </si>
  <si>
    <t>VBI-14</t>
  </si>
  <si>
    <t>VBI-15</t>
  </si>
  <si>
    <t>VBI-16</t>
  </si>
  <si>
    <t>VBI-17</t>
  </si>
  <si>
    <t>VBI-18</t>
  </si>
  <si>
    <t>VBI-19</t>
  </si>
  <si>
    <t>VBI-20</t>
  </si>
  <si>
    <t>VBI-21</t>
  </si>
  <si>
    <t>VBI-22</t>
  </si>
  <si>
    <t>VBI-23</t>
  </si>
  <si>
    <t>VBI-24</t>
  </si>
  <si>
    <t>VBI-25</t>
  </si>
  <si>
    <t>VBI-26</t>
  </si>
  <si>
    <t>VBI-27</t>
  </si>
  <si>
    <t>VBI-28</t>
  </si>
  <si>
    <t>VBI-29</t>
  </si>
  <si>
    <t>VBI-30</t>
  </si>
  <si>
    <t>VBI-31</t>
  </si>
  <si>
    <t>VBI-32</t>
  </si>
  <si>
    <t>VBI-33</t>
  </si>
  <si>
    <t>VBI-34</t>
  </si>
  <si>
    <t>VBI-35</t>
  </si>
  <si>
    <t>VBI-36</t>
  </si>
  <si>
    <t>VBI-37</t>
  </si>
  <si>
    <t>VBI-38</t>
  </si>
  <si>
    <t>VBI-39</t>
  </si>
  <si>
    <t>VBI-40</t>
  </si>
  <si>
    <t>VBI-41</t>
  </si>
  <si>
    <t>VBI-42</t>
  </si>
  <si>
    <t>VBI-43</t>
  </si>
  <si>
    <t>VBI-44</t>
  </si>
  <si>
    <t>VBI-45</t>
  </si>
  <si>
    <t>VBI-46</t>
  </si>
  <si>
    <t>VBI-47</t>
  </si>
  <si>
    <t>VBI-48</t>
  </si>
  <si>
    <t>VBI-49</t>
  </si>
  <si>
    <t>VBI-50</t>
  </si>
  <si>
    <t>VBI-51</t>
  </si>
  <si>
    <t>VCI-1A</t>
  </si>
  <si>
    <t>VCI-1B</t>
  </si>
  <si>
    <t>VCI-2A</t>
  </si>
  <si>
    <t>VCI-2B</t>
  </si>
  <si>
    <t>VCI-3A</t>
  </si>
  <si>
    <t>VCI-3B</t>
  </si>
  <si>
    <t>VCI-4A</t>
  </si>
  <si>
    <t>VCI-4B</t>
  </si>
  <si>
    <t>VCI-5</t>
  </si>
  <si>
    <t>VCI-6</t>
  </si>
  <si>
    <t>VCI-7</t>
  </si>
  <si>
    <t>VCI-8</t>
  </si>
  <si>
    <t>VCI-9</t>
  </si>
  <si>
    <t>VCI-10</t>
  </si>
  <si>
    <t>VCI-11</t>
  </si>
  <si>
    <t>VCI-12</t>
  </si>
  <si>
    <t>VCI-13</t>
  </si>
  <si>
    <t>VCI-14</t>
  </si>
  <si>
    <t>VCI-15</t>
  </si>
  <si>
    <t>VCI-16</t>
  </si>
  <si>
    <t>VCI-17</t>
  </si>
  <si>
    <t>VCI-18</t>
  </si>
  <si>
    <t>VCI-19</t>
  </si>
  <si>
    <t>VCI-20</t>
  </si>
  <si>
    <t>VCI-21</t>
  </si>
  <si>
    <t>VCI-22</t>
  </si>
  <si>
    <t>VCI-23</t>
  </si>
  <si>
    <t>VCI-24</t>
  </si>
  <si>
    <t>VCI-25</t>
  </si>
  <si>
    <t>VCI-26</t>
  </si>
  <si>
    <t>VCI-27</t>
  </si>
  <si>
    <t>VCI-28</t>
  </si>
  <si>
    <t>VCI-29</t>
  </si>
  <si>
    <t>VCI-30</t>
  </si>
  <si>
    <t>VCI-31</t>
  </si>
  <si>
    <t>VCI-32</t>
  </si>
  <si>
    <t>VCI-33</t>
  </si>
  <si>
    <t>VCI-34</t>
  </si>
  <si>
    <t>VCI-35</t>
  </si>
  <si>
    <t>VCI-36</t>
  </si>
  <si>
    <t>VCI-37</t>
  </si>
  <si>
    <t>PI-24/26/28/30</t>
  </si>
  <si>
    <t>VPI-1</t>
  </si>
  <si>
    <t>VPI-2</t>
  </si>
  <si>
    <t>VPI-3</t>
  </si>
  <si>
    <t>VPI-4</t>
  </si>
  <si>
    <t>VPI-5</t>
  </si>
  <si>
    <t>VPI-6</t>
  </si>
  <si>
    <t>VPI-7</t>
  </si>
  <si>
    <t>VPI-8</t>
  </si>
  <si>
    <t>VPI-9</t>
  </si>
  <si>
    <t>VPI-10</t>
  </si>
  <si>
    <t>VPI-11</t>
  </si>
  <si>
    <t>VPI-12</t>
  </si>
  <si>
    <t>VPI-13</t>
  </si>
  <si>
    <t>VPI-14</t>
  </si>
  <si>
    <t>VPI-15</t>
  </si>
  <si>
    <t>VPI-16</t>
  </si>
  <si>
    <t>PI-1</t>
  </si>
  <si>
    <t>PI-2</t>
  </si>
  <si>
    <t>PI-3</t>
  </si>
  <si>
    <t>PI-4</t>
  </si>
  <si>
    <t>PI-5</t>
  </si>
  <si>
    <t>PI-6</t>
  </si>
  <si>
    <t>PI-7</t>
  </si>
  <si>
    <t>PI-8</t>
  </si>
  <si>
    <t>PI-9</t>
  </si>
  <si>
    <t>PI-10</t>
  </si>
  <si>
    <t>PI-11</t>
  </si>
  <si>
    <t>PI-12</t>
  </si>
  <si>
    <t>PI-13</t>
  </si>
  <si>
    <t>PI-14</t>
  </si>
  <si>
    <t>PI-16</t>
  </si>
  <si>
    <t>PI-18</t>
  </si>
  <si>
    <t>PI-20</t>
  </si>
  <si>
    <t>PI-22</t>
  </si>
  <si>
    <t>PI-23</t>
  </si>
  <si>
    <t>PI-24</t>
  </si>
  <si>
    <t>PI-25</t>
  </si>
  <si>
    <t>PI-26</t>
  </si>
  <si>
    <t>PI-27</t>
  </si>
  <si>
    <t>PI-28</t>
  </si>
  <si>
    <t>PI-29</t>
  </si>
  <si>
    <t>PI-30</t>
  </si>
  <si>
    <t>PI-31</t>
  </si>
  <si>
    <t>PI-32</t>
  </si>
  <si>
    <t>PI-33</t>
  </si>
  <si>
    <t>PI-34</t>
  </si>
  <si>
    <t>PI-35</t>
  </si>
  <si>
    <t>PI-36</t>
  </si>
  <si>
    <t>PI-37</t>
  </si>
  <si>
    <t>LCI-1</t>
  </si>
  <si>
    <t>LCI-2</t>
  </si>
  <si>
    <t>LCI-3</t>
  </si>
  <si>
    <t>LCI-4</t>
  </si>
  <si>
    <t>LCI-5</t>
  </si>
  <si>
    <t>LCI-6</t>
  </si>
  <si>
    <t>LCI-7</t>
  </si>
  <si>
    <t>LCI-8</t>
  </si>
  <si>
    <t>LCI-9</t>
  </si>
  <si>
    <t>LCI-10</t>
  </si>
  <si>
    <t>LCI-11</t>
  </si>
  <si>
    <t>LCI-12</t>
  </si>
  <si>
    <t>LCI-13</t>
  </si>
  <si>
    <t>LCI-14</t>
  </si>
  <si>
    <t>BLOCO J - PEDAGOGICO 4</t>
  </si>
  <si>
    <t>VBJ-1</t>
  </si>
  <si>
    <t>VBJ-2</t>
  </si>
  <si>
    <t>VBJ-3</t>
  </si>
  <si>
    <t>VBJ-4</t>
  </si>
  <si>
    <t>VBJ-5</t>
  </si>
  <si>
    <t>VBJ-6</t>
  </si>
  <si>
    <t>VBJ-7</t>
  </si>
  <si>
    <t>VBJ-8</t>
  </si>
  <si>
    <t>VBJ-9</t>
  </si>
  <si>
    <t>VBJ-10</t>
  </si>
  <si>
    <t>VBJ-11</t>
  </si>
  <si>
    <t>VBJ-12</t>
  </si>
  <si>
    <t>VBJ-13</t>
  </si>
  <si>
    <t>VBJ-14</t>
  </si>
  <si>
    <t>VBJ-15</t>
  </si>
  <si>
    <t>VBJ-16</t>
  </si>
  <si>
    <t>VBJ-17</t>
  </si>
  <si>
    <t>VBJ-18</t>
  </si>
  <si>
    <t>VBJ-19</t>
  </si>
  <si>
    <t>VBJ-20</t>
  </si>
  <si>
    <t>VBJ-21</t>
  </si>
  <si>
    <t>VBJ-22</t>
  </si>
  <si>
    <t>VBJ-23</t>
  </si>
  <si>
    <t>VBJ-24</t>
  </si>
  <si>
    <t>VBJ-25</t>
  </si>
  <si>
    <t>VBJ-26</t>
  </si>
  <si>
    <t>VBJ-27</t>
  </si>
  <si>
    <t>VBJ-28</t>
  </si>
  <si>
    <t>VBJ-29</t>
  </si>
  <si>
    <t>VBJ-30</t>
  </si>
  <si>
    <t>VBJ-31</t>
  </si>
  <si>
    <t>VBJ-32</t>
  </si>
  <si>
    <t>VBJ-33</t>
  </si>
  <si>
    <t>VBJ-34</t>
  </si>
  <si>
    <t>VBJ-35</t>
  </si>
  <si>
    <t>VBJ-36</t>
  </si>
  <si>
    <t>VBJ-37</t>
  </si>
  <si>
    <t>VBJ-38</t>
  </si>
  <si>
    <t>VBJ-39</t>
  </si>
  <si>
    <t>VBJ-40</t>
  </si>
  <si>
    <t>VBJ-41</t>
  </si>
  <si>
    <t>VBJ-42</t>
  </si>
  <si>
    <t>VBJ-43</t>
  </si>
  <si>
    <t>VBJ-44</t>
  </si>
  <si>
    <t>VBJ-45</t>
  </si>
  <si>
    <t>VBJ-46</t>
  </si>
  <si>
    <t>VBJ-47</t>
  </si>
  <si>
    <t>VBJ-48</t>
  </si>
  <si>
    <t>VBJ-49</t>
  </si>
  <si>
    <t>VBJ-50</t>
  </si>
  <si>
    <t>VBJ-51</t>
  </si>
  <si>
    <t>VBJ-52</t>
  </si>
  <si>
    <t>VBJ-53</t>
  </si>
  <si>
    <t>VBJ-54</t>
  </si>
  <si>
    <t>VBJ-55</t>
  </si>
  <si>
    <t>VBJ-56</t>
  </si>
  <si>
    <t>VBJ-57</t>
  </si>
  <si>
    <t>VBJ-58</t>
  </si>
  <si>
    <t>VBJ-59</t>
  </si>
  <si>
    <t>VBJ-60</t>
  </si>
  <si>
    <t>VBJ-61</t>
  </si>
  <si>
    <t>BLOCO J - PEDAGOGICO 3</t>
  </si>
  <si>
    <t>VCJ-1</t>
  </si>
  <si>
    <t>VCJ-2</t>
  </si>
  <si>
    <t>VCJ-3</t>
  </si>
  <si>
    <t>VCJ-5</t>
  </si>
  <si>
    <t>VCJ-6</t>
  </si>
  <si>
    <t>VCJ-8</t>
  </si>
  <si>
    <t>VCJ-9</t>
  </si>
  <si>
    <t>VCJ-10</t>
  </si>
  <si>
    <t>VCJ-11</t>
  </si>
  <si>
    <t>VCJ-12</t>
  </si>
  <si>
    <t>VCJ-13</t>
  </si>
  <si>
    <t>VCJ-14</t>
  </si>
  <si>
    <t>VCJ-15</t>
  </si>
  <si>
    <t>VCJ-16</t>
  </si>
  <si>
    <t>VCJ-17</t>
  </si>
  <si>
    <t>VCJ-18</t>
  </si>
  <si>
    <t>VCJ-19</t>
  </si>
  <si>
    <t>VCJ-20</t>
  </si>
  <si>
    <t>VCJ-21</t>
  </si>
  <si>
    <t>VCJ-22</t>
  </si>
  <si>
    <t>VCJ-23</t>
  </si>
  <si>
    <t>VCJ-24</t>
  </si>
  <si>
    <t>VCJ-25</t>
  </si>
  <si>
    <t>VCJ-26</t>
  </si>
  <si>
    <t>VCJ-27</t>
  </si>
  <si>
    <t>VCJ-28</t>
  </si>
  <si>
    <t>VCJ-29</t>
  </si>
  <si>
    <t>VCJ-30</t>
  </si>
  <si>
    <t>VCJ-31</t>
  </si>
  <si>
    <t>VCJ-32</t>
  </si>
  <si>
    <t>VCJ-33</t>
  </si>
  <si>
    <t>VCJ-34</t>
  </si>
  <si>
    <t>VCJ-35</t>
  </si>
  <si>
    <t>VCJ-36</t>
  </si>
  <si>
    <t>VCJ-37</t>
  </si>
  <si>
    <t>VCJ-38</t>
  </si>
  <si>
    <t>VCJ-39</t>
  </si>
  <si>
    <t>VCJ-40</t>
  </si>
  <si>
    <t>VCJ-41</t>
  </si>
  <si>
    <t>VCJ-42</t>
  </si>
  <si>
    <t>VCJ-43</t>
  </si>
  <si>
    <t>VCJ-44</t>
  </si>
  <si>
    <t>VCJ-45</t>
  </si>
  <si>
    <t>VCJ-46</t>
  </si>
  <si>
    <t>VCJ-47</t>
  </si>
  <si>
    <t>VCJ-48</t>
  </si>
  <si>
    <t>VCJ-4A</t>
  </si>
  <si>
    <t>VCJ-4B</t>
  </si>
  <si>
    <t>VCJ-7A</t>
  </si>
  <si>
    <t>VCJ-7B</t>
  </si>
  <si>
    <t>PJ35/37/39/41</t>
  </si>
  <si>
    <t>VPJ-1</t>
  </si>
  <si>
    <t>VPJ-2</t>
  </si>
  <si>
    <t>VPJ-3</t>
  </si>
  <si>
    <t>VPJ-4</t>
  </si>
  <si>
    <t>VPJ-5</t>
  </si>
  <si>
    <t>VPJ-6</t>
  </si>
  <si>
    <t>VPJ-7</t>
  </si>
  <si>
    <t>VPJ-8</t>
  </si>
  <si>
    <t>VPJ-9</t>
  </si>
  <si>
    <t>VPJ-10</t>
  </si>
  <si>
    <t>VPJ-11</t>
  </si>
  <si>
    <t>VPJ-12</t>
  </si>
  <si>
    <t>VPJ-13</t>
  </si>
  <si>
    <t>VPJ-14</t>
  </si>
  <si>
    <t>VPJ-15</t>
  </si>
  <si>
    <t>VPJ-16</t>
  </si>
  <si>
    <t>PJ-1</t>
  </si>
  <si>
    <t>PJ-2</t>
  </si>
  <si>
    <t>PJ-3</t>
  </si>
  <si>
    <t>PJ-4</t>
  </si>
  <si>
    <t>PJ-5</t>
  </si>
  <si>
    <t>PJ-6</t>
  </si>
  <si>
    <t>PJ-7</t>
  </si>
  <si>
    <t>PJ-8</t>
  </si>
  <si>
    <t>PJ-9</t>
  </si>
  <si>
    <t>PJ-10</t>
  </si>
  <si>
    <t>PJ-11</t>
  </si>
  <si>
    <t>PJ-12</t>
  </si>
  <si>
    <t>PJ-13</t>
  </si>
  <si>
    <t>PJ-14</t>
  </si>
  <si>
    <t>PJ-15</t>
  </si>
  <si>
    <t>PJ-16</t>
  </si>
  <si>
    <t>PJ-17</t>
  </si>
  <si>
    <t>PJ-18</t>
  </si>
  <si>
    <t>PJ-19</t>
  </si>
  <si>
    <t>PJ-20</t>
  </si>
  <si>
    <t>PJ-22</t>
  </si>
  <si>
    <t>PJ-24</t>
  </si>
  <si>
    <t>PJ-26</t>
  </si>
  <si>
    <t>PJ-28</t>
  </si>
  <si>
    <t>PJ-29</t>
  </si>
  <si>
    <t>PJ-30</t>
  </si>
  <si>
    <t>PJ-31</t>
  </si>
  <si>
    <t>PJ-32</t>
  </si>
  <si>
    <t>PJ-33</t>
  </si>
  <si>
    <t>PJ-34</t>
  </si>
  <si>
    <t>PJ-35</t>
  </si>
  <si>
    <t>PJ-36</t>
  </si>
  <si>
    <t>PJ-37</t>
  </si>
  <si>
    <t>PJ-38</t>
  </si>
  <si>
    <t>PJ-39</t>
  </si>
  <si>
    <t>PJ-40</t>
  </si>
  <si>
    <t>PJ-41</t>
  </si>
  <si>
    <t>PJ-42</t>
  </si>
  <si>
    <t>PJ-43</t>
  </si>
  <si>
    <t>PJ-44</t>
  </si>
  <si>
    <t>PJ-45</t>
  </si>
  <si>
    <t>PJ-46</t>
  </si>
  <si>
    <t>PJ-47</t>
  </si>
  <si>
    <t>PJ-48</t>
  </si>
  <si>
    <t>PJ38</t>
  </si>
  <si>
    <t>PJ5</t>
  </si>
  <si>
    <t>LCJ-1</t>
  </si>
  <si>
    <t>LCJ-2</t>
  </si>
  <si>
    <t>LCJ-3</t>
  </si>
  <si>
    <t>LCJ-4</t>
  </si>
  <si>
    <t>LCJ-5</t>
  </si>
  <si>
    <t>LCJ-6</t>
  </si>
  <si>
    <t>LCJ-7</t>
  </si>
  <si>
    <t>LCJ-8</t>
  </si>
  <si>
    <t>LCJ-9</t>
  </si>
  <si>
    <t>LCJ-10</t>
  </si>
  <si>
    <t>LCJ-11</t>
  </si>
  <si>
    <t>LCJ-12</t>
  </si>
  <si>
    <t>LCJ-13</t>
  </si>
  <si>
    <t>LCJ-14</t>
  </si>
  <si>
    <t>BLOCO C - SERVIÇO</t>
  </si>
  <si>
    <t>VBC-1</t>
  </si>
  <si>
    <t>VBC-2</t>
  </si>
  <si>
    <t>VBC-3</t>
  </si>
  <si>
    <t>VBC-4</t>
  </si>
  <si>
    <t>VBC-5</t>
  </si>
  <si>
    <t>VBC-6</t>
  </si>
  <si>
    <t>VBC-7</t>
  </si>
  <si>
    <t>VBC-8</t>
  </si>
  <si>
    <t>VBC-9</t>
  </si>
  <si>
    <t>VBC-10</t>
  </si>
  <si>
    <t>VBC-11</t>
  </si>
  <si>
    <t>VBC-12</t>
  </si>
  <si>
    <t>VBC-13</t>
  </si>
  <si>
    <t>VBC-14</t>
  </si>
  <si>
    <t>VBC-15</t>
  </si>
  <si>
    <t>VBC-16</t>
  </si>
  <si>
    <t>VBC-17</t>
  </si>
  <si>
    <t>VBC-18</t>
  </si>
  <si>
    <t>VBC-19</t>
  </si>
  <si>
    <t>VBC-20</t>
  </si>
  <si>
    <t xml:space="preserve">BLOCO C - SERVIÇO </t>
  </si>
  <si>
    <t>VCCC-1</t>
  </si>
  <si>
    <t>VCCC-2</t>
  </si>
  <si>
    <t>VCCC-3</t>
  </si>
  <si>
    <t>VCCC-4</t>
  </si>
  <si>
    <t>VCCC-5</t>
  </si>
  <si>
    <t>VCCC-6</t>
  </si>
  <si>
    <t>VCGC-1</t>
  </si>
  <si>
    <t>VCGC-2</t>
  </si>
  <si>
    <t>VCGC-3</t>
  </si>
  <si>
    <t>VCGC-4</t>
  </si>
  <si>
    <t>VCGC-5</t>
  </si>
  <si>
    <t>VCGC-6</t>
  </si>
  <si>
    <t>VCGC-7</t>
  </si>
  <si>
    <t>VCGC-8</t>
  </si>
  <si>
    <t>VCGC-9</t>
  </si>
  <si>
    <t>VCGC-10</t>
  </si>
  <si>
    <t>VCGC-11</t>
  </si>
  <si>
    <t>VCGC-12</t>
  </si>
  <si>
    <t>VCGC-13</t>
  </si>
  <si>
    <t>VCGC-14</t>
  </si>
  <si>
    <t>VPCC-1</t>
  </si>
  <si>
    <t>VPCC-2</t>
  </si>
  <si>
    <t>VPCC-3</t>
  </si>
  <si>
    <t>VPCC-4</t>
  </si>
  <si>
    <t>VPGC-1</t>
  </si>
  <si>
    <t>VPGC-2</t>
  </si>
  <si>
    <t>VPGC-3</t>
  </si>
  <si>
    <t>PC-1</t>
  </si>
  <si>
    <t>PC-2</t>
  </si>
  <si>
    <t>PC-3</t>
  </si>
  <si>
    <t>PC-4</t>
  </si>
  <si>
    <t>PC-5</t>
  </si>
  <si>
    <t>PC-6</t>
  </si>
  <si>
    <t>PC-7</t>
  </si>
  <si>
    <t>PC-8</t>
  </si>
  <si>
    <t>PC-9</t>
  </si>
  <si>
    <t>PC-10</t>
  </si>
  <si>
    <t>PC-11</t>
  </si>
  <si>
    <t>PC-12</t>
  </si>
  <si>
    <t>PC-13</t>
  </si>
  <si>
    <t>PC-14</t>
  </si>
  <si>
    <t>PC-15</t>
  </si>
  <si>
    <t>PC-16</t>
  </si>
  <si>
    <t>PC-17</t>
  </si>
  <si>
    <t>PC-18</t>
  </si>
  <si>
    <t>PC-19</t>
  </si>
  <si>
    <t>PC-20</t>
  </si>
  <si>
    <t>PC-21</t>
  </si>
  <si>
    <t>PC-22</t>
  </si>
  <si>
    <t>PC-23</t>
  </si>
  <si>
    <t>PC-24</t>
  </si>
  <si>
    <t>PC-25</t>
  </si>
  <si>
    <t>PC-26</t>
  </si>
  <si>
    <t>PC-27</t>
  </si>
  <si>
    <t>PC-28</t>
  </si>
  <si>
    <t>PC-29</t>
  </si>
  <si>
    <t>REFEITORIO - AREA QGBT</t>
  </si>
  <si>
    <t>VBR-1</t>
  </si>
  <si>
    <t>VBR-2</t>
  </si>
  <si>
    <t>VBR-3</t>
  </si>
  <si>
    <t>VBR-4</t>
  </si>
  <si>
    <t>VBR-5</t>
  </si>
  <si>
    <t>VCR-1</t>
  </si>
  <si>
    <t>VCR-2</t>
  </si>
  <si>
    <t>VCR-3</t>
  </si>
  <si>
    <t>VCR-4</t>
  </si>
  <si>
    <t>VCR-5</t>
  </si>
  <si>
    <t>PR-1</t>
  </si>
  <si>
    <t>PR-2</t>
  </si>
  <si>
    <t>PRO-REITORIA DE DESENVOLVIMENTO INSTITUCIONAL - PRODIN</t>
  </si>
  <si>
    <t>DEPARTAMENTO DE INFRAESTRUTURA - DINFRA</t>
  </si>
  <si>
    <t>Obra: Reforma e Ampliação do Refeitório do Campus Tabatinga</t>
  </si>
  <si>
    <t xml:space="preserve">Endereço: Avenida Santos Dumont, S/Nº. Bairro: Expansão Município: Tabatinga/AM – CEP: 69.640-000 </t>
  </si>
  <si>
    <t>Altura de escavação topo do bloco</t>
  </si>
  <si>
    <t>acrescimo da lateral de escavação</t>
  </si>
  <si>
    <t>Profundidade da estaca</t>
  </si>
  <si>
    <t>Espessura do Magro</t>
  </si>
  <si>
    <t>ESTACA (und)</t>
  </si>
  <si>
    <t>ESC. ESTACA (M)</t>
  </si>
  <si>
    <t>REATERRO (M3)-COM DESCONTO DOS ARRANQUES E VIGAS BALDRAMES</t>
  </si>
  <si>
    <t>L1</t>
  </si>
  <si>
    <t>L2</t>
  </si>
  <si>
    <t>L3</t>
  </si>
  <si>
    <t>H1</t>
  </si>
  <si>
    <t>H2</t>
  </si>
  <si>
    <t>Para o calulo da quantidade de argamassa das estacas foi utilizado o indice de 0,059 m³ por metro linear executado conforme item 96164 - ESTACA RAIZ, DIÂMETRO DE 20 CM, COMPRIMENTO DE 11 A 20 M, SEM PRESENÇA DE ROCHA. AF_05/2017</t>
  </si>
  <si>
    <t>BE-1</t>
  </si>
  <si>
    <t>BE-2</t>
  </si>
  <si>
    <t>BE-3</t>
  </si>
  <si>
    <t>BE-4</t>
  </si>
  <si>
    <t>BE-5</t>
  </si>
  <si>
    <t>BE-6</t>
  </si>
  <si>
    <t>BE-7</t>
  </si>
  <si>
    <t>BE-8</t>
  </si>
  <si>
    <t>DESCONTO DAS VIGAS E ARRANQUE DENTRO DA ESCAVAÇAO DOS BLOCOS (M³)</t>
  </si>
  <si>
    <t>BD-1</t>
  </si>
  <si>
    <t>BD-2</t>
  </si>
  <si>
    <t>BD-3</t>
  </si>
  <si>
    <t>BD-4</t>
  </si>
  <si>
    <t>BD-5</t>
  </si>
  <si>
    <t>BD-6</t>
  </si>
  <si>
    <t>BD-7</t>
  </si>
  <si>
    <t>BD-8</t>
  </si>
  <si>
    <t>BD-9</t>
  </si>
  <si>
    <t>BD-10</t>
  </si>
  <si>
    <t>BD-11</t>
  </si>
  <si>
    <t>BD-12</t>
  </si>
  <si>
    <t>BD-13</t>
  </si>
  <si>
    <t>BD-14</t>
  </si>
  <si>
    <t>BD-15</t>
  </si>
  <si>
    <t>BF-1</t>
  </si>
  <si>
    <t>BF-2</t>
  </si>
  <si>
    <t>BF-3</t>
  </si>
  <si>
    <t>BF-4</t>
  </si>
  <si>
    <t>BF-5</t>
  </si>
  <si>
    <t>BF-6</t>
  </si>
  <si>
    <t>BF-7</t>
  </si>
  <si>
    <t>BF-8</t>
  </si>
  <si>
    <t>BF-9</t>
  </si>
  <si>
    <t>BF-10</t>
  </si>
  <si>
    <t>BF-11</t>
  </si>
  <si>
    <t>BF-12</t>
  </si>
  <si>
    <t>BF-13</t>
  </si>
  <si>
    <t>BF-14</t>
  </si>
  <si>
    <t>BF-15</t>
  </si>
  <si>
    <t>BF-16</t>
  </si>
  <si>
    <t>BF-17</t>
  </si>
  <si>
    <t>BF-18</t>
  </si>
  <si>
    <t>BF-19</t>
  </si>
  <si>
    <t>BF-20</t>
  </si>
  <si>
    <t>BF-21</t>
  </si>
  <si>
    <t>BF-22</t>
  </si>
  <si>
    <t>BG-1</t>
  </si>
  <si>
    <t>BG-2</t>
  </si>
  <si>
    <t>BG-3</t>
  </si>
  <si>
    <t>BG-4</t>
  </si>
  <si>
    <t>BG-5</t>
  </si>
  <si>
    <t>BG-6</t>
  </si>
  <si>
    <t>BG-7</t>
  </si>
  <si>
    <t>BG-8</t>
  </si>
  <si>
    <t>BG-9</t>
  </si>
  <si>
    <t>BG-10</t>
  </si>
  <si>
    <t>BG-11</t>
  </si>
  <si>
    <t>BG-12</t>
  </si>
  <si>
    <t>BG-13</t>
  </si>
  <si>
    <t>BG-14</t>
  </si>
  <si>
    <t>BG-15</t>
  </si>
  <si>
    <t>BG-16</t>
  </si>
  <si>
    <t>BG-17</t>
  </si>
  <si>
    <t>BH-1</t>
  </si>
  <si>
    <t>BH-2</t>
  </si>
  <si>
    <t>BH-3</t>
  </si>
  <si>
    <t>BH-4</t>
  </si>
  <si>
    <t>BH-5</t>
  </si>
  <si>
    <t>BH-6</t>
  </si>
  <si>
    <t>BH-7</t>
  </si>
  <si>
    <t>BH-8</t>
  </si>
  <si>
    <t>BH-9</t>
  </si>
  <si>
    <t>BH-10</t>
  </si>
  <si>
    <t>BH-11</t>
  </si>
  <si>
    <t>BH-12</t>
  </si>
  <si>
    <t>BH-13</t>
  </si>
  <si>
    <t>BH-14</t>
  </si>
  <si>
    <t>BH-15</t>
  </si>
  <si>
    <t>BH-16</t>
  </si>
  <si>
    <t>BH-17</t>
  </si>
  <si>
    <t>BH-18</t>
  </si>
  <si>
    <t>BH-19</t>
  </si>
  <si>
    <t>BH-20</t>
  </si>
  <si>
    <t>BH-21</t>
  </si>
  <si>
    <t>BH-22</t>
  </si>
  <si>
    <t>BH-23</t>
  </si>
  <si>
    <t>BH-24</t>
  </si>
  <si>
    <t>BH-25</t>
  </si>
  <si>
    <t>BH-26</t>
  </si>
  <si>
    <t>BH-27</t>
  </si>
  <si>
    <t>BH-28</t>
  </si>
  <si>
    <t>BH-29</t>
  </si>
  <si>
    <t>BH-30</t>
  </si>
  <si>
    <t>BH-31</t>
  </si>
  <si>
    <t>BH-32</t>
  </si>
  <si>
    <t>BH-33</t>
  </si>
  <si>
    <t>BI-1</t>
  </si>
  <si>
    <t>BI-2</t>
  </si>
  <si>
    <t>BI-3</t>
  </si>
  <si>
    <t>BI-4</t>
  </si>
  <si>
    <t>BI-5</t>
  </si>
  <si>
    <t>BI-6</t>
  </si>
  <si>
    <t>BI-7</t>
  </si>
  <si>
    <t>BI-8</t>
  </si>
  <si>
    <t>BI-9</t>
  </si>
  <si>
    <t>BI-10</t>
  </si>
  <si>
    <t>BI-11</t>
  </si>
  <si>
    <t>BI-12</t>
  </si>
  <si>
    <t>BI-13</t>
  </si>
  <si>
    <t>BI-14</t>
  </si>
  <si>
    <t>BI-15</t>
  </si>
  <si>
    <t>BI-16</t>
  </si>
  <si>
    <t>BI-17</t>
  </si>
  <si>
    <t>BI-18</t>
  </si>
  <si>
    <t>BI-19</t>
  </si>
  <si>
    <t>BI-20</t>
  </si>
  <si>
    <t>BI-21</t>
  </si>
  <si>
    <t>BI-22</t>
  </si>
  <si>
    <t>BI-23</t>
  </si>
  <si>
    <t>BI-24</t>
  </si>
  <si>
    <t>BI-25</t>
  </si>
  <si>
    <t>BI-26</t>
  </si>
  <si>
    <t>BI-27</t>
  </si>
  <si>
    <t>BI-28</t>
  </si>
  <si>
    <t>BI-29</t>
  </si>
  <si>
    <t>BI-30</t>
  </si>
  <si>
    <t>BI-31</t>
  </si>
  <si>
    <t>BJ-1</t>
  </si>
  <si>
    <t>BJ-2</t>
  </si>
  <si>
    <t>BJ-3</t>
  </si>
  <si>
    <t>BJ-4</t>
  </si>
  <si>
    <t>BJ-5</t>
  </si>
  <si>
    <t>BJ-6</t>
  </si>
  <si>
    <t>BJ-7</t>
  </si>
  <si>
    <t>BJ-8</t>
  </si>
  <si>
    <t>BJ-9</t>
  </si>
  <si>
    <t>BJ-10</t>
  </si>
  <si>
    <t>BJ-11</t>
  </si>
  <si>
    <t>BJ-12</t>
  </si>
  <si>
    <t>BJ-13</t>
  </si>
  <si>
    <t>BJ-14</t>
  </si>
  <si>
    <t>BJ-15</t>
  </si>
  <si>
    <t>BJ-16</t>
  </si>
  <si>
    <t>BJ-17</t>
  </si>
  <si>
    <t>BJ-18</t>
  </si>
  <si>
    <t>BJ-19</t>
  </si>
  <si>
    <t>BJ-20</t>
  </si>
  <si>
    <t>BJ-21</t>
  </si>
  <si>
    <t>BJ-22</t>
  </si>
  <si>
    <t>BJ-23</t>
  </si>
  <si>
    <t>BJ-24</t>
  </si>
  <si>
    <t>BJ-25</t>
  </si>
  <si>
    <t>BJ-26</t>
  </si>
  <si>
    <t>BJ-27</t>
  </si>
  <si>
    <t>BJ-28</t>
  </si>
  <si>
    <t>BJ-29</t>
  </si>
  <si>
    <t>BJ-30</t>
  </si>
  <si>
    <t>BJ-31</t>
  </si>
  <si>
    <t>BJ-32</t>
  </si>
  <si>
    <t>BJ-33</t>
  </si>
  <si>
    <t>BJ-34</t>
  </si>
  <si>
    <t>BJ-35</t>
  </si>
  <si>
    <t>BJ-36</t>
  </si>
  <si>
    <t>BJ-37</t>
  </si>
  <si>
    <t>BJ-38</t>
  </si>
  <si>
    <t>BJ-39</t>
  </si>
  <si>
    <t>BJ-40</t>
  </si>
  <si>
    <t>BJ-41</t>
  </si>
  <si>
    <t>BJ-42</t>
  </si>
  <si>
    <t>BLOCOS</t>
  </si>
  <si>
    <t>BC-1</t>
  </si>
  <si>
    <t>BC-2</t>
  </si>
  <si>
    <t>BC-3</t>
  </si>
  <si>
    <t>BC-4</t>
  </si>
  <si>
    <t>BC-5</t>
  </si>
  <si>
    <t>BC-6</t>
  </si>
  <si>
    <t>BC-7</t>
  </si>
  <si>
    <t>BC-8</t>
  </si>
  <si>
    <t>BC-9</t>
  </si>
  <si>
    <t>BC-10</t>
  </si>
  <si>
    <t>BC-11</t>
  </si>
  <si>
    <t>BC-12</t>
  </si>
  <si>
    <t>BC-13</t>
  </si>
  <si>
    <t>BC-14</t>
  </si>
  <si>
    <t>BC-15</t>
  </si>
  <si>
    <t>BC-16</t>
  </si>
  <si>
    <t>BC-17</t>
  </si>
  <si>
    <t>BC-18</t>
  </si>
  <si>
    <t>BC-19</t>
  </si>
  <si>
    <t>BC-20</t>
  </si>
  <si>
    <t>BC-21</t>
  </si>
  <si>
    <t>BC-22</t>
  </si>
  <si>
    <t>BC-23</t>
  </si>
  <si>
    <t>BC-24</t>
  </si>
  <si>
    <t>BC-25</t>
  </si>
  <si>
    <t>BC-26</t>
  </si>
  <si>
    <t>BC-27</t>
  </si>
  <si>
    <t>BR-1</t>
  </si>
  <si>
    <t>BR-2</t>
  </si>
  <si>
    <t>BLOCO</t>
  </si>
  <si>
    <t>Listagem de AÇO BLOCOS</t>
  </si>
  <si>
    <r>
      <t xml:space="preserve">Obra: </t>
    </r>
    <r>
      <rPr>
        <i/>
        <sz val="10"/>
        <color rgb="FF000000"/>
        <rFont val="Arial"/>
        <family val="2"/>
      </rPr>
      <t>Construção do Campus de Manicoré</t>
    </r>
  </si>
  <si>
    <t xml:space="preserve">Endereço: </t>
  </si>
  <si>
    <t>ESTACA</t>
  </si>
  <si>
    <t>FUNDAÇAO</t>
  </si>
  <si>
    <t>BE1=BE2=BE3=BE5=BE7=BE8</t>
  </si>
  <si>
    <t>BE4=BE6</t>
  </si>
  <si>
    <t>PE1=PE2=PE7=PE8</t>
  </si>
  <si>
    <t>PE3=PE5</t>
  </si>
  <si>
    <t>PE4=PE6</t>
  </si>
  <si>
    <t>VBE1=VBE4</t>
  </si>
  <si>
    <t>VBE2=VBE3</t>
  </si>
  <si>
    <t>VBE5</t>
  </si>
  <si>
    <t>VBE6</t>
  </si>
  <si>
    <t>VCE1=VCE4</t>
  </si>
  <si>
    <t>VCE2=VCE3</t>
  </si>
  <si>
    <t>VCE5</t>
  </si>
  <si>
    <t>VCE6</t>
  </si>
  <si>
    <t>VIGA TERREO</t>
  </si>
  <si>
    <t>VIGA PLATIBANDA</t>
  </si>
  <si>
    <t>Pavimento : PLATIBANDA</t>
  </si>
  <si>
    <t>PE9=PE10</t>
  </si>
  <si>
    <t>VPE1=VPE2</t>
  </si>
  <si>
    <t>VBD1=VBD2=VBD6=VBD7</t>
  </si>
  <si>
    <t>VBD3=VBD5</t>
  </si>
  <si>
    <t>VBD4</t>
  </si>
  <si>
    <t>VBD8</t>
  </si>
  <si>
    <t>VBD9</t>
  </si>
  <si>
    <t>VBD10</t>
  </si>
  <si>
    <t>VBD11=VBD12</t>
  </si>
  <si>
    <t>BD1 AO BD15</t>
  </si>
  <si>
    <t>PILARES TERREO</t>
  </si>
  <si>
    <t>PILARES PLATIBANDA</t>
  </si>
  <si>
    <t>PD1</t>
  </si>
  <si>
    <t>PD2=PD5=PD11=PD14</t>
  </si>
  <si>
    <t>PD3=PD4=PD6=PD10=PD12=PD13=PD15</t>
  </si>
  <si>
    <t>PD7</t>
  </si>
  <si>
    <t>PD9</t>
  </si>
  <si>
    <t>Pavimento : TERREO</t>
  </si>
  <si>
    <t>VCD1=VCD5</t>
  </si>
  <si>
    <t>VCD2</t>
  </si>
  <si>
    <t>VCD3</t>
  </si>
  <si>
    <t>VCD4</t>
  </si>
  <si>
    <t>VCD6</t>
  </si>
  <si>
    <t>VCD7</t>
  </si>
  <si>
    <t>VCD8</t>
  </si>
  <si>
    <t>BLOCO F - SALA MULTIUSO</t>
  </si>
  <si>
    <t>BF1 AO BF6</t>
  </si>
  <si>
    <t>BF12=BF13</t>
  </si>
  <si>
    <t>BF21</t>
  </si>
  <si>
    <t>PF1</t>
  </si>
  <si>
    <t>PF13</t>
  </si>
  <si>
    <t>PF21</t>
  </si>
  <si>
    <t>BLOCO F - MULTIUSO</t>
  </si>
  <si>
    <t>VBF1= VBF4</t>
  </si>
  <si>
    <t>VBF2</t>
  </si>
  <si>
    <t>VBF3</t>
  </si>
  <si>
    <t>VBF5</t>
  </si>
  <si>
    <t>VBF6</t>
  </si>
  <si>
    <t>VBF7</t>
  </si>
  <si>
    <t>VBF8</t>
  </si>
  <si>
    <t>VBF9</t>
  </si>
  <si>
    <t>VBF10</t>
  </si>
  <si>
    <t>VBF11</t>
  </si>
  <si>
    <t>VBF12=VBF27=VBF30</t>
  </si>
  <si>
    <t>VBF13=VBF14=VBF16=VBF18=VBF19=VBF21=VBF23=VBF24=VBF26=VBF28=VBF29</t>
  </si>
  <si>
    <t>VBF15</t>
  </si>
  <si>
    <t>VBF17</t>
  </si>
  <si>
    <t>VBF20=VBF22</t>
  </si>
  <si>
    <t>VBF25</t>
  </si>
  <si>
    <t>BF7 AO BF11</t>
  </si>
  <si>
    <t>PF9 = PF11</t>
  </si>
  <si>
    <t>PF7</t>
  </si>
  <si>
    <t>PF8=PF10</t>
  </si>
  <si>
    <t>BF14=BF15=BF16=BF17=BF18=BF19=BF20=BF22</t>
  </si>
  <si>
    <t>PF14</t>
  </si>
  <si>
    <t>PF17=PF19</t>
  </si>
  <si>
    <t>PF15=PF22</t>
  </si>
  <si>
    <t>PF6</t>
  </si>
  <si>
    <t>PF2 AO PF5</t>
  </si>
  <si>
    <t>VCF1</t>
  </si>
  <si>
    <t>VCF2</t>
  </si>
  <si>
    <t>VCF3</t>
  </si>
  <si>
    <t>VCF4</t>
  </si>
  <si>
    <t>VCF5</t>
  </si>
  <si>
    <t>VCF6</t>
  </si>
  <si>
    <t>VCF7</t>
  </si>
  <si>
    <t>VCF8</t>
  </si>
  <si>
    <t>VCF9</t>
  </si>
  <si>
    <t>VCF10</t>
  </si>
  <si>
    <t>VCF11=VCF12=VCF13=VCF14=VCF15</t>
  </si>
  <si>
    <t>VCF16</t>
  </si>
  <si>
    <t>VCF17</t>
  </si>
  <si>
    <t>LTF1/LTF2/LTF3/LTF4/LTF5/LTF6/LTF7/LTF8/LTF9/LTF10</t>
  </si>
  <si>
    <t>PF16</t>
  </si>
  <si>
    <t>PF18=PF20</t>
  </si>
  <si>
    <t>VPF1</t>
  </si>
  <si>
    <t>VPF2</t>
  </si>
  <si>
    <t>VPF3</t>
  </si>
  <si>
    <t>VPF4</t>
  </si>
  <si>
    <t>VPF5</t>
  </si>
  <si>
    <t>VPF6</t>
  </si>
  <si>
    <t>VPF7=VPF8</t>
  </si>
  <si>
    <t>BG2</t>
  </si>
  <si>
    <t>PG2</t>
  </si>
  <si>
    <t>BG8=BG10=BG12</t>
  </si>
  <si>
    <t>PG10</t>
  </si>
  <si>
    <t>PG8=PG12</t>
  </si>
  <si>
    <t>BG13=BG16</t>
  </si>
  <si>
    <t>PG13</t>
  </si>
  <si>
    <t>PG16</t>
  </si>
  <si>
    <t>BG14</t>
  </si>
  <si>
    <t>PG14</t>
  </si>
  <si>
    <t>BG17</t>
  </si>
  <si>
    <t>VBG1</t>
  </si>
  <si>
    <t>VBG2</t>
  </si>
  <si>
    <t>VBG3</t>
  </si>
  <si>
    <t>VBG4</t>
  </si>
  <si>
    <t>VBG5</t>
  </si>
  <si>
    <t>VBG6</t>
  </si>
  <si>
    <t>VBG7</t>
  </si>
  <si>
    <t>VBG8</t>
  </si>
  <si>
    <t>VBG9</t>
  </si>
  <si>
    <t>VBG10</t>
  </si>
  <si>
    <t>VBG11</t>
  </si>
  <si>
    <t>VBG12</t>
  </si>
  <si>
    <t>VBG13</t>
  </si>
  <si>
    <t>VBG14=VBG15</t>
  </si>
  <si>
    <t>VBG16=VBG23</t>
  </si>
  <si>
    <t>VBG17</t>
  </si>
  <si>
    <t>VBG18</t>
  </si>
  <si>
    <t>VBG19</t>
  </si>
  <si>
    <t>VBG20</t>
  </si>
  <si>
    <t>VBG21</t>
  </si>
  <si>
    <t>VBG22</t>
  </si>
  <si>
    <t>VBG24=VBG25</t>
  </si>
  <si>
    <t>VBG26</t>
  </si>
  <si>
    <t>BG1=BG3=BG4=BG5=BG6=BG7=BG9=BG11=BG15</t>
  </si>
  <si>
    <t>PG9=PG11</t>
  </si>
  <si>
    <t>PG15</t>
  </si>
  <si>
    <t>PG3</t>
  </si>
  <si>
    <t>PG4</t>
  </si>
  <si>
    <t>PG6</t>
  </si>
  <si>
    <t>PG5=PG7</t>
  </si>
  <si>
    <t>VCG1</t>
  </si>
  <si>
    <t>VCG2</t>
  </si>
  <si>
    <t>VCG3</t>
  </si>
  <si>
    <t>VCG4</t>
  </si>
  <si>
    <t>VCG5</t>
  </si>
  <si>
    <t>VCG6</t>
  </si>
  <si>
    <t>VCG7</t>
  </si>
  <si>
    <t>VCG8</t>
  </si>
  <si>
    <t>VCG9</t>
  </si>
  <si>
    <t>PG19=PG20</t>
  </si>
  <si>
    <t>VCG10</t>
  </si>
  <si>
    <t>VCG11=VCG16</t>
  </si>
  <si>
    <t>VCG12=VCG15</t>
  </si>
  <si>
    <t>VCG13</t>
  </si>
  <si>
    <t>PG18</t>
  </si>
  <si>
    <t>VCG14</t>
  </si>
  <si>
    <t>VCG17</t>
  </si>
  <si>
    <t>LCG1/LCG2/LCG3/LCG4/LCG5/LCG6/LCG7</t>
  </si>
  <si>
    <t>VPG1</t>
  </si>
  <si>
    <t>VPG2</t>
  </si>
  <si>
    <t>VPG3</t>
  </si>
  <si>
    <t>VPG4</t>
  </si>
  <si>
    <t>VPG5</t>
  </si>
  <si>
    <t>VPG6=VPG9</t>
  </si>
  <si>
    <t>VPG7</t>
  </si>
  <si>
    <t>VPG8</t>
  </si>
  <si>
    <t>BH1</t>
  </si>
  <si>
    <t>BH2</t>
  </si>
  <si>
    <t>PH1=PH2</t>
  </si>
  <si>
    <t>BH16</t>
  </si>
  <si>
    <t>PH16</t>
  </si>
  <si>
    <t>BH18=BH20=BH22</t>
  </si>
  <si>
    <t>PH18=PH20</t>
  </si>
  <si>
    <t>PH22</t>
  </si>
  <si>
    <t>BH25=BH26</t>
  </si>
  <si>
    <t>PH25=PH26</t>
  </si>
  <si>
    <t>BH33</t>
  </si>
  <si>
    <t>PH33</t>
  </si>
  <si>
    <t>VBH1</t>
  </si>
  <si>
    <t>VBH2</t>
  </si>
  <si>
    <t>VBH3</t>
  </si>
  <si>
    <t>VBH4</t>
  </si>
  <si>
    <t>VBH5</t>
  </si>
  <si>
    <t>VBH6</t>
  </si>
  <si>
    <t>VBH7</t>
  </si>
  <si>
    <t>`1</t>
  </si>
  <si>
    <t>VBH8</t>
  </si>
  <si>
    <t>VBH9</t>
  </si>
  <si>
    <t>VBH10</t>
  </si>
  <si>
    <t>VBH11</t>
  </si>
  <si>
    <t>VBH12</t>
  </si>
  <si>
    <t>VBH13</t>
  </si>
  <si>
    <t>VBH14</t>
  </si>
  <si>
    <t>VBH15</t>
  </si>
  <si>
    <t>VBH16</t>
  </si>
  <si>
    <t>VBH17</t>
  </si>
  <si>
    <t>VBH18</t>
  </si>
  <si>
    <t>VBH19</t>
  </si>
  <si>
    <t>VBH20</t>
  </si>
  <si>
    <t>VBH21</t>
  </si>
  <si>
    <t>VBH22</t>
  </si>
  <si>
    <t>VBH23</t>
  </si>
  <si>
    <t>VBH24</t>
  </si>
  <si>
    <t>VBH25</t>
  </si>
  <si>
    <t>VBH26</t>
  </si>
  <si>
    <t>VBH27=VBH28=VBH30=VBH31=VBH33=VBH34=VBH43=VBH44</t>
  </si>
  <si>
    <t>VBH29</t>
  </si>
  <si>
    <t>VBH32</t>
  </si>
  <si>
    <t>VBH35=VBH42</t>
  </si>
  <si>
    <t>VBH36=VBH40</t>
  </si>
  <si>
    <t>VBH38</t>
  </si>
  <si>
    <t>VBH39</t>
  </si>
  <si>
    <t>VBH45</t>
  </si>
  <si>
    <t>VBH37=VBH41</t>
  </si>
  <si>
    <t>BH3 ATE BH15=BH17=BH19=BH21=BH23=BH24=BH31</t>
  </si>
  <si>
    <t>PH4</t>
  </si>
  <si>
    <t>PH10</t>
  </si>
  <si>
    <t>PH13</t>
  </si>
  <si>
    <t>PH31</t>
  </si>
  <si>
    <t>PH15=PH24</t>
  </si>
  <si>
    <t>PH19</t>
  </si>
  <si>
    <t>PH17=PH21</t>
  </si>
  <si>
    <t>PH7</t>
  </si>
  <si>
    <t>PH3=PH5=PH6=PH11=PH12=PH14</t>
  </si>
  <si>
    <t>PH9=PH23</t>
  </si>
  <si>
    <t>PH8</t>
  </si>
  <si>
    <t>BH27=BH28=BH29=BH30=BH32</t>
  </si>
  <si>
    <t>PH27</t>
  </si>
  <si>
    <t>PH29</t>
  </si>
  <si>
    <t>PH28=PH30</t>
  </si>
  <si>
    <t>PH32</t>
  </si>
  <si>
    <t>VCH1</t>
  </si>
  <si>
    <t>VCH2</t>
  </si>
  <si>
    <t>VCH3</t>
  </si>
  <si>
    <t>VCH4</t>
  </si>
  <si>
    <t>VCH5</t>
  </si>
  <si>
    <t>VCH6</t>
  </si>
  <si>
    <t>VCH7</t>
  </si>
  <si>
    <t>VCH8</t>
  </si>
  <si>
    <t>VCH9</t>
  </si>
  <si>
    <t>VCH10</t>
  </si>
  <si>
    <t>VCH11</t>
  </si>
  <si>
    <t>VCH12</t>
  </si>
  <si>
    <t>VCH13</t>
  </si>
  <si>
    <t>VCH14</t>
  </si>
  <si>
    <t>VCH15</t>
  </si>
  <si>
    <t>VCH16</t>
  </si>
  <si>
    <t>VCH17</t>
  </si>
  <si>
    <t>VCH18</t>
  </si>
  <si>
    <t>VCH19</t>
  </si>
  <si>
    <t>VCH20</t>
  </si>
  <si>
    <t>VCH21</t>
  </si>
  <si>
    <t>VCH22</t>
  </si>
  <si>
    <t>VCH23</t>
  </si>
  <si>
    <t>VCH24</t>
  </si>
  <si>
    <t>VCH25</t>
  </si>
  <si>
    <t>VCH26</t>
  </si>
  <si>
    <t>VCH27</t>
  </si>
  <si>
    <t>VCH28=VCH29</t>
  </si>
  <si>
    <t>VCH30=VCH36=VCH43</t>
  </si>
  <si>
    <t>VCH31=VCH32=VCH34=VCH35=VCH37=VCH42=VCH44=VCH45</t>
  </si>
  <si>
    <t>VCH33</t>
  </si>
  <si>
    <t>VCH38=VCH41</t>
  </si>
  <si>
    <t>VCH39</t>
  </si>
  <si>
    <t>VCH40</t>
  </si>
  <si>
    <t>VCH46</t>
  </si>
  <si>
    <t>LH1/LH2/LH3/LH4/LH5/LH6/LH7/LH8/LH9/LH10/LH11/LH12/LH13/LH14/LH15/LH16/LH17/LH18/LH19/LH20/LH21</t>
  </si>
  <si>
    <t>VPH1</t>
  </si>
  <si>
    <t>VPH2</t>
  </si>
  <si>
    <t>VPH3</t>
  </si>
  <si>
    <t>VPH4</t>
  </si>
  <si>
    <t>VPH5</t>
  </si>
  <si>
    <t>VPH6</t>
  </si>
  <si>
    <t>VPH7</t>
  </si>
  <si>
    <t>VPH8</t>
  </si>
  <si>
    <t>VPH9</t>
  </si>
  <si>
    <t>VPH10</t>
  </si>
  <si>
    <t>VPH11</t>
  </si>
  <si>
    <t>VPH12</t>
  </si>
  <si>
    <t>VPH13</t>
  </si>
  <si>
    <t>BI2=BI5</t>
  </si>
  <si>
    <t>PI2</t>
  </si>
  <si>
    <t>PI5</t>
  </si>
  <si>
    <t>BI14=BI16=BI18=BI20=BI22</t>
  </si>
  <si>
    <t>PI16=PI18=PI20</t>
  </si>
  <si>
    <t>PI14</t>
  </si>
  <si>
    <t>PI22</t>
  </si>
  <si>
    <t>BI24=BI22</t>
  </si>
  <si>
    <t>BI27</t>
  </si>
  <si>
    <t>PI27</t>
  </si>
  <si>
    <t>VBI1</t>
  </si>
  <si>
    <t>VBI2</t>
  </si>
  <si>
    <t>VBI3</t>
  </si>
  <si>
    <t>VBI4</t>
  </si>
  <si>
    <t>VBI5</t>
  </si>
  <si>
    <t>VBI6</t>
  </si>
  <si>
    <t>VBI7=VBI9</t>
  </si>
  <si>
    <t>VBI8=VBI10</t>
  </si>
  <si>
    <t>VBI11</t>
  </si>
  <si>
    <t>VBI12</t>
  </si>
  <si>
    <t>VBI13</t>
  </si>
  <si>
    <t>VBI14</t>
  </si>
  <si>
    <t>VBI15</t>
  </si>
  <si>
    <t>VBI16</t>
  </si>
  <si>
    <t>VBI17</t>
  </si>
  <si>
    <t>VBI18</t>
  </si>
  <si>
    <t>VBI19</t>
  </si>
  <si>
    <t>VBI20</t>
  </si>
  <si>
    <t>VBI21</t>
  </si>
  <si>
    <t>VBI22</t>
  </si>
  <si>
    <t>VBI23</t>
  </si>
  <si>
    <t>VBI24</t>
  </si>
  <si>
    <t>VBI25</t>
  </si>
  <si>
    <t>VBI26=VBI27=VBI39=VBI40</t>
  </si>
  <si>
    <t>VBI28=VBI35=VBI41</t>
  </si>
  <si>
    <t>VBI29=VBI42</t>
  </si>
  <si>
    <t>VBI30=VBI43</t>
  </si>
  <si>
    <t>VBI31=VBI44</t>
  </si>
  <si>
    <t>VBI32=VBI45</t>
  </si>
  <si>
    <t>VBI33=VBI46</t>
  </si>
  <si>
    <t>VBI36=VBI37</t>
  </si>
  <si>
    <t>VBI34=VBI47</t>
  </si>
  <si>
    <t>VBI38</t>
  </si>
  <si>
    <t>VBI48</t>
  </si>
  <si>
    <t>VBI49=VBI50</t>
  </si>
  <si>
    <t>VBI51</t>
  </si>
  <si>
    <t>BI1=BI3=BI4  BI6 ATE BI13  BI15=BI17=BI19=BI21=BI25=BI29</t>
  </si>
  <si>
    <t>PI15</t>
  </si>
  <si>
    <t>PI17=PI19</t>
  </si>
  <si>
    <t>PI21</t>
  </si>
  <si>
    <t>PI25</t>
  </si>
  <si>
    <t>PI9=PI12</t>
  </si>
  <si>
    <t>PI29</t>
  </si>
  <si>
    <t>PI3</t>
  </si>
  <si>
    <t>PI1=PI4</t>
  </si>
  <si>
    <t>PI6</t>
  </si>
  <si>
    <t>PI7</t>
  </si>
  <si>
    <t>BI23=BI26=BI30=BI31</t>
  </si>
  <si>
    <t>N8</t>
  </si>
  <si>
    <t>N9</t>
  </si>
  <si>
    <t>N11</t>
  </si>
  <si>
    <t>N12</t>
  </si>
  <si>
    <t>PI23</t>
  </si>
  <si>
    <t>PI26=PI30</t>
  </si>
  <si>
    <t>PI8=PI10=PI11=PI13</t>
  </si>
  <si>
    <t>`7</t>
  </si>
  <si>
    <t>PI24=PI28</t>
  </si>
  <si>
    <t>PI31</t>
  </si>
  <si>
    <t>d</t>
  </si>
  <si>
    <t>VCI1</t>
  </si>
  <si>
    <t>VCI2</t>
  </si>
  <si>
    <t>VCI3</t>
  </si>
  <si>
    <t>VCI4</t>
  </si>
  <si>
    <t>VCI5</t>
  </si>
  <si>
    <t>VCI6</t>
  </si>
  <si>
    <t>VCI7</t>
  </si>
  <si>
    <t>VCI8</t>
  </si>
  <si>
    <t>VCI9</t>
  </si>
  <si>
    <t>VCI10</t>
  </si>
  <si>
    <t>VCI11=VCI13</t>
  </si>
  <si>
    <t>VCI12</t>
  </si>
  <si>
    <t>VCI14</t>
  </si>
  <si>
    <t>VCI15</t>
  </si>
  <si>
    <t>VCI16</t>
  </si>
  <si>
    <t>PI34=PI37</t>
  </si>
  <si>
    <t>PI35=PI36</t>
  </si>
  <si>
    <t>PI32=PI33</t>
  </si>
  <si>
    <t>VCI17=VCI18</t>
  </si>
  <si>
    <t>VCI19</t>
  </si>
  <si>
    <t>VCI20</t>
  </si>
  <si>
    <t>VCI21</t>
  </si>
  <si>
    <t>VCI22=VCI28=VCI30=VCI36</t>
  </si>
  <si>
    <t>VCI23=VCI31</t>
  </si>
  <si>
    <t>VCI24=VCI32</t>
  </si>
  <si>
    <t>VCI25</t>
  </si>
  <si>
    <t>VCI26</t>
  </si>
  <si>
    <t>VCI27=VCI35</t>
  </si>
  <si>
    <t>VCI29</t>
  </si>
  <si>
    <t>VCI33</t>
  </si>
  <si>
    <t>VCI34</t>
  </si>
  <si>
    <t>VCI37</t>
  </si>
  <si>
    <t>ARMACAO POSITIVA LCI1/LCI2/LCI3/LCI4/LCI5/LCI6/LCI7/LCI8/LCI9/LCI10/LCI11/LCI12/LCI13/LCI14</t>
  </si>
  <si>
    <t>ARMACAO NEGATICA LCI1/LCI2/LCI3/LCI4/LCI5/LCI6/LCI7/LCI8/LCI9/LCI10/LCI11/LCI12/LCI13/LCI14</t>
  </si>
  <si>
    <t>VPI1=VPI4</t>
  </si>
  <si>
    <t>VPI2</t>
  </si>
  <si>
    <t>VPI3</t>
  </si>
  <si>
    <t>VPI5</t>
  </si>
  <si>
    <t>VPI6</t>
  </si>
  <si>
    <t>VPI7</t>
  </si>
  <si>
    <t>VPI8</t>
  </si>
  <si>
    <t>VPI9</t>
  </si>
  <si>
    <t>VPI10</t>
  </si>
  <si>
    <t>VPI11=VPI16</t>
  </si>
  <si>
    <t>VPI12=VPI13=VPI14=VPI15</t>
  </si>
  <si>
    <t>BJ1</t>
  </si>
  <si>
    <t>PJ1</t>
  </si>
  <si>
    <t>BJ2</t>
  </si>
  <si>
    <t>PJ2</t>
  </si>
  <si>
    <t>BJ3=BJ6</t>
  </si>
  <si>
    <t>PJ3</t>
  </si>
  <si>
    <t>PJ6</t>
  </si>
  <si>
    <t>BJ9</t>
  </si>
  <si>
    <t>PJ9</t>
  </si>
  <si>
    <t>BJ20=BJ22=BJ24=BJ26=BJ28</t>
  </si>
  <si>
    <t>PJ22=PJ24=PJ26</t>
  </si>
  <si>
    <t>PJ20=PJ28</t>
  </si>
  <si>
    <t>BJ34=BJ35=BBJ39</t>
  </si>
  <si>
    <t>PJ34</t>
  </si>
  <si>
    <t>PJ35=PJ39</t>
  </si>
  <si>
    <t>BJ37=BJ41=BJ42</t>
  </si>
  <si>
    <t>PJ37=PJ41</t>
  </si>
  <si>
    <t>PJ42</t>
  </si>
  <si>
    <t>BJ38</t>
  </si>
  <si>
    <t>VBJ1</t>
  </si>
  <si>
    <t>VBJ2</t>
  </si>
  <si>
    <t>VBJ3</t>
  </si>
  <si>
    <t>VBJ4</t>
  </si>
  <si>
    <t>VBJ5</t>
  </si>
  <si>
    <t>VBJ6</t>
  </si>
  <si>
    <t>VBJ7</t>
  </si>
  <si>
    <t>VBJ8</t>
  </si>
  <si>
    <t>VBJ9</t>
  </si>
  <si>
    <t>VBJ10</t>
  </si>
  <si>
    <t>VBJ11</t>
  </si>
  <si>
    <t>VBJ12</t>
  </si>
  <si>
    <t>VBJ13=VBJ19=VBJ20</t>
  </si>
  <si>
    <t>VBJ14</t>
  </si>
  <si>
    <t>VBJ15</t>
  </si>
  <si>
    <t>VBJ16</t>
  </si>
  <si>
    <t>VBJ17</t>
  </si>
  <si>
    <t>VBJ18</t>
  </si>
  <si>
    <t>VBJ21</t>
  </si>
  <si>
    <t>VBJ22</t>
  </si>
  <si>
    <t>VBJ23</t>
  </si>
  <si>
    <t>VBJ24</t>
  </si>
  <si>
    <t>VBJ25</t>
  </si>
  <si>
    <t>VBJ26</t>
  </si>
  <si>
    <t>VBJ27</t>
  </si>
  <si>
    <t>VBJ28</t>
  </si>
  <si>
    <t>VBJ29</t>
  </si>
  <si>
    <t>VBJ30</t>
  </si>
  <si>
    <t>VBJ31</t>
  </si>
  <si>
    <t>VBJ32</t>
  </si>
  <si>
    <t>VBJ33</t>
  </si>
  <si>
    <t>VBJ34</t>
  </si>
  <si>
    <t>VBJ35</t>
  </si>
  <si>
    <t>VBJ36=VBJ37=VBJ49=VBJ50</t>
  </si>
  <si>
    <t>VBJ38=VBJ45=VBJ51</t>
  </si>
  <si>
    <t>VBJ39=VBJ52</t>
  </si>
  <si>
    <t>VBJ40=VBJ53</t>
  </si>
  <si>
    <t>VBJ41=VBJ54</t>
  </si>
  <si>
    <t>VBJ42=VBJ55</t>
  </si>
  <si>
    <t>VBJ43=VBJ56</t>
  </si>
  <si>
    <t>VBJ44=VBJ57</t>
  </si>
  <si>
    <t>VBJ46=VBJ47</t>
  </si>
  <si>
    <t>VBJ48</t>
  </si>
  <si>
    <t>VBJ58</t>
  </si>
  <si>
    <t>VBJ59=VBJ60</t>
  </si>
  <si>
    <t>VBJ61</t>
  </si>
  <si>
    <t>BJ4=BJ5=BJ7=BJ8=BJ10=BJ11=BJ12=BJ13=BJ14=BJ15=BJ16=BJ17=BJ18=BJ19=BJ21=BJ=23=BJ25=BJ27=BJ=29=BJ30=BJ31=BJ32=BJ33=BJ36=BJ40</t>
  </si>
  <si>
    <t>PJ11=PJ14</t>
  </si>
  <si>
    <t>PJ23=PJ25</t>
  </si>
  <si>
    <t>PJ21=PJ27</t>
  </si>
  <si>
    <t>PJ16=PJ17=PJ29=PJ30</t>
  </si>
  <si>
    <t>PJ10=PJ12=PJ13=PJ15</t>
  </si>
  <si>
    <t>PJ18=PJ19=PJ32</t>
  </si>
  <si>
    <t>PJ31=PJ33</t>
  </si>
  <si>
    <t>PJ36=PJ40</t>
  </si>
  <si>
    <t>PJ4</t>
  </si>
  <si>
    <t>PJ7</t>
  </si>
  <si>
    <t>PJ8</t>
  </si>
  <si>
    <t>VCJ1</t>
  </si>
  <si>
    <t>VCJ2</t>
  </si>
  <si>
    <t>VCJ3=VCJ6</t>
  </si>
  <si>
    <t>VCJ4</t>
  </si>
  <si>
    <t>VCJ5</t>
  </si>
  <si>
    <t>VCJ7</t>
  </si>
  <si>
    <t>VCJ8</t>
  </si>
  <si>
    <t>VCJ9=VCJ10</t>
  </si>
  <si>
    <t>VCJ11</t>
  </si>
  <si>
    <t>VCJ12</t>
  </si>
  <si>
    <t>VCJ13</t>
  </si>
  <si>
    <t>VCJ14</t>
  </si>
  <si>
    <t>VCJ15</t>
  </si>
  <si>
    <t>VCJ16</t>
  </si>
  <si>
    <t>VCJ17</t>
  </si>
  <si>
    <t>VCJ18</t>
  </si>
  <si>
    <t>VCJ19</t>
  </si>
  <si>
    <t>VCJ20</t>
  </si>
  <si>
    <t>VCJ21</t>
  </si>
  <si>
    <t>VCJ22</t>
  </si>
  <si>
    <t>VCJ23</t>
  </si>
  <si>
    <t>VCJ24</t>
  </si>
  <si>
    <t>PJ45=PJ46</t>
  </si>
  <si>
    <t>VCJ25</t>
  </si>
  <si>
    <t>PJ47</t>
  </si>
  <si>
    <t>VCJ26</t>
  </si>
  <si>
    <t>VCJ27</t>
  </si>
  <si>
    <t>PJ48</t>
  </si>
  <si>
    <t>VCJ28</t>
  </si>
  <si>
    <t>VCJ29</t>
  </si>
  <si>
    <t>VCJ30</t>
  </si>
  <si>
    <t>VCJ31</t>
  </si>
  <si>
    <t>VCJ32</t>
  </si>
  <si>
    <t>VCJ33=VCJ39=VCJ41=VCJ47</t>
  </si>
  <si>
    <t>VCJ34</t>
  </si>
  <si>
    <t>VCJ35</t>
  </si>
  <si>
    <t>VCJ36</t>
  </si>
  <si>
    <t>PJ43=PJ44</t>
  </si>
  <si>
    <t>VCJ37</t>
  </si>
  <si>
    <t>VCJ38=VCJ42=VCJ46</t>
  </si>
  <si>
    <t>VCJ40</t>
  </si>
  <si>
    <t>VCJ43</t>
  </si>
  <si>
    <t>VCJ44</t>
  </si>
  <si>
    <t>VCJ45</t>
  </si>
  <si>
    <t>VCJ48</t>
  </si>
  <si>
    <t>ARMACAO POSITIVA EM X E NEGATIVA LCJ1/LCJ2/LCJ3/LCJ4/LCJ5/LCJ6/LCJ7/LCJ8/LCJ9/LCJ10/LCJ11/LCJ12/LCJ13/LCJ14</t>
  </si>
  <si>
    <t>ARMACAO POSITIVA Y LCJ1/LCJ2/LCJ3/LCJ4/LCJ5/LCJ6/LCJ7/LCJ8/LCJ9/LCJ10/LCJ11/LCJ12/LCJ13/LCJ14</t>
  </si>
  <si>
    <t>VPJ1</t>
  </si>
  <si>
    <t>VPJ2</t>
  </si>
  <si>
    <t>VPJ3</t>
  </si>
  <si>
    <t>VPJ4</t>
  </si>
  <si>
    <t>VPJ5</t>
  </si>
  <si>
    <t>VPJ6</t>
  </si>
  <si>
    <t>VPJ7</t>
  </si>
  <si>
    <t>VPJ8</t>
  </si>
  <si>
    <t>VPJ9</t>
  </si>
  <si>
    <t>VPJ10</t>
  </si>
  <si>
    <t>VPJ11</t>
  </si>
  <si>
    <t>VPJ12=VPJ13=VPJ14=VPJ15</t>
  </si>
  <si>
    <t>VPJ16</t>
  </si>
  <si>
    <t>VBC1</t>
  </si>
  <si>
    <t>VBC2</t>
  </si>
  <si>
    <t>VBC3</t>
  </si>
  <si>
    <t>VBC4</t>
  </si>
  <si>
    <t>VBC5</t>
  </si>
  <si>
    <t>VBC6</t>
  </si>
  <si>
    <t>VBC7</t>
  </si>
  <si>
    <t>VBC8</t>
  </si>
  <si>
    <t>VBC9</t>
  </si>
  <si>
    <t>VBC10</t>
  </si>
  <si>
    <t>VBC11</t>
  </si>
  <si>
    <t>VBC12</t>
  </si>
  <si>
    <t>VBC13</t>
  </si>
  <si>
    <t>VBC14</t>
  </si>
  <si>
    <t>VBC15</t>
  </si>
  <si>
    <t>VBC16</t>
  </si>
  <si>
    <t>VBC17</t>
  </si>
  <si>
    <t>VBC18</t>
  </si>
  <si>
    <t>VBC19</t>
  </si>
  <si>
    <t>VBC20</t>
  </si>
  <si>
    <t>BC1 ATE O BC27</t>
  </si>
  <si>
    <t>PC1</t>
  </si>
  <si>
    <t>PC8=PC10</t>
  </si>
  <si>
    <t>PC12</t>
  </si>
  <si>
    <t>PC13</t>
  </si>
  <si>
    <t>PC14</t>
  </si>
  <si>
    <t>PC15</t>
  </si>
  <si>
    <t>PC16</t>
  </si>
  <si>
    <t>PC17</t>
  </si>
  <si>
    <t>PC18</t>
  </si>
  <si>
    <t>PC21</t>
  </si>
  <si>
    <t>PC19=PC20</t>
  </si>
  <si>
    <t>PC23=PC24</t>
  </si>
  <si>
    <t>PC2</t>
  </si>
  <si>
    <t>PC22</t>
  </si>
  <si>
    <t>PC26</t>
  </si>
  <si>
    <t>PC25=PC27</t>
  </si>
  <si>
    <t>PC3</t>
  </si>
  <si>
    <t>PC4</t>
  </si>
  <si>
    <t>PC5</t>
  </si>
  <si>
    <t>PC6</t>
  </si>
  <si>
    <t>PC9</t>
  </si>
  <si>
    <t>PC7</t>
  </si>
  <si>
    <t>PC11</t>
  </si>
  <si>
    <t>VCGC1</t>
  </si>
  <si>
    <t>VCGC2</t>
  </si>
  <si>
    <t>VCGC3</t>
  </si>
  <si>
    <t>VCGC4</t>
  </si>
  <si>
    <t>VCGC5</t>
  </si>
  <si>
    <t>VCGC6</t>
  </si>
  <si>
    <t>VCGC7</t>
  </si>
  <si>
    <t>VCGC8</t>
  </si>
  <si>
    <t>VCGC9</t>
  </si>
  <si>
    <t>VCGC10</t>
  </si>
  <si>
    <t>VCGC11</t>
  </si>
  <si>
    <t>VCGC12</t>
  </si>
  <si>
    <t>VCGC13</t>
  </si>
  <si>
    <t>VCGC14</t>
  </si>
  <si>
    <t>VCCC1</t>
  </si>
  <si>
    <t>VCCC2</t>
  </si>
  <si>
    <t>VCCC3</t>
  </si>
  <si>
    <t>VCCC4</t>
  </si>
  <si>
    <t>VCCC5</t>
  </si>
  <si>
    <t>VCCC6</t>
  </si>
  <si>
    <t>PC29=PC28</t>
  </si>
  <si>
    <t>VPGC1</t>
  </si>
  <si>
    <t>VPGC2</t>
  </si>
  <si>
    <t>VPGC3</t>
  </si>
  <si>
    <t>VPCC1</t>
  </si>
  <si>
    <t>VPCC2</t>
  </si>
  <si>
    <t>VPCC3</t>
  </si>
  <si>
    <t>VPCC4</t>
  </si>
  <si>
    <t>BLOBO B - ADMNISTRAÇÃO</t>
  </si>
  <si>
    <t>BB-1</t>
  </si>
  <si>
    <t>BB-2</t>
  </si>
  <si>
    <t>BB-3</t>
  </si>
  <si>
    <t>BB-4</t>
  </si>
  <si>
    <t>BB-5</t>
  </si>
  <si>
    <t>BB-6</t>
  </si>
  <si>
    <t>BB-7</t>
  </si>
  <si>
    <t>BB-8</t>
  </si>
  <si>
    <t>BB-9</t>
  </si>
  <si>
    <t>BB-10</t>
  </si>
  <si>
    <t>BB-11</t>
  </si>
  <si>
    <t>BB-12</t>
  </si>
  <si>
    <t>BB-13</t>
  </si>
  <si>
    <t>BB-14</t>
  </si>
  <si>
    <t>BB-19</t>
  </si>
  <si>
    <t>BB-20</t>
  </si>
  <si>
    <t>BB-21</t>
  </si>
  <si>
    <t>BB-23</t>
  </si>
  <si>
    <t>BB-25</t>
  </si>
  <si>
    <t>BB-28</t>
  </si>
  <si>
    <t>BB-29</t>
  </si>
  <si>
    <t>BB-30</t>
  </si>
  <si>
    <t>BB-31</t>
  </si>
  <si>
    <t>BB-32</t>
  </si>
  <si>
    <t>BB-33</t>
  </si>
  <si>
    <t>BB-34</t>
  </si>
  <si>
    <t>BB-35</t>
  </si>
  <si>
    <t>BB-36</t>
  </si>
  <si>
    <t>BB-37</t>
  </si>
  <si>
    <t>BB-38</t>
  </si>
  <si>
    <t>BB-39</t>
  </si>
  <si>
    <t>BB-40</t>
  </si>
  <si>
    <t>BB-41</t>
  </si>
  <si>
    <t>VBB-1</t>
  </si>
  <si>
    <t>VBB-2</t>
  </si>
  <si>
    <t>VBB-3</t>
  </si>
  <si>
    <t>VBB-4</t>
  </si>
  <si>
    <t>VBB-5</t>
  </si>
  <si>
    <t>VBB-10</t>
  </si>
  <si>
    <t>VBB-12</t>
  </si>
  <si>
    <t>VBB-13</t>
  </si>
  <si>
    <t>VBB-15</t>
  </si>
  <si>
    <t>VBB-18</t>
  </si>
  <si>
    <t>VBB-19</t>
  </si>
  <si>
    <t>VBB-20</t>
  </si>
  <si>
    <t>VBB-21</t>
  </si>
  <si>
    <t>VBB-22</t>
  </si>
  <si>
    <t>VBB-23</t>
  </si>
  <si>
    <t>VBB-24</t>
  </si>
  <si>
    <t>VBB-25</t>
  </si>
  <si>
    <t>VBB-26</t>
  </si>
  <si>
    <t>VBB-27</t>
  </si>
  <si>
    <t>VBB-28</t>
  </si>
  <si>
    <t>VBB-29</t>
  </si>
  <si>
    <t>VBB-30</t>
  </si>
  <si>
    <t>VBB-31</t>
  </si>
  <si>
    <t>VBB-32</t>
  </si>
  <si>
    <t>VBB-33</t>
  </si>
  <si>
    <t>VBB-34</t>
  </si>
  <si>
    <t>VBB-35</t>
  </si>
  <si>
    <t>VBB-36</t>
  </si>
  <si>
    <t>VBB-37</t>
  </si>
  <si>
    <t>PB-1</t>
  </si>
  <si>
    <t>PB-2</t>
  </si>
  <si>
    <t>PB-4</t>
  </si>
  <si>
    <t>PB-5</t>
  </si>
  <si>
    <t>PB-6</t>
  </si>
  <si>
    <t>PB-7</t>
  </si>
  <si>
    <t>PB-8</t>
  </si>
  <si>
    <t>PB-9</t>
  </si>
  <si>
    <t>PB-10</t>
  </si>
  <si>
    <t>PB-11</t>
  </si>
  <si>
    <t>PB-12</t>
  </si>
  <si>
    <t>PB-13</t>
  </si>
  <si>
    <t>PB-14</t>
  </si>
  <si>
    <t>PB-19</t>
  </si>
  <si>
    <t>PB-20</t>
  </si>
  <si>
    <t>PB-21</t>
  </si>
  <si>
    <t>PB-23</t>
  </si>
  <si>
    <t>PB-25</t>
  </si>
  <si>
    <t>PB-28</t>
  </si>
  <si>
    <t>PB-29</t>
  </si>
  <si>
    <t>PB-30</t>
  </si>
  <si>
    <t>PB-31</t>
  </si>
  <si>
    <t>PB-32</t>
  </si>
  <si>
    <t>PB-33</t>
  </si>
  <si>
    <t>PB-34</t>
  </si>
  <si>
    <t>PB-35</t>
  </si>
  <si>
    <t>PB-36</t>
  </si>
  <si>
    <t>PB-37</t>
  </si>
  <si>
    <t>PB-38</t>
  </si>
  <si>
    <t>PB-39</t>
  </si>
  <si>
    <t>PB-40</t>
  </si>
  <si>
    <t>PB-41</t>
  </si>
  <si>
    <t>PB-42</t>
  </si>
  <si>
    <t>PB-43</t>
  </si>
  <si>
    <t>PB-44</t>
  </si>
  <si>
    <t>VCB-1</t>
  </si>
  <si>
    <t>VCB-7</t>
  </si>
  <si>
    <t>VCB-8</t>
  </si>
  <si>
    <t>VCB-11</t>
  </si>
  <si>
    <t>VCB-15</t>
  </si>
  <si>
    <t>VCB-17</t>
  </si>
  <si>
    <t>VCB-20</t>
  </si>
  <si>
    <t>VCB-23</t>
  </si>
  <si>
    <t>VCB-24</t>
  </si>
  <si>
    <t>VCB-25</t>
  </si>
  <si>
    <t>VCB-26</t>
  </si>
  <si>
    <t>VCB-27</t>
  </si>
  <si>
    <t>VCB-28</t>
  </si>
  <si>
    <t>VCB-29</t>
  </si>
  <si>
    <t>VCB-30</t>
  </si>
  <si>
    <t>VCB-31</t>
  </si>
  <si>
    <t>VCB-32</t>
  </si>
  <si>
    <t>VCB-33</t>
  </si>
  <si>
    <t>VCB-34</t>
  </si>
  <si>
    <t>VCB-35</t>
  </si>
  <si>
    <t>VCB-36</t>
  </si>
  <si>
    <t>VCB-37</t>
  </si>
  <si>
    <t>VCB-38</t>
  </si>
  <si>
    <t>VCB-39</t>
  </si>
  <si>
    <t>VCB-40</t>
  </si>
  <si>
    <t>VCB-41</t>
  </si>
  <si>
    <t>VPB-1</t>
  </si>
  <si>
    <t>VPB-2</t>
  </si>
  <si>
    <t>VPB-3</t>
  </si>
  <si>
    <t>VPB-4</t>
  </si>
  <si>
    <t>VPB-5</t>
  </si>
  <si>
    <t>VPB-6</t>
  </si>
  <si>
    <t>VPB-7</t>
  </si>
  <si>
    <t>VPB-8</t>
  </si>
  <si>
    <t>VPB-9</t>
  </si>
  <si>
    <t>VPB-10</t>
  </si>
  <si>
    <t>VPB-11</t>
  </si>
  <si>
    <t>VPB-12</t>
  </si>
  <si>
    <t>LTB-1</t>
  </si>
  <si>
    <t>LTB-2</t>
  </si>
  <si>
    <t>LTB-3</t>
  </si>
  <si>
    <t>BLOCO B - ADMNISTRAÇÃO</t>
  </si>
  <si>
    <t>BLOCO B - ADMINISTRAÇÃO</t>
  </si>
  <si>
    <t>BB1</t>
  </si>
  <si>
    <t>PB1</t>
  </si>
  <si>
    <t>VBB1</t>
  </si>
  <si>
    <t>VBB2</t>
  </si>
  <si>
    <t>VBB3</t>
  </si>
  <si>
    <t>VBB4</t>
  </si>
  <si>
    <t>VBB5</t>
  </si>
  <si>
    <t>VBB10=VBB18</t>
  </si>
  <si>
    <t>VBB12</t>
  </si>
  <si>
    <t>VBB13</t>
  </si>
  <si>
    <t>VBB15</t>
  </si>
  <si>
    <t>VBB18</t>
  </si>
  <si>
    <t>VBB19</t>
  </si>
  <si>
    <t>VBB20</t>
  </si>
  <si>
    <t>VBB21</t>
  </si>
  <si>
    <t>VBB22</t>
  </si>
  <si>
    <t>VBB23</t>
  </si>
  <si>
    <t>VBB24</t>
  </si>
  <si>
    <t>VBB25</t>
  </si>
  <si>
    <t>VBB26=VBB36</t>
  </si>
  <si>
    <t>VBB27</t>
  </si>
  <si>
    <t>VBB28</t>
  </si>
  <si>
    <t>VBB29</t>
  </si>
  <si>
    <t>VBB30</t>
  </si>
  <si>
    <t>VBB31=VBB34</t>
  </si>
  <si>
    <t>VBB32</t>
  </si>
  <si>
    <t>VBB33</t>
  </si>
  <si>
    <t>VBB35</t>
  </si>
  <si>
    <t>VBB37</t>
  </si>
  <si>
    <t>BB2 AO BB14 / BB19=BB20=BB21=BB23=BB25 / BB28 AO BB41</t>
  </si>
  <si>
    <t>PB10</t>
  </si>
  <si>
    <t>PB19=PB28</t>
  </si>
  <si>
    <t>PB25</t>
  </si>
  <si>
    <t>PB12=PB13=PB14=PB21=PB30=PB33</t>
  </si>
  <si>
    <t>PB31=PB32</t>
  </si>
  <si>
    <t>PB20</t>
  </si>
  <si>
    <t>PB23</t>
  </si>
  <si>
    <t>PB29</t>
  </si>
  <si>
    <t>PB3</t>
  </si>
  <si>
    <t>PB34=PB37</t>
  </si>
  <si>
    <t>PB35=PB36</t>
  </si>
  <si>
    <t>PB39=PB40</t>
  </si>
  <si>
    <t>PB38=PB41</t>
  </si>
  <si>
    <t>PB5=PB6=PB7=PB8</t>
  </si>
  <si>
    <t>PB11</t>
  </si>
  <si>
    <t>PB2</t>
  </si>
  <si>
    <t>PB4</t>
  </si>
  <si>
    <t>PB9</t>
  </si>
  <si>
    <t>VCB1</t>
  </si>
  <si>
    <t>VCB7</t>
  </si>
  <si>
    <t>VCB8</t>
  </si>
  <si>
    <t>VCB11=VCB17</t>
  </si>
  <si>
    <t>VCB15=VCB23</t>
  </si>
  <si>
    <t>VCB20</t>
  </si>
  <si>
    <t>VCB24</t>
  </si>
  <si>
    <t>VCB25</t>
  </si>
  <si>
    <t>VCB26</t>
  </si>
  <si>
    <t>VCB27</t>
  </si>
  <si>
    <t>VCB28</t>
  </si>
  <si>
    <t>VCB29</t>
  </si>
  <si>
    <t>VCB30</t>
  </si>
  <si>
    <t>VCB31</t>
  </si>
  <si>
    <t>VCB32=VCB35</t>
  </si>
  <si>
    <t>PB43=PB44</t>
  </si>
  <si>
    <t>VCB33</t>
  </si>
  <si>
    <t>VCB34</t>
  </si>
  <si>
    <t>PB42</t>
  </si>
  <si>
    <t>VCB36</t>
  </si>
  <si>
    <t>VCB37</t>
  </si>
  <si>
    <t>VCB38</t>
  </si>
  <si>
    <t>VCB39</t>
  </si>
  <si>
    <t>VCB40</t>
  </si>
  <si>
    <t>VCB41</t>
  </si>
  <si>
    <t>ARMACAO POSITIVA EM X LTB1/LTB2/LTB3</t>
  </si>
  <si>
    <t>ARMACAO POSITIVA EM Y LTB1/LTB2/LTB3</t>
  </si>
  <si>
    <t>VPB1=VPB2</t>
  </si>
  <si>
    <t>VPB3</t>
  </si>
  <si>
    <t>VPB4</t>
  </si>
  <si>
    <t>VPB5</t>
  </si>
  <si>
    <t>VPB6</t>
  </si>
  <si>
    <t>VPB7=VPB11</t>
  </si>
  <si>
    <t>VPB8</t>
  </si>
  <si>
    <t>VPB9=VPB10</t>
  </si>
  <si>
    <t>VPB12</t>
  </si>
  <si>
    <t>AÇO INFRAESTRUTURA (BLOCOS)</t>
  </si>
  <si>
    <t>5 MM</t>
  </si>
  <si>
    <t>AÇO INFRAESTRUTURA (ESTACAS)</t>
  </si>
  <si>
    <t>8,0 MM</t>
  </si>
  <si>
    <t>VIGA SUP E PLATI.:</t>
  </si>
  <si>
    <t>TOTAL PLATIBANDA</t>
  </si>
  <si>
    <t>PILAR TER. E PLAT.:</t>
  </si>
  <si>
    <t>BLOCO:</t>
  </si>
  <si>
    <t>VIGA BALDRAME:</t>
  </si>
  <si>
    <t>LAJE MACIÇA =</t>
  </si>
  <si>
    <t>ESCAVAÇÃO MECANIZADA PARA BLOCO DE COROAMENTO OU SAPATA COM RETROESCAVADEIRA (INCLUINDO ESCAVAÇÃO PARA COLOCAÇÃO DE FÔRMAS). AF_01/2024</t>
  </si>
  <si>
    <t>ESCAVAÇÃO MECANIZADA PARA VIGA BALDRAME OU SAPATA CORRIDA COM MINI-ESCAVADEIRA (INCLUINDO ESCAVAÇÃO PARA COLOCAÇÃO DE FÔRMAS). AF_01/2024</t>
  </si>
  <si>
    <t>REATERRO MECANIZADO DE VALA COM RETROESCAVADEIRA (CAPACIDADE DA CAÇAMBA DA RETRO: 0,26 M³/POTÊNCIA: 88 HP), LARGURA 0,8 A 1,5 M, PROFUNDIDADE ATÉ 1,5 M, COM SOLO (SEM SUBSTITUIÇÃO) DE 1ª CATEGORIA, COM COMPACTADOR DE SOLOS DE PERCUSSÃO AF_08/2023</t>
  </si>
  <si>
    <t>FABRICAÇÃO, MONTAGEM E DESMONTAGEM DE FÔRMA PARA BLOCO DE COROAMENTO,EM MADEIRA SERRADA, E=25 MM, 4 UTILIZAÇÕES. AF_01/2024</t>
  </si>
  <si>
    <t>ESTACAS</t>
  </si>
  <si>
    <t>5.3</t>
  </si>
  <si>
    <t>ARMAÇÃO DE BLOCO UTILIZANDO AÇO CA-60 DE 5 MM - MONTAGEM. AF_01/2024</t>
  </si>
  <si>
    <t>ARMAÇÃO DE BLOCO UTILIZANDO AÇO CA-50 DE 6,3 MM - MONTAGEM. AF_01/2024</t>
  </si>
  <si>
    <t>ARMAÇÃO DE BLOCO UTILIZANDO AÇO CA-50 DE 8 MM - MONTAGEM. AF_01/2024</t>
  </si>
  <si>
    <t>ARMAÇÃO DE BLOCO UTILIZANDO AÇO CA-50 DE 10 MM - MONTAGEM. AF_01/2024</t>
  </si>
  <si>
    <t>ARMAÇÃO DE BLOCO, SAPATA ISOLADA, VIGA BALDRAME E SAPATA CORRIDA UTILIZANDO AÇO CA-50 DE 12,5 MM - MONTAGEM. AF_01/2024</t>
  </si>
  <si>
    <t>ARMAÇÃO DE BLOCO, SAPATA ISOLADA, VIGA BALDRAME E SAPATA CORRIDA UTILIZANDO AÇO CA-50 DE 16 MM - MONTAGEM. AF_01/2024</t>
  </si>
  <si>
    <t>FABRICAÇÃO, MONTAGEM E DESMONTAGEM DE FÔRMA PARA VIGA BALDRAME, EM MADEIRA SERRADA, E=25 MM, 4 UTILIZAÇÕES. AF_01/2024</t>
  </si>
  <si>
    <t>ARMAÇÃO DE SAPATA ISOLADA, VIGA BALDRAME E SAPATA CORRIDA UTILIZANDO AÇO CA-50 DE 6,3 MM - MONTAGEM. AF_01/2024</t>
  </si>
  <si>
    <t>ARMAÇÃO DE PILAR OU VIGA DE ESTRUTURA CONVENCIONAL DE CONCRETO ARMADO UTILIZANDO AÇO CA-50 DE 16,0 MM - MONTAGEM. AF_06/2022</t>
  </si>
  <si>
    <t>ARMAÇÃO DE PILAR OU VIGA DE ESTRUTURA CONVENCIONAL DE CONCRETO ARMADOUTILIZANDO AÇO CA-50 DE 20,0 MM - MONTAGEM. AF_06/2022</t>
  </si>
  <si>
    <t>IMPERMEABILIZAÇÃO DE SUPERFÍCIE COM EMULSÃO ASFÁLTICA, 2 DEMÃOS. AF_09/2023</t>
  </si>
  <si>
    <t>IMPERMEABILIZAÇAO</t>
  </si>
  <si>
    <t>MONTAGEM E DESMONTAGEM DE FÔRMA DE PILARES RETANGULARES E ESTRUTURAS SIMILARES, PÉ-DIREITO SIMPLES, EM CHAPA DE MADEIRA COMPENSADA PLASTIFICADA, 18 UTILIZAÇÕES. AF_09/2020</t>
  </si>
  <si>
    <t>92479</t>
  </si>
  <si>
    <t>MONTAGEM E DESMONTAGEM DE FÔRMA DE VIGA, ESCORAMENTO COM GARFO DE MADEIRA, PÉ-DIREITO SIMPLES, EM CHAPA DE MADEIRA PLASTIFICADA, 18 UTILIZAÇÕES. AF_09/2020</t>
  </si>
  <si>
    <t>ARMAÇÃO DE PILAR OU VIGA DE ESTRUTURA CONVENCIONAL DE CONCRETO ARMADO UTILIZANDO AÇO CA-50 DE 25,0 MM - MONTAGEM. AF_06/2022</t>
  </si>
  <si>
    <t>MONTAGEM E DESMONTAGEM DE FÔRMA DE LAJE MACIÇA, PÉ-DIREITO SIMPLES, EM CHAPA DE MADEIRA COMPENSADA RESINADA, 4 UTILIZAÇÕES. AF_09/2020</t>
  </si>
  <si>
    <t>ESTACA ESCAVADA MECANICAMENTE, SEM FLUIDO ESTABILIZANTE, COM 40CM DE DIÂMETRO, CONCRETO LANÇADO MANUALMENTE  (EXCLUSIVE MOBILIZAÇÃO E DESMOBILIZAÇÃO). AF_01/2020_PA</t>
  </si>
  <si>
    <t>NOVA</t>
  </si>
  <si>
    <t>USAR 100897 E A 100899</t>
  </si>
  <si>
    <t>ESTACA:</t>
  </si>
  <si>
    <t>ESTACA (M)</t>
  </si>
  <si>
    <t>ARRASAMENTO DE ESTACA (UND)</t>
  </si>
  <si>
    <t>FORMA LAJE (M2)</t>
  </si>
  <si>
    <t>M</t>
  </si>
  <si>
    <t>ARRASAMENTO MECANICO DE ESTACA DE CONCRETO ARMADO, DIAMETROS DE ATÉ 40 CM. AF_05/2021</t>
  </si>
  <si>
    <t>UND</t>
  </si>
  <si>
    <t>MONTAGEM DE ARMADURA TRANSVERSAL DE ESTACAS DE SEÇÃO CIRCULAR, DIÂMETRO = 5,0 MM. AF_09/2021_PS</t>
  </si>
  <si>
    <t>MONTAGEM DE ARMADURA DE ESTACAS, DIÂMETRO = 10,0 MM. AF_09/2021_PS</t>
  </si>
  <si>
    <t>MURO FRONTAL + LATERAL LIXEIRA</t>
  </si>
  <si>
    <t>BM-1</t>
  </si>
  <si>
    <t>BM-2</t>
  </si>
  <si>
    <t>BM-3</t>
  </si>
  <si>
    <t>BM-4</t>
  </si>
  <si>
    <t>BM-5</t>
  </si>
  <si>
    <t>BM-18</t>
  </si>
  <si>
    <t>BM-19</t>
  </si>
  <si>
    <t>BM-20</t>
  </si>
  <si>
    <t>BM-22</t>
  </si>
  <si>
    <t>BM-23</t>
  </si>
  <si>
    <t>BM-25</t>
  </si>
  <si>
    <t>BM-27</t>
  </si>
  <si>
    <t>BM-28</t>
  </si>
  <si>
    <t>BM-30</t>
  </si>
  <si>
    <t>BM-31</t>
  </si>
  <si>
    <t>BM-33</t>
  </si>
  <si>
    <t>BM-40</t>
  </si>
  <si>
    <t>BM-43</t>
  </si>
  <si>
    <t>BM-45</t>
  </si>
  <si>
    <t>BM-47</t>
  </si>
  <si>
    <t>BM-49</t>
  </si>
  <si>
    <t>BM-24</t>
  </si>
  <si>
    <t>BM-34</t>
  </si>
  <si>
    <t>BM-41</t>
  </si>
  <si>
    <t>Altura de escavação topo do bloco MURO</t>
  </si>
  <si>
    <t>EM-1</t>
  </si>
  <si>
    <t>EM2</t>
  </si>
  <si>
    <t>PM-1</t>
  </si>
  <si>
    <t>PM-2</t>
  </si>
  <si>
    <t>PM-3</t>
  </si>
  <si>
    <t>PM-4</t>
  </si>
  <si>
    <t>PM-5</t>
  </si>
  <si>
    <t>PM-18</t>
  </si>
  <si>
    <t>PM-19</t>
  </si>
  <si>
    <t>PM-20</t>
  </si>
  <si>
    <t>PM-22</t>
  </si>
  <si>
    <t>PM-23</t>
  </si>
  <si>
    <t>PM-24</t>
  </si>
  <si>
    <t>PM-25</t>
  </si>
  <si>
    <t>PM-27</t>
  </si>
  <si>
    <t>PM-28</t>
  </si>
  <si>
    <t>PM-30</t>
  </si>
  <si>
    <t>PM-31</t>
  </si>
  <si>
    <t>PM-33</t>
  </si>
  <si>
    <t>PM-34</t>
  </si>
  <si>
    <t>PM-40</t>
  </si>
  <si>
    <t>PM-41</t>
  </si>
  <si>
    <t>PM-43</t>
  </si>
  <si>
    <t>PM-45</t>
  </si>
  <si>
    <t>PM-47</t>
  </si>
  <si>
    <t>PM-49</t>
  </si>
  <si>
    <t>VBM-1</t>
  </si>
  <si>
    <t>VBM-5</t>
  </si>
  <si>
    <t>VBM-6</t>
  </si>
  <si>
    <t>VBM-7</t>
  </si>
  <si>
    <t>VBM-8</t>
  </si>
  <si>
    <t>VBM-9</t>
  </si>
  <si>
    <t>VBM-13</t>
  </si>
  <si>
    <t>VBM-14</t>
  </si>
  <si>
    <t>VBM-15</t>
  </si>
  <si>
    <t>VBM-16</t>
  </si>
  <si>
    <t>VBM-17</t>
  </si>
  <si>
    <t>VBM-18</t>
  </si>
  <si>
    <t>VBM-19</t>
  </si>
  <si>
    <t>VBM-20</t>
  </si>
  <si>
    <t>VBM-21</t>
  </si>
  <si>
    <t>VTM-1</t>
  </si>
  <si>
    <t>VTM-5</t>
  </si>
  <si>
    <t>VTM-6</t>
  </si>
  <si>
    <t>VTM-7</t>
  </si>
  <si>
    <t>VTM-8</t>
  </si>
  <si>
    <t>VTM-12</t>
  </si>
  <si>
    <t>VTM-13</t>
  </si>
  <si>
    <t>VTM-14</t>
  </si>
  <si>
    <t>VTM-15</t>
  </si>
  <si>
    <t>VTM-16</t>
  </si>
  <si>
    <t>VTM-17</t>
  </si>
  <si>
    <t>VTM-18</t>
  </si>
  <si>
    <t>LTM-1</t>
  </si>
  <si>
    <t>LTM-2</t>
  </si>
  <si>
    <t>LTM-3</t>
  </si>
  <si>
    <t>VBM1</t>
  </si>
  <si>
    <t>VBM5</t>
  </si>
  <si>
    <t>VBM6</t>
  </si>
  <si>
    <t>VBM7</t>
  </si>
  <si>
    <t>VBM8</t>
  </si>
  <si>
    <t>VBM9</t>
  </si>
  <si>
    <t>VBM13</t>
  </si>
  <si>
    <t>VBM14</t>
  </si>
  <si>
    <t>VBM15</t>
  </si>
  <si>
    <t>VBM16</t>
  </si>
  <si>
    <t>VBM17</t>
  </si>
  <si>
    <t>VBM18</t>
  </si>
  <si>
    <t>VBM19=VBM20</t>
  </si>
  <si>
    <t>VBM21</t>
  </si>
  <si>
    <t>BM1 AO BM5 / BM19=BM20=BM22=BM23=BM25=BM27=BM28=BM30=BM31=BM33=BM40=BM43=BM45=BM47=BM49</t>
  </si>
  <si>
    <t>PM24</t>
  </si>
  <si>
    <t>PM34</t>
  </si>
  <si>
    <t>PM41</t>
  </si>
  <si>
    <t>PM1</t>
  </si>
  <si>
    <t>PM2=PM3=PM18</t>
  </si>
  <si>
    <t>PM19</t>
  </si>
  <si>
    <t>PM20</t>
  </si>
  <si>
    <t>PM23</t>
  </si>
  <si>
    <t>PM22=PM25=PM27=PM30</t>
  </si>
  <si>
    <t>PM28=PM31=PM33</t>
  </si>
  <si>
    <t>PM43=PM45</t>
  </si>
  <si>
    <t>PM4=PM47</t>
  </si>
  <si>
    <t>PM5</t>
  </si>
  <si>
    <t>PM40=PM49</t>
  </si>
  <si>
    <t>VTM1</t>
  </si>
  <si>
    <t>VTM5</t>
  </si>
  <si>
    <t>VTM6</t>
  </si>
  <si>
    <t>VTM7</t>
  </si>
  <si>
    <t>VTM8</t>
  </si>
  <si>
    <t>VTM12</t>
  </si>
  <si>
    <t>VTM13</t>
  </si>
  <si>
    <t>VTM14</t>
  </si>
  <si>
    <t>VTM15</t>
  </si>
  <si>
    <t>VTM16</t>
  </si>
  <si>
    <t>VTM17</t>
  </si>
  <si>
    <t>VTM18</t>
  </si>
  <si>
    <t>ARMACAO NEGATIVA EM X</t>
  </si>
  <si>
    <t>ARMACAO POSITIVA EM X</t>
  </si>
  <si>
    <t>ARMADURA POSITIVA EM Y</t>
  </si>
  <si>
    <t>BLOCO G</t>
  </si>
  <si>
    <t>AREA + PERIMETRO X ALTURA</t>
  </si>
  <si>
    <t>1,8 X 7,8</t>
  </si>
  <si>
    <t>1,8 X 7,8 + (1,8+1,8+7,8+7,8) X 0,6</t>
  </si>
  <si>
    <t>BLOCO H</t>
  </si>
  <si>
    <t>1,8 X 7,8 + 1,8 X 3,88 + (1,8+1,8+7,8+7,8) X 0,6 + (1,8+1,8+3,88+3,88) X 0,6</t>
  </si>
  <si>
    <t>BLOCO I</t>
  </si>
  <si>
    <t>(AREA + PERIMETRO X ALTURA) X QUANT.</t>
  </si>
  <si>
    <t>(1,8 X 7,8 + (1,8+1,8+7,8+7,8) X 0,6) X 2</t>
  </si>
  <si>
    <t>AREA</t>
  </si>
  <si>
    <t>1,8 X 7,8 + 1,8 X 3,88</t>
  </si>
  <si>
    <t>(1,8 X 7,8) X 2</t>
  </si>
  <si>
    <t>PROTEÇÃO MECÂNICA DE SUPERFICIE HORIZONTAL COM ARGAMASSA DE CIMENTO E AREIA, TRAÇO 1:3, E=3CM. AF_09/2023</t>
  </si>
  <si>
    <t>CONTRAPISO EM ARGAMASSA TRAÇO 1:4 (CIMENTO E AREIA), PREPARO MECÂNICO COM BETONEIRA 400 L, APLICADO EM ÁREAS MOLHADAS SOBRE IMPERMEABILIZAÇÃO, ACABAMENTO NÃO REFORÇADO, ESPESSURA 3CM. AF_07/2021</t>
  </si>
  <si>
    <t>BLOCO J</t>
  </si>
  <si>
    <t>IMPERMEABILIZAÇÃO DE SUPERFÍCIE COM MANTA ASFÁLTICA, UMA CAMADA, INCLUSIVE APLICAÇÃO DE PRIMER ASFÁLTICO, E=4MM. AF_09/2023</t>
  </si>
  <si>
    <t>EMBOÇO OU MASSA ÚNICA EM ARGAMASSA TRAÇO 1:2:8, PREPARO MECÂNICO COM BETONEIRA 400 L, APLICADA MANUALMENTE EM PANOS CEGOS DE FACHADA (SEM PRESENÇA DE VÃOS), ESPESSURA DE 25 MM. AF_08/2022</t>
  </si>
  <si>
    <t>(1,8+1,8+7,8+7,8) X 0,6</t>
  </si>
  <si>
    <t xml:space="preserve"> (1,8+1,8+7,8+7,8) X 0,6 + (1,8+1,8+3,88+3,88) X 0,6</t>
  </si>
  <si>
    <t>((1,8+1,8+7,8+7,8) X 0,6) X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</si>
</sst>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"/>
    <numFmt numFmtId="165" formatCode="0.0"/>
    <numFmt numFmtId="166" formatCode="0.0000"/>
    <numFmt numFmtId="167" formatCode="#,##0.000"/>
    <numFmt numFmtId="168" formatCode="0.000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7"/>
      <color theme="1"/>
      <name val="Arial"/>
      <family val="2"/>
    </font>
    <font>
      <i/>
      <sz val="10"/>
      <color indexed="8"/>
      <name val="Arial"/>
      <family val="2"/>
    </font>
    <font>
      <b/>
      <i/>
      <sz val="10"/>
      <color indexed="8"/>
      <name val="Arial"/>
      <family val="2"/>
    </font>
    <font>
      <sz val="11"/>
      <color theme="1"/>
      <name val="Times New Roman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10"/>
      <name val="Arial"/>
      <family val="2"/>
    </font>
    <font>
      <b/>
      <i/>
      <sz val="12"/>
      <color indexed="8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theme="1"/>
      <name val="Arial"/>
      <family val="2"/>
    </font>
    <font>
      <i/>
      <sz val="10"/>
      <color theme="1"/>
      <name val="Arial"/>
    </font>
    <font>
      <b/>
      <i/>
      <sz val="10"/>
      <color theme="1"/>
      <name val="Arial"/>
    </font>
    <font>
      <b/>
      <i/>
      <sz val="10"/>
      <color rgb="FF000000"/>
      <name val="Arial"/>
    </font>
    <font>
      <sz val="11"/>
      <name val="Calibri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sz val="10"/>
      <color rgb="FFFF0000"/>
      <name val="Arial"/>
      <family val="2"/>
    </font>
    <font>
      <sz val="1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F2F2F2"/>
      </patternFill>
    </fill>
    <fill>
      <patternFill patternType="solid">
        <fgColor theme="0" tint="-0.34998626667073579"/>
        <bgColor indexed="64"/>
      </patternFill>
    </fill>
  </fills>
  <borders count="205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auto="1"/>
      </left>
      <right style="double">
        <color indexed="64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indexed="64"/>
      </right>
      <top style="medium">
        <color auto="1"/>
      </top>
      <bottom style="hair">
        <color auto="1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/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auto="1"/>
      </left>
      <right style="double">
        <color indexed="64"/>
      </right>
      <top style="hair">
        <color auto="1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double">
        <color indexed="64"/>
      </left>
      <right/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auto="1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auto="1"/>
      </left>
      <right style="double">
        <color auto="1"/>
      </right>
      <top style="thin">
        <color auto="1"/>
      </top>
      <bottom/>
      <diagonal/>
    </border>
    <border>
      <left style="medium">
        <color auto="1"/>
      </left>
      <right style="double">
        <color auto="1"/>
      </right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4"/>
      </left>
      <right style="double">
        <color auto="1"/>
      </right>
      <top/>
      <bottom style="double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DashDot">
        <color auto="1"/>
      </left>
      <right/>
      <top style="mediumDashDot">
        <color auto="1"/>
      </top>
      <bottom/>
      <diagonal/>
    </border>
    <border>
      <left/>
      <right style="mediumDashDot">
        <color auto="1"/>
      </right>
      <top style="mediumDashDot">
        <color auto="1"/>
      </top>
      <bottom/>
      <diagonal/>
    </border>
    <border>
      <left style="mediumDashDot">
        <color auto="1"/>
      </left>
      <right/>
      <top/>
      <bottom style="mediumDashDot">
        <color auto="1"/>
      </bottom>
      <diagonal/>
    </border>
    <border>
      <left/>
      <right style="mediumDashDot">
        <color auto="1"/>
      </right>
      <top/>
      <bottom style="mediumDashDot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double">
        <color auto="1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auto="1"/>
      </left>
      <right style="double">
        <color indexed="64"/>
      </right>
      <top style="double">
        <color auto="1"/>
      </top>
      <bottom style="thin">
        <color indexed="64"/>
      </bottom>
      <diagonal/>
    </border>
    <border>
      <left style="medium">
        <color auto="1"/>
      </left>
      <right style="double">
        <color indexed="64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indexed="64"/>
      </right>
      <top style="double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indexed="64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medium">
        <color auto="1"/>
      </bottom>
      <diagonal/>
    </border>
    <border>
      <left/>
      <right style="thin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double">
        <color auto="1"/>
      </bottom>
      <diagonal/>
    </border>
    <border>
      <left style="thin">
        <color rgb="FF000000"/>
      </left>
      <right style="hair">
        <color rgb="FF000000"/>
      </right>
      <top style="double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double">
        <color rgb="FF000000"/>
      </top>
      <bottom style="double">
        <color rgb="FF000000"/>
      </bottom>
      <diagonal/>
    </border>
    <border>
      <left style="hair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double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</borders>
  <cellStyleXfs count="5">
    <xf numFmtId="0" fontId="0" fillId="0" borderId="0"/>
    <xf numFmtId="0" fontId="3" fillId="0" borderId="0"/>
    <xf numFmtId="0" fontId="5" fillId="0" borderId="0"/>
    <xf numFmtId="0" fontId="5" fillId="0" borderId="0"/>
    <xf numFmtId="0" fontId="22" fillId="0" borderId="0"/>
  </cellStyleXfs>
  <cellXfs count="902">
    <xf numFmtId="0" fontId="0" fillId="0" borderId="0" xfId="0"/>
    <xf numFmtId="0" fontId="0" fillId="0" borderId="0" xfId="0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0" borderId="0" xfId="0" applyFont="1"/>
    <xf numFmtId="2" fontId="0" fillId="3" borderId="7" xfId="0" applyNumberFormat="1" applyFill="1" applyBorder="1" applyAlignment="1">
      <alignment horizontal="center" vertical="center"/>
    </xf>
    <xf numFmtId="2" fontId="0" fillId="3" borderId="8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4" fontId="0" fillId="0" borderId="0" xfId="0" applyNumberFormat="1" applyAlignment="1">
      <alignment horizontal="center" vertical="center"/>
    </xf>
    <xf numFmtId="4" fontId="0" fillId="0" borderId="7" xfId="0" applyNumberFormat="1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4" fontId="2" fillId="0" borderId="0" xfId="0" applyNumberFormat="1" applyFont="1"/>
    <xf numFmtId="0" fontId="2" fillId="0" borderId="0" xfId="0" applyFont="1"/>
    <xf numFmtId="2" fontId="2" fillId="0" borderId="0" xfId="0" applyNumberFormat="1" applyFont="1"/>
    <xf numFmtId="0" fontId="4" fillId="0" borderId="0" xfId="1" applyFont="1"/>
    <xf numFmtId="0" fontId="6" fillId="0" borderId="41" xfId="2" applyFont="1" applyBorder="1" applyAlignment="1">
      <alignment horizontal="center" vertical="center"/>
    </xf>
    <xf numFmtId="0" fontId="6" fillId="0" borderId="30" xfId="2" applyFont="1" applyBorder="1" applyAlignment="1">
      <alignment horizontal="center" vertical="center"/>
    </xf>
    <xf numFmtId="0" fontId="6" fillId="0" borderId="42" xfId="2" applyFont="1" applyBorder="1" applyAlignment="1">
      <alignment horizontal="center" vertical="center"/>
    </xf>
    <xf numFmtId="0" fontId="6" fillId="0" borderId="29" xfId="2" applyFont="1" applyBorder="1" applyAlignment="1">
      <alignment horizontal="center" vertical="center"/>
    </xf>
    <xf numFmtId="164" fontId="6" fillId="0" borderId="5" xfId="2" applyNumberFormat="1" applyFont="1" applyBorder="1" applyAlignment="1">
      <alignment horizontal="center" vertical="center"/>
    </xf>
    <xf numFmtId="164" fontId="6" fillId="0" borderId="43" xfId="2" applyNumberFormat="1" applyFont="1" applyBorder="1" applyAlignment="1">
      <alignment horizontal="center" vertical="center"/>
    </xf>
    <xf numFmtId="0" fontId="5" fillId="0" borderId="47" xfId="2" applyFont="1" applyFill="1" applyBorder="1" applyAlignment="1">
      <alignment horizontal="center"/>
    </xf>
    <xf numFmtId="1" fontId="5" fillId="0" borderId="31" xfId="2" applyNumberFormat="1" applyFont="1" applyFill="1" applyBorder="1" applyAlignment="1">
      <alignment horizontal="center"/>
    </xf>
    <xf numFmtId="165" fontId="5" fillId="0" borderId="31" xfId="2" applyNumberFormat="1" applyFont="1" applyFill="1" applyBorder="1" applyAlignment="1">
      <alignment horizontal="center"/>
    </xf>
    <xf numFmtId="1" fontId="5" fillId="0" borderId="0" xfId="2" applyNumberFormat="1" applyFont="1" applyFill="1" applyBorder="1" applyAlignment="1">
      <alignment horizontal="center"/>
    </xf>
    <xf numFmtId="0" fontId="5" fillId="0" borderId="48" xfId="2" applyFont="1" applyFill="1" applyBorder="1" applyAlignment="1">
      <alignment horizontal="center"/>
    </xf>
    <xf numFmtId="2" fontId="5" fillId="0" borderId="20" xfId="2" applyNumberFormat="1" applyFont="1" applyFill="1" applyBorder="1" applyAlignment="1">
      <alignment horizontal="center"/>
    </xf>
    <xf numFmtId="4" fontId="5" fillId="0" borderId="8" xfId="2" applyNumberFormat="1" applyFont="1" applyBorder="1" applyAlignment="1" applyProtection="1">
      <alignment horizontal="center"/>
    </xf>
    <xf numFmtId="4" fontId="5" fillId="0" borderId="24" xfId="2" applyNumberFormat="1" applyFont="1" applyBorder="1" applyAlignment="1" applyProtection="1">
      <alignment horizontal="center"/>
    </xf>
    <xf numFmtId="4" fontId="5" fillId="0" borderId="49" xfId="2" applyNumberFormat="1" applyFont="1" applyBorder="1" applyAlignment="1" applyProtection="1">
      <alignment horizontal="center"/>
    </xf>
    <xf numFmtId="165" fontId="5" fillId="0" borderId="51" xfId="2" applyNumberFormat="1" applyFont="1" applyFill="1" applyBorder="1" applyAlignment="1">
      <alignment horizontal="center"/>
    </xf>
    <xf numFmtId="2" fontId="5" fillId="0" borderId="51" xfId="2" applyNumberFormat="1" applyFont="1" applyFill="1" applyBorder="1" applyAlignment="1">
      <alignment horizontal="center"/>
    </xf>
    <xf numFmtId="2" fontId="4" fillId="0" borderId="0" xfId="1" applyNumberFormat="1" applyFont="1"/>
    <xf numFmtId="4" fontId="6" fillId="4" borderId="60" xfId="2" applyNumberFormat="1" applyFont="1" applyFill="1" applyBorder="1" applyAlignment="1">
      <alignment horizontal="center" vertical="center"/>
    </xf>
    <xf numFmtId="4" fontId="6" fillId="4" borderId="17" xfId="2" applyNumberFormat="1" applyFont="1" applyFill="1" applyBorder="1" applyAlignment="1">
      <alignment horizontal="center" vertical="center"/>
    </xf>
    <xf numFmtId="4" fontId="5" fillId="0" borderId="69" xfId="2" applyNumberFormat="1" applyFont="1" applyBorder="1" applyAlignment="1" applyProtection="1">
      <alignment horizontal="center"/>
    </xf>
    <xf numFmtId="4" fontId="6" fillId="6" borderId="70" xfId="2" applyNumberFormat="1" applyFont="1" applyFill="1" applyBorder="1" applyAlignment="1" applyProtection="1">
      <alignment horizontal="center"/>
    </xf>
    <xf numFmtId="0" fontId="6" fillId="0" borderId="0" xfId="2" applyFont="1" applyFill="1" applyBorder="1" applyAlignment="1">
      <alignment horizontal="center" vertical="center"/>
    </xf>
    <xf numFmtId="4" fontId="6" fillId="0" borderId="0" xfId="2" applyNumberFormat="1" applyFont="1" applyFill="1" applyBorder="1" applyAlignment="1" applyProtection="1">
      <alignment horizontal="center"/>
    </xf>
    <xf numFmtId="164" fontId="6" fillId="0" borderId="0" xfId="2" applyNumberFormat="1" applyFont="1" applyFill="1" applyBorder="1" applyAlignment="1" applyProtection="1">
      <alignment horizontal="center"/>
    </xf>
    <xf numFmtId="4" fontId="5" fillId="0" borderId="8" xfId="2" applyNumberFormat="1" applyFont="1" applyFill="1" applyBorder="1" applyAlignment="1" applyProtection="1">
      <alignment horizontal="center"/>
    </xf>
    <xf numFmtId="0" fontId="6" fillId="0" borderId="72" xfId="2" applyFont="1" applyBorder="1" applyAlignment="1">
      <alignment horizontal="center" vertical="center"/>
    </xf>
    <xf numFmtId="4" fontId="6" fillId="0" borderId="22" xfId="2" applyNumberFormat="1" applyFont="1" applyFill="1" applyBorder="1" applyAlignment="1">
      <alignment horizontal="center" vertical="center"/>
    </xf>
    <xf numFmtId="4" fontId="6" fillId="0" borderId="7" xfId="2" applyNumberFormat="1" applyFont="1" applyFill="1" applyBorder="1" applyAlignment="1">
      <alignment horizontal="center" vertical="center"/>
    </xf>
    <xf numFmtId="4" fontId="6" fillId="0" borderId="61" xfId="2" applyNumberFormat="1" applyFont="1" applyFill="1" applyBorder="1" applyAlignment="1">
      <alignment horizontal="center" vertical="center"/>
    </xf>
    <xf numFmtId="4" fontId="6" fillId="4" borderId="22" xfId="2" applyNumberFormat="1" applyFont="1" applyFill="1" applyBorder="1" applyAlignment="1">
      <alignment horizontal="center" vertical="center"/>
    </xf>
    <xf numFmtId="4" fontId="5" fillId="0" borderId="73" xfId="2" applyNumberFormat="1" applyFont="1" applyBorder="1" applyAlignment="1" applyProtection="1">
      <alignment horizontal="center"/>
    </xf>
    <xf numFmtId="4" fontId="5" fillId="0" borderId="74" xfId="2" applyNumberFormat="1" applyFont="1" applyBorder="1" applyAlignment="1" applyProtection="1">
      <alignment horizontal="center"/>
    </xf>
    <xf numFmtId="0" fontId="6" fillId="0" borderId="50" xfId="2" applyFont="1" applyBorder="1" applyAlignment="1">
      <alignment horizontal="center" vertical="center"/>
    </xf>
    <xf numFmtId="4" fontId="5" fillId="0" borderId="75" xfId="2" applyNumberFormat="1" applyFont="1" applyBorder="1" applyAlignment="1" applyProtection="1">
      <alignment horizontal="center"/>
    </xf>
    <xf numFmtId="4" fontId="5" fillId="0" borderId="9" xfId="2" applyNumberFormat="1" applyFont="1" applyBorder="1" applyAlignment="1" applyProtection="1">
      <alignment horizontal="center"/>
    </xf>
    <xf numFmtId="4" fontId="5" fillId="0" borderId="68" xfId="2" applyNumberFormat="1" applyFont="1" applyBorder="1" applyAlignment="1" applyProtection="1">
      <alignment horizontal="center"/>
    </xf>
    <xf numFmtId="4" fontId="5" fillId="0" borderId="76" xfId="2" applyNumberFormat="1" applyFont="1" applyBorder="1" applyAlignment="1" applyProtection="1">
      <alignment horizontal="center"/>
    </xf>
    <xf numFmtId="0" fontId="5" fillId="0" borderId="77" xfId="2" applyFont="1" applyFill="1" applyBorder="1" applyAlignment="1">
      <alignment horizontal="center"/>
    </xf>
    <xf numFmtId="1" fontId="5" fillId="0" borderId="24" xfId="2" applyNumberFormat="1" applyFont="1" applyFill="1" applyBorder="1" applyAlignment="1">
      <alignment horizontal="center"/>
    </xf>
    <xf numFmtId="165" fontId="5" fillId="0" borderId="24" xfId="2" applyNumberFormat="1" applyFont="1" applyFill="1" applyBorder="1" applyAlignment="1">
      <alignment horizontal="center"/>
    </xf>
    <xf numFmtId="2" fontId="5" fillId="0" borderId="24" xfId="2" applyNumberFormat="1" applyFont="1" applyFill="1" applyBorder="1" applyAlignment="1">
      <alignment horizontal="center"/>
    </xf>
    <xf numFmtId="164" fontId="6" fillId="0" borderId="4" xfId="2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0" fillId="0" borderId="0" xfId="0"/>
    <xf numFmtId="4" fontId="5" fillId="0" borderId="8" xfId="2" applyNumberFormat="1" applyFont="1" applyBorder="1" applyAlignment="1" applyProtection="1">
      <alignment horizontal="center" vertical="center"/>
    </xf>
    <xf numFmtId="4" fontId="5" fillId="0" borderId="7" xfId="2" applyNumberFormat="1" applyFont="1" applyBorder="1" applyAlignment="1" applyProtection="1">
      <alignment horizontal="center" vertical="center"/>
    </xf>
    <xf numFmtId="4" fontId="5" fillId="0" borderId="22" xfId="2" applyNumberFormat="1" applyFont="1" applyBorder="1" applyAlignment="1" applyProtection="1">
      <alignment horizontal="center" vertical="center"/>
    </xf>
    <xf numFmtId="4" fontId="5" fillId="0" borderId="82" xfId="2" applyNumberFormat="1" applyFont="1" applyBorder="1" applyAlignment="1" applyProtection="1">
      <alignment horizontal="center" vertical="center"/>
    </xf>
    <xf numFmtId="164" fontId="6" fillId="0" borderId="13" xfId="2" applyNumberFormat="1" applyFont="1" applyBorder="1" applyAlignment="1">
      <alignment horizontal="center" vertical="center"/>
    </xf>
    <xf numFmtId="0" fontId="4" fillId="2" borderId="90" xfId="1" applyFont="1" applyFill="1" applyBorder="1" applyAlignment="1">
      <alignment horizontal="center" vertical="center"/>
    </xf>
    <xf numFmtId="0" fontId="4" fillId="0" borderId="93" xfId="1" applyFont="1" applyBorder="1" applyAlignment="1">
      <alignment wrapText="1"/>
    </xf>
    <xf numFmtId="0" fontId="4" fillId="2" borderId="91" xfId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2" fontId="9" fillId="0" borderId="0" xfId="0" applyNumberFormat="1" applyFont="1" applyFill="1" applyBorder="1" applyAlignment="1">
      <alignment vertical="center" wrapText="1"/>
    </xf>
    <xf numFmtId="0" fontId="1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2" fontId="9" fillId="0" borderId="0" xfId="0" applyNumberFormat="1" applyFont="1" applyFill="1" applyBorder="1" applyAlignment="1">
      <alignment horizontal="left" vertical="center" wrapText="1"/>
    </xf>
    <xf numFmtId="0" fontId="9" fillId="5" borderId="0" xfId="0" applyFont="1" applyFill="1" applyBorder="1" applyAlignment="1">
      <alignment horizontal="left" vertical="center" wrapText="1"/>
    </xf>
    <xf numFmtId="0" fontId="5" fillId="0" borderId="80" xfId="2" applyFont="1" applyBorder="1" applyAlignment="1">
      <alignment horizontal="center" vertical="center"/>
    </xf>
    <xf numFmtId="0" fontId="0" fillId="0" borderId="25" xfId="0" applyBorder="1"/>
    <xf numFmtId="0" fontId="0" fillId="0" borderId="26" xfId="0" applyBorder="1"/>
    <xf numFmtId="4" fontId="2" fillId="4" borderId="17" xfId="0" applyNumberFormat="1" applyFont="1" applyFill="1" applyBorder="1" applyAlignment="1">
      <alignment horizontal="center" vertical="center"/>
    </xf>
    <xf numFmtId="0" fontId="4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0" fontId="4" fillId="0" borderId="107" xfId="0" applyFont="1" applyBorder="1" applyAlignment="1">
      <alignment horizontal="center" vertical="center"/>
    </xf>
    <xf numFmtId="0" fontId="4" fillId="0" borderId="108" xfId="0" applyFont="1" applyBorder="1" applyAlignment="1">
      <alignment horizontal="center" vertical="center"/>
    </xf>
    <xf numFmtId="0" fontId="4" fillId="0" borderId="108" xfId="0" applyFont="1" applyBorder="1"/>
    <xf numFmtId="4" fontId="7" fillId="0" borderId="109" xfId="0" applyNumberFormat="1" applyFont="1" applyBorder="1" applyAlignment="1">
      <alignment horizontal="center" vertical="center"/>
    </xf>
    <xf numFmtId="4" fontId="7" fillId="0" borderId="110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4" fontId="7" fillId="4" borderId="0" xfId="1" applyNumberFormat="1" applyFont="1" applyFill="1"/>
    <xf numFmtId="4" fontId="2" fillId="0" borderId="0" xfId="0" applyNumberFormat="1" applyFont="1" applyAlignment="1">
      <alignment horizontal="right"/>
    </xf>
    <xf numFmtId="2" fontId="9" fillId="5" borderId="0" xfId="0" applyNumberFormat="1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4" fillId="0" borderId="0" xfId="0" applyFont="1" applyFill="1"/>
    <xf numFmtId="0" fontId="4" fillId="0" borderId="108" xfId="0" applyFont="1" applyBorder="1" applyAlignment="1">
      <alignment horizontal="right"/>
    </xf>
    <xf numFmtId="0" fontId="8" fillId="0" borderId="0" xfId="0" applyFont="1" applyFill="1" applyAlignment="1">
      <alignment horizontal="center" vertical="center"/>
    </xf>
    <xf numFmtId="4" fontId="5" fillId="4" borderId="23" xfId="2" applyNumberFormat="1" applyFont="1" applyFill="1" applyBorder="1" applyAlignment="1" applyProtection="1">
      <alignment horizontal="center"/>
    </xf>
    <xf numFmtId="4" fontId="5" fillId="4" borderId="24" xfId="2" applyNumberFormat="1" applyFont="1" applyFill="1" applyBorder="1" applyAlignment="1" applyProtection="1">
      <alignment horizontal="center"/>
    </xf>
    <xf numFmtId="4" fontId="5" fillId="4" borderId="16" xfId="2" applyNumberFormat="1" applyFont="1" applyFill="1" applyBorder="1" applyAlignment="1" applyProtection="1">
      <alignment horizontal="center"/>
    </xf>
    <xf numFmtId="4" fontId="4" fillId="4" borderId="102" xfId="1" applyNumberFormat="1" applyFont="1" applyFill="1" applyBorder="1" applyAlignment="1">
      <alignment horizontal="center" vertical="center"/>
    </xf>
    <xf numFmtId="4" fontId="6" fillId="6" borderId="112" xfId="2" applyNumberFormat="1" applyFont="1" applyFill="1" applyBorder="1" applyAlignment="1" applyProtection="1">
      <alignment horizontal="center"/>
    </xf>
    <xf numFmtId="0" fontId="0" fillId="0" borderId="0" xfId="0" applyBorder="1"/>
    <xf numFmtId="0" fontId="11" fillId="0" borderId="0" xfId="0" applyFont="1" applyBorder="1" applyAlignment="1">
      <alignment horizontal="center" vertical="center"/>
    </xf>
    <xf numFmtId="2" fontId="9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5" borderId="0" xfId="0" applyFont="1" applyFill="1" applyBorder="1" applyAlignment="1">
      <alignment horizontal="left" vertical="center" wrapText="1"/>
    </xf>
    <xf numFmtId="0" fontId="11" fillId="5" borderId="113" xfId="0" applyFont="1" applyFill="1" applyBorder="1" applyAlignment="1">
      <alignment vertical="center"/>
    </xf>
    <xf numFmtId="0" fontId="11" fillId="5" borderId="0" xfId="0" applyFont="1" applyFill="1" applyBorder="1" applyAlignment="1">
      <alignment vertical="center"/>
    </xf>
    <xf numFmtId="0" fontId="0" fillId="5" borderId="113" xfId="0" applyFill="1" applyBorder="1" applyAlignment="1">
      <alignment horizontal="center" vertical="center"/>
    </xf>
    <xf numFmtId="0" fontId="0" fillId="5" borderId="0" xfId="0" applyFill="1" applyBorder="1"/>
    <xf numFmtId="0" fontId="0" fillId="5" borderId="113" xfId="0" applyFill="1" applyBorder="1"/>
    <xf numFmtId="166" fontId="0" fillId="0" borderId="0" xfId="0" applyNumberFormat="1"/>
    <xf numFmtId="2" fontId="2" fillId="4" borderId="37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4" fontId="7" fillId="0" borderId="119" xfId="0" applyNumberFormat="1" applyFont="1" applyBorder="1" applyAlignment="1">
      <alignment horizontal="center" vertical="center"/>
    </xf>
    <xf numFmtId="4" fontId="5" fillId="0" borderId="14" xfId="2" applyNumberFormat="1" applyFont="1" applyBorder="1" applyAlignment="1" applyProtection="1">
      <alignment horizontal="center" vertical="center"/>
    </xf>
    <xf numFmtId="4" fontId="5" fillId="0" borderId="82" xfId="2" applyNumberFormat="1" applyFont="1" applyBorder="1" applyAlignment="1" applyProtection="1">
      <alignment horizontal="center"/>
    </xf>
    <xf numFmtId="2" fontId="5" fillId="0" borderId="111" xfId="2" applyNumberFormat="1" applyFont="1" applyFill="1" applyBorder="1" applyAlignment="1">
      <alignment horizontal="center"/>
    </xf>
    <xf numFmtId="4" fontId="5" fillId="0" borderId="23" xfId="2" applyNumberFormat="1" applyFont="1" applyBorder="1" applyAlignment="1" applyProtection="1">
      <alignment horizontal="center"/>
    </xf>
    <xf numFmtId="4" fontId="6" fillId="2" borderId="121" xfId="2" applyNumberFormat="1" applyFont="1" applyFill="1" applyBorder="1" applyAlignment="1" applyProtection="1">
      <alignment horizontal="center"/>
    </xf>
    <xf numFmtId="0" fontId="7" fillId="0" borderId="122" xfId="1" applyFont="1" applyBorder="1" applyAlignment="1">
      <alignment horizontal="center"/>
    </xf>
    <xf numFmtId="4" fontId="6" fillId="4" borderId="116" xfId="2" applyNumberFormat="1" applyFont="1" applyFill="1" applyBorder="1" applyAlignment="1">
      <alignment horizontal="center" vertical="center"/>
    </xf>
    <xf numFmtId="4" fontId="5" fillId="2" borderId="82" xfId="2" applyNumberFormat="1" applyFont="1" applyFill="1" applyBorder="1" applyAlignment="1" applyProtection="1">
      <alignment horizontal="center"/>
    </xf>
    <xf numFmtId="4" fontId="5" fillId="0" borderId="82" xfId="2" applyNumberFormat="1" applyFont="1" applyFill="1" applyBorder="1" applyAlignment="1" applyProtection="1">
      <alignment horizontal="center"/>
    </xf>
    <xf numFmtId="4" fontId="6" fillId="6" borderId="123" xfId="2" applyNumberFormat="1" applyFont="1" applyFill="1" applyBorder="1" applyAlignment="1" applyProtection="1">
      <alignment horizontal="center"/>
    </xf>
    <xf numFmtId="4" fontId="5" fillId="0" borderId="83" xfId="2" applyNumberFormat="1" applyFont="1" applyBorder="1" applyAlignment="1" applyProtection="1">
      <alignment horizontal="center"/>
    </xf>
    <xf numFmtId="164" fontId="6" fillId="0" borderId="0" xfId="2" applyNumberFormat="1" applyFont="1" applyBorder="1" applyAlignment="1">
      <alignment horizontal="center" vertical="center"/>
    </xf>
    <xf numFmtId="0" fontId="5" fillId="2" borderId="0" xfId="1" applyFont="1" applyFill="1"/>
    <xf numFmtId="0" fontId="6" fillId="2" borderId="0" xfId="1" applyFont="1" applyFill="1"/>
    <xf numFmtId="0" fontId="6" fillId="0" borderId="6" xfId="2" applyFont="1" applyBorder="1" applyAlignment="1">
      <alignment horizontal="center" vertical="center"/>
    </xf>
    <xf numFmtId="0" fontId="0" fillId="0" borderId="0" xfId="0" applyAlignment="1"/>
    <xf numFmtId="0" fontId="0" fillId="10" borderId="0" xfId="0" applyFill="1" applyBorder="1" applyAlignment="1">
      <alignment horizontal="center" vertical="center"/>
    </xf>
    <xf numFmtId="0" fontId="0" fillId="10" borderId="114" xfId="0" applyFill="1" applyBorder="1" applyAlignment="1">
      <alignment horizontal="center" vertical="center"/>
    </xf>
    <xf numFmtId="0" fontId="0" fillId="0" borderId="113" xfId="0" applyBorder="1" applyAlignment="1">
      <alignment horizontal="right"/>
    </xf>
    <xf numFmtId="0" fontId="1" fillId="0" borderId="130" xfId="0" applyFont="1" applyBorder="1" applyAlignment="1">
      <alignment horizontal="right"/>
    </xf>
    <xf numFmtId="0" fontId="0" fillId="10" borderId="113" xfId="0" applyFill="1" applyBorder="1" applyAlignment="1">
      <alignment horizontal="right"/>
    </xf>
    <xf numFmtId="0" fontId="1" fillId="0" borderId="132" xfId="0" applyFont="1" applyBorder="1" applyAlignment="1">
      <alignment horizontal="right"/>
    </xf>
    <xf numFmtId="2" fontId="1" fillId="0" borderId="105" xfId="0" applyNumberFormat="1" applyFont="1" applyBorder="1" applyAlignment="1">
      <alignment horizontal="center" vertical="center"/>
    </xf>
    <xf numFmtId="2" fontId="1" fillId="0" borderId="115" xfId="0" applyNumberFormat="1" applyFont="1" applyBorder="1" applyAlignment="1">
      <alignment horizontal="center" vertical="center"/>
    </xf>
    <xf numFmtId="0" fontId="0" fillId="8" borderId="99" xfId="0" applyFill="1" applyBorder="1" applyAlignment="1">
      <alignment horizontal="right" vertical="center"/>
    </xf>
    <xf numFmtId="0" fontId="1" fillId="8" borderId="129" xfId="0" applyFont="1" applyFill="1" applyBorder="1" applyAlignment="1">
      <alignment horizontal="center" vertical="center" wrapText="1"/>
    </xf>
    <xf numFmtId="0" fontId="1" fillId="8" borderId="55" xfId="0" applyFont="1" applyFill="1" applyBorder="1" applyAlignment="1">
      <alignment horizontal="center" vertical="center" wrapText="1"/>
    </xf>
    <xf numFmtId="4" fontId="2" fillId="5" borderId="17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113" xfId="0" applyBorder="1"/>
    <xf numFmtId="0" fontId="0" fillId="0" borderId="28" xfId="0" applyBorder="1" applyAlignment="1">
      <alignment vertical="center" wrapText="1"/>
    </xf>
    <xf numFmtId="0" fontId="8" fillId="0" borderId="0" xfId="0" applyFont="1" applyAlignment="1">
      <alignment horizontal="center" vertical="center"/>
    </xf>
    <xf numFmtId="4" fontId="0" fillId="0" borderId="15" xfId="0" applyNumberFormat="1" applyBorder="1" applyAlignment="1">
      <alignment horizontal="center" vertical="center" wrapText="1"/>
    </xf>
    <xf numFmtId="4" fontId="0" fillId="0" borderId="14" xfId="0" applyNumberFormat="1" applyBorder="1" applyAlignment="1">
      <alignment vertical="center" wrapText="1"/>
    </xf>
    <xf numFmtId="4" fontId="0" fillId="0" borderId="15" xfId="0" applyNumberFormat="1" applyBorder="1" applyAlignment="1">
      <alignment vertical="center" wrapText="1"/>
    </xf>
    <xf numFmtId="0" fontId="0" fillId="5" borderId="7" xfId="0" applyFill="1" applyBorder="1" applyAlignment="1">
      <alignment horizontal="center" vertical="center"/>
    </xf>
    <xf numFmtId="0" fontId="0" fillId="5" borderId="0" xfId="0" applyFill="1"/>
    <xf numFmtId="0" fontId="0" fillId="5" borderId="82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4" fontId="0" fillId="5" borderId="8" xfId="0" applyNumberFormat="1" applyFill="1" applyBorder="1" applyAlignment="1">
      <alignment horizontal="center" vertical="center"/>
    </xf>
    <xf numFmtId="2" fontId="0" fillId="5" borderId="8" xfId="0" applyNumberFormat="1" applyFill="1" applyBorder="1" applyAlignment="1">
      <alignment horizontal="center" vertical="center" wrapText="1"/>
    </xf>
    <xf numFmtId="2" fontId="0" fillId="5" borderId="8" xfId="0" applyNumberFormat="1" applyFill="1" applyBorder="1" applyAlignment="1">
      <alignment horizontal="center" vertical="center"/>
    </xf>
    <xf numFmtId="2" fontId="2" fillId="4" borderId="72" xfId="0" applyNumberFormat="1" applyFont="1" applyFill="1" applyBorder="1" applyAlignment="1">
      <alignment horizontal="center" vertical="center"/>
    </xf>
    <xf numFmtId="2" fontId="2" fillId="4" borderId="42" xfId="0" applyNumberFormat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2" borderId="91" xfId="2" applyFont="1" applyFill="1" applyBorder="1" applyAlignment="1">
      <alignment horizontal="center" vertical="center"/>
    </xf>
    <xf numFmtId="0" fontId="6" fillId="2" borderId="133" xfId="2" applyFont="1" applyFill="1" applyBorder="1" applyAlignment="1">
      <alignment horizontal="center" vertical="center"/>
    </xf>
    <xf numFmtId="0" fontId="6" fillId="2" borderId="134" xfId="2" applyFont="1" applyFill="1" applyBorder="1" applyAlignment="1">
      <alignment horizontal="center" vertical="center"/>
    </xf>
    <xf numFmtId="164" fontId="6" fillId="2" borderId="122" xfId="2" applyNumberFormat="1" applyFont="1" applyFill="1" applyBorder="1" applyAlignment="1">
      <alignment horizontal="center" vertical="center"/>
    </xf>
    <xf numFmtId="164" fontId="6" fillId="2" borderId="133" xfId="2" applyNumberFormat="1" applyFont="1" applyFill="1" applyBorder="1" applyAlignment="1">
      <alignment horizontal="center" vertical="center"/>
    </xf>
    <xf numFmtId="164" fontId="6" fillId="2" borderId="134" xfId="2" applyNumberFormat="1" applyFont="1" applyFill="1" applyBorder="1" applyAlignment="1">
      <alignment horizontal="center" vertical="center"/>
    </xf>
    <xf numFmtId="0" fontId="4" fillId="0" borderId="14" xfId="1" applyFont="1" applyBorder="1" applyAlignment="1">
      <alignment wrapText="1"/>
    </xf>
    <xf numFmtId="0" fontId="4" fillId="0" borderId="15" xfId="1" applyFont="1" applyBorder="1" applyAlignment="1">
      <alignment wrapText="1"/>
    </xf>
    <xf numFmtId="0" fontId="4" fillId="0" borderId="15" xfId="0" applyFont="1" applyBorder="1" applyAlignment="1">
      <alignment wrapText="1"/>
    </xf>
    <xf numFmtId="4" fontId="6" fillId="4" borderId="83" xfId="2" applyNumberFormat="1" applyFont="1" applyFill="1" applyBorder="1" applyAlignment="1">
      <alignment horizontal="center" vertical="center"/>
    </xf>
    <xf numFmtId="4" fontId="5" fillId="0" borderId="31" xfId="2" applyNumberFormat="1" applyFont="1" applyBorder="1" applyAlignment="1" applyProtection="1">
      <alignment horizontal="center"/>
    </xf>
    <xf numFmtId="4" fontId="5" fillId="0" borderId="135" xfId="2" applyNumberFormat="1" applyFont="1" applyBorder="1" applyAlignment="1" applyProtection="1">
      <alignment horizontal="center"/>
    </xf>
    <xf numFmtId="0" fontId="5" fillId="0" borderId="104" xfId="2" applyFont="1" applyFill="1" applyBorder="1" applyAlignment="1">
      <alignment horizontal="center"/>
    </xf>
    <xf numFmtId="1" fontId="5" fillId="0" borderId="105" xfId="2" applyNumberFormat="1" applyFont="1" applyFill="1" applyBorder="1" applyAlignment="1">
      <alignment horizontal="center"/>
    </xf>
    <xf numFmtId="165" fontId="5" fillId="0" borderId="105" xfId="2" applyNumberFormat="1" applyFont="1" applyFill="1" applyBorder="1" applyAlignment="1">
      <alignment horizontal="center"/>
    </xf>
    <xf numFmtId="2" fontId="5" fillId="0" borderId="105" xfId="2" applyNumberFormat="1" applyFont="1" applyFill="1" applyBorder="1" applyAlignment="1">
      <alignment horizontal="center"/>
    </xf>
    <xf numFmtId="4" fontId="5" fillId="0" borderId="72" xfId="2" applyNumberFormat="1" applyFont="1" applyBorder="1" applyAlignment="1" applyProtection="1">
      <alignment horizontal="center"/>
    </xf>
    <xf numFmtId="4" fontId="5" fillId="0" borderId="30" xfId="2" applyNumberFormat="1" applyFont="1" applyBorder="1" applyAlignment="1" applyProtection="1">
      <alignment horizontal="center"/>
    </xf>
    <xf numFmtId="4" fontId="5" fillId="0" borderId="136" xfId="2" applyNumberFormat="1" applyFont="1" applyBorder="1" applyAlignment="1" applyProtection="1">
      <alignment horizontal="center"/>
    </xf>
    <xf numFmtId="1" fontId="5" fillId="0" borderId="51" xfId="2" applyNumberFormat="1" applyFont="1" applyFill="1" applyBorder="1" applyAlignment="1">
      <alignment horizontal="center"/>
    </xf>
    <xf numFmtId="0" fontId="6" fillId="0" borderId="129" xfId="2" applyFont="1" applyFill="1" applyBorder="1" applyAlignment="1">
      <alignment horizontal="center"/>
    </xf>
    <xf numFmtId="0" fontId="4" fillId="12" borderId="0" xfId="0" applyFont="1" applyFill="1"/>
    <xf numFmtId="0" fontId="10" fillId="5" borderId="0" xfId="0" applyFont="1" applyFill="1" applyBorder="1" applyAlignment="1">
      <alignment horizontal="left" vertical="center" wrapText="1"/>
    </xf>
    <xf numFmtId="4" fontId="0" fillId="5" borderId="114" xfId="0" applyNumberFormat="1" applyFill="1" applyBorder="1" applyAlignment="1">
      <alignment horizontal="center" vertical="center" wrapText="1"/>
    </xf>
    <xf numFmtId="0" fontId="5" fillId="5" borderId="7" xfId="2" applyFont="1" applyFill="1" applyBorder="1" applyAlignment="1">
      <alignment horizontal="center" vertical="center"/>
    </xf>
    <xf numFmtId="1" fontId="5" fillId="5" borderId="7" xfId="2" applyNumberFormat="1" applyFont="1" applyFill="1" applyBorder="1" applyAlignment="1">
      <alignment horizontal="center" vertical="center"/>
    </xf>
    <xf numFmtId="165" fontId="5" fillId="5" borderId="7" xfId="2" applyNumberFormat="1" applyFont="1" applyFill="1" applyBorder="1" applyAlignment="1">
      <alignment horizontal="center" vertical="center"/>
    </xf>
    <xf numFmtId="2" fontId="5" fillId="5" borderId="7" xfId="2" applyNumberFormat="1" applyFont="1" applyFill="1" applyBorder="1" applyAlignment="1">
      <alignment horizontal="center" vertical="center"/>
    </xf>
    <xf numFmtId="4" fontId="5" fillId="0" borderId="73" xfId="2" applyNumberFormat="1" applyFont="1" applyBorder="1" applyAlignment="1" applyProtection="1">
      <alignment horizontal="center" vertical="center"/>
    </xf>
    <xf numFmtId="4" fontId="5" fillId="0" borderId="31" xfId="2" applyNumberFormat="1" applyFont="1" applyBorder="1" applyAlignment="1" applyProtection="1">
      <alignment horizontal="center" vertical="center"/>
    </xf>
    <xf numFmtId="4" fontId="5" fillId="0" borderId="49" xfId="2" applyNumberFormat="1" applyFont="1" applyBorder="1" applyAlignment="1" applyProtection="1">
      <alignment horizontal="center" vertical="center"/>
    </xf>
    <xf numFmtId="0" fontId="4" fillId="0" borderId="138" xfId="0" applyFont="1" applyBorder="1" applyAlignment="1">
      <alignment wrapText="1"/>
    </xf>
    <xf numFmtId="4" fontId="0" fillId="0" borderId="113" xfId="0" applyNumberFormat="1" applyBorder="1" applyAlignment="1">
      <alignment horizontal="center" vertical="center"/>
    </xf>
    <xf numFmtId="4" fontId="0" fillId="0" borderId="141" xfId="0" applyNumberFormat="1" applyBorder="1"/>
    <xf numFmtId="0" fontId="0" fillId="0" borderId="142" xfId="0" applyBorder="1"/>
    <xf numFmtId="0" fontId="8" fillId="0" borderId="0" xfId="0" applyFont="1" applyAlignment="1">
      <alignment horizontal="center" vertical="center"/>
    </xf>
    <xf numFmtId="0" fontId="0" fillId="0" borderId="27" xfId="0" applyBorder="1" applyAlignment="1">
      <alignment horizontal="right" vertical="center"/>
    </xf>
    <xf numFmtId="0" fontId="14" fillId="0" borderId="0" xfId="0" applyFont="1"/>
    <xf numFmtId="2" fontId="14" fillId="0" borderId="0" xfId="0" applyNumberFormat="1" applyFont="1"/>
    <xf numFmtId="166" fontId="14" fillId="0" borderId="0" xfId="0" applyNumberFormat="1" applyFont="1"/>
    <xf numFmtId="165" fontId="5" fillId="0" borderId="0" xfId="2" applyNumberFormat="1" applyFont="1" applyFill="1" applyBorder="1" applyAlignment="1">
      <alignment horizontal="center"/>
    </xf>
    <xf numFmtId="2" fontId="5" fillId="0" borderId="0" xfId="2" applyNumberFormat="1" applyFont="1" applyFill="1" applyBorder="1" applyAlignment="1">
      <alignment horizontal="center"/>
    </xf>
    <xf numFmtId="2" fontId="0" fillId="0" borderId="0" xfId="0" applyNumberFormat="1"/>
    <xf numFmtId="2" fontId="0" fillId="5" borderId="0" xfId="0" applyNumberFormat="1" applyFill="1"/>
    <xf numFmtId="4" fontId="0" fillId="5" borderId="0" xfId="0" applyNumberFormat="1" applyFill="1"/>
    <xf numFmtId="0" fontId="8" fillId="0" borderId="0" xfId="0" applyFont="1" applyAlignment="1">
      <alignment horizontal="center" vertical="center"/>
    </xf>
    <xf numFmtId="167" fontId="0" fillId="5" borderId="8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4" fontId="0" fillId="0" borderId="0" xfId="0" applyNumberFormat="1" applyFill="1" applyAlignment="1">
      <alignment horizontal="center" vertical="center"/>
    </xf>
    <xf numFmtId="0" fontId="0" fillId="10" borderId="0" xfId="0" applyFill="1" applyBorder="1" applyAlignment="1">
      <alignment horizontal="center"/>
    </xf>
    <xf numFmtId="0" fontId="0" fillId="10" borderId="114" xfId="0" applyFill="1" applyBorder="1" applyAlignment="1">
      <alignment horizontal="center"/>
    </xf>
    <xf numFmtId="2" fontId="0" fillId="5" borderId="7" xfId="0" applyNumberFormat="1" applyFill="1" applyBorder="1" applyAlignment="1">
      <alignment horizontal="center" vertical="center"/>
    </xf>
    <xf numFmtId="4" fontId="5" fillId="0" borderId="143" xfId="2" applyNumberFormat="1" applyFont="1" applyBorder="1" applyAlignment="1" applyProtection="1">
      <alignment horizontal="center" vertical="center"/>
    </xf>
    <xf numFmtId="4" fontId="5" fillId="0" borderId="144" xfId="2" applyNumberFormat="1" applyFont="1" applyBorder="1" applyAlignment="1" applyProtection="1">
      <alignment horizontal="center" vertical="center"/>
    </xf>
    <xf numFmtId="0" fontId="4" fillId="0" borderId="146" xfId="0" applyFont="1" applyBorder="1" applyAlignment="1">
      <alignment wrapText="1"/>
    </xf>
    <xf numFmtId="4" fontId="5" fillId="0" borderId="147" xfId="2" applyNumberFormat="1" applyFont="1" applyBorder="1" applyAlignment="1" applyProtection="1">
      <alignment horizontal="center" vertical="center"/>
    </xf>
    <xf numFmtId="4" fontId="5" fillId="0" borderId="148" xfId="2" applyNumberFormat="1" applyFont="1" applyBorder="1" applyAlignment="1" applyProtection="1">
      <alignment horizontal="center" vertical="center"/>
    </xf>
    <xf numFmtId="0" fontId="4" fillId="0" borderId="150" xfId="0" applyFont="1" applyBorder="1" applyAlignment="1">
      <alignment wrapTex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/>
    </xf>
    <xf numFmtId="1" fontId="5" fillId="0" borderId="0" xfId="2" applyNumberFormat="1" applyFont="1" applyFill="1" applyBorder="1" applyAlignment="1">
      <alignment horizontal="center" vertical="center"/>
    </xf>
    <xf numFmtId="165" fontId="5" fillId="0" borderId="0" xfId="2" applyNumberFormat="1" applyFont="1" applyFill="1" applyBorder="1" applyAlignment="1">
      <alignment horizontal="center" vertical="center"/>
    </xf>
    <xf numFmtId="2" fontId="5" fillId="0" borderId="0" xfId="2" applyNumberFormat="1" applyFont="1" applyFill="1" applyBorder="1" applyAlignment="1">
      <alignment horizontal="center" vertical="center"/>
    </xf>
    <xf numFmtId="4" fontId="5" fillId="0" borderId="0" xfId="2" applyNumberFormat="1" applyFont="1" applyBorder="1" applyAlignment="1" applyProtection="1">
      <alignment horizontal="center" vertical="center"/>
    </xf>
    <xf numFmtId="0" fontId="4" fillId="0" borderId="0" xfId="0" applyFont="1" applyBorder="1" applyAlignment="1">
      <alignment wrapText="1"/>
    </xf>
    <xf numFmtId="0" fontId="4" fillId="0" borderId="53" xfId="0" applyFont="1" applyBorder="1" applyAlignment="1">
      <alignment horizontal="center" vertical="center"/>
    </xf>
    <xf numFmtId="0" fontId="4" fillId="0" borderId="53" xfId="0" applyFont="1" applyBorder="1"/>
    <xf numFmtId="4" fontId="7" fillId="0" borderId="121" xfId="0" applyNumberFormat="1" applyFont="1" applyBorder="1" applyAlignment="1">
      <alignment horizontal="center" vertical="center"/>
    </xf>
    <xf numFmtId="0" fontId="4" fillId="0" borderId="124" xfId="0" applyFont="1" applyBorder="1"/>
    <xf numFmtId="0" fontId="5" fillId="5" borderId="47" xfId="2" applyFont="1" applyFill="1" applyBorder="1" applyAlignment="1">
      <alignment horizontal="center"/>
    </xf>
    <xf numFmtId="0" fontId="5" fillId="5" borderId="77" xfId="2" applyFont="1" applyFill="1" applyBorder="1" applyAlignment="1">
      <alignment horizontal="center"/>
    </xf>
    <xf numFmtId="1" fontId="5" fillId="5" borderId="8" xfId="2" applyNumberFormat="1" applyFont="1" applyFill="1" applyBorder="1" applyAlignment="1">
      <alignment horizontal="center"/>
    </xf>
    <xf numFmtId="165" fontId="5" fillId="5" borderId="8" xfId="2" applyNumberFormat="1" applyFont="1" applyFill="1" applyBorder="1" applyAlignment="1">
      <alignment horizontal="center"/>
    </xf>
    <xf numFmtId="2" fontId="5" fillId="5" borderId="19" xfId="2" applyNumberFormat="1" applyFont="1" applyFill="1" applyBorder="1" applyAlignment="1">
      <alignment horizontal="center"/>
    </xf>
    <xf numFmtId="1" fontId="5" fillId="5" borderId="31" xfId="2" applyNumberFormat="1" applyFont="1" applyFill="1" applyBorder="1" applyAlignment="1">
      <alignment horizontal="center"/>
    </xf>
    <xf numFmtId="165" fontId="5" fillId="5" borderId="31" xfId="2" applyNumberFormat="1" applyFont="1" applyFill="1" applyBorder="1" applyAlignment="1">
      <alignment horizontal="center"/>
    </xf>
    <xf numFmtId="2" fontId="5" fillId="5" borderId="20" xfId="2" applyNumberFormat="1" applyFont="1" applyFill="1" applyBorder="1" applyAlignment="1">
      <alignment horizontal="center"/>
    </xf>
    <xf numFmtId="0" fontId="5" fillId="5" borderId="48" xfId="2" applyFont="1" applyFill="1" applyBorder="1" applyAlignment="1">
      <alignment horizontal="center"/>
    </xf>
    <xf numFmtId="0" fontId="0" fillId="5" borderId="22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 wrapText="1"/>
    </xf>
    <xf numFmtId="0" fontId="5" fillId="5" borderId="31" xfId="2" applyFont="1" applyFill="1" applyBorder="1" applyAlignment="1">
      <alignment horizontal="center" vertical="center"/>
    </xf>
    <xf numFmtId="1" fontId="5" fillId="5" borderId="31" xfId="2" applyNumberFormat="1" applyFont="1" applyFill="1" applyBorder="1" applyAlignment="1">
      <alignment horizontal="center" vertical="center"/>
    </xf>
    <xf numFmtId="165" fontId="5" fillId="5" borderId="31" xfId="2" applyNumberFormat="1" applyFont="1" applyFill="1" applyBorder="1" applyAlignment="1">
      <alignment horizontal="center" vertical="center"/>
    </xf>
    <xf numFmtId="2" fontId="5" fillId="5" borderId="31" xfId="2" applyNumberFormat="1" applyFont="1" applyFill="1" applyBorder="1" applyAlignment="1">
      <alignment horizontal="center" vertical="center"/>
    </xf>
    <xf numFmtId="0" fontId="4" fillId="0" borderId="101" xfId="1" applyFont="1" applyBorder="1" applyAlignment="1">
      <alignment wrapText="1"/>
    </xf>
    <xf numFmtId="4" fontId="4" fillId="0" borderId="83" xfId="0" applyNumberFormat="1" applyFont="1" applyBorder="1" applyAlignment="1">
      <alignment horizontal="center" vertical="center"/>
    </xf>
    <xf numFmtId="4" fontId="4" fillId="0" borderId="49" xfId="0" applyNumberFormat="1" applyFont="1" applyBorder="1" applyAlignment="1">
      <alignment horizontal="center" vertical="center"/>
    </xf>
    <xf numFmtId="4" fontId="4" fillId="0" borderId="138" xfId="0" applyNumberFormat="1" applyFont="1" applyBorder="1" applyAlignment="1">
      <alignment horizontal="center" vertical="center"/>
    </xf>
    <xf numFmtId="0" fontId="4" fillId="0" borderId="94" xfId="0" applyFont="1" applyBorder="1" applyAlignment="1">
      <alignment wrapText="1"/>
    </xf>
    <xf numFmtId="0" fontId="5" fillId="5" borderId="144" xfId="2" applyFont="1" applyFill="1" applyBorder="1" applyAlignment="1">
      <alignment horizontal="center" vertical="center"/>
    </xf>
    <xf numFmtId="1" fontId="5" fillId="5" borderId="144" xfId="2" applyNumberFormat="1" applyFont="1" applyFill="1" applyBorder="1" applyAlignment="1">
      <alignment horizontal="center" vertical="center"/>
    </xf>
    <xf numFmtId="165" fontId="5" fillId="5" borderId="144" xfId="2" applyNumberFormat="1" applyFont="1" applyFill="1" applyBorder="1" applyAlignment="1">
      <alignment horizontal="center" vertical="center"/>
    </xf>
    <xf numFmtId="2" fontId="5" fillId="5" borderId="144" xfId="2" applyNumberFormat="1" applyFont="1" applyFill="1" applyBorder="1" applyAlignment="1">
      <alignment horizontal="center" vertical="center"/>
    </xf>
    <xf numFmtId="4" fontId="4" fillId="0" borderId="143" xfId="0" applyNumberFormat="1" applyFont="1" applyBorder="1" applyAlignment="1">
      <alignment horizontal="center" vertical="center"/>
    </xf>
    <xf numFmtId="4" fontId="4" fillId="0" borderId="144" xfId="0" applyNumberFormat="1" applyFont="1" applyBorder="1" applyAlignment="1">
      <alignment horizontal="center" vertical="center"/>
    </xf>
    <xf numFmtId="4" fontId="4" fillId="0" borderId="146" xfId="0" applyNumberFormat="1" applyFont="1" applyBorder="1" applyAlignment="1">
      <alignment horizontal="center" vertical="center"/>
    </xf>
    <xf numFmtId="0" fontId="4" fillId="0" borderId="152" xfId="0" applyFont="1" applyBorder="1" applyAlignment="1">
      <alignment wrapText="1"/>
    </xf>
    <xf numFmtId="0" fontId="5" fillId="5" borderId="148" xfId="2" applyFont="1" applyFill="1" applyBorder="1" applyAlignment="1">
      <alignment horizontal="center" vertical="center"/>
    </xf>
    <xf numFmtId="1" fontId="5" fillId="5" borderId="148" xfId="2" applyNumberFormat="1" applyFont="1" applyFill="1" applyBorder="1" applyAlignment="1">
      <alignment horizontal="center" vertical="center"/>
    </xf>
    <xf numFmtId="165" fontId="5" fillId="5" borderId="148" xfId="2" applyNumberFormat="1" applyFont="1" applyFill="1" applyBorder="1" applyAlignment="1">
      <alignment horizontal="center" vertical="center"/>
    </xf>
    <xf numFmtId="2" fontId="5" fillId="5" borderId="148" xfId="2" applyNumberFormat="1" applyFont="1" applyFill="1" applyBorder="1" applyAlignment="1">
      <alignment horizontal="center" vertical="center"/>
    </xf>
    <xf numFmtId="4" fontId="4" fillId="0" borderId="147" xfId="0" applyNumberFormat="1" applyFont="1" applyBorder="1" applyAlignment="1">
      <alignment horizontal="center" vertical="center"/>
    </xf>
    <xf numFmtId="4" fontId="4" fillId="0" borderId="148" xfId="0" applyNumberFormat="1" applyFont="1" applyBorder="1" applyAlignment="1">
      <alignment horizontal="center" vertical="center"/>
    </xf>
    <xf numFmtId="4" fontId="4" fillId="0" borderId="150" xfId="0" applyNumberFormat="1" applyFont="1" applyBorder="1" applyAlignment="1">
      <alignment horizontal="center" vertical="center"/>
    </xf>
    <xf numFmtId="0" fontId="4" fillId="0" borderId="153" xfId="0" applyFont="1" applyBorder="1" applyAlignment="1">
      <alignment wrapText="1"/>
    </xf>
    <xf numFmtId="4" fontId="4" fillId="0" borderId="73" xfId="0" applyNumberFormat="1" applyFont="1" applyBorder="1" applyAlignment="1">
      <alignment horizontal="center" vertical="center"/>
    </xf>
    <xf numFmtId="4" fontId="4" fillId="0" borderId="31" xfId="0" applyNumberFormat="1" applyFont="1" applyBorder="1" applyAlignment="1">
      <alignment horizontal="center" vertical="center"/>
    </xf>
    <xf numFmtId="4" fontId="4" fillId="0" borderId="120" xfId="0" applyNumberFormat="1" applyFont="1" applyBorder="1" applyAlignment="1">
      <alignment horizontal="center" vertical="center"/>
    </xf>
    <xf numFmtId="0" fontId="4" fillId="0" borderId="101" xfId="0" applyFont="1" applyBorder="1" applyAlignment="1">
      <alignment wrapText="1"/>
    </xf>
    <xf numFmtId="0" fontId="4" fillId="5" borderId="7" xfId="1" applyFont="1" applyFill="1" applyBorder="1" applyAlignment="1">
      <alignment horizontal="center" vertical="center" wrapText="1"/>
    </xf>
    <xf numFmtId="2" fontId="5" fillId="5" borderId="18" xfId="2" applyNumberFormat="1" applyFont="1" applyFill="1" applyBorder="1" applyAlignment="1">
      <alignment horizontal="center" vertical="center"/>
    </xf>
    <xf numFmtId="0" fontId="4" fillId="5" borderId="144" xfId="1" applyFont="1" applyFill="1" applyBorder="1" applyAlignment="1">
      <alignment horizontal="center" vertical="center" wrapText="1"/>
    </xf>
    <xf numFmtId="4" fontId="1" fillId="0" borderId="131" xfId="0" applyNumberFormat="1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2" borderId="31" xfId="0" applyFont="1" applyFill="1" applyBorder="1" applyAlignment="1">
      <alignment horizontal="center" vertical="center"/>
    </xf>
    <xf numFmtId="0" fontId="1" fillId="0" borderId="106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1" fontId="4" fillId="0" borderId="0" xfId="1" applyNumberFormat="1" applyFont="1"/>
    <xf numFmtId="2" fontId="4" fillId="0" borderId="0" xfId="0" applyNumberFormat="1" applyFont="1"/>
    <xf numFmtId="1" fontId="4" fillId="0" borderId="0" xfId="0" applyNumberFormat="1" applyFont="1"/>
    <xf numFmtId="4" fontId="4" fillId="0" borderId="0" xfId="1" applyNumberFormat="1" applyFont="1"/>
    <xf numFmtId="0" fontId="14" fillId="0" borderId="0" xfId="0" applyFont="1" applyAlignment="1">
      <alignment horizontal="center"/>
    </xf>
    <xf numFmtId="0" fontId="0" fillId="5" borderId="22" xfId="0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1" fillId="2" borderId="120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2" fontId="5" fillId="5" borderId="125" xfId="2" applyNumberFormat="1" applyFont="1" applyFill="1" applyBorder="1" applyAlignment="1">
      <alignment horizontal="center" vertical="center"/>
    </xf>
    <xf numFmtId="4" fontId="5" fillId="0" borderId="9" xfId="2" applyNumberFormat="1" applyFont="1" applyBorder="1" applyAlignment="1" applyProtection="1">
      <alignment horizontal="center" vertical="center"/>
    </xf>
    <xf numFmtId="4" fontId="4" fillId="0" borderId="75" xfId="0" applyNumberFormat="1" applyFont="1" applyBorder="1" applyAlignment="1">
      <alignment horizontal="center" vertical="center"/>
    </xf>
    <xf numFmtId="4" fontId="4" fillId="0" borderId="9" xfId="0" applyNumberFormat="1" applyFont="1" applyBorder="1" applyAlignment="1">
      <alignment horizontal="center" vertical="center"/>
    </xf>
    <xf numFmtId="4" fontId="4" fillId="0" borderId="106" xfId="0" applyNumberFormat="1" applyFont="1" applyBorder="1" applyAlignment="1">
      <alignment horizontal="center" vertical="center"/>
    </xf>
    <xf numFmtId="0" fontId="4" fillId="0" borderId="96" xfId="0" applyFont="1" applyBorder="1" applyAlignment="1">
      <alignment wrapText="1"/>
    </xf>
    <xf numFmtId="0" fontId="4" fillId="5" borderId="0" xfId="1" applyFont="1" applyFill="1" applyBorder="1" applyAlignment="1">
      <alignment horizontal="center" vertical="center"/>
    </xf>
    <xf numFmtId="0" fontId="4" fillId="5" borderId="0" xfId="1" applyFont="1" applyFill="1" applyBorder="1" applyAlignment="1">
      <alignment horizontal="center" vertical="center" wrapText="1"/>
    </xf>
    <xf numFmtId="0" fontId="5" fillId="5" borderId="0" xfId="2" applyFont="1" applyFill="1" applyBorder="1" applyAlignment="1">
      <alignment horizontal="center" vertical="center"/>
    </xf>
    <xf numFmtId="1" fontId="5" fillId="5" borderId="0" xfId="2" applyNumberFormat="1" applyFont="1" applyFill="1" applyBorder="1" applyAlignment="1">
      <alignment horizontal="center" vertical="center"/>
    </xf>
    <xf numFmtId="165" fontId="5" fillId="5" borderId="0" xfId="2" applyNumberFormat="1" applyFont="1" applyFill="1" applyBorder="1" applyAlignment="1">
      <alignment horizontal="center" vertical="center"/>
    </xf>
    <xf numFmtId="2" fontId="5" fillId="5" borderId="0" xfId="2" applyNumberFormat="1" applyFont="1" applyFill="1" applyBorder="1" applyAlignment="1">
      <alignment horizontal="center" vertical="center"/>
    </xf>
    <xf numFmtId="2" fontId="4" fillId="0" borderId="0" xfId="1" applyNumberFormat="1" applyFont="1" applyBorder="1"/>
    <xf numFmtId="0" fontId="5" fillId="0" borderId="56" xfId="2" applyFont="1" applyFill="1" applyBorder="1" applyAlignment="1">
      <alignment horizontal="center"/>
    </xf>
    <xf numFmtId="4" fontId="5" fillId="0" borderId="155" xfId="2" applyNumberFormat="1" applyFont="1" applyBorder="1" applyAlignment="1" applyProtection="1">
      <alignment horizontal="center"/>
    </xf>
    <xf numFmtId="4" fontId="5" fillId="0" borderId="0" xfId="2" applyNumberFormat="1" applyFont="1" applyBorder="1" applyAlignment="1" applyProtection="1">
      <alignment horizontal="center"/>
    </xf>
    <xf numFmtId="0" fontId="8" fillId="0" borderId="0" xfId="0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/>
    </xf>
    <xf numFmtId="0" fontId="5" fillId="0" borderId="80" xfId="2" applyFont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2" fontId="0" fillId="3" borderId="18" xfId="0" applyNumberFormat="1" applyFill="1" applyBorder="1" applyAlignment="1">
      <alignment horizontal="center" vertical="center"/>
    </xf>
    <xf numFmtId="0" fontId="0" fillId="0" borderId="156" xfId="0" applyBorder="1" applyAlignment="1">
      <alignment horizontal="center" vertical="center" wrapText="1"/>
    </xf>
    <xf numFmtId="0" fontId="0" fillId="4" borderId="156" xfId="0" applyFill="1" applyBorder="1" applyAlignment="1">
      <alignment horizontal="center" vertical="center" wrapText="1"/>
    </xf>
    <xf numFmtId="0" fontId="10" fillId="5" borderId="0" xfId="0" applyFont="1" applyFill="1" applyBorder="1" applyAlignment="1">
      <alignment horizontal="left" vertical="center" wrapText="1"/>
    </xf>
    <xf numFmtId="0" fontId="5" fillId="5" borderId="156" xfId="2" applyFont="1" applyFill="1" applyBorder="1" applyAlignment="1">
      <alignment horizontal="center" vertical="center"/>
    </xf>
    <xf numFmtId="0" fontId="4" fillId="5" borderId="156" xfId="1" applyFont="1" applyFill="1" applyBorder="1" applyAlignment="1">
      <alignment horizontal="center" vertical="center" wrapText="1"/>
    </xf>
    <xf numFmtId="1" fontId="5" fillId="5" borderId="156" xfId="2" applyNumberFormat="1" applyFont="1" applyFill="1" applyBorder="1" applyAlignment="1">
      <alignment horizontal="center" vertical="center"/>
    </xf>
    <xf numFmtId="2" fontId="5" fillId="5" borderId="156" xfId="2" applyNumberFormat="1" applyFont="1" applyFill="1" applyBorder="1" applyAlignment="1">
      <alignment horizontal="center" vertical="center"/>
    </xf>
    <xf numFmtId="0" fontId="4" fillId="5" borderId="159" xfId="1" applyFont="1" applyFill="1" applyBorder="1" applyAlignment="1">
      <alignment horizontal="center" vertical="center" wrapText="1"/>
    </xf>
    <xf numFmtId="0" fontId="5" fillId="5" borderId="0" xfId="2" applyNumberFormat="1" applyFont="1" applyFill="1" applyBorder="1" applyAlignment="1">
      <alignment horizontal="center" vertical="center"/>
    </xf>
    <xf numFmtId="49" fontId="5" fillId="5" borderId="0" xfId="2" applyNumberFormat="1" applyFont="1" applyFill="1" applyBorder="1" applyAlignment="1">
      <alignment horizontal="center" vertical="center"/>
    </xf>
    <xf numFmtId="49" fontId="5" fillId="5" borderId="156" xfId="2" applyNumberFormat="1" applyFont="1" applyFill="1" applyBorder="1" applyAlignment="1">
      <alignment horizontal="center" vertical="center"/>
    </xf>
    <xf numFmtId="4" fontId="5" fillId="0" borderId="156" xfId="2" applyNumberFormat="1" applyFont="1" applyBorder="1" applyAlignment="1" applyProtection="1">
      <alignment horizontal="center" vertical="center"/>
    </xf>
    <xf numFmtId="0" fontId="4" fillId="0" borderId="156" xfId="1" applyFont="1" applyBorder="1" applyAlignment="1">
      <alignment wrapText="1"/>
    </xf>
    <xf numFmtId="0" fontId="4" fillId="0" borderId="156" xfId="0" applyFont="1" applyBorder="1" applyAlignment="1">
      <alignment wrapText="1"/>
    </xf>
    <xf numFmtId="0" fontId="4" fillId="0" borderId="158" xfId="0" applyFont="1" applyBorder="1" applyAlignment="1">
      <alignment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/>
    <xf numFmtId="0" fontId="0" fillId="0" borderId="113" xfId="0" applyFill="1" applyBorder="1" applyAlignment="1">
      <alignment horizontal="right"/>
    </xf>
    <xf numFmtId="0" fontId="0" fillId="0" borderId="0" xfId="0" applyFill="1"/>
    <xf numFmtId="0" fontId="0" fillId="0" borderId="0" xfId="0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/>
    </xf>
    <xf numFmtId="2" fontId="0" fillId="4" borderId="7" xfId="0" applyNumberFormat="1" applyFill="1" applyBorder="1" applyAlignment="1">
      <alignment horizontal="center" vertical="center"/>
    </xf>
    <xf numFmtId="0" fontId="0" fillId="0" borderId="29" xfId="0" applyBorder="1" applyAlignment="1"/>
    <xf numFmtId="0" fontId="0" fillId="0" borderId="22" xfId="0" applyFill="1" applyBorder="1" applyAlignment="1">
      <alignment horizontal="center" vertical="center" wrapText="1"/>
    </xf>
    <xf numFmtId="2" fontId="0" fillId="0" borderId="0" xfId="0" applyNumberFormat="1" applyFill="1" applyBorder="1" applyAlignment="1">
      <alignment horizontal="center" vertical="center"/>
    </xf>
    <xf numFmtId="4" fontId="0" fillId="0" borderId="0" xfId="0" applyNumberFormat="1" applyFill="1" applyBorder="1" applyAlignment="1">
      <alignment horizontal="center" vertical="center"/>
    </xf>
    <xf numFmtId="2" fontId="1" fillId="0" borderId="105" xfId="0" applyNumberFormat="1" applyFont="1" applyFill="1" applyBorder="1" applyAlignment="1">
      <alignment horizontal="center" vertical="center"/>
    </xf>
    <xf numFmtId="4" fontId="0" fillId="5" borderId="49" xfId="0" applyNumberForma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5" fillId="0" borderId="80" xfId="2" applyFont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5" borderId="11" xfId="1" applyFont="1" applyFill="1" applyBorder="1" applyAlignment="1">
      <alignment horizontal="center" vertical="center" wrapText="1"/>
    </xf>
    <xf numFmtId="2" fontId="5" fillId="5" borderId="146" xfId="2" applyNumberFormat="1" applyFont="1" applyFill="1" applyBorder="1" applyAlignment="1">
      <alignment horizontal="center" vertical="center"/>
    </xf>
    <xf numFmtId="4" fontId="4" fillId="0" borderId="154" xfId="0" applyNumberFormat="1" applyFont="1" applyBorder="1" applyAlignment="1">
      <alignment horizontal="center" vertical="center"/>
    </xf>
    <xf numFmtId="4" fontId="4" fillId="0" borderId="161" xfId="0" applyNumberFormat="1" applyFont="1" applyBorder="1" applyAlignment="1">
      <alignment horizontal="center" vertical="center"/>
    </xf>
    <xf numFmtId="4" fontId="5" fillId="0" borderId="161" xfId="2" applyNumberFormat="1" applyFont="1" applyBorder="1" applyAlignment="1" applyProtection="1">
      <alignment horizontal="center" vertical="center"/>
    </xf>
    <xf numFmtId="4" fontId="4" fillId="0" borderId="162" xfId="0" applyNumberFormat="1" applyFont="1" applyBorder="1" applyAlignment="1">
      <alignment horizontal="center" vertical="center"/>
    </xf>
    <xf numFmtId="4" fontId="5" fillId="0" borderId="150" xfId="2" applyNumberFormat="1" applyFont="1" applyBorder="1" applyAlignment="1" applyProtection="1">
      <alignment horizontal="center" vertical="center"/>
    </xf>
    <xf numFmtId="0" fontId="4" fillId="5" borderId="164" xfId="1" applyFont="1" applyFill="1" applyBorder="1" applyAlignment="1">
      <alignment horizontal="center" vertical="center" wrapText="1"/>
    </xf>
    <xf numFmtId="2" fontId="5" fillId="5" borderId="163" xfId="2" applyNumberFormat="1" applyFont="1" applyFill="1" applyBorder="1" applyAlignment="1">
      <alignment horizontal="center" vertical="center"/>
    </xf>
    <xf numFmtId="0" fontId="4" fillId="5" borderId="165" xfId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/>
    <xf numFmtId="4" fontId="5" fillId="0" borderId="23" xfId="2" applyNumberFormat="1" applyFont="1" applyFill="1" applyBorder="1" applyAlignment="1" applyProtection="1">
      <alignment horizontal="center"/>
    </xf>
    <xf numFmtId="4" fontId="5" fillId="0" borderId="24" xfId="2" applyNumberFormat="1" applyFont="1" applyFill="1" applyBorder="1" applyAlignment="1" applyProtection="1">
      <alignment horizontal="center"/>
    </xf>
    <xf numFmtId="4" fontId="5" fillId="0" borderId="16" xfId="2" applyNumberFormat="1" applyFont="1" applyFill="1" applyBorder="1" applyAlignment="1" applyProtection="1">
      <alignment horizontal="center"/>
    </xf>
    <xf numFmtId="4" fontId="4" fillId="0" borderId="102" xfId="1" applyNumberFormat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1" fontId="5" fillId="0" borderId="7" xfId="2" applyNumberFormat="1" applyFont="1" applyFill="1" applyBorder="1" applyAlignment="1">
      <alignment horizontal="center" vertical="center"/>
    </xf>
    <xf numFmtId="165" fontId="5" fillId="0" borderId="7" xfId="2" applyNumberFormat="1" applyFont="1" applyFill="1" applyBorder="1" applyAlignment="1">
      <alignment horizontal="center" vertical="center"/>
    </xf>
    <xf numFmtId="2" fontId="5" fillId="0" borderId="7" xfId="2" applyNumberFormat="1" applyFont="1" applyFill="1" applyBorder="1" applyAlignment="1">
      <alignment horizontal="center" vertical="center"/>
    </xf>
    <xf numFmtId="2" fontId="5" fillId="0" borderId="18" xfId="2" applyNumberFormat="1" applyFont="1" applyFill="1" applyBorder="1" applyAlignment="1">
      <alignment horizontal="center" vertical="center"/>
    </xf>
    <xf numFmtId="0" fontId="4" fillId="0" borderId="8" xfId="1" applyFont="1" applyFill="1" applyBorder="1" applyAlignment="1">
      <alignment horizontal="center" vertical="center" wrapText="1"/>
    </xf>
    <xf numFmtId="0" fontId="5" fillId="0" borderId="8" xfId="2" applyFont="1" applyFill="1" applyBorder="1" applyAlignment="1">
      <alignment horizontal="center" vertical="center"/>
    </xf>
    <xf numFmtId="1" fontId="5" fillId="0" borderId="8" xfId="2" applyNumberFormat="1" applyFont="1" applyFill="1" applyBorder="1" applyAlignment="1">
      <alignment horizontal="center" vertical="center"/>
    </xf>
    <xf numFmtId="165" fontId="5" fillId="0" borderId="8" xfId="2" applyNumberFormat="1" applyFont="1" applyFill="1" applyBorder="1" applyAlignment="1">
      <alignment horizontal="center" vertical="center"/>
    </xf>
    <xf numFmtId="2" fontId="5" fillId="0" borderId="8" xfId="2" applyNumberFormat="1" applyFont="1" applyFill="1" applyBorder="1" applyAlignment="1">
      <alignment horizontal="center" vertical="center"/>
    </xf>
    <xf numFmtId="2" fontId="5" fillId="0" borderId="19" xfId="2" applyNumberFormat="1" applyFont="1" applyFill="1" applyBorder="1" applyAlignment="1">
      <alignment horizontal="center" vertical="center"/>
    </xf>
    <xf numFmtId="0" fontId="4" fillId="0" borderId="120" xfId="1" applyFont="1" applyBorder="1" applyAlignment="1">
      <alignment wrapText="1"/>
    </xf>
    <xf numFmtId="0" fontId="4" fillId="0" borderId="31" xfId="1" applyFont="1" applyFill="1" applyBorder="1" applyAlignment="1">
      <alignment horizontal="center" vertical="center" wrapText="1"/>
    </xf>
    <xf numFmtId="0" fontId="5" fillId="0" borderId="31" xfId="2" applyFont="1" applyFill="1" applyBorder="1" applyAlignment="1">
      <alignment horizontal="center" vertical="center"/>
    </xf>
    <xf numFmtId="1" fontId="5" fillId="0" borderId="31" xfId="2" applyNumberFormat="1" applyFont="1" applyFill="1" applyBorder="1" applyAlignment="1">
      <alignment horizontal="center" vertical="center"/>
    </xf>
    <xf numFmtId="165" fontId="5" fillId="0" borderId="31" xfId="2" applyNumberFormat="1" applyFont="1" applyFill="1" applyBorder="1" applyAlignment="1">
      <alignment horizontal="center" vertical="center"/>
    </xf>
    <xf numFmtId="2" fontId="5" fillId="0" borderId="31" xfId="2" applyNumberFormat="1" applyFont="1" applyFill="1" applyBorder="1" applyAlignment="1">
      <alignment horizontal="center" vertical="center"/>
    </xf>
    <xf numFmtId="2" fontId="5" fillId="0" borderId="20" xfId="2" applyNumberFormat="1" applyFont="1" applyFill="1" applyBorder="1" applyAlignment="1">
      <alignment horizontal="center" vertical="center"/>
    </xf>
    <xf numFmtId="0" fontId="4" fillId="0" borderId="144" xfId="1" applyFont="1" applyFill="1" applyBorder="1" applyAlignment="1">
      <alignment horizontal="center" vertical="center" wrapText="1"/>
    </xf>
    <xf numFmtId="0" fontId="5" fillId="0" borderId="144" xfId="2" applyFont="1" applyFill="1" applyBorder="1" applyAlignment="1">
      <alignment horizontal="center" vertical="center"/>
    </xf>
    <xf numFmtId="1" fontId="5" fillId="0" borderId="144" xfId="2" applyNumberFormat="1" applyFont="1" applyFill="1" applyBorder="1" applyAlignment="1">
      <alignment horizontal="center" vertical="center"/>
    </xf>
    <xf numFmtId="165" fontId="5" fillId="0" borderId="144" xfId="2" applyNumberFormat="1" applyFont="1" applyFill="1" applyBorder="1" applyAlignment="1">
      <alignment horizontal="center" vertical="center"/>
    </xf>
    <xf numFmtId="2" fontId="5" fillId="0" borderId="144" xfId="2" applyNumberFormat="1" applyFont="1" applyFill="1" applyBorder="1" applyAlignment="1">
      <alignment horizontal="center" vertical="center"/>
    </xf>
    <xf numFmtId="2" fontId="5" fillId="0" borderId="145" xfId="2" applyNumberFormat="1" applyFont="1" applyFill="1" applyBorder="1" applyAlignment="1">
      <alignment horizontal="center" vertical="center"/>
    </xf>
    <xf numFmtId="0" fontId="4" fillId="0" borderId="148" xfId="1" applyFont="1" applyFill="1" applyBorder="1" applyAlignment="1">
      <alignment horizontal="center" vertical="center" wrapText="1"/>
    </xf>
    <xf numFmtId="0" fontId="5" fillId="0" borderId="148" xfId="2" applyFont="1" applyFill="1" applyBorder="1" applyAlignment="1">
      <alignment horizontal="center" vertical="center"/>
    </xf>
    <xf numFmtId="1" fontId="5" fillId="0" borderId="148" xfId="2" applyNumberFormat="1" applyFont="1" applyFill="1" applyBorder="1" applyAlignment="1">
      <alignment horizontal="center" vertical="center"/>
    </xf>
    <xf numFmtId="165" fontId="5" fillId="0" borderId="148" xfId="2" applyNumberFormat="1" applyFont="1" applyFill="1" applyBorder="1" applyAlignment="1">
      <alignment horizontal="center" vertical="center"/>
    </xf>
    <xf numFmtId="2" fontId="5" fillId="0" borderId="148" xfId="2" applyNumberFormat="1" applyFont="1" applyFill="1" applyBorder="1" applyAlignment="1">
      <alignment horizontal="center" vertical="center"/>
    </xf>
    <xf numFmtId="2" fontId="5" fillId="0" borderId="149" xfId="2" applyNumberFormat="1" applyFont="1" applyFill="1" applyBorder="1" applyAlignment="1">
      <alignment horizontal="center" vertical="center"/>
    </xf>
    <xf numFmtId="0" fontId="4" fillId="0" borderId="49" xfId="1" applyFont="1" applyFill="1" applyBorder="1" applyAlignment="1">
      <alignment horizontal="center" vertical="center" wrapText="1"/>
    </xf>
    <xf numFmtId="1" fontId="5" fillId="0" borderId="49" xfId="2" applyNumberFormat="1" applyFont="1" applyFill="1" applyBorder="1" applyAlignment="1">
      <alignment horizontal="center" vertical="center"/>
    </xf>
    <xf numFmtId="165" fontId="5" fillId="0" borderId="49" xfId="2" applyNumberFormat="1" applyFont="1" applyFill="1" applyBorder="1" applyAlignment="1">
      <alignment horizontal="center" vertical="center"/>
    </xf>
    <xf numFmtId="2" fontId="5" fillId="0" borderId="49" xfId="2" applyNumberFormat="1" applyFont="1" applyFill="1" applyBorder="1" applyAlignment="1">
      <alignment horizontal="center" vertical="center"/>
    </xf>
    <xf numFmtId="2" fontId="5" fillId="0" borderId="137" xfId="2" applyNumberFormat="1" applyFont="1" applyFill="1" applyBorder="1" applyAlignment="1">
      <alignment horizontal="center" vertical="center"/>
    </xf>
    <xf numFmtId="4" fontId="5" fillId="0" borderId="83" xfId="2" applyNumberFormat="1" applyFont="1" applyBorder="1" applyAlignment="1" applyProtection="1">
      <alignment horizontal="center" vertical="center"/>
    </xf>
    <xf numFmtId="0" fontId="4" fillId="0" borderId="120" xfId="0" applyFont="1" applyBorder="1" applyAlignment="1">
      <alignment wrapText="1"/>
    </xf>
    <xf numFmtId="0" fontId="5" fillId="0" borderId="49" xfId="2" applyFont="1" applyFill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4" fontId="7" fillId="0" borderId="164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right"/>
    </xf>
    <xf numFmtId="4" fontId="0" fillId="0" borderId="0" xfId="0" applyNumberFormat="1" applyFont="1" applyBorder="1" applyAlignment="1">
      <alignment horizontal="center" vertical="center"/>
    </xf>
    <xf numFmtId="0" fontId="5" fillId="5" borderId="156" xfId="2" applyNumberFormat="1" applyFont="1" applyFill="1" applyBorder="1" applyAlignment="1">
      <alignment horizontal="center" vertical="center"/>
    </xf>
    <xf numFmtId="0" fontId="18" fillId="7" borderId="0" xfId="0" applyFont="1" applyFill="1"/>
    <xf numFmtId="0" fontId="18" fillId="7" borderId="0" xfId="0" applyFont="1" applyFill="1" applyAlignment="1">
      <alignment horizontal="center" vertical="center"/>
    </xf>
    <xf numFmtId="0" fontId="18" fillId="7" borderId="168" xfId="0" applyFont="1" applyFill="1" applyBorder="1" applyAlignment="1">
      <alignment horizontal="center" vertical="center" wrapText="1"/>
    </xf>
    <xf numFmtId="0" fontId="18" fillId="7" borderId="0" xfId="0" applyFont="1" applyFill="1" applyBorder="1" applyAlignment="1">
      <alignment horizontal="left"/>
    </xf>
    <xf numFmtId="0" fontId="18" fillId="7" borderId="0" xfId="0" applyFont="1" applyFill="1" applyBorder="1"/>
    <xf numFmtId="2" fontId="19" fillId="7" borderId="0" xfId="0" applyNumberFormat="1" applyFont="1" applyFill="1" applyBorder="1" applyAlignment="1">
      <alignment horizontal="center" vertical="center"/>
    </xf>
    <xf numFmtId="0" fontId="19" fillId="13" borderId="169" xfId="0" applyFont="1" applyFill="1" applyBorder="1" applyAlignment="1">
      <alignment horizontal="center" vertical="center"/>
    </xf>
    <xf numFmtId="0" fontId="18" fillId="7" borderId="0" xfId="0" applyFont="1" applyFill="1" applyAlignment="1">
      <alignment horizontal="left" vertical="center"/>
    </xf>
    <xf numFmtId="0" fontId="19" fillId="4" borderId="169" xfId="0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10" fontId="20" fillId="14" borderId="169" xfId="0" applyNumberFormat="1" applyFont="1" applyFill="1" applyBorder="1" applyAlignment="1">
      <alignment horizontal="center" vertical="center"/>
    </xf>
    <xf numFmtId="0" fontId="18" fillId="7" borderId="0" xfId="0" applyFont="1" applyFill="1" applyBorder="1" applyAlignment="1">
      <alignment horizontal="center" vertical="center" wrapText="1"/>
    </xf>
    <xf numFmtId="0" fontId="9" fillId="7" borderId="0" xfId="0" applyFont="1" applyFill="1" applyBorder="1" applyAlignment="1">
      <alignment horizontal="left"/>
    </xf>
    <xf numFmtId="10" fontId="20" fillId="15" borderId="0" xfId="0" applyNumberFormat="1" applyFont="1" applyFill="1" applyBorder="1" applyAlignment="1">
      <alignment horizontal="center" vertical="center"/>
    </xf>
    <xf numFmtId="10" fontId="20" fillId="16" borderId="0" xfId="0" applyNumberFormat="1" applyFont="1" applyFill="1" applyBorder="1" applyAlignment="1">
      <alignment horizontal="center" vertical="center"/>
    </xf>
    <xf numFmtId="0" fontId="18" fillId="7" borderId="29" xfId="0" applyFont="1" applyFill="1" applyBorder="1" applyAlignment="1">
      <alignment horizontal="center" vertical="center" wrapText="1"/>
    </xf>
    <xf numFmtId="0" fontId="9" fillId="7" borderId="29" xfId="0" applyFont="1" applyFill="1" applyBorder="1" applyAlignment="1">
      <alignment horizontal="left"/>
    </xf>
    <xf numFmtId="0" fontId="18" fillId="7" borderId="29" xfId="0" applyFont="1" applyFill="1" applyBorder="1" applyAlignment="1">
      <alignment horizontal="left"/>
    </xf>
    <xf numFmtId="2" fontId="19" fillId="0" borderId="29" xfId="0" applyNumberFormat="1" applyFont="1" applyBorder="1" applyAlignment="1">
      <alignment horizontal="center" vertical="center"/>
    </xf>
    <xf numFmtId="10" fontId="20" fillId="12" borderId="29" xfId="0" applyNumberFormat="1" applyFont="1" applyFill="1" applyBorder="1" applyAlignment="1">
      <alignment horizontal="center" vertical="center"/>
    </xf>
    <xf numFmtId="0" fontId="18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Fill="1"/>
    <xf numFmtId="0" fontId="18" fillId="0" borderId="0" xfId="0" applyFont="1" applyAlignment="1">
      <alignment horizontal="left" vertical="center"/>
    </xf>
    <xf numFmtId="0" fontId="18" fillId="5" borderId="0" xfId="0" applyFont="1" applyFill="1"/>
    <xf numFmtId="0" fontId="19" fillId="2" borderId="109" xfId="0" applyNumberFormat="1" applyFont="1" applyFill="1" applyBorder="1" applyAlignment="1">
      <alignment horizontal="center" vertical="center" wrapText="1"/>
    </xf>
    <xf numFmtId="0" fontId="19" fillId="18" borderId="109" xfId="0" applyNumberFormat="1" applyFont="1" applyFill="1" applyBorder="1" applyAlignment="1">
      <alignment horizontal="center" vertical="center" wrapText="1"/>
    </xf>
    <xf numFmtId="0" fontId="20" fillId="18" borderId="172" xfId="0" applyFont="1" applyFill="1" applyBorder="1" applyAlignment="1">
      <alignment vertical="center" wrapText="1"/>
    </xf>
    <xf numFmtId="0" fontId="20" fillId="18" borderId="108" xfId="0" applyFont="1" applyFill="1" applyBorder="1" applyAlignment="1">
      <alignment vertical="center" wrapText="1"/>
    </xf>
    <xf numFmtId="0" fontId="20" fillId="18" borderId="180" xfId="0" applyFont="1" applyFill="1" applyBorder="1" applyAlignment="1">
      <alignment vertical="center" wrapText="1"/>
    </xf>
    <xf numFmtId="0" fontId="18" fillId="5" borderId="0" xfId="0" applyFont="1" applyFill="1" applyAlignment="1">
      <alignment horizontal="center" vertical="center" wrapText="1"/>
    </xf>
    <xf numFmtId="14" fontId="18" fillId="5" borderId="0" xfId="0" applyNumberFormat="1" applyFont="1" applyFill="1"/>
    <xf numFmtId="2" fontId="19" fillId="18" borderId="109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2" fontId="19" fillId="0" borderId="109" xfId="0" applyNumberFormat="1" applyFont="1" applyFill="1" applyBorder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18" fillId="8" borderId="0" xfId="0" applyFont="1" applyFill="1"/>
    <xf numFmtId="2" fontId="20" fillId="0" borderId="165" xfId="0" applyNumberFormat="1" applyFont="1" applyFill="1" applyBorder="1" applyAlignment="1">
      <alignment horizontal="center" vertical="center" wrapText="1"/>
    </xf>
    <xf numFmtId="0" fontId="20" fillId="0" borderId="179" xfId="0" applyFont="1" applyFill="1" applyBorder="1" applyAlignment="1">
      <alignment horizontal="center" vertical="center" wrapText="1"/>
    </xf>
    <xf numFmtId="0" fontId="18" fillId="0" borderId="177" xfId="0" applyFont="1" applyFill="1" applyBorder="1" applyAlignment="1">
      <alignment horizontal="center" vertical="center" wrapText="1"/>
    </xf>
    <xf numFmtId="0" fontId="21" fillId="0" borderId="178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2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center" vertical="center"/>
    </xf>
    <xf numFmtId="0" fontId="0" fillId="0" borderId="0" xfId="0" applyFont="1" applyAlignment="1"/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  <xf numFmtId="0" fontId="24" fillId="19" borderId="182" xfId="0" applyNumberFormat="1" applyFont="1" applyFill="1" applyBorder="1" applyAlignment="1">
      <alignment horizontal="center" vertical="center" wrapText="1"/>
    </xf>
    <xf numFmtId="2" fontId="0" fillId="3" borderId="49" xfId="0" applyNumberForma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vertical="center" wrapText="1"/>
    </xf>
    <xf numFmtId="0" fontId="2" fillId="0" borderId="0" xfId="0" applyFont="1" applyAlignment="1">
      <alignment horizontal="left" wrapText="1"/>
    </xf>
    <xf numFmtId="2" fontId="0" fillId="0" borderId="114" xfId="0" applyNumberFormat="1" applyFill="1" applyBorder="1" applyAlignment="1">
      <alignment horizontal="center" vertical="center"/>
    </xf>
    <xf numFmtId="4" fontId="0" fillId="0" borderId="114" xfId="0" applyNumberFormat="1" applyFill="1" applyBorder="1" applyAlignment="1">
      <alignment horizontal="center" vertical="center"/>
    </xf>
    <xf numFmtId="0" fontId="10" fillId="5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4" fontId="0" fillId="0" borderId="29" xfId="0" applyNumberFormat="1" applyFont="1" applyFill="1" applyBorder="1" applyAlignment="1">
      <alignment horizontal="center" vertical="center"/>
    </xf>
    <xf numFmtId="4" fontId="1" fillId="0" borderId="29" xfId="0" applyNumberFormat="1" applyFont="1" applyFill="1" applyBorder="1" applyAlignment="1">
      <alignment horizontal="center" vertical="center"/>
    </xf>
    <xf numFmtId="0" fontId="1" fillId="2" borderId="106" xfId="0" applyFont="1" applyFill="1" applyBorder="1" applyAlignment="1">
      <alignment horizontal="center" vertical="center"/>
    </xf>
    <xf numFmtId="2" fontId="0" fillId="0" borderId="7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4" fontId="2" fillId="0" borderId="17" xfId="0" applyNumberFormat="1" applyFont="1" applyFill="1" applyBorder="1" applyAlignment="1">
      <alignment horizontal="center" vertical="center"/>
    </xf>
    <xf numFmtId="4" fontId="0" fillId="4" borderId="7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4" fontId="0" fillId="4" borderId="8" xfId="0" applyNumberForma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0" fillId="5" borderId="83" xfId="0" applyFill="1" applyBorder="1" applyAlignment="1">
      <alignment horizontal="center" vertical="center" wrapText="1"/>
    </xf>
    <xf numFmtId="0" fontId="0" fillId="5" borderId="49" xfId="0" applyFill="1" applyBorder="1" applyAlignment="1">
      <alignment horizontal="center" vertical="center"/>
    </xf>
    <xf numFmtId="2" fontId="0" fillId="4" borderId="49" xfId="0" applyNumberForma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189" xfId="0" applyFont="1" applyFill="1" applyBorder="1" applyAlignment="1">
      <alignment horizontal="center" vertical="center"/>
    </xf>
    <xf numFmtId="0" fontId="0" fillId="5" borderId="82" xfId="0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" fillId="2" borderId="133" xfId="0" applyFont="1" applyFill="1" applyBorder="1" applyAlignment="1">
      <alignment horizontal="center" vertical="center"/>
    </xf>
    <xf numFmtId="0" fontId="0" fillId="5" borderId="49" xfId="0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2" fontId="0" fillId="3" borderId="17" xfId="0" applyNumberForma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4" fontId="0" fillId="0" borderId="0" xfId="0" applyNumberFormat="1" applyBorder="1" applyAlignment="1">
      <alignment horizontal="center" vertical="center"/>
    </xf>
    <xf numFmtId="4" fontId="0" fillId="0" borderId="114" xfId="0" applyNumberFormat="1" applyBorder="1" applyAlignment="1">
      <alignment horizontal="center" vertical="center" wrapText="1"/>
    </xf>
    <xf numFmtId="0" fontId="0" fillId="0" borderId="82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0" fillId="0" borderId="82" xfId="0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vertical="center"/>
    </xf>
    <xf numFmtId="0" fontId="0" fillId="0" borderId="0" xfId="0" applyBorder="1" applyAlignment="1"/>
    <xf numFmtId="0" fontId="1" fillId="0" borderId="0" xfId="0" applyFont="1" applyBorder="1" applyAlignment="1"/>
    <xf numFmtId="0" fontId="1" fillId="0" borderId="0" xfId="0" applyFont="1" applyFill="1" applyBorder="1" applyAlignment="1"/>
    <xf numFmtId="0" fontId="1" fillId="0" borderId="29" xfId="0" applyFont="1" applyBorder="1" applyAlignment="1"/>
    <xf numFmtId="0" fontId="1" fillId="2" borderId="30" xfId="0" applyFont="1" applyFill="1" applyBorder="1" applyAlignment="1">
      <alignment vertical="center"/>
    </xf>
    <xf numFmtId="2" fontId="0" fillId="0" borderId="8" xfId="0" applyNumberFormat="1" applyFill="1" applyBorder="1" applyAlignment="1">
      <alignment horizontal="center" vertical="center"/>
    </xf>
    <xf numFmtId="2" fontId="2" fillId="0" borderId="28" xfId="0" applyNumberFormat="1" applyFont="1" applyFill="1" applyBorder="1" applyAlignment="1">
      <alignment horizontal="center"/>
    </xf>
    <xf numFmtId="0" fontId="0" fillId="0" borderId="28" xfId="0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2" fontId="11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0" fillId="5" borderId="0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center" vertical="center" wrapText="1"/>
    </xf>
    <xf numFmtId="0" fontId="1" fillId="4" borderId="106" xfId="0" applyFont="1" applyFill="1" applyBorder="1" applyAlignment="1">
      <alignment horizontal="center" vertical="center"/>
    </xf>
    <xf numFmtId="0" fontId="4" fillId="5" borderId="75" xfId="1" applyFont="1" applyFill="1" applyBorder="1" applyAlignment="1">
      <alignment horizontal="center" vertical="center" wrapText="1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5" fillId="0" borderId="80" xfId="2" applyFont="1" applyBorder="1" applyAlignment="1">
      <alignment horizontal="center" vertical="center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5" borderId="9" xfId="1" applyFont="1" applyFill="1" applyBorder="1" applyAlignment="1">
      <alignment horizontal="center" vertical="center" wrapText="1"/>
    </xf>
    <xf numFmtId="0" fontId="5" fillId="5" borderId="9" xfId="2" applyFont="1" applyFill="1" applyBorder="1" applyAlignment="1">
      <alignment horizontal="center" vertical="center"/>
    </xf>
    <xf numFmtId="1" fontId="5" fillId="5" borderId="9" xfId="2" applyNumberFormat="1" applyFont="1" applyFill="1" applyBorder="1" applyAlignment="1">
      <alignment horizontal="center" vertical="center"/>
    </xf>
    <xf numFmtId="165" fontId="5" fillId="5" borderId="9" xfId="2" applyNumberFormat="1" applyFont="1" applyFill="1" applyBorder="1" applyAlignment="1">
      <alignment horizontal="center" vertical="center"/>
    </xf>
    <xf numFmtId="2" fontId="5" fillId="5" borderId="9" xfId="2" applyNumberFormat="1" applyFont="1" applyFill="1" applyBorder="1" applyAlignment="1">
      <alignment horizontal="center" vertical="center"/>
    </xf>
    <xf numFmtId="2" fontId="5" fillId="5" borderId="15" xfId="2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0" borderId="106" xfId="1" applyFont="1" applyBorder="1" applyAlignment="1">
      <alignment wrapText="1"/>
    </xf>
    <xf numFmtId="0" fontId="4" fillId="0" borderId="150" xfId="1" applyFont="1" applyBorder="1" applyAlignment="1">
      <alignment wrapText="1"/>
    </xf>
    <xf numFmtId="0" fontId="4" fillId="5" borderId="75" xfId="1" applyFont="1" applyFill="1" applyBorder="1" applyAlignment="1">
      <alignment horizontal="center" vertical="center"/>
    </xf>
    <xf numFmtId="0" fontId="4" fillId="5" borderId="82" xfId="1" applyFont="1" applyFill="1" applyBorder="1" applyAlignment="1">
      <alignment vertical="center"/>
    </xf>
    <xf numFmtId="0" fontId="4" fillId="5" borderId="147" xfId="1" applyFont="1" applyFill="1" applyBorder="1" applyAlignment="1">
      <alignment vertical="center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5" borderId="9" xfId="1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/>
    <xf numFmtId="0" fontId="4" fillId="5" borderId="161" xfId="1" applyFont="1" applyFill="1" applyBorder="1" applyAlignment="1">
      <alignment horizontal="center" vertical="center" wrapText="1"/>
    </xf>
    <xf numFmtId="0" fontId="4" fillId="5" borderId="17" xfId="1" applyFont="1" applyFill="1" applyBorder="1" applyAlignment="1">
      <alignment horizontal="center" vertical="center" wrapText="1"/>
    </xf>
    <xf numFmtId="0" fontId="5" fillId="5" borderId="8" xfId="2" applyFont="1" applyFill="1" applyBorder="1" applyAlignment="1">
      <alignment horizontal="center" vertical="center"/>
    </xf>
    <xf numFmtId="1" fontId="5" fillId="5" borderId="8" xfId="2" applyNumberFormat="1" applyFont="1" applyFill="1" applyBorder="1" applyAlignment="1">
      <alignment horizontal="center" vertical="center"/>
    </xf>
    <xf numFmtId="165" fontId="5" fillId="5" borderId="8" xfId="2" applyNumberFormat="1" applyFont="1" applyFill="1" applyBorder="1" applyAlignment="1">
      <alignment horizontal="center" vertical="center"/>
    </xf>
    <xf numFmtId="2" fontId="5" fillId="5" borderId="8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2" borderId="94" xfId="1" applyFont="1" applyFill="1" applyBorder="1" applyAlignment="1">
      <alignment horizontal="center" vertical="center"/>
    </xf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5" fillId="0" borderId="159" xfId="2" applyFont="1" applyBorder="1" applyAlignment="1">
      <alignment horizontal="center" vertical="center"/>
    </xf>
    <xf numFmtId="0" fontId="6" fillId="2" borderId="0" xfId="2" applyFont="1" applyFill="1" applyBorder="1" applyAlignment="1">
      <alignment horizontal="center" vertical="center"/>
    </xf>
    <xf numFmtId="4" fontId="5" fillId="0" borderId="18" xfId="2" applyNumberFormat="1" applyFont="1" applyBorder="1" applyAlignment="1" applyProtection="1">
      <alignment horizontal="center" vertical="center"/>
    </xf>
    <xf numFmtId="4" fontId="5" fillId="0" borderId="19" xfId="2" applyNumberFormat="1" applyFont="1" applyBorder="1" applyAlignment="1" applyProtection="1">
      <alignment horizontal="center" vertical="center"/>
    </xf>
    <xf numFmtId="4" fontId="5" fillId="0" borderId="20" xfId="2" applyNumberFormat="1" applyFont="1" applyBorder="1" applyAlignment="1" applyProtection="1">
      <alignment horizontal="center" vertical="center"/>
    </xf>
    <xf numFmtId="4" fontId="5" fillId="0" borderId="145" xfId="2" applyNumberFormat="1" applyFont="1" applyBorder="1" applyAlignment="1" applyProtection="1">
      <alignment horizontal="center" vertical="center"/>
    </xf>
    <xf numFmtId="4" fontId="5" fillId="0" borderId="149" xfId="2" applyNumberFormat="1" applyFont="1" applyBorder="1" applyAlignment="1" applyProtection="1">
      <alignment horizontal="center" vertical="center"/>
    </xf>
    <xf numFmtId="4" fontId="5" fillId="0" borderId="137" xfId="2" applyNumberFormat="1" applyFont="1" applyBorder="1" applyAlignment="1" applyProtection="1">
      <alignment horizontal="center" vertical="center"/>
    </xf>
    <xf numFmtId="4" fontId="5" fillId="0" borderId="125" xfId="2" applyNumberFormat="1" applyFont="1" applyBorder="1" applyAlignment="1" applyProtection="1">
      <alignment horizontal="center" vertical="center"/>
    </xf>
    <xf numFmtId="0" fontId="4" fillId="0" borderId="0" xfId="1" applyFont="1" applyAlignment="1">
      <alignment horizontal="left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168" fontId="4" fillId="0" borderId="0" xfId="1" applyNumberFormat="1" applyFont="1"/>
    <xf numFmtId="0" fontId="4" fillId="2" borderId="94" xfId="1" applyFont="1" applyFill="1" applyBorder="1" applyAlignment="1">
      <alignment horizontal="center" vertical="center"/>
    </xf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14" fontId="4" fillId="0" borderId="0" xfId="0" applyNumberFormat="1" applyFont="1"/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4" fillId="2" borderId="94" xfId="1" applyFont="1" applyFill="1" applyBorder="1" applyAlignment="1">
      <alignment horizontal="center" vertical="center"/>
    </xf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2" fontId="5" fillId="0" borderId="146" xfId="2" applyNumberFormat="1" applyFont="1" applyFill="1" applyBorder="1" applyAlignment="1">
      <alignment horizontal="center" vertical="center"/>
    </xf>
    <xf numFmtId="2" fontId="5" fillId="0" borderId="15" xfId="2" applyNumberFormat="1" applyFont="1" applyFill="1" applyBorder="1" applyAlignment="1">
      <alignment horizontal="center" vertical="center"/>
    </xf>
    <xf numFmtId="2" fontId="5" fillId="0" borderId="138" xfId="2" applyNumberFormat="1" applyFont="1" applyFill="1" applyBorder="1" applyAlignment="1">
      <alignment horizontal="center" vertical="center"/>
    </xf>
    <xf numFmtId="2" fontId="5" fillId="0" borderId="150" xfId="2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4" fontId="0" fillId="0" borderId="8" xfId="0" applyNumberFormat="1" applyFill="1" applyBorder="1" applyAlignment="1">
      <alignment horizontal="center" vertical="center"/>
    </xf>
    <xf numFmtId="0" fontId="4" fillId="2" borderId="94" xfId="1" applyFont="1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 wrapText="1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5" borderId="9" xfId="1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/>
    </xf>
    <xf numFmtId="0" fontId="2" fillId="0" borderId="0" xfId="0" applyFont="1" applyAlignment="1">
      <alignment horizontal="center"/>
    </xf>
    <xf numFmtId="4" fontId="1" fillId="0" borderId="131" xfId="0" applyNumberFormat="1" applyFont="1" applyFill="1" applyBorder="1" applyAlignment="1">
      <alignment horizontal="center" vertical="center"/>
    </xf>
    <xf numFmtId="0" fontId="0" fillId="0" borderId="113" xfId="0" applyBorder="1" applyAlignment="1">
      <alignment horizontal="right" wrapText="1"/>
    </xf>
    <xf numFmtId="0" fontId="0" fillId="0" borderId="139" xfId="0" applyBorder="1" applyAlignment="1"/>
    <xf numFmtId="0" fontId="0" fillId="0" borderId="140" xfId="0" applyBorder="1" applyAlignment="1"/>
    <xf numFmtId="0" fontId="0" fillId="11" borderId="99" xfId="0" applyFill="1" applyBorder="1" applyAlignment="1"/>
    <xf numFmtId="0" fontId="0" fillId="11" borderId="55" xfId="0" applyFill="1" applyBorder="1" applyAlignment="1"/>
    <xf numFmtId="0" fontId="0" fillId="11" borderId="129" xfId="0" applyFill="1" applyBorder="1" applyAlignment="1"/>
    <xf numFmtId="4" fontId="1" fillId="0" borderId="29" xfId="0" applyNumberFormat="1" applyFont="1" applyBorder="1" applyAlignment="1">
      <alignment horizontal="center"/>
    </xf>
    <xf numFmtId="0" fontId="1" fillId="4" borderId="106" xfId="0" applyFont="1" applyFill="1" applyBorder="1" applyAlignment="1">
      <alignment horizontal="center" vertical="center" wrapText="1"/>
    </xf>
    <xf numFmtId="0" fontId="1" fillId="2" borderId="103" xfId="0" applyFont="1" applyFill="1" applyBorder="1" applyAlignment="1">
      <alignment vertical="center"/>
    </xf>
    <xf numFmtId="0" fontId="1" fillId="2" borderId="190" xfId="0" applyFont="1" applyFill="1" applyBorder="1" applyAlignment="1">
      <alignment vertical="center"/>
    </xf>
    <xf numFmtId="0" fontId="0" fillId="0" borderId="83" xfId="0" applyFill="1" applyBorder="1" applyAlignment="1">
      <alignment horizontal="center" vertical="center"/>
    </xf>
    <xf numFmtId="0" fontId="0" fillId="0" borderId="49" xfId="0" applyFill="1" applyBorder="1" applyAlignment="1">
      <alignment horizontal="center" vertical="center"/>
    </xf>
    <xf numFmtId="2" fontId="0" fillId="0" borderId="49" xfId="0" applyNumberFormat="1" applyFill="1" applyBorder="1" applyAlignment="1">
      <alignment horizontal="center" vertical="center"/>
    </xf>
    <xf numFmtId="4" fontId="0" fillId="0" borderId="49" xfId="0" applyNumberFormat="1" applyFill="1" applyBorder="1" applyAlignment="1">
      <alignment horizontal="center" vertical="center"/>
    </xf>
    <xf numFmtId="2" fontId="0" fillId="0" borderId="49" xfId="0" applyNumberFormat="1" applyFill="1" applyBorder="1" applyAlignment="1">
      <alignment horizontal="center" vertical="center" wrapText="1"/>
    </xf>
    <xf numFmtId="2" fontId="0" fillId="0" borderId="8" xfId="0" applyNumberFormat="1" applyFill="1" applyBorder="1" applyAlignment="1">
      <alignment horizontal="center" vertical="center" wrapText="1"/>
    </xf>
    <xf numFmtId="167" fontId="0" fillId="0" borderId="8" xfId="0" applyNumberFormat="1" applyFill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0" fillId="0" borderId="26" xfId="0" applyBorder="1" applyAlignment="1">
      <alignment vertical="center"/>
    </xf>
    <xf numFmtId="0" fontId="0" fillId="0" borderId="27" xfId="0" applyBorder="1" applyAlignment="1">
      <alignment vertical="center"/>
    </xf>
    <xf numFmtId="0" fontId="18" fillId="4" borderId="109" xfId="0" applyNumberFormat="1" applyFont="1" applyFill="1" applyBorder="1" applyAlignment="1">
      <alignment horizontal="center" vertical="center" wrapText="1"/>
    </xf>
    <xf numFmtId="0" fontId="18" fillId="4" borderId="171" xfId="0" applyFont="1" applyFill="1" applyBorder="1" applyAlignment="1">
      <alignment horizontal="left" vertical="center" wrapText="1"/>
    </xf>
    <xf numFmtId="2" fontId="20" fillId="4" borderId="110" xfId="0" applyNumberFormat="1" applyFont="1" applyFill="1" applyBorder="1" applyAlignment="1">
      <alignment horizontal="center" vertical="center" wrapText="1"/>
    </xf>
    <xf numFmtId="0" fontId="19" fillId="4" borderId="173" xfId="0" applyFont="1" applyFill="1" applyBorder="1" applyAlignment="1">
      <alignment horizontal="center" vertical="center"/>
    </xf>
    <xf numFmtId="2" fontId="16" fillId="4" borderId="110" xfId="0" applyNumberFormat="1" applyFont="1" applyFill="1" applyBorder="1" applyAlignment="1">
      <alignment horizontal="center" vertical="center"/>
    </xf>
    <xf numFmtId="0" fontId="18" fillId="4" borderId="110" xfId="0" applyFont="1" applyFill="1" applyBorder="1" applyAlignment="1">
      <alignment horizontal="left" vertical="center" wrapText="1"/>
    </xf>
    <xf numFmtId="2" fontId="16" fillId="4" borderId="110" xfId="0" applyNumberFormat="1" applyFont="1" applyFill="1" applyBorder="1" applyAlignment="1">
      <alignment horizontal="center" vertical="center" wrapText="1"/>
    </xf>
    <xf numFmtId="2" fontId="18" fillId="4" borderId="178" xfId="0" applyNumberFormat="1" applyFont="1" applyFill="1" applyBorder="1" applyAlignment="1">
      <alignment horizontal="left" vertical="center" wrapText="1"/>
    </xf>
    <xf numFmtId="2" fontId="16" fillId="4" borderId="9" xfId="0" applyNumberFormat="1" applyFont="1" applyFill="1" applyBorder="1" applyAlignment="1">
      <alignment horizontal="center" vertical="center"/>
    </xf>
    <xf numFmtId="0" fontId="18" fillId="4" borderId="176" xfId="0" applyFont="1" applyFill="1" applyBorder="1" applyAlignment="1">
      <alignment horizontal="left" vertical="center" wrapText="1"/>
    </xf>
    <xf numFmtId="2" fontId="19" fillId="4" borderId="110" xfId="0" applyNumberFormat="1" applyFont="1" applyFill="1" applyBorder="1" applyAlignment="1">
      <alignment horizontal="center" vertical="center" wrapText="1"/>
    </xf>
    <xf numFmtId="0" fontId="18" fillId="4" borderId="123" xfId="0" applyNumberFormat="1" applyFont="1" applyFill="1" applyBorder="1" applyAlignment="1">
      <alignment horizontal="center" vertical="center" wrapText="1"/>
    </xf>
    <xf numFmtId="2" fontId="18" fillId="4" borderId="175" xfId="0" applyNumberFormat="1" applyFont="1" applyFill="1" applyBorder="1" applyAlignment="1">
      <alignment horizontal="left" vertical="center" wrapText="1"/>
    </xf>
    <xf numFmtId="2" fontId="20" fillId="4" borderId="70" xfId="0" applyNumberFormat="1" applyFont="1" applyFill="1" applyBorder="1" applyAlignment="1">
      <alignment horizontal="center" vertical="center" wrapText="1"/>
    </xf>
    <xf numFmtId="0" fontId="19" fillId="4" borderId="163" xfId="0" applyFont="1" applyFill="1" applyBorder="1" applyAlignment="1">
      <alignment horizontal="center" vertical="center"/>
    </xf>
    <xf numFmtId="4" fontId="0" fillId="0" borderId="0" xfId="0" applyNumberFormat="1"/>
    <xf numFmtId="0" fontId="18" fillId="4" borderId="155" xfId="0" applyFont="1" applyFill="1" applyBorder="1" applyAlignment="1">
      <alignment horizontal="left" vertical="center" wrapText="1"/>
    </xf>
    <xf numFmtId="2" fontId="20" fillId="4" borderId="161" xfId="0" applyNumberFormat="1" applyFont="1" applyFill="1" applyBorder="1" applyAlignment="1">
      <alignment horizontal="center" vertical="center" wrapText="1"/>
    </xf>
    <xf numFmtId="2" fontId="20" fillId="4" borderId="165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23" fillId="4" borderId="182" xfId="0" applyFont="1" applyFill="1" applyBorder="1" applyAlignment="1">
      <alignment horizontal="center" vertical="center" wrapText="1"/>
    </xf>
    <xf numFmtId="0" fontId="23" fillId="4" borderId="186" xfId="0" applyFont="1" applyFill="1" applyBorder="1" applyAlignment="1">
      <alignment horizontal="left" vertical="center" wrapText="1"/>
    </xf>
    <xf numFmtId="2" fontId="24" fillId="4" borderId="181" xfId="0" applyNumberFormat="1" applyFont="1" applyFill="1" applyBorder="1" applyAlignment="1">
      <alignment horizontal="center" vertical="center" wrapText="1"/>
    </xf>
    <xf numFmtId="0" fontId="24" fillId="4" borderId="187" xfId="0" applyFont="1" applyFill="1" applyBorder="1" applyAlignment="1">
      <alignment horizontal="center" vertical="center"/>
    </xf>
    <xf numFmtId="0" fontId="18" fillId="5" borderId="0" xfId="0" applyFont="1" applyFill="1" applyAlignment="1">
      <alignment horizontal="left" vertical="center"/>
    </xf>
    <xf numFmtId="4" fontId="0" fillId="0" borderId="0" xfId="0" applyNumberFormat="1" applyFill="1" applyBorder="1" applyAlignment="1">
      <alignment horizontal="center"/>
    </xf>
    <xf numFmtId="4" fontId="0" fillId="0" borderId="131" xfId="0" applyNumberFormat="1" applyFont="1" applyFill="1" applyBorder="1" applyAlignment="1">
      <alignment horizontal="center" vertical="center"/>
    </xf>
    <xf numFmtId="0" fontId="4" fillId="2" borderId="94" xfId="1" applyFont="1" applyFill="1" applyBorder="1" applyAlignment="1">
      <alignment horizontal="center" vertical="center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23" fillId="4" borderId="193" xfId="0" applyFont="1" applyFill="1" applyBorder="1" applyAlignment="1">
      <alignment horizontal="center" vertical="center"/>
    </xf>
    <xf numFmtId="0" fontId="26" fillId="4" borderId="194" xfId="0" applyFont="1" applyFill="1" applyBorder="1" applyAlignment="1">
      <alignment horizontal="center" vertical="center" wrapText="1"/>
    </xf>
    <xf numFmtId="0" fontId="26" fillId="4" borderId="195" xfId="0" applyFont="1" applyFill="1" applyBorder="1" applyAlignment="1">
      <alignment horizontal="center" vertical="center" wrapText="1"/>
    </xf>
    <xf numFmtId="0" fontId="18" fillId="4" borderId="193" xfId="0" applyFont="1" applyFill="1" applyBorder="1" applyAlignment="1">
      <alignment horizontal="center" vertical="center"/>
    </xf>
    <xf numFmtId="0" fontId="30" fillId="4" borderId="194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2" fontId="10" fillId="0" borderId="0" xfId="0" applyNumberFormat="1" applyFont="1" applyFill="1" applyBorder="1" applyAlignment="1">
      <alignment horizontal="left" vertical="center" wrapText="1"/>
    </xf>
    <xf numFmtId="2" fontId="16" fillId="0" borderId="0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39" xfId="0" applyFont="1" applyFill="1" applyBorder="1" applyAlignment="1">
      <alignment horizontal="center" vertical="center"/>
    </xf>
    <xf numFmtId="0" fontId="1" fillId="2" borderId="118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2" fontId="11" fillId="0" borderId="0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" fillId="2" borderId="14" xfId="0" applyFont="1" applyFill="1" applyBorder="1" applyAlignment="1">
      <alignment horizontal="center" vertical="center"/>
    </xf>
    <xf numFmtId="0" fontId="1" fillId="2" borderId="120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/>
    </xf>
    <xf numFmtId="0" fontId="1" fillId="2" borderId="73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left" vertical="center"/>
    </xf>
    <xf numFmtId="0" fontId="1" fillId="2" borderId="49" xfId="0" applyFont="1" applyFill="1" applyBorder="1" applyAlignment="1">
      <alignment horizontal="center" vertical="center"/>
    </xf>
    <xf numFmtId="0" fontId="1" fillId="2" borderId="99" xfId="0" applyFont="1" applyFill="1" applyBorder="1" applyAlignment="1">
      <alignment horizontal="center" vertical="center"/>
    </xf>
    <xf numFmtId="0" fontId="1" fillId="2" borderId="55" xfId="0" applyFont="1" applyFill="1" applyBorder="1" applyAlignment="1">
      <alignment horizontal="center" vertical="center"/>
    </xf>
    <xf numFmtId="0" fontId="1" fillId="2" borderId="188" xfId="0" applyFont="1" applyFill="1" applyBorder="1" applyAlignment="1">
      <alignment horizontal="center" vertical="center"/>
    </xf>
    <xf numFmtId="0" fontId="1" fillId="2" borderId="78" xfId="0" applyFont="1" applyFill="1" applyBorder="1" applyAlignment="1">
      <alignment horizontal="center" vertical="center"/>
    </xf>
    <xf numFmtId="0" fontId="1" fillId="2" borderId="72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3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1" fillId="2" borderId="84" xfId="0" applyFont="1" applyFill="1" applyBorder="1" applyAlignment="1">
      <alignment horizontal="center" vertical="center"/>
    </xf>
    <xf numFmtId="0" fontId="1" fillId="2" borderId="42" xfId="0" applyFont="1" applyFill="1" applyBorder="1" applyAlignment="1">
      <alignment horizontal="center" vertical="center"/>
    </xf>
    <xf numFmtId="2" fontId="17" fillId="0" borderId="0" xfId="0" applyNumberFormat="1" applyFont="1" applyFill="1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5" borderId="99" xfId="0" applyFill="1" applyBorder="1" applyAlignment="1">
      <alignment horizontal="center" vertical="center" wrapText="1"/>
    </xf>
    <xf numFmtId="0" fontId="0" fillId="5" borderId="113" xfId="0" applyFill="1" applyBorder="1" applyAlignment="1">
      <alignment horizontal="center" vertical="center" wrapText="1"/>
    </xf>
    <xf numFmtId="4" fontId="0" fillId="5" borderId="84" xfId="0" applyNumberFormat="1" applyFill="1" applyBorder="1" applyAlignment="1">
      <alignment horizontal="center" vertical="center" wrapText="1"/>
    </xf>
    <xf numFmtId="4" fontId="0" fillId="5" borderId="106" xfId="0" applyNumberFormat="1" applyFill="1" applyBorder="1" applyAlignment="1">
      <alignment horizontal="center" vertical="center" wrapText="1"/>
    </xf>
    <xf numFmtId="0" fontId="2" fillId="4" borderId="26" xfId="0" applyFont="1" applyFill="1" applyBorder="1" applyAlignment="1">
      <alignment horizontal="center"/>
    </xf>
    <xf numFmtId="0" fontId="2" fillId="4" borderId="28" xfId="0" applyFont="1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2" borderId="122" xfId="0" applyFont="1" applyFill="1" applyBorder="1" applyAlignment="1">
      <alignment horizontal="center" vertical="center"/>
    </xf>
    <xf numFmtId="0" fontId="1" fillId="2" borderId="133" xfId="0" applyFont="1" applyFill="1" applyBorder="1" applyAlignment="1">
      <alignment horizontal="center" vertical="center"/>
    </xf>
    <xf numFmtId="0" fontId="1" fillId="2" borderId="134" xfId="0" applyFont="1" applyFill="1" applyBorder="1" applyAlignment="1">
      <alignment horizontal="center" vertical="center"/>
    </xf>
    <xf numFmtId="0" fontId="1" fillId="2" borderId="157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5" borderId="154" xfId="1" applyFont="1" applyFill="1" applyBorder="1" applyAlignment="1">
      <alignment horizontal="center" vertical="center" wrapText="1"/>
    </xf>
    <xf numFmtId="0" fontId="4" fillId="5" borderId="75" xfId="1" applyFont="1" applyFill="1" applyBorder="1" applyAlignment="1">
      <alignment horizontal="center" vertical="center" wrapText="1"/>
    </xf>
    <xf numFmtId="0" fontId="4" fillId="5" borderId="78" xfId="1" applyFont="1" applyFill="1" applyBorder="1" applyAlignment="1">
      <alignment horizontal="center" vertical="center" wrapText="1"/>
    </xf>
    <xf numFmtId="0" fontId="4" fillId="5" borderId="123" xfId="1" applyFont="1" applyFill="1" applyBorder="1" applyAlignment="1">
      <alignment horizontal="center" vertical="center" wrapText="1"/>
    </xf>
    <xf numFmtId="0" fontId="4" fillId="2" borderId="25" xfId="1" applyFont="1" applyFill="1" applyBorder="1" applyAlignment="1">
      <alignment horizontal="center" vertical="center"/>
    </xf>
    <xf numFmtId="0" fontId="4" fillId="2" borderId="26" xfId="1" applyFont="1" applyFill="1" applyBorder="1" applyAlignment="1">
      <alignment horizontal="center" vertical="center"/>
    </xf>
    <xf numFmtId="0" fontId="4" fillId="2" borderId="28" xfId="1" applyFont="1" applyFill="1" applyBorder="1" applyAlignment="1">
      <alignment horizontal="center" vertical="center"/>
    </xf>
    <xf numFmtId="0" fontId="5" fillId="0" borderId="21" xfId="2" applyFont="1" applyBorder="1" applyAlignment="1">
      <alignment horizontal="center" vertical="center"/>
    </xf>
    <xf numFmtId="0" fontId="5" fillId="0" borderId="81" xfId="2" applyFont="1" applyBorder="1" applyAlignment="1">
      <alignment horizontal="center" vertical="center"/>
    </xf>
    <xf numFmtId="0" fontId="4" fillId="0" borderId="101" xfId="1" applyFont="1" applyBorder="1" applyAlignment="1">
      <alignment horizontal="center" vertical="center"/>
    </xf>
    <xf numFmtId="0" fontId="4" fillId="0" borderId="102" xfId="1" applyFont="1" applyBorder="1" applyAlignment="1">
      <alignment horizontal="center" vertical="center"/>
    </xf>
    <xf numFmtId="0" fontId="6" fillId="5" borderId="104" xfId="2" applyFont="1" applyFill="1" applyBorder="1" applyAlignment="1">
      <alignment horizontal="center" vertical="top" wrapText="1"/>
    </xf>
    <xf numFmtId="0" fontId="6" fillId="5" borderId="105" xfId="2" applyFont="1" applyFill="1" applyBorder="1" applyAlignment="1">
      <alignment horizontal="center" vertical="top" wrapText="1"/>
    </xf>
    <xf numFmtId="0" fontId="6" fillId="0" borderId="97" xfId="2" quotePrefix="1" applyFont="1" applyBorder="1" applyAlignment="1">
      <alignment horizontal="center" vertical="center"/>
    </xf>
    <xf numFmtId="0" fontId="6" fillId="0" borderId="79" xfId="2" quotePrefix="1" applyFont="1" applyBorder="1" applyAlignment="1">
      <alignment horizontal="center" vertical="center"/>
    </xf>
    <xf numFmtId="0" fontId="6" fillId="0" borderId="98" xfId="2" quotePrefix="1" applyFont="1" applyBorder="1" applyAlignment="1">
      <alignment horizontal="center" vertical="center"/>
    </xf>
    <xf numFmtId="0" fontId="5" fillId="2" borderId="85" xfId="2" applyFont="1" applyFill="1" applyBorder="1" applyAlignment="1">
      <alignment horizontal="center" vertical="center"/>
    </xf>
    <xf numFmtId="0" fontId="5" fillId="2" borderId="64" xfId="2" applyFont="1" applyFill="1" applyBorder="1" applyAlignment="1">
      <alignment horizontal="center" vertical="center"/>
    </xf>
    <xf numFmtId="0" fontId="6" fillId="2" borderId="95" xfId="2" applyFont="1" applyFill="1" applyBorder="1" applyAlignment="1">
      <alignment horizontal="center" vertical="center"/>
    </xf>
    <xf numFmtId="0" fontId="6" fillId="2" borderId="10" xfId="2" applyFont="1" applyFill="1" applyBorder="1" applyAlignment="1">
      <alignment horizontal="center" vertical="center"/>
    </xf>
    <xf numFmtId="0" fontId="6" fillId="2" borderId="92" xfId="2" applyFont="1" applyFill="1" applyBorder="1" applyAlignment="1">
      <alignment horizontal="center" vertical="center"/>
    </xf>
    <xf numFmtId="0" fontId="4" fillId="2" borderId="96" xfId="1" applyFont="1" applyFill="1" applyBorder="1" applyAlignment="1">
      <alignment horizontal="center" vertical="center"/>
    </xf>
    <xf numFmtId="0" fontId="4" fillId="2" borderId="94" xfId="1" applyFont="1" applyFill="1" applyBorder="1" applyAlignment="1">
      <alignment horizontal="center" vertical="center"/>
    </xf>
    <xf numFmtId="0" fontId="6" fillId="0" borderId="87" xfId="2" applyFont="1" applyBorder="1" applyAlignment="1">
      <alignment horizontal="center" vertical="center"/>
    </xf>
    <xf numFmtId="0" fontId="6" fillId="0" borderId="88" xfId="2" applyFont="1" applyBorder="1" applyAlignment="1">
      <alignment horizontal="center" vertical="center"/>
    </xf>
    <xf numFmtId="0" fontId="6" fillId="0" borderId="89" xfId="2" applyFont="1" applyBorder="1" applyAlignment="1">
      <alignment horizontal="center" vertical="center"/>
    </xf>
    <xf numFmtId="2" fontId="17" fillId="5" borderId="0" xfId="0" applyNumberFormat="1" applyFont="1" applyFill="1" applyBorder="1" applyAlignment="1">
      <alignment horizontal="center" vertical="center" wrapText="1"/>
    </xf>
    <xf numFmtId="0" fontId="6" fillId="0" borderId="57" xfId="2" applyFont="1" applyBorder="1" applyAlignment="1">
      <alignment horizontal="center" vertical="center"/>
    </xf>
    <xf numFmtId="0" fontId="6" fillId="0" borderId="58" xfId="2" applyFont="1" applyBorder="1" applyAlignment="1">
      <alignment horizontal="center" vertical="center"/>
    </xf>
    <xf numFmtId="0" fontId="6" fillId="0" borderId="59" xfId="2" applyFont="1" applyBorder="1" applyAlignment="1">
      <alignment horizontal="center" vertical="center"/>
    </xf>
    <xf numFmtId="0" fontId="6" fillId="0" borderId="56" xfId="2" quotePrefix="1" applyFont="1" applyBorder="1" applyAlignment="1">
      <alignment horizontal="center" vertical="center"/>
    </xf>
    <xf numFmtId="0" fontId="6" fillId="0" borderId="0" xfId="2" quotePrefix="1" applyFont="1" applyBorder="1" applyAlignment="1">
      <alignment horizontal="center" vertical="center"/>
    </xf>
    <xf numFmtId="0" fontId="6" fillId="0" borderId="44" xfId="2" quotePrefix="1" applyFont="1" applyBorder="1" applyAlignment="1">
      <alignment horizontal="center" vertical="center"/>
    </xf>
    <xf numFmtId="0" fontId="6" fillId="2" borderId="56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horizontal="center" vertical="center" wrapText="1"/>
    </xf>
    <xf numFmtId="0" fontId="6" fillId="2" borderId="44" xfId="2" applyFont="1" applyFill="1" applyBorder="1" applyAlignment="1">
      <alignment horizontal="center" vertical="center" wrapText="1"/>
    </xf>
    <xf numFmtId="0" fontId="5" fillId="0" borderId="67" xfId="2" applyFont="1" applyFill="1" applyBorder="1" applyAlignment="1">
      <alignment horizontal="center" vertical="center"/>
    </xf>
    <xf numFmtId="0" fontId="5" fillId="0" borderId="55" xfId="2" applyFont="1" applyFill="1" applyBorder="1" applyAlignment="1">
      <alignment horizontal="center" vertical="center"/>
    </xf>
    <xf numFmtId="0" fontId="5" fillId="0" borderId="56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/>
    </xf>
    <xf numFmtId="0" fontId="5" fillId="0" borderId="65" xfId="2" applyFont="1" applyFill="1" applyBorder="1" applyAlignment="1">
      <alignment horizontal="center" vertical="center"/>
    </xf>
    <xf numFmtId="0" fontId="5" fillId="0" borderId="29" xfId="2" applyFont="1" applyFill="1" applyBorder="1" applyAlignment="1">
      <alignment horizontal="center" vertical="center"/>
    </xf>
    <xf numFmtId="0" fontId="5" fillId="0" borderId="99" xfId="2" applyFont="1" applyBorder="1" applyAlignment="1">
      <alignment horizontal="center" vertical="center"/>
    </xf>
    <xf numFmtId="0" fontId="5" fillId="0" borderId="55" xfId="2" applyFont="1" applyBorder="1" applyAlignment="1">
      <alignment horizontal="center" vertical="center"/>
    </xf>
    <xf numFmtId="0" fontId="5" fillId="0" borderId="100" xfId="2" applyFont="1" applyBorder="1" applyAlignment="1">
      <alignment horizontal="center" vertical="center"/>
    </xf>
    <xf numFmtId="0" fontId="4" fillId="5" borderId="161" xfId="1" applyFont="1" applyFill="1" applyBorder="1" applyAlignment="1">
      <alignment horizontal="center" vertical="center" wrapText="1"/>
    </xf>
    <xf numFmtId="0" fontId="4" fillId="5" borderId="9" xfId="1" applyFont="1" applyFill="1" applyBorder="1" applyAlignment="1">
      <alignment horizontal="center" vertical="center" wrapText="1"/>
    </xf>
    <xf numFmtId="0" fontId="4" fillId="5" borderId="30" xfId="1" applyFont="1" applyFill="1" applyBorder="1" applyAlignment="1">
      <alignment horizontal="center" vertical="center" wrapText="1"/>
    </xf>
    <xf numFmtId="0" fontId="4" fillId="2" borderId="192" xfId="1" applyFont="1" applyFill="1" applyBorder="1" applyAlignment="1">
      <alignment horizontal="center" vertical="center"/>
    </xf>
    <xf numFmtId="0" fontId="4" fillId="2" borderId="108" xfId="1" applyFont="1" applyFill="1" applyBorder="1" applyAlignment="1">
      <alignment horizontal="center" vertical="center"/>
    </xf>
    <xf numFmtId="0" fontId="4" fillId="2" borderId="130" xfId="1" applyFont="1" applyFill="1" applyBorder="1" applyAlignment="1">
      <alignment horizontal="center" vertical="center"/>
    </xf>
    <xf numFmtId="0" fontId="4" fillId="2" borderId="29" xfId="1" applyFont="1" applyFill="1" applyBorder="1" applyAlignment="1">
      <alignment horizontal="center" vertical="center"/>
    </xf>
    <xf numFmtId="0" fontId="4" fillId="5" borderId="83" xfId="1" applyFont="1" applyFill="1" applyBorder="1" applyAlignment="1">
      <alignment horizontal="center" vertical="center"/>
    </xf>
    <xf numFmtId="0" fontId="4" fillId="5" borderId="82" xfId="1" applyFont="1" applyFill="1" applyBorder="1" applyAlignment="1">
      <alignment horizontal="center" vertical="center"/>
    </xf>
    <xf numFmtId="0" fontId="4" fillId="5" borderId="73" xfId="1" applyFont="1" applyFill="1" applyBorder="1" applyAlignment="1">
      <alignment horizontal="center" vertical="center"/>
    </xf>
    <xf numFmtId="0" fontId="4" fillId="0" borderId="53" xfId="0" applyFont="1" applyBorder="1" applyAlignment="1">
      <alignment horizontal="center"/>
    </xf>
    <xf numFmtId="0" fontId="4" fillId="0" borderId="151" xfId="0" applyFont="1" applyBorder="1" applyAlignment="1">
      <alignment horizontal="center"/>
    </xf>
    <xf numFmtId="0" fontId="4" fillId="2" borderId="191" xfId="1" applyFont="1" applyFill="1" applyBorder="1" applyAlignment="1">
      <alignment horizontal="center" vertical="center"/>
    </xf>
    <xf numFmtId="0" fontId="4" fillId="2" borderId="170" xfId="1" applyFont="1" applyFill="1" applyBorder="1" applyAlignment="1">
      <alignment horizontal="center" vertical="center"/>
    </xf>
    <xf numFmtId="0" fontId="4" fillId="5" borderId="154" xfId="1" applyFont="1" applyFill="1" applyBorder="1" applyAlignment="1">
      <alignment horizontal="center" vertical="center"/>
    </xf>
    <xf numFmtId="0" fontId="4" fillId="5" borderId="75" xfId="1" applyFont="1" applyFill="1" applyBorder="1" applyAlignment="1">
      <alignment horizontal="center" vertical="center"/>
    </xf>
    <xf numFmtId="0" fontId="4" fillId="5" borderId="123" xfId="1" applyFont="1" applyFill="1" applyBorder="1" applyAlignment="1">
      <alignment horizontal="center" vertical="center"/>
    </xf>
    <xf numFmtId="0" fontId="6" fillId="4" borderId="126" xfId="2" applyFont="1" applyFill="1" applyBorder="1" applyAlignment="1">
      <alignment horizontal="center"/>
    </xf>
    <xf numFmtId="0" fontId="6" fillId="4" borderId="127" xfId="2" applyFont="1" applyFill="1" applyBorder="1" applyAlignment="1">
      <alignment horizontal="center"/>
    </xf>
    <xf numFmtId="0" fontId="6" fillId="20" borderId="35" xfId="2" applyFont="1" applyFill="1" applyBorder="1" applyAlignment="1">
      <alignment horizontal="center"/>
    </xf>
    <xf numFmtId="0" fontId="6" fillId="20" borderId="26" xfId="2" applyFont="1" applyFill="1" applyBorder="1" applyAlignment="1">
      <alignment horizontal="center"/>
    </xf>
    <xf numFmtId="0" fontId="6" fillId="20" borderId="36" xfId="2" applyFont="1" applyFill="1" applyBorder="1" applyAlignment="1">
      <alignment horizontal="center"/>
    </xf>
    <xf numFmtId="0" fontId="4" fillId="0" borderId="0" xfId="1" applyFont="1" applyAlignment="1">
      <alignment horizontal="center" wrapText="1"/>
    </xf>
    <xf numFmtId="0" fontId="6" fillId="4" borderId="45" xfId="2" applyFont="1" applyFill="1" applyBorder="1" applyAlignment="1">
      <alignment horizontal="center" vertical="center"/>
    </xf>
    <xf numFmtId="0" fontId="6" fillId="4" borderId="46" xfId="2" applyFont="1" applyFill="1" applyBorder="1" applyAlignment="1">
      <alignment horizontal="center" vertical="center"/>
    </xf>
    <xf numFmtId="0" fontId="6" fillId="4" borderId="45" xfId="2" applyFont="1" applyFill="1" applyBorder="1" applyAlignment="1">
      <alignment horizontal="center" vertical="center" wrapText="1"/>
    </xf>
    <xf numFmtId="0" fontId="6" fillId="4" borderId="46" xfId="2" applyFont="1" applyFill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71" xfId="2" applyFont="1" applyBorder="1" applyAlignment="1">
      <alignment horizontal="center" vertical="center"/>
    </xf>
    <xf numFmtId="0" fontId="5" fillId="0" borderId="54" xfId="2" applyFont="1" applyFill="1" applyBorder="1" applyAlignment="1">
      <alignment horizontal="center" vertical="center"/>
    </xf>
    <xf numFmtId="0" fontId="5" fillId="0" borderId="39" xfId="2" applyFont="1" applyFill="1" applyBorder="1" applyAlignment="1">
      <alignment horizontal="center" vertical="center"/>
    </xf>
    <xf numFmtId="0" fontId="6" fillId="0" borderId="52" xfId="2" applyFont="1" applyFill="1" applyBorder="1" applyAlignment="1">
      <alignment horizontal="center" vertical="center"/>
    </xf>
    <xf numFmtId="0" fontId="6" fillId="0" borderId="53" xfId="2" applyFont="1" applyFill="1" applyBorder="1" applyAlignment="1">
      <alignment horizontal="center" vertical="center"/>
    </xf>
    <xf numFmtId="0" fontId="6" fillId="0" borderId="32" xfId="2" applyFont="1" applyBorder="1" applyAlignment="1">
      <alignment horizontal="center" vertical="center"/>
    </xf>
    <xf numFmtId="0" fontId="6" fillId="0" borderId="33" xfId="2" applyFont="1" applyBorder="1" applyAlignment="1">
      <alignment horizontal="center" vertical="center"/>
    </xf>
    <xf numFmtId="0" fontId="6" fillId="0" borderId="34" xfId="2" applyFont="1" applyBorder="1" applyAlignment="1">
      <alignment horizontal="center" vertical="center"/>
    </xf>
    <xf numFmtId="0" fontId="6" fillId="4" borderId="128" xfId="2" applyFont="1" applyFill="1" applyBorder="1" applyAlignment="1">
      <alignment horizontal="center" vertical="center"/>
    </xf>
    <xf numFmtId="0" fontId="6" fillId="4" borderId="103" xfId="2" applyFont="1" applyFill="1" applyBorder="1" applyAlignment="1">
      <alignment horizontal="center" vertical="center"/>
    </xf>
    <xf numFmtId="0" fontId="6" fillId="2" borderId="45" xfId="2" applyFont="1" applyFill="1" applyBorder="1" applyAlignment="1">
      <alignment horizontal="center" vertical="top" wrapText="1"/>
    </xf>
    <xf numFmtId="0" fontId="6" fillId="2" borderId="46" xfId="2" applyFont="1" applyFill="1" applyBorder="1" applyAlignment="1">
      <alignment horizontal="center" vertical="top" wrapText="1"/>
    </xf>
    <xf numFmtId="0" fontId="6" fillId="4" borderId="126" xfId="2" applyFont="1" applyFill="1" applyBorder="1" applyAlignment="1">
      <alignment horizontal="center" vertical="center"/>
    </xf>
    <xf numFmtId="0" fontId="6" fillId="4" borderId="127" xfId="2" applyFont="1" applyFill="1" applyBorder="1" applyAlignment="1">
      <alignment horizontal="center" vertical="center"/>
    </xf>
    <xf numFmtId="0" fontId="6" fillId="4" borderId="128" xfId="2" applyFont="1" applyFill="1" applyBorder="1" applyAlignment="1">
      <alignment horizontal="center"/>
    </xf>
    <xf numFmtId="0" fontId="6" fillId="4" borderId="103" xfId="2" applyFont="1" applyFill="1" applyBorder="1" applyAlignment="1">
      <alignment horizontal="center"/>
    </xf>
    <xf numFmtId="0" fontId="4" fillId="0" borderId="0" xfId="1" applyFont="1" applyAlignment="1">
      <alignment horizontal="center"/>
    </xf>
    <xf numFmtId="0" fontId="4" fillId="0" borderId="0" xfId="1" applyFont="1" applyBorder="1" applyAlignment="1">
      <alignment horizontal="center"/>
    </xf>
    <xf numFmtId="0" fontId="29" fillId="0" borderId="35" xfId="2" applyFont="1" applyBorder="1" applyAlignment="1">
      <alignment horizontal="left" vertical="center" wrapText="1"/>
    </xf>
    <xf numFmtId="0" fontId="29" fillId="0" borderId="26" xfId="2" applyFont="1" applyBorder="1" applyAlignment="1">
      <alignment horizontal="left" vertical="center" wrapText="1"/>
    </xf>
    <xf numFmtId="0" fontId="29" fillId="0" borderId="36" xfId="2" applyFont="1" applyBorder="1" applyAlignment="1">
      <alignment horizontal="left" vertical="center" wrapText="1"/>
    </xf>
    <xf numFmtId="0" fontId="5" fillId="0" borderId="38" xfId="2" applyFont="1" applyBorder="1" applyAlignment="1">
      <alignment horizontal="center" vertical="center"/>
    </xf>
    <xf numFmtId="0" fontId="5" fillId="0" borderId="39" xfId="2" applyFont="1" applyBorder="1" applyAlignment="1">
      <alignment horizontal="center" vertical="center"/>
    </xf>
    <xf numFmtId="0" fontId="5" fillId="0" borderId="40" xfId="2" applyFont="1" applyBorder="1" applyAlignment="1">
      <alignment horizontal="center" vertical="center"/>
    </xf>
    <xf numFmtId="0" fontId="6" fillId="4" borderId="67" xfId="2" applyFont="1" applyFill="1" applyBorder="1" applyAlignment="1">
      <alignment horizontal="center"/>
    </xf>
    <xf numFmtId="0" fontId="6" fillId="4" borderId="55" xfId="2" applyFont="1" applyFill="1" applyBorder="1" applyAlignment="1">
      <alignment horizontal="center"/>
    </xf>
    <xf numFmtId="0" fontId="5" fillId="0" borderId="85" xfId="2" applyFont="1" applyFill="1" applyBorder="1" applyAlignment="1">
      <alignment horizontal="center" vertical="center"/>
    </xf>
    <xf numFmtId="0" fontId="5" fillId="0" borderId="64" xfId="2" applyFont="1" applyFill="1" applyBorder="1" applyAlignment="1">
      <alignment horizontal="center" vertical="center"/>
    </xf>
    <xf numFmtId="0" fontId="5" fillId="0" borderId="80" xfId="2" applyFont="1" applyBorder="1" applyAlignment="1">
      <alignment horizontal="center" vertical="center"/>
    </xf>
    <xf numFmtId="0" fontId="5" fillId="0" borderId="86" xfId="2" applyFont="1" applyBorder="1" applyAlignment="1">
      <alignment horizontal="center" vertical="center"/>
    </xf>
    <xf numFmtId="0" fontId="6" fillId="5" borderId="45" xfId="2" applyFont="1" applyFill="1" applyBorder="1" applyAlignment="1">
      <alignment horizontal="center" vertical="top" wrapText="1"/>
    </xf>
    <xf numFmtId="0" fontId="6" fillId="5" borderId="46" xfId="2" applyFont="1" applyFill="1" applyBorder="1" applyAlignment="1">
      <alignment horizontal="center" vertical="top" wrapText="1"/>
    </xf>
    <xf numFmtId="0" fontId="6" fillId="0" borderId="45" xfId="2" applyFont="1" applyFill="1" applyBorder="1" applyAlignment="1">
      <alignment horizontal="center" vertical="top" wrapText="1"/>
    </xf>
    <xf numFmtId="0" fontId="6" fillId="0" borderId="46" xfId="2" applyFont="1" applyFill="1" applyBorder="1" applyAlignment="1">
      <alignment horizontal="center" vertical="top" wrapText="1"/>
    </xf>
    <xf numFmtId="0" fontId="6" fillId="0" borderId="62" xfId="2" applyFont="1" applyFill="1" applyBorder="1" applyAlignment="1">
      <alignment horizontal="center" vertical="center"/>
    </xf>
    <xf numFmtId="0" fontId="6" fillId="0" borderId="63" xfId="2" applyFont="1" applyFill="1" applyBorder="1" applyAlignment="1">
      <alignment horizontal="center" vertical="center"/>
    </xf>
    <xf numFmtId="0" fontId="6" fillId="2" borderId="65" xfId="2" applyFont="1" applyFill="1" applyBorder="1" applyAlignment="1">
      <alignment horizontal="center" vertical="center" wrapText="1"/>
    </xf>
    <xf numFmtId="0" fontId="6" fillId="2" borderId="29" xfId="2" applyFont="1" applyFill="1" applyBorder="1" applyAlignment="1">
      <alignment horizontal="center" vertical="center" wrapText="1"/>
    </xf>
    <xf numFmtId="0" fontId="6" fillId="2" borderId="66" xfId="2" applyFont="1" applyFill="1" applyBorder="1" applyAlignment="1">
      <alignment horizontal="center" vertical="center" wrapText="1"/>
    </xf>
    <xf numFmtId="0" fontId="6" fillId="4" borderId="126" xfId="2" applyFont="1" applyFill="1" applyBorder="1" applyAlignment="1">
      <alignment horizontal="center" vertical="center" wrapText="1"/>
    </xf>
    <xf numFmtId="0" fontId="6" fillId="4" borderId="127" xfId="2" applyFont="1" applyFill="1" applyBorder="1" applyAlignment="1">
      <alignment horizontal="center" vertical="center" wrapText="1"/>
    </xf>
    <xf numFmtId="0" fontId="6" fillId="0" borderId="67" xfId="2" applyFont="1" applyFill="1" applyBorder="1" applyAlignment="1">
      <alignment horizontal="center"/>
    </xf>
    <xf numFmtId="0" fontId="6" fillId="0" borderId="55" xfId="2" applyFont="1" applyFill="1" applyBorder="1" applyAlignment="1">
      <alignment horizontal="center"/>
    </xf>
    <xf numFmtId="0" fontId="4" fillId="5" borderId="133" xfId="1" applyFont="1" applyFill="1" applyBorder="1" applyAlignment="1">
      <alignment horizontal="center" vertical="center" wrapText="1"/>
    </xf>
    <xf numFmtId="0" fontId="4" fillId="0" borderId="160" xfId="0" applyFont="1" applyBorder="1" applyAlignment="1">
      <alignment horizontal="center"/>
    </xf>
    <xf numFmtId="0" fontId="4" fillId="5" borderId="10" xfId="1" applyFont="1" applyFill="1" applyBorder="1" applyAlignment="1">
      <alignment horizontal="center" vertical="center" wrapText="1"/>
    </xf>
    <xf numFmtId="0" fontId="4" fillId="2" borderId="81" xfId="1" applyFont="1" applyFill="1" applyBorder="1" applyAlignment="1">
      <alignment horizontal="center" vertical="center"/>
    </xf>
    <xf numFmtId="0" fontId="0" fillId="9" borderId="99" xfId="0" applyFill="1" applyBorder="1" applyAlignment="1">
      <alignment horizontal="center"/>
    </xf>
    <xf numFmtId="0" fontId="0" fillId="9" borderId="55" xfId="0" applyFill="1" applyBorder="1" applyAlignment="1">
      <alignment horizontal="center"/>
    </xf>
    <xf numFmtId="0" fontId="0" fillId="9" borderId="129" xfId="0" applyFill="1" applyBorder="1" applyAlignment="1">
      <alignment horizontal="center"/>
    </xf>
    <xf numFmtId="0" fontId="23" fillId="4" borderId="199" xfId="0" applyFont="1" applyFill="1" applyBorder="1" applyAlignment="1">
      <alignment horizontal="center" vertical="center" wrapText="1"/>
    </xf>
    <xf numFmtId="0" fontId="23" fillId="4" borderId="200" xfId="0" applyFont="1" applyFill="1" applyBorder="1" applyAlignment="1">
      <alignment horizontal="center" vertical="center" wrapText="1"/>
    </xf>
    <xf numFmtId="0" fontId="23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/>
    </xf>
    <xf numFmtId="0" fontId="24" fillId="4" borderId="203" xfId="0" applyFont="1" applyFill="1" applyBorder="1" applyAlignment="1">
      <alignment horizontal="center" vertical="center"/>
    </xf>
    <xf numFmtId="0" fontId="24" fillId="4" borderId="204" xfId="0" applyFont="1" applyFill="1" applyBorder="1" applyAlignment="1">
      <alignment horizontal="center" vertical="center"/>
    </xf>
    <xf numFmtId="0" fontId="24" fillId="4" borderId="202" xfId="0" applyFont="1" applyFill="1" applyBorder="1" applyAlignment="1">
      <alignment horizontal="center" vertical="center"/>
    </xf>
    <xf numFmtId="0" fontId="18" fillId="4" borderId="196" xfId="0" applyFont="1" applyFill="1" applyBorder="1" applyAlignment="1">
      <alignment horizontal="left" vertical="center" wrapText="1"/>
    </xf>
    <xf numFmtId="0" fontId="23" fillId="4" borderId="197" xfId="0" applyFont="1" applyFill="1" applyBorder="1" applyAlignment="1">
      <alignment horizontal="left" vertical="center" wrapText="1"/>
    </xf>
    <xf numFmtId="0" fontId="23" fillId="4" borderId="198" xfId="0" applyFont="1" applyFill="1" applyBorder="1" applyAlignment="1">
      <alignment horizontal="left" vertical="center" wrapText="1"/>
    </xf>
    <xf numFmtId="2" fontId="24" fillId="4" borderId="196" xfId="0" applyNumberFormat="1" applyFont="1" applyFill="1" applyBorder="1" applyAlignment="1">
      <alignment horizontal="center" vertical="center" wrapText="1"/>
    </xf>
    <xf numFmtId="2" fontId="24" fillId="4" borderId="197" xfId="0" applyNumberFormat="1" applyFont="1" applyFill="1" applyBorder="1" applyAlignment="1">
      <alignment horizontal="center" vertical="center" wrapText="1"/>
    </xf>
    <xf numFmtId="2" fontId="24" fillId="4" borderId="198" xfId="0" applyNumberFormat="1" applyFont="1" applyFill="1" applyBorder="1" applyAlignment="1">
      <alignment horizontal="center" vertical="center" wrapText="1"/>
    </xf>
    <xf numFmtId="0" fontId="23" fillId="4" borderId="183" xfId="0" applyFont="1" applyFill="1" applyBorder="1" applyAlignment="1">
      <alignment horizontal="center" vertical="center"/>
    </xf>
    <xf numFmtId="0" fontId="26" fillId="4" borderId="184" xfId="0" applyFont="1" applyFill="1" applyBorder="1"/>
    <xf numFmtId="0" fontId="26" fillId="4" borderId="186" xfId="0" applyFont="1" applyFill="1" applyBorder="1"/>
    <xf numFmtId="0" fontId="18" fillId="4" borderId="172" xfId="0" applyFont="1" applyFill="1" applyBorder="1" applyAlignment="1">
      <alignment horizontal="center" vertical="center"/>
    </xf>
    <xf numFmtId="0" fontId="18" fillId="4" borderId="108" xfId="0" applyFont="1" applyFill="1" applyBorder="1" applyAlignment="1">
      <alignment horizontal="center" vertical="center"/>
    </xf>
    <xf numFmtId="0" fontId="18" fillId="4" borderId="171" xfId="0" applyFont="1" applyFill="1" applyBorder="1" applyAlignment="1">
      <alignment horizontal="center" vertical="center"/>
    </xf>
    <xf numFmtId="0" fontId="20" fillId="2" borderId="171" xfId="0" applyFont="1" applyFill="1" applyBorder="1" applyAlignment="1">
      <alignment horizontal="left" vertical="center" wrapText="1"/>
    </xf>
    <xf numFmtId="0" fontId="20" fillId="2" borderId="110" xfId="0" applyFont="1" applyFill="1" applyBorder="1" applyAlignment="1">
      <alignment horizontal="left" vertical="center" wrapText="1"/>
    </xf>
    <xf numFmtId="0" fontId="20" fillId="2" borderId="173" xfId="0" applyFont="1" applyFill="1" applyBorder="1" applyAlignment="1">
      <alignment horizontal="left" vertical="center" wrapText="1"/>
    </xf>
    <xf numFmtId="0" fontId="20" fillId="18" borderId="172" xfId="0" applyFont="1" applyFill="1" applyBorder="1" applyAlignment="1">
      <alignment horizontal="left" vertical="center" wrapText="1"/>
    </xf>
    <xf numFmtId="0" fontId="20" fillId="18" borderId="108" xfId="0" applyFont="1" applyFill="1" applyBorder="1" applyAlignment="1">
      <alignment horizontal="left" vertical="center" wrapText="1"/>
    </xf>
    <xf numFmtId="0" fontId="20" fillId="18" borderId="180" xfId="0" applyFont="1" applyFill="1" applyBorder="1" applyAlignment="1">
      <alignment horizontal="left" vertical="center" wrapText="1"/>
    </xf>
    <xf numFmtId="0" fontId="18" fillId="4" borderId="174" xfId="0" applyFont="1" applyFill="1" applyBorder="1" applyAlignment="1">
      <alignment horizontal="center" vertical="center"/>
    </xf>
    <xf numFmtId="0" fontId="18" fillId="4" borderId="170" xfId="0" applyFont="1" applyFill="1" applyBorder="1" applyAlignment="1">
      <alignment horizontal="center" vertical="center"/>
    </xf>
    <xf numFmtId="0" fontId="18" fillId="4" borderId="175" xfId="0" applyFont="1" applyFill="1" applyBorder="1" applyAlignment="1">
      <alignment horizontal="center" vertical="center"/>
    </xf>
    <xf numFmtId="0" fontId="21" fillId="0" borderId="165" xfId="0" applyFont="1" applyFill="1" applyBorder="1" applyAlignment="1">
      <alignment horizontal="center" vertical="center" wrapText="1"/>
    </xf>
    <xf numFmtId="0" fontId="25" fillId="19" borderId="183" xfId="0" applyFont="1" applyFill="1" applyBorder="1" applyAlignment="1">
      <alignment horizontal="left" vertical="center" wrapText="1"/>
    </xf>
    <xf numFmtId="0" fontId="26" fillId="0" borderId="184" xfId="0" applyFont="1" applyBorder="1"/>
    <xf numFmtId="0" fontId="26" fillId="0" borderId="185" xfId="0" applyFont="1" applyBorder="1"/>
    <xf numFmtId="0" fontId="8" fillId="0" borderId="166" xfId="0" applyFont="1" applyBorder="1" applyAlignment="1">
      <alignment horizontal="center"/>
    </xf>
    <xf numFmtId="0" fontId="8" fillId="0" borderId="51" xfId="0" applyFont="1" applyBorder="1" applyAlignment="1">
      <alignment horizontal="center"/>
    </xf>
    <xf numFmtId="0" fontId="8" fillId="0" borderId="167" xfId="0" applyFont="1" applyBorder="1" applyAlignment="1">
      <alignment horizontal="center"/>
    </xf>
    <xf numFmtId="0" fontId="8" fillId="0" borderId="16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69" xfId="0" applyFont="1" applyBorder="1" applyAlignment="1">
      <alignment horizontal="center"/>
    </xf>
    <xf numFmtId="0" fontId="8" fillId="0" borderId="168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8" fillId="0" borderId="169" xfId="0" applyFont="1" applyBorder="1" applyAlignment="1">
      <alignment horizontal="center" wrapText="1"/>
    </xf>
    <xf numFmtId="0" fontId="20" fillId="2" borderId="172" xfId="0" applyFont="1" applyFill="1" applyBorder="1" applyAlignment="1">
      <alignment horizontal="left" vertical="center" wrapText="1"/>
    </xf>
    <xf numFmtId="0" fontId="20" fillId="2" borderId="108" xfId="0" applyFont="1" applyFill="1" applyBorder="1" applyAlignment="1">
      <alignment horizontal="left" vertical="center" wrapText="1"/>
    </xf>
    <xf numFmtId="0" fontId="20" fillId="2" borderId="180" xfId="0" applyFont="1" applyFill="1" applyBorder="1" applyAlignment="1">
      <alignment horizontal="left" vertical="center" wrapText="1"/>
    </xf>
    <xf numFmtId="0" fontId="18" fillId="7" borderId="0" xfId="0" applyFont="1" applyFill="1" applyBorder="1" applyAlignment="1">
      <alignment horizontal="center"/>
    </xf>
    <xf numFmtId="0" fontId="9" fillId="7" borderId="0" xfId="0" applyFont="1" applyFill="1" applyBorder="1" applyAlignment="1">
      <alignment horizontal="left"/>
    </xf>
    <xf numFmtId="0" fontId="18" fillId="7" borderId="0" xfId="0" applyFont="1" applyFill="1" applyBorder="1" applyAlignment="1">
      <alignment horizontal="left"/>
    </xf>
    <xf numFmtId="2" fontId="19" fillId="17" borderId="25" xfId="0" applyNumberFormat="1" applyFont="1" applyFill="1" applyBorder="1" applyAlignment="1">
      <alignment horizontal="center" vertical="center"/>
    </xf>
    <xf numFmtId="2" fontId="19" fillId="17" borderId="26" xfId="0" applyNumberFormat="1" applyFont="1" applyFill="1" applyBorder="1" applyAlignment="1">
      <alignment horizontal="center" vertical="center"/>
    </xf>
    <xf numFmtId="2" fontId="19" fillId="17" borderId="28" xfId="0" applyNumberFormat="1" applyFont="1" applyFill="1" applyBorder="1" applyAlignment="1">
      <alignment horizontal="center" vertical="center"/>
    </xf>
  </cellXfs>
  <cellStyles count="5">
    <cellStyle name="Normal" xfId="0" builtinId="0"/>
    <cellStyle name="Normal 2" xfId="4" xr:uid="{BE3A24DA-8DB8-44F6-BF8E-1D02589739AA}"/>
    <cellStyle name="Normal 2 2" xfId="1" xr:uid="{00000000-0005-0000-0000-000001000000}"/>
    <cellStyle name="Normal 3 2" xfId="2" xr:uid="{00000000-0005-0000-0000-000002000000}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</xdr:colOff>
      <xdr:row>0</xdr:row>
      <xdr:rowOff>152400</xdr:rowOff>
    </xdr:from>
    <xdr:to>
      <xdr:col>17</xdr:col>
      <xdr:colOff>1181101</xdr:colOff>
      <xdr:row>4</xdr:row>
      <xdr:rowOff>85725</xdr:rowOff>
    </xdr:to>
    <xdr:pic>
      <xdr:nvPicPr>
        <xdr:cNvPr id="2" name="Imagem 1" descr="ScreenShot002">
          <a:extLst>
            <a:ext uri="{FF2B5EF4-FFF2-40B4-BE49-F238E27FC236}">
              <a16:creationId xmlns:a16="http://schemas.microsoft.com/office/drawing/2014/main" id="{33F29EB8-8EED-4057-848F-5B6A9B2FD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06650" y="152400"/>
          <a:ext cx="1162051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114300</xdr:rowOff>
    </xdr:from>
    <xdr:to>
      <xdr:col>1</xdr:col>
      <xdr:colOff>66675</xdr:colOff>
      <xdr:row>4</xdr:row>
      <xdr:rowOff>47625</xdr:rowOff>
    </xdr:to>
    <xdr:pic>
      <xdr:nvPicPr>
        <xdr:cNvPr id="3" name="Imagem 1">
          <a:extLst>
            <a:ext uri="{FF2B5EF4-FFF2-40B4-BE49-F238E27FC236}">
              <a16:creationId xmlns:a16="http://schemas.microsoft.com/office/drawing/2014/main" id="{EC98792C-E2FF-4296-ABC1-978866050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288</xdr:row>
      <xdr:rowOff>169333</xdr:rowOff>
    </xdr:from>
    <xdr:to>
      <xdr:col>7</xdr:col>
      <xdr:colOff>10584</xdr:colOff>
      <xdr:row>309</xdr:row>
      <xdr:rowOff>169334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9A9D35E-9BF1-400B-9659-5192C7EA1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916" r="62450" b="2118"/>
        <a:stretch/>
      </xdr:blipFill>
      <xdr:spPr>
        <a:xfrm>
          <a:off x="2476500" y="7255933"/>
          <a:ext cx="2067984" cy="4238626"/>
        </a:xfrm>
        <a:prstGeom prst="rect">
          <a:avLst/>
        </a:prstGeom>
      </xdr:spPr>
    </xdr:pic>
    <xdr:clientData/>
  </xdr:twoCellAnchor>
  <xdr:twoCellAnchor editAs="oneCell">
    <xdr:from>
      <xdr:col>7</xdr:col>
      <xdr:colOff>222249</xdr:colOff>
      <xdr:row>288</xdr:row>
      <xdr:rowOff>71118</xdr:rowOff>
    </xdr:from>
    <xdr:to>
      <xdr:col>11</xdr:col>
      <xdr:colOff>408630</xdr:colOff>
      <xdr:row>298</xdr:row>
      <xdr:rowOff>162225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8C92389-D576-474B-9DAA-E3EAADFA3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6149" y="7157718"/>
          <a:ext cx="2709447" cy="2186607"/>
        </a:xfrm>
        <a:prstGeom prst="rect">
          <a:avLst/>
        </a:prstGeom>
      </xdr:spPr>
    </xdr:pic>
    <xdr:clientData/>
  </xdr:twoCellAnchor>
  <xdr:twoCellAnchor editAs="oneCell">
    <xdr:from>
      <xdr:col>12</xdr:col>
      <xdr:colOff>936130</xdr:colOff>
      <xdr:row>288</xdr:row>
      <xdr:rowOff>84666</xdr:rowOff>
    </xdr:from>
    <xdr:to>
      <xdr:col>14</xdr:col>
      <xdr:colOff>1526322</xdr:colOff>
      <xdr:row>303</xdr:row>
      <xdr:rowOff>217355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855396DA-9AF5-4708-875A-55DB47551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737105" y="7171266"/>
          <a:ext cx="2742842" cy="3180689"/>
        </a:xfrm>
        <a:prstGeom prst="rect">
          <a:avLst/>
        </a:prstGeom>
      </xdr:spPr>
    </xdr:pic>
    <xdr:clientData/>
  </xdr:twoCellAnchor>
  <xdr:twoCellAnchor editAs="oneCell">
    <xdr:from>
      <xdr:col>14</xdr:col>
      <xdr:colOff>1534955</xdr:colOff>
      <xdr:row>288</xdr:row>
      <xdr:rowOff>84667</xdr:rowOff>
    </xdr:from>
    <xdr:to>
      <xdr:col>15</xdr:col>
      <xdr:colOff>2037748</xdr:colOff>
      <xdr:row>299</xdr:row>
      <xdr:rowOff>101059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72BEAC08-7ECB-4723-A9C0-9E3EBEE51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488580" y="7171267"/>
          <a:ext cx="2550668" cy="2302392"/>
        </a:xfrm>
        <a:prstGeom prst="rect">
          <a:avLst/>
        </a:prstGeom>
      </xdr:spPr>
    </xdr:pic>
    <xdr:clientData/>
  </xdr:twoCellAnchor>
  <xdr:twoCellAnchor editAs="oneCell">
    <xdr:from>
      <xdr:col>16</xdr:col>
      <xdr:colOff>6202</xdr:colOff>
      <xdr:row>288</xdr:row>
      <xdr:rowOff>52917</xdr:rowOff>
    </xdr:from>
    <xdr:to>
      <xdr:col>17</xdr:col>
      <xdr:colOff>1384690</xdr:colOff>
      <xdr:row>301</xdr:row>
      <xdr:rowOff>163273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16D505BC-3E15-4CC5-B3F8-45967D4E2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55577" y="7139517"/>
          <a:ext cx="2416713" cy="277735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288</xdr:row>
      <xdr:rowOff>127001</xdr:rowOff>
    </xdr:from>
    <xdr:to>
      <xdr:col>3</xdr:col>
      <xdr:colOff>243417</xdr:colOff>
      <xdr:row>305</xdr:row>
      <xdr:rowOff>105835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2E5DD002-CF35-4011-BA19-BA3F034896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62450" b="58328"/>
        <a:stretch/>
      </xdr:blipFill>
      <xdr:spPr>
        <a:xfrm>
          <a:off x="254000" y="7213601"/>
          <a:ext cx="2084917" cy="34554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10</xdr:row>
      <xdr:rowOff>0</xdr:rowOff>
    </xdr:from>
    <xdr:to>
      <xdr:col>4</xdr:col>
      <xdr:colOff>19050</xdr:colOff>
      <xdr:row>10</xdr:row>
      <xdr:rowOff>19050</xdr:rowOff>
    </xdr:to>
    <xdr:sp macro="" textlink="">
      <xdr:nvSpPr>
        <xdr:cNvPr id="2" name="Picture 1">
          <a:extLst>
            <a:ext uri="{FF2B5EF4-FFF2-40B4-BE49-F238E27FC236}">
              <a16:creationId xmlns:a16="http://schemas.microsoft.com/office/drawing/2014/main" id="{163F2406-9E1C-4019-BE02-FAF148D4A832}"/>
            </a:ext>
          </a:extLst>
        </xdr:cNvPr>
        <xdr:cNvSpPr>
          <a:spLocks noChangeAspect="1" noChangeArrowheads="1"/>
        </xdr:cNvSpPr>
      </xdr:nvSpPr>
      <xdr:spPr bwMode="auto">
        <a:xfrm>
          <a:off x="11155680" y="18288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0</xdr:colOff>
      <xdr:row>10</xdr:row>
      <xdr:rowOff>19050</xdr:rowOff>
    </xdr:to>
    <xdr:sp macro="" textlink="">
      <xdr:nvSpPr>
        <xdr:cNvPr id="3" name="Picture 2">
          <a:extLst>
            <a:ext uri="{FF2B5EF4-FFF2-40B4-BE49-F238E27FC236}">
              <a16:creationId xmlns:a16="http://schemas.microsoft.com/office/drawing/2014/main" id="{03D52BCA-73F4-4310-8609-E01833C49575}"/>
            </a:ext>
          </a:extLst>
        </xdr:cNvPr>
        <xdr:cNvSpPr>
          <a:spLocks noChangeAspect="1" noChangeArrowheads="1"/>
        </xdr:cNvSpPr>
      </xdr:nvSpPr>
      <xdr:spPr bwMode="auto">
        <a:xfrm>
          <a:off x="12405360" y="182880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987398</xdr:colOff>
      <xdr:row>0</xdr:row>
      <xdr:rowOff>52713</xdr:rowOff>
    </xdr:from>
    <xdr:to>
      <xdr:col>8</xdr:col>
      <xdr:colOff>399575</xdr:colOff>
      <xdr:row>4</xdr:row>
      <xdr:rowOff>161523</xdr:rowOff>
    </xdr:to>
    <xdr:pic>
      <xdr:nvPicPr>
        <xdr:cNvPr id="4" name="Imagem 28">
          <a:extLst>
            <a:ext uri="{FF2B5EF4-FFF2-40B4-BE49-F238E27FC236}">
              <a16:creationId xmlns:a16="http://schemas.microsoft.com/office/drawing/2014/main" id="{171B5BA3-CF76-4E81-B2D0-CE79880CD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90978" y="52713"/>
          <a:ext cx="638997" cy="8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434789</xdr:colOff>
      <xdr:row>0</xdr:row>
      <xdr:rowOff>149039</xdr:rowOff>
    </xdr:from>
    <xdr:to>
      <xdr:col>2</xdr:col>
      <xdr:colOff>667199</xdr:colOff>
      <xdr:row>5</xdr:row>
      <xdr:rowOff>98083</xdr:rowOff>
    </xdr:to>
    <xdr:pic>
      <xdr:nvPicPr>
        <xdr:cNvPr id="5" name="Imagem 1">
          <a:extLst>
            <a:ext uri="{FF2B5EF4-FFF2-40B4-BE49-F238E27FC236}">
              <a16:creationId xmlns:a16="http://schemas.microsoft.com/office/drawing/2014/main" id="{1713FA26-CF23-4284-BC95-CD9D060B5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629" y="149039"/>
          <a:ext cx="990600" cy="821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0</xdr:colOff>
      <xdr:row>9</xdr:row>
      <xdr:rowOff>0</xdr:rowOff>
    </xdr:from>
    <xdr:ext cx="9525" cy="9525"/>
    <xdr:sp macro="" textlink="">
      <xdr:nvSpPr>
        <xdr:cNvPr id="6" name="Picture 1">
          <a:extLst>
            <a:ext uri="{FF2B5EF4-FFF2-40B4-BE49-F238E27FC236}">
              <a16:creationId xmlns:a16="http://schemas.microsoft.com/office/drawing/2014/main" id="{7A02779F-8B9E-4B8C-8FBA-D5DC850833A6}"/>
            </a:ext>
          </a:extLst>
        </xdr:cNvPr>
        <xdr:cNvSpPr>
          <a:spLocks noChangeAspect="1" noChangeArrowheads="1"/>
        </xdr:cNvSpPr>
      </xdr:nvSpPr>
      <xdr:spPr bwMode="auto">
        <a:xfrm>
          <a:off x="11155680" y="16535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0" cy="9525"/>
    <xdr:sp macro="" textlink="">
      <xdr:nvSpPr>
        <xdr:cNvPr id="7" name="Picture 2">
          <a:extLst>
            <a:ext uri="{FF2B5EF4-FFF2-40B4-BE49-F238E27FC236}">
              <a16:creationId xmlns:a16="http://schemas.microsoft.com/office/drawing/2014/main" id="{B0B98F0D-49D1-4353-9062-9B2396F7A4F1}"/>
            </a:ext>
          </a:extLst>
        </xdr:cNvPr>
        <xdr:cNvSpPr>
          <a:spLocks noChangeAspect="1" noChangeArrowheads="1"/>
        </xdr:cNvSpPr>
      </xdr:nvSpPr>
      <xdr:spPr bwMode="auto">
        <a:xfrm>
          <a:off x="12405360" y="1653540"/>
          <a:ext cx="0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9525" cy="9525"/>
    <xdr:sp macro="" textlink="">
      <xdr:nvSpPr>
        <xdr:cNvPr id="8" name="Picture 1">
          <a:extLst>
            <a:ext uri="{FF2B5EF4-FFF2-40B4-BE49-F238E27FC236}">
              <a16:creationId xmlns:a16="http://schemas.microsoft.com/office/drawing/2014/main" id="{AF44EEFE-336A-4C38-9057-B9AEED37F09C}"/>
            </a:ext>
          </a:extLst>
        </xdr:cNvPr>
        <xdr:cNvSpPr>
          <a:spLocks noChangeAspect="1" noChangeArrowheads="1"/>
        </xdr:cNvSpPr>
      </xdr:nvSpPr>
      <xdr:spPr bwMode="auto">
        <a:xfrm>
          <a:off x="12405360" y="16535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15</xdr:row>
      <xdr:rowOff>0</xdr:rowOff>
    </xdr:from>
    <xdr:to>
      <xdr:col>2</xdr:col>
      <xdr:colOff>19050</xdr:colOff>
      <xdr:row>15</xdr:row>
      <xdr:rowOff>19050</xdr:rowOff>
    </xdr:to>
    <xdr:sp macro="" textlink="">
      <xdr:nvSpPr>
        <xdr:cNvPr id="9" name="Picture 12">
          <a:extLst>
            <a:ext uri="{FF2B5EF4-FFF2-40B4-BE49-F238E27FC236}">
              <a16:creationId xmlns:a16="http://schemas.microsoft.com/office/drawing/2014/main" id="{15E17585-A4B4-431E-83D8-2808FB1E72E5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19050</xdr:colOff>
      <xdr:row>15</xdr:row>
      <xdr:rowOff>19050</xdr:rowOff>
    </xdr:to>
    <xdr:sp macro="" textlink="">
      <xdr:nvSpPr>
        <xdr:cNvPr id="10" name="Picture 15">
          <a:extLst>
            <a:ext uri="{FF2B5EF4-FFF2-40B4-BE49-F238E27FC236}">
              <a16:creationId xmlns:a16="http://schemas.microsoft.com/office/drawing/2014/main" id="{5D1941F6-BE21-4B2B-8DCA-9453A65C3CE6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19050</xdr:colOff>
      <xdr:row>15</xdr:row>
      <xdr:rowOff>19050</xdr:rowOff>
    </xdr:to>
    <xdr:sp macro="" textlink="">
      <xdr:nvSpPr>
        <xdr:cNvPr id="11" name="Picture 21">
          <a:extLst>
            <a:ext uri="{FF2B5EF4-FFF2-40B4-BE49-F238E27FC236}">
              <a16:creationId xmlns:a16="http://schemas.microsoft.com/office/drawing/2014/main" id="{64A559E8-07FE-4C68-A11A-BB0D1694E3B1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19050</xdr:colOff>
      <xdr:row>15</xdr:row>
      <xdr:rowOff>19050</xdr:rowOff>
    </xdr:to>
    <xdr:sp macro="" textlink="">
      <xdr:nvSpPr>
        <xdr:cNvPr id="12" name="Picture 24">
          <a:extLst>
            <a:ext uri="{FF2B5EF4-FFF2-40B4-BE49-F238E27FC236}">
              <a16:creationId xmlns:a16="http://schemas.microsoft.com/office/drawing/2014/main" id="{59A0A3C8-2D98-4243-AB3F-02B54F4DF2BC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19050</xdr:colOff>
      <xdr:row>15</xdr:row>
      <xdr:rowOff>19050</xdr:rowOff>
    </xdr:to>
    <xdr:sp macro="" textlink="">
      <xdr:nvSpPr>
        <xdr:cNvPr id="13" name="Picture 27">
          <a:extLst>
            <a:ext uri="{FF2B5EF4-FFF2-40B4-BE49-F238E27FC236}">
              <a16:creationId xmlns:a16="http://schemas.microsoft.com/office/drawing/2014/main" id="{09BDDF28-5438-45F4-9592-60AE7FC6B905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0</xdr:colOff>
      <xdr:row>15</xdr:row>
      <xdr:rowOff>19050</xdr:rowOff>
    </xdr:to>
    <xdr:sp macro="" textlink="">
      <xdr:nvSpPr>
        <xdr:cNvPr id="14" name="Picture 28">
          <a:extLst>
            <a:ext uri="{FF2B5EF4-FFF2-40B4-BE49-F238E27FC236}">
              <a16:creationId xmlns:a16="http://schemas.microsoft.com/office/drawing/2014/main" id="{8424F1E5-501D-4CFA-9857-7560F8FF4A7A}"/>
            </a:ext>
          </a:extLst>
        </xdr:cNvPr>
        <xdr:cNvSpPr>
          <a:spLocks noChangeAspect="1" noChangeArrowheads="1"/>
        </xdr:cNvSpPr>
      </xdr:nvSpPr>
      <xdr:spPr bwMode="auto">
        <a:xfrm>
          <a:off x="11155680" y="351282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15</xdr:row>
      <xdr:rowOff>0</xdr:rowOff>
    </xdr:from>
    <xdr:to>
      <xdr:col>2</xdr:col>
      <xdr:colOff>19050</xdr:colOff>
      <xdr:row>15</xdr:row>
      <xdr:rowOff>19050</xdr:rowOff>
    </xdr:to>
    <xdr:sp macro="" textlink="">
      <xdr:nvSpPr>
        <xdr:cNvPr id="15" name="Picture 29">
          <a:extLst>
            <a:ext uri="{FF2B5EF4-FFF2-40B4-BE49-F238E27FC236}">
              <a16:creationId xmlns:a16="http://schemas.microsoft.com/office/drawing/2014/main" id="{15C1CFEF-D76C-4D3A-AC70-D1DBD531BCD8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1282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15</xdr:row>
      <xdr:rowOff>0</xdr:rowOff>
    </xdr:from>
    <xdr:to>
      <xdr:col>4</xdr:col>
      <xdr:colOff>0</xdr:colOff>
      <xdr:row>15</xdr:row>
      <xdr:rowOff>19050</xdr:rowOff>
    </xdr:to>
    <xdr:sp macro="" textlink="">
      <xdr:nvSpPr>
        <xdr:cNvPr id="16" name="Picture 30">
          <a:extLst>
            <a:ext uri="{FF2B5EF4-FFF2-40B4-BE49-F238E27FC236}">
              <a16:creationId xmlns:a16="http://schemas.microsoft.com/office/drawing/2014/main" id="{CD4F328F-D4D8-4FE8-815E-B4577B66B75D}"/>
            </a:ext>
          </a:extLst>
        </xdr:cNvPr>
        <xdr:cNvSpPr>
          <a:spLocks noChangeAspect="1" noChangeArrowheads="1"/>
        </xdr:cNvSpPr>
      </xdr:nvSpPr>
      <xdr:spPr bwMode="auto">
        <a:xfrm>
          <a:off x="11155680" y="3512820"/>
          <a:ext cx="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19050</xdr:colOff>
      <xdr:row>19</xdr:row>
      <xdr:rowOff>19050</xdr:rowOff>
    </xdr:to>
    <xdr:sp macro="" textlink="">
      <xdr:nvSpPr>
        <xdr:cNvPr id="17" name="Picture 14">
          <a:extLst>
            <a:ext uri="{FF2B5EF4-FFF2-40B4-BE49-F238E27FC236}">
              <a16:creationId xmlns:a16="http://schemas.microsoft.com/office/drawing/2014/main" id="{AE122646-43CB-4756-894E-6CFCFC94F384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4711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19</xdr:row>
      <xdr:rowOff>0</xdr:rowOff>
    </xdr:from>
    <xdr:to>
      <xdr:col>2</xdr:col>
      <xdr:colOff>19050</xdr:colOff>
      <xdr:row>19</xdr:row>
      <xdr:rowOff>19050</xdr:rowOff>
    </xdr:to>
    <xdr:sp macro="" textlink="">
      <xdr:nvSpPr>
        <xdr:cNvPr id="18" name="Picture 92">
          <a:extLst>
            <a:ext uri="{FF2B5EF4-FFF2-40B4-BE49-F238E27FC236}">
              <a16:creationId xmlns:a16="http://schemas.microsoft.com/office/drawing/2014/main" id="{773A7181-2945-4967-82F6-69C39F00558B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47110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0</xdr:colOff>
      <xdr:row>19</xdr:row>
      <xdr:rowOff>0</xdr:rowOff>
    </xdr:from>
    <xdr:ext cx="9525" cy="9525"/>
    <xdr:sp macro="" textlink="">
      <xdr:nvSpPr>
        <xdr:cNvPr id="19" name="Picture 92">
          <a:extLst>
            <a:ext uri="{FF2B5EF4-FFF2-40B4-BE49-F238E27FC236}">
              <a16:creationId xmlns:a16="http://schemas.microsoft.com/office/drawing/2014/main" id="{2EEC2F70-BC6B-456E-AC0F-262DE6D5B335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54711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0</xdr:colOff>
      <xdr:row>15</xdr:row>
      <xdr:rowOff>0</xdr:rowOff>
    </xdr:from>
    <xdr:to>
      <xdr:col>2</xdr:col>
      <xdr:colOff>19050</xdr:colOff>
      <xdr:row>15</xdr:row>
      <xdr:rowOff>19050</xdr:rowOff>
    </xdr:to>
    <xdr:sp macro="" textlink="">
      <xdr:nvSpPr>
        <xdr:cNvPr id="20" name="Picture 8">
          <a:extLst>
            <a:ext uri="{FF2B5EF4-FFF2-40B4-BE49-F238E27FC236}">
              <a16:creationId xmlns:a16="http://schemas.microsoft.com/office/drawing/2014/main" id="{DC974C23-32AC-447A-9CC2-1AFA9161BF78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29940"/>
          <a:ext cx="15240" cy="15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1" name="Picture 92">
          <a:extLst>
            <a:ext uri="{FF2B5EF4-FFF2-40B4-BE49-F238E27FC236}">
              <a16:creationId xmlns:a16="http://schemas.microsoft.com/office/drawing/2014/main" id="{725894BD-D0BA-4912-9302-F2DC99A96090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299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2" name="Picture 14">
          <a:extLst>
            <a:ext uri="{FF2B5EF4-FFF2-40B4-BE49-F238E27FC236}">
              <a16:creationId xmlns:a16="http://schemas.microsoft.com/office/drawing/2014/main" id="{434DE198-2A9C-44B9-BCEB-FF7971A5F852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299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3" name="Picture 8">
          <a:extLst>
            <a:ext uri="{FF2B5EF4-FFF2-40B4-BE49-F238E27FC236}">
              <a16:creationId xmlns:a16="http://schemas.microsoft.com/office/drawing/2014/main" id="{6AAC06D0-947D-4D39-858E-3430B4279C21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1470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4" name="Picture 92">
          <a:extLst>
            <a:ext uri="{FF2B5EF4-FFF2-40B4-BE49-F238E27FC236}">
              <a16:creationId xmlns:a16="http://schemas.microsoft.com/office/drawing/2014/main" id="{F4A2EE63-0ECE-4181-B7E4-513D2C81AF8C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1470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5" name="Picture 14">
          <a:extLst>
            <a:ext uri="{FF2B5EF4-FFF2-40B4-BE49-F238E27FC236}">
              <a16:creationId xmlns:a16="http://schemas.microsoft.com/office/drawing/2014/main" id="{058854CB-E456-49E6-B782-432A5D6B30B4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1470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6" name="Picture 14">
          <a:extLst>
            <a:ext uri="{FF2B5EF4-FFF2-40B4-BE49-F238E27FC236}">
              <a16:creationId xmlns:a16="http://schemas.microsoft.com/office/drawing/2014/main" id="{9F049BB0-DD83-4B1D-82C6-2EED69166540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8691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27" name="Picture 14">
          <a:extLst>
            <a:ext uri="{FF2B5EF4-FFF2-40B4-BE49-F238E27FC236}">
              <a16:creationId xmlns:a16="http://schemas.microsoft.com/office/drawing/2014/main" id="{4DCF15A5-DFDC-4D7B-9147-50D2EB212C8E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8691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9525" cy="9525"/>
    <xdr:sp macro="" textlink="">
      <xdr:nvSpPr>
        <xdr:cNvPr id="28" name="Picture 14">
          <a:extLst>
            <a:ext uri="{FF2B5EF4-FFF2-40B4-BE49-F238E27FC236}">
              <a16:creationId xmlns:a16="http://schemas.microsoft.com/office/drawing/2014/main" id="{D04426C0-CEDA-4E8F-B13E-9AFA62E6B8EF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17347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9525" cy="9525"/>
    <xdr:sp macro="" textlink="">
      <xdr:nvSpPr>
        <xdr:cNvPr id="29" name="Picture 92">
          <a:extLst>
            <a:ext uri="{FF2B5EF4-FFF2-40B4-BE49-F238E27FC236}">
              <a16:creationId xmlns:a16="http://schemas.microsoft.com/office/drawing/2014/main" id="{80870FF0-DCF5-497B-96AE-F031F8749719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17347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51</xdr:row>
      <xdr:rowOff>0</xdr:rowOff>
    </xdr:from>
    <xdr:ext cx="9525" cy="9525"/>
    <xdr:sp macro="" textlink="">
      <xdr:nvSpPr>
        <xdr:cNvPr id="30" name="Picture 92">
          <a:extLst>
            <a:ext uri="{FF2B5EF4-FFF2-40B4-BE49-F238E27FC236}">
              <a16:creationId xmlns:a16="http://schemas.microsoft.com/office/drawing/2014/main" id="{F896770F-BDF4-4E68-8BDC-22C076E742F2}"/>
            </a:ext>
          </a:extLst>
        </xdr:cNvPr>
        <xdr:cNvSpPr>
          <a:spLocks noChangeAspect="1" noChangeArrowheads="1"/>
        </xdr:cNvSpPr>
      </xdr:nvSpPr>
      <xdr:spPr bwMode="auto">
        <a:xfrm>
          <a:off x="1386840" y="417347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31" name="Picture 14">
          <a:extLst>
            <a:ext uri="{FF2B5EF4-FFF2-40B4-BE49-F238E27FC236}">
              <a16:creationId xmlns:a16="http://schemas.microsoft.com/office/drawing/2014/main" id="{43077CF1-70A7-4557-A89E-600328F12AB8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57372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32" name="Picture 92">
          <a:extLst>
            <a:ext uri="{FF2B5EF4-FFF2-40B4-BE49-F238E27FC236}">
              <a16:creationId xmlns:a16="http://schemas.microsoft.com/office/drawing/2014/main" id="{E2C753DB-071A-4A21-86B3-EFFB582C7473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57372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15</xdr:row>
      <xdr:rowOff>0</xdr:rowOff>
    </xdr:from>
    <xdr:ext cx="9525" cy="9525"/>
    <xdr:sp macro="" textlink="">
      <xdr:nvSpPr>
        <xdr:cNvPr id="33" name="Picture 92">
          <a:extLst>
            <a:ext uri="{FF2B5EF4-FFF2-40B4-BE49-F238E27FC236}">
              <a16:creationId xmlns:a16="http://schemas.microsoft.com/office/drawing/2014/main" id="{47EC6F0E-A0E7-41C2-83B6-E03C6173F59E}"/>
            </a:ext>
          </a:extLst>
        </xdr:cNvPr>
        <xdr:cNvSpPr>
          <a:spLocks noChangeAspect="1" noChangeArrowheads="1"/>
        </xdr:cNvSpPr>
      </xdr:nvSpPr>
      <xdr:spPr bwMode="auto">
        <a:xfrm>
          <a:off x="1386840" y="3357372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-9525</xdr:colOff>
      <xdr:row>65</xdr:row>
      <xdr:rowOff>0</xdr:rowOff>
    </xdr:from>
    <xdr:ext cx="38100" cy="9525"/>
    <xdr:sp macro="" textlink="">
      <xdr:nvSpPr>
        <xdr:cNvPr id="34" name="Shape 5">
          <a:extLst>
            <a:ext uri="{FF2B5EF4-FFF2-40B4-BE49-F238E27FC236}">
              <a16:creationId xmlns:a16="http://schemas.microsoft.com/office/drawing/2014/main" id="{6DB31866-7DAD-4A6F-B475-540AEC57D9E2}"/>
            </a:ext>
          </a:extLst>
        </xdr:cNvPr>
        <xdr:cNvSpPr/>
      </xdr:nvSpPr>
      <xdr:spPr>
        <a:xfrm>
          <a:off x="1506855" y="21983700"/>
          <a:ext cx="3810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-9525</xdr:colOff>
      <xdr:row>65</xdr:row>
      <xdr:rowOff>0</xdr:rowOff>
    </xdr:from>
    <xdr:ext cx="38100" cy="9525"/>
    <xdr:sp macro="" textlink="">
      <xdr:nvSpPr>
        <xdr:cNvPr id="35" name="Shape 5">
          <a:extLst>
            <a:ext uri="{FF2B5EF4-FFF2-40B4-BE49-F238E27FC236}">
              <a16:creationId xmlns:a16="http://schemas.microsoft.com/office/drawing/2014/main" id="{2379D580-AF49-4902-9240-7BFB51ECB940}"/>
            </a:ext>
          </a:extLst>
        </xdr:cNvPr>
        <xdr:cNvSpPr/>
      </xdr:nvSpPr>
      <xdr:spPr>
        <a:xfrm>
          <a:off x="1506855" y="21983700"/>
          <a:ext cx="3810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-9525</xdr:colOff>
      <xdr:row>65</xdr:row>
      <xdr:rowOff>0</xdr:rowOff>
    </xdr:from>
    <xdr:ext cx="38100" cy="9525"/>
    <xdr:sp macro="" textlink="">
      <xdr:nvSpPr>
        <xdr:cNvPr id="36" name="Shape 5">
          <a:extLst>
            <a:ext uri="{FF2B5EF4-FFF2-40B4-BE49-F238E27FC236}">
              <a16:creationId xmlns:a16="http://schemas.microsoft.com/office/drawing/2014/main" id="{848767FB-3C5C-4BD4-8D81-8ADAF2C36627}"/>
            </a:ext>
          </a:extLst>
        </xdr:cNvPr>
        <xdr:cNvSpPr/>
      </xdr:nvSpPr>
      <xdr:spPr>
        <a:xfrm>
          <a:off x="1506855" y="21983700"/>
          <a:ext cx="3810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-9525</xdr:colOff>
      <xdr:row>70</xdr:row>
      <xdr:rowOff>0</xdr:rowOff>
    </xdr:from>
    <xdr:ext cx="38100" cy="9525"/>
    <xdr:sp macro="" textlink="">
      <xdr:nvSpPr>
        <xdr:cNvPr id="37" name="Shape 5">
          <a:extLst>
            <a:ext uri="{FF2B5EF4-FFF2-40B4-BE49-F238E27FC236}">
              <a16:creationId xmlns:a16="http://schemas.microsoft.com/office/drawing/2014/main" id="{B393132F-E35B-4A38-8A22-C3ED8EFD7118}"/>
            </a:ext>
          </a:extLst>
        </xdr:cNvPr>
        <xdr:cNvSpPr/>
      </xdr:nvSpPr>
      <xdr:spPr>
        <a:xfrm>
          <a:off x="1381125" y="18573750"/>
          <a:ext cx="3810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-9525</xdr:colOff>
      <xdr:row>70</xdr:row>
      <xdr:rowOff>0</xdr:rowOff>
    </xdr:from>
    <xdr:ext cx="38100" cy="9525"/>
    <xdr:sp macro="" textlink="">
      <xdr:nvSpPr>
        <xdr:cNvPr id="38" name="Shape 5">
          <a:extLst>
            <a:ext uri="{FF2B5EF4-FFF2-40B4-BE49-F238E27FC236}">
              <a16:creationId xmlns:a16="http://schemas.microsoft.com/office/drawing/2014/main" id="{F5396D7D-DCAF-4609-9C8E-E70E29AB4DCF}"/>
            </a:ext>
          </a:extLst>
        </xdr:cNvPr>
        <xdr:cNvSpPr/>
      </xdr:nvSpPr>
      <xdr:spPr>
        <a:xfrm>
          <a:off x="1381125" y="18573750"/>
          <a:ext cx="3810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</xdr:col>
      <xdr:colOff>-9525</xdr:colOff>
      <xdr:row>70</xdr:row>
      <xdr:rowOff>0</xdr:rowOff>
    </xdr:from>
    <xdr:ext cx="38100" cy="9525"/>
    <xdr:sp macro="" textlink="">
      <xdr:nvSpPr>
        <xdr:cNvPr id="39" name="Shape 5">
          <a:extLst>
            <a:ext uri="{FF2B5EF4-FFF2-40B4-BE49-F238E27FC236}">
              <a16:creationId xmlns:a16="http://schemas.microsoft.com/office/drawing/2014/main" id="{EAF8F9F3-79C6-468C-914D-6B26EF9FA040}"/>
            </a:ext>
          </a:extLst>
        </xdr:cNvPr>
        <xdr:cNvSpPr/>
      </xdr:nvSpPr>
      <xdr:spPr>
        <a:xfrm>
          <a:off x="1381125" y="18573750"/>
          <a:ext cx="38100" cy="95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152400</xdr:rowOff>
    </xdr:from>
    <xdr:to>
      <xdr:col>10</xdr:col>
      <xdr:colOff>495301</xdr:colOff>
      <xdr:row>4</xdr:row>
      <xdr:rowOff>85725</xdr:rowOff>
    </xdr:to>
    <xdr:pic>
      <xdr:nvPicPr>
        <xdr:cNvPr id="2" name="Imagem 1" descr="ScreenShot00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152400"/>
          <a:ext cx="971551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152400</xdr:colOff>
      <xdr:row>0</xdr:row>
      <xdr:rowOff>114300</xdr:rowOff>
    </xdr:from>
    <xdr:ext cx="857028" cy="695325"/>
    <xdr:pic>
      <xdr:nvPicPr>
        <xdr:cNvPr id="3" name="Imagem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857028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397565</xdr:colOff>
      <xdr:row>0</xdr:row>
      <xdr:rowOff>152400</xdr:rowOff>
    </xdr:from>
    <xdr:to>
      <xdr:col>15</xdr:col>
      <xdr:colOff>962028</xdr:colOff>
      <xdr:row>5</xdr:row>
      <xdr:rowOff>57150</xdr:rowOff>
    </xdr:to>
    <xdr:pic>
      <xdr:nvPicPr>
        <xdr:cNvPr id="3" name="Imagem 1" descr="ScreenShot00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6543" y="152400"/>
          <a:ext cx="1409289" cy="733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238126</xdr:colOff>
      <xdr:row>0</xdr:row>
      <xdr:rowOff>114300</xdr:rowOff>
    </xdr:from>
    <xdr:to>
      <xdr:col>1</xdr:col>
      <xdr:colOff>477162</xdr:colOff>
      <xdr:row>4</xdr:row>
      <xdr:rowOff>156210</xdr:rowOff>
    </xdr:to>
    <xdr:pic>
      <xdr:nvPicPr>
        <xdr:cNvPr id="5" name="Imagem 1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6" y="114300"/>
          <a:ext cx="838614" cy="71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</xdr:colOff>
      <xdr:row>0</xdr:row>
      <xdr:rowOff>152400</xdr:rowOff>
    </xdr:from>
    <xdr:to>
      <xdr:col>11</xdr:col>
      <xdr:colOff>1181101</xdr:colOff>
      <xdr:row>4</xdr:row>
      <xdr:rowOff>85725</xdr:rowOff>
    </xdr:to>
    <xdr:pic>
      <xdr:nvPicPr>
        <xdr:cNvPr id="2" name="Imagem 1" descr="ScreenShot00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152400"/>
          <a:ext cx="1162051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0</xdr:row>
      <xdr:rowOff>114300</xdr:rowOff>
    </xdr:from>
    <xdr:to>
      <xdr:col>1</xdr:col>
      <xdr:colOff>66675</xdr:colOff>
      <xdr:row>4</xdr:row>
      <xdr:rowOff>47625</xdr:rowOff>
    </xdr:to>
    <xdr:pic>
      <xdr:nvPicPr>
        <xdr:cNvPr id="3" name="Imagem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3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0</xdr:row>
      <xdr:rowOff>76200</xdr:rowOff>
    </xdr:from>
    <xdr:to>
      <xdr:col>4</xdr:col>
      <xdr:colOff>447453</xdr:colOff>
      <xdr:row>5</xdr:row>
      <xdr:rowOff>47625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40BE578-F994-45DC-99CF-A4C06414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085" y="76200"/>
          <a:ext cx="872268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238125</xdr:colOff>
      <xdr:row>1</xdr:row>
      <xdr:rowOff>76200</xdr:rowOff>
    </xdr:from>
    <xdr:to>
      <xdr:col>16</xdr:col>
      <xdr:colOff>830917</xdr:colOff>
      <xdr:row>4</xdr:row>
      <xdr:rowOff>151279</xdr:rowOff>
    </xdr:to>
    <xdr:pic>
      <xdr:nvPicPr>
        <xdr:cNvPr id="3" name="Imagem 2" descr="ScreenShot002">
          <a:extLst>
            <a:ext uri="{FF2B5EF4-FFF2-40B4-BE49-F238E27FC236}">
              <a16:creationId xmlns:a16="http://schemas.microsoft.com/office/drawing/2014/main" id="{60120BAA-0456-4E91-B1A7-D404B9914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2225" y="236220"/>
          <a:ext cx="1217632" cy="55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0</xdr:row>
      <xdr:rowOff>76200</xdr:rowOff>
    </xdr:from>
    <xdr:to>
      <xdr:col>4</xdr:col>
      <xdr:colOff>441738</xdr:colOff>
      <xdr:row>5</xdr:row>
      <xdr:rowOff>53340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76200"/>
          <a:ext cx="857028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238125</xdr:colOff>
      <xdr:row>1</xdr:row>
      <xdr:rowOff>76200</xdr:rowOff>
    </xdr:from>
    <xdr:to>
      <xdr:col>16</xdr:col>
      <xdr:colOff>830917</xdr:colOff>
      <xdr:row>4</xdr:row>
      <xdr:rowOff>151279</xdr:rowOff>
    </xdr:to>
    <xdr:pic>
      <xdr:nvPicPr>
        <xdr:cNvPr id="3" name="Imagem 2" descr="ScreenShot00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238125"/>
          <a:ext cx="1202392" cy="560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0</xdr:row>
      <xdr:rowOff>76200</xdr:rowOff>
    </xdr:from>
    <xdr:to>
      <xdr:col>4</xdr:col>
      <xdr:colOff>441738</xdr:colOff>
      <xdr:row>5</xdr:row>
      <xdr:rowOff>53340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B8E5D0E-B7B5-463B-9C7E-42DD6A0F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545" y="76200"/>
          <a:ext cx="872268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190500</xdr:colOff>
      <xdr:row>1</xdr:row>
      <xdr:rowOff>57150</xdr:rowOff>
    </xdr:from>
    <xdr:to>
      <xdr:col>17</xdr:col>
      <xdr:colOff>783292</xdr:colOff>
      <xdr:row>4</xdr:row>
      <xdr:rowOff>132229</xdr:rowOff>
    </xdr:to>
    <xdr:pic>
      <xdr:nvPicPr>
        <xdr:cNvPr id="3" name="Imagem 2" descr="ScreenShot002">
          <a:extLst>
            <a:ext uri="{FF2B5EF4-FFF2-40B4-BE49-F238E27FC236}">
              <a16:creationId xmlns:a16="http://schemas.microsoft.com/office/drawing/2014/main" id="{A819BA07-066D-41F8-8F06-3DF6E132C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1220" y="217170"/>
          <a:ext cx="1217632" cy="55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381001</xdr:colOff>
      <xdr:row>1</xdr:row>
      <xdr:rowOff>9525</xdr:rowOff>
    </xdr:from>
    <xdr:to>
      <xdr:col>16</xdr:col>
      <xdr:colOff>428627</xdr:colOff>
      <xdr:row>4</xdr:row>
      <xdr:rowOff>104775</xdr:rowOff>
    </xdr:to>
    <xdr:pic>
      <xdr:nvPicPr>
        <xdr:cNvPr id="2" name="Imagem 1" descr="ScreenShot00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1" y="171450"/>
          <a:ext cx="1266826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200025</xdr:colOff>
      <xdr:row>0</xdr:row>
      <xdr:rowOff>76200</xdr:rowOff>
    </xdr:from>
    <xdr:to>
      <xdr:col>4</xdr:col>
      <xdr:colOff>381000</xdr:colOff>
      <xdr:row>4</xdr:row>
      <xdr:rowOff>123825</xdr:rowOff>
    </xdr:to>
    <xdr:pic>
      <xdr:nvPicPr>
        <xdr:cNvPr id="4" name="Imagem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7620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200025</xdr:colOff>
      <xdr:row>0</xdr:row>
      <xdr:rowOff>76200</xdr:rowOff>
    </xdr:from>
    <xdr:ext cx="858615" cy="765175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76200"/>
          <a:ext cx="858615" cy="765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15</xdr:col>
      <xdr:colOff>190500</xdr:colOff>
      <xdr:row>1</xdr:row>
      <xdr:rowOff>57150</xdr:rowOff>
    </xdr:from>
    <xdr:to>
      <xdr:col>16</xdr:col>
      <xdr:colOff>783292</xdr:colOff>
      <xdr:row>4</xdr:row>
      <xdr:rowOff>132229</xdr:rowOff>
    </xdr:to>
    <xdr:pic>
      <xdr:nvPicPr>
        <xdr:cNvPr id="3" name="Imagem 2" descr="ScreenShot00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75" y="219075"/>
          <a:ext cx="1202392" cy="560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A2E60-7B2D-4296-8CCB-7890A7F5A6EB}">
  <sheetPr>
    <tabColor theme="9" tint="0.39997558519241921"/>
    <pageSetUpPr fitToPage="1"/>
  </sheetPr>
  <dimension ref="A1:Y318"/>
  <sheetViews>
    <sheetView showGridLines="0" view="pageBreakPreview" topLeftCell="A10" zoomScale="90" zoomScaleNormal="100" zoomScaleSheetLayoutView="90" workbookViewId="0">
      <pane ySplit="9" topLeftCell="A265" activePane="bottomLeft" state="frozen"/>
      <selection activeCell="A10" sqref="A10"/>
      <selection pane="bottomLeft" activeCell="N284" sqref="N284:N287"/>
    </sheetView>
  </sheetViews>
  <sheetFormatPr defaultColWidth="9.109375" defaultRowHeight="14.4" x14ac:dyDescent="0.3"/>
  <cols>
    <col min="1" max="1" width="10" style="62" customWidth="1"/>
    <col min="2" max="2" width="9.109375" style="62"/>
    <col min="3" max="3" width="12.33203125" style="62" bestFit="1" customWidth="1"/>
    <col min="4" max="4" width="9.109375" style="62" customWidth="1"/>
    <col min="5" max="10" width="9.109375" style="62"/>
    <col min="11" max="11" width="10.33203125" style="62" customWidth="1"/>
    <col min="12" max="12" width="12.44140625" style="62" bestFit="1" customWidth="1"/>
    <col min="13" max="13" width="15.5546875" style="62" bestFit="1" customWidth="1"/>
    <col min="14" max="14" width="16.6640625" style="62" bestFit="1" customWidth="1"/>
    <col min="15" max="15" width="30.6640625" style="62" bestFit="1" customWidth="1"/>
    <col min="16" max="16" width="30.6640625" style="62" customWidth="1"/>
    <col min="17" max="17" width="15.5546875" style="62" customWidth="1"/>
    <col min="18" max="18" width="21.6640625" style="62" customWidth="1"/>
    <col min="19" max="23" width="9.109375" style="62"/>
    <col min="24" max="24" width="22.6640625" style="62" customWidth="1"/>
    <col min="25" max="16384" width="9.109375" style="62"/>
  </cols>
  <sheetData>
    <row r="1" spans="1:25" ht="12.9" customHeight="1" x14ac:dyDescent="0.3">
      <c r="A1" s="656" t="s">
        <v>36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</row>
    <row r="2" spans="1:25" ht="12.9" customHeight="1" x14ac:dyDescent="0.3">
      <c r="A2" s="656" t="s">
        <v>106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</row>
    <row r="3" spans="1:25" ht="12.9" customHeight="1" x14ac:dyDescent="0.3">
      <c r="A3" s="656" t="s">
        <v>107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</row>
    <row r="4" spans="1:25" ht="12.9" customHeight="1" x14ac:dyDescent="0.3">
      <c r="A4" s="656" t="s">
        <v>108</v>
      </c>
      <c r="B4" s="656"/>
      <c r="C4" s="656"/>
      <c r="D4" s="656"/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  <c r="R4" s="656"/>
    </row>
    <row r="5" spans="1:25" ht="12.9" customHeight="1" x14ac:dyDescent="0.3">
      <c r="A5" s="656" t="s">
        <v>1021</v>
      </c>
      <c r="B5" s="656"/>
      <c r="C5" s="656"/>
      <c r="D5" s="656"/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  <c r="R5" s="656"/>
    </row>
    <row r="6" spans="1:25" ht="12.9" customHeight="1" x14ac:dyDescent="0.3">
      <c r="A6" s="656" t="s">
        <v>1022</v>
      </c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  <c r="R6" s="656"/>
    </row>
    <row r="7" spans="1:25" ht="5.0999999999999996" customHeight="1" x14ac:dyDescent="0.3">
      <c r="A7" s="502"/>
      <c r="B7" s="502"/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  <c r="O7" s="502"/>
      <c r="P7" s="502"/>
      <c r="Q7" s="502"/>
      <c r="R7" s="502"/>
    </row>
    <row r="8" spans="1:25" ht="18" x14ac:dyDescent="0.35">
      <c r="A8" s="504" t="s">
        <v>1023</v>
      </c>
      <c r="O8" s="12" t="s">
        <v>16</v>
      </c>
      <c r="P8" s="12"/>
      <c r="Q8" s="15">
        <f>L288</f>
        <v>627.32350000000167</v>
      </c>
      <c r="R8" s="14" t="s">
        <v>14</v>
      </c>
    </row>
    <row r="9" spans="1:25" ht="18.75" customHeight="1" x14ac:dyDescent="0.35">
      <c r="A9" s="657" t="s">
        <v>1024</v>
      </c>
      <c r="B9" s="657"/>
      <c r="C9" s="657"/>
      <c r="D9" s="657"/>
      <c r="E9" s="657"/>
      <c r="F9" s="657"/>
      <c r="G9" s="657"/>
      <c r="H9" s="657"/>
      <c r="I9" s="657"/>
      <c r="J9" s="657"/>
      <c r="K9" s="657"/>
      <c r="L9" s="657"/>
      <c r="M9" s="657"/>
      <c r="N9" s="657"/>
      <c r="O9" s="12" t="s">
        <v>48</v>
      </c>
      <c r="P9" s="12"/>
      <c r="Q9" s="15">
        <f>M288+F304</f>
        <v>145.11179250000001</v>
      </c>
      <c r="R9" s="14" t="s">
        <v>15</v>
      </c>
    </row>
    <row r="10" spans="1:25" ht="20.100000000000001" customHeight="1" x14ac:dyDescent="0.3">
      <c r="A10" s="658" t="s">
        <v>91</v>
      </c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  <c r="M10" s="658"/>
      <c r="N10" s="658"/>
      <c r="O10" s="658"/>
      <c r="P10" s="658"/>
      <c r="Q10" s="658"/>
      <c r="R10" s="658"/>
    </row>
    <row r="11" spans="1:25" ht="5.0999999999999996" customHeight="1" x14ac:dyDescent="0.35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R11" s="15"/>
    </row>
    <row r="12" spans="1:25" x14ac:dyDescent="0.3">
      <c r="A12" s="3" t="s">
        <v>1207</v>
      </c>
      <c r="O12" s="3" t="s">
        <v>2140</v>
      </c>
      <c r="Q12" s="3">
        <v>0.3</v>
      </c>
    </row>
    <row r="13" spans="1:25" x14ac:dyDescent="0.3">
      <c r="A13" s="3" t="s">
        <v>1207</v>
      </c>
      <c r="O13" s="3" t="s">
        <v>1025</v>
      </c>
      <c r="Q13" s="3">
        <v>0.4</v>
      </c>
    </row>
    <row r="14" spans="1:25" x14ac:dyDescent="0.3">
      <c r="I14" s="505"/>
      <c r="J14" s="505"/>
      <c r="K14" s="505"/>
      <c r="L14" s="505"/>
      <c r="M14" s="505"/>
      <c r="N14" s="505"/>
      <c r="O14" s="506" t="s">
        <v>1026</v>
      </c>
      <c r="P14" s="505"/>
      <c r="Q14" s="3">
        <v>0.3</v>
      </c>
      <c r="U14" s="107"/>
      <c r="V14" s="106"/>
      <c r="W14" s="106"/>
      <c r="X14" s="106"/>
      <c r="Y14" s="106"/>
    </row>
    <row r="15" spans="1:25" x14ac:dyDescent="0.3">
      <c r="I15" s="505"/>
      <c r="J15" s="505"/>
      <c r="K15" s="505"/>
      <c r="L15" s="505"/>
      <c r="M15" s="505"/>
      <c r="N15" s="505"/>
      <c r="O15" s="507" t="s">
        <v>1027</v>
      </c>
      <c r="P15" s="505"/>
      <c r="Q15" s="3">
        <v>3</v>
      </c>
      <c r="U15" s="107"/>
      <c r="V15" s="106"/>
      <c r="W15" s="106"/>
      <c r="X15" s="106"/>
      <c r="Y15" s="106"/>
    </row>
    <row r="16" spans="1:25" ht="15" thickBot="1" x14ac:dyDescent="0.35">
      <c r="I16" s="340"/>
      <c r="J16" s="340"/>
      <c r="K16" s="340"/>
      <c r="L16" s="340"/>
      <c r="M16" s="340"/>
      <c r="N16" s="340"/>
      <c r="O16" s="508" t="s">
        <v>1028</v>
      </c>
      <c r="P16" s="505"/>
      <c r="Q16" s="3">
        <v>0.05</v>
      </c>
      <c r="U16" s="107"/>
      <c r="V16" s="106"/>
      <c r="W16" s="106"/>
      <c r="X16" s="106"/>
      <c r="Y16" s="106"/>
    </row>
    <row r="17" spans="1:18" ht="24.75" customHeight="1" x14ac:dyDescent="0.3">
      <c r="A17" s="659" t="s">
        <v>1</v>
      </c>
      <c r="B17" s="661" t="s">
        <v>9</v>
      </c>
      <c r="C17" s="661" t="s">
        <v>5</v>
      </c>
      <c r="D17" s="663" t="s">
        <v>6</v>
      </c>
      <c r="E17" s="664"/>
      <c r="F17" s="664"/>
      <c r="G17" s="664"/>
      <c r="H17" s="664"/>
      <c r="I17" s="665"/>
      <c r="J17" s="666" t="s">
        <v>1029</v>
      </c>
      <c r="K17" s="666" t="s">
        <v>1030</v>
      </c>
      <c r="L17" s="661" t="s">
        <v>7</v>
      </c>
      <c r="M17" s="663" t="s">
        <v>8</v>
      </c>
      <c r="N17" s="669" t="s">
        <v>51</v>
      </c>
      <c r="O17" s="671" t="s">
        <v>1031</v>
      </c>
      <c r="P17" s="671" t="s">
        <v>1046</v>
      </c>
      <c r="Q17" s="671" t="s">
        <v>53</v>
      </c>
      <c r="R17" s="673" t="s">
        <v>11</v>
      </c>
    </row>
    <row r="18" spans="1:18" ht="24.75" customHeight="1" thickBot="1" x14ac:dyDescent="0.35">
      <c r="A18" s="660"/>
      <c r="B18" s="662"/>
      <c r="C18" s="662"/>
      <c r="D18" s="509" t="s">
        <v>1032</v>
      </c>
      <c r="E18" s="503" t="s">
        <v>1033</v>
      </c>
      <c r="F18" s="503" t="s">
        <v>1034</v>
      </c>
      <c r="G18" s="503" t="s">
        <v>1035</v>
      </c>
      <c r="H18" s="503" t="s">
        <v>1036</v>
      </c>
      <c r="I18" s="503" t="s">
        <v>4</v>
      </c>
      <c r="J18" s="667"/>
      <c r="K18" s="667"/>
      <c r="L18" s="662"/>
      <c r="M18" s="668"/>
      <c r="N18" s="670"/>
      <c r="O18" s="672"/>
      <c r="P18" s="672"/>
      <c r="Q18" s="672"/>
      <c r="R18" s="674"/>
    </row>
    <row r="19" spans="1:18" ht="24.75" customHeight="1" x14ac:dyDescent="0.3">
      <c r="A19" s="609" t="s">
        <v>195</v>
      </c>
      <c r="B19" s="609"/>
      <c r="C19" s="609"/>
      <c r="D19" s="609"/>
      <c r="E19" s="609"/>
      <c r="F19" s="609"/>
      <c r="G19" s="609"/>
      <c r="H19" s="609"/>
      <c r="I19" s="609"/>
      <c r="J19" s="609"/>
      <c r="K19" s="609"/>
      <c r="L19" s="609"/>
      <c r="M19" s="609"/>
      <c r="N19" s="609"/>
      <c r="O19" s="609"/>
      <c r="P19" s="609"/>
      <c r="Q19" s="610"/>
      <c r="R19" s="471"/>
    </row>
    <row r="20" spans="1:18" x14ac:dyDescent="0.3">
      <c r="A20" s="523" t="s">
        <v>1038</v>
      </c>
      <c r="B20" s="159">
        <v>1</v>
      </c>
      <c r="C20" s="159" t="s">
        <v>49</v>
      </c>
      <c r="D20" s="510">
        <v>0.7</v>
      </c>
      <c r="E20" s="510">
        <v>0.7</v>
      </c>
      <c r="F20" s="510"/>
      <c r="G20" s="510"/>
      <c r="H20" s="510"/>
      <c r="I20" s="510">
        <v>0.65</v>
      </c>
      <c r="J20" s="510">
        <v>1</v>
      </c>
      <c r="K20" s="510">
        <f t="shared" ref="K20:K27" si="0">J20*($Q$15+I20+$Q$13)</f>
        <v>4.05</v>
      </c>
      <c r="L20" s="510">
        <f t="shared" ref="L20:L27" si="1">(D20*2+E20*2)*I20</f>
        <v>1.8199999999999998</v>
      </c>
      <c r="M20" s="510">
        <f t="shared" ref="M20:M27" si="2">((D20*E20*I20))*B20</f>
        <v>0.31849999999999995</v>
      </c>
      <c r="N20" s="510">
        <f t="shared" ref="N20:N27" si="3">(D20+$Q$14*2)*(E20+$Q$14*2)*(I20+$Q$16+$Q$13)</f>
        <v>1.8589999999999995</v>
      </c>
      <c r="O20" s="510">
        <f>N20-(M20+Q20+P20)</f>
        <v>1.4032249999999995</v>
      </c>
      <c r="P20" s="510">
        <f>0.25*0.5*0.4+(0.53+0.4)*0.15*0.45</f>
        <v>0.11277500000000001</v>
      </c>
      <c r="Q20" s="510">
        <f t="shared" ref="Q20:Q27" si="4">D20*E20*$Q$16*B20</f>
        <v>2.4499999999999997E-2</v>
      </c>
      <c r="R20" s="524"/>
    </row>
    <row r="21" spans="1:18" x14ac:dyDescent="0.3">
      <c r="A21" s="523" t="s">
        <v>1039</v>
      </c>
      <c r="B21" s="159">
        <v>1</v>
      </c>
      <c r="C21" s="159" t="s">
        <v>49</v>
      </c>
      <c r="D21" s="510">
        <v>0.7</v>
      </c>
      <c r="E21" s="510">
        <v>0.7</v>
      </c>
      <c r="F21" s="510"/>
      <c r="G21" s="510"/>
      <c r="H21" s="510"/>
      <c r="I21" s="510">
        <v>0.65</v>
      </c>
      <c r="J21" s="510">
        <v>1</v>
      </c>
      <c r="K21" s="510">
        <f t="shared" si="0"/>
        <v>4.05</v>
      </c>
      <c r="L21" s="510">
        <f t="shared" si="1"/>
        <v>1.8199999999999998</v>
      </c>
      <c r="M21" s="510">
        <f t="shared" si="2"/>
        <v>0.31849999999999995</v>
      </c>
      <c r="N21" s="510">
        <f t="shared" si="3"/>
        <v>1.8589999999999995</v>
      </c>
      <c r="O21" s="510">
        <f t="shared" ref="O21:O287" si="5">N21-(M21+Q21+P21)</f>
        <v>1.4032249999999995</v>
      </c>
      <c r="P21" s="510">
        <f>0.25*0.5*0.4+(0.53+0.4)*0.15*0.45</f>
        <v>0.11277500000000001</v>
      </c>
      <c r="Q21" s="510">
        <f t="shared" si="4"/>
        <v>2.4499999999999997E-2</v>
      </c>
      <c r="R21" s="524"/>
    </row>
    <row r="22" spans="1:18" x14ac:dyDescent="0.3">
      <c r="A22" s="523" t="s">
        <v>1040</v>
      </c>
      <c r="B22" s="159">
        <v>1</v>
      </c>
      <c r="C22" s="159" t="s">
        <v>49</v>
      </c>
      <c r="D22" s="510">
        <v>0.7</v>
      </c>
      <c r="E22" s="510">
        <v>0.7</v>
      </c>
      <c r="F22" s="510"/>
      <c r="G22" s="510"/>
      <c r="H22" s="510"/>
      <c r="I22" s="510">
        <v>0.65</v>
      </c>
      <c r="J22" s="510">
        <v>1</v>
      </c>
      <c r="K22" s="510">
        <f t="shared" si="0"/>
        <v>4.05</v>
      </c>
      <c r="L22" s="510">
        <f t="shared" si="1"/>
        <v>1.8199999999999998</v>
      </c>
      <c r="M22" s="510">
        <f t="shared" si="2"/>
        <v>0.31849999999999995</v>
      </c>
      <c r="N22" s="510">
        <f t="shared" si="3"/>
        <v>1.8589999999999995</v>
      </c>
      <c r="O22" s="510">
        <f t="shared" si="5"/>
        <v>1.3861249999999996</v>
      </c>
      <c r="P22" s="510">
        <f>0.2*0.4*0.4+(0.45+0.45+0.55)*0.15*0.45</f>
        <v>0.12987500000000002</v>
      </c>
      <c r="Q22" s="510">
        <f t="shared" si="4"/>
        <v>2.4499999999999997E-2</v>
      </c>
      <c r="R22" s="524"/>
    </row>
    <row r="23" spans="1:18" ht="57.6" x14ac:dyDescent="0.3">
      <c r="A23" s="523" t="s">
        <v>1041</v>
      </c>
      <c r="B23" s="159">
        <v>1</v>
      </c>
      <c r="C23" s="159" t="s">
        <v>49</v>
      </c>
      <c r="D23" s="510">
        <v>1.9</v>
      </c>
      <c r="E23" s="510">
        <v>0.7</v>
      </c>
      <c r="F23" s="510"/>
      <c r="G23" s="510"/>
      <c r="H23" s="510"/>
      <c r="I23" s="510">
        <v>0.7</v>
      </c>
      <c r="J23" s="510">
        <v>2</v>
      </c>
      <c r="K23" s="510">
        <f t="shared" si="0"/>
        <v>8.2000000000000011</v>
      </c>
      <c r="L23" s="510">
        <f t="shared" si="1"/>
        <v>3.6399999999999992</v>
      </c>
      <c r="M23" s="510">
        <f t="shared" si="2"/>
        <v>0.93099999999999983</v>
      </c>
      <c r="N23" s="510">
        <f t="shared" si="3"/>
        <v>3.7374999999999994</v>
      </c>
      <c r="O23" s="510">
        <f t="shared" si="5"/>
        <v>2.5629749999999998</v>
      </c>
      <c r="P23" s="510">
        <f>0.25*0.4*0.4+(1.13+0.45+0.45)*0.15*0.45</f>
        <v>0.17702499999999999</v>
      </c>
      <c r="Q23" s="510">
        <f t="shared" si="4"/>
        <v>6.649999999999999E-2</v>
      </c>
      <c r="R23" s="608" t="s">
        <v>57</v>
      </c>
    </row>
    <row r="24" spans="1:18" x14ac:dyDescent="0.3">
      <c r="A24" s="523" t="s">
        <v>1042</v>
      </c>
      <c r="B24" s="159">
        <v>1</v>
      </c>
      <c r="C24" s="159" t="s">
        <v>49</v>
      </c>
      <c r="D24" s="510">
        <v>0.7</v>
      </c>
      <c r="E24" s="510">
        <v>0.7</v>
      </c>
      <c r="F24" s="510"/>
      <c r="G24" s="510"/>
      <c r="H24" s="510"/>
      <c r="I24" s="510">
        <v>0.65</v>
      </c>
      <c r="J24" s="510">
        <v>1</v>
      </c>
      <c r="K24" s="510">
        <f t="shared" si="0"/>
        <v>4.05</v>
      </c>
      <c r="L24" s="510">
        <f t="shared" si="1"/>
        <v>1.8199999999999998</v>
      </c>
      <c r="M24" s="510">
        <f t="shared" si="2"/>
        <v>0.31849999999999995</v>
      </c>
      <c r="N24" s="510">
        <f t="shared" si="3"/>
        <v>1.8589999999999995</v>
      </c>
      <c r="O24" s="510">
        <f t="shared" si="5"/>
        <v>1.3861249999999996</v>
      </c>
      <c r="P24" s="510">
        <f>0.2*0.4*0.4+(0.45+0.45+0.55)*0.15*0.45</f>
        <v>0.12987500000000002</v>
      </c>
      <c r="Q24" s="510">
        <f t="shared" si="4"/>
        <v>2.4499999999999997E-2</v>
      </c>
      <c r="R24" s="524"/>
    </row>
    <row r="25" spans="1:18" x14ac:dyDescent="0.3">
      <c r="A25" s="523" t="s">
        <v>1043</v>
      </c>
      <c r="B25" s="159">
        <v>1</v>
      </c>
      <c r="C25" s="159" t="s">
        <v>49</v>
      </c>
      <c r="D25" s="510">
        <v>1.9</v>
      </c>
      <c r="E25" s="510">
        <v>0.7</v>
      </c>
      <c r="F25" s="510"/>
      <c r="G25" s="510"/>
      <c r="H25" s="510"/>
      <c r="I25" s="510">
        <v>0.7</v>
      </c>
      <c r="J25" s="510">
        <v>2</v>
      </c>
      <c r="K25" s="510">
        <f t="shared" si="0"/>
        <v>8.2000000000000011</v>
      </c>
      <c r="L25" s="510">
        <f t="shared" si="1"/>
        <v>3.6399999999999992</v>
      </c>
      <c r="M25" s="510">
        <f t="shared" si="2"/>
        <v>0.93099999999999983</v>
      </c>
      <c r="N25" s="510">
        <f t="shared" si="3"/>
        <v>3.7374999999999994</v>
      </c>
      <c r="O25" s="510">
        <f t="shared" si="5"/>
        <v>2.5781999999999998</v>
      </c>
      <c r="P25" s="510">
        <f>0.25*0.4*0.4+(1.13+0.45+0.45)*0.15*0.4</f>
        <v>0.1618</v>
      </c>
      <c r="Q25" s="510">
        <f t="shared" si="4"/>
        <v>6.649999999999999E-2</v>
      </c>
      <c r="R25" s="524"/>
    </row>
    <row r="26" spans="1:18" x14ac:dyDescent="0.3">
      <c r="A26" s="523" t="s">
        <v>1044</v>
      </c>
      <c r="B26" s="159">
        <v>1</v>
      </c>
      <c r="C26" s="159" t="s">
        <v>49</v>
      </c>
      <c r="D26" s="510">
        <v>0.7</v>
      </c>
      <c r="E26" s="510">
        <v>0.7</v>
      </c>
      <c r="F26" s="510"/>
      <c r="G26" s="510"/>
      <c r="H26" s="510"/>
      <c r="I26" s="510">
        <v>0.65</v>
      </c>
      <c r="J26" s="510">
        <v>1</v>
      </c>
      <c r="K26" s="510">
        <f t="shared" si="0"/>
        <v>4.05</v>
      </c>
      <c r="L26" s="510">
        <f t="shared" si="1"/>
        <v>1.8199999999999998</v>
      </c>
      <c r="M26" s="510">
        <f t="shared" si="2"/>
        <v>0.31849999999999995</v>
      </c>
      <c r="N26" s="510">
        <f t="shared" si="3"/>
        <v>1.8589999999999995</v>
      </c>
      <c r="O26" s="510">
        <f t="shared" si="5"/>
        <v>1.4032249999999995</v>
      </c>
      <c r="P26" s="510">
        <f>0.25*0.5*0.4+(0.53+0.4)*0.15*0.45</f>
        <v>0.11277500000000001</v>
      </c>
      <c r="Q26" s="510">
        <f t="shared" si="4"/>
        <v>2.4499999999999997E-2</v>
      </c>
      <c r="R26" s="524"/>
    </row>
    <row r="27" spans="1:18" ht="15" thickBot="1" x14ac:dyDescent="0.35">
      <c r="A27" s="523" t="s">
        <v>1045</v>
      </c>
      <c r="B27" s="159">
        <v>1</v>
      </c>
      <c r="C27" s="159" t="s">
        <v>49</v>
      </c>
      <c r="D27" s="510">
        <v>0.7</v>
      </c>
      <c r="E27" s="510">
        <v>0.7</v>
      </c>
      <c r="F27" s="510"/>
      <c r="G27" s="510"/>
      <c r="H27" s="510"/>
      <c r="I27" s="510">
        <v>0.65</v>
      </c>
      <c r="J27" s="510">
        <v>1</v>
      </c>
      <c r="K27" s="510">
        <f t="shared" si="0"/>
        <v>4.05</v>
      </c>
      <c r="L27" s="510">
        <f t="shared" si="1"/>
        <v>1.8199999999999998</v>
      </c>
      <c r="M27" s="510">
        <f t="shared" si="2"/>
        <v>0.31849999999999995</v>
      </c>
      <c r="N27" s="510">
        <f t="shared" si="3"/>
        <v>1.8589999999999995</v>
      </c>
      <c r="O27" s="510">
        <f t="shared" si="5"/>
        <v>1.4032249999999995</v>
      </c>
      <c r="P27" s="510">
        <f>0.25*0.5*0.4+(0.53+0.4)*0.15*0.45</f>
        <v>0.11277500000000001</v>
      </c>
      <c r="Q27" s="510">
        <f t="shared" si="4"/>
        <v>2.4499999999999997E-2</v>
      </c>
      <c r="R27" s="524"/>
    </row>
    <row r="28" spans="1:18" x14ac:dyDescent="0.3">
      <c r="A28" s="609" t="s">
        <v>196</v>
      </c>
      <c r="B28" s="609"/>
      <c r="C28" s="609"/>
      <c r="D28" s="609"/>
      <c r="E28" s="609"/>
      <c r="F28" s="609"/>
      <c r="G28" s="609"/>
      <c r="H28" s="609"/>
      <c r="I28" s="609"/>
      <c r="J28" s="609"/>
      <c r="K28" s="609"/>
      <c r="L28" s="609"/>
      <c r="M28" s="609"/>
      <c r="N28" s="609"/>
      <c r="O28" s="609"/>
      <c r="P28" s="609"/>
      <c r="Q28" s="610"/>
      <c r="R28" s="471"/>
    </row>
    <row r="29" spans="1:18" x14ac:dyDescent="0.3">
      <c r="A29" s="523" t="s">
        <v>1047</v>
      </c>
      <c r="B29" s="159">
        <v>1</v>
      </c>
      <c r="C29" s="159" t="s">
        <v>49</v>
      </c>
      <c r="D29" s="510">
        <v>0.7</v>
      </c>
      <c r="E29" s="510">
        <v>0.7</v>
      </c>
      <c r="F29" s="510"/>
      <c r="G29" s="510"/>
      <c r="H29" s="510"/>
      <c r="I29" s="510">
        <v>0.65</v>
      </c>
      <c r="J29" s="510">
        <v>1</v>
      </c>
      <c r="K29" s="510">
        <f t="shared" ref="K29:K42" si="6">J29*($Q$15+I29+$Q$13)</f>
        <v>4.05</v>
      </c>
      <c r="L29" s="510">
        <f t="shared" ref="L29:L43" si="7">(D29*2+E29*2)*I29</f>
        <v>1.8199999999999998</v>
      </c>
      <c r="M29" s="510">
        <f t="shared" ref="M29:M43" si="8">((D29*E29*I29))*B29</f>
        <v>0.31849999999999995</v>
      </c>
      <c r="N29" s="510">
        <f t="shared" ref="N29:N43" si="9">(D29+$Q$14*2)*(E29+$Q$14*2)*(I29+$Q$16+$Q$13)</f>
        <v>1.8589999999999995</v>
      </c>
      <c r="O29" s="510">
        <f t="shared" ref="O29:O42" si="10">N29-(M29+Q29+P29)</f>
        <v>1.4224749999999995</v>
      </c>
      <c r="P29" s="510">
        <f>0.15*0.4*0.4+(0.58+0.45)*0.15*0.45</f>
        <v>9.3524999999999997E-2</v>
      </c>
      <c r="Q29" s="510">
        <f t="shared" ref="Q29:Q43" si="11">D29*E29*$Q$16*B29</f>
        <v>2.4499999999999997E-2</v>
      </c>
      <c r="R29" s="524"/>
    </row>
    <row r="30" spans="1:18" x14ac:dyDescent="0.3">
      <c r="A30" s="523" t="s">
        <v>1048</v>
      </c>
      <c r="B30" s="159">
        <v>1</v>
      </c>
      <c r="C30" s="159" t="s">
        <v>49</v>
      </c>
      <c r="D30" s="510">
        <v>0.7</v>
      </c>
      <c r="E30" s="510">
        <v>0.7</v>
      </c>
      <c r="F30" s="510"/>
      <c r="G30" s="510"/>
      <c r="H30" s="510"/>
      <c r="I30" s="510">
        <v>0.65</v>
      </c>
      <c r="J30" s="510">
        <v>1</v>
      </c>
      <c r="K30" s="510">
        <f t="shared" si="6"/>
        <v>4.05</v>
      </c>
      <c r="L30" s="510">
        <f t="shared" si="7"/>
        <v>1.8199999999999998</v>
      </c>
      <c r="M30" s="510">
        <f t="shared" si="8"/>
        <v>0.31849999999999995</v>
      </c>
      <c r="N30" s="510">
        <f t="shared" si="9"/>
        <v>1.8589999999999995</v>
      </c>
      <c r="O30" s="510">
        <f t="shared" si="10"/>
        <v>1.3861249999999996</v>
      </c>
      <c r="P30" s="510">
        <f>0.2*0.4*0.4+(0.45+0.45+0.55)*0.15*0.45</f>
        <v>0.12987500000000002</v>
      </c>
      <c r="Q30" s="510">
        <f t="shared" si="11"/>
        <v>2.4499999999999997E-2</v>
      </c>
      <c r="R30" s="524"/>
    </row>
    <row r="31" spans="1:18" x14ac:dyDescent="0.3">
      <c r="A31" s="523" t="s">
        <v>1049</v>
      </c>
      <c r="B31" s="159">
        <v>1</v>
      </c>
      <c r="C31" s="159" t="s">
        <v>49</v>
      </c>
      <c r="D31" s="510">
        <v>0.7</v>
      </c>
      <c r="E31" s="510">
        <v>0.7</v>
      </c>
      <c r="F31" s="510"/>
      <c r="G31" s="510"/>
      <c r="H31" s="510"/>
      <c r="I31" s="510">
        <v>0.65</v>
      </c>
      <c r="J31" s="510">
        <v>1</v>
      </c>
      <c r="K31" s="510">
        <f t="shared" si="6"/>
        <v>4.05</v>
      </c>
      <c r="L31" s="510">
        <f t="shared" si="7"/>
        <v>1.8199999999999998</v>
      </c>
      <c r="M31" s="510">
        <f t="shared" si="8"/>
        <v>0.31849999999999995</v>
      </c>
      <c r="N31" s="510">
        <f t="shared" si="9"/>
        <v>1.8589999999999995</v>
      </c>
      <c r="O31" s="510">
        <f t="shared" si="10"/>
        <v>1.4224749999999995</v>
      </c>
      <c r="P31" s="510">
        <f>0.15*0.4*0.4+(0.58+0.45)*0.15*0.45</f>
        <v>9.3524999999999997E-2</v>
      </c>
      <c r="Q31" s="510">
        <f t="shared" si="11"/>
        <v>2.4499999999999997E-2</v>
      </c>
      <c r="R31" s="524"/>
    </row>
    <row r="32" spans="1:18" x14ac:dyDescent="0.3">
      <c r="A32" s="523" t="s">
        <v>1050</v>
      </c>
      <c r="B32" s="159">
        <v>1</v>
      </c>
      <c r="C32" s="159" t="s">
        <v>49</v>
      </c>
      <c r="D32" s="510">
        <v>0.7</v>
      </c>
      <c r="E32" s="510">
        <v>0.7</v>
      </c>
      <c r="F32" s="510"/>
      <c r="G32" s="510"/>
      <c r="H32" s="510"/>
      <c r="I32" s="510">
        <v>0.65</v>
      </c>
      <c r="J32" s="510">
        <v>1</v>
      </c>
      <c r="K32" s="510">
        <f t="shared" si="6"/>
        <v>4.05</v>
      </c>
      <c r="L32" s="510">
        <f t="shared" si="7"/>
        <v>1.8199999999999998</v>
      </c>
      <c r="M32" s="510">
        <f t="shared" si="8"/>
        <v>0.31849999999999995</v>
      </c>
      <c r="N32" s="510">
        <f t="shared" si="9"/>
        <v>1.8589999999999995</v>
      </c>
      <c r="O32" s="510">
        <f t="shared" si="10"/>
        <v>1.3833249999999997</v>
      </c>
      <c r="P32" s="510">
        <f>0.15*0.4*0.4+(0.58+0.45+0.58)*0.15*0.45</f>
        <v>0.13267499999999999</v>
      </c>
      <c r="Q32" s="510">
        <f t="shared" si="11"/>
        <v>2.4499999999999997E-2</v>
      </c>
      <c r="R32" s="524"/>
    </row>
    <row r="33" spans="1:18" x14ac:dyDescent="0.3">
      <c r="A33" s="523" t="s">
        <v>1051</v>
      </c>
      <c r="B33" s="159">
        <v>1</v>
      </c>
      <c r="C33" s="159" t="s">
        <v>49</v>
      </c>
      <c r="D33" s="510">
        <v>0.7</v>
      </c>
      <c r="E33" s="510">
        <v>0.7</v>
      </c>
      <c r="F33" s="510"/>
      <c r="G33" s="510"/>
      <c r="H33" s="510"/>
      <c r="I33" s="510">
        <v>0.65</v>
      </c>
      <c r="J33" s="510">
        <v>1</v>
      </c>
      <c r="K33" s="510">
        <f t="shared" si="6"/>
        <v>4.05</v>
      </c>
      <c r="L33" s="510">
        <f t="shared" si="7"/>
        <v>1.8199999999999998</v>
      </c>
      <c r="M33" s="510">
        <f t="shared" si="8"/>
        <v>0.31849999999999995</v>
      </c>
      <c r="N33" s="510">
        <f t="shared" si="9"/>
        <v>1.8589999999999995</v>
      </c>
      <c r="O33" s="510">
        <f t="shared" si="10"/>
        <v>1.3489999999999995</v>
      </c>
      <c r="P33" s="510">
        <f>0.2*0.4*0.4+(0.45+0.45+0.55+0.55)*0.15*0.45</f>
        <v>0.16700000000000001</v>
      </c>
      <c r="Q33" s="510">
        <f t="shared" si="11"/>
        <v>2.4499999999999997E-2</v>
      </c>
      <c r="R33" s="524"/>
    </row>
    <row r="34" spans="1:18" x14ac:dyDescent="0.3">
      <c r="A34" s="523" t="s">
        <v>1052</v>
      </c>
      <c r="B34" s="159">
        <v>1</v>
      </c>
      <c r="C34" s="159" t="s">
        <v>49</v>
      </c>
      <c r="D34" s="510">
        <v>0.7</v>
      </c>
      <c r="E34" s="510">
        <v>0.7</v>
      </c>
      <c r="F34" s="510"/>
      <c r="G34" s="510"/>
      <c r="H34" s="510"/>
      <c r="I34" s="510">
        <v>0.65</v>
      </c>
      <c r="J34" s="510">
        <v>1</v>
      </c>
      <c r="K34" s="510">
        <f t="shared" si="6"/>
        <v>4.05</v>
      </c>
      <c r="L34" s="510">
        <f t="shared" si="7"/>
        <v>1.8199999999999998</v>
      </c>
      <c r="M34" s="510">
        <f t="shared" si="8"/>
        <v>0.31849999999999995</v>
      </c>
      <c r="N34" s="510">
        <f t="shared" si="9"/>
        <v>1.8589999999999995</v>
      </c>
      <c r="O34" s="510">
        <f t="shared" si="10"/>
        <v>1.3833249999999997</v>
      </c>
      <c r="P34" s="510">
        <f>0.15*0.4*0.4+(0.58+0.45+0.58)*0.15*0.45</f>
        <v>0.13267499999999999</v>
      </c>
      <c r="Q34" s="510">
        <f t="shared" si="11"/>
        <v>2.4499999999999997E-2</v>
      </c>
      <c r="R34" s="524"/>
    </row>
    <row r="35" spans="1:18" x14ac:dyDescent="0.3">
      <c r="A35" s="523" t="s">
        <v>1053</v>
      </c>
      <c r="B35" s="159">
        <v>1</v>
      </c>
      <c r="C35" s="159" t="s">
        <v>49</v>
      </c>
      <c r="D35" s="510">
        <v>0.7</v>
      </c>
      <c r="E35" s="510">
        <v>0.7</v>
      </c>
      <c r="F35" s="510"/>
      <c r="G35" s="510"/>
      <c r="H35" s="510"/>
      <c r="I35" s="510">
        <v>0.65</v>
      </c>
      <c r="J35" s="510">
        <v>1</v>
      </c>
      <c r="K35" s="510">
        <f t="shared" si="6"/>
        <v>4.05</v>
      </c>
      <c r="L35" s="510">
        <f t="shared" si="7"/>
        <v>1.8199999999999998</v>
      </c>
      <c r="M35" s="510">
        <f t="shared" si="8"/>
        <v>0.31849999999999995</v>
      </c>
      <c r="N35" s="510">
        <f t="shared" si="9"/>
        <v>1.8589999999999995</v>
      </c>
      <c r="O35" s="510">
        <f t="shared" si="10"/>
        <v>1.3833249999999997</v>
      </c>
      <c r="P35" s="510">
        <f>0.15*0.4*0.4+(0.58+0.45+0.58)*0.15*0.45</f>
        <v>0.13267499999999999</v>
      </c>
      <c r="Q35" s="510">
        <f t="shared" si="11"/>
        <v>2.4499999999999997E-2</v>
      </c>
      <c r="R35" s="524"/>
    </row>
    <row r="36" spans="1:18" x14ac:dyDescent="0.3">
      <c r="A36" s="523" t="s">
        <v>1054</v>
      </c>
      <c r="B36" s="159">
        <v>1</v>
      </c>
      <c r="C36" s="159" t="s">
        <v>49</v>
      </c>
      <c r="D36" s="510">
        <v>0.7</v>
      </c>
      <c r="E36" s="510">
        <v>0.7</v>
      </c>
      <c r="F36" s="510"/>
      <c r="G36" s="510"/>
      <c r="H36" s="510"/>
      <c r="I36" s="510">
        <v>0.65</v>
      </c>
      <c r="J36" s="510">
        <v>1</v>
      </c>
      <c r="K36" s="510">
        <f t="shared" si="6"/>
        <v>4.05</v>
      </c>
      <c r="L36" s="510">
        <f t="shared" si="7"/>
        <v>1.8199999999999998</v>
      </c>
      <c r="M36" s="510">
        <f t="shared" si="8"/>
        <v>0.31849999999999995</v>
      </c>
      <c r="N36" s="510">
        <f t="shared" si="9"/>
        <v>1.8589999999999995</v>
      </c>
      <c r="O36" s="510">
        <f t="shared" si="10"/>
        <v>1.3550499999999996</v>
      </c>
      <c r="P36" s="510">
        <f>0.15*0.5*0.4+(0.57+0.57+0.4+0.4)*0.15*0.45</f>
        <v>0.16094999999999998</v>
      </c>
      <c r="Q36" s="510">
        <f t="shared" si="11"/>
        <v>2.4499999999999997E-2</v>
      </c>
      <c r="R36" s="524"/>
    </row>
    <row r="37" spans="1:18" x14ac:dyDescent="0.3">
      <c r="A37" s="523" t="s">
        <v>1055</v>
      </c>
      <c r="B37" s="159">
        <v>1</v>
      </c>
      <c r="C37" s="159" t="s">
        <v>49</v>
      </c>
      <c r="D37" s="510">
        <v>0.7</v>
      </c>
      <c r="E37" s="510">
        <v>0.7</v>
      </c>
      <c r="F37" s="510"/>
      <c r="G37" s="510"/>
      <c r="H37" s="510"/>
      <c r="I37" s="510">
        <v>0.65</v>
      </c>
      <c r="J37" s="510">
        <v>1</v>
      </c>
      <c r="K37" s="510">
        <f t="shared" si="6"/>
        <v>4.05</v>
      </c>
      <c r="L37" s="510">
        <f t="shared" si="7"/>
        <v>1.8199999999999998</v>
      </c>
      <c r="M37" s="510">
        <f t="shared" si="8"/>
        <v>0.31849999999999995</v>
      </c>
      <c r="N37" s="510">
        <f t="shared" si="9"/>
        <v>1.8589999999999995</v>
      </c>
      <c r="O37" s="510">
        <f t="shared" si="10"/>
        <v>1.3638499999999996</v>
      </c>
      <c r="P37" s="510">
        <f>0.2*0.4*0.4+(0.55+0.68+0.55)*0.15*0.45</f>
        <v>0.15215000000000001</v>
      </c>
      <c r="Q37" s="510">
        <f t="shared" si="11"/>
        <v>2.4499999999999997E-2</v>
      </c>
      <c r="R37" s="524"/>
    </row>
    <row r="38" spans="1:18" x14ac:dyDescent="0.3">
      <c r="A38" s="523" t="s">
        <v>1056</v>
      </c>
      <c r="B38" s="159">
        <v>1</v>
      </c>
      <c r="C38" s="159" t="s">
        <v>49</v>
      </c>
      <c r="D38" s="510">
        <v>0.7</v>
      </c>
      <c r="E38" s="510">
        <v>0.7</v>
      </c>
      <c r="F38" s="510"/>
      <c r="G38" s="510"/>
      <c r="H38" s="510"/>
      <c r="I38" s="510">
        <v>0.65</v>
      </c>
      <c r="J38" s="510">
        <v>1</v>
      </c>
      <c r="K38" s="510">
        <f t="shared" si="6"/>
        <v>4.05</v>
      </c>
      <c r="L38" s="510">
        <f t="shared" si="7"/>
        <v>1.8199999999999998</v>
      </c>
      <c r="M38" s="510">
        <f t="shared" si="8"/>
        <v>0.31849999999999995</v>
      </c>
      <c r="N38" s="510">
        <f t="shared" si="9"/>
        <v>1.8589999999999995</v>
      </c>
      <c r="O38" s="510">
        <f t="shared" si="10"/>
        <v>1.3833249999999997</v>
      </c>
      <c r="P38" s="510">
        <f>0.15*0.4*0.4+(0.58+0.45+0.58)*0.15*0.45</f>
        <v>0.13267499999999999</v>
      </c>
      <c r="Q38" s="510">
        <f t="shared" si="11"/>
        <v>2.4499999999999997E-2</v>
      </c>
      <c r="R38" s="524"/>
    </row>
    <row r="39" spans="1:18" x14ac:dyDescent="0.3">
      <c r="A39" s="523" t="s">
        <v>1057</v>
      </c>
      <c r="B39" s="159">
        <v>1</v>
      </c>
      <c r="C39" s="159" t="s">
        <v>49</v>
      </c>
      <c r="D39" s="510">
        <v>0.7</v>
      </c>
      <c r="E39" s="510">
        <v>0.7</v>
      </c>
      <c r="F39" s="510"/>
      <c r="G39" s="510"/>
      <c r="H39" s="510"/>
      <c r="I39" s="510">
        <v>0.65</v>
      </c>
      <c r="J39" s="510">
        <v>1</v>
      </c>
      <c r="K39" s="510">
        <f t="shared" si="6"/>
        <v>4.05</v>
      </c>
      <c r="L39" s="510">
        <f t="shared" si="7"/>
        <v>1.8199999999999998</v>
      </c>
      <c r="M39" s="510">
        <f t="shared" si="8"/>
        <v>0.31849999999999995</v>
      </c>
      <c r="N39" s="510">
        <f t="shared" si="9"/>
        <v>1.8589999999999995</v>
      </c>
      <c r="O39" s="510">
        <f t="shared" si="10"/>
        <v>1.3489999999999995</v>
      </c>
      <c r="P39" s="510">
        <f>0.2*0.4*0.4+(0.45+0.45+0.55+0.55)*0.15*0.45</f>
        <v>0.16700000000000001</v>
      </c>
      <c r="Q39" s="510">
        <f t="shared" si="11"/>
        <v>2.4499999999999997E-2</v>
      </c>
      <c r="R39" s="524"/>
    </row>
    <row r="40" spans="1:18" x14ac:dyDescent="0.3">
      <c r="A40" s="523" t="s">
        <v>1058</v>
      </c>
      <c r="B40" s="159">
        <v>1</v>
      </c>
      <c r="C40" s="159" t="s">
        <v>49</v>
      </c>
      <c r="D40" s="510">
        <v>0.7</v>
      </c>
      <c r="E40" s="510">
        <v>0.7</v>
      </c>
      <c r="F40" s="510"/>
      <c r="G40" s="510"/>
      <c r="H40" s="510"/>
      <c r="I40" s="510">
        <v>0.65</v>
      </c>
      <c r="J40" s="510">
        <v>1</v>
      </c>
      <c r="K40" s="510">
        <f t="shared" si="6"/>
        <v>4.05</v>
      </c>
      <c r="L40" s="510">
        <f t="shared" si="7"/>
        <v>1.8199999999999998</v>
      </c>
      <c r="M40" s="510">
        <f t="shared" si="8"/>
        <v>0.31849999999999995</v>
      </c>
      <c r="N40" s="510">
        <f t="shared" si="9"/>
        <v>1.8589999999999995</v>
      </c>
      <c r="O40" s="510">
        <f t="shared" si="10"/>
        <v>1.3833249999999997</v>
      </c>
      <c r="P40" s="510">
        <f>0.15*0.4*0.4+(0.58+0.45+0.58)*0.15*0.45</f>
        <v>0.13267499999999999</v>
      </c>
      <c r="Q40" s="510">
        <f t="shared" si="11"/>
        <v>2.4499999999999997E-2</v>
      </c>
      <c r="R40" s="524"/>
    </row>
    <row r="41" spans="1:18" x14ac:dyDescent="0.3">
      <c r="A41" s="523" t="s">
        <v>1059</v>
      </c>
      <c r="B41" s="159">
        <v>1</v>
      </c>
      <c r="C41" s="159" t="s">
        <v>49</v>
      </c>
      <c r="D41" s="510">
        <v>0.7</v>
      </c>
      <c r="E41" s="510">
        <v>0.7</v>
      </c>
      <c r="F41" s="510"/>
      <c r="G41" s="510"/>
      <c r="H41" s="510"/>
      <c r="I41" s="510">
        <v>0.65</v>
      </c>
      <c r="J41" s="510">
        <v>1</v>
      </c>
      <c r="K41" s="510">
        <f t="shared" si="6"/>
        <v>4.05</v>
      </c>
      <c r="L41" s="510">
        <f t="shared" si="7"/>
        <v>1.8199999999999998</v>
      </c>
      <c r="M41" s="510">
        <f t="shared" si="8"/>
        <v>0.31849999999999995</v>
      </c>
      <c r="N41" s="510">
        <f t="shared" si="9"/>
        <v>1.8589999999999995</v>
      </c>
      <c r="O41" s="510">
        <f t="shared" si="10"/>
        <v>1.4224749999999995</v>
      </c>
      <c r="P41" s="510">
        <f>0.15*0.4*0.4+(0.58+0.45)*0.15*0.45</f>
        <v>9.3524999999999997E-2</v>
      </c>
      <c r="Q41" s="510">
        <f t="shared" si="11"/>
        <v>2.4499999999999997E-2</v>
      </c>
      <c r="R41" s="524"/>
    </row>
    <row r="42" spans="1:18" x14ac:dyDescent="0.3">
      <c r="A42" s="523" t="s">
        <v>1060</v>
      </c>
      <c r="B42" s="159">
        <v>1</v>
      </c>
      <c r="C42" s="159" t="s">
        <v>49</v>
      </c>
      <c r="D42" s="510">
        <v>0.7</v>
      </c>
      <c r="E42" s="510">
        <v>0.7</v>
      </c>
      <c r="F42" s="510"/>
      <c r="G42" s="510"/>
      <c r="H42" s="510"/>
      <c r="I42" s="510">
        <v>0.65</v>
      </c>
      <c r="J42" s="510">
        <v>1</v>
      </c>
      <c r="K42" s="510">
        <f t="shared" si="6"/>
        <v>4.05</v>
      </c>
      <c r="L42" s="510">
        <f t="shared" si="7"/>
        <v>1.8199999999999998</v>
      </c>
      <c r="M42" s="510">
        <f t="shared" si="8"/>
        <v>0.31849999999999995</v>
      </c>
      <c r="N42" s="510">
        <f t="shared" si="9"/>
        <v>1.8589999999999995</v>
      </c>
      <c r="O42" s="510">
        <f t="shared" si="10"/>
        <v>1.3861249999999996</v>
      </c>
      <c r="P42" s="510">
        <f>0.2*0.4*0.4+(0.45+0.45+0.55)*0.15*0.45</f>
        <v>0.12987500000000002</v>
      </c>
      <c r="Q42" s="510">
        <f t="shared" si="11"/>
        <v>2.4499999999999997E-2</v>
      </c>
      <c r="R42" s="524"/>
    </row>
    <row r="43" spans="1:18" ht="15" thickBot="1" x14ac:dyDescent="0.35">
      <c r="A43" s="523" t="s">
        <v>1061</v>
      </c>
      <c r="B43" s="159">
        <v>1</v>
      </c>
      <c r="C43" s="159" t="s">
        <v>49</v>
      </c>
      <c r="D43" s="510">
        <v>0.7</v>
      </c>
      <c r="E43" s="510">
        <v>0.7</v>
      </c>
      <c r="F43" s="510"/>
      <c r="G43" s="510"/>
      <c r="H43" s="510"/>
      <c r="I43" s="510">
        <v>0.65</v>
      </c>
      <c r="J43" s="510">
        <v>1</v>
      </c>
      <c r="K43" s="510">
        <f t="shared" ref="K43:K115" si="12">J43*($Q$15+I43+$Q$13)</f>
        <v>4.05</v>
      </c>
      <c r="L43" s="510">
        <f t="shared" si="7"/>
        <v>1.8199999999999998</v>
      </c>
      <c r="M43" s="510">
        <f t="shared" si="8"/>
        <v>0.31849999999999995</v>
      </c>
      <c r="N43" s="510">
        <f t="shared" si="9"/>
        <v>1.8589999999999995</v>
      </c>
      <c r="O43" s="510">
        <f t="shared" ref="O43:O115" si="13">N43-(M43+Q43+P43)</f>
        <v>1.4224749999999995</v>
      </c>
      <c r="P43" s="510">
        <f>0.15*0.4*0.4+(0.58+0.45)*0.15*0.45</f>
        <v>9.3524999999999997E-2</v>
      </c>
      <c r="Q43" s="510">
        <f t="shared" si="11"/>
        <v>2.4499999999999997E-2</v>
      </c>
      <c r="R43" s="524"/>
    </row>
    <row r="44" spans="1:18" x14ac:dyDescent="0.3">
      <c r="A44" s="609" t="s">
        <v>281</v>
      </c>
      <c r="B44" s="609"/>
      <c r="C44" s="609"/>
      <c r="D44" s="609"/>
      <c r="E44" s="609"/>
      <c r="F44" s="609"/>
      <c r="G44" s="609"/>
      <c r="H44" s="609"/>
      <c r="I44" s="609"/>
      <c r="J44" s="609"/>
      <c r="K44" s="609"/>
      <c r="L44" s="609"/>
      <c r="M44" s="609"/>
      <c r="N44" s="609"/>
      <c r="O44" s="609"/>
      <c r="P44" s="609"/>
      <c r="Q44" s="610"/>
      <c r="R44" s="471"/>
    </row>
    <row r="45" spans="1:18" x14ac:dyDescent="0.3">
      <c r="A45" s="523" t="s">
        <v>1062</v>
      </c>
      <c r="B45" s="159">
        <v>1</v>
      </c>
      <c r="C45" s="159" t="s">
        <v>49</v>
      </c>
      <c r="D45" s="510">
        <v>2.16</v>
      </c>
      <c r="E45" s="510">
        <v>0.96</v>
      </c>
      <c r="F45" s="510"/>
      <c r="G45" s="510"/>
      <c r="H45" s="510"/>
      <c r="I45" s="510">
        <v>0.75</v>
      </c>
      <c r="J45" s="510">
        <v>2</v>
      </c>
      <c r="K45" s="510">
        <f t="shared" ref="K45:K103" si="14">J45*($Q$15+I45+$Q$13)</f>
        <v>8.3000000000000007</v>
      </c>
      <c r="L45" s="510">
        <f t="shared" ref="L45:L97" si="15">(D45*2+E45*2)*I45</f>
        <v>4.68</v>
      </c>
      <c r="M45" s="510">
        <f t="shared" ref="M45:M97" si="16">((D45*E45*I45))*B45</f>
        <v>1.5551999999999999</v>
      </c>
      <c r="N45" s="510">
        <f t="shared" ref="N45:N50" si="17">(D45+$Q$14*2)*(E45+$Q$14*2)*(I45+$Q$16+$Q$13)</f>
        <v>5.1667200000000006</v>
      </c>
      <c r="O45" s="510">
        <f t="shared" ref="O45:O103" si="18">N45-(M45+Q45+P45)</f>
        <v>3.2537400000000005</v>
      </c>
      <c r="P45" s="510">
        <f>0.15*0.95*0.4+(1.31+1.31+0.3)*0.15*0.45</f>
        <v>0.25409999999999999</v>
      </c>
      <c r="Q45" s="510">
        <f t="shared" ref="Q45:Q97" si="19">D45*E45*$Q$16*B45</f>
        <v>0.10367999999999999</v>
      </c>
      <c r="R45" s="524"/>
    </row>
    <row r="46" spans="1:18" x14ac:dyDescent="0.3">
      <c r="A46" s="523" t="s">
        <v>1063</v>
      </c>
      <c r="B46" s="159">
        <v>1</v>
      </c>
      <c r="C46" s="159" t="s">
        <v>49</v>
      </c>
      <c r="D46" s="510">
        <v>2.16</v>
      </c>
      <c r="E46" s="510">
        <v>0.96</v>
      </c>
      <c r="F46" s="510"/>
      <c r="G46" s="510"/>
      <c r="H46" s="510"/>
      <c r="I46" s="510">
        <v>0.75</v>
      </c>
      <c r="J46" s="510">
        <v>2</v>
      </c>
      <c r="K46" s="510">
        <f t="shared" ref="K46:K71" si="20">J46*($Q$15+I46+$Q$13)</f>
        <v>8.3000000000000007</v>
      </c>
      <c r="L46" s="510">
        <f t="shared" si="15"/>
        <v>4.68</v>
      </c>
      <c r="M46" s="510">
        <f t="shared" si="16"/>
        <v>1.5551999999999999</v>
      </c>
      <c r="N46" s="510">
        <f t="shared" si="17"/>
        <v>5.1667200000000006</v>
      </c>
      <c r="O46" s="510">
        <f t="shared" ref="O46:O71" si="21">N46-(M46+Q46+P46)</f>
        <v>3.0093900000000007</v>
      </c>
      <c r="P46" s="510">
        <f>0.15*0.95*0.4+(1.31+1.31+0.65+0.65+1.31+1.31)*0.15*0.45</f>
        <v>0.49845000000000006</v>
      </c>
      <c r="Q46" s="510">
        <f t="shared" si="19"/>
        <v>0.10367999999999999</v>
      </c>
      <c r="R46" s="524"/>
    </row>
    <row r="47" spans="1:18" x14ac:dyDescent="0.3">
      <c r="A47" s="523" t="s">
        <v>1064</v>
      </c>
      <c r="B47" s="159">
        <v>1</v>
      </c>
      <c r="C47" s="159" t="s">
        <v>49</v>
      </c>
      <c r="D47" s="510">
        <v>2.16</v>
      </c>
      <c r="E47" s="510">
        <v>0.96</v>
      </c>
      <c r="F47" s="510"/>
      <c r="G47" s="510"/>
      <c r="H47" s="510"/>
      <c r="I47" s="510">
        <v>0.75</v>
      </c>
      <c r="J47" s="510">
        <v>2</v>
      </c>
      <c r="K47" s="510">
        <f t="shared" si="20"/>
        <v>8.3000000000000007</v>
      </c>
      <c r="L47" s="510">
        <f t="shared" si="15"/>
        <v>4.68</v>
      </c>
      <c r="M47" s="510">
        <f t="shared" si="16"/>
        <v>1.5551999999999999</v>
      </c>
      <c r="N47" s="510">
        <f t="shared" si="17"/>
        <v>5.1667200000000006</v>
      </c>
      <c r="O47" s="510">
        <f t="shared" si="21"/>
        <v>3.0093900000000007</v>
      </c>
      <c r="P47" s="510">
        <f>0.15*0.95*0.4+(1.31+1.31+0.65+0.65+1.31+1.31)*0.15*0.45</f>
        <v>0.49845000000000006</v>
      </c>
      <c r="Q47" s="510">
        <f t="shared" si="19"/>
        <v>0.10367999999999999</v>
      </c>
      <c r="R47" s="524"/>
    </row>
    <row r="48" spans="1:18" x14ac:dyDescent="0.3">
      <c r="A48" s="523" t="s">
        <v>1065</v>
      </c>
      <c r="B48" s="159">
        <v>1</v>
      </c>
      <c r="C48" s="159" t="s">
        <v>49</v>
      </c>
      <c r="D48" s="510">
        <v>2.16</v>
      </c>
      <c r="E48" s="510">
        <v>0.96</v>
      </c>
      <c r="F48" s="510"/>
      <c r="G48" s="510"/>
      <c r="H48" s="510"/>
      <c r="I48" s="510">
        <v>0.75</v>
      </c>
      <c r="J48" s="510">
        <v>2</v>
      </c>
      <c r="K48" s="510">
        <f t="shared" si="20"/>
        <v>8.3000000000000007</v>
      </c>
      <c r="L48" s="510">
        <f t="shared" si="15"/>
        <v>4.68</v>
      </c>
      <c r="M48" s="510">
        <f t="shared" si="16"/>
        <v>1.5551999999999999</v>
      </c>
      <c r="N48" s="510">
        <f t="shared" si="17"/>
        <v>5.1667200000000006</v>
      </c>
      <c r="O48" s="510">
        <f t="shared" si="21"/>
        <v>3.0093900000000007</v>
      </c>
      <c r="P48" s="510">
        <f>0.15*0.95*0.4+(1.31+1.31+0.65+0.65+1.31+1.31)*0.15*0.45</f>
        <v>0.49845000000000006</v>
      </c>
      <c r="Q48" s="510">
        <f t="shared" si="19"/>
        <v>0.10367999999999999</v>
      </c>
      <c r="R48" s="524"/>
    </row>
    <row r="49" spans="1:18" x14ac:dyDescent="0.3">
      <c r="A49" s="523" t="s">
        <v>1066</v>
      </c>
      <c r="B49" s="159">
        <v>1</v>
      </c>
      <c r="C49" s="159" t="s">
        <v>49</v>
      </c>
      <c r="D49" s="510">
        <v>2.16</v>
      </c>
      <c r="E49" s="510">
        <v>0.96</v>
      </c>
      <c r="F49" s="510"/>
      <c r="G49" s="510"/>
      <c r="H49" s="510"/>
      <c r="I49" s="510">
        <v>0.75</v>
      </c>
      <c r="J49" s="510">
        <v>2</v>
      </c>
      <c r="K49" s="510">
        <f t="shared" si="20"/>
        <v>8.3000000000000007</v>
      </c>
      <c r="L49" s="510">
        <f t="shared" si="15"/>
        <v>4.68</v>
      </c>
      <c r="M49" s="510">
        <f t="shared" si="16"/>
        <v>1.5551999999999999</v>
      </c>
      <c r="N49" s="510">
        <f t="shared" si="17"/>
        <v>5.1667200000000006</v>
      </c>
      <c r="O49" s="510">
        <f t="shared" si="21"/>
        <v>3.0093900000000007</v>
      </c>
      <c r="P49" s="510">
        <f>0.15*0.95*0.4+(1.31+1.31+0.65+0.65+1.31+1.31)*0.15*0.45</f>
        <v>0.49845000000000006</v>
      </c>
      <c r="Q49" s="510">
        <f t="shared" si="19"/>
        <v>0.10367999999999999</v>
      </c>
      <c r="R49" s="524"/>
    </row>
    <row r="50" spans="1:18" x14ac:dyDescent="0.3">
      <c r="A50" s="523" t="s">
        <v>1067</v>
      </c>
      <c r="B50" s="159">
        <v>1</v>
      </c>
      <c r="C50" s="159" t="s">
        <v>49</v>
      </c>
      <c r="D50" s="510">
        <v>2.16</v>
      </c>
      <c r="E50" s="510">
        <v>0.96</v>
      </c>
      <c r="F50" s="510"/>
      <c r="G50" s="510"/>
      <c r="H50" s="510"/>
      <c r="I50" s="510">
        <v>0.75</v>
      </c>
      <c r="J50" s="510">
        <v>2</v>
      </c>
      <c r="K50" s="510">
        <f t="shared" si="20"/>
        <v>8.3000000000000007</v>
      </c>
      <c r="L50" s="510">
        <f t="shared" si="15"/>
        <v>4.68</v>
      </c>
      <c r="M50" s="510">
        <f t="shared" si="16"/>
        <v>1.5551999999999999</v>
      </c>
      <c r="N50" s="510">
        <f t="shared" si="17"/>
        <v>5.1667200000000006</v>
      </c>
      <c r="O50" s="510">
        <f t="shared" si="21"/>
        <v>3.2537400000000005</v>
      </c>
      <c r="P50" s="510">
        <f>0.15*0.95*0.4+(1.31+1.31+0.3)*0.15*0.45</f>
        <v>0.25409999999999999</v>
      </c>
      <c r="Q50" s="510">
        <f t="shared" si="19"/>
        <v>0.10367999999999999</v>
      </c>
      <c r="R50" s="524"/>
    </row>
    <row r="51" spans="1:18" x14ac:dyDescent="0.3">
      <c r="A51" s="523" t="s">
        <v>1068</v>
      </c>
      <c r="B51" s="159">
        <v>1</v>
      </c>
      <c r="C51" s="159" t="s">
        <v>49</v>
      </c>
      <c r="D51" s="510">
        <v>1.9</v>
      </c>
      <c r="E51" s="510">
        <v>0.7</v>
      </c>
      <c r="F51" s="510"/>
      <c r="G51" s="510"/>
      <c r="H51" s="510"/>
      <c r="I51" s="510">
        <v>0.75</v>
      </c>
      <c r="J51" s="510">
        <v>2</v>
      </c>
      <c r="K51" s="510">
        <f t="shared" si="20"/>
        <v>8.3000000000000007</v>
      </c>
      <c r="L51" s="510">
        <f t="shared" si="15"/>
        <v>3.8999999999999995</v>
      </c>
      <c r="M51" s="510">
        <f t="shared" si="16"/>
        <v>0.99749999999999983</v>
      </c>
      <c r="N51" s="510">
        <f>(D51+$Q$14*2)*(E51+$Q$14*2)*(I51+$Q$16+$Q$13)-(0.88*0.53*($I51+$Q$13+$Q$16))</f>
        <v>3.3403199999999997</v>
      </c>
      <c r="O51" s="510">
        <f t="shared" si="21"/>
        <v>2.0402199999999997</v>
      </c>
      <c r="P51" s="510">
        <f>0.15*0.65*0.4+(0.65+0.33+1.18+0.43+0.33)*0.15*0.45</f>
        <v>0.23610000000000003</v>
      </c>
      <c r="Q51" s="510">
        <f t="shared" si="19"/>
        <v>6.649999999999999E-2</v>
      </c>
      <c r="R51" s="524"/>
    </row>
    <row r="52" spans="1:18" x14ac:dyDescent="0.3">
      <c r="A52" s="523" t="s">
        <v>1069</v>
      </c>
      <c r="B52" s="159">
        <v>1</v>
      </c>
      <c r="C52" s="159" t="s">
        <v>49</v>
      </c>
      <c r="D52" s="510">
        <v>1.9</v>
      </c>
      <c r="E52" s="510">
        <v>0.7</v>
      </c>
      <c r="F52" s="510"/>
      <c r="G52" s="510"/>
      <c r="H52" s="510"/>
      <c r="I52" s="510">
        <v>0.75</v>
      </c>
      <c r="J52" s="510">
        <v>2</v>
      </c>
      <c r="K52" s="510">
        <f t="shared" si="20"/>
        <v>8.3000000000000007</v>
      </c>
      <c r="L52" s="510">
        <f t="shared" si="15"/>
        <v>3.8999999999999995</v>
      </c>
      <c r="M52" s="510">
        <f t="shared" si="16"/>
        <v>0.99749999999999983</v>
      </c>
      <c r="N52" s="510">
        <f>(D52+$Q$14*2)*(E52+$Q$14*2)*(I52+$Q$16+$Q$13)</f>
        <v>3.9</v>
      </c>
      <c r="O52" s="510">
        <f t="shared" si="21"/>
        <v>2.5931500000000001</v>
      </c>
      <c r="P52" s="510">
        <f>0.15*0.65*0.4+(0.33+1.18+1.18+0.33)*0.15*0.45</f>
        <v>0.24284999999999998</v>
      </c>
      <c r="Q52" s="510">
        <f t="shared" si="19"/>
        <v>6.649999999999999E-2</v>
      </c>
      <c r="R52" s="524"/>
    </row>
    <row r="53" spans="1:18" x14ac:dyDescent="0.3">
      <c r="A53" s="523" t="s">
        <v>1070</v>
      </c>
      <c r="B53" s="159">
        <v>1</v>
      </c>
      <c r="C53" s="159" t="s">
        <v>49</v>
      </c>
      <c r="D53" s="510">
        <v>1.9</v>
      </c>
      <c r="E53" s="510">
        <v>0.7</v>
      </c>
      <c r="F53" s="510"/>
      <c r="G53" s="510"/>
      <c r="H53" s="510"/>
      <c r="I53" s="510">
        <v>0.75</v>
      </c>
      <c r="J53" s="510">
        <v>2</v>
      </c>
      <c r="K53" s="510">
        <f t="shared" si="20"/>
        <v>8.3000000000000007</v>
      </c>
      <c r="L53" s="510">
        <f t="shared" si="15"/>
        <v>3.8999999999999995</v>
      </c>
      <c r="M53" s="510">
        <f t="shared" si="16"/>
        <v>0.99749999999999983</v>
      </c>
      <c r="N53" s="510">
        <f>(D53+$Q$14*2)*(E53+$Q$14*2)*(I53+$Q$16+$Q$13)-(0.88*0.53*($I53+$Q$13+$Q$16))</f>
        <v>3.3403199999999997</v>
      </c>
      <c r="O53" s="510">
        <f t="shared" si="21"/>
        <v>2.0402199999999997</v>
      </c>
      <c r="P53" s="510">
        <f>0.15*0.65*0.4+(0.65+0.33+1.18+0.43+0.33)*0.15*0.45</f>
        <v>0.23610000000000003</v>
      </c>
      <c r="Q53" s="510">
        <f t="shared" si="19"/>
        <v>6.649999999999999E-2</v>
      </c>
      <c r="R53" s="524"/>
    </row>
    <row r="54" spans="1:18" x14ac:dyDescent="0.3">
      <c r="A54" s="523" t="s">
        <v>1071</v>
      </c>
      <c r="B54" s="159">
        <v>1</v>
      </c>
      <c r="C54" s="159" t="s">
        <v>49</v>
      </c>
      <c r="D54" s="510">
        <v>1.9</v>
      </c>
      <c r="E54" s="510">
        <v>0.7</v>
      </c>
      <c r="F54" s="510"/>
      <c r="G54" s="510"/>
      <c r="H54" s="510"/>
      <c r="I54" s="510">
        <v>0.75</v>
      </c>
      <c r="J54" s="510">
        <v>2</v>
      </c>
      <c r="K54" s="510">
        <f t="shared" si="20"/>
        <v>8.3000000000000007</v>
      </c>
      <c r="L54" s="510">
        <f t="shared" si="15"/>
        <v>3.8999999999999995</v>
      </c>
      <c r="M54" s="510">
        <f t="shared" si="16"/>
        <v>0.99749999999999983</v>
      </c>
      <c r="N54" s="510">
        <f>(D54+$Q$14*2)*(E54+$Q$14*2)*(I54+$Q$16+$Q$13)</f>
        <v>3.9</v>
      </c>
      <c r="O54" s="510">
        <f t="shared" si="21"/>
        <v>2.5931500000000001</v>
      </c>
      <c r="P54" s="510">
        <f>0.15*0.65*0.4+(0.33+1.18+1.18+0.33)*0.15*0.45</f>
        <v>0.24284999999999998</v>
      </c>
      <c r="Q54" s="510">
        <f t="shared" si="19"/>
        <v>6.649999999999999E-2</v>
      </c>
      <c r="R54" s="524"/>
    </row>
    <row r="55" spans="1:18" x14ac:dyDescent="0.3">
      <c r="A55" s="523" t="s">
        <v>1072</v>
      </c>
      <c r="B55" s="159">
        <v>1</v>
      </c>
      <c r="C55" s="159" t="s">
        <v>49</v>
      </c>
      <c r="D55" s="510">
        <v>1.9</v>
      </c>
      <c r="E55" s="510">
        <v>0.7</v>
      </c>
      <c r="F55" s="510"/>
      <c r="G55" s="510"/>
      <c r="H55" s="510"/>
      <c r="I55" s="510">
        <v>0.75</v>
      </c>
      <c r="J55" s="510">
        <v>2</v>
      </c>
      <c r="K55" s="510">
        <f t="shared" si="20"/>
        <v>8.3000000000000007</v>
      </c>
      <c r="L55" s="510">
        <f t="shared" si="15"/>
        <v>3.8999999999999995</v>
      </c>
      <c r="M55" s="510">
        <f t="shared" si="16"/>
        <v>0.99749999999999983</v>
      </c>
      <c r="N55" s="510">
        <f>(D55+$Q$14*2)*(E55+$Q$14*2)*(I55+$Q$16+$Q$13)-(0.88*0.53*($I55+$Q$13+$Q$16))</f>
        <v>3.3403199999999997</v>
      </c>
      <c r="O55" s="510">
        <f t="shared" si="21"/>
        <v>2.0402199999999997</v>
      </c>
      <c r="P55" s="510">
        <f>0.15*0.65*0.4+(0.65+0.33+1.18+0.43+0.33)*0.15*0.45</f>
        <v>0.23610000000000003</v>
      </c>
      <c r="Q55" s="510">
        <f t="shared" si="19"/>
        <v>6.649999999999999E-2</v>
      </c>
      <c r="R55" s="524"/>
    </row>
    <row r="56" spans="1:18" x14ac:dyDescent="0.3">
      <c r="A56" s="523" t="s">
        <v>1073</v>
      </c>
      <c r="B56" s="159">
        <v>1</v>
      </c>
      <c r="C56" s="159" t="s">
        <v>49</v>
      </c>
      <c r="D56" s="510">
        <v>0.7</v>
      </c>
      <c r="E56" s="510">
        <v>0.7</v>
      </c>
      <c r="F56" s="510"/>
      <c r="G56" s="510"/>
      <c r="H56" s="510"/>
      <c r="I56" s="510">
        <v>0.65</v>
      </c>
      <c r="J56" s="510">
        <v>1</v>
      </c>
      <c r="K56" s="510">
        <f t="shared" si="20"/>
        <v>4.05</v>
      </c>
      <c r="L56" s="510">
        <f t="shared" si="15"/>
        <v>1.8199999999999998</v>
      </c>
      <c r="M56" s="510">
        <f t="shared" si="16"/>
        <v>0.31849999999999995</v>
      </c>
      <c r="N56" s="510">
        <f t="shared" ref="N56:N115" si="22">(D56+$Q$14*2)*(E56+$Q$14*2)*(I56+$Q$16+$Q$13)</f>
        <v>1.8589999999999995</v>
      </c>
      <c r="O56" s="510">
        <f t="shared" si="21"/>
        <v>1.3794749999999996</v>
      </c>
      <c r="P56" s="510">
        <f>0.25*0.4*0.4+(0.45+0.45+0.53)*0.15*0.45</f>
        <v>0.13652500000000001</v>
      </c>
      <c r="Q56" s="510">
        <f t="shared" si="19"/>
        <v>2.4499999999999997E-2</v>
      </c>
      <c r="R56" s="524"/>
    </row>
    <row r="57" spans="1:18" x14ac:dyDescent="0.3">
      <c r="A57" s="523" t="s">
        <v>1074</v>
      </c>
      <c r="B57" s="159">
        <v>1</v>
      </c>
      <c r="C57" s="159" t="s">
        <v>49</v>
      </c>
      <c r="D57" s="510">
        <v>0.7</v>
      </c>
      <c r="E57" s="510">
        <v>0.7</v>
      </c>
      <c r="F57" s="510"/>
      <c r="G57" s="510"/>
      <c r="H57" s="510"/>
      <c r="I57" s="510">
        <v>0.65</v>
      </c>
      <c r="J57" s="510">
        <v>1</v>
      </c>
      <c r="K57" s="510">
        <f t="shared" si="20"/>
        <v>4.05</v>
      </c>
      <c r="L57" s="510">
        <f t="shared" si="15"/>
        <v>1.8199999999999998</v>
      </c>
      <c r="M57" s="510">
        <f t="shared" si="16"/>
        <v>0.31849999999999995</v>
      </c>
      <c r="N57" s="510">
        <f t="shared" si="22"/>
        <v>1.8589999999999995</v>
      </c>
      <c r="O57" s="510">
        <f t="shared" si="21"/>
        <v>1.3489999999999995</v>
      </c>
      <c r="P57" s="510">
        <f>0.2*0.4*0.4+(0.45+0.45+0.55+0.55)*0.15*0.45</f>
        <v>0.16700000000000001</v>
      </c>
      <c r="Q57" s="510">
        <f t="shared" si="19"/>
        <v>2.4499999999999997E-2</v>
      </c>
      <c r="R57" s="524"/>
    </row>
    <row r="58" spans="1:18" x14ac:dyDescent="0.3">
      <c r="A58" s="523" t="s">
        <v>1075</v>
      </c>
      <c r="B58" s="159">
        <v>1</v>
      </c>
      <c r="C58" s="159" t="s">
        <v>49</v>
      </c>
      <c r="D58" s="510">
        <v>1.9</v>
      </c>
      <c r="E58" s="510">
        <v>0.7</v>
      </c>
      <c r="F58" s="510"/>
      <c r="G58" s="510"/>
      <c r="H58" s="510"/>
      <c r="I58" s="510">
        <v>0.7</v>
      </c>
      <c r="J58" s="510">
        <v>2</v>
      </c>
      <c r="K58" s="510">
        <f t="shared" si="20"/>
        <v>8.2000000000000011</v>
      </c>
      <c r="L58" s="510">
        <f t="shared" si="15"/>
        <v>3.6399999999999992</v>
      </c>
      <c r="M58" s="510">
        <f t="shared" si="16"/>
        <v>0.93099999999999983</v>
      </c>
      <c r="N58" s="510">
        <f t="shared" si="22"/>
        <v>3.7374999999999994</v>
      </c>
      <c r="O58" s="510">
        <f t="shared" si="21"/>
        <v>2.5696249999999994</v>
      </c>
      <c r="P58" s="510">
        <f>0.2*0.4*0.4+(0.45+0.45+1.15)*0.15*0.45</f>
        <v>0.17037499999999997</v>
      </c>
      <c r="Q58" s="510">
        <f t="shared" si="19"/>
        <v>6.649999999999999E-2</v>
      </c>
      <c r="R58" s="524"/>
    </row>
    <row r="59" spans="1:18" x14ac:dyDescent="0.3">
      <c r="A59" s="523" t="s">
        <v>1076</v>
      </c>
      <c r="B59" s="159">
        <v>1</v>
      </c>
      <c r="C59" s="159" t="s">
        <v>49</v>
      </c>
      <c r="D59" s="510">
        <v>1.9</v>
      </c>
      <c r="E59" s="510">
        <v>0.7</v>
      </c>
      <c r="F59" s="510"/>
      <c r="G59" s="510"/>
      <c r="H59" s="510"/>
      <c r="I59" s="510">
        <v>0.7</v>
      </c>
      <c r="J59" s="510">
        <v>2</v>
      </c>
      <c r="K59" s="510">
        <f t="shared" si="20"/>
        <v>8.2000000000000011</v>
      </c>
      <c r="L59" s="510">
        <f t="shared" si="15"/>
        <v>3.6399999999999992</v>
      </c>
      <c r="M59" s="510">
        <f t="shared" si="16"/>
        <v>0.93099999999999983</v>
      </c>
      <c r="N59" s="510">
        <f t="shared" si="22"/>
        <v>3.7374999999999994</v>
      </c>
      <c r="O59" s="510">
        <f t="shared" si="21"/>
        <v>2.5907499999999994</v>
      </c>
      <c r="P59" s="510">
        <f>0.2*0.6*0.4+(0.35+1.15)*0.15*0.45</f>
        <v>0.14924999999999999</v>
      </c>
      <c r="Q59" s="510">
        <f t="shared" si="19"/>
        <v>6.649999999999999E-2</v>
      </c>
      <c r="R59" s="524"/>
    </row>
    <row r="60" spans="1:18" x14ac:dyDescent="0.3">
      <c r="A60" s="523" t="s">
        <v>1077</v>
      </c>
      <c r="B60" s="159">
        <v>1</v>
      </c>
      <c r="C60" s="159" t="s">
        <v>49</v>
      </c>
      <c r="D60" s="510">
        <v>1.9</v>
      </c>
      <c r="E60" s="510">
        <v>0.7</v>
      </c>
      <c r="F60" s="510"/>
      <c r="G60" s="510"/>
      <c r="H60" s="510"/>
      <c r="I60" s="510">
        <v>0.7</v>
      </c>
      <c r="J60" s="510">
        <v>2</v>
      </c>
      <c r="K60" s="510">
        <f t="shared" si="20"/>
        <v>8.2000000000000011</v>
      </c>
      <c r="L60" s="510">
        <f t="shared" si="15"/>
        <v>3.6399999999999992</v>
      </c>
      <c r="M60" s="510">
        <f t="shared" si="16"/>
        <v>0.93099999999999983</v>
      </c>
      <c r="N60" s="510">
        <f t="shared" si="22"/>
        <v>3.7374999999999994</v>
      </c>
      <c r="O60" s="510">
        <f t="shared" si="21"/>
        <v>2.5131249999999996</v>
      </c>
      <c r="P60" s="510">
        <f>0.2*0.6*0.4+(0.35+1.15+1.15)*0.15*0.45</f>
        <v>0.22687499999999999</v>
      </c>
      <c r="Q60" s="510">
        <f t="shared" si="19"/>
        <v>6.649999999999999E-2</v>
      </c>
      <c r="R60" s="524"/>
    </row>
    <row r="61" spans="1:18" x14ac:dyDescent="0.3">
      <c r="A61" s="523" t="s">
        <v>1078</v>
      </c>
      <c r="B61" s="159">
        <v>1</v>
      </c>
      <c r="C61" s="159" t="s">
        <v>49</v>
      </c>
      <c r="D61" s="510">
        <v>1.9</v>
      </c>
      <c r="E61" s="510">
        <v>0.7</v>
      </c>
      <c r="F61" s="510"/>
      <c r="G61" s="510"/>
      <c r="H61" s="510"/>
      <c r="I61" s="510">
        <v>0.7</v>
      </c>
      <c r="J61" s="510">
        <v>2</v>
      </c>
      <c r="K61" s="510">
        <f t="shared" si="20"/>
        <v>8.2000000000000011</v>
      </c>
      <c r="L61" s="510">
        <f t="shared" si="15"/>
        <v>3.6399999999999992</v>
      </c>
      <c r="M61" s="510">
        <f t="shared" si="16"/>
        <v>0.93099999999999983</v>
      </c>
      <c r="N61" s="510">
        <f t="shared" si="22"/>
        <v>3.7374999999999994</v>
      </c>
      <c r="O61" s="510">
        <f t="shared" si="21"/>
        <v>2.5131249999999996</v>
      </c>
      <c r="P61" s="510">
        <f t="shared" ref="P61:P64" si="23">0.2*0.6*0.4+(0.35+1.15+1.15)*0.15*0.45</f>
        <v>0.22687499999999999</v>
      </c>
      <c r="Q61" s="510">
        <f t="shared" si="19"/>
        <v>6.649999999999999E-2</v>
      </c>
      <c r="R61" s="524"/>
    </row>
    <row r="62" spans="1:18" x14ac:dyDescent="0.3">
      <c r="A62" s="523" t="s">
        <v>1079</v>
      </c>
      <c r="B62" s="159">
        <v>1</v>
      </c>
      <c r="C62" s="159" t="s">
        <v>49</v>
      </c>
      <c r="D62" s="510">
        <v>1.9</v>
      </c>
      <c r="E62" s="510">
        <v>0.7</v>
      </c>
      <c r="F62" s="510"/>
      <c r="G62" s="510"/>
      <c r="H62" s="510"/>
      <c r="I62" s="510">
        <v>0.7</v>
      </c>
      <c r="J62" s="510">
        <v>2</v>
      </c>
      <c r="K62" s="510">
        <f t="shared" si="20"/>
        <v>8.2000000000000011</v>
      </c>
      <c r="L62" s="510">
        <f t="shared" si="15"/>
        <v>3.6399999999999992</v>
      </c>
      <c r="M62" s="510">
        <f t="shared" si="16"/>
        <v>0.93099999999999983</v>
      </c>
      <c r="N62" s="510">
        <f t="shared" si="22"/>
        <v>3.7374999999999994</v>
      </c>
      <c r="O62" s="510">
        <f t="shared" si="21"/>
        <v>2.5131249999999996</v>
      </c>
      <c r="P62" s="510">
        <f t="shared" si="23"/>
        <v>0.22687499999999999</v>
      </c>
      <c r="Q62" s="510">
        <f t="shared" si="19"/>
        <v>6.649999999999999E-2</v>
      </c>
      <c r="R62" s="524"/>
    </row>
    <row r="63" spans="1:18" x14ac:dyDescent="0.3">
      <c r="A63" s="523" t="s">
        <v>1080</v>
      </c>
      <c r="B63" s="159">
        <v>1</v>
      </c>
      <c r="C63" s="159" t="s">
        <v>49</v>
      </c>
      <c r="D63" s="510">
        <v>1.9</v>
      </c>
      <c r="E63" s="510">
        <v>0.7</v>
      </c>
      <c r="F63" s="510"/>
      <c r="G63" s="510"/>
      <c r="H63" s="510"/>
      <c r="I63" s="510">
        <v>0.7</v>
      </c>
      <c r="J63" s="510">
        <v>2</v>
      </c>
      <c r="K63" s="510">
        <f t="shared" si="20"/>
        <v>8.2000000000000011</v>
      </c>
      <c r="L63" s="510">
        <f t="shared" si="15"/>
        <v>3.6399999999999992</v>
      </c>
      <c r="M63" s="510">
        <f t="shared" si="16"/>
        <v>0.93099999999999983</v>
      </c>
      <c r="N63" s="510">
        <f t="shared" si="22"/>
        <v>3.7374999999999994</v>
      </c>
      <c r="O63" s="510">
        <f t="shared" si="21"/>
        <v>2.5131249999999996</v>
      </c>
      <c r="P63" s="510">
        <f t="shared" si="23"/>
        <v>0.22687499999999999</v>
      </c>
      <c r="Q63" s="510">
        <f t="shared" si="19"/>
        <v>6.649999999999999E-2</v>
      </c>
      <c r="R63" s="524"/>
    </row>
    <row r="64" spans="1:18" x14ac:dyDescent="0.3">
      <c r="A64" s="523" t="s">
        <v>1081</v>
      </c>
      <c r="B64" s="159">
        <v>1</v>
      </c>
      <c r="C64" s="159" t="s">
        <v>49</v>
      </c>
      <c r="D64" s="510">
        <v>1.9</v>
      </c>
      <c r="E64" s="510">
        <v>0.7</v>
      </c>
      <c r="F64" s="510"/>
      <c r="G64" s="510"/>
      <c r="H64" s="510"/>
      <c r="I64" s="510">
        <v>0.7</v>
      </c>
      <c r="J64" s="510">
        <v>2</v>
      </c>
      <c r="K64" s="510">
        <f t="shared" si="20"/>
        <v>8.2000000000000011</v>
      </c>
      <c r="L64" s="510">
        <f t="shared" si="15"/>
        <v>3.6399999999999992</v>
      </c>
      <c r="M64" s="510">
        <f t="shared" si="16"/>
        <v>0.93099999999999983</v>
      </c>
      <c r="N64" s="510">
        <f t="shared" si="22"/>
        <v>3.7374999999999994</v>
      </c>
      <c r="O64" s="510">
        <f t="shared" si="21"/>
        <v>2.5131249999999996</v>
      </c>
      <c r="P64" s="510">
        <f t="shared" si="23"/>
        <v>0.22687499999999999</v>
      </c>
      <c r="Q64" s="510">
        <f t="shared" si="19"/>
        <v>6.649999999999999E-2</v>
      </c>
      <c r="R64" s="524"/>
    </row>
    <row r="65" spans="1:18" x14ac:dyDescent="0.3">
      <c r="A65" s="523" t="s">
        <v>1082</v>
      </c>
      <c r="B65" s="159">
        <v>1</v>
      </c>
      <c r="C65" s="159" t="s">
        <v>49</v>
      </c>
      <c r="D65" s="510">
        <v>1.9</v>
      </c>
      <c r="E65" s="510">
        <v>0.7</v>
      </c>
      <c r="F65" s="510"/>
      <c r="G65" s="510"/>
      <c r="H65" s="510"/>
      <c r="I65" s="510">
        <v>0.65</v>
      </c>
      <c r="J65" s="510">
        <v>2</v>
      </c>
      <c r="K65" s="510">
        <f t="shared" si="20"/>
        <v>8.1</v>
      </c>
      <c r="L65" s="510">
        <f t="shared" si="15"/>
        <v>3.3799999999999994</v>
      </c>
      <c r="M65" s="510">
        <f t="shared" si="16"/>
        <v>0.86449999999999994</v>
      </c>
      <c r="N65" s="510">
        <f t="shared" si="22"/>
        <v>3.5749999999999997</v>
      </c>
      <c r="O65" s="510">
        <f t="shared" si="21"/>
        <v>2.4668749999999999</v>
      </c>
      <c r="P65" s="510">
        <f>0.2*0.4*0.4+(0.55+1.05+0.55)*0.15*0.45</f>
        <v>0.17712500000000003</v>
      </c>
      <c r="Q65" s="510">
        <f t="shared" si="19"/>
        <v>6.649999999999999E-2</v>
      </c>
      <c r="R65" s="524"/>
    </row>
    <row r="66" spans="1:18" ht="15" thickBot="1" x14ac:dyDescent="0.35">
      <c r="A66" s="523" t="s">
        <v>1083</v>
      </c>
      <c r="B66" s="159">
        <v>1</v>
      </c>
      <c r="C66" s="159" t="s">
        <v>49</v>
      </c>
      <c r="D66" s="510">
        <v>1.9</v>
      </c>
      <c r="E66" s="510">
        <v>0.7</v>
      </c>
      <c r="F66" s="510"/>
      <c r="G66" s="510"/>
      <c r="H66" s="510"/>
      <c r="I66" s="510">
        <v>0.7</v>
      </c>
      <c r="J66" s="510">
        <v>2</v>
      </c>
      <c r="K66" s="510">
        <f t="shared" si="20"/>
        <v>8.2000000000000011</v>
      </c>
      <c r="L66" s="510">
        <f t="shared" si="15"/>
        <v>3.6399999999999992</v>
      </c>
      <c r="M66" s="510">
        <f t="shared" si="16"/>
        <v>0.93099999999999983</v>
      </c>
      <c r="N66" s="510">
        <f t="shared" si="22"/>
        <v>3.7374999999999994</v>
      </c>
      <c r="O66" s="510">
        <f t="shared" si="21"/>
        <v>2.5907499999999994</v>
      </c>
      <c r="P66" s="510">
        <f>0.2*0.6*0.4+(0.35+1.15)*0.15*0.45</f>
        <v>0.14924999999999999</v>
      </c>
      <c r="Q66" s="510">
        <f t="shared" si="19"/>
        <v>6.649999999999999E-2</v>
      </c>
      <c r="R66" s="524"/>
    </row>
    <row r="67" spans="1:18" x14ac:dyDescent="0.3">
      <c r="A67" s="609" t="s">
        <v>323</v>
      </c>
      <c r="B67" s="609"/>
      <c r="C67" s="609"/>
      <c r="D67" s="609"/>
      <c r="E67" s="609"/>
      <c r="F67" s="609"/>
      <c r="G67" s="609"/>
      <c r="H67" s="609"/>
      <c r="I67" s="609"/>
      <c r="J67" s="609"/>
      <c r="K67" s="609"/>
      <c r="L67" s="609"/>
      <c r="M67" s="609"/>
      <c r="N67" s="609"/>
      <c r="O67" s="609"/>
      <c r="P67" s="609"/>
      <c r="Q67" s="610"/>
      <c r="R67" s="471"/>
    </row>
    <row r="68" spans="1:18" x14ac:dyDescent="0.3">
      <c r="A68" s="523" t="s">
        <v>1084</v>
      </c>
      <c r="B68" s="159">
        <v>1</v>
      </c>
      <c r="C68" s="159" t="s">
        <v>49</v>
      </c>
      <c r="D68" s="510">
        <v>0.7</v>
      </c>
      <c r="E68" s="510">
        <v>0.7</v>
      </c>
      <c r="F68" s="510"/>
      <c r="G68" s="510"/>
      <c r="H68" s="510"/>
      <c r="I68" s="510">
        <v>0.65</v>
      </c>
      <c r="J68" s="510">
        <v>1</v>
      </c>
      <c r="K68" s="510">
        <f t="shared" si="20"/>
        <v>4.05</v>
      </c>
      <c r="L68" s="510">
        <f t="shared" si="15"/>
        <v>1.8199999999999998</v>
      </c>
      <c r="M68" s="510">
        <f t="shared" si="16"/>
        <v>0.31849999999999995</v>
      </c>
      <c r="N68" s="510">
        <f t="shared" si="22"/>
        <v>1.8589999999999995</v>
      </c>
      <c r="O68" s="510">
        <f t="shared" si="21"/>
        <v>1.4118749999999995</v>
      </c>
      <c r="P68" s="510">
        <f>0.2*0.5*0.4+(0.4+0.55)*0.15*0.45</f>
        <v>0.10412500000000002</v>
      </c>
      <c r="Q68" s="510">
        <f t="shared" si="19"/>
        <v>2.4499999999999997E-2</v>
      </c>
      <c r="R68" s="524"/>
    </row>
    <row r="69" spans="1:18" x14ac:dyDescent="0.3">
      <c r="A69" s="523" t="s">
        <v>1085</v>
      </c>
      <c r="B69" s="159">
        <v>1</v>
      </c>
      <c r="C69" s="159" t="s">
        <v>49</v>
      </c>
      <c r="D69" s="510">
        <v>1.9</v>
      </c>
      <c r="E69" s="510">
        <v>0.7</v>
      </c>
      <c r="F69" s="510"/>
      <c r="G69" s="510"/>
      <c r="H69" s="510"/>
      <c r="I69" s="510">
        <v>0.75</v>
      </c>
      <c r="J69" s="510">
        <v>2</v>
      </c>
      <c r="K69" s="510">
        <f t="shared" si="20"/>
        <v>8.3000000000000007</v>
      </c>
      <c r="L69" s="510">
        <f t="shared" si="15"/>
        <v>3.8999999999999995</v>
      </c>
      <c r="M69" s="510">
        <f t="shared" si="16"/>
        <v>0.99749999999999983</v>
      </c>
      <c r="N69" s="510">
        <f t="shared" si="22"/>
        <v>3.9</v>
      </c>
      <c r="O69" s="510">
        <f t="shared" si="21"/>
        <v>2.622325</v>
      </c>
      <c r="P69" s="510">
        <f>0.15*0.4*0.4+(0.45+1.18+1.18)*0.15*0.45</f>
        <v>0.21367499999999998</v>
      </c>
      <c r="Q69" s="510">
        <f t="shared" si="19"/>
        <v>6.649999999999999E-2</v>
      </c>
      <c r="R69" s="524"/>
    </row>
    <row r="70" spans="1:18" x14ac:dyDescent="0.3">
      <c r="A70" s="523" t="s">
        <v>1086</v>
      </c>
      <c r="B70" s="159">
        <v>1</v>
      </c>
      <c r="C70" s="159" t="s">
        <v>49</v>
      </c>
      <c r="D70" s="510">
        <v>0.7</v>
      </c>
      <c r="E70" s="510">
        <v>0.7</v>
      </c>
      <c r="F70" s="510"/>
      <c r="G70" s="510"/>
      <c r="H70" s="510"/>
      <c r="I70" s="510">
        <v>0.65</v>
      </c>
      <c r="J70" s="510">
        <v>1</v>
      </c>
      <c r="K70" s="510">
        <f t="shared" si="20"/>
        <v>4.05</v>
      </c>
      <c r="L70" s="510">
        <f t="shared" si="15"/>
        <v>1.8199999999999998</v>
      </c>
      <c r="M70" s="510">
        <f t="shared" si="16"/>
        <v>0.31849999999999995</v>
      </c>
      <c r="N70" s="510">
        <f t="shared" si="22"/>
        <v>1.8589999999999995</v>
      </c>
      <c r="O70" s="510">
        <f t="shared" si="21"/>
        <v>1.3833249999999997</v>
      </c>
      <c r="P70" s="510">
        <f>0.15*0.4*0.4+(0.58+0.58+0.45)*0.15*0.45</f>
        <v>0.13267499999999999</v>
      </c>
      <c r="Q70" s="510">
        <f t="shared" si="19"/>
        <v>2.4499999999999997E-2</v>
      </c>
      <c r="R70" s="524"/>
    </row>
    <row r="71" spans="1:18" x14ac:dyDescent="0.3">
      <c r="A71" s="523" t="s">
        <v>1087</v>
      </c>
      <c r="B71" s="159">
        <v>1</v>
      </c>
      <c r="C71" s="159" t="s">
        <v>49</v>
      </c>
      <c r="D71" s="510">
        <v>0.7</v>
      </c>
      <c r="E71" s="510">
        <v>0.7</v>
      </c>
      <c r="F71" s="510"/>
      <c r="G71" s="510"/>
      <c r="H71" s="510"/>
      <c r="I71" s="510">
        <v>0.65</v>
      </c>
      <c r="J71" s="510">
        <v>1</v>
      </c>
      <c r="K71" s="510">
        <f t="shared" si="20"/>
        <v>4.05</v>
      </c>
      <c r="L71" s="510">
        <f t="shared" si="15"/>
        <v>1.8199999999999998</v>
      </c>
      <c r="M71" s="510">
        <f t="shared" si="16"/>
        <v>0.31849999999999995</v>
      </c>
      <c r="N71" s="510">
        <f t="shared" si="22"/>
        <v>1.8589999999999995</v>
      </c>
      <c r="O71" s="510">
        <f t="shared" si="21"/>
        <v>1.4032249999999995</v>
      </c>
      <c r="P71" s="510">
        <f>0.25*0.5*0.4+(0.4+0.53)*0.15*0.45</f>
        <v>0.11277500000000001</v>
      </c>
      <c r="Q71" s="510">
        <f t="shared" si="19"/>
        <v>2.4499999999999997E-2</v>
      </c>
      <c r="R71" s="524"/>
    </row>
    <row r="72" spans="1:18" x14ac:dyDescent="0.3">
      <c r="A72" s="523" t="s">
        <v>1088</v>
      </c>
      <c r="B72" s="159">
        <v>1</v>
      </c>
      <c r="C72" s="159" t="s">
        <v>49</v>
      </c>
      <c r="D72" s="510">
        <v>0.7</v>
      </c>
      <c r="E72" s="510">
        <v>0.7</v>
      </c>
      <c r="F72" s="510"/>
      <c r="G72" s="510"/>
      <c r="H72" s="510"/>
      <c r="I72" s="510">
        <v>0.65</v>
      </c>
      <c r="J72" s="510">
        <v>1</v>
      </c>
      <c r="K72" s="510">
        <f t="shared" si="14"/>
        <v>4.05</v>
      </c>
      <c r="L72" s="510">
        <f t="shared" si="15"/>
        <v>1.8199999999999998</v>
      </c>
      <c r="M72" s="510">
        <f t="shared" si="16"/>
        <v>0.31849999999999995</v>
      </c>
      <c r="N72" s="510">
        <f t="shared" si="22"/>
        <v>1.8589999999999995</v>
      </c>
      <c r="O72" s="510">
        <f t="shared" si="18"/>
        <v>1.3833249999999997</v>
      </c>
      <c r="P72" s="510">
        <f>0.15*0.4*0.4+(0.58+0.58+0.45)*0.15*0.45</f>
        <v>0.13267499999999999</v>
      </c>
      <c r="Q72" s="510">
        <f t="shared" si="19"/>
        <v>2.4499999999999997E-2</v>
      </c>
      <c r="R72" s="524"/>
    </row>
    <row r="73" spans="1:18" x14ac:dyDescent="0.3">
      <c r="A73" s="523" t="s">
        <v>1089</v>
      </c>
      <c r="B73" s="159">
        <v>1</v>
      </c>
      <c r="C73" s="159" t="s">
        <v>49</v>
      </c>
      <c r="D73" s="510">
        <v>0.7</v>
      </c>
      <c r="E73" s="510">
        <v>0.7</v>
      </c>
      <c r="F73" s="510"/>
      <c r="G73" s="510"/>
      <c r="H73" s="510"/>
      <c r="I73" s="510">
        <v>0.65</v>
      </c>
      <c r="J73" s="510">
        <v>1</v>
      </c>
      <c r="K73" s="510">
        <f t="shared" si="14"/>
        <v>4.05</v>
      </c>
      <c r="L73" s="510">
        <f t="shared" si="15"/>
        <v>1.8199999999999998</v>
      </c>
      <c r="M73" s="510">
        <f t="shared" si="16"/>
        <v>0.31849999999999995</v>
      </c>
      <c r="N73" s="510">
        <f t="shared" si="22"/>
        <v>1.8589999999999995</v>
      </c>
      <c r="O73" s="510">
        <f t="shared" si="18"/>
        <v>1.3836249999999994</v>
      </c>
      <c r="P73" s="510">
        <f>0.2*0.6*0.4+(0.35+0.35+0.55)*0.15*0.45</f>
        <v>0.13237500000000002</v>
      </c>
      <c r="Q73" s="510">
        <f t="shared" si="19"/>
        <v>2.4499999999999997E-2</v>
      </c>
      <c r="R73" s="524"/>
    </row>
    <row r="74" spans="1:18" x14ac:dyDescent="0.3">
      <c r="A74" s="523" t="s">
        <v>1090</v>
      </c>
      <c r="B74" s="159">
        <v>1</v>
      </c>
      <c r="C74" s="159" t="s">
        <v>49</v>
      </c>
      <c r="D74" s="510">
        <v>0.7</v>
      </c>
      <c r="E74" s="510">
        <v>0.7</v>
      </c>
      <c r="F74" s="510"/>
      <c r="G74" s="510"/>
      <c r="H74" s="510"/>
      <c r="I74" s="510">
        <v>0.65</v>
      </c>
      <c r="J74" s="510">
        <v>1</v>
      </c>
      <c r="K74" s="510">
        <f t="shared" si="14"/>
        <v>4.05</v>
      </c>
      <c r="L74" s="510">
        <f t="shared" si="15"/>
        <v>1.8199999999999998</v>
      </c>
      <c r="M74" s="510">
        <f t="shared" si="16"/>
        <v>0.31849999999999995</v>
      </c>
      <c r="N74" s="510">
        <f t="shared" si="22"/>
        <v>1.8589999999999995</v>
      </c>
      <c r="O74" s="510">
        <f t="shared" si="18"/>
        <v>1.3833249999999997</v>
      </c>
      <c r="P74" s="510">
        <f>0.15*0.4*0.4+(0.58+0.58+0.45)*0.15*0.45</f>
        <v>0.13267499999999999</v>
      </c>
      <c r="Q74" s="510">
        <f t="shared" si="19"/>
        <v>2.4499999999999997E-2</v>
      </c>
      <c r="R74" s="524"/>
    </row>
    <row r="75" spans="1:18" x14ac:dyDescent="0.3">
      <c r="A75" s="523" t="s">
        <v>1091</v>
      </c>
      <c r="B75" s="159">
        <v>1</v>
      </c>
      <c r="C75" s="159" t="s">
        <v>49</v>
      </c>
      <c r="D75" s="510">
        <v>1.9</v>
      </c>
      <c r="E75" s="510">
        <v>0.7</v>
      </c>
      <c r="F75" s="510"/>
      <c r="G75" s="510"/>
      <c r="H75" s="510"/>
      <c r="I75" s="510">
        <v>0.7</v>
      </c>
      <c r="J75" s="510">
        <v>2</v>
      </c>
      <c r="K75" s="510">
        <f t="shared" si="14"/>
        <v>8.2000000000000011</v>
      </c>
      <c r="L75" s="510">
        <f t="shared" si="15"/>
        <v>3.6399999999999992</v>
      </c>
      <c r="M75" s="510">
        <f t="shared" si="16"/>
        <v>0.93099999999999983</v>
      </c>
      <c r="N75" s="510">
        <f t="shared" si="22"/>
        <v>3.7374999999999994</v>
      </c>
      <c r="O75" s="510">
        <f t="shared" si="18"/>
        <v>2.5532249999999994</v>
      </c>
      <c r="P75" s="510">
        <f>0.25*0.7*0.4+(0.3+0.3+1.13)*0.15*0.45</f>
        <v>0.186775</v>
      </c>
      <c r="Q75" s="510">
        <f t="shared" si="19"/>
        <v>6.649999999999999E-2</v>
      </c>
      <c r="R75" s="524"/>
    </row>
    <row r="76" spans="1:18" x14ac:dyDescent="0.3">
      <c r="A76" s="523" t="s">
        <v>1092</v>
      </c>
      <c r="B76" s="159">
        <v>1</v>
      </c>
      <c r="C76" s="159" t="s">
        <v>49</v>
      </c>
      <c r="D76" s="510">
        <v>0.7</v>
      </c>
      <c r="E76" s="510">
        <v>0.7</v>
      </c>
      <c r="F76" s="510"/>
      <c r="G76" s="510"/>
      <c r="H76" s="510"/>
      <c r="I76" s="510">
        <v>0.65</v>
      </c>
      <c r="J76" s="510">
        <v>1</v>
      </c>
      <c r="K76" s="510">
        <f t="shared" si="14"/>
        <v>4.05</v>
      </c>
      <c r="L76" s="510">
        <f t="shared" si="15"/>
        <v>1.8199999999999998</v>
      </c>
      <c r="M76" s="510">
        <f t="shared" si="16"/>
        <v>0.31849999999999995</v>
      </c>
      <c r="N76" s="510">
        <f t="shared" si="22"/>
        <v>1.8589999999999995</v>
      </c>
      <c r="O76" s="510">
        <f t="shared" si="18"/>
        <v>1.3478999999999997</v>
      </c>
      <c r="P76" s="510">
        <f>0.25*0.25*0.4+(0.53*4)*0.15*0.45</f>
        <v>0.1681</v>
      </c>
      <c r="Q76" s="510">
        <f t="shared" si="19"/>
        <v>2.4499999999999997E-2</v>
      </c>
      <c r="R76" s="524"/>
    </row>
    <row r="77" spans="1:18" x14ac:dyDescent="0.3">
      <c r="A77" s="523" t="s">
        <v>1093</v>
      </c>
      <c r="B77" s="159">
        <v>1</v>
      </c>
      <c r="C77" s="159" t="s">
        <v>49</v>
      </c>
      <c r="D77" s="510">
        <v>1.9</v>
      </c>
      <c r="E77" s="510">
        <v>0.7</v>
      </c>
      <c r="F77" s="510"/>
      <c r="G77" s="510"/>
      <c r="H77" s="510"/>
      <c r="I77" s="510">
        <v>0.7</v>
      </c>
      <c r="J77" s="510">
        <v>2</v>
      </c>
      <c r="K77" s="510">
        <f t="shared" si="14"/>
        <v>8.2000000000000011</v>
      </c>
      <c r="L77" s="510">
        <f t="shared" si="15"/>
        <v>3.6399999999999992</v>
      </c>
      <c r="M77" s="510">
        <f t="shared" si="16"/>
        <v>0.93099999999999983</v>
      </c>
      <c r="N77" s="510">
        <f t="shared" si="22"/>
        <v>3.7374999999999994</v>
      </c>
      <c r="O77" s="510">
        <f t="shared" si="18"/>
        <v>2.4769499999999995</v>
      </c>
      <c r="P77" s="510">
        <f>0.25*0.7*0.4+(1.13*2+0.3*2)*0.15*0.45</f>
        <v>0.26305000000000001</v>
      </c>
      <c r="Q77" s="510">
        <f t="shared" si="19"/>
        <v>6.649999999999999E-2</v>
      </c>
      <c r="R77" s="524"/>
    </row>
    <row r="78" spans="1:18" x14ac:dyDescent="0.3">
      <c r="A78" s="523" t="s">
        <v>1094</v>
      </c>
      <c r="B78" s="159">
        <v>1</v>
      </c>
      <c r="C78" s="159" t="s">
        <v>49</v>
      </c>
      <c r="D78" s="510">
        <v>0.7</v>
      </c>
      <c r="E78" s="510">
        <v>0.7</v>
      </c>
      <c r="F78" s="510"/>
      <c r="G78" s="510"/>
      <c r="H78" s="510"/>
      <c r="I78" s="510">
        <v>0.65</v>
      </c>
      <c r="J78" s="510">
        <v>1</v>
      </c>
      <c r="K78" s="510">
        <f t="shared" ref="K78:K97" si="24">J78*($Q$15+I78+$Q$13)</f>
        <v>4.05</v>
      </c>
      <c r="L78" s="510">
        <f t="shared" si="15"/>
        <v>1.8199999999999998</v>
      </c>
      <c r="M78" s="510">
        <f t="shared" si="16"/>
        <v>0.31849999999999995</v>
      </c>
      <c r="N78" s="510">
        <f t="shared" ref="N78:N97" si="25">(D78+$Q$14*2)*(E78+$Q$14*2)*(I78+$Q$16+$Q$13)</f>
        <v>1.8589999999999995</v>
      </c>
      <c r="O78" s="510">
        <f t="shared" ref="O78:O97" si="26">N78-(M78+Q78+P78)</f>
        <v>1.3478999999999997</v>
      </c>
      <c r="P78" s="510">
        <f>0.25*0.25*0.4+(0.53*4)*0.15*0.45</f>
        <v>0.1681</v>
      </c>
      <c r="Q78" s="510">
        <f t="shared" si="19"/>
        <v>2.4499999999999997E-2</v>
      </c>
      <c r="R78" s="524"/>
    </row>
    <row r="79" spans="1:18" x14ac:dyDescent="0.3">
      <c r="A79" s="523" t="s">
        <v>1095</v>
      </c>
      <c r="B79" s="159">
        <v>1</v>
      </c>
      <c r="C79" s="159" t="s">
        <v>49</v>
      </c>
      <c r="D79" s="510">
        <v>1.9</v>
      </c>
      <c r="E79" s="510">
        <v>0.7</v>
      </c>
      <c r="F79" s="510"/>
      <c r="G79" s="510"/>
      <c r="H79" s="510"/>
      <c r="I79" s="510">
        <v>0.7</v>
      </c>
      <c r="J79" s="510">
        <v>2</v>
      </c>
      <c r="K79" s="510">
        <f t="shared" si="24"/>
        <v>8.2000000000000011</v>
      </c>
      <c r="L79" s="510">
        <f t="shared" si="15"/>
        <v>3.6399999999999992</v>
      </c>
      <c r="M79" s="510">
        <f t="shared" si="16"/>
        <v>0.93099999999999983</v>
      </c>
      <c r="N79" s="510">
        <f t="shared" si="25"/>
        <v>3.7374999999999994</v>
      </c>
      <c r="O79" s="510">
        <f t="shared" si="26"/>
        <v>2.5532249999999994</v>
      </c>
      <c r="P79" s="510">
        <f>0.25*0.7*0.4+(0.3+0.3+1.13)*0.15*0.45</f>
        <v>0.186775</v>
      </c>
      <c r="Q79" s="510">
        <f t="shared" si="19"/>
        <v>6.649999999999999E-2</v>
      </c>
      <c r="R79" s="524"/>
    </row>
    <row r="80" spans="1:18" x14ac:dyDescent="0.3">
      <c r="A80" s="523" t="s">
        <v>1096</v>
      </c>
      <c r="B80" s="159">
        <v>1</v>
      </c>
      <c r="C80" s="159" t="s">
        <v>49</v>
      </c>
      <c r="D80" s="510">
        <v>2.16</v>
      </c>
      <c r="E80" s="510">
        <v>0.96</v>
      </c>
      <c r="F80" s="510"/>
      <c r="G80" s="510"/>
      <c r="H80" s="510"/>
      <c r="I80" s="510">
        <v>0.75</v>
      </c>
      <c r="J80" s="510">
        <v>2</v>
      </c>
      <c r="K80" s="510">
        <f t="shared" si="24"/>
        <v>8.3000000000000007</v>
      </c>
      <c r="L80" s="510">
        <f t="shared" si="15"/>
        <v>4.68</v>
      </c>
      <c r="M80" s="510">
        <f t="shared" si="16"/>
        <v>1.5551999999999999</v>
      </c>
      <c r="N80" s="510">
        <f t="shared" si="25"/>
        <v>5.1667200000000006</v>
      </c>
      <c r="O80" s="510">
        <f t="shared" si="26"/>
        <v>3.2537400000000005</v>
      </c>
      <c r="P80" s="510">
        <f>0.15*0.95*0.4+(1.31*2+0.3)*0.15*0.45</f>
        <v>0.25409999999999999</v>
      </c>
      <c r="Q80" s="510">
        <f t="shared" si="19"/>
        <v>0.10367999999999999</v>
      </c>
      <c r="R80" s="524"/>
    </row>
    <row r="81" spans="1:18" x14ac:dyDescent="0.3">
      <c r="A81" s="523" t="s">
        <v>1097</v>
      </c>
      <c r="B81" s="159">
        <v>1</v>
      </c>
      <c r="C81" s="159" t="s">
        <v>49</v>
      </c>
      <c r="D81" s="510">
        <v>0.96</v>
      </c>
      <c r="E81" s="510">
        <v>0.96</v>
      </c>
      <c r="F81" s="510"/>
      <c r="G81" s="510"/>
      <c r="H81" s="510"/>
      <c r="I81" s="510">
        <v>0.85</v>
      </c>
      <c r="J81" s="510">
        <v>1</v>
      </c>
      <c r="K81" s="510">
        <f t="shared" si="24"/>
        <v>4.25</v>
      </c>
      <c r="L81" s="510">
        <f t="shared" si="15"/>
        <v>3.2639999999999998</v>
      </c>
      <c r="M81" s="510">
        <f t="shared" si="16"/>
        <v>0.78335999999999995</v>
      </c>
      <c r="N81" s="510">
        <f t="shared" si="25"/>
        <v>3.1636800000000003</v>
      </c>
      <c r="O81" s="510">
        <f t="shared" si="26"/>
        <v>2.0652900000000001</v>
      </c>
      <c r="P81" s="510">
        <f>0.15*0.95*0.4+(0.71*4+0.3)*0.15*0.45</f>
        <v>0.26894999999999997</v>
      </c>
      <c r="Q81" s="510">
        <f t="shared" si="19"/>
        <v>4.6080000000000003E-2</v>
      </c>
      <c r="R81" s="524"/>
    </row>
    <row r="82" spans="1:18" x14ac:dyDescent="0.3">
      <c r="A82" s="523" t="s">
        <v>1098</v>
      </c>
      <c r="B82" s="159">
        <v>1</v>
      </c>
      <c r="C82" s="159" t="s">
        <v>49</v>
      </c>
      <c r="D82" s="510">
        <v>0.7</v>
      </c>
      <c r="E82" s="510">
        <v>0.7</v>
      </c>
      <c r="F82" s="510"/>
      <c r="G82" s="510"/>
      <c r="H82" s="510"/>
      <c r="I82" s="510">
        <v>0.65</v>
      </c>
      <c r="J82" s="510">
        <v>1</v>
      </c>
      <c r="K82" s="510">
        <f t="shared" si="24"/>
        <v>4.05</v>
      </c>
      <c r="L82" s="510">
        <f t="shared" si="15"/>
        <v>1.8199999999999998</v>
      </c>
      <c r="M82" s="510">
        <f t="shared" si="16"/>
        <v>0.31849999999999995</v>
      </c>
      <c r="N82" s="510">
        <f t="shared" si="25"/>
        <v>1.8589999999999995</v>
      </c>
      <c r="O82" s="510">
        <f t="shared" si="26"/>
        <v>1.3836249999999994</v>
      </c>
      <c r="P82" s="510">
        <f>0.2*0.6*0.4+(0.35*2+0.55)*0.15*0.45</f>
        <v>0.13237500000000002</v>
      </c>
      <c r="Q82" s="510">
        <f t="shared" si="19"/>
        <v>2.4499999999999997E-2</v>
      </c>
      <c r="R82" s="524"/>
    </row>
    <row r="83" spans="1:18" x14ac:dyDescent="0.3">
      <c r="A83" s="523" t="s">
        <v>1099</v>
      </c>
      <c r="B83" s="159">
        <v>1</v>
      </c>
      <c r="C83" s="159" t="s">
        <v>49</v>
      </c>
      <c r="D83" s="510">
        <v>2.16</v>
      </c>
      <c r="E83" s="510">
        <v>0.96</v>
      </c>
      <c r="F83" s="510"/>
      <c r="G83" s="510"/>
      <c r="H83" s="510"/>
      <c r="I83" s="510">
        <v>0.75</v>
      </c>
      <c r="J83" s="510">
        <v>2</v>
      </c>
      <c r="K83" s="510">
        <f t="shared" si="24"/>
        <v>8.3000000000000007</v>
      </c>
      <c r="L83" s="510">
        <f t="shared" si="15"/>
        <v>4.68</v>
      </c>
      <c r="M83" s="510">
        <f t="shared" si="16"/>
        <v>1.5551999999999999</v>
      </c>
      <c r="N83" s="510">
        <f t="shared" si="25"/>
        <v>5.1667200000000006</v>
      </c>
      <c r="O83" s="510">
        <f t="shared" si="26"/>
        <v>2.9891400000000008</v>
      </c>
      <c r="P83" s="510">
        <f>0.15*0.95*0.4+(1.31*4+0.3+0.65*2)*0.15*0.45</f>
        <v>0.51869999999999994</v>
      </c>
      <c r="Q83" s="510">
        <f t="shared" si="19"/>
        <v>0.10367999999999999</v>
      </c>
      <c r="R83" s="524"/>
    </row>
    <row r="84" spans="1:18" ht="15" thickBot="1" x14ac:dyDescent="0.35">
      <c r="A84" s="523" t="s">
        <v>1100</v>
      </c>
      <c r="B84" s="159">
        <v>1</v>
      </c>
      <c r="C84" s="159" t="s">
        <v>49</v>
      </c>
      <c r="D84" s="510">
        <v>2.16</v>
      </c>
      <c r="E84" s="510">
        <v>0.96</v>
      </c>
      <c r="F84" s="510"/>
      <c r="G84" s="510"/>
      <c r="H84" s="510"/>
      <c r="I84" s="510">
        <v>0.7</v>
      </c>
      <c r="J84" s="510">
        <v>2</v>
      </c>
      <c r="K84" s="510">
        <f t="shared" si="24"/>
        <v>8.2000000000000011</v>
      </c>
      <c r="L84" s="510">
        <f t="shared" si="15"/>
        <v>4.3679999999999994</v>
      </c>
      <c r="M84" s="510">
        <f t="shared" si="16"/>
        <v>1.4515199999999999</v>
      </c>
      <c r="N84" s="510">
        <f t="shared" si="25"/>
        <v>4.9514399999999998</v>
      </c>
      <c r="O84" s="510">
        <f t="shared" si="26"/>
        <v>3.1102150000000002</v>
      </c>
      <c r="P84" s="510">
        <f>0.25*0.95*0.4+(1.26*2+0.31)*0.15*0.45</f>
        <v>0.28602499999999997</v>
      </c>
      <c r="Q84" s="510">
        <f t="shared" si="19"/>
        <v>0.10367999999999999</v>
      </c>
      <c r="R84" s="524"/>
    </row>
    <row r="85" spans="1:18" x14ac:dyDescent="0.3">
      <c r="A85" s="609" t="s">
        <v>422</v>
      </c>
      <c r="B85" s="609"/>
      <c r="C85" s="609"/>
      <c r="D85" s="609"/>
      <c r="E85" s="609"/>
      <c r="F85" s="609"/>
      <c r="G85" s="609"/>
      <c r="H85" s="609"/>
      <c r="I85" s="609"/>
      <c r="J85" s="609"/>
      <c r="K85" s="609"/>
      <c r="L85" s="609"/>
      <c r="M85" s="609"/>
      <c r="N85" s="609"/>
      <c r="O85" s="609"/>
      <c r="P85" s="609"/>
      <c r="Q85" s="610"/>
      <c r="R85" s="471"/>
    </row>
    <row r="86" spans="1:18" x14ac:dyDescent="0.3">
      <c r="A86" s="523" t="s">
        <v>1101</v>
      </c>
      <c r="B86" s="159">
        <v>1</v>
      </c>
      <c r="C86" s="159" t="s">
        <v>49</v>
      </c>
      <c r="D86" s="510">
        <v>0.8</v>
      </c>
      <c r="E86" s="510">
        <v>0.8</v>
      </c>
      <c r="F86" s="510"/>
      <c r="G86" s="510"/>
      <c r="H86" s="510"/>
      <c r="I86" s="510">
        <v>0.75</v>
      </c>
      <c r="J86" s="510">
        <v>1</v>
      </c>
      <c r="K86" s="510">
        <f t="shared" si="24"/>
        <v>4.1500000000000004</v>
      </c>
      <c r="L86" s="510">
        <f t="shared" si="15"/>
        <v>2.4000000000000004</v>
      </c>
      <c r="M86" s="510">
        <f t="shared" si="16"/>
        <v>0.48000000000000009</v>
      </c>
      <c r="N86" s="510">
        <f t="shared" si="25"/>
        <v>2.3519999999999999</v>
      </c>
      <c r="O86" s="510">
        <f t="shared" si="26"/>
        <v>1.6866999999999996</v>
      </c>
      <c r="P86" s="510">
        <f>0.15*0.8*0.4+(0.63*2+0.3)*0.15*0.45</f>
        <v>0.15329999999999999</v>
      </c>
      <c r="Q86" s="510">
        <f t="shared" si="19"/>
        <v>3.2000000000000008E-2</v>
      </c>
      <c r="R86" s="524"/>
    </row>
    <row r="87" spans="1:18" x14ac:dyDescent="0.3">
      <c r="A87" s="523" t="s">
        <v>1102</v>
      </c>
      <c r="B87" s="159">
        <v>1</v>
      </c>
      <c r="C87" s="159" t="s">
        <v>49</v>
      </c>
      <c r="D87" s="510">
        <v>2</v>
      </c>
      <c r="E87" s="510">
        <v>0.8</v>
      </c>
      <c r="F87" s="510"/>
      <c r="G87" s="510"/>
      <c r="H87" s="510"/>
      <c r="I87" s="510">
        <v>0.75</v>
      </c>
      <c r="J87" s="510">
        <v>2</v>
      </c>
      <c r="K87" s="510">
        <f t="shared" si="24"/>
        <v>8.3000000000000007</v>
      </c>
      <c r="L87" s="510">
        <f t="shared" si="15"/>
        <v>4.1999999999999993</v>
      </c>
      <c r="M87" s="510">
        <f t="shared" si="16"/>
        <v>1.2000000000000002</v>
      </c>
      <c r="N87" s="510">
        <f t="shared" si="25"/>
        <v>4.3680000000000003</v>
      </c>
      <c r="O87" s="510">
        <f t="shared" si="26"/>
        <v>2.7706750000000002</v>
      </c>
      <c r="P87" s="510">
        <f>0.15*0.8*0.4+(1.23*3+0.3)*0.15*0.45</f>
        <v>0.31732499999999997</v>
      </c>
      <c r="Q87" s="510">
        <f t="shared" si="19"/>
        <v>8.0000000000000016E-2</v>
      </c>
      <c r="R87" s="524"/>
    </row>
    <row r="88" spans="1:18" x14ac:dyDescent="0.3">
      <c r="A88" s="523" t="s">
        <v>1103</v>
      </c>
      <c r="B88" s="159">
        <v>1</v>
      </c>
      <c r="C88" s="159" t="s">
        <v>49</v>
      </c>
      <c r="D88" s="510">
        <v>0.7</v>
      </c>
      <c r="E88" s="510">
        <v>0.7</v>
      </c>
      <c r="F88" s="510"/>
      <c r="G88" s="510"/>
      <c r="H88" s="510"/>
      <c r="I88" s="510">
        <v>0.65</v>
      </c>
      <c r="J88" s="510">
        <v>1</v>
      </c>
      <c r="K88" s="510">
        <f t="shared" si="24"/>
        <v>4.05</v>
      </c>
      <c r="L88" s="510">
        <f t="shared" si="15"/>
        <v>1.8199999999999998</v>
      </c>
      <c r="M88" s="510">
        <f t="shared" si="16"/>
        <v>0.31849999999999995</v>
      </c>
      <c r="N88" s="510">
        <f t="shared" si="25"/>
        <v>1.8589999999999995</v>
      </c>
      <c r="O88" s="510">
        <f t="shared" si="26"/>
        <v>1.3833249999999997</v>
      </c>
      <c r="P88" s="510">
        <f>0.15*0.4*0.4+(0.58*2+0.45)*0.15*0.45</f>
        <v>0.13267499999999999</v>
      </c>
      <c r="Q88" s="510">
        <f t="shared" si="19"/>
        <v>2.4499999999999997E-2</v>
      </c>
      <c r="R88" s="524"/>
    </row>
    <row r="89" spans="1:18" x14ac:dyDescent="0.3">
      <c r="A89" s="523" t="s">
        <v>1104</v>
      </c>
      <c r="B89" s="159">
        <v>1</v>
      </c>
      <c r="C89" s="159" t="s">
        <v>49</v>
      </c>
      <c r="D89" s="510">
        <v>0.7</v>
      </c>
      <c r="E89" s="510">
        <v>0.7</v>
      </c>
      <c r="F89" s="510"/>
      <c r="G89" s="510"/>
      <c r="H89" s="510"/>
      <c r="I89" s="510">
        <v>0.65</v>
      </c>
      <c r="J89" s="510">
        <v>1</v>
      </c>
      <c r="K89" s="510">
        <f t="shared" si="24"/>
        <v>4.05</v>
      </c>
      <c r="L89" s="510">
        <f t="shared" si="15"/>
        <v>1.8199999999999998</v>
      </c>
      <c r="M89" s="510">
        <f t="shared" si="16"/>
        <v>0.31849999999999995</v>
      </c>
      <c r="N89" s="510">
        <f t="shared" si="25"/>
        <v>1.8589999999999995</v>
      </c>
      <c r="O89" s="510">
        <f t="shared" si="26"/>
        <v>1.3861249999999996</v>
      </c>
      <c r="P89" s="510">
        <f>0.2*0.4*0.4+(0.45*2+0.55)*0.15*0.45</f>
        <v>0.12987500000000002</v>
      </c>
      <c r="Q89" s="510">
        <f t="shared" si="19"/>
        <v>2.4499999999999997E-2</v>
      </c>
      <c r="R89" s="524"/>
    </row>
    <row r="90" spans="1:18" x14ac:dyDescent="0.3">
      <c r="A90" s="523" t="s">
        <v>1105</v>
      </c>
      <c r="B90" s="159">
        <v>1</v>
      </c>
      <c r="C90" s="159" t="s">
        <v>49</v>
      </c>
      <c r="D90" s="510">
        <v>0.7</v>
      </c>
      <c r="E90" s="510">
        <v>0.7</v>
      </c>
      <c r="F90" s="510"/>
      <c r="G90" s="510"/>
      <c r="H90" s="510"/>
      <c r="I90" s="510">
        <v>0.65</v>
      </c>
      <c r="J90" s="510">
        <v>1</v>
      </c>
      <c r="K90" s="510">
        <f t="shared" si="24"/>
        <v>4.05</v>
      </c>
      <c r="L90" s="510">
        <f t="shared" si="15"/>
        <v>1.8199999999999998</v>
      </c>
      <c r="M90" s="510">
        <f t="shared" si="16"/>
        <v>0.31849999999999995</v>
      </c>
      <c r="N90" s="510">
        <f t="shared" si="25"/>
        <v>1.8589999999999995</v>
      </c>
      <c r="O90" s="510">
        <f t="shared" si="26"/>
        <v>1.3833249999999997</v>
      </c>
      <c r="P90" s="510">
        <f>0.15*0.4*0.4+(0.58*2+0.45)*0.15*0.45</f>
        <v>0.13267499999999999</v>
      </c>
      <c r="Q90" s="510">
        <f t="shared" si="19"/>
        <v>2.4499999999999997E-2</v>
      </c>
      <c r="R90" s="524"/>
    </row>
    <row r="91" spans="1:18" x14ac:dyDescent="0.3">
      <c r="A91" s="523" t="s">
        <v>1106</v>
      </c>
      <c r="B91" s="159">
        <v>1</v>
      </c>
      <c r="C91" s="159" t="s">
        <v>49</v>
      </c>
      <c r="D91" s="510">
        <v>0.7</v>
      </c>
      <c r="E91" s="510">
        <v>0.7</v>
      </c>
      <c r="F91" s="510"/>
      <c r="G91" s="510"/>
      <c r="H91" s="510"/>
      <c r="I91" s="510">
        <v>0.65</v>
      </c>
      <c r="J91" s="510">
        <v>1</v>
      </c>
      <c r="K91" s="510">
        <f t="shared" si="24"/>
        <v>4.05</v>
      </c>
      <c r="L91" s="510">
        <f t="shared" si="15"/>
        <v>1.8199999999999998</v>
      </c>
      <c r="M91" s="510">
        <f t="shared" si="16"/>
        <v>0.31849999999999995</v>
      </c>
      <c r="N91" s="510">
        <f t="shared" si="25"/>
        <v>1.8589999999999995</v>
      </c>
      <c r="O91" s="510">
        <f t="shared" si="26"/>
        <v>1.3833249999999997</v>
      </c>
      <c r="P91" s="510">
        <f>0.15*0.4*0.4+(0.58*2+0.45)*0.15*0.45</f>
        <v>0.13267499999999999</v>
      </c>
      <c r="Q91" s="510">
        <f t="shared" si="19"/>
        <v>2.4499999999999997E-2</v>
      </c>
      <c r="R91" s="524"/>
    </row>
    <row r="92" spans="1:18" x14ac:dyDescent="0.3">
      <c r="A92" s="523" t="s">
        <v>1107</v>
      </c>
      <c r="B92" s="159">
        <v>1</v>
      </c>
      <c r="C92" s="159" t="s">
        <v>49</v>
      </c>
      <c r="D92" s="510">
        <v>0.7</v>
      </c>
      <c r="E92" s="510">
        <v>0.7</v>
      </c>
      <c r="F92" s="510"/>
      <c r="G92" s="510"/>
      <c r="H92" s="510"/>
      <c r="I92" s="510">
        <v>0.65</v>
      </c>
      <c r="J92" s="510">
        <v>1</v>
      </c>
      <c r="K92" s="510">
        <f t="shared" si="24"/>
        <v>4.05</v>
      </c>
      <c r="L92" s="510">
        <f t="shared" si="15"/>
        <v>1.8199999999999998</v>
      </c>
      <c r="M92" s="510">
        <f t="shared" si="16"/>
        <v>0.31849999999999995</v>
      </c>
      <c r="N92" s="510">
        <f t="shared" si="25"/>
        <v>1.8589999999999995</v>
      </c>
      <c r="O92" s="510">
        <f t="shared" si="26"/>
        <v>1.4118749999999995</v>
      </c>
      <c r="P92" s="510">
        <f>0.2*0.5*0.4+(0.55+0.4)*0.15*0.45</f>
        <v>0.10412500000000002</v>
      </c>
      <c r="Q92" s="510">
        <f t="shared" si="19"/>
        <v>2.4499999999999997E-2</v>
      </c>
      <c r="R92" s="524"/>
    </row>
    <row r="93" spans="1:18" x14ac:dyDescent="0.3">
      <c r="A93" s="523" t="s">
        <v>1108</v>
      </c>
      <c r="B93" s="159">
        <v>1</v>
      </c>
      <c r="C93" s="159" t="s">
        <v>49</v>
      </c>
      <c r="D93" s="510">
        <v>0.7</v>
      </c>
      <c r="E93" s="510">
        <v>0.7</v>
      </c>
      <c r="F93" s="510"/>
      <c r="G93" s="510"/>
      <c r="H93" s="510"/>
      <c r="I93" s="510">
        <v>0.65</v>
      </c>
      <c r="J93" s="510">
        <v>1</v>
      </c>
      <c r="K93" s="510">
        <f t="shared" si="24"/>
        <v>4.05</v>
      </c>
      <c r="L93" s="510">
        <f t="shared" si="15"/>
        <v>1.8199999999999998</v>
      </c>
      <c r="M93" s="510">
        <f t="shared" si="16"/>
        <v>0.31849999999999995</v>
      </c>
      <c r="N93" s="510">
        <f>(D93+$Q$14*2)*(E93+$Q$14*2)*(I93+$Q$16+$Q$13)+0.2*1.3*0.45</f>
        <v>1.9759999999999995</v>
      </c>
      <c r="O93" s="510">
        <f t="shared" si="26"/>
        <v>1.5031249999999996</v>
      </c>
      <c r="P93" s="510">
        <f>0.2*0.4*0.4+(0.45*2+0.55)*0.15*0.45</f>
        <v>0.12987500000000002</v>
      </c>
      <c r="Q93" s="510">
        <f t="shared" si="19"/>
        <v>2.4499999999999997E-2</v>
      </c>
      <c r="R93" s="524"/>
    </row>
    <row r="94" spans="1:18" x14ac:dyDescent="0.3">
      <c r="A94" s="523" t="s">
        <v>1109</v>
      </c>
      <c r="B94" s="159">
        <v>1</v>
      </c>
      <c r="C94" s="159" t="s">
        <v>49</v>
      </c>
      <c r="D94" s="510">
        <v>0.7</v>
      </c>
      <c r="E94" s="510">
        <v>0.7</v>
      </c>
      <c r="F94" s="510"/>
      <c r="G94" s="510"/>
      <c r="H94" s="510"/>
      <c r="I94" s="510">
        <v>0.65</v>
      </c>
      <c r="J94" s="510">
        <v>1</v>
      </c>
      <c r="K94" s="510">
        <f t="shared" si="24"/>
        <v>4.05</v>
      </c>
      <c r="L94" s="510">
        <f t="shared" si="15"/>
        <v>1.8199999999999998</v>
      </c>
      <c r="M94" s="510">
        <f t="shared" si="16"/>
        <v>0.31849999999999995</v>
      </c>
      <c r="N94" s="510">
        <f t="shared" si="25"/>
        <v>1.8589999999999995</v>
      </c>
      <c r="O94" s="510">
        <f t="shared" si="26"/>
        <v>1.4258499999999996</v>
      </c>
      <c r="P94" s="510">
        <f>0.15*0.4*0.4+(0.58+0.4)*0.15*0.45</f>
        <v>9.0150000000000008E-2</v>
      </c>
      <c r="Q94" s="510">
        <f t="shared" si="19"/>
        <v>2.4499999999999997E-2</v>
      </c>
      <c r="R94" s="524"/>
    </row>
    <row r="95" spans="1:18" x14ac:dyDescent="0.3">
      <c r="A95" s="523" t="s">
        <v>1110</v>
      </c>
      <c r="B95" s="159">
        <v>1</v>
      </c>
      <c r="C95" s="159" t="s">
        <v>49</v>
      </c>
      <c r="D95" s="510">
        <v>0.7</v>
      </c>
      <c r="E95" s="510">
        <v>0.7</v>
      </c>
      <c r="F95" s="510"/>
      <c r="G95" s="510"/>
      <c r="H95" s="510"/>
      <c r="I95" s="510">
        <v>0.65</v>
      </c>
      <c r="J95" s="510">
        <v>1</v>
      </c>
      <c r="K95" s="510">
        <f t="shared" si="24"/>
        <v>4.05</v>
      </c>
      <c r="L95" s="510">
        <f t="shared" si="15"/>
        <v>1.8199999999999998</v>
      </c>
      <c r="M95" s="510">
        <f t="shared" si="16"/>
        <v>0.31849999999999995</v>
      </c>
      <c r="N95" s="510">
        <f>(D95+$Q$14*2)*(E95+$Q$14*2)*(I95+$Q$16+$Q$13)+0.75*0.3*0.45</f>
        <v>1.9602499999999996</v>
      </c>
      <c r="O95" s="510">
        <f t="shared" si="26"/>
        <v>1.4806249999999996</v>
      </c>
      <c r="P95" s="510">
        <f>0.2*0.4*0.4+(0.55*2+0.45)*0.15*0.45</f>
        <v>0.136625</v>
      </c>
      <c r="Q95" s="510">
        <f t="shared" si="19"/>
        <v>2.4499999999999997E-2</v>
      </c>
      <c r="R95" s="524"/>
    </row>
    <row r="96" spans="1:18" x14ac:dyDescent="0.3">
      <c r="A96" s="523" t="s">
        <v>1111</v>
      </c>
      <c r="B96" s="159">
        <v>1</v>
      </c>
      <c r="C96" s="159" t="s">
        <v>49</v>
      </c>
      <c r="D96" s="510">
        <v>0.7</v>
      </c>
      <c r="E96" s="510">
        <v>0.7</v>
      </c>
      <c r="F96" s="510"/>
      <c r="G96" s="510"/>
      <c r="H96" s="510"/>
      <c r="I96" s="510">
        <v>0.65</v>
      </c>
      <c r="J96" s="510">
        <v>1</v>
      </c>
      <c r="K96" s="510">
        <f t="shared" si="24"/>
        <v>4.05</v>
      </c>
      <c r="L96" s="510">
        <f t="shared" si="15"/>
        <v>1.8199999999999998</v>
      </c>
      <c r="M96" s="510">
        <f t="shared" si="16"/>
        <v>0.31849999999999995</v>
      </c>
      <c r="N96" s="510">
        <f t="shared" si="25"/>
        <v>1.8589999999999995</v>
      </c>
      <c r="O96" s="510">
        <f t="shared" si="26"/>
        <v>1.3833249999999997</v>
      </c>
      <c r="P96" s="510">
        <f>0.15*0.4*0.4+(0.58*2+0.45)*0.15*0.45</f>
        <v>0.13267499999999999</v>
      </c>
      <c r="Q96" s="510">
        <f t="shared" si="19"/>
        <v>2.4499999999999997E-2</v>
      </c>
      <c r="R96" s="524"/>
    </row>
    <row r="97" spans="1:18" x14ac:dyDescent="0.3">
      <c r="A97" s="523" t="s">
        <v>1112</v>
      </c>
      <c r="B97" s="159">
        <v>1</v>
      </c>
      <c r="C97" s="159" t="s">
        <v>49</v>
      </c>
      <c r="D97" s="510">
        <v>0.7</v>
      </c>
      <c r="E97" s="510">
        <v>0.7</v>
      </c>
      <c r="F97" s="510"/>
      <c r="G97" s="510"/>
      <c r="H97" s="510"/>
      <c r="I97" s="510">
        <v>0.65</v>
      </c>
      <c r="J97" s="510">
        <v>1</v>
      </c>
      <c r="K97" s="510">
        <f t="shared" si="24"/>
        <v>4.05</v>
      </c>
      <c r="L97" s="510">
        <f t="shared" si="15"/>
        <v>1.8199999999999998</v>
      </c>
      <c r="M97" s="510">
        <f t="shared" si="16"/>
        <v>0.31849999999999995</v>
      </c>
      <c r="N97" s="510">
        <f t="shared" si="25"/>
        <v>1.8589999999999995</v>
      </c>
      <c r="O97" s="510">
        <f t="shared" si="26"/>
        <v>1.3833249999999997</v>
      </c>
      <c r="P97" s="510">
        <f>0.15*0.4*0.4+(0.58*2+0.45)*0.15*0.45</f>
        <v>0.13267499999999999</v>
      </c>
      <c r="Q97" s="510">
        <f t="shared" si="19"/>
        <v>2.4499999999999997E-2</v>
      </c>
      <c r="R97" s="524"/>
    </row>
    <row r="98" spans="1:18" x14ac:dyDescent="0.3">
      <c r="A98" s="523" t="s">
        <v>1113</v>
      </c>
      <c r="B98" s="159">
        <v>1</v>
      </c>
      <c r="C98" s="159" t="s">
        <v>49</v>
      </c>
      <c r="D98" s="510">
        <v>0.7</v>
      </c>
      <c r="E98" s="510">
        <v>0.7</v>
      </c>
      <c r="F98" s="510"/>
      <c r="G98" s="510"/>
      <c r="H98" s="510"/>
      <c r="I98" s="510">
        <v>0.65</v>
      </c>
      <c r="J98" s="510">
        <v>1</v>
      </c>
      <c r="K98" s="510">
        <f t="shared" si="14"/>
        <v>4.05</v>
      </c>
      <c r="L98" s="510">
        <f t="shared" ref="L98:L287" si="27">(D98*2+E98*2)*I98</f>
        <v>1.8199999999999998</v>
      </c>
      <c r="M98" s="510">
        <f t="shared" ref="M98:M287" si="28">((D98*E98*I98))*B98</f>
        <v>0.31849999999999995</v>
      </c>
      <c r="N98" s="510">
        <f t="shared" si="22"/>
        <v>1.8589999999999995</v>
      </c>
      <c r="O98" s="510">
        <f t="shared" si="18"/>
        <v>1.3464999999999996</v>
      </c>
      <c r="P98" s="510">
        <f>0.2*0.6*0.4+(0.55*2+0.35*2)*0.15*0.45</f>
        <v>0.16950000000000001</v>
      </c>
      <c r="Q98" s="510">
        <f t="shared" ref="Q98:Q287" si="29">D98*E98*$Q$16*B98</f>
        <v>2.4499999999999997E-2</v>
      </c>
      <c r="R98" s="524"/>
    </row>
    <row r="99" spans="1:18" x14ac:dyDescent="0.3">
      <c r="A99" s="523" t="s">
        <v>1114</v>
      </c>
      <c r="B99" s="159">
        <v>1</v>
      </c>
      <c r="C99" s="159" t="s">
        <v>49</v>
      </c>
      <c r="D99" s="510">
        <v>0.7</v>
      </c>
      <c r="E99" s="510">
        <v>0.7</v>
      </c>
      <c r="F99" s="510"/>
      <c r="G99" s="510"/>
      <c r="H99" s="510"/>
      <c r="I99" s="510">
        <v>0.65</v>
      </c>
      <c r="J99" s="510">
        <v>1</v>
      </c>
      <c r="K99" s="510">
        <f t="shared" si="14"/>
        <v>4.05</v>
      </c>
      <c r="L99" s="510">
        <f t="shared" si="27"/>
        <v>1.8199999999999998</v>
      </c>
      <c r="M99" s="510">
        <f t="shared" si="28"/>
        <v>0.31849999999999995</v>
      </c>
      <c r="N99" s="510">
        <f t="shared" si="22"/>
        <v>1.8589999999999995</v>
      </c>
      <c r="O99" s="510">
        <f t="shared" si="18"/>
        <v>1.3833249999999997</v>
      </c>
      <c r="P99" s="510">
        <f>0.15*0.4*0.4+(0.58*2+0.45)*0.15*0.45</f>
        <v>0.13267499999999999</v>
      </c>
      <c r="Q99" s="510">
        <f t="shared" si="29"/>
        <v>2.4499999999999997E-2</v>
      </c>
      <c r="R99" s="524"/>
    </row>
    <row r="100" spans="1:18" x14ac:dyDescent="0.3">
      <c r="A100" s="523" t="s">
        <v>1115</v>
      </c>
      <c r="B100" s="159">
        <v>1</v>
      </c>
      <c r="C100" s="159" t="s">
        <v>49</v>
      </c>
      <c r="D100" s="510">
        <v>0.7</v>
      </c>
      <c r="E100" s="510">
        <v>0.7</v>
      </c>
      <c r="F100" s="510"/>
      <c r="G100" s="510"/>
      <c r="H100" s="510"/>
      <c r="I100" s="510">
        <v>0.65</v>
      </c>
      <c r="J100" s="510">
        <v>1</v>
      </c>
      <c r="K100" s="510">
        <f t="shared" si="14"/>
        <v>4.05</v>
      </c>
      <c r="L100" s="510">
        <f t="shared" si="27"/>
        <v>1.8199999999999998</v>
      </c>
      <c r="M100" s="510">
        <f t="shared" si="28"/>
        <v>0.31849999999999995</v>
      </c>
      <c r="N100" s="510">
        <f t="shared" si="22"/>
        <v>1.8589999999999995</v>
      </c>
      <c r="O100" s="510">
        <f t="shared" si="18"/>
        <v>1.3529499999999994</v>
      </c>
      <c r="P100" s="510">
        <f>0.15*0.4*0.4+(0.45*2+0.58*2)*0.15*0.45</f>
        <v>0.16305</v>
      </c>
      <c r="Q100" s="510">
        <f t="shared" si="29"/>
        <v>2.4499999999999997E-2</v>
      </c>
      <c r="R100" s="524"/>
    </row>
    <row r="101" spans="1:18" x14ac:dyDescent="0.3">
      <c r="A101" s="523" t="s">
        <v>1116</v>
      </c>
      <c r="B101" s="159">
        <v>1</v>
      </c>
      <c r="C101" s="159" t="s">
        <v>49</v>
      </c>
      <c r="D101" s="510">
        <v>1.9</v>
      </c>
      <c r="E101" s="510">
        <v>0.7</v>
      </c>
      <c r="F101" s="510"/>
      <c r="G101" s="510"/>
      <c r="H101" s="510"/>
      <c r="I101" s="510">
        <v>0.6</v>
      </c>
      <c r="J101" s="510">
        <v>2</v>
      </c>
      <c r="K101" s="510">
        <f t="shared" si="14"/>
        <v>8</v>
      </c>
      <c r="L101" s="510">
        <f t="shared" si="27"/>
        <v>3.1199999999999997</v>
      </c>
      <c r="M101" s="510">
        <f t="shared" si="28"/>
        <v>0.79799999999999993</v>
      </c>
      <c r="N101" s="510">
        <f t="shared" si="22"/>
        <v>3.4124999999999996</v>
      </c>
      <c r="O101" s="510">
        <f t="shared" si="18"/>
        <v>2.3456999999999999</v>
      </c>
      <c r="P101" s="510">
        <f>0.25*0.7*0.4+(0.53*2+0.9)*0.15*0.45</f>
        <v>0.20229999999999998</v>
      </c>
      <c r="Q101" s="510">
        <f t="shared" si="29"/>
        <v>6.649999999999999E-2</v>
      </c>
      <c r="R101" s="524"/>
    </row>
    <row r="102" spans="1:18" x14ac:dyDescent="0.3">
      <c r="A102" s="523" t="s">
        <v>1117</v>
      </c>
      <c r="B102" s="159">
        <v>1</v>
      </c>
      <c r="C102" s="159" t="s">
        <v>49</v>
      </c>
      <c r="D102" s="510">
        <v>0.7</v>
      </c>
      <c r="E102" s="510">
        <v>0.7</v>
      </c>
      <c r="F102" s="510"/>
      <c r="G102" s="510"/>
      <c r="H102" s="510"/>
      <c r="I102" s="510">
        <v>0.65</v>
      </c>
      <c r="J102" s="510">
        <v>1</v>
      </c>
      <c r="K102" s="510">
        <f t="shared" si="14"/>
        <v>4.05</v>
      </c>
      <c r="L102" s="510">
        <f t="shared" si="27"/>
        <v>1.8199999999999998</v>
      </c>
      <c r="M102" s="510">
        <f t="shared" si="28"/>
        <v>0.31849999999999995</v>
      </c>
      <c r="N102" s="510">
        <f t="shared" si="22"/>
        <v>1.8589999999999995</v>
      </c>
      <c r="O102" s="510">
        <f t="shared" si="18"/>
        <v>1.3478999999999997</v>
      </c>
      <c r="P102" s="510">
        <f>0.25*0.25*0.4+(0.53*4)*0.15*0.45</f>
        <v>0.1681</v>
      </c>
      <c r="Q102" s="510">
        <f t="shared" si="29"/>
        <v>2.4499999999999997E-2</v>
      </c>
      <c r="R102" s="524"/>
    </row>
    <row r="103" spans="1:18" x14ac:dyDescent="0.3">
      <c r="A103" s="523" t="s">
        <v>1118</v>
      </c>
      <c r="B103" s="159">
        <v>1</v>
      </c>
      <c r="C103" s="159" t="s">
        <v>49</v>
      </c>
      <c r="D103" s="510">
        <v>1.9</v>
      </c>
      <c r="E103" s="510">
        <v>0.7</v>
      </c>
      <c r="F103" s="510"/>
      <c r="G103" s="510"/>
      <c r="H103" s="510"/>
      <c r="I103" s="510">
        <v>0.7</v>
      </c>
      <c r="J103" s="510">
        <v>2</v>
      </c>
      <c r="K103" s="510">
        <f t="shared" si="14"/>
        <v>8.2000000000000011</v>
      </c>
      <c r="L103" s="510">
        <f t="shared" si="27"/>
        <v>3.6399999999999992</v>
      </c>
      <c r="M103" s="510">
        <f t="shared" si="28"/>
        <v>0.93099999999999983</v>
      </c>
      <c r="N103" s="510">
        <f t="shared" si="22"/>
        <v>3.7374999999999994</v>
      </c>
      <c r="O103" s="510">
        <f t="shared" si="18"/>
        <v>2.4769499999999995</v>
      </c>
      <c r="P103" s="510">
        <f>0.25*0.7*0.4+(1.13*2+0.3*2)*0.15*0.45</f>
        <v>0.26305000000000001</v>
      </c>
      <c r="Q103" s="510">
        <f t="shared" si="29"/>
        <v>6.649999999999999E-2</v>
      </c>
      <c r="R103" s="524"/>
    </row>
    <row r="104" spans="1:18" x14ac:dyDescent="0.3">
      <c r="A104" s="523" t="s">
        <v>1119</v>
      </c>
      <c r="B104" s="159">
        <v>1</v>
      </c>
      <c r="C104" s="159" t="s">
        <v>49</v>
      </c>
      <c r="D104" s="510">
        <v>0.7</v>
      </c>
      <c r="E104" s="510">
        <v>0.7</v>
      </c>
      <c r="F104" s="510"/>
      <c r="G104" s="510"/>
      <c r="H104" s="510"/>
      <c r="I104" s="510">
        <v>0.65</v>
      </c>
      <c r="J104" s="510">
        <v>1</v>
      </c>
      <c r="K104" s="510">
        <f t="shared" si="12"/>
        <v>4.05</v>
      </c>
      <c r="L104" s="510">
        <f t="shared" si="27"/>
        <v>1.8199999999999998</v>
      </c>
      <c r="M104" s="510">
        <f t="shared" si="28"/>
        <v>0.31849999999999995</v>
      </c>
      <c r="N104" s="510">
        <f t="shared" si="22"/>
        <v>1.8589999999999995</v>
      </c>
      <c r="O104" s="510">
        <f t="shared" si="13"/>
        <v>1.3478999999999997</v>
      </c>
      <c r="P104" s="510">
        <f>0.25*0.25*0.4+(0.53*4)*0.15*0.45</f>
        <v>0.1681</v>
      </c>
      <c r="Q104" s="510">
        <f t="shared" si="29"/>
        <v>2.4499999999999997E-2</v>
      </c>
      <c r="R104" s="524"/>
    </row>
    <row r="105" spans="1:18" x14ac:dyDescent="0.3">
      <c r="A105" s="523" t="s">
        <v>1120</v>
      </c>
      <c r="B105" s="159">
        <v>1</v>
      </c>
      <c r="C105" s="159" t="s">
        <v>49</v>
      </c>
      <c r="D105" s="510">
        <v>1.9</v>
      </c>
      <c r="E105" s="510">
        <v>0.7</v>
      </c>
      <c r="F105" s="510"/>
      <c r="G105" s="510"/>
      <c r="H105" s="510"/>
      <c r="I105" s="510">
        <v>0.7</v>
      </c>
      <c r="J105" s="510">
        <v>2</v>
      </c>
      <c r="K105" s="510">
        <f t="shared" si="12"/>
        <v>8.2000000000000011</v>
      </c>
      <c r="L105" s="510">
        <f t="shared" si="27"/>
        <v>3.6399999999999992</v>
      </c>
      <c r="M105" s="510">
        <f t="shared" si="28"/>
        <v>0.93099999999999983</v>
      </c>
      <c r="N105" s="510">
        <f t="shared" si="22"/>
        <v>3.7374999999999994</v>
      </c>
      <c r="O105" s="510">
        <f t="shared" si="13"/>
        <v>2.4769499999999995</v>
      </c>
      <c r="P105" s="510">
        <f>0.25*0.7*0.4+(1.13*2+0.3*2)*0.15*0.45</f>
        <v>0.26305000000000001</v>
      </c>
      <c r="Q105" s="510">
        <f t="shared" si="29"/>
        <v>6.649999999999999E-2</v>
      </c>
      <c r="R105" s="524"/>
    </row>
    <row r="106" spans="1:18" x14ac:dyDescent="0.3">
      <c r="A106" s="523" t="s">
        <v>1121</v>
      </c>
      <c r="B106" s="159">
        <v>1</v>
      </c>
      <c r="C106" s="159" t="s">
        <v>49</v>
      </c>
      <c r="D106" s="510">
        <v>0.7</v>
      </c>
      <c r="E106" s="510">
        <v>0.7</v>
      </c>
      <c r="F106" s="510"/>
      <c r="G106" s="510"/>
      <c r="H106" s="510"/>
      <c r="I106" s="510">
        <v>0.65</v>
      </c>
      <c r="J106" s="510">
        <v>1</v>
      </c>
      <c r="K106" s="510">
        <f t="shared" si="12"/>
        <v>4.05</v>
      </c>
      <c r="L106" s="510">
        <f t="shared" si="27"/>
        <v>1.8199999999999998</v>
      </c>
      <c r="M106" s="510">
        <f t="shared" si="28"/>
        <v>0.31849999999999995</v>
      </c>
      <c r="N106" s="510">
        <f t="shared" si="22"/>
        <v>1.8589999999999995</v>
      </c>
      <c r="O106" s="510">
        <f t="shared" si="13"/>
        <v>1.3478999999999997</v>
      </c>
      <c r="P106" s="510">
        <f>0.25*0.25*0.4+(0.53*4)*0.15*0.45</f>
        <v>0.1681</v>
      </c>
      <c r="Q106" s="510">
        <f t="shared" si="29"/>
        <v>2.4499999999999997E-2</v>
      </c>
      <c r="R106" s="524"/>
    </row>
    <row r="107" spans="1:18" x14ac:dyDescent="0.3">
      <c r="A107" s="523" t="s">
        <v>1122</v>
      </c>
      <c r="B107" s="159">
        <v>1</v>
      </c>
      <c r="C107" s="159" t="s">
        <v>49</v>
      </c>
      <c r="D107" s="510">
        <v>1.9</v>
      </c>
      <c r="E107" s="510">
        <v>0.7</v>
      </c>
      <c r="F107" s="510"/>
      <c r="G107" s="510"/>
      <c r="H107" s="510"/>
      <c r="I107" s="510">
        <v>0.7</v>
      </c>
      <c r="J107" s="510">
        <v>2</v>
      </c>
      <c r="K107" s="510">
        <f t="shared" si="12"/>
        <v>8.2000000000000011</v>
      </c>
      <c r="L107" s="510">
        <f t="shared" si="27"/>
        <v>3.6399999999999992</v>
      </c>
      <c r="M107" s="510">
        <f t="shared" si="28"/>
        <v>0.93099999999999983</v>
      </c>
      <c r="N107" s="510">
        <f t="shared" si="22"/>
        <v>3.7374999999999994</v>
      </c>
      <c r="O107" s="510">
        <f t="shared" si="13"/>
        <v>2.5532249999999994</v>
      </c>
      <c r="P107" s="510">
        <f>0.25*0.7*0.4+(1.13+0.3*2)*0.15*0.45</f>
        <v>0.186775</v>
      </c>
      <c r="Q107" s="510">
        <f t="shared" si="29"/>
        <v>6.649999999999999E-2</v>
      </c>
      <c r="R107" s="524"/>
    </row>
    <row r="108" spans="1:18" x14ac:dyDescent="0.3">
      <c r="A108" s="523" t="s">
        <v>1123</v>
      </c>
      <c r="B108" s="159">
        <v>1</v>
      </c>
      <c r="C108" s="159" t="s">
        <v>49</v>
      </c>
      <c r="D108" s="510">
        <v>0.7</v>
      </c>
      <c r="E108" s="510">
        <v>0.7</v>
      </c>
      <c r="F108" s="510"/>
      <c r="G108" s="510"/>
      <c r="H108" s="510"/>
      <c r="I108" s="510">
        <v>0.65</v>
      </c>
      <c r="J108" s="510">
        <v>1</v>
      </c>
      <c r="K108" s="510">
        <f t="shared" si="12"/>
        <v>4.05</v>
      </c>
      <c r="L108" s="510">
        <f t="shared" si="27"/>
        <v>1.8199999999999998</v>
      </c>
      <c r="M108" s="510">
        <f t="shared" si="28"/>
        <v>0.31849999999999995</v>
      </c>
      <c r="N108" s="510">
        <f t="shared" si="22"/>
        <v>1.8589999999999995</v>
      </c>
      <c r="O108" s="510">
        <f t="shared" si="13"/>
        <v>1.4258499999999996</v>
      </c>
      <c r="P108" s="510">
        <f>0.15*0.4*0.4+(0.58+0.4)*0.15*0.45</f>
        <v>9.0150000000000008E-2</v>
      </c>
      <c r="Q108" s="510">
        <f t="shared" si="29"/>
        <v>2.4499999999999997E-2</v>
      </c>
      <c r="R108" s="524"/>
    </row>
    <row r="109" spans="1:18" x14ac:dyDescent="0.3">
      <c r="A109" s="523" t="s">
        <v>1124</v>
      </c>
      <c r="B109" s="159">
        <v>1</v>
      </c>
      <c r="C109" s="159" t="s">
        <v>49</v>
      </c>
      <c r="D109" s="510">
        <v>0.7</v>
      </c>
      <c r="E109" s="510">
        <v>0.7</v>
      </c>
      <c r="F109" s="510"/>
      <c r="G109" s="510"/>
      <c r="H109" s="510"/>
      <c r="I109" s="510">
        <v>0.65</v>
      </c>
      <c r="J109" s="510">
        <v>1</v>
      </c>
      <c r="K109" s="510">
        <f t="shared" si="12"/>
        <v>4.05</v>
      </c>
      <c r="L109" s="510">
        <f t="shared" si="27"/>
        <v>1.8199999999999998</v>
      </c>
      <c r="M109" s="510">
        <f t="shared" si="28"/>
        <v>0.31849999999999995</v>
      </c>
      <c r="N109" s="510">
        <f t="shared" si="22"/>
        <v>1.8589999999999995</v>
      </c>
      <c r="O109" s="510">
        <f t="shared" si="13"/>
        <v>1.3529499999999994</v>
      </c>
      <c r="P109" s="510">
        <f>0.15*0.4*0.4+(0.45*2+0.58*2)*0.15*0.45</f>
        <v>0.16305</v>
      </c>
      <c r="Q109" s="510">
        <f t="shared" si="29"/>
        <v>2.4499999999999997E-2</v>
      </c>
      <c r="R109" s="524"/>
    </row>
    <row r="110" spans="1:18" x14ac:dyDescent="0.3">
      <c r="A110" s="523" t="s">
        <v>1125</v>
      </c>
      <c r="B110" s="159">
        <v>1</v>
      </c>
      <c r="C110" s="159" t="s">
        <v>49</v>
      </c>
      <c r="D110" s="510">
        <v>0.76</v>
      </c>
      <c r="E110" s="510">
        <v>0.76</v>
      </c>
      <c r="F110" s="510"/>
      <c r="G110" s="510"/>
      <c r="H110" s="510"/>
      <c r="I110" s="510">
        <v>0.7</v>
      </c>
      <c r="J110" s="510">
        <v>1</v>
      </c>
      <c r="K110" s="510">
        <f t="shared" si="12"/>
        <v>4.1000000000000005</v>
      </c>
      <c r="L110" s="510">
        <f t="shared" si="27"/>
        <v>2.1279999999999997</v>
      </c>
      <c r="M110" s="510">
        <f t="shared" si="28"/>
        <v>0.40431999999999996</v>
      </c>
      <c r="N110" s="510">
        <f t="shared" si="22"/>
        <v>2.1270399999999996</v>
      </c>
      <c r="O110" s="510">
        <f t="shared" si="13"/>
        <v>1.5462399999999996</v>
      </c>
      <c r="P110" s="510">
        <f>0.15*0.75*0.4+(0.61*2+0.3)*0.15*0.45</f>
        <v>0.14760000000000001</v>
      </c>
      <c r="Q110" s="510">
        <f t="shared" si="29"/>
        <v>2.8880000000000003E-2</v>
      </c>
      <c r="R110" s="524"/>
    </row>
    <row r="111" spans="1:18" x14ac:dyDescent="0.3">
      <c r="A111" s="523" t="s">
        <v>1126</v>
      </c>
      <c r="B111" s="159">
        <v>1</v>
      </c>
      <c r="C111" s="159" t="s">
        <v>49</v>
      </c>
      <c r="D111" s="510">
        <v>0.76</v>
      </c>
      <c r="E111" s="510">
        <v>0.76</v>
      </c>
      <c r="F111" s="510"/>
      <c r="G111" s="510"/>
      <c r="H111" s="510"/>
      <c r="I111" s="510">
        <v>0.7</v>
      </c>
      <c r="J111" s="510">
        <v>1</v>
      </c>
      <c r="K111" s="510">
        <f t="shared" si="12"/>
        <v>4.1000000000000005</v>
      </c>
      <c r="L111" s="510">
        <f t="shared" si="27"/>
        <v>2.1279999999999997</v>
      </c>
      <c r="M111" s="510">
        <f t="shared" si="28"/>
        <v>0.40431999999999996</v>
      </c>
      <c r="N111" s="510">
        <f t="shared" si="22"/>
        <v>2.1270399999999996</v>
      </c>
      <c r="O111" s="510">
        <f t="shared" si="13"/>
        <v>1.5043899999999997</v>
      </c>
      <c r="P111" s="510">
        <f>0.15*0.75*0.4+(0.61*3+0.31)*0.15*0.45</f>
        <v>0.18945000000000001</v>
      </c>
      <c r="Q111" s="510">
        <f t="shared" si="29"/>
        <v>2.8880000000000003E-2</v>
      </c>
      <c r="R111" s="524"/>
    </row>
    <row r="112" spans="1:18" x14ac:dyDescent="0.3">
      <c r="A112" s="523" t="s">
        <v>1127</v>
      </c>
      <c r="B112" s="159">
        <v>1</v>
      </c>
      <c r="C112" s="159" t="s">
        <v>49</v>
      </c>
      <c r="D112" s="510">
        <v>2.16</v>
      </c>
      <c r="E112" s="510">
        <v>0.96</v>
      </c>
      <c r="F112" s="510"/>
      <c r="G112" s="510"/>
      <c r="H112" s="510"/>
      <c r="I112" s="510">
        <v>0.75</v>
      </c>
      <c r="J112" s="510">
        <v>2</v>
      </c>
      <c r="K112" s="510">
        <f t="shared" si="12"/>
        <v>8.3000000000000007</v>
      </c>
      <c r="L112" s="510">
        <f t="shared" si="27"/>
        <v>4.68</v>
      </c>
      <c r="M112" s="510">
        <f t="shared" si="28"/>
        <v>1.5551999999999999</v>
      </c>
      <c r="N112" s="510">
        <f t="shared" si="22"/>
        <v>5.1667200000000006</v>
      </c>
      <c r="O112" s="510">
        <f t="shared" si="13"/>
        <v>3.1646400000000008</v>
      </c>
      <c r="P112" s="510">
        <f>0.15*0.95*0.4+(1.31*3+0.31)*0.15*0.45</f>
        <v>0.34320000000000001</v>
      </c>
      <c r="Q112" s="510">
        <f t="shared" si="29"/>
        <v>0.10367999999999999</v>
      </c>
      <c r="R112" s="524"/>
    </row>
    <row r="113" spans="1:18" x14ac:dyDescent="0.3">
      <c r="A113" s="523" t="s">
        <v>1128</v>
      </c>
      <c r="B113" s="159">
        <v>1</v>
      </c>
      <c r="C113" s="159" t="s">
        <v>49</v>
      </c>
      <c r="D113" s="510">
        <v>2.16</v>
      </c>
      <c r="E113" s="510">
        <v>0.96</v>
      </c>
      <c r="F113" s="510"/>
      <c r="G113" s="510"/>
      <c r="H113" s="510"/>
      <c r="I113" s="510">
        <v>0.75</v>
      </c>
      <c r="J113" s="510">
        <v>2</v>
      </c>
      <c r="K113" s="510">
        <f t="shared" si="12"/>
        <v>8.3000000000000007</v>
      </c>
      <c r="L113" s="510">
        <f t="shared" si="27"/>
        <v>4.68</v>
      </c>
      <c r="M113" s="510">
        <f t="shared" si="28"/>
        <v>1.5551999999999999</v>
      </c>
      <c r="N113" s="510">
        <f t="shared" si="22"/>
        <v>5.1667200000000006</v>
      </c>
      <c r="O113" s="510">
        <f t="shared" si="13"/>
        <v>2.9884650000000006</v>
      </c>
      <c r="P113" s="510">
        <f>0.15*0.95*0.4+(1.31*4+0.31+0.65*2)*0.15*0.45</f>
        <v>0.51937499999999992</v>
      </c>
      <c r="Q113" s="510">
        <f t="shared" si="29"/>
        <v>0.10367999999999999</v>
      </c>
      <c r="R113" s="524"/>
    </row>
    <row r="114" spans="1:18" x14ac:dyDescent="0.3">
      <c r="A114" s="523" t="s">
        <v>1129</v>
      </c>
      <c r="B114" s="159">
        <v>1</v>
      </c>
      <c r="C114" s="159" t="s">
        <v>49</v>
      </c>
      <c r="D114" s="510">
        <v>2.16</v>
      </c>
      <c r="E114" s="510">
        <v>0.96</v>
      </c>
      <c r="F114" s="510"/>
      <c r="G114" s="510"/>
      <c r="H114" s="510"/>
      <c r="I114" s="510">
        <v>0.75</v>
      </c>
      <c r="J114" s="510">
        <v>2</v>
      </c>
      <c r="K114" s="510">
        <f t="shared" si="12"/>
        <v>8.3000000000000007</v>
      </c>
      <c r="L114" s="510">
        <f t="shared" si="27"/>
        <v>4.68</v>
      </c>
      <c r="M114" s="510">
        <f t="shared" si="28"/>
        <v>1.5551999999999999</v>
      </c>
      <c r="N114" s="510">
        <f t="shared" si="22"/>
        <v>5.1667200000000006</v>
      </c>
      <c r="O114" s="510">
        <f t="shared" si="13"/>
        <v>3.0762150000000008</v>
      </c>
      <c r="P114" s="510">
        <f>0.15*0.95*0.4+(1.31*4+0.31)*0.15*0.45</f>
        <v>0.43162499999999998</v>
      </c>
      <c r="Q114" s="510">
        <f t="shared" si="29"/>
        <v>0.10367999999999999</v>
      </c>
      <c r="R114" s="524"/>
    </row>
    <row r="115" spans="1:18" x14ac:dyDescent="0.3">
      <c r="A115" s="523" t="s">
        <v>1130</v>
      </c>
      <c r="B115" s="159">
        <v>1</v>
      </c>
      <c r="C115" s="159" t="s">
        <v>49</v>
      </c>
      <c r="D115" s="510">
        <v>2.16</v>
      </c>
      <c r="E115" s="510">
        <v>0.96</v>
      </c>
      <c r="F115" s="510"/>
      <c r="G115" s="510"/>
      <c r="H115" s="510"/>
      <c r="I115" s="510">
        <v>0.75</v>
      </c>
      <c r="J115" s="510">
        <v>2</v>
      </c>
      <c r="K115" s="510">
        <f t="shared" si="12"/>
        <v>8.3000000000000007</v>
      </c>
      <c r="L115" s="510">
        <f t="shared" si="27"/>
        <v>4.68</v>
      </c>
      <c r="M115" s="510">
        <f t="shared" si="28"/>
        <v>1.5551999999999999</v>
      </c>
      <c r="N115" s="510">
        <f t="shared" si="22"/>
        <v>5.1667200000000006</v>
      </c>
      <c r="O115" s="510">
        <f t="shared" si="13"/>
        <v>2.9884650000000006</v>
      </c>
      <c r="P115" s="510">
        <f>0.15*0.95*0.4+(1.31*4+0.31+0.65*2)*0.15*0.45</f>
        <v>0.51937499999999992</v>
      </c>
      <c r="Q115" s="510">
        <f t="shared" si="29"/>
        <v>0.10367999999999999</v>
      </c>
      <c r="R115" s="524"/>
    </row>
    <row r="116" spans="1:18" x14ac:dyDescent="0.3">
      <c r="A116" s="523" t="s">
        <v>1131</v>
      </c>
      <c r="B116" s="159">
        <v>1</v>
      </c>
      <c r="C116" s="159" t="s">
        <v>49</v>
      </c>
      <c r="D116" s="510">
        <v>0.7</v>
      </c>
      <c r="E116" s="510">
        <v>0.7</v>
      </c>
      <c r="F116" s="510"/>
      <c r="G116" s="510"/>
      <c r="H116" s="510"/>
      <c r="I116" s="510">
        <v>0.65</v>
      </c>
      <c r="J116" s="510">
        <v>1</v>
      </c>
      <c r="K116" s="510">
        <f t="shared" ref="K116:K127" si="30">J116*($Q$15+I116+$Q$13)</f>
        <v>4.05</v>
      </c>
      <c r="L116" s="510">
        <f t="shared" ref="L116:L127" si="31">(D116*2+E116*2)*I116</f>
        <v>1.8199999999999998</v>
      </c>
      <c r="M116" s="510">
        <f t="shared" ref="M116:M127" si="32">((D116*E116*I116))*B116</f>
        <v>0.31849999999999995</v>
      </c>
      <c r="N116" s="510">
        <f t="shared" ref="N116:N127" si="33">(D116+$Q$14*2)*(E116+$Q$14*2)*(I116+$Q$16+$Q$13)</f>
        <v>1.8589999999999995</v>
      </c>
      <c r="O116" s="510">
        <f t="shared" ref="O116:O127" si="34">N116-(M116+Q116+P116)</f>
        <v>1.3836249999999994</v>
      </c>
      <c r="P116" s="510">
        <f>0.2*0.6*0.4+(0.55+0.35*2)*0.15*0.45</f>
        <v>0.13237500000000002</v>
      </c>
      <c r="Q116" s="510">
        <f t="shared" ref="Q116:Q127" si="35">D116*E116*$Q$16*B116</f>
        <v>2.4499999999999997E-2</v>
      </c>
      <c r="R116" s="524"/>
    </row>
    <row r="117" spans="1:18" x14ac:dyDescent="0.3">
      <c r="A117" s="523" t="s">
        <v>1132</v>
      </c>
      <c r="B117" s="159">
        <v>1</v>
      </c>
      <c r="C117" s="159" t="s">
        <v>49</v>
      </c>
      <c r="D117" s="510">
        <v>2.16</v>
      </c>
      <c r="E117" s="510">
        <v>0.96</v>
      </c>
      <c r="F117" s="510"/>
      <c r="G117" s="510"/>
      <c r="H117" s="510"/>
      <c r="I117" s="510">
        <v>0.75</v>
      </c>
      <c r="J117" s="510">
        <v>2</v>
      </c>
      <c r="K117" s="510">
        <f t="shared" si="30"/>
        <v>8.3000000000000007</v>
      </c>
      <c r="L117" s="510">
        <f t="shared" si="31"/>
        <v>4.68</v>
      </c>
      <c r="M117" s="510">
        <f t="shared" si="32"/>
        <v>1.5551999999999999</v>
      </c>
      <c r="N117" s="510">
        <f t="shared" si="33"/>
        <v>5.1667200000000006</v>
      </c>
      <c r="O117" s="510">
        <f t="shared" si="34"/>
        <v>2.9884650000000006</v>
      </c>
      <c r="P117" s="510">
        <f>0.15*0.95*0.4+(1.31*4+0.31+0.65*2)*0.15*0.45</f>
        <v>0.51937499999999992</v>
      </c>
      <c r="Q117" s="510">
        <f t="shared" si="35"/>
        <v>0.10367999999999999</v>
      </c>
      <c r="R117" s="524"/>
    </row>
    <row r="118" spans="1:18" ht="15" thickBot="1" x14ac:dyDescent="0.35">
      <c r="A118" s="523" t="s">
        <v>1133</v>
      </c>
      <c r="B118" s="159">
        <v>1</v>
      </c>
      <c r="C118" s="159" t="s">
        <v>49</v>
      </c>
      <c r="D118" s="510">
        <v>2.16</v>
      </c>
      <c r="E118" s="510">
        <v>0.96</v>
      </c>
      <c r="F118" s="510"/>
      <c r="G118" s="510"/>
      <c r="H118" s="510"/>
      <c r="I118" s="510">
        <v>0.7</v>
      </c>
      <c r="J118" s="510">
        <v>2</v>
      </c>
      <c r="K118" s="510">
        <f t="shared" si="30"/>
        <v>8.2000000000000011</v>
      </c>
      <c r="L118" s="510">
        <f t="shared" si="31"/>
        <v>4.3679999999999994</v>
      </c>
      <c r="M118" s="510">
        <f t="shared" si="32"/>
        <v>1.4515199999999999</v>
      </c>
      <c r="N118" s="510">
        <f t="shared" si="33"/>
        <v>4.9514399999999998</v>
      </c>
      <c r="O118" s="510">
        <f t="shared" si="34"/>
        <v>3.1265149999999999</v>
      </c>
      <c r="P118" s="510">
        <f>0.2*0.95*0.4+(1.28*2+0.31)*0.15*0.45</f>
        <v>0.26972499999999999</v>
      </c>
      <c r="Q118" s="510">
        <f t="shared" si="35"/>
        <v>0.10367999999999999</v>
      </c>
      <c r="R118" s="524"/>
    </row>
    <row r="119" spans="1:18" x14ac:dyDescent="0.3">
      <c r="A119" s="609" t="s">
        <v>583</v>
      </c>
      <c r="B119" s="609"/>
      <c r="C119" s="609"/>
      <c r="D119" s="609"/>
      <c r="E119" s="609"/>
      <c r="F119" s="609"/>
      <c r="G119" s="609"/>
      <c r="H119" s="609"/>
      <c r="I119" s="609"/>
      <c r="J119" s="609"/>
      <c r="K119" s="609"/>
      <c r="L119" s="609"/>
      <c r="M119" s="609"/>
      <c r="N119" s="609"/>
      <c r="O119" s="609"/>
      <c r="P119" s="609"/>
      <c r="Q119" s="610"/>
      <c r="R119" s="471"/>
    </row>
    <row r="120" spans="1:18" x14ac:dyDescent="0.3">
      <c r="A120" s="523" t="s">
        <v>1134</v>
      </c>
      <c r="B120" s="159">
        <v>1</v>
      </c>
      <c r="C120" s="159" t="s">
        <v>49</v>
      </c>
      <c r="D120" s="510">
        <v>0.7</v>
      </c>
      <c r="E120" s="510">
        <v>0.7</v>
      </c>
      <c r="F120" s="510"/>
      <c r="G120" s="510"/>
      <c r="H120" s="510"/>
      <c r="I120" s="510">
        <v>0.65</v>
      </c>
      <c r="J120" s="510">
        <v>1</v>
      </c>
      <c r="K120" s="510">
        <f t="shared" si="30"/>
        <v>4.05</v>
      </c>
      <c r="L120" s="510">
        <f t="shared" si="31"/>
        <v>1.8199999999999998</v>
      </c>
      <c r="M120" s="510">
        <f t="shared" si="32"/>
        <v>0.31849999999999995</v>
      </c>
      <c r="N120" s="510">
        <f t="shared" si="33"/>
        <v>1.8589999999999995</v>
      </c>
      <c r="O120" s="510">
        <f t="shared" si="34"/>
        <v>1.4118749999999995</v>
      </c>
      <c r="P120" s="510">
        <f>0.2*0.5*0.4+(0.4+0.55)*0.15*0.45</f>
        <v>0.10412500000000002</v>
      </c>
      <c r="Q120" s="510">
        <f t="shared" si="35"/>
        <v>2.4499999999999997E-2</v>
      </c>
      <c r="R120" s="524"/>
    </row>
    <row r="121" spans="1:18" x14ac:dyDescent="0.3">
      <c r="A121" s="523" t="s">
        <v>1135</v>
      </c>
      <c r="B121" s="159">
        <v>1</v>
      </c>
      <c r="C121" s="159" t="s">
        <v>49</v>
      </c>
      <c r="D121" s="510">
        <v>1.9</v>
      </c>
      <c r="E121" s="510">
        <v>0.7</v>
      </c>
      <c r="F121" s="510"/>
      <c r="G121" s="510"/>
      <c r="H121" s="510"/>
      <c r="I121" s="510">
        <v>0.75</v>
      </c>
      <c r="J121" s="510">
        <v>2</v>
      </c>
      <c r="K121" s="510">
        <f t="shared" si="30"/>
        <v>8.3000000000000007</v>
      </c>
      <c r="L121" s="510">
        <f t="shared" si="31"/>
        <v>3.8999999999999995</v>
      </c>
      <c r="M121" s="510">
        <f t="shared" si="32"/>
        <v>0.99749999999999983</v>
      </c>
      <c r="N121" s="510">
        <f t="shared" si="33"/>
        <v>3.9</v>
      </c>
      <c r="O121" s="510">
        <f t="shared" si="34"/>
        <v>2.622325</v>
      </c>
      <c r="P121" s="510">
        <f>0.15*0.4*0.4+(1.18*2+0.45)*0.15*0.45</f>
        <v>0.213675</v>
      </c>
      <c r="Q121" s="510">
        <f t="shared" si="35"/>
        <v>6.649999999999999E-2</v>
      </c>
      <c r="R121" s="524"/>
    </row>
    <row r="122" spans="1:18" x14ac:dyDescent="0.3">
      <c r="A122" s="523" t="s">
        <v>1136</v>
      </c>
      <c r="B122" s="159">
        <v>1</v>
      </c>
      <c r="C122" s="159" t="s">
        <v>49</v>
      </c>
      <c r="D122" s="510">
        <v>0.7</v>
      </c>
      <c r="E122" s="510">
        <v>0.7</v>
      </c>
      <c r="F122" s="510"/>
      <c r="G122" s="510"/>
      <c r="H122" s="510"/>
      <c r="I122" s="510">
        <v>0.65</v>
      </c>
      <c r="J122" s="510">
        <v>1</v>
      </c>
      <c r="K122" s="510">
        <f t="shared" si="30"/>
        <v>4.05</v>
      </c>
      <c r="L122" s="510">
        <f t="shared" si="31"/>
        <v>1.8199999999999998</v>
      </c>
      <c r="M122" s="510">
        <f t="shared" si="32"/>
        <v>0.31849999999999995</v>
      </c>
      <c r="N122" s="510">
        <f t="shared" si="33"/>
        <v>1.8589999999999995</v>
      </c>
      <c r="O122" s="510">
        <f t="shared" si="34"/>
        <v>1.3833249999999997</v>
      </c>
      <c r="P122" s="510">
        <f>0.15*0.4*0.4+(0.58*2+0.45)*0.15*0.45</f>
        <v>0.13267499999999999</v>
      </c>
      <c r="Q122" s="510">
        <f t="shared" si="35"/>
        <v>2.4499999999999997E-2</v>
      </c>
      <c r="R122" s="524"/>
    </row>
    <row r="123" spans="1:18" x14ac:dyDescent="0.3">
      <c r="A123" s="523" t="s">
        <v>1137</v>
      </c>
      <c r="B123" s="159">
        <v>1</v>
      </c>
      <c r="C123" s="159" t="s">
        <v>49</v>
      </c>
      <c r="D123" s="510">
        <v>0.7</v>
      </c>
      <c r="E123" s="510">
        <v>0.7</v>
      </c>
      <c r="F123" s="510"/>
      <c r="G123" s="510"/>
      <c r="H123" s="510"/>
      <c r="I123" s="510">
        <v>0.65</v>
      </c>
      <c r="J123" s="510">
        <v>1</v>
      </c>
      <c r="K123" s="510">
        <f t="shared" si="30"/>
        <v>4.05</v>
      </c>
      <c r="L123" s="510">
        <f t="shared" si="31"/>
        <v>1.8199999999999998</v>
      </c>
      <c r="M123" s="510">
        <f t="shared" si="32"/>
        <v>0.31849999999999995</v>
      </c>
      <c r="N123" s="510">
        <f t="shared" si="33"/>
        <v>1.8589999999999995</v>
      </c>
      <c r="O123" s="510">
        <f t="shared" si="34"/>
        <v>1.3747499999999997</v>
      </c>
      <c r="P123" s="510">
        <f>0.2*0.5*0.4+(0.55*2+0.4)*0.15*0.45</f>
        <v>0.14124999999999999</v>
      </c>
      <c r="Q123" s="510">
        <f t="shared" si="35"/>
        <v>2.4499999999999997E-2</v>
      </c>
      <c r="R123" s="524"/>
    </row>
    <row r="124" spans="1:18" x14ac:dyDescent="0.3">
      <c r="A124" s="523" t="s">
        <v>1138</v>
      </c>
      <c r="B124" s="159">
        <v>1</v>
      </c>
      <c r="C124" s="159" t="s">
        <v>49</v>
      </c>
      <c r="D124" s="510">
        <v>1.9</v>
      </c>
      <c r="E124" s="510">
        <v>0.7</v>
      </c>
      <c r="F124" s="510"/>
      <c r="G124" s="510"/>
      <c r="H124" s="510"/>
      <c r="I124" s="510">
        <v>0.75</v>
      </c>
      <c r="J124" s="510">
        <v>2</v>
      </c>
      <c r="K124" s="510">
        <f t="shared" si="30"/>
        <v>8.3000000000000007</v>
      </c>
      <c r="L124" s="510">
        <f t="shared" si="31"/>
        <v>3.8999999999999995</v>
      </c>
      <c r="M124" s="510">
        <f t="shared" si="32"/>
        <v>0.99749999999999983</v>
      </c>
      <c r="N124" s="510">
        <f t="shared" si="33"/>
        <v>3.9</v>
      </c>
      <c r="O124" s="510">
        <f t="shared" si="34"/>
        <v>2.622325</v>
      </c>
      <c r="P124" s="510">
        <f>0.15*0.4*0.4+(1.18*2+0.45)*0.15*0.45</f>
        <v>0.213675</v>
      </c>
      <c r="Q124" s="510">
        <f t="shared" si="35"/>
        <v>6.649999999999999E-2</v>
      </c>
      <c r="R124" s="524"/>
    </row>
    <row r="125" spans="1:18" x14ac:dyDescent="0.3">
      <c r="A125" s="523" t="s">
        <v>1139</v>
      </c>
      <c r="B125" s="159">
        <v>1</v>
      </c>
      <c r="C125" s="159" t="s">
        <v>49</v>
      </c>
      <c r="D125" s="510">
        <v>0.7</v>
      </c>
      <c r="E125" s="510">
        <v>0.7</v>
      </c>
      <c r="F125" s="510"/>
      <c r="G125" s="510"/>
      <c r="H125" s="510"/>
      <c r="I125" s="510">
        <v>0.65</v>
      </c>
      <c r="J125" s="510">
        <v>1</v>
      </c>
      <c r="K125" s="510">
        <f t="shared" si="30"/>
        <v>4.05</v>
      </c>
      <c r="L125" s="510">
        <f t="shared" si="31"/>
        <v>1.8199999999999998</v>
      </c>
      <c r="M125" s="510">
        <f t="shared" si="32"/>
        <v>0.31849999999999995</v>
      </c>
      <c r="N125" s="510">
        <f t="shared" si="33"/>
        <v>1.8589999999999995</v>
      </c>
      <c r="O125" s="510">
        <f t="shared" si="34"/>
        <v>1.3833249999999997</v>
      </c>
      <c r="P125" s="510">
        <f>0.15*0.4*0.4+(0.58*2+0.45)*0.15*0.45</f>
        <v>0.13267499999999999</v>
      </c>
      <c r="Q125" s="510">
        <f t="shared" si="35"/>
        <v>2.4499999999999997E-2</v>
      </c>
      <c r="R125" s="524"/>
    </row>
    <row r="126" spans="1:18" x14ac:dyDescent="0.3">
      <c r="A126" s="523" t="s">
        <v>1140</v>
      </c>
      <c r="B126" s="159">
        <v>1</v>
      </c>
      <c r="C126" s="159" t="s">
        <v>49</v>
      </c>
      <c r="D126" s="510">
        <v>0.7</v>
      </c>
      <c r="E126" s="510">
        <v>0.7</v>
      </c>
      <c r="F126" s="510"/>
      <c r="G126" s="510"/>
      <c r="H126" s="510"/>
      <c r="I126" s="510">
        <v>0.65</v>
      </c>
      <c r="J126" s="510">
        <v>1</v>
      </c>
      <c r="K126" s="510">
        <f t="shared" si="30"/>
        <v>4.05</v>
      </c>
      <c r="L126" s="510">
        <f t="shared" si="31"/>
        <v>1.8199999999999998</v>
      </c>
      <c r="M126" s="510">
        <f t="shared" si="32"/>
        <v>0.31849999999999995</v>
      </c>
      <c r="N126" s="510">
        <f t="shared" si="33"/>
        <v>1.8589999999999995</v>
      </c>
      <c r="O126" s="510">
        <f t="shared" si="34"/>
        <v>1.4032249999999995</v>
      </c>
      <c r="P126" s="510">
        <f>0.25*0.5*0.4+(0.4+0.53)*0.15*0.45</f>
        <v>0.11277500000000001</v>
      </c>
      <c r="Q126" s="510">
        <f t="shared" si="35"/>
        <v>2.4499999999999997E-2</v>
      </c>
      <c r="R126" s="524"/>
    </row>
    <row r="127" spans="1:18" x14ac:dyDescent="0.3">
      <c r="A127" s="523" t="s">
        <v>1141</v>
      </c>
      <c r="B127" s="159">
        <v>1</v>
      </c>
      <c r="C127" s="159" t="s">
        <v>49</v>
      </c>
      <c r="D127" s="510">
        <v>0.7</v>
      </c>
      <c r="E127" s="510">
        <v>0.7</v>
      </c>
      <c r="F127" s="510"/>
      <c r="G127" s="510"/>
      <c r="H127" s="510"/>
      <c r="I127" s="510">
        <v>0.65</v>
      </c>
      <c r="J127" s="510">
        <v>1</v>
      </c>
      <c r="K127" s="510">
        <f t="shared" si="30"/>
        <v>4.05</v>
      </c>
      <c r="L127" s="510">
        <f t="shared" si="31"/>
        <v>1.8199999999999998</v>
      </c>
      <c r="M127" s="510">
        <f t="shared" si="32"/>
        <v>0.31849999999999995</v>
      </c>
      <c r="N127" s="510">
        <f t="shared" si="33"/>
        <v>1.8589999999999995</v>
      </c>
      <c r="O127" s="510">
        <f t="shared" si="34"/>
        <v>1.3833249999999997</v>
      </c>
      <c r="P127" s="510">
        <f t="shared" ref="P127:P132" si="36">0.15*0.4*0.4+(0.58*2+0.45)*0.15*0.45</f>
        <v>0.13267499999999999</v>
      </c>
      <c r="Q127" s="510">
        <f t="shared" si="35"/>
        <v>2.4499999999999997E-2</v>
      </c>
      <c r="R127" s="524"/>
    </row>
    <row r="128" spans="1:18" x14ac:dyDescent="0.3">
      <c r="A128" s="523" t="s">
        <v>1142</v>
      </c>
      <c r="B128" s="159">
        <v>1</v>
      </c>
      <c r="C128" s="159" t="s">
        <v>49</v>
      </c>
      <c r="D128" s="510">
        <v>0.7</v>
      </c>
      <c r="E128" s="510">
        <v>0.7</v>
      </c>
      <c r="F128" s="510"/>
      <c r="G128" s="510"/>
      <c r="H128" s="510"/>
      <c r="I128" s="510">
        <v>0.65</v>
      </c>
      <c r="J128" s="510">
        <v>1</v>
      </c>
      <c r="K128" s="510">
        <f t="shared" ref="K128:K221" si="37">J128*($Q$15+I128+$Q$13)</f>
        <v>4.05</v>
      </c>
      <c r="L128" s="510">
        <f t="shared" ref="L128:L221" si="38">(D128*2+E128*2)*I128</f>
        <v>1.8199999999999998</v>
      </c>
      <c r="M128" s="510">
        <f t="shared" ref="M128:M221" si="39">((D128*E128*I128))*B128</f>
        <v>0.31849999999999995</v>
      </c>
      <c r="N128" s="510">
        <f t="shared" ref="N128:N221" si="40">(D128+$Q$14*2)*(E128+$Q$14*2)*(I128+$Q$16+$Q$13)</f>
        <v>1.8589999999999995</v>
      </c>
      <c r="O128" s="510">
        <f t="shared" ref="O128:O221" si="41">N128-(M128+Q128+P128)</f>
        <v>1.3833249999999997</v>
      </c>
      <c r="P128" s="510">
        <f t="shared" si="36"/>
        <v>0.13267499999999999</v>
      </c>
      <c r="Q128" s="510">
        <f t="shared" ref="Q128:Q221" si="42">D128*E128*$Q$16*B128</f>
        <v>2.4499999999999997E-2</v>
      </c>
      <c r="R128" s="524"/>
    </row>
    <row r="129" spans="1:18" x14ac:dyDescent="0.3">
      <c r="A129" s="523" t="s">
        <v>1143</v>
      </c>
      <c r="B129" s="159">
        <v>1</v>
      </c>
      <c r="C129" s="159" t="s">
        <v>49</v>
      </c>
      <c r="D129" s="510">
        <v>0.7</v>
      </c>
      <c r="E129" s="510">
        <v>0.7</v>
      </c>
      <c r="F129" s="510"/>
      <c r="G129" s="510"/>
      <c r="H129" s="510"/>
      <c r="I129" s="510">
        <v>0.65</v>
      </c>
      <c r="J129" s="510">
        <v>1</v>
      </c>
      <c r="K129" s="510">
        <f t="shared" si="37"/>
        <v>4.05</v>
      </c>
      <c r="L129" s="510">
        <f t="shared" si="38"/>
        <v>1.8199999999999998</v>
      </c>
      <c r="M129" s="510">
        <f t="shared" si="39"/>
        <v>0.31849999999999995</v>
      </c>
      <c r="N129" s="510">
        <f t="shared" si="40"/>
        <v>1.8589999999999995</v>
      </c>
      <c r="O129" s="510">
        <f t="shared" si="41"/>
        <v>1.3833249999999997</v>
      </c>
      <c r="P129" s="510">
        <f t="shared" si="36"/>
        <v>0.13267499999999999</v>
      </c>
      <c r="Q129" s="510">
        <f t="shared" si="42"/>
        <v>2.4499999999999997E-2</v>
      </c>
      <c r="R129" s="524"/>
    </row>
    <row r="130" spans="1:18" x14ac:dyDescent="0.3">
      <c r="A130" s="523" t="s">
        <v>1144</v>
      </c>
      <c r="B130" s="159">
        <v>1</v>
      </c>
      <c r="C130" s="159" t="s">
        <v>49</v>
      </c>
      <c r="D130" s="510">
        <v>0.7</v>
      </c>
      <c r="E130" s="510">
        <v>0.7</v>
      </c>
      <c r="F130" s="510"/>
      <c r="G130" s="510"/>
      <c r="H130" s="510"/>
      <c r="I130" s="510">
        <v>0.65</v>
      </c>
      <c r="J130" s="510">
        <v>1</v>
      </c>
      <c r="K130" s="510">
        <f t="shared" si="37"/>
        <v>4.05</v>
      </c>
      <c r="L130" s="510">
        <f t="shared" si="38"/>
        <v>1.8199999999999998</v>
      </c>
      <c r="M130" s="510">
        <f t="shared" si="39"/>
        <v>0.31849999999999995</v>
      </c>
      <c r="N130" s="510">
        <f t="shared" si="40"/>
        <v>1.8589999999999995</v>
      </c>
      <c r="O130" s="510">
        <f t="shared" si="41"/>
        <v>1.3833249999999997</v>
      </c>
      <c r="P130" s="510">
        <f t="shared" si="36"/>
        <v>0.13267499999999999</v>
      </c>
      <c r="Q130" s="510">
        <f t="shared" si="42"/>
        <v>2.4499999999999997E-2</v>
      </c>
      <c r="R130" s="524"/>
    </row>
    <row r="131" spans="1:18" x14ac:dyDescent="0.3">
      <c r="A131" s="523" t="s">
        <v>1145</v>
      </c>
      <c r="B131" s="159">
        <v>1</v>
      </c>
      <c r="C131" s="159" t="s">
        <v>49</v>
      </c>
      <c r="D131" s="510">
        <v>0.7</v>
      </c>
      <c r="E131" s="510">
        <v>0.7</v>
      </c>
      <c r="F131" s="510"/>
      <c r="G131" s="510"/>
      <c r="H131" s="510"/>
      <c r="I131" s="510">
        <v>0.65</v>
      </c>
      <c r="J131" s="510">
        <v>1</v>
      </c>
      <c r="K131" s="510">
        <f t="shared" si="37"/>
        <v>4.05</v>
      </c>
      <c r="L131" s="510">
        <f t="shared" si="38"/>
        <v>1.8199999999999998</v>
      </c>
      <c r="M131" s="510">
        <f t="shared" si="39"/>
        <v>0.31849999999999995</v>
      </c>
      <c r="N131" s="510">
        <f t="shared" si="40"/>
        <v>1.8589999999999995</v>
      </c>
      <c r="O131" s="510">
        <f t="shared" si="41"/>
        <v>1.3833249999999997</v>
      </c>
      <c r="P131" s="510">
        <f t="shared" si="36"/>
        <v>0.13267499999999999</v>
      </c>
      <c r="Q131" s="510">
        <f t="shared" si="42"/>
        <v>2.4499999999999997E-2</v>
      </c>
      <c r="R131" s="524"/>
    </row>
    <row r="132" spans="1:18" x14ac:dyDescent="0.3">
      <c r="A132" s="523" t="s">
        <v>1146</v>
      </c>
      <c r="B132" s="159">
        <v>1</v>
      </c>
      <c r="C132" s="159" t="s">
        <v>49</v>
      </c>
      <c r="D132" s="510">
        <v>0.7</v>
      </c>
      <c r="E132" s="510">
        <v>0.7</v>
      </c>
      <c r="F132" s="510"/>
      <c r="G132" s="510"/>
      <c r="H132" s="510"/>
      <c r="I132" s="510">
        <v>0.65</v>
      </c>
      <c r="J132" s="510">
        <v>1</v>
      </c>
      <c r="K132" s="510">
        <f t="shared" si="37"/>
        <v>4.05</v>
      </c>
      <c r="L132" s="510">
        <f t="shared" si="38"/>
        <v>1.8199999999999998</v>
      </c>
      <c r="M132" s="510">
        <f t="shared" si="39"/>
        <v>0.31849999999999995</v>
      </c>
      <c r="N132" s="510">
        <f t="shared" si="40"/>
        <v>1.8589999999999995</v>
      </c>
      <c r="O132" s="510">
        <f t="shared" si="41"/>
        <v>1.3833249999999997</v>
      </c>
      <c r="P132" s="510">
        <f t="shared" si="36"/>
        <v>0.13267499999999999</v>
      </c>
      <c r="Q132" s="510">
        <f t="shared" si="42"/>
        <v>2.4499999999999997E-2</v>
      </c>
      <c r="R132" s="524"/>
    </row>
    <row r="133" spans="1:18" x14ac:dyDescent="0.3">
      <c r="A133" s="523" t="s">
        <v>1147</v>
      </c>
      <c r="B133" s="159">
        <v>1</v>
      </c>
      <c r="C133" s="159" t="s">
        <v>49</v>
      </c>
      <c r="D133" s="510">
        <v>1.9</v>
      </c>
      <c r="E133" s="510">
        <v>0.7</v>
      </c>
      <c r="F133" s="510"/>
      <c r="G133" s="510"/>
      <c r="H133" s="510"/>
      <c r="I133" s="510">
        <v>0.7</v>
      </c>
      <c r="J133" s="510">
        <v>2</v>
      </c>
      <c r="K133" s="510">
        <f t="shared" si="37"/>
        <v>8.2000000000000011</v>
      </c>
      <c r="L133" s="510">
        <f t="shared" si="38"/>
        <v>3.6399999999999992</v>
      </c>
      <c r="M133" s="510">
        <f t="shared" si="39"/>
        <v>0.93099999999999983</v>
      </c>
      <c r="N133" s="510">
        <f t="shared" si="40"/>
        <v>3.7374999999999994</v>
      </c>
      <c r="O133" s="510">
        <f t="shared" si="41"/>
        <v>2.5532249999999994</v>
      </c>
      <c r="P133" s="510">
        <f>0.25*0.7*0.4+(0.3*2+1.13)*0.15*0.45</f>
        <v>0.186775</v>
      </c>
      <c r="Q133" s="510">
        <f t="shared" si="42"/>
        <v>6.649999999999999E-2</v>
      </c>
      <c r="R133" s="524"/>
    </row>
    <row r="134" spans="1:18" x14ac:dyDescent="0.3">
      <c r="A134" s="523" t="s">
        <v>1148</v>
      </c>
      <c r="B134" s="159">
        <v>1</v>
      </c>
      <c r="C134" s="159" t="s">
        <v>49</v>
      </c>
      <c r="D134" s="510">
        <v>0.7</v>
      </c>
      <c r="E134" s="510">
        <v>0.7</v>
      </c>
      <c r="F134" s="510"/>
      <c r="G134" s="510"/>
      <c r="H134" s="510"/>
      <c r="I134" s="510">
        <v>0.65</v>
      </c>
      <c r="J134" s="510">
        <v>1</v>
      </c>
      <c r="K134" s="510">
        <f t="shared" si="37"/>
        <v>4.05</v>
      </c>
      <c r="L134" s="510">
        <f t="shared" si="38"/>
        <v>1.8199999999999998</v>
      </c>
      <c r="M134" s="510">
        <f t="shared" si="39"/>
        <v>0.31849999999999995</v>
      </c>
      <c r="N134" s="510">
        <f t="shared" si="40"/>
        <v>1.8589999999999995</v>
      </c>
      <c r="O134" s="510">
        <f t="shared" si="41"/>
        <v>1.3478999999999997</v>
      </c>
      <c r="P134" s="510">
        <f>0.25*0.25*0.4+(0.53*4)*0.15*0.45</f>
        <v>0.1681</v>
      </c>
      <c r="Q134" s="510">
        <f t="shared" si="42"/>
        <v>2.4499999999999997E-2</v>
      </c>
      <c r="R134" s="524"/>
    </row>
    <row r="135" spans="1:18" x14ac:dyDescent="0.3">
      <c r="A135" s="523" t="s">
        <v>1149</v>
      </c>
      <c r="B135" s="159">
        <v>1</v>
      </c>
      <c r="C135" s="159" t="s">
        <v>49</v>
      </c>
      <c r="D135" s="510">
        <v>1.9</v>
      </c>
      <c r="E135" s="510">
        <v>0.7</v>
      </c>
      <c r="F135" s="510"/>
      <c r="G135" s="510"/>
      <c r="H135" s="510"/>
      <c r="I135" s="510">
        <v>0.7</v>
      </c>
      <c r="J135" s="510">
        <v>2</v>
      </c>
      <c r="K135" s="510">
        <f t="shared" si="37"/>
        <v>8.2000000000000011</v>
      </c>
      <c r="L135" s="510">
        <f t="shared" si="38"/>
        <v>3.6399999999999992</v>
      </c>
      <c r="M135" s="510">
        <f t="shared" si="39"/>
        <v>0.93099999999999983</v>
      </c>
      <c r="N135" s="510">
        <f t="shared" si="40"/>
        <v>3.7374999999999994</v>
      </c>
      <c r="O135" s="510">
        <f t="shared" si="41"/>
        <v>2.4769499999999995</v>
      </c>
      <c r="P135" s="510">
        <f>0.25*0.7*0.4+(0.3*2+1.13*2)*0.15*0.45</f>
        <v>0.26305000000000001</v>
      </c>
      <c r="Q135" s="510">
        <f t="shared" si="42"/>
        <v>6.649999999999999E-2</v>
      </c>
      <c r="R135" s="524"/>
    </row>
    <row r="136" spans="1:18" x14ac:dyDescent="0.3">
      <c r="A136" s="523" t="s">
        <v>1150</v>
      </c>
      <c r="B136" s="159">
        <v>1</v>
      </c>
      <c r="C136" s="159" t="s">
        <v>49</v>
      </c>
      <c r="D136" s="510">
        <v>0.7</v>
      </c>
      <c r="E136" s="510">
        <v>0.7</v>
      </c>
      <c r="F136" s="510"/>
      <c r="G136" s="510"/>
      <c r="H136" s="510"/>
      <c r="I136" s="510">
        <v>0.65</v>
      </c>
      <c r="J136" s="510">
        <v>1</v>
      </c>
      <c r="K136" s="510">
        <f t="shared" si="37"/>
        <v>4.05</v>
      </c>
      <c r="L136" s="510">
        <f t="shared" si="38"/>
        <v>1.8199999999999998</v>
      </c>
      <c r="M136" s="510">
        <f t="shared" si="39"/>
        <v>0.31849999999999995</v>
      </c>
      <c r="N136" s="510">
        <f t="shared" si="40"/>
        <v>1.8589999999999995</v>
      </c>
      <c r="O136" s="510">
        <f t="shared" si="41"/>
        <v>1.3478999999999997</v>
      </c>
      <c r="P136" s="510">
        <f>0.25*0.25*0.4+(0.53*4)*0.15*0.45</f>
        <v>0.1681</v>
      </c>
      <c r="Q136" s="510">
        <f t="shared" si="42"/>
        <v>2.4499999999999997E-2</v>
      </c>
      <c r="R136" s="524"/>
    </row>
    <row r="137" spans="1:18" x14ac:dyDescent="0.3">
      <c r="A137" s="523" t="s">
        <v>1151</v>
      </c>
      <c r="B137" s="159">
        <v>1</v>
      </c>
      <c r="C137" s="159" t="s">
        <v>49</v>
      </c>
      <c r="D137" s="510">
        <v>1.9</v>
      </c>
      <c r="E137" s="510">
        <v>0.7</v>
      </c>
      <c r="F137" s="510"/>
      <c r="G137" s="510"/>
      <c r="H137" s="510"/>
      <c r="I137" s="510">
        <v>0.7</v>
      </c>
      <c r="J137" s="510">
        <v>2</v>
      </c>
      <c r="K137" s="510">
        <f t="shared" si="37"/>
        <v>8.2000000000000011</v>
      </c>
      <c r="L137" s="510">
        <f t="shared" si="38"/>
        <v>3.6399999999999992</v>
      </c>
      <c r="M137" s="510">
        <f t="shared" si="39"/>
        <v>0.93099999999999983</v>
      </c>
      <c r="N137" s="510">
        <f t="shared" si="40"/>
        <v>3.7374999999999994</v>
      </c>
      <c r="O137" s="510">
        <f t="shared" si="41"/>
        <v>2.4769499999999995</v>
      </c>
      <c r="P137" s="510">
        <f>0.25*0.7*0.4+(0.3*2+1.13*2)*0.15*0.45</f>
        <v>0.26305000000000001</v>
      </c>
      <c r="Q137" s="510">
        <f t="shared" si="42"/>
        <v>6.649999999999999E-2</v>
      </c>
      <c r="R137" s="524"/>
    </row>
    <row r="138" spans="1:18" x14ac:dyDescent="0.3">
      <c r="A138" s="523" t="s">
        <v>1152</v>
      </c>
      <c r="B138" s="159">
        <v>1</v>
      </c>
      <c r="C138" s="159" t="s">
        <v>49</v>
      </c>
      <c r="D138" s="510">
        <v>0.7</v>
      </c>
      <c r="E138" s="510">
        <v>0.7</v>
      </c>
      <c r="F138" s="510"/>
      <c r="G138" s="510"/>
      <c r="H138" s="510"/>
      <c r="I138" s="510">
        <v>0.65</v>
      </c>
      <c r="J138" s="510">
        <v>1</v>
      </c>
      <c r="K138" s="510">
        <f t="shared" si="37"/>
        <v>4.05</v>
      </c>
      <c r="L138" s="510">
        <f t="shared" si="38"/>
        <v>1.8199999999999998</v>
      </c>
      <c r="M138" s="510">
        <f t="shared" si="39"/>
        <v>0.31849999999999995</v>
      </c>
      <c r="N138" s="510">
        <f t="shared" si="40"/>
        <v>1.8589999999999995</v>
      </c>
      <c r="O138" s="510">
        <f t="shared" si="41"/>
        <v>1.3478999999999997</v>
      </c>
      <c r="P138" s="510">
        <f>0.25*0.25*0.4+(0.53*4)*0.15*0.45</f>
        <v>0.1681</v>
      </c>
      <c r="Q138" s="510">
        <f t="shared" si="42"/>
        <v>2.4499999999999997E-2</v>
      </c>
      <c r="R138" s="524"/>
    </row>
    <row r="139" spans="1:18" x14ac:dyDescent="0.3">
      <c r="A139" s="523" t="s">
        <v>1153</v>
      </c>
      <c r="B139" s="159">
        <v>1</v>
      </c>
      <c r="C139" s="159" t="s">
        <v>49</v>
      </c>
      <c r="D139" s="510">
        <v>1.9</v>
      </c>
      <c r="E139" s="510">
        <v>0.7</v>
      </c>
      <c r="F139" s="510"/>
      <c r="G139" s="510"/>
      <c r="H139" s="510"/>
      <c r="I139" s="510">
        <v>0.7</v>
      </c>
      <c r="J139" s="510">
        <v>2</v>
      </c>
      <c r="K139" s="510">
        <f t="shared" ref="K139:K197" si="43">J139*($Q$15+I139+$Q$13)</f>
        <v>8.2000000000000011</v>
      </c>
      <c r="L139" s="510">
        <f t="shared" ref="L139:L197" si="44">(D139*2+E139*2)*I139</f>
        <v>3.6399999999999992</v>
      </c>
      <c r="M139" s="510">
        <f t="shared" ref="M139:M197" si="45">((D139*E139*I139))*B139</f>
        <v>0.93099999999999983</v>
      </c>
      <c r="N139" s="510">
        <f t="shared" ref="N139:N197" si="46">(D139+$Q$14*2)*(E139+$Q$14*2)*(I139+$Q$16+$Q$13)</f>
        <v>3.7374999999999994</v>
      </c>
      <c r="O139" s="510">
        <f t="shared" ref="O139:O197" si="47">N139-(M139+Q139+P139)</f>
        <v>2.4769499999999995</v>
      </c>
      <c r="P139" s="510">
        <f>0.25*0.7*0.4+(0.3*2+1.13*2)*0.15*0.45</f>
        <v>0.26305000000000001</v>
      </c>
      <c r="Q139" s="510">
        <f t="shared" ref="Q139:Q197" si="48">D139*E139*$Q$16*B139</f>
        <v>6.649999999999999E-2</v>
      </c>
      <c r="R139" s="524"/>
    </row>
    <row r="140" spans="1:18" x14ac:dyDescent="0.3">
      <c r="A140" s="523" t="s">
        <v>1154</v>
      </c>
      <c r="B140" s="159">
        <v>1</v>
      </c>
      <c r="C140" s="159" t="s">
        <v>49</v>
      </c>
      <c r="D140" s="510">
        <v>0.7</v>
      </c>
      <c r="E140" s="510">
        <v>0.7</v>
      </c>
      <c r="F140" s="510"/>
      <c r="G140" s="510"/>
      <c r="H140" s="510"/>
      <c r="I140" s="510">
        <v>0.65</v>
      </c>
      <c r="J140" s="510">
        <v>1</v>
      </c>
      <c r="K140" s="510">
        <f t="shared" si="43"/>
        <v>4.05</v>
      </c>
      <c r="L140" s="510">
        <f t="shared" si="44"/>
        <v>1.8199999999999998</v>
      </c>
      <c r="M140" s="510">
        <f t="shared" si="45"/>
        <v>0.31849999999999995</v>
      </c>
      <c r="N140" s="510">
        <f t="shared" si="46"/>
        <v>1.8589999999999995</v>
      </c>
      <c r="O140" s="510">
        <f t="shared" si="47"/>
        <v>1.3478999999999997</v>
      </c>
      <c r="P140" s="510">
        <f>0.25*0.25*0.4+(0.53*4)*0.15*0.45</f>
        <v>0.1681</v>
      </c>
      <c r="Q140" s="510">
        <f t="shared" si="48"/>
        <v>2.4499999999999997E-2</v>
      </c>
      <c r="R140" s="524"/>
    </row>
    <row r="141" spans="1:18" x14ac:dyDescent="0.3">
      <c r="A141" s="523" t="s">
        <v>1155</v>
      </c>
      <c r="B141" s="159">
        <v>1</v>
      </c>
      <c r="C141" s="159" t="s">
        <v>49</v>
      </c>
      <c r="D141" s="510">
        <v>1.9</v>
      </c>
      <c r="E141" s="510">
        <v>0.7</v>
      </c>
      <c r="F141" s="510"/>
      <c r="G141" s="510"/>
      <c r="H141" s="510"/>
      <c r="I141" s="510">
        <v>0.7</v>
      </c>
      <c r="J141" s="510">
        <v>2</v>
      </c>
      <c r="K141" s="510">
        <f t="shared" si="43"/>
        <v>8.2000000000000011</v>
      </c>
      <c r="L141" s="510">
        <f t="shared" si="44"/>
        <v>3.6399999999999992</v>
      </c>
      <c r="M141" s="510">
        <f t="shared" si="45"/>
        <v>0.93099999999999983</v>
      </c>
      <c r="N141" s="510">
        <f t="shared" si="46"/>
        <v>3.7374999999999994</v>
      </c>
      <c r="O141" s="510">
        <f t="shared" si="47"/>
        <v>2.5532249999999994</v>
      </c>
      <c r="P141" s="510">
        <f>0.25*0.7*0.4+(0.3*2+1.13)*0.15*0.45</f>
        <v>0.186775</v>
      </c>
      <c r="Q141" s="510">
        <f t="shared" si="48"/>
        <v>6.649999999999999E-2</v>
      </c>
      <c r="R141" s="524"/>
    </row>
    <row r="142" spans="1:18" x14ac:dyDescent="0.3">
      <c r="A142" s="523" t="s">
        <v>1156</v>
      </c>
      <c r="B142" s="159">
        <v>1</v>
      </c>
      <c r="C142" s="159" t="s">
        <v>49</v>
      </c>
      <c r="D142" s="510">
        <v>0.40500000000000003</v>
      </c>
      <c r="E142" s="510">
        <v>2.0099999999999998</v>
      </c>
      <c r="F142" s="510">
        <v>1.605</v>
      </c>
      <c r="G142" s="510">
        <v>1.39</v>
      </c>
      <c r="H142" s="510">
        <v>0.35</v>
      </c>
      <c r="I142" s="510">
        <v>0.7</v>
      </c>
      <c r="J142" s="510">
        <v>3</v>
      </c>
      <c r="K142" s="510">
        <f t="shared" si="43"/>
        <v>12.3</v>
      </c>
      <c r="L142" s="510">
        <f>(D142*3+F142*3)*I142*B142</f>
        <v>4.2209999999999992</v>
      </c>
      <c r="M142" s="510">
        <f>((((D142+E142)*G142)/2)+(((E142+F142)*H142)/2))*I142*B142</f>
        <v>1.6177349999999997</v>
      </c>
      <c r="N142" s="510">
        <f>((((D142*3.4+E142)*(G142+$Q$14))/2)+(((E142+F142+D142*3)*(H142+$Q$14))/2))*(I142+$Q$13+$Q$16)*B142</f>
        <v>5.0965297500000002</v>
      </c>
      <c r="O142" s="510">
        <f t="shared" si="47"/>
        <v>3.1361422500000007</v>
      </c>
      <c r="P142" s="510">
        <f>0.15*0.95*0.4+(0.52+1.2+0.8)*0.15*0.45</f>
        <v>0.2271</v>
      </c>
      <c r="Q142" s="510">
        <f>((((D142+E142)*G142)/2)+(((E142+F142)*H142)/2))*$Q$16*B142</f>
        <v>0.1155525</v>
      </c>
      <c r="R142" s="524"/>
    </row>
    <row r="143" spans="1:18" x14ac:dyDescent="0.3">
      <c r="A143" s="523" t="s">
        <v>1157</v>
      </c>
      <c r="B143" s="159">
        <v>1</v>
      </c>
      <c r="C143" s="159" t="s">
        <v>49</v>
      </c>
      <c r="D143" s="510">
        <v>2.16</v>
      </c>
      <c r="E143" s="510">
        <v>0.96</v>
      </c>
      <c r="F143" s="510"/>
      <c r="G143" s="510"/>
      <c r="H143" s="510"/>
      <c r="I143" s="510">
        <v>0.75</v>
      </c>
      <c r="J143" s="510">
        <v>2</v>
      </c>
      <c r="K143" s="510">
        <f t="shared" si="43"/>
        <v>8.3000000000000007</v>
      </c>
      <c r="L143" s="510">
        <f t="shared" si="44"/>
        <v>4.68</v>
      </c>
      <c r="M143" s="510">
        <f t="shared" si="45"/>
        <v>1.5551999999999999</v>
      </c>
      <c r="N143" s="510">
        <f t="shared" si="46"/>
        <v>5.1667200000000006</v>
      </c>
      <c r="O143" s="510">
        <f t="shared" si="47"/>
        <v>2.9884650000000006</v>
      </c>
      <c r="P143" s="510">
        <f>0.15*0.95*0.4+(1.31*4+0.31+0.65*2)*0.15*0.45</f>
        <v>0.51937499999999992</v>
      </c>
      <c r="Q143" s="510">
        <f t="shared" si="48"/>
        <v>0.10367999999999999</v>
      </c>
      <c r="R143" s="524"/>
    </row>
    <row r="144" spans="1:18" x14ac:dyDescent="0.3">
      <c r="A144" s="523" t="s">
        <v>1158</v>
      </c>
      <c r="B144" s="159">
        <v>1</v>
      </c>
      <c r="C144" s="159" t="s">
        <v>49</v>
      </c>
      <c r="D144" s="510">
        <v>0.7</v>
      </c>
      <c r="E144" s="510">
        <v>0.7</v>
      </c>
      <c r="F144" s="510"/>
      <c r="G144" s="510"/>
      <c r="H144" s="510"/>
      <c r="I144" s="510">
        <v>0.65</v>
      </c>
      <c r="J144" s="510">
        <v>1</v>
      </c>
      <c r="K144" s="510">
        <f t="shared" si="43"/>
        <v>4.05</v>
      </c>
      <c r="L144" s="510">
        <f t="shared" si="44"/>
        <v>1.8199999999999998</v>
      </c>
      <c r="M144" s="510">
        <f t="shared" si="45"/>
        <v>0.31849999999999995</v>
      </c>
      <c r="N144" s="510">
        <f t="shared" si="46"/>
        <v>1.8589999999999995</v>
      </c>
      <c r="O144" s="510">
        <f t="shared" si="47"/>
        <v>1.3836249999999994</v>
      </c>
      <c r="P144" s="510">
        <f>0.2*0.6*0.4+(0.35*2+0.55)*0.15*0.45</f>
        <v>0.13237500000000002</v>
      </c>
      <c r="Q144" s="510">
        <f t="shared" si="48"/>
        <v>2.4499999999999997E-2</v>
      </c>
      <c r="R144" s="524"/>
    </row>
    <row r="145" spans="1:18" x14ac:dyDescent="0.3">
      <c r="A145" s="523" t="s">
        <v>1159</v>
      </c>
      <c r="B145" s="159">
        <v>1</v>
      </c>
      <c r="C145" s="159" t="s">
        <v>49</v>
      </c>
      <c r="D145" s="510">
        <v>0.40500000000000003</v>
      </c>
      <c r="E145" s="510">
        <v>2.0099999999999998</v>
      </c>
      <c r="F145" s="510">
        <v>1.605</v>
      </c>
      <c r="G145" s="510">
        <v>1.39</v>
      </c>
      <c r="H145" s="510">
        <v>0.35</v>
      </c>
      <c r="I145" s="510">
        <v>0.7</v>
      </c>
      <c r="J145" s="510">
        <v>3</v>
      </c>
      <c r="K145" s="510">
        <f t="shared" si="43"/>
        <v>12.3</v>
      </c>
      <c r="L145" s="510">
        <f>(D145*3+F145*3)*I145*B145</f>
        <v>4.2209999999999992</v>
      </c>
      <c r="M145" s="510">
        <f>((((D145+E145)*G145)/2)+(((E145+F145)*H145)/2))*I145*B145</f>
        <v>1.6177349999999997</v>
      </c>
      <c r="N145" s="510">
        <f>((((D145*3.4+E145)*(G145+$Q$14))/2)+(((E145+F145+D145*3)*(H145+$Q$14))/2))*(I145+$Q$13+$Q$16)*B145</f>
        <v>5.0965297500000002</v>
      </c>
      <c r="O145" s="510">
        <f t="shared" ref="O145" si="49">N145-(M145+Q145+P145)</f>
        <v>2.9160922500000006</v>
      </c>
      <c r="P145" s="510">
        <f>0.15*0.95*0.4+(0.52+1.2*2+0.8*2+0.63*2)*0.15*0.45</f>
        <v>0.44714999999999994</v>
      </c>
      <c r="Q145" s="510">
        <f>((((D145+E145)*G145)/2)+(((E145+F145)*H145)/2))*$Q$16*B145</f>
        <v>0.1155525</v>
      </c>
      <c r="R145" s="524"/>
    </row>
    <row r="146" spans="1:18" x14ac:dyDescent="0.3">
      <c r="A146" s="523" t="s">
        <v>1160</v>
      </c>
      <c r="B146" s="159">
        <v>1</v>
      </c>
      <c r="C146" s="159" t="s">
        <v>49</v>
      </c>
      <c r="D146" s="510">
        <v>0.96</v>
      </c>
      <c r="E146" s="510">
        <v>0.96</v>
      </c>
      <c r="F146" s="510"/>
      <c r="G146" s="510"/>
      <c r="H146" s="510"/>
      <c r="I146" s="510">
        <v>0.85</v>
      </c>
      <c r="J146" s="510">
        <v>1</v>
      </c>
      <c r="K146" s="510">
        <f t="shared" si="43"/>
        <v>4.25</v>
      </c>
      <c r="L146" s="510">
        <f t="shared" si="44"/>
        <v>3.2639999999999998</v>
      </c>
      <c r="M146" s="510">
        <f t="shared" si="45"/>
        <v>0.78335999999999995</v>
      </c>
      <c r="N146" s="510">
        <f t="shared" si="46"/>
        <v>3.1636800000000003</v>
      </c>
      <c r="O146" s="510">
        <f t="shared" si="47"/>
        <v>2.0646150000000003</v>
      </c>
      <c r="P146" s="510">
        <f>0.15*0.95*0.4+(0.71*4+0.31)*0.15*0.45</f>
        <v>0.269625</v>
      </c>
      <c r="Q146" s="510">
        <f t="shared" si="48"/>
        <v>4.6080000000000003E-2</v>
      </c>
      <c r="R146" s="524"/>
    </row>
    <row r="147" spans="1:18" x14ac:dyDescent="0.3">
      <c r="A147" s="523" t="s">
        <v>1161</v>
      </c>
      <c r="B147" s="159">
        <v>1</v>
      </c>
      <c r="C147" s="159" t="s">
        <v>49</v>
      </c>
      <c r="D147" s="510">
        <v>2.16</v>
      </c>
      <c r="E147" s="510">
        <v>0.96</v>
      </c>
      <c r="F147" s="510"/>
      <c r="G147" s="510"/>
      <c r="H147" s="510"/>
      <c r="I147" s="510">
        <v>0.75</v>
      </c>
      <c r="J147" s="510">
        <v>2</v>
      </c>
      <c r="K147" s="510">
        <f t="shared" si="43"/>
        <v>8.3000000000000007</v>
      </c>
      <c r="L147" s="510">
        <f t="shared" si="44"/>
        <v>4.68</v>
      </c>
      <c r="M147" s="510">
        <f t="shared" si="45"/>
        <v>1.5551999999999999</v>
      </c>
      <c r="N147" s="510">
        <f t="shared" si="46"/>
        <v>5.1667200000000006</v>
      </c>
      <c r="O147" s="510">
        <f t="shared" si="47"/>
        <v>2.9884650000000006</v>
      </c>
      <c r="P147" s="510">
        <f>0.15*0.95*0.4+(1.31*4+0.31+0.65*2)*0.15*0.45</f>
        <v>0.51937499999999992</v>
      </c>
      <c r="Q147" s="510">
        <f t="shared" si="48"/>
        <v>0.10367999999999999</v>
      </c>
      <c r="R147" s="524"/>
    </row>
    <row r="148" spans="1:18" x14ac:dyDescent="0.3">
      <c r="A148" s="523" t="s">
        <v>1162</v>
      </c>
      <c r="B148" s="159">
        <v>1</v>
      </c>
      <c r="C148" s="159" t="s">
        <v>49</v>
      </c>
      <c r="D148" s="510">
        <v>0.7</v>
      </c>
      <c r="E148" s="510">
        <v>0.7</v>
      </c>
      <c r="F148" s="510"/>
      <c r="G148" s="510"/>
      <c r="H148" s="510"/>
      <c r="I148" s="510">
        <v>0.65</v>
      </c>
      <c r="J148" s="510">
        <v>1</v>
      </c>
      <c r="K148" s="510">
        <f t="shared" si="43"/>
        <v>4.05</v>
      </c>
      <c r="L148" s="510">
        <f t="shared" si="44"/>
        <v>1.8199999999999998</v>
      </c>
      <c r="M148" s="510">
        <f t="shared" si="45"/>
        <v>0.31849999999999995</v>
      </c>
      <c r="N148" s="510">
        <f t="shared" si="46"/>
        <v>1.8589999999999995</v>
      </c>
      <c r="O148" s="510">
        <f t="shared" si="47"/>
        <v>1.3836249999999994</v>
      </c>
      <c r="P148" s="510">
        <f>0.2*0.6*0.4+(0.35*2+0.55)*0.15*0.45</f>
        <v>0.13237500000000002</v>
      </c>
      <c r="Q148" s="510">
        <f t="shared" si="48"/>
        <v>2.4499999999999997E-2</v>
      </c>
      <c r="R148" s="524"/>
    </row>
    <row r="149" spans="1:18" x14ac:dyDescent="0.3">
      <c r="A149" s="523" t="s">
        <v>1163</v>
      </c>
      <c r="B149" s="159">
        <v>1</v>
      </c>
      <c r="C149" s="159" t="s">
        <v>49</v>
      </c>
      <c r="D149" s="510">
        <v>0.40500000000000003</v>
      </c>
      <c r="E149" s="510">
        <v>2.0099999999999998</v>
      </c>
      <c r="F149" s="510">
        <v>1.605</v>
      </c>
      <c r="G149" s="510">
        <v>1.39</v>
      </c>
      <c r="H149" s="510">
        <v>0.35</v>
      </c>
      <c r="I149" s="510">
        <v>0.7</v>
      </c>
      <c r="J149" s="510">
        <v>3</v>
      </c>
      <c r="K149" s="510">
        <f t="shared" si="43"/>
        <v>12.3</v>
      </c>
      <c r="L149" s="510">
        <f t="shared" ref="L149:L150" si="50">(D149*3+F149*3)*I149*B149</f>
        <v>4.2209999999999992</v>
      </c>
      <c r="M149" s="510">
        <f t="shared" ref="M149:M150" si="51">((((D149+E149)*G149)/2)+(((E149+F149)*H149)/2))*I149*B149</f>
        <v>1.6177349999999997</v>
      </c>
      <c r="N149" s="510">
        <f t="shared" ref="N149:N150" si="52">((((D149*3.4+E149)*(G149+$Q$14))/2)+(((E149+F149+D149*3)*(H149+$Q$14))/2))*(I149+$Q$13+$Q$16)*B149</f>
        <v>5.0965297500000002</v>
      </c>
      <c r="O149" s="510">
        <f t="shared" ref="O149:O150" si="53">N149-(M149+Q149+P149)</f>
        <v>2.9160922500000006</v>
      </c>
      <c r="P149" s="510">
        <f>0.15*0.95*0.4+(0.52+1.2*2+0.8*2+0.63*2)*0.15*0.45</f>
        <v>0.44714999999999994</v>
      </c>
      <c r="Q149" s="510">
        <f t="shared" ref="Q149:Q152" si="54">((((D149+E149)*G149)/2)+(((E149+F149)*H149)/2))*$Q$16*B149</f>
        <v>0.1155525</v>
      </c>
      <c r="R149" s="524"/>
    </row>
    <row r="150" spans="1:18" ht="15" thickBot="1" x14ac:dyDescent="0.35">
      <c r="A150" s="523" t="s">
        <v>1164</v>
      </c>
      <c r="B150" s="159">
        <v>1</v>
      </c>
      <c r="C150" s="159" t="s">
        <v>49</v>
      </c>
      <c r="D150" s="510">
        <v>0.40500000000000003</v>
      </c>
      <c r="E150" s="510">
        <v>2.0099999999999998</v>
      </c>
      <c r="F150" s="510">
        <v>1.605</v>
      </c>
      <c r="G150" s="510">
        <v>1.39</v>
      </c>
      <c r="H150" s="510">
        <v>0.35</v>
      </c>
      <c r="I150" s="510">
        <v>0.7</v>
      </c>
      <c r="J150" s="510">
        <v>3</v>
      </c>
      <c r="K150" s="510">
        <f t="shared" si="43"/>
        <v>12.3</v>
      </c>
      <c r="L150" s="510">
        <f t="shared" si="50"/>
        <v>4.2209999999999992</v>
      </c>
      <c r="M150" s="510">
        <f t="shared" si="51"/>
        <v>1.6177349999999997</v>
      </c>
      <c r="N150" s="510">
        <f t="shared" si="52"/>
        <v>5.0965297500000002</v>
      </c>
      <c r="O150" s="510">
        <f t="shared" si="53"/>
        <v>3.0812672500000007</v>
      </c>
      <c r="P150" s="510">
        <f>0.25*0.95*0.4+(1.15+0.75+0.87)*0.15*0.45</f>
        <v>0.28197499999999998</v>
      </c>
      <c r="Q150" s="510">
        <f t="shared" si="54"/>
        <v>0.1155525</v>
      </c>
      <c r="R150" s="524"/>
    </row>
    <row r="151" spans="1:18" x14ac:dyDescent="0.3">
      <c r="A151" s="609" t="s">
        <v>740</v>
      </c>
      <c r="B151" s="609"/>
      <c r="C151" s="609"/>
      <c r="D151" s="609"/>
      <c r="E151" s="609"/>
      <c r="F151" s="609"/>
      <c r="G151" s="609"/>
      <c r="H151" s="609"/>
      <c r="I151" s="609"/>
      <c r="J151" s="609"/>
      <c r="K151" s="609"/>
      <c r="L151" s="609"/>
      <c r="M151" s="609"/>
      <c r="N151" s="609"/>
      <c r="O151" s="609"/>
      <c r="P151" s="609"/>
      <c r="Q151" s="610"/>
      <c r="R151" s="471"/>
    </row>
    <row r="152" spans="1:18" x14ac:dyDescent="0.3">
      <c r="A152" s="523" t="s">
        <v>1165</v>
      </c>
      <c r="B152" s="159">
        <v>1</v>
      </c>
      <c r="C152" s="159" t="s">
        <v>49</v>
      </c>
      <c r="D152" s="510">
        <v>0.40500000000000003</v>
      </c>
      <c r="E152" s="510">
        <v>2.0099999999999998</v>
      </c>
      <c r="F152" s="510">
        <v>1.605</v>
      </c>
      <c r="G152" s="510">
        <v>1.39</v>
      </c>
      <c r="H152" s="510">
        <v>0.35</v>
      </c>
      <c r="I152" s="510">
        <v>0.75</v>
      </c>
      <c r="J152" s="510">
        <v>3</v>
      </c>
      <c r="K152" s="510">
        <f t="shared" si="43"/>
        <v>12.450000000000001</v>
      </c>
      <c r="L152" s="510">
        <f t="shared" ref="L152" si="55">(D152*3+F152*3)*I152*B152</f>
        <v>4.5224999999999991</v>
      </c>
      <c r="M152" s="510">
        <f t="shared" ref="M152" si="56">((((D152+E152)*G152)/2)+(((E152+F152)*H152)/2))*I152*B152</f>
        <v>1.7332874999999999</v>
      </c>
      <c r="N152" s="510">
        <f t="shared" ref="N152" si="57">((((D152*3.4+E152)*(G152+$Q$14))/2)+(((E152+F152+D152*3)*(H152+$Q$14))/2))*(I152+$Q$13+$Q$16)*B152</f>
        <v>5.3181179999999992</v>
      </c>
      <c r="O152" s="510">
        <f t="shared" si="47"/>
        <v>3.2167529999999993</v>
      </c>
      <c r="P152" s="510">
        <f>0.15*0.8*0.4+(1.22+0.87+0.94)*0.15*0.45</f>
        <v>0.252525</v>
      </c>
      <c r="Q152" s="510">
        <f t="shared" si="54"/>
        <v>0.1155525</v>
      </c>
      <c r="R152" s="524"/>
    </row>
    <row r="153" spans="1:18" x14ac:dyDescent="0.3">
      <c r="A153" s="523" t="s">
        <v>1166</v>
      </c>
      <c r="B153" s="159">
        <v>1</v>
      </c>
      <c r="C153" s="159" t="s">
        <v>49</v>
      </c>
      <c r="D153" s="510">
        <v>2</v>
      </c>
      <c r="E153" s="510">
        <v>0.8</v>
      </c>
      <c r="F153" s="510"/>
      <c r="G153" s="510"/>
      <c r="H153" s="510"/>
      <c r="I153" s="510">
        <v>0.7</v>
      </c>
      <c r="J153" s="510">
        <v>2</v>
      </c>
      <c r="K153" s="510">
        <f t="shared" si="43"/>
        <v>8.2000000000000011</v>
      </c>
      <c r="L153" s="510">
        <f t="shared" si="44"/>
        <v>3.9199999999999995</v>
      </c>
      <c r="M153" s="510">
        <f t="shared" si="45"/>
        <v>1.1199999999999999</v>
      </c>
      <c r="N153" s="510">
        <f t="shared" si="46"/>
        <v>4.1859999999999991</v>
      </c>
      <c r="O153" s="510">
        <f t="shared" si="47"/>
        <v>2.6587499999999991</v>
      </c>
      <c r="P153" s="510">
        <f>0.2*0.8*0.4+(1.2*3+0.3)*0.15*0.45</f>
        <v>0.32724999999999993</v>
      </c>
      <c r="Q153" s="510">
        <f t="shared" si="48"/>
        <v>8.0000000000000016E-2</v>
      </c>
      <c r="R153" s="524"/>
    </row>
    <row r="154" spans="1:18" x14ac:dyDescent="0.3">
      <c r="A154" s="523" t="s">
        <v>1167</v>
      </c>
      <c r="B154" s="159">
        <v>1</v>
      </c>
      <c r="C154" s="159" t="s">
        <v>49</v>
      </c>
      <c r="D154" s="510">
        <v>1.9</v>
      </c>
      <c r="E154" s="510">
        <v>0.7</v>
      </c>
      <c r="F154" s="510"/>
      <c r="G154" s="510"/>
      <c r="H154" s="510"/>
      <c r="I154" s="510">
        <v>0.75</v>
      </c>
      <c r="J154" s="510">
        <v>2</v>
      </c>
      <c r="K154" s="510">
        <f t="shared" si="43"/>
        <v>8.3000000000000007</v>
      </c>
      <c r="L154" s="510">
        <f t="shared" si="44"/>
        <v>3.8999999999999995</v>
      </c>
      <c r="M154" s="510">
        <f t="shared" si="45"/>
        <v>0.99749999999999983</v>
      </c>
      <c r="N154" s="510">
        <f t="shared" si="46"/>
        <v>3.9</v>
      </c>
      <c r="O154" s="510">
        <f t="shared" si="47"/>
        <v>2.622325</v>
      </c>
      <c r="P154" s="510">
        <f>0.15*0.4*0.4+(1.18*2+0.45)*0.15*0.45</f>
        <v>0.213675</v>
      </c>
      <c r="Q154" s="510">
        <f t="shared" si="48"/>
        <v>6.649999999999999E-2</v>
      </c>
      <c r="R154" s="524"/>
    </row>
    <row r="155" spans="1:18" x14ac:dyDescent="0.3">
      <c r="A155" s="523" t="s">
        <v>1168</v>
      </c>
      <c r="B155" s="159">
        <v>1</v>
      </c>
      <c r="C155" s="159" t="s">
        <v>49</v>
      </c>
      <c r="D155" s="510">
        <v>0.7</v>
      </c>
      <c r="E155" s="510">
        <v>0.7</v>
      </c>
      <c r="F155" s="510"/>
      <c r="G155" s="510"/>
      <c r="H155" s="510"/>
      <c r="I155" s="510">
        <v>0.65</v>
      </c>
      <c r="J155" s="510">
        <v>1</v>
      </c>
      <c r="K155" s="510">
        <f t="shared" ref="K155:K188" si="58">J155*($Q$15+I155+$Q$13)</f>
        <v>4.05</v>
      </c>
      <c r="L155" s="510">
        <f t="shared" ref="L155:L187" si="59">(D155*2+E155*2)*I155</f>
        <v>1.8199999999999998</v>
      </c>
      <c r="M155" s="510">
        <f t="shared" ref="M155:M187" si="60">((D155*E155*I155))*B155</f>
        <v>0.31849999999999995</v>
      </c>
      <c r="N155" s="510">
        <f t="shared" ref="N155:N187" si="61">(D155+$Q$14*2)*(E155+$Q$14*2)*(I155+$Q$16+$Q$13)</f>
        <v>1.8589999999999995</v>
      </c>
      <c r="O155" s="510">
        <f t="shared" ref="O155:O188" si="62">N155-(M155+Q155+P155)</f>
        <v>1.3833249999999997</v>
      </c>
      <c r="P155" s="510">
        <f>0.15*0.4*0.4+(0.58*2+0.45)*0.15*0.45</f>
        <v>0.13267499999999999</v>
      </c>
      <c r="Q155" s="510">
        <f t="shared" ref="Q155:Q187" si="63">D155*E155*$Q$16*B155</f>
        <v>2.4499999999999997E-2</v>
      </c>
      <c r="R155" s="524"/>
    </row>
    <row r="156" spans="1:18" x14ac:dyDescent="0.3">
      <c r="A156" s="523" t="s">
        <v>1169</v>
      </c>
      <c r="B156" s="159">
        <v>1</v>
      </c>
      <c r="C156" s="159" t="s">
        <v>49</v>
      </c>
      <c r="D156" s="510">
        <v>0.7</v>
      </c>
      <c r="E156" s="510">
        <v>0.7</v>
      </c>
      <c r="F156" s="510"/>
      <c r="G156" s="510"/>
      <c r="H156" s="510"/>
      <c r="I156" s="510">
        <v>0.65</v>
      </c>
      <c r="J156" s="510">
        <v>1</v>
      </c>
      <c r="K156" s="510">
        <f t="shared" si="58"/>
        <v>4.05</v>
      </c>
      <c r="L156" s="510">
        <f t="shared" si="59"/>
        <v>1.8199999999999998</v>
      </c>
      <c r="M156" s="510">
        <f t="shared" si="60"/>
        <v>0.31849999999999995</v>
      </c>
      <c r="N156" s="510">
        <f t="shared" si="61"/>
        <v>1.8589999999999995</v>
      </c>
      <c r="O156" s="510">
        <f t="shared" si="62"/>
        <v>1.3747499999999997</v>
      </c>
      <c r="P156" s="510">
        <f>0.2*0.5*0.4+(0.55*2+0.4)*0.15*0.45</f>
        <v>0.14124999999999999</v>
      </c>
      <c r="Q156" s="510">
        <f t="shared" si="63"/>
        <v>2.4499999999999997E-2</v>
      </c>
      <c r="R156" s="524"/>
    </row>
    <row r="157" spans="1:18" x14ac:dyDescent="0.3">
      <c r="A157" s="523" t="s">
        <v>1170</v>
      </c>
      <c r="B157" s="159">
        <v>1</v>
      </c>
      <c r="C157" s="159" t="s">
        <v>49</v>
      </c>
      <c r="D157" s="510">
        <v>1.9</v>
      </c>
      <c r="E157" s="510">
        <v>0.7</v>
      </c>
      <c r="F157" s="510"/>
      <c r="G157" s="510"/>
      <c r="H157" s="510"/>
      <c r="I157" s="510">
        <v>0.75</v>
      </c>
      <c r="J157" s="510">
        <v>2</v>
      </c>
      <c r="K157" s="510">
        <f t="shared" si="58"/>
        <v>8.3000000000000007</v>
      </c>
      <c r="L157" s="510">
        <f t="shared" si="59"/>
        <v>3.8999999999999995</v>
      </c>
      <c r="M157" s="510">
        <f t="shared" si="60"/>
        <v>0.99749999999999983</v>
      </c>
      <c r="N157" s="510">
        <f t="shared" si="61"/>
        <v>3.9</v>
      </c>
      <c r="O157" s="510">
        <f t="shared" si="62"/>
        <v>2.622325</v>
      </c>
      <c r="P157" s="510">
        <f>0.15*0.4*0.4+(1.18*2+0.45)*0.15*0.45</f>
        <v>0.213675</v>
      </c>
      <c r="Q157" s="510">
        <f t="shared" si="63"/>
        <v>6.649999999999999E-2</v>
      </c>
      <c r="R157" s="524"/>
    </row>
    <row r="158" spans="1:18" x14ac:dyDescent="0.3">
      <c r="A158" s="523" t="s">
        <v>1171</v>
      </c>
      <c r="B158" s="159">
        <v>1</v>
      </c>
      <c r="C158" s="159" t="s">
        <v>49</v>
      </c>
      <c r="D158" s="510">
        <v>0.7</v>
      </c>
      <c r="E158" s="510">
        <v>0.7</v>
      </c>
      <c r="F158" s="510"/>
      <c r="G158" s="510"/>
      <c r="H158" s="510"/>
      <c r="I158" s="510">
        <v>0.65</v>
      </c>
      <c r="J158" s="510">
        <v>1</v>
      </c>
      <c r="K158" s="510">
        <f t="shared" si="58"/>
        <v>4.05</v>
      </c>
      <c r="L158" s="510">
        <f t="shared" si="59"/>
        <v>1.8199999999999998</v>
      </c>
      <c r="M158" s="510">
        <f t="shared" si="60"/>
        <v>0.31849999999999995</v>
      </c>
      <c r="N158" s="510">
        <f t="shared" si="61"/>
        <v>1.8589999999999995</v>
      </c>
      <c r="O158" s="510">
        <f t="shared" si="62"/>
        <v>1.3833249999999997</v>
      </c>
      <c r="P158" s="510">
        <f>0.15*0.4*0.4+(0.58*2+0.45)*0.15*0.45</f>
        <v>0.13267499999999999</v>
      </c>
      <c r="Q158" s="510">
        <f t="shared" si="63"/>
        <v>2.4499999999999997E-2</v>
      </c>
      <c r="R158" s="524"/>
    </row>
    <row r="159" spans="1:18" x14ac:dyDescent="0.3">
      <c r="A159" s="523" t="s">
        <v>1172</v>
      </c>
      <c r="B159" s="159">
        <v>1</v>
      </c>
      <c r="C159" s="159" t="s">
        <v>49</v>
      </c>
      <c r="D159" s="510">
        <v>0.7</v>
      </c>
      <c r="E159" s="510">
        <v>0.7</v>
      </c>
      <c r="F159" s="510"/>
      <c r="G159" s="510"/>
      <c r="H159" s="510"/>
      <c r="I159" s="510">
        <v>0.65</v>
      </c>
      <c r="J159" s="510">
        <v>1</v>
      </c>
      <c r="K159" s="510">
        <f t="shared" si="58"/>
        <v>4.05</v>
      </c>
      <c r="L159" s="510">
        <f t="shared" si="59"/>
        <v>1.8199999999999998</v>
      </c>
      <c r="M159" s="510">
        <f t="shared" si="60"/>
        <v>0.31849999999999995</v>
      </c>
      <c r="N159" s="510">
        <f t="shared" si="61"/>
        <v>1.8589999999999995</v>
      </c>
      <c r="O159" s="510">
        <f t="shared" si="62"/>
        <v>1.4032249999999995</v>
      </c>
      <c r="P159" s="510">
        <f>0.25*0.5*0.4+(0.53+0.4)*0.15*0.45</f>
        <v>0.11277500000000001</v>
      </c>
      <c r="Q159" s="510">
        <f t="shared" si="63"/>
        <v>2.4499999999999997E-2</v>
      </c>
      <c r="R159" s="524"/>
    </row>
    <row r="160" spans="1:18" x14ac:dyDescent="0.3">
      <c r="A160" s="523" t="s">
        <v>1173</v>
      </c>
      <c r="B160" s="159">
        <v>1</v>
      </c>
      <c r="C160" s="159" t="s">
        <v>49</v>
      </c>
      <c r="D160" s="510">
        <v>1.5</v>
      </c>
      <c r="E160" s="510">
        <v>0.6</v>
      </c>
      <c r="F160" s="510"/>
      <c r="G160" s="510"/>
      <c r="H160" s="510"/>
      <c r="I160" s="510">
        <v>0.55000000000000004</v>
      </c>
      <c r="J160" s="510">
        <v>2</v>
      </c>
      <c r="K160" s="510">
        <f t="shared" si="58"/>
        <v>7.8999999999999995</v>
      </c>
      <c r="L160" s="510">
        <f t="shared" si="59"/>
        <v>2.3100000000000005</v>
      </c>
      <c r="M160" s="510">
        <f t="shared" si="60"/>
        <v>0.495</v>
      </c>
      <c r="N160" s="510">
        <f t="shared" si="61"/>
        <v>2.52</v>
      </c>
      <c r="O160" s="510">
        <f t="shared" si="62"/>
        <v>1.748875</v>
      </c>
      <c r="P160" s="510">
        <f>0.2*0.4*0.4+(1.2+0.95+0.4*2)*0.15*0.45</f>
        <v>0.231125</v>
      </c>
      <c r="Q160" s="510">
        <f t="shared" si="63"/>
        <v>4.4999999999999998E-2</v>
      </c>
      <c r="R160" s="524"/>
    </row>
    <row r="161" spans="1:18" x14ac:dyDescent="0.3">
      <c r="A161" s="523" t="s">
        <v>1174</v>
      </c>
      <c r="B161" s="159">
        <v>1</v>
      </c>
      <c r="C161" s="159" t="s">
        <v>49</v>
      </c>
      <c r="D161" s="510">
        <v>0.7</v>
      </c>
      <c r="E161" s="510">
        <v>0.7</v>
      </c>
      <c r="F161" s="510"/>
      <c r="G161" s="510"/>
      <c r="H161" s="510"/>
      <c r="I161" s="510">
        <v>0.65</v>
      </c>
      <c r="J161" s="510">
        <v>1</v>
      </c>
      <c r="K161" s="510">
        <f t="shared" si="58"/>
        <v>4.05</v>
      </c>
      <c r="L161" s="510">
        <f t="shared" si="59"/>
        <v>1.8199999999999998</v>
      </c>
      <c r="M161" s="510">
        <f t="shared" si="60"/>
        <v>0.31849999999999995</v>
      </c>
      <c r="N161" s="510">
        <f t="shared" si="61"/>
        <v>1.8589999999999995</v>
      </c>
      <c r="O161" s="510">
        <f t="shared" si="62"/>
        <v>1.3833249999999997</v>
      </c>
      <c r="P161" s="510">
        <f>0.15*0.4*0.4+(0.58*2+0.45)*0.15*0.45</f>
        <v>0.13267499999999999</v>
      </c>
      <c r="Q161" s="510">
        <f t="shared" si="63"/>
        <v>2.4499999999999997E-2</v>
      </c>
      <c r="R161" s="524"/>
    </row>
    <row r="162" spans="1:18" x14ac:dyDescent="0.3">
      <c r="A162" s="523" t="s">
        <v>1175</v>
      </c>
      <c r="B162" s="159">
        <v>1</v>
      </c>
      <c r="C162" s="159" t="s">
        <v>49</v>
      </c>
      <c r="D162" s="510">
        <v>0.7</v>
      </c>
      <c r="E162" s="510">
        <v>0.7</v>
      </c>
      <c r="F162" s="510"/>
      <c r="G162" s="510"/>
      <c r="H162" s="510"/>
      <c r="I162" s="510">
        <v>0.65</v>
      </c>
      <c r="J162" s="510">
        <v>1</v>
      </c>
      <c r="K162" s="510">
        <f t="shared" si="58"/>
        <v>4.05</v>
      </c>
      <c r="L162" s="510">
        <f t="shared" si="59"/>
        <v>1.8199999999999998</v>
      </c>
      <c r="M162" s="510">
        <f t="shared" si="60"/>
        <v>0.31849999999999995</v>
      </c>
      <c r="N162" s="510">
        <f t="shared" si="61"/>
        <v>1.8589999999999995</v>
      </c>
      <c r="O162" s="510">
        <f t="shared" si="62"/>
        <v>1.3836249999999994</v>
      </c>
      <c r="P162" s="510">
        <f>0.2*0.6*0.4+(0.35*2+0.55)*0.15*0.45</f>
        <v>0.13237500000000002</v>
      </c>
      <c r="Q162" s="510">
        <f t="shared" si="63"/>
        <v>2.4499999999999997E-2</v>
      </c>
      <c r="R162" s="524"/>
    </row>
    <row r="163" spans="1:18" x14ac:dyDescent="0.3">
      <c r="A163" s="523" t="s">
        <v>1176</v>
      </c>
      <c r="B163" s="159">
        <v>1</v>
      </c>
      <c r="C163" s="159" t="s">
        <v>49</v>
      </c>
      <c r="D163" s="510">
        <v>0.7</v>
      </c>
      <c r="E163" s="510">
        <v>0.7</v>
      </c>
      <c r="F163" s="510"/>
      <c r="G163" s="510"/>
      <c r="H163" s="510"/>
      <c r="I163" s="510">
        <v>0.65</v>
      </c>
      <c r="J163" s="510">
        <v>1</v>
      </c>
      <c r="K163" s="510">
        <f t="shared" si="58"/>
        <v>4.05</v>
      </c>
      <c r="L163" s="510">
        <f t="shared" si="59"/>
        <v>1.8199999999999998</v>
      </c>
      <c r="M163" s="510">
        <f t="shared" si="60"/>
        <v>0.31849999999999995</v>
      </c>
      <c r="N163" s="510">
        <f t="shared" si="61"/>
        <v>1.8589999999999995</v>
      </c>
      <c r="O163" s="510">
        <f t="shared" si="62"/>
        <v>1.3833249999999997</v>
      </c>
      <c r="P163" s="510">
        <f>0.15*0.4*0.4+(0.58*2+0.45)*0.15*0.45</f>
        <v>0.13267499999999999</v>
      </c>
      <c r="Q163" s="510">
        <f t="shared" si="63"/>
        <v>2.4499999999999997E-2</v>
      </c>
      <c r="R163" s="524"/>
    </row>
    <row r="164" spans="1:18" x14ac:dyDescent="0.3">
      <c r="A164" s="523" t="s">
        <v>1177</v>
      </c>
      <c r="B164" s="159">
        <v>1</v>
      </c>
      <c r="C164" s="159" t="s">
        <v>49</v>
      </c>
      <c r="D164" s="510">
        <v>0.7</v>
      </c>
      <c r="E164" s="510">
        <v>0.7</v>
      </c>
      <c r="F164" s="510"/>
      <c r="G164" s="510"/>
      <c r="H164" s="510"/>
      <c r="I164" s="510">
        <v>0.65</v>
      </c>
      <c r="J164" s="510">
        <v>1</v>
      </c>
      <c r="K164" s="510">
        <f t="shared" si="58"/>
        <v>4.05</v>
      </c>
      <c r="L164" s="510">
        <f t="shared" si="59"/>
        <v>1.8199999999999998</v>
      </c>
      <c r="M164" s="510">
        <f t="shared" si="60"/>
        <v>0.31849999999999995</v>
      </c>
      <c r="N164" s="510">
        <f t="shared" si="61"/>
        <v>1.8589999999999995</v>
      </c>
      <c r="O164" s="510">
        <f t="shared" si="62"/>
        <v>1.3833249999999997</v>
      </c>
      <c r="P164" s="510">
        <f>0.15*0.4*0.4+(0.58*2+0.45)*0.15*0.45</f>
        <v>0.13267499999999999</v>
      </c>
      <c r="Q164" s="510">
        <f t="shared" si="63"/>
        <v>2.4499999999999997E-2</v>
      </c>
      <c r="R164" s="524"/>
    </row>
    <row r="165" spans="1:18" x14ac:dyDescent="0.3">
      <c r="A165" s="523" t="s">
        <v>1178</v>
      </c>
      <c r="B165" s="159">
        <v>1</v>
      </c>
      <c r="C165" s="159" t="s">
        <v>49</v>
      </c>
      <c r="D165" s="510">
        <v>0.7</v>
      </c>
      <c r="E165" s="510">
        <v>0.7</v>
      </c>
      <c r="F165" s="510"/>
      <c r="G165" s="510"/>
      <c r="H165" s="510"/>
      <c r="I165" s="510">
        <v>0.65</v>
      </c>
      <c r="J165" s="510">
        <v>1</v>
      </c>
      <c r="K165" s="510">
        <f t="shared" si="58"/>
        <v>4.05</v>
      </c>
      <c r="L165" s="510">
        <f t="shared" si="59"/>
        <v>1.8199999999999998</v>
      </c>
      <c r="M165" s="510">
        <f t="shared" si="60"/>
        <v>0.31849999999999995</v>
      </c>
      <c r="N165" s="510">
        <f t="shared" si="61"/>
        <v>1.8589999999999995</v>
      </c>
      <c r="O165" s="510">
        <f t="shared" si="62"/>
        <v>1.3836249999999994</v>
      </c>
      <c r="P165" s="510">
        <f>0.2*0.6*0.4+(0.35*2+0.55)*0.15*0.45</f>
        <v>0.13237500000000002</v>
      </c>
      <c r="Q165" s="510">
        <f t="shared" si="63"/>
        <v>2.4499999999999997E-2</v>
      </c>
      <c r="R165" s="524"/>
    </row>
    <row r="166" spans="1:18" x14ac:dyDescent="0.3">
      <c r="A166" s="523" t="s">
        <v>1179</v>
      </c>
      <c r="B166" s="159">
        <v>1</v>
      </c>
      <c r="C166" s="159" t="s">
        <v>49</v>
      </c>
      <c r="D166" s="510">
        <v>0.7</v>
      </c>
      <c r="E166" s="510">
        <v>0.7</v>
      </c>
      <c r="F166" s="510"/>
      <c r="G166" s="510"/>
      <c r="H166" s="510"/>
      <c r="I166" s="510">
        <v>0.65</v>
      </c>
      <c r="J166" s="510">
        <v>1</v>
      </c>
      <c r="K166" s="510">
        <f t="shared" si="58"/>
        <v>4.05</v>
      </c>
      <c r="L166" s="510">
        <f t="shared" si="59"/>
        <v>1.8199999999999998</v>
      </c>
      <c r="M166" s="510">
        <f t="shared" si="60"/>
        <v>0.31849999999999995</v>
      </c>
      <c r="N166" s="510">
        <f t="shared" si="61"/>
        <v>1.8589999999999995</v>
      </c>
      <c r="O166" s="510">
        <f t="shared" si="62"/>
        <v>1.3833249999999997</v>
      </c>
      <c r="P166" s="510">
        <f>0.15*0.4*0.4+(0.58*2+0.45)*0.15*0.45</f>
        <v>0.13267499999999999</v>
      </c>
      <c r="Q166" s="510">
        <f t="shared" si="63"/>
        <v>2.4499999999999997E-2</v>
      </c>
      <c r="R166" s="524"/>
    </row>
    <row r="167" spans="1:18" x14ac:dyDescent="0.3">
      <c r="A167" s="523" t="s">
        <v>1180</v>
      </c>
      <c r="B167" s="159">
        <v>1</v>
      </c>
      <c r="C167" s="159" t="s">
        <v>49</v>
      </c>
      <c r="D167" s="510">
        <v>0.7</v>
      </c>
      <c r="E167" s="510">
        <v>0.7</v>
      </c>
      <c r="F167" s="510"/>
      <c r="G167" s="510"/>
      <c r="H167" s="510"/>
      <c r="I167" s="510">
        <v>0.65</v>
      </c>
      <c r="J167" s="510">
        <v>1</v>
      </c>
      <c r="K167" s="510">
        <f t="shared" si="58"/>
        <v>4.05</v>
      </c>
      <c r="L167" s="510">
        <f t="shared" si="59"/>
        <v>1.8199999999999998</v>
      </c>
      <c r="M167" s="510">
        <f t="shared" si="60"/>
        <v>0.31849999999999995</v>
      </c>
      <c r="N167" s="510">
        <f t="shared" si="61"/>
        <v>1.8589999999999995</v>
      </c>
      <c r="O167" s="510">
        <f t="shared" si="62"/>
        <v>1.4224749999999995</v>
      </c>
      <c r="P167" s="510">
        <f>0.15*0.4*0.4+(0.58+0.45)*0.15*0.45</f>
        <v>9.3524999999999997E-2</v>
      </c>
      <c r="Q167" s="510">
        <f t="shared" si="63"/>
        <v>2.4499999999999997E-2</v>
      </c>
      <c r="R167" s="524"/>
    </row>
    <row r="168" spans="1:18" x14ac:dyDescent="0.3">
      <c r="A168" s="523" t="s">
        <v>1181</v>
      </c>
      <c r="B168" s="159">
        <v>1</v>
      </c>
      <c r="C168" s="159" t="s">
        <v>49</v>
      </c>
      <c r="D168" s="510">
        <v>0.7</v>
      </c>
      <c r="E168" s="510">
        <v>0.7</v>
      </c>
      <c r="F168" s="510"/>
      <c r="G168" s="510"/>
      <c r="H168" s="510"/>
      <c r="I168" s="510">
        <v>0.65</v>
      </c>
      <c r="J168" s="510">
        <v>1</v>
      </c>
      <c r="K168" s="510">
        <f t="shared" si="58"/>
        <v>4.05</v>
      </c>
      <c r="L168" s="510">
        <f t="shared" si="59"/>
        <v>1.8199999999999998</v>
      </c>
      <c r="M168" s="510">
        <f t="shared" si="60"/>
        <v>0.31849999999999995</v>
      </c>
      <c r="N168" s="510">
        <f t="shared" si="61"/>
        <v>1.8589999999999995</v>
      </c>
      <c r="O168" s="510">
        <f t="shared" si="62"/>
        <v>1.3529499999999994</v>
      </c>
      <c r="P168" s="510">
        <f>0.15*0.4*0.4+(0.58*2+0.45*2)*0.15*0.45</f>
        <v>0.16305</v>
      </c>
      <c r="Q168" s="510">
        <f t="shared" si="63"/>
        <v>2.4499999999999997E-2</v>
      </c>
      <c r="R168" s="524"/>
    </row>
    <row r="169" spans="1:18" x14ac:dyDescent="0.3">
      <c r="A169" s="523" t="s">
        <v>1182</v>
      </c>
      <c r="B169" s="159">
        <v>1</v>
      </c>
      <c r="C169" s="159" t="s">
        <v>49</v>
      </c>
      <c r="D169" s="510">
        <v>0.7</v>
      </c>
      <c r="E169" s="510">
        <v>0.7</v>
      </c>
      <c r="F169" s="510"/>
      <c r="G169" s="510"/>
      <c r="H169" s="510"/>
      <c r="I169" s="510">
        <v>0.65</v>
      </c>
      <c r="J169" s="510">
        <v>1</v>
      </c>
      <c r="K169" s="510">
        <f t="shared" si="58"/>
        <v>4.05</v>
      </c>
      <c r="L169" s="510">
        <f t="shared" si="59"/>
        <v>1.8199999999999998</v>
      </c>
      <c r="M169" s="510">
        <f t="shared" si="60"/>
        <v>0.31849999999999995</v>
      </c>
      <c r="N169" s="510">
        <f t="shared" si="61"/>
        <v>1.8589999999999995</v>
      </c>
      <c r="O169" s="510">
        <f t="shared" si="62"/>
        <v>1.3920999999999997</v>
      </c>
      <c r="P169" s="510">
        <f>0.15*0.4*0.4+(0.58+0.45*2)*0.15*0.45</f>
        <v>0.12390000000000001</v>
      </c>
      <c r="Q169" s="510">
        <f t="shared" si="63"/>
        <v>2.4499999999999997E-2</v>
      </c>
      <c r="R169" s="524"/>
    </row>
    <row r="170" spans="1:18" x14ac:dyDescent="0.3">
      <c r="A170" s="523" t="s">
        <v>1183</v>
      </c>
      <c r="B170" s="159">
        <v>1</v>
      </c>
      <c r="C170" s="159" t="s">
        <v>49</v>
      </c>
      <c r="D170" s="510">
        <v>0.7</v>
      </c>
      <c r="E170" s="510">
        <v>0.7</v>
      </c>
      <c r="F170" s="510"/>
      <c r="G170" s="510"/>
      <c r="H170" s="510"/>
      <c r="I170" s="510">
        <v>0.65</v>
      </c>
      <c r="J170" s="510">
        <v>1</v>
      </c>
      <c r="K170" s="510">
        <f t="shared" si="58"/>
        <v>4.05</v>
      </c>
      <c r="L170" s="510">
        <f t="shared" si="59"/>
        <v>1.8199999999999998</v>
      </c>
      <c r="M170" s="510">
        <f t="shared" si="60"/>
        <v>0.31849999999999995</v>
      </c>
      <c r="N170" s="510">
        <f t="shared" si="61"/>
        <v>1.8589999999999995</v>
      </c>
      <c r="O170" s="510">
        <f t="shared" si="62"/>
        <v>1.3833249999999997</v>
      </c>
      <c r="P170" s="510">
        <f>0.15*0.4*0.4+(0.58*2+0.45)*0.15*0.45</f>
        <v>0.13267499999999999</v>
      </c>
      <c r="Q170" s="510">
        <f t="shared" si="63"/>
        <v>2.4499999999999997E-2</v>
      </c>
      <c r="R170" s="524"/>
    </row>
    <row r="171" spans="1:18" x14ac:dyDescent="0.3">
      <c r="A171" s="523" t="s">
        <v>1184</v>
      </c>
      <c r="B171" s="159">
        <v>1</v>
      </c>
      <c r="C171" s="159" t="s">
        <v>49</v>
      </c>
      <c r="D171" s="510">
        <v>1.9</v>
      </c>
      <c r="E171" s="510">
        <v>0.7</v>
      </c>
      <c r="F171" s="510"/>
      <c r="G171" s="510"/>
      <c r="H171" s="510"/>
      <c r="I171" s="510">
        <v>0.7</v>
      </c>
      <c r="J171" s="510">
        <v>2</v>
      </c>
      <c r="K171" s="510">
        <f t="shared" si="58"/>
        <v>8.2000000000000011</v>
      </c>
      <c r="L171" s="510">
        <f t="shared" si="59"/>
        <v>3.6399999999999992</v>
      </c>
      <c r="M171" s="510">
        <f t="shared" si="60"/>
        <v>0.93099999999999983</v>
      </c>
      <c r="N171" s="510">
        <f>(D171+$Q$14*2)*(E171+$Q$14*2)*(I171+$Q$16+$Q$13)+1.43*0.27*0.45</f>
        <v>3.9112449999999992</v>
      </c>
      <c r="O171" s="510">
        <f t="shared" si="62"/>
        <v>2.6331449999999994</v>
      </c>
      <c r="P171" s="510">
        <f>0.25*0.7*0.4+(0.3+0.57+1.12+1.13)*0.15*0.45</f>
        <v>0.28059999999999996</v>
      </c>
      <c r="Q171" s="510">
        <f t="shared" si="63"/>
        <v>6.649999999999999E-2</v>
      </c>
      <c r="R171" s="524"/>
    </row>
    <row r="172" spans="1:18" x14ac:dyDescent="0.3">
      <c r="A172" s="523" t="s">
        <v>1185</v>
      </c>
      <c r="B172" s="159">
        <v>1</v>
      </c>
      <c r="C172" s="159" t="s">
        <v>49</v>
      </c>
      <c r="D172" s="510">
        <v>0.7</v>
      </c>
      <c r="E172" s="510">
        <v>0.7</v>
      </c>
      <c r="F172" s="510"/>
      <c r="G172" s="510"/>
      <c r="H172" s="510"/>
      <c r="I172" s="510">
        <v>0.65</v>
      </c>
      <c r="J172" s="510">
        <v>1</v>
      </c>
      <c r="K172" s="510">
        <f t="shared" si="58"/>
        <v>4.05</v>
      </c>
      <c r="L172" s="510">
        <f t="shared" si="59"/>
        <v>1.8199999999999998</v>
      </c>
      <c r="M172" s="510">
        <f t="shared" si="60"/>
        <v>0.31849999999999995</v>
      </c>
      <c r="N172" s="510">
        <f t="shared" si="61"/>
        <v>1.8589999999999995</v>
      </c>
      <c r="O172" s="510">
        <f t="shared" si="62"/>
        <v>1.3478999999999997</v>
      </c>
      <c r="P172" s="510">
        <f>0.25*0.25*0.4+(0.53*4)*0.15*0.45</f>
        <v>0.1681</v>
      </c>
      <c r="Q172" s="510">
        <f t="shared" si="63"/>
        <v>2.4499999999999997E-2</v>
      </c>
      <c r="R172" s="524"/>
    </row>
    <row r="173" spans="1:18" x14ac:dyDescent="0.3">
      <c r="A173" s="523" t="s">
        <v>1186</v>
      </c>
      <c r="B173" s="159">
        <v>1</v>
      </c>
      <c r="C173" s="159" t="s">
        <v>49</v>
      </c>
      <c r="D173" s="510">
        <v>1.9</v>
      </c>
      <c r="E173" s="510">
        <v>0.7</v>
      </c>
      <c r="F173" s="510"/>
      <c r="G173" s="510"/>
      <c r="H173" s="510"/>
      <c r="I173" s="510">
        <v>0.7</v>
      </c>
      <c r="J173" s="510">
        <v>2</v>
      </c>
      <c r="K173" s="510">
        <f t="shared" si="58"/>
        <v>8.2000000000000011</v>
      </c>
      <c r="L173" s="510">
        <f t="shared" si="59"/>
        <v>3.6399999999999992</v>
      </c>
      <c r="M173" s="510">
        <f t="shared" si="60"/>
        <v>0.93099999999999983</v>
      </c>
      <c r="N173" s="510">
        <f t="shared" si="61"/>
        <v>3.7374999999999994</v>
      </c>
      <c r="O173" s="510">
        <f t="shared" si="62"/>
        <v>2.4769499999999995</v>
      </c>
      <c r="P173" s="510">
        <f>0.25*0.7*0.4+(0.3*2+1.13*2)*0.15*0.45</f>
        <v>0.26305000000000001</v>
      </c>
      <c r="Q173" s="510">
        <f t="shared" si="63"/>
        <v>6.649999999999999E-2</v>
      </c>
      <c r="R173" s="524"/>
    </row>
    <row r="174" spans="1:18" x14ac:dyDescent="0.3">
      <c r="A174" s="523" t="s">
        <v>1187</v>
      </c>
      <c r="B174" s="159">
        <v>1</v>
      </c>
      <c r="C174" s="159" t="s">
        <v>49</v>
      </c>
      <c r="D174" s="510">
        <v>0.7</v>
      </c>
      <c r="E174" s="510">
        <v>0.7</v>
      </c>
      <c r="F174" s="510"/>
      <c r="G174" s="510"/>
      <c r="H174" s="510"/>
      <c r="I174" s="510">
        <v>0.65</v>
      </c>
      <c r="J174" s="510">
        <v>1</v>
      </c>
      <c r="K174" s="510">
        <f t="shared" si="58"/>
        <v>4.05</v>
      </c>
      <c r="L174" s="510">
        <f t="shared" si="59"/>
        <v>1.8199999999999998</v>
      </c>
      <c r="M174" s="510">
        <f t="shared" si="60"/>
        <v>0.31849999999999995</v>
      </c>
      <c r="N174" s="510">
        <f t="shared" si="61"/>
        <v>1.8589999999999995</v>
      </c>
      <c r="O174" s="510">
        <f t="shared" si="62"/>
        <v>1.3478999999999997</v>
      </c>
      <c r="P174" s="510">
        <f>0.25*0.25*0.4+(0.53*4)*0.15*0.45</f>
        <v>0.1681</v>
      </c>
      <c r="Q174" s="510">
        <f t="shared" si="63"/>
        <v>2.4499999999999997E-2</v>
      </c>
      <c r="R174" s="524"/>
    </row>
    <row r="175" spans="1:18" x14ac:dyDescent="0.3">
      <c r="A175" s="523" t="s">
        <v>1188</v>
      </c>
      <c r="B175" s="159">
        <v>1</v>
      </c>
      <c r="C175" s="159" t="s">
        <v>49</v>
      </c>
      <c r="D175" s="510">
        <v>1.9</v>
      </c>
      <c r="E175" s="510">
        <v>0.7</v>
      </c>
      <c r="F175" s="510"/>
      <c r="G175" s="510"/>
      <c r="H175" s="510"/>
      <c r="I175" s="510">
        <v>0.7</v>
      </c>
      <c r="J175" s="510">
        <v>2</v>
      </c>
      <c r="K175" s="510">
        <f t="shared" si="58"/>
        <v>8.2000000000000011</v>
      </c>
      <c r="L175" s="510">
        <f t="shared" si="59"/>
        <v>3.6399999999999992</v>
      </c>
      <c r="M175" s="510">
        <f t="shared" si="60"/>
        <v>0.93099999999999983</v>
      </c>
      <c r="N175" s="510">
        <f t="shared" si="61"/>
        <v>3.7374999999999994</v>
      </c>
      <c r="O175" s="510">
        <f t="shared" si="62"/>
        <v>2.4769499999999995</v>
      </c>
      <c r="P175" s="510">
        <f>0.25*0.7*0.4+(0.3*2+1.13*2)*0.15*0.45</f>
        <v>0.26305000000000001</v>
      </c>
      <c r="Q175" s="510">
        <f t="shared" si="63"/>
        <v>6.649999999999999E-2</v>
      </c>
      <c r="R175" s="524"/>
    </row>
    <row r="176" spans="1:18" x14ac:dyDescent="0.3">
      <c r="A176" s="523" t="s">
        <v>1189</v>
      </c>
      <c r="B176" s="159">
        <v>1</v>
      </c>
      <c r="C176" s="159" t="s">
        <v>49</v>
      </c>
      <c r="D176" s="510">
        <v>0.7</v>
      </c>
      <c r="E176" s="510">
        <v>0.7</v>
      </c>
      <c r="F176" s="510"/>
      <c r="G176" s="510"/>
      <c r="H176" s="510"/>
      <c r="I176" s="510">
        <v>0.65</v>
      </c>
      <c r="J176" s="510">
        <v>1</v>
      </c>
      <c r="K176" s="510">
        <f t="shared" si="58"/>
        <v>4.05</v>
      </c>
      <c r="L176" s="510">
        <f t="shared" si="59"/>
        <v>1.8199999999999998</v>
      </c>
      <c r="M176" s="510">
        <f t="shared" si="60"/>
        <v>0.31849999999999995</v>
      </c>
      <c r="N176" s="510">
        <f t="shared" si="61"/>
        <v>1.8589999999999995</v>
      </c>
      <c r="O176" s="510">
        <f t="shared" si="62"/>
        <v>1.3478999999999997</v>
      </c>
      <c r="P176" s="510">
        <f>0.25*0.25*0.4+(0.53*4)*0.15*0.45</f>
        <v>0.1681</v>
      </c>
      <c r="Q176" s="510">
        <f t="shared" si="63"/>
        <v>2.4499999999999997E-2</v>
      </c>
      <c r="R176" s="524"/>
    </row>
    <row r="177" spans="1:18" x14ac:dyDescent="0.3">
      <c r="A177" s="523" t="s">
        <v>1190</v>
      </c>
      <c r="B177" s="159">
        <v>1</v>
      </c>
      <c r="C177" s="159" t="s">
        <v>49</v>
      </c>
      <c r="D177" s="510">
        <v>1.9</v>
      </c>
      <c r="E177" s="510">
        <v>0.7</v>
      </c>
      <c r="F177" s="510"/>
      <c r="G177" s="510"/>
      <c r="H177" s="510"/>
      <c r="I177" s="510">
        <v>0.7</v>
      </c>
      <c r="J177" s="510">
        <v>2</v>
      </c>
      <c r="K177" s="510">
        <f t="shared" si="58"/>
        <v>8.2000000000000011</v>
      </c>
      <c r="L177" s="510">
        <f t="shared" si="59"/>
        <v>3.6399999999999992</v>
      </c>
      <c r="M177" s="510">
        <f t="shared" si="60"/>
        <v>0.93099999999999983</v>
      </c>
      <c r="N177" s="510">
        <f t="shared" si="61"/>
        <v>3.7374999999999994</v>
      </c>
      <c r="O177" s="510">
        <f t="shared" si="62"/>
        <v>2.4769499999999995</v>
      </c>
      <c r="P177" s="510">
        <f>0.25*0.7*0.4+(0.3*2+1.13*2)*0.15*0.45</f>
        <v>0.26305000000000001</v>
      </c>
      <c r="Q177" s="510">
        <f t="shared" si="63"/>
        <v>6.649999999999999E-2</v>
      </c>
      <c r="R177" s="524"/>
    </row>
    <row r="178" spans="1:18" x14ac:dyDescent="0.3">
      <c r="A178" s="523" t="s">
        <v>1191</v>
      </c>
      <c r="B178" s="159">
        <v>1</v>
      </c>
      <c r="C178" s="159" t="s">
        <v>49</v>
      </c>
      <c r="D178" s="510">
        <v>0.7</v>
      </c>
      <c r="E178" s="510">
        <v>0.7</v>
      </c>
      <c r="F178" s="510"/>
      <c r="G178" s="510"/>
      <c r="H178" s="510"/>
      <c r="I178" s="510">
        <v>0.65</v>
      </c>
      <c r="J178" s="510">
        <v>1</v>
      </c>
      <c r="K178" s="510">
        <f t="shared" si="58"/>
        <v>4.05</v>
      </c>
      <c r="L178" s="510">
        <f t="shared" si="59"/>
        <v>1.8199999999999998</v>
      </c>
      <c r="M178" s="510">
        <f t="shared" si="60"/>
        <v>0.31849999999999995</v>
      </c>
      <c r="N178" s="510">
        <f t="shared" si="61"/>
        <v>1.8589999999999995</v>
      </c>
      <c r="O178" s="510">
        <f t="shared" si="62"/>
        <v>1.3478999999999997</v>
      </c>
      <c r="P178" s="510">
        <f>0.25*0.25*0.4+(0.53*4)*0.15*0.45</f>
        <v>0.1681</v>
      </c>
      <c r="Q178" s="510">
        <f t="shared" si="63"/>
        <v>2.4499999999999997E-2</v>
      </c>
      <c r="R178" s="524"/>
    </row>
    <row r="179" spans="1:18" x14ac:dyDescent="0.3">
      <c r="A179" s="523" t="s">
        <v>1192</v>
      </c>
      <c r="B179" s="159">
        <v>1</v>
      </c>
      <c r="C179" s="159" t="s">
        <v>49</v>
      </c>
      <c r="D179" s="510">
        <v>1.9</v>
      </c>
      <c r="E179" s="510">
        <v>0.7</v>
      </c>
      <c r="F179" s="510"/>
      <c r="G179" s="510"/>
      <c r="H179" s="510"/>
      <c r="I179" s="510">
        <v>0.7</v>
      </c>
      <c r="J179" s="510">
        <v>2</v>
      </c>
      <c r="K179" s="510">
        <f t="shared" si="58"/>
        <v>8.2000000000000011</v>
      </c>
      <c r="L179" s="510">
        <f t="shared" si="59"/>
        <v>3.6399999999999992</v>
      </c>
      <c r="M179" s="510">
        <f t="shared" si="60"/>
        <v>0.93099999999999983</v>
      </c>
      <c r="N179" s="510">
        <f t="shared" si="61"/>
        <v>3.7374999999999994</v>
      </c>
      <c r="O179" s="510">
        <f t="shared" si="62"/>
        <v>2.5532249999999994</v>
      </c>
      <c r="P179" s="510">
        <f>0.25*0.7*0.4+(0.3*2+1.13)*0.15*0.45</f>
        <v>0.186775</v>
      </c>
      <c r="Q179" s="510">
        <f t="shared" si="63"/>
        <v>6.649999999999999E-2</v>
      </c>
      <c r="R179" s="524"/>
    </row>
    <row r="180" spans="1:18" x14ac:dyDescent="0.3">
      <c r="A180" s="523" t="s">
        <v>1193</v>
      </c>
      <c r="B180" s="159">
        <v>1</v>
      </c>
      <c r="C180" s="159" t="s">
        <v>49</v>
      </c>
      <c r="D180" s="510">
        <v>0.7</v>
      </c>
      <c r="E180" s="510">
        <v>0.7</v>
      </c>
      <c r="F180" s="510"/>
      <c r="G180" s="510"/>
      <c r="H180" s="510"/>
      <c r="I180" s="510">
        <v>0.65</v>
      </c>
      <c r="J180" s="510">
        <v>1</v>
      </c>
      <c r="K180" s="510">
        <f t="shared" si="58"/>
        <v>4.05</v>
      </c>
      <c r="L180" s="510">
        <f t="shared" si="59"/>
        <v>1.8199999999999998</v>
      </c>
      <c r="M180" s="510">
        <f t="shared" si="60"/>
        <v>0.31849999999999995</v>
      </c>
      <c r="N180" s="510">
        <f t="shared" si="61"/>
        <v>1.8589999999999995</v>
      </c>
      <c r="O180" s="510">
        <f t="shared" si="62"/>
        <v>1.4224749999999995</v>
      </c>
      <c r="P180" s="510">
        <f>0.15*0.4*0.4+(0.58+0.45)*0.15*0.45</f>
        <v>9.3524999999999997E-2</v>
      </c>
      <c r="Q180" s="510">
        <f t="shared" si="63"/>
        <v>2.4499999999999997E-2</v>
      </c>
      <c r="R180" s="524"/>
    </row>
    <row r="181" spans="1:18" x14ac:dyDescent="0.3">
      <c r="A181" s="523" t="s">
        <v>1194</v>
      </c>
      <c r="B181" s="159">
        <v>1</v>
      </c>
      <c r="C181" s="159" t="s">
        <v>49</v>
      </c>
      <c r="D181" s="510">
        <v>0.7</v>
      </c>
      <c r="E181" s="510">
        <v>0.7</v>
      </c>
      <c r="F181" s="510"/>
      <c r="G181" s="510"/>
      <c r="H181" s="510"/>
      <c r="I181" s="510">
        <v>0.65</v>
      </c>
      <c r="J181" s="510">
        <v>1</v>
      </c>
      <c r="K181" s="510">
        <f t="shared" si="58"/>
        <v>4.05</v>
      </c>
      <c r="L181" s="510">
        <f t="shared" si="59"/>
        <v>1.8199999999999998</v>
      </c>
      <c r="M181" s="510">
        <f t="shared" si="60"/>
        <v>0.31849999999999995</v>
      </c>
      <c r="N181" s="510">
        <f t="shared" si="61"/>
        <v>1.8589999999999995</v>
      </c>
      <c r="O181" s="510">
        <f t="shared" si="62"/>
        <v>1.3529499999999994</v>
      </c>
      <c r="P181" s="510">
        <f>0.15*0.4*0.4+(0.58*2+0.45*2)*0.15*0.45</f>
        <v>0.16305</v>
      </c>
      <c r="Q181" s="510">
        <f t="shared" si="63"/>
        <v>2.4499999999999997E-2</v>
      </c>
      <c r="R181" s="524"/>
    </row>
    <row r="182" spans="1:18" x14ac:dyDescent="0.3">
      <c r="A182" s="523" t="s">
        <v>1195</v>
      </c>
      <c r="B182" s="159">
        <v>1</v>
      </c>
      <c r="C182" s="159" t="s">
        <v>49</v>
      </c>
      <c r="D182" s="510">
        <v>0.7</v>
      </c>
      <c r="E182" s="510">
        <v>0.7</v>
      </c>
      <c r="F182" s="510"/>
      <c r="G182" s="510"/>
      <c r="H182" s="510"/>
      <c r="I182" s="510">
        <v>0.65</v>
      </c>
      <c r="J182" s="510">
        <v>1</v>
      </c>
      <c r="K182" s="510">
        <f t="shared" si="58"/>
        <v>4.05</v>
      </c>
      <c r="L182" s="510">
        <f t="shared" si="59"/>
        <v>1.8199999999999998</v>
      </c>
      <c r="M182" s="510">
        <f t="shared" si="60"/>
        <v>0.31849999999999995</v>
      </c>
      <c r="N182" s="510">
        <f t="shared" si="61"/>
        <v>1.8589999999999995</v>
      </c>
      <c r="O182" s="510">
        <f t="shared" si="62"/>
        <v>1.3920999999999997</v>
      </c>
      <c r="P182" s="510">
        <f>0.15*0.4*0.4+(0.58+0.45*2)*0.15*0.45</f>
        <v>0.12390000000000001</v>
      </c>
      <c r="Q182" s="510">
        <f t="shared" si="63"/>
        <v>2.4499999999999997E-2</v>
      </c>
      <c r="R182" s="524"/>
    </row>
    <row r="183" spans="1:18" x14ac:dyDescent="0.3">
      <c r="A183" s="523" t="s">
        <v>1196</v>
      </c>
      <c r="B183" s="159">
        <v>1</v>
      </c>
      <c r="C183" s="159" t="s">
        <v>49</v>
      </c>
      <c r="D183" s="510">
        <v>0.7</v>
      </c>
      <c r="E183" s="510">
        <v>0.7</v>
      </c>
      <c r="F183" s="510"/>
      <c r="G183" s="510"/>
      <c r="H183" s="510"/>
      <c r="I183" s="510">
        <v>0.65</v>
      </c>
      <c r="J183" s="510">
        <v>1</v>
      </c>
      <c r="K183" s="510">
        <f t="shared" si="58"/>
        <v>4.05</v>
      </c>
      <c r="L183" s="510">
        <f t="shared" si="59"/>
        <v>1.8199999999999998</v>
      </c>
      <c r="M183" s="510">
        <f t="shared" si="60"/>
        <v>0.31849999999999995</v>
      </c>
      <c r="N183" s="510">
        <f t="shared" si="61"/>
        <v>1.8589999999999995</v>
      </c>
      <c r="O183" s="510">
        <f t="shared" si="62"/>
        <v>1.4224749999999995</v>
      </c>
      <c r="P183" s="510">
        <f>0.15*0.4*0.4+(0.58+0.45)*0.15*0.45</f>
        <v>9.3524999999999997E-2</v>
      </c>
      <c r="Q183" s="510">
        <f t="shared" si="63"/>
        <v>2.4499999999999997E-2</v>
      </c>
      <c r="R183" s="524"/>
    </row>
    <row r="184" spans="1:18" x14ac:dyDescent="0.3">
      <c r="A184" s="523" t="s">
        <v>1197</v>
      </c>
      <c r="B184" s="159">
        <v>1</v>
      </c>
      <c r="C184" s="159" t="s">
        <v>49</v>
      </c>
      <c r="D184" s="510">
        <v>0.7</v>
      </c>
      <c r="E184" s="510">
        <v>0.7</v>
      </c>
      <c r="F184" s="510"/>
      <c r="G184" s="510"/>
      <c r="H184" s="510"/>
      <c r="I184" s="510">
        <v>0.65</v>
      </c>
      <c r="J184" s="510">
        <v>1</v>
      </c>
      <c r="K184" s="510">
        <f t="shared" si="58"/>
        <v>4.05</v>
      </c>
      <c r="L184" s="510">
        <f t="shared" si="59"/>
        <v>1.8199999999999998</v>
      </c>
      <c r="M184" s="510">
        <f t="shared" si="60"/>
        <v>0.31849999999999995</v>
      </c>
      <c r="N184" s="510">
        <f t="shared" si="61"/>
        <v>1.8589999999999995</v>
      </c>
      <c r="O184" s="510">
        <f t="shared" si="62"/>
        <v>1.3833249999999997</v>
      </c>
      <c r="P184" s="510">
        <f>0.15*0.4*0.4+(0.58*2+0.45)*0.15*0.45</f>
        <v>0.13267499999999999</v>
      </c>
      <c r="Q184" s="510">
        <f t="shared" si="63"/>
        <v>2.4499999999999997E-2</v>
      </c>
      <c r="R184" s="524"/>
    </row>
    <row r="185" spans="1:18" x14ac:dyDescent="0.3">
      <c r="A185" s="523" t="s">
        <v>1198</v>
      </c>
      <c r="B185" s="159">
        <v>1</v>
      </c>
      <c r="C185" s="159" t="s">
        <v>49</v>
      </c>
      <c r="D185" s="510">
        <v>2.16</v>
      </c>
      <c r="E185" s="510">
        <v>0.96</v>
      </c>
      <c r="F185" s="510"/>
      <c r="G185" s="510"/>
      <c r="H185" s="510"/>
      <c r="I185" s="510">
        <v>0.75</v>
      </c>
      <c r="J185" s="510">
        <v>1</v>
      </c>
      <c r="K185" s="510">
        <f t="shared" si="58"/>
        <v>4.1500000000000004</v>
      </c>
      <c r="L185" s="510">
        <f t="shared" si="59"/>
        <v>4.68</v>
      </c>
      <c r="M185" s="510">
        <f t="shared" si="60"/>
        <v>1.5551999999999999</v>
      </c>
      <c r="N185" s="510">
        <f t="shared" si="61"/>
        <v>5.1667200000000006</v>
      </c>
      <c r="O185" s="510">
        <f t="shared" si="62"/>
        <v>3.1646400000000008</v>
      </c>
      <c r="P185" s="510">
        <f>0.15*0.95*0.4+(1.31*3+0.31)*0.15*0.45</f>
        <v>0.34320000000000001</v>
      </c>
      <c r="Q185" s="510">
        <f t="shared" si="63"/>
        <v>0.10367999999999999</v>
      </c>
      <c r="R185" s="524"/>
    </row>
    <row r="186" spans="1:18" x14ac:dyDescent="0.3">
      <c r="A186" s="523" t="s">
        <v>1199</v>
      </c>
      <c r="B186" s="159">
        <v>1</v>
      </c>
      <c r="C186" s="159" t="s">
        <v>49</v>
      </c>
      <c r="D186" s="510">
        <v>2.16</v>
      </c>
      <c r="E186" s="510">
        <v>0.96</v>
      </c>
      <c r="F186" s="510"/>
      <c r="G186" s="510"/>
      <c r="H186" s="510"/>
      <c r="I186" s="510">
        <v>0.75</v>
      </c>
      <c r="J186" s="510">
        <v>1</v>
      </c>
      <c r="K186" s="510">
        <f t="shared" si="58"/>
        <v>4.1500000000000004</v>
      </c>
      <c r="L186" s="510">
        <f t="shared" si="59"/>
        <v>4.68</v>
      </c>
      <c r="M186" s="510">
        <f t="shared" si="60"/>
        <v>1.5551999999999999</v>
      </c>
      <c r="N186" s="510">
        <f t="shared" si="61"/>
        <v>5.1667200000000006</v>
      </c>
      <c r="O186" s="510">
        <f t="shared" si="62"/>
        <v>2.9884650000000006</v>
      </c>
      <c r="P186" s="510">
        <f>0.15*0.95*0.4+(1.31*4+0.31+0.65*2)*0.15*0.45</f>
        <v>0.51937499999999992</v>
      </c>
      <c r="Q186" s="510">
        <f t="shared" si="63"/>
        <v>0.10367999999999999</v>
      </c>
      <c r="R186" s="524"/>
    </row>
    <row r="187" spans="1:18" x14ac:dyDescent="0.3">
      <c r="A187" s="523" t="s">
        <v>1200</v>
      </c>
      <c r="B187" s="159">
        <v>1</v>
      </c>
      <c r="C187" s="159" t="s">
        <v>49</v>
      </c>
      <c r="D187" s="510">
        <v>0.7</v>
      </c>
      <c r="E187" s="510">
        <v>0.7</v>
      </c>
      <c r="F187" s="510"/>
      <c r="G187" s="510"/>
      <c r="H187" s="510"/>
      <c r="I187" s="510">
        <v>0.65</v>
      </c>
      <c r="J187" s="510">
        <v>1</v>
      </c>
      <c r="K187" s="510">
        <f t="shared" si="58"/>
        <v>4.05</v>
      </c>
      <c r="L187" s="510">
        <f t="shared" si="59"/>
        <v>1.8199999999999998</v>
      </c>
      <c r="M187" s="510">
        <f t="shared" si="60"/>
        <v>0.31849999999999995</v>
      </c>
      <c r="N187" s="510">
        <f t="shared" si="61"/>
        <v>1.8589999999999995</v>
      </c>
      <c r="O187" s="510">
        <f t="shared" si="62"/>
        <v>1.3836249999999994</v>
      </c>
      <c r="P187" s="510">
        <f>0.2*0.6*0.4+(0.35*2+0.55)*0.15*0.45</f>
        <v>0.13237500000000002</v>
      </c>
      <c r="Q187" s="510">
        <f t="shared" si="63"/>
        <v>2.4499999999999997E-2</v>
      </c>
      <c r="R187" s="524"/>
    </row>
    <row r="188" spans="1:18" x14ac:dyDescent="0.3">
      <c r="A188" s="523" t="s">
        <v>1201</v>
      </c>
      <c r="B188" s="159">
        <v>1</v>
      </c>
      <c r="C188" s="159" t="s">
        <v>49</v>
      </c>
      <c r="D188" s="510">
        <v>0.40500000000000003</v>
      </c>
      <c r="E188" s="510">
        <v>2.0099999999999998</v>
      </c>
      <c r="F188" s="510">
        <v>1.605</v>
      </c>
      <c r="G188" s="510">
        <v>1.39</v>
      </c>
      <c r="H188" s="510">
        <v>0.35</v>
      </c>
      <c r="I188" s="510">
        <v>0.7</v>
      </c>
      <c r="J188" s="510">
        <v>3</v>
      </c>
      <c r="K188" s="510">
        <f t="shared" si="58"/>
        <v>12.3</v>
      </c>
      <c r="L188" s="510">
        <f t="shared" ref="L188" si="64">(D188*3+F188*3)*I188*B188</f>
        <v>4.2209999999999992</v>
      </c>
      <c r="M188" s="510">
        <f t="shared" ref="M188" si="65">((((D188+E188)*G188)/2)+(((E188+F188)*H188)/2))*I188*B188</f>
        <v>1.6177349999999997</v>
      </c>
      <c r="N188" s="510">
        <f t="shared" ref="N188" si="66">((((D188*3.4+E188)*(G188+$Q$14))/2)+(((E188+F188+D188*3)*(H188+$Q$14))/2))*(I188+$Q$13+$Q$16)*B188</f>
        <v>5.0965297500000002</v>
      </c>
      <c r="O188" s="510">
        <f t="shared" si="62"/>
        <v>2.9511922500000005</v>
      </c>
      <c r="P188" s="510">
        <f>0.15*0.95*0.4+(1.2*2+0.8*2+0.52+0.37*2)*0.15*0.45</f>
        <v>0.41204999999999997</v>
      </c>
      <c r="Q188" s="510">
        <f t="shared" ref="Q188" si="67">((((D188+E188)*G188)/2)+(((E188+F188)*H188)/2))*$Q$16*B188</f>
        <v>0.1155525</v>
      </c>
      <c r="R188" s="524"/>
    </row>
    <row r="189" spans="1:18" x14ac:dyDescent="0.3">
      <c r="A189" s="523" t="s">
        <v>1202</v>
      </c>
      <c r="B189" s="159">
        <v>1</v>
      </c>
      <c r="C189" s="159" t="s">
        <v>49</v>
      </c>
      <c r="D189" s="510">
        <v>0.96</v>
      </c>
      <c r="E189" s="510">
        <v>0.96</v>
      </c>
      <c r="F189" s="510"/>
      <c r="G189" s="510"/>
      <c r="H189" s="510"/>
      <c r="I189" s="510">
        <v>0.85</v>
      </c>
      <c r="J189" s="510">
        <v>1</v>
      </c>
      <c r="K189" s="510">
        <f t="shared" si="43"/>
        <v>4.25</v>
      </c>
      <c r="L189" s="510">
        <f t="shared" si="44"/>
        <v>3.2639999999999998</v>
      </c>
      <c r="M189" s="510">
        <f t="shared" si="45"/>
        <v>0.78335999999999995</v>
      </c>
      <c r="N189" s="510">
        <f t="shared" si="46"/>
        <v>3.1636800000000003</v>
      </c>
      <c r="O189" s="510">
        <f t="shared" si="47"/>
        <v>2.0646150000000003</v>
      </c>
      <c r="P189" s="510">
        <f>0.15*0.95*0.4+(0.71*4+0.31)*0.15*0.45</f>
        <v>0.269625</v>
      </c>
      <c r="Q189" s="510">
        <f t="shared" si="48"/>
        <v>4.6080000000000003E-2</v>
      </c>
      <c r="R189" s="524"/>
    </row>
    <row r="190" spans="1:18" x14ac:dyDescent="0.3">
      <c r="A190" s="523" t="s">
        <v>1203</v>
      </c>
      <c r="B190" s="159">
        <v>1</v>
      </c>
      <c r="C190" s="159" t="s">
        <v>49</v>
      </c>
      <c r="D190" s="510">
        <v>2.16</v>
      </c>
      <c r="E190" s="510">
        <v>0.96</v>
      </c>
      <c r="F190" s="510"/>
      <c r="G190" s="510"/>
      <c r="H190" s="510"/>
      <c r="I190" s="510">
        <v>0.75</v>
      </c>
      <c r="J190" s="510">
        <v>1</v>
      </c>
      <c r="K190" s="510">
        <f t="shared" si="43"/>
        <v>4.1500000000000004</v>
      </c>
      <c r="L190" s="510">
        <f t="shared" si="44"/>
        <v>4.68</v>
      </c>
      <c r="M190" s="510">
        <f t="shared" si="45"/>
        <v>1.5551999999999999</v>
      </c>
      <c r="N190" s="510">
        <f t="shared" si="46"/>
        <v>5.1667200000000006</v>
      </c>
      <c r="O190" s="510">
        <f t="shared" si="47"/>
        <v>2.9884650000000006</v>
      </c>
      <c r="P190" s="510">
        <f>0.15*0.95*0.4+(1.31*4+0.31+0.65*2)*0.15*0.45</f>
        <v>0.51937499999999992</v>
      </c>
      <c r="Q190" s="510">
        <f t="shared" si="48"/>
        <v>0.10367999999999999</v>
      </c>
      <c r="R190" s="524"/>
    </row>
    <row r="191" spans="1:18" x14ac:dyDescent="0.3">
      <c r="A191" s="523" t="s">
        <v>1204</v>
      </c>
      <c r="B191" s="159">
        <v>1</v>
      </c>
      <c r="C191" s="159" t="s">
        <v>49</v>
      </c>
      <c r="D191" s="510">
        <v>0.7</v>
      </c>
      <c r="E191" s="510">
        <v>0.7</v>
      </c>
      <c r="F191" s="510"/>
      <c r="G191" s="510"/>
      <c r="H191" s="510"/>
      <c r="I191" s="510">
        <v>0.65</v>
      </c>
      <c r="J191" s="510">
        <v>1</v>
      </c>
      <c r="K191" s="510">
        <f t="shared" si="43"/>
        <v>4.05</v>
      </c>
      <c r="L191" s="510">
        <f t="shared" si="44"/>
        <v>1.8199999999999998</v>
      </c>
      <c r="M191" s="510">
        <f t="shared" si="45"/>
        <v>0.31849999999999995</v>
      </c>
      <c r="N191" s="510">
        <f t="shared" si="46"/>
        <v>1.8589999999999995</v>
      </c>
      <c r="O191" s="510">
        <f t="shared" si="47"/>
        <v>1.3836249999999994</v>
      </c>
      <c r="P191" s="510">
        <f>0.2*0.6*0.4+(0.35*2+0.55)*0.15*0.45</f>
        <v>0.13237500000000002</v>
      </c>
      <c r="Q191" s="510">
        <f t="shared" si="48"/>
        <v>2.4499999999999997E-2</v>
      </c>
      <c r="R191" s="524"/>
    </row>
    <row r="192" spans="1:18" x14ac:dyDescent="0.3">
      <c r="A192" s="523" t="s">
        <v>1205</v>
      </c>
      <c r="B192" s="159">
        <v>1</v>
      </c>
      <c r="C192" s="159" t="s">
        <v>49</v>
      </c>
      <c r="D192" s="510">
        <v>0.40500000000000003</v>
      </c>
      <c r="E192" s="510">
        <v>2.0099999999999998</v>
      </c>
      <c r="F192" s="510">
        <v>1.605</v>
      </c>
      <c r="G192" s="510">
        <v>1.39</v>
      </c>
      <c r="H192" s="510">
        <v>0.35</v>
      </c>
      <c r="I192" s="510">
        <v>0.7</v>
      </c>
      <c r="J192" s="510">
        <v>3</v>
      </c>
      <c r="K192" s="510">
        <f t="shared" si="43"/>
        <v>12.3</v>
      </c>
      <c r="L192" s="510">
        <f t="shared" ref="L192:L193" si="68">(D192*3+F192*3)*I192*B192</f>
        <v>4.2209999999999992</v>
      </c>
      <c r="M192" s="510">
        <f t="shared" ref="M192:M193" si="69">((((D192+E192)*G192)/2)+(((E192+F192)*H192)/2))*I192*B192</f>
        <v>1.6177349999999997</v>
      </c>
      <c r="N192" s="510">
        <f t="shared" ref="N192:N193" si="70">((((D192*3.4+E192)*(G192+$Q$14))/2)+(((E192+F192+D192*3)*(H192+$Q$14))/2))*(I192+$Q$13+$Q$16)*B192</f>
        <v>5.0965297500000002</v>
      </c>
      <c r="O192" s="510">
        <f t="shared" si="47"/>
        <v>2.9511922500000005</v>
      </c>
      <c r="P192" s="510">
        <f>0.15*0.95*0.4+(1.2*2+0.8*2+0.52+0.37*2)*0.15*0.45</f>
        <v>0.41204999999999997</v>
      </c>
      <c r="Q192" s="510">
        <f t="shared" ref="Q192:Q193" si="71">((((D192+E192)*G192)/2)+(((E192+F192)*H192)/2))*$Q$16*B192</f>
        <v>0.1155525</v>
      </c>
      <c r="R192" s="524"/>
    </row>
    <row r="193" spans="1:18" ht="15" thickBot="1" x14ac:dyDescent="0.35">
      <c r="A193" s="523" t="s">
        <v>1206</v>
      </c>
      <c r="B193" s="159">
        <v>1</v>
      </c>
      <c r="C193" s="159" t="s">
        <v>49</v>
      </c>
      <c r="D193" s="510">
        <v>0.40500000000000003</v>
      </c>
      <c r="E193" s="510">
        <v>2.0099999999999998</v>
      </c>
      <c r="F193" s="510">
        <v>1.605</v>
      </c>
      <c r="G193" s="510">
        <v>1.39</v>
      </c>
      <c r="H193" s="510">
        <v>0.35</v>
      </c>
      <c r="I193" s="510">
        <v>0.7</v>
      </c>
      <c r="J193" s="510">
        <v>3</v>
      </c>
      <c r="K193" s="510">
        <f t="shared" si="43"/>
        <v>12.3</v>
      </c>
      <c r="L193" s="510">
        <f t="shared" si="68"/>
        <v>4.2209999999999992</v>
      </c>
      <c r="M193" s="510">
        <f t="shared" si="69"/>
        <v>1.6177349999999997</v>
      </c>
      <c r="N193" s="510">
        <f t="shared" si="70"/>
        <v>5.0965297500000002</v>
      </c>
      <c r="O193" s="510">
        <f t="shared" si="47"/>
        <v>3.0812672500000007</v>
      </c>
      <c r="P193" s="510">
        <f>0.25*0.95*0.4+(1.15+0.75+0.87)*0.15*0.45</f>
        <v>0.28197499999999998</v>
      </c>
      <c r="Q193" s="510">
        <f t="shared" si="71"/>
        <v>0.1155525</v>
      </c>
      <c r="R193" s="524"/>
    </row>
    <row r="194" spans="1:18" x14ac:dyDescent="0.3">
      <c r="A194" s="609" t="s">
        <v>951</v>
      </c>
      <c r="B194" s="609"/>
      <c r="C194" s="609"/>
      <c r="D194" s="609"/>
      <c r="E194" s="609"/>
      <c r="F194" s="609"/>
      <c r="G194" s="609"/>
      <c r="H194" s="609"/>
      <c r="I194" s="609"/>
      <c r="J194" s="609"/>
      <c r="K194" s="609"/>
      <c r="L194" s="609"/>
      <c r="M194" s="609"/>
      <c r="N194" s="609"/>
      <c r="O194" s="609"/>
      <c r="P194" s="609"/>
      <c r="Q194" s="610"/>
      <c r="R194" s="471"/>
    </row>
    <row r="195" spans="1:18" x14ac:dyDescent="0.3">
      <c r="A195" s="523" t="s">
        <v>1208</v>
      </c>
      <c r="B195" s="159">
        <v>1</v>
      </c>
      <c r="C195" s="159" t="s">
        <v>49</v>
      </c>
      <c r="D195" s="510">
        <v>0.7</v>
      </c>
      <c r="E195" s="510">
        <v>0.7</v>
      </c>
      <c r="F195" s="510"/>
      <c r="G195" s="510"/>
      <c r="H195" s="510"/>
      <c r="I195" s="510">
        <v>0.65</v>
      </c>
      <c r="J195" s="510">
        <v>1</v>
      </c>
      <c r="K195" s="510">
        <f t="shared" si="43"/>
        <v>4.05</v>
      </c>
      <c r="L195" s="510">
        <f t="shared" si="44"/>
        <v>1.8199999999999998</v>
      </c>
      <c r="M195" s="510">
        <f t="shared" si="45"/>
        <v>0.31849999999999995</v>
      </c>
      <c r="N195" s="510">
        <f t="shared" si="46"/>
        <v>1.8589999999999995</v>
      </c>
      <c r="O195" s="510">
        <f t="shared" si="47"/>
        <v>1.3861249999999996</v>
      </c>
      <c r="P195" s="510">
        <f>0.2*0.4*0.4+(0.45*2+0.55)*0.15*0.45</f>
        <v>0.12987500000000002</v>
      </c>
      <c r="Q195" s="510">
        <f t="shared" si="48"/>
        <v>2.4499999999999997E-2</v>
      </c>
      <c r="R195" s="524"/>
    </row>
    <row r="196" spans="1:18" x14ac:dyDescent="0.3">
      <c r="A196" s="523" t="s">
        <v>1209</v>
      </c>
      <c r="B196" s="159">
        <v>1</v>
      </c>
      <c r="C196" s="159" t="s">
        <v>49</v>
      </c>
      <c r="D196" s="510">
        <v>0.7</v>
      </c>
      <c r="E196" s="510">
        <v>0.7</v>
      </c>
      <c r="F196" s="510"/>
      <c r="G196" s="510"/>
      <c r="H196" s="510"/>
      <c r="I196" s="510">
        <v>0.65</v>
      </c>
      <c r="J196" s="510">
        <v>1</v>
      </c>
      <c r="K196" s="510">
        <f t="shared" si="43"/>
        <v>4.05</v>
      </c>
      <c r="L196" s="510">
        <f t="shared" si="44"/>
        <v>1.8199999999999998</v>
      </c>
      <c r="M196" s="510">
        <f t="shared" si="45"/>
        <v>0.31849999999999995</v>
      </c>
      <c r="N196" s="510">
        <f t="shared" si="46"/>
        <v>1.8589999999999995</v>
      </c>
      <c r="O196" s="510">
        <f t="shared" si="47"/>
        <v>1.3861249999999996</v>
      </c>
      <c r="P196" s="510">
        <f>0.2*0.4*0.4+(0.45*2+0.55)*0.15*0.45</f>
        <v>0.12987500000000002</v>
      </c>
      <c r="Q196" s="510">
        <f t="shared" si="48"/>
        <v>2.4499999999999997E-2</v>
      </c>
      <c r="R196" s="524"/>
    </row>
    <row r="197" spans="1:18" x14ac:dyDescent="0.3">
      <c r="A197" s="523" t="s">
        <v>1210</v>
      </c>
      <c r="B197" s="159">
        <v>1</v>
      </c>
      <c r="C197" s="159" t="s">
        <v>49</v>
      </c>
      <c r="D197" s="510">
        <v>0.7</v>
      </c>
      <c r="E197" s="510">
        <v>0.7</v>
      </c>
      <c r="F197" s="510"/>
      <c r="G197" s="510"/>
      <c r="H197" s="510"/>
      <c r="I197" s="510">
        <v>0.65</v>
      </c>
      <c r="J197" s="510">
        <v>1</v>
      </c>
      <c r="K197" s="510">
        <f t="shared" si="43"/>
        <v>4.05</v>
      </c>
      <c r="L197" s="510">
        <f t="shared" si="44"/>
        <v>1.8199999999999998</v>
      </c>
      <c r="M197" s="510">
        <f t="shared" si="45"/>
        <v>0.31849999999999995</v>
      </c>
      <c r="N197" s="510">
        <f t="shared" si="46"/>
        <v>1.8589999999999995</v>
      </c>
      <c r="O197" s="510">
        <f t="shared" si="47"/>
        <v>1.3861249999999996</v>
      </c>
      <c r="P197" s="510">
        <f>0.2*0.4*0.4+(0.45*2+0.55)*0.15*0.45</f>
        <v>0.12987500000000002</v>
      </c>
      <c r="Q197" s="510">
        <f t="shared" si="48"/>
        <v>2.4499999999999997E-2</v>
      </c>
      <c r="R197" s="524"/>
    </row>
    <row r="198" spans="1:18" x14ac:dyDescent="0.3">
      <c r="A198" s="523" t="s">
        <v>1211</v>
      </c>
      <c r="B198" s="159">
        <v>1</v>
      </c>
      <c r="C198" s="159" t="s">
        <v>49</v>
      </c>
      <c r="D198" s="510">
        <v>0.7</v>
      </c>
      <c r="E198" s="510">
        <v>0.7</v>
      </c>
      <c r="F198" s="510"/>
      <c r="G198" s="510"/>
      <c r="H198" s="510"/>
      <c r="I198" s="510">
        <v>0.65</v>
      </c>
      <c r="J198" s="510">
        <v>1</v>
      </c>
      <c r="K198" s="510">
        <f t="shared" si="37"/>
        <v>4.05</v>
      </c>
      <c r="L198" s="510">
        <f t="shared" si="38"/>
        <v>1.8199999999999998</v>
      </c>
      <c r="M198" s="510">
        <f t="shared" si="39"/>
        <v>0.31849999999999995</v>
      </c>
      <c r="N198" s="510">
        <f t="shared" si="40"/>
        <v>1.8589999999999995</v>
      </c>
      <c r="O198" s="510">
        <f t="shared" si="41"/>
        <v>1.4164999999999996</v>
      </c>
      <c r="P198" s="510">
        <f>0.2*0.4*0.4+(0.45+0.55)*0.15*0.45</f>
        <v>9.9500000000000005E-2</v>
      </c>
      <c r="Q198" s="510">
        <f t="shared" si="42"/>
        <v>2.4499999999999997E-2</v>
      </c>
      <c r="R198" s="524"/>
    </row>
    <row r="199" spans="1:18" x14ac:dyDescent="0.3">
      <c r="A199" s="523" t="s">
        <v>1212</v>
      </c>
      <c r="B199" s="159">
        <v>1</v>
      </c>
      <c r="C199" s="159" t="s">
        <v>49</v>
      </c>
      <c r="D199" s="510">
        <v>0.7</v>
      </c>
      <c r="E199" s="510">
        <v>0.7</v>
      </c>
      <c r="F199" s="510"/>
      <c r="G199" s="510"/>
      <c r="H199" s="510"/>
      <c r="I199" s="510">
        <v>0.65</v>
      </c>
      <c r="J199" s="510">
        <v>1</v>
      </c>
      <c r="K199" s="510">
        <f t="shared" si="37"/>
        <v>4.05</v>
      </c>
      <c r="L199" s="510">
        <f t="shared" si="38"/>
        <v>1.8199999999999998</v>
      </c>
      <c r="M199" s="510">
        <f t="shared" si="39"/>
        <v>0.31849999999999995</v>
      </c>
      <c r="N199" s="510">
        <f t="shared" si="40"/>
        <v>1.8589999999999995</v>
      </c>
      <c r="O199" s="510">
        <f t="shared" si="41"/>
        <v>1.3127499999999994</v>
      </c>
      <c r="P199" s="510">
        <f>0.3*0.4*0.4+(0.45*2)*0.3*0.45+(0.5)*0.15*0.45</f>
        <v>0.20325000000000001</v>
      </c>
      <c r="Q199" s="510">
        <f t="shared" si="42"/>
        <v>2.4499999999999997E-2</v>
      </c>
      <c r="R199" s="524"/>
    </row>
    <row r="200" spans="1:18" x14ac:dyDescent="0.3">
      <c r="A200" s="523" t="s">
        <v>1213</v>
      </c>
      <c r="B200" s="159">
        <v>1</v>
      </c>
      <c r="C200" s="159" t="s">
        <v>49</v>
      </c>
      <c r="D200" s="510">
        <v>0.7</v>
      </c>
      <c r="E200" s="510">
        <v>0.7</v>
      </c>
      <c r="F200" s="510"/>
      <c r="G200" s="510"/>
      <c r="H200" s="510"/>
      <c r="I200" s="510">
        <v>0.65</v>
      </c>
      <c r="J200" s="510">
        <v>1</v>
      </c>
      <c r="K200" s="510">
        <f t="shared" si="37"/>
        <v>4.05</v>
      </c>
      <c r="L200" s="510">
        <f t="shared" si="38"/>
        <v>1.8199999999999998</v>
      </c>
      <c r="M200" s="510">
        <f t="shared" si="39"/>
        <v>0.31849999999999995</v>
      </c>
      <c r="N200" s="510">
        <f t="shared" si="40"/>
        <v>1.8589999999999995</v>
      </c>
      <c r="O200" s="510">
        <f t="shared" si="41"/>
        <v>1.3127499999999994</v>
      </c>
      <c r="P200" s="510">
        <f>0.3*0.4*0.4+(0.45*2)*0.3*0.45+(0.5)*0.15*0.45</f>
        <v>0.20325000000000001</v>
      </c>
      <c r="Q200" s="510">
        <f t="shared" si="42"/>
        <v>2.4499999999999997E-2</v>
      </c>
      <c r="R200" s="524"/>
    </row>
    <row r="201" spans="1:18" x14ac:dyDescent="0.3">
      <c r="A201" s="523" t="s">
        <v>1214</v>
      </c>
      <c r="B201" s="159">
        <v>1</v>
      </c>
      <c r="C201" s="159" t="s">
        <v>49</v>
      </c>
      <c r="D201" s="510">
        <v>0.7</v>
      </c>
      <c r="E201" s="510">
        <v>0.7</v>
      </c>
      <c r="F201" s="510"/>
      <c r="G201" s="510"/>
      <c r="H201" s="510"/>
      <c r="I201" s="510">
        <v>0.65</v>
      </c>
      <c r="J201" s="510">
        <v>1</v>
      </c>
      <c r="K201" s="510">
        <f t="shared" si="37"/>
        <v>4.05</v>
      </c>
      <c r="L201" s="510">
        <f t="shared" si="38"/>
        <v>1.8199999999999998</v>
      </c>
      <c r="M201" s="510">
        <f t="shared" si="39"/>
        <v>0.31849999999999995</v>
      </c>
      <c r="N201" s="510">
        <f t="shared" si="40"/>
        <v>1.8589999999999995</v>
      </c>
      <c r="O201" s="510">
        <f t="shared" si="41"/>
        <v>1.3793749999999996</v>
      </c>
      <c r="P201" s="510">
        <f>0.2*0.4*0.4+(0.55*2+0.45)*0.15*0.45</f>
        <v>0.136625</v>
      </c>
      <c r="Q201" s="510">
        <f t="shared" si="42"/>
        <v>2.4499999999999997E-2</v>
      </c>
      <c r="R201" s="524"/>
    </row>
    <row r="202" spans="1:18" x14ac:dyDescent="0.3">
      <c r="A202" s="523" t="s">
        <v>1215</v>
      </c>
      <c r="B202" s="159">
        <v>1</v>
      </c>
      <c r="C202" s="159" t="s">
        <v>49</v>
      </c>
      <c r="D202" s="510">
        <v>0.7</v>
      </c>
      <c r="E202" s="510">
        <v>0.7</v>
      </c>
      <c r="F202" s="510"/>
      <c r="G202" s="510"/>
      <c r="H202" s="510"/>
      <c r="I202" s="510">
        <v>0.65</v>
      </c>
      <c r="J202" s="510">
        <v>1</v>
      </c>
      <c r="K202" s="510">
        <f t="shared" si="37"/>
        <v>4.05</v>
      </c>
      <c r="L202" s="510">
        <f t="shared" si="38"/>
        <v>1.8199999999999998</v>
      </c>
      <c r="M202" s="510">
        <f t="shared" si="39"/>
        <v>0.31849999999999995</v>
      </c>
      <c r="N202" s="510">
        <f>(D202+$Q$14*2)*(E202+$Q$14*2)*(I202+$Q$16+$Q$13)-0.33*1.05*1.1</f>
        <v>1.4778499999999994</v>
      </c>
      <c r="O202" s="510">
        <f t="shared" si="41"/>
        <v>1.0244499999999994</v>
      </c>
      <c r="P202" s="510">
        <f>0.15*0.4*0.4+(0.25+0.58+0.45)*0.15*0.45</f>
        <v>0.1104</v>
      </c>
      <c r="Q202" s="510">
        <f t="shared" si="42"/>
        <v>2.4499999999999997E-2</v>
      </c>
      <c r="R202" s="524"/>
    </row>
    <row r="203" spans="1:18" x14ac:dyDescent="0.3">
      <c r="A203" s="523" t="s">
        <v>1216</v>
      </c>
      <c r="B203" s="159">
        <v>1</v>
      </c>
      <c r="C203" s="159" t="s">
        <v>49</v>
      </c>
      <c r="D203" s="510">
        <v>0.7</v>
      </c>
      <c r="E203" s="510">
        <v>0.7</v>
      </c>
      <c r="F203" s="510"/>
      <c r="G203" s="510"/>
      <c r="H203" s="510"/>
      <c r="I203" s="510">
        <v>0.65</v>
      </c>
      <c r="J203" s="510">
        <v>1</v>
      </c>
      <c r="K203" s="510">
        <f t="shared" si="37"/>
        <v>4.05</v>
      </c>
      <c r="L203" s="510">
        <f t="shared" si="38"/>
        <v>1.8199999999999998</v>
      </c>
      <c r="M203" s="510">
        <f t="shared" si="39"/>
        <v>0.31849999999999995</v>
      </c>
      <c r="N203" s="510">
        <f t="shared" si="40"/>
        <v>1.8589999999999995</v>
      </c>
      <c r="O203" s="510">
        <f t="shared" si="41"/>
        <v>1.3861249999999996</v>
      </c>
      <c r="P203" s="510">
        <f>0.2*0.4*0.4+(0.45*2+0.55)*0.15*0.45</f>
        <v>0.12987500000000002</v>
      </c>
      <c r="Q203" s="510">
        <f t="shared" si="42"/>
        <v>2.4499999999999997E-2</v>
      </c>
      <c r="R203" s="524"/>
    </row>
    <row r="204" spans="1:18" x14ac:dyDescent="0.3">
      <c r="A204" s="523" t="s">
        <v>1217</v>
      </c>
      <c r="B204" s="159">
        <v>1</v>
      </c>
      <c r="C204" s="159" t="s">
        <v>49</v>
      </c>
      <c r="D204" s="510">
        <v>0.7</v>
      </c>
      <c r="E204" s="510">
        <v>0.7</v>
      </c>
      <c r="F204" s="510"/>
      <c r="G204" s="510"/>
      <c r="H204" s="510"/>
      <c r="I204" s="510">
        <v>0.65</v>
      </c>
      <c r="J204" s="510">
        <v>1</v>
      </c>
      <c r="K204" s="510">
        <f t="shared" si="37"/>
        <v>4.05</v>
      </c>
      <c r="L204" s="510">
        <f t="shared" si="38"/>
        <v>1.8199999999999998</v>
      </c>
      <c r="M204" s="510">
        <f t="shared" si="39"/>
        <v>0.31849999999999995</v>
      </c>
      <c r="N204" s="510">
        <f t="shared" si="40"/>
        <v>1.8589999999999995</v>
      </c>
      <c r="O204" s="510">
        <f t="shared" si="41"/>
        <v>1.3529499999999994</v>
      </c>
      <c r="P204" s="510">
        <f>0.15*0.4*0.4+(0.45*2+0.58*2)*0.15*0.45</f>
        <v>0.16305</v>
      </c>
      <c r="Q204" s="510">
        <f t="shared" si="42"/>
        <v>2.4499999999999997E-2</v>
      </c>
      <c r="R204" s="524"/>
    </row>
    <row r="205" spans="1:18" x14ac:dyDescent="0.3">
      <c r="A205" s="523" t="s">
        <v>1218</v>
      </c>
      <c r="B205" s="159">
        <v>1</v>
      </c>
      <c r="C205" s="159" t="s">
        <v>49</v>
      </c>
      <c r="D205" s="510">
        <v>0.7</v>
      </c>
      <c r="E205" s="510">
        <v>0.7</v>
      </c>
      <c r="F205" s="510"/>
      <c r="G205" s="510"/>
      <c r="H205" s="510"/>
      <c r="I205" s="510">
        <v>0.65</v>
      </c>
      <c r="J205" s="510">
        <v>1</v>
      </c>
      <c r="K205" s="510">
        <f t="shared" si="37"/>
        <v>4.05</v>
      </c>
      <c r="L205" s="510">
        <f t="shared" si="38"/>
        <v>1.8199999999999998</v>
      </c>
      <c r="M205" s="510">
        <f t="shared" si="39"/>
        <v>0.31849999999999995</v>
      </c>
      <c r="N205" s="510">
        <f t="shared" si="40"/>
        <v>1.8589999999999995</v>
      </c>
      <c r="O205" s="510">
        <f t="shared" si="41"/>
        <v>1.3861249999999996</v>
      </c>
      <c r="P205" s="510">
        <f>0.2*0.4*0.4+(0.45*2+0.55)*0.15*0.45</f>
        <v>0.12987500000000002</v>
      </c>
      <c r="Q205" s="510">
        <f t="shared" si="42"/>
        <v>2.4499999999999997E-2</v>
      </c>
      <c r="R205" s="524"/>
    </row>
    <row r="206" spans="1:18" x14ac:dyDescent="0.3">
      <c r="A206" s="523" t="s">
        <v>1219</v>
      </c>
      <c r="B206" s="159">
        <v>1</v>
      </c>
      <c r="C206" s="159" t="s">
        <v>49</v>
      </c>
      <c r="D206" s="510">
        <v>0.7</v>
      </c>
      <c r="E206" s="510">
        <v>0.7</v>
      </c>
      <c r="F206" s="510"/>
      <c r="G206" s="510"/>
      <c r="H206" s="510"/>
      <c r="I206" s="510">
        <v>0.65</v>
      </c>
      <c r="J206" s="510">
        <v>1</v>
      </c>
      <c r="K206" s="510">
        <f t="shared" si="37"/>
        <v>4.05</v>
      </c>
      <c r="L206" s="510">
        <f t="shared" si="38"/>
        <v>1.8199999999999998</v>
      </c>
      <c r="M206" s="510">
        <f t="shared" si="39"/>
        <v>0.31849999999999995</v>
      </c>
      <c r="N206" s="510">
        <f t="shared" si="40"/>
        <v>1.8589999999999995</v>
      </c>
      <c r="O206" s="510">
        <f t="shared" si="41"/>
        <v>1.3833249999999997</v>
      </c>
      <c r="P206" s="510">
        <f>0.15*0.4*0.4+(0.45+0.58*2)*0.15*0.45</f>
        <v>0.13267499999999999</v>
      </c>
      <c r="Q206" s="510">
        <f t="shared" si="42"/>
        <v>2.4499999999999997E-2</v>
      </c>
      <c r="R206" s="524"/>
    </row>
    <row r="207" spans="1:18" x14ac:dyDescent="0.3">
      <c r="A207" s="523" t="s">
        <v>1220</v>
      </c>
      <c r="B207" s="159">
        <v>1</v>
      </c>
      <c r="C207" s="159" t="s">
        <v>49</v>
      </c>
      <c r="D207" s="510">
        <v>0.7</v>
      </c>
      <c r="E207" s="510">
        <v>0.7</v>
      </c>
      <c r="F207" s="510"/>
      <c r="G207" s="510"/>
      <c r="H207" s="510"/>
      <c r="I207" s="510">
        <v>0.65</v>
      </c>
      <c r="J207" s="510">
        <v>1</v>
      </c>
      <c r="K207" s="510">
        <f t="shared" si="37"/>
        <v>4.05</v>
      </c>
      <c r="L207" s="510">
        <f t="shared" si="38"/>
        <v>1.8199999999999998</v>
      </c>
      <c r="M207" s="510">
        <f t="shared" si="39"/>
        <v>0.31849999999999995</v>
      </c>
      <c r="N207" s="510">
        <f t="shared" si="40"/>
        <v>1.8589999999999995</v>
      </c>
      <c r="O207" s="510">
        <f t="shared" si="41"/>
        <v>1.3861249999999996</v>
      </c>
      <c r="P207" s="510">
        <f>0.2*0.4*0.4+(0.45*2+0.55)*0.15*0.45</f>
        <v>0.12987500000000002</v>
      </c>
      <c r="Q207" s="510">
        <f t="shared" si="42"/>
        <v>2.4499999999999997E-2</v>
      </c>
      <c r="R207" s="524"/>
    </row>
    <row r="208" spans="1:18" x14ac:dyDescent="0.3">
      <c r="A208" s="523" t="s">
        <v>1221</v>
      </c>
      <c r="B208" s="159">
        <v>1</v>
      </c>
      <c r="C208" s="159" t="s">
        <v>49</v>
      </c>
      <c r="D208" s="510">
        <v>0.7</v>
      </c>
      <c r="E208" s="510">
        <v>0.7</v>
      </c>
      <c r="F208" s="510"/>
      <c r="G208" s="510"/>
      <c r="H208" s="510"/>
      <c r="I208" s="510">
        <v>0.65</v>
      </c>
      <c r="J208" s="510">
        <v>1</v>
      </c>
      <c r="K208" s="510">
        <f t="shared" si="37"/>
        <v>4.05</v>
      </c>
      <c r="L208" s="510">
        <f t="shared" si="38"/>
        <v>1.8199999999999998</v>
      </c>
      <c r="M208" s="510">
        <f t="shared" si="39"/>
        <v>0.31849999999999995</v>
      </c>
      <c r="N208" s="510">
        <f t="shared" si="40"/>
        <v>1.8589999999999995</v>
      </c>
      <c r="O208" s="510">
        <f t="shared" si="41"/>
        <v>1.3127499999999994</v>
      </c>
      <c r="P208" s="510">
        <f>0.3*0.4*0.4+(0.45*2)*0.3*0.45+(0.5)*0.15*0.45</f>
        <v>0.20325000000000001</v>
      </c>
      <c r="Q208" s="510">
        <f t="shared" si="42"/>
        <v>2.4499999999999997E-2</v>
      </c>
      <c r="R208" s="524"/>
    </row>
    <row r="209" spans="1:18" x14ac:dyDescent="0.3">
      <c r="A209" s="523" t="s">
        <v>1222</v>
      </c>
      <c r="B209" s="159">
        <v>1</v>
      </c>
      <c r="C209" s="159" t="s">
        <v>49</v>
      </c>
      <c r="D209" s="510">
        <v>0.7</v>
      </c>
      <c r="E209" s="510">
        <v>0.7</v>
      </c>
      <c r="F209" s="510"/>
      <c r="G209" s="510"/>
      <c r="H209" s="510"/>
      <c r="I209" s="510">
        <v>0.65</v>
      </c>
      <c r="J209" s="510">
        <v>1</v>
      </c>
      <c r="K209" s="510">
        <f t="shared" si="37"/>
        <v>4.05</v>
      </c>
      <c r="L209" s="510">
        <f t="shared" si="38"/>
        <v>1.8199999999999998</v>
      </c>
      <c r="M209" s="510">
        <f t="shared" si="39"/>
        <v>0.31849999999999995</v>
      </c>
      <c r="N209" s="510">
        <f t="shared" si="40"/>
        <v>1.8589999999999995</v>
      </c>
      <c r="O209" s="510">
        <f t="shared" si="41"/>
        <v>1.3920999999999997</v>
      </c>
      <c r="P209" s="510">
        <f>0.15*0.4*0.4+(0.58+0.45*2)*0.15*0.45</f>
        <v>0.12390000000000001</v>
      </c>
      <c r="Q209" s="510">
        <f t="shared" si="42"/>
        <v>2.4499999999999997E-2</v>
      </c>
      <c r="R209" s="524"/>
    </row>
    <row r="210" spans="1:18" x14ac:dyDescent="0.3">
      <c r="A210" s="523" t="s">
        <v>1223</v>
      </c>
      <c r="B210" s="159">
        <v>1</v>
      </c>
      <c r="C210" s="159" t="s">
        <v>49</v>
      </c>
      <c r="D210" s="510">
        <v>0.7</v>
      </c>
      <c r="E210" s="510">
        <v>0.7</v>
      </c>
      <c r="F210" s="510"/>
      <c r="G210" s="510"/>
      <c r="H210" s="510"/>
      <c r="I210" s="510">
        <v>0.65</v>
      </c>
      <c r="J210" s="510">
        <v>1</v>
      </c>
      <c r="K210" s="510">
        <f t="shared" si="37"/>
        <v>4.05</v>
      </c>
      <c r="L210" s="510">
        <f t="shared" si="38"/>
        <v>1.8199999999999998</v>
      </c>
      <c r="M210" s="510">
        <f t="shared" si="39"/>
        <v>0.31849999999999995</v>
      </c>
      <c r="N210" s="510">
        <f t="shared" si="40"/>
        <v>1.8589999999999995</v>
      </c>
      <c r="O210" s="510">
        <f t="shared" si="41"/>
        <v>1.3529499999999994</v>
      </c>
      <c r="P210" s="510">
        <f>0.15*0.4*0.4+(0.45*2+0.58*2)*0.15*0.45</f>
        <v>0.16305</v>
      </c>
      <c r="Q210" s="510">
        <f t="shared" si="42"/>
        <v>2.4499999999999997E-2</v>
      </c>
      <c r="R210" s="524"/>
    </row>
    <row r="211" spans="1:18" x14ac:dyDescent="0.3">
      <c r="A211" s="523" t="s">
        <v>1224</v>
      </c>
      <c r="B211" s="159">
        <v>1</v>
      </c>
      <c r="C211" s="159" t="s">
        <v>49</v>
      </c>
      <c r="D211" s="510">
        <v>0.7</v>
      </c>
      <c r="E211" s="510">
        <v>0.7</v>
      </c>
      <c r="F211" s="510"/>
      <c r="G211" s="510"/>
      <c r="H211" s="510"/>
      <c r="I211" s="510">
        <v>0.65</v>
      </c>
      <c r="J211" s="510">
        <v>1</v>
      </c>
      <c r="K211" s="510">
        <f t="shared" si="37"/>
        <v>4.05</v>
      </c>
      <c r="L211" s="510">
        <f t="shared" si="38"/>
        <v>1.8199999999999998</v>
      </c>
      <c r="M211" s="510">
        <f t="shared" si="39"/>
        <v>0.31849999999999995</v>
      </c>
      <c r="N211" s="510">
        <f t="shared" si="40"/>
        <v>1.8589999999999995</v>
      </c>
      <c r="O211" s="510">
        <f t="shared" si="41"/>
        <v>1.3861249999999996</v>
      </c>
      <c r="P211" s="510">
        <f>0.2*0.4*0.4+(0.45*2+0.55)*0.15*0.45</f>
        <v>0.12987500000000002</v>
      </c>
      <c r="Q211" s="510">
        <f t="shared" si="42"/>
        <v>2.4499999999999997E-2</v>
      </c>
      <c r="R211" s="524"/>
    </row>
    <row r="212" spans="1:18" x14ac:dyDescent="0.3">
      <c r="A212" s="523" t="s">
        <v>1225</v>
      </c>
      <c r="B212" s="159">
        <v>1</v>
      </c>
      <c r="C212" s="159" t="s">
        <v>49</v>
      </c>
      <c r="D212" s="510">
        <v>0.7</v>
      </c>
      <c r="E212" s="510">
        <v>0.7</v>
      </c>
      <c r="F212" s="510"/>
      <c r="G212" s="510"/>
      <c r="H212" s="510"/>
      <c r="I212" s="510">
        <v>0.65</v>
      </c>
      <c r="J212" s="510">
        <v>1</v>
      </c>
      <c r="K212" s="510">
        <f t="shared" si="37"/>
        <v>4.05</v>
      </c>
      <c r="L212" s="510">
        <f t="shared" si="38"/>
        <v>1.8199999999999998</v>
      </c>
      <c r="M212" s="510">
        <f t="shared" si="39"/>
        <v>0.31849999999999995</v>
      </c>
      <c r="N212" s="510">
        <f t="shared" si="40"/>
        <v>1.8589999999999995</v>
      </c>
      <c r="O212" s="510">
        <f t="shared" si="41"/>
        <v>1.3093749999999995</v>
      </c>
      <c r="P212" s="510">
        <f>0.3*0.4*0.4+(0.45)*0.3*0.45+(0.5*2+0.45)*0.15*0.45</f>
        <v>0.206625</v>
      </c>
      <c r="Q212" s="510">
        <f t="shared" si="42"/>
        <v>2.4499999999999997E-2</v>
      </c>
      <c r="R212" s="524"/>
    </row>
    <row r="213" spans="1:18" x14ac:dyDescent="0.3">
      <c r="A213" s="523" t="s">
        <v>1226</v>
      </c>
      <c r="B213" s="159">
        <v>1</v>
      </c>
      <c r="C213" s="159" t="s">
        <v>49</v>
      </c>
      <c r="D213" s="510">
        <v>0.7</v>
      </c>
      <c r="E213" s="510">
        <v>0.7</v>
      </c>
      <c r="F213" s="510"/>
      <c r="G213" s="510"/>
      <c r="H213" s="510"/>
      <c r="I213" s="510">
        <v>0.65</v>
      </c>
      <c r="J213" s="510">
        <v>1</v>
      </c>
      <c r="K213" s="510">
        <f t="shared" si="37"/>
        <v>4.05</v>
      </c>
      <c r="L213" s="510">
        <f t="shared" si="38"/>
        <v>1.8199999999999998</v>
      </c>
      <c r="M213" s="510">
        <f t="shared" si="39"/>
        <v>0.31849999999999995</v>
      </c>
      <c r="N213" s="510">
        <f t="shared" si="40"/>
        <v>1.8589999999999995</v>
      </c>
      <c r="O213" s="510">
        <f t="shared" si="41"/>
        <v>1.3836249999999994</v>
      </c>
      <c r="P213" s="510">
        <f>0.2*0.6*0.4+(0.35*2+0.55)*0.15*0.45</f>
        <v>0.13237500000000002</v>
      </c>
      <c r="Q213" s="510">
        <f t="shared" si="42"/>
        <v>2.4499999999999997E-2</v>
      </c>
      <c r="R213" s="524"/>
    </row>
    <row r="214" spans="1:18" x14ac:dyDescent="0.3">
      <c r="A214" s="523" t="s">
        <v>1227</v>
      </c>
      <c r="B214" s="159">
        <v>1</v>
      </c>
      <c r="C214" s="159" t="s">
        <v>49</v>
      </c>
      <c r="D214" s="510">
        <v>0.7</v>
      </c>
      <c r="E214" s="510">
        <v>0.7</v>
      </c>
      <c r="F214" s="510"/>
      <c r="G214" s="510"/>
      <c r="H214" s="510"/>
      <c r="I214" s="510">
        <v>0.65</v>
      </c>
      <c r="J214" s="510">
        <v>1</v>
      </c>
      <c r="K214" s="510">
        <f t="shared" si="37"/>
        <v>4.05</v>
      </c>
      <c r="L214" s="510">
        <f t="shared" si="38"/>
        <v>1.8199999999999998</v>
      </c>
      <c r="M214" s="510">
        <f t="shared" si="39"/>
        <v>0.31849999999999995</v>
      </c>
      <c r="N214" s="510">
        <f t="shared" si="40"/>
        <v>1.8589999999999995</v>
      </c>
      <c r="O214" s="510">
        <f t="shared" si="41"/>
        <v>1.3836249999999994</v>
      </c>
      <c r="P214" s="510">
        <f>0.2*0.6*0.4+(0.35*2+0.55)*0.15*0.45</f>
        <v>0.13237500000000002</v>
      </c>
      <c r="Q214" s="510">
        <f t="shared" si="42"/>
        <v>2.4499999999999997E-2</v>
      </c>
      <c r="R214" s="524"/>
    </row>
    <row r="215" spans="1:18" x14ac:dyDescent="0.3">
      <c r="A215" s="523" t="s">
        <v>1228</v>
      </c>
      <c r="B215" s="159">
        <v>1</v>
      </c>
      <c r="C215" s="159" t="s">
        <v>49</v>
      </c>
      <c r="D215" s="510">
        <v>0.7</v>
      </c>
      <c r="E215" s="510">
        <v>0.7</v>
      </c>
      <c r="F215" s="510"/>
      <c r="G215" s="510"/>
      <c r="H215" s="510"/>
      <c r="I215" s="510">
        <v>0.65</v>
      </c>
      <c r="J215" s="510">
        <v>1</v>
      </c>
      <c r="K215" s="510">
        <f t="shared" si="37"/>
        <v>4.05</v>
      </c>
      <c r="L215" s="510">
        <f t="shared" si="38"/>
        <v>1.8199999999999998</v>
      </c>
      <c r="M215" s="510">
        <f t="shared" si="39"/>
        <v>0.31849999999999995</v>
      </c>
      <c r="N215" s="510">
        <f t="shared" si="40"/>
        <v>1.8589999999999995</v>
      </c>
      <c r="O215" s="510">
        <f t="shared" si="41"/>
        <v>1.3848749999999996</v>
      </c>
      <c r="P215" s="510">
        <f>0.2*0.5*0.4+(0.4*2+0.55)*0.15*0.45</f>
        <v>0.13112500000000002</v>
      </c>
      <c r="Q215" s="510">
        <f t="shared" si="42"/>
        <v>2.4499999999999997E-2</v>
      </c>
      <c r="R215" s="524"/>
    </row>
    <row r="216" spans="1:18" x14ac:dyDescent="0.3">
      <c r="A216" s="523" t="s">
        <v>1229</v>
      </c>
      <c r="B216" s="159">
        <v>1</v>
      </c>
      <c r="C216" s="159" t="s">
        <v>49</v>
      </c>
      <c r="D216" s="510">
        <v>0.7</v>
      </c>
      <c r="E216" s="510">
        <v>0.7</v>
      </c>
      <c r="F216" s="510"/>
      <c r="G216" s="510"/>
      <c r="H216" s="510"/>
      <c r="I216" s="510">
        <v>0.65</v>
      </c>
      <c r="J216" s="510">
        <v>1</v>
      </c>
      <c r="K216" s="510">
        <f t="shared" si="37"/>
        <v>4.05</v>
      </c>
      <c r="L216" s="510">
        <f t="shared" si="38"/>
        <v>1.8199999999999998</v>
      </c>
      <c r="M216" s="510">
        <f t="shared" si="39"/>
        <v>0.31849999999999995</v>
      </c>
      <c r="N216" s="510">
        <f t="shared" si="40"/>
        <v>1.8589999999999995</v>
      </c>
      <c r="O216" s="510">
        <f t="shared" si="41"/>
        <v>1.3861249999999996</v>
      </c>
      <c r="P216" s="510">
        <f>0.2*0.4*0.4+(0.45*2+0.55)*0.15*0.45</f>
        <v>0.12987500000000002</v>
      </c>
      <c r="Q216" s="510">
        <f t="shared" si="42"/>
        <v>2.4499999999999997E-2</v>
      </c>
      <c r="R216" s="524"/>
    </row>
    <row r="217" spans="1:18" x14ac:dyDescent="0.3">
      <c r="A217" s="523" t="s">
        <v>1230</v>
      </c>
      <c r="B217" s="159">
        <v>1</v>
      </c>
      <c r="C217" s="159" t="s">
        <v>49</v>
      </c>
      <c r="D217" s="510">
        <v>0.7</v>
      </c>
      <c r="E217" s="510">
        <v>0.7</v>
      </c>
      <c r="F217" s="510"/>
      <c r="G217" s="510"/>
      <c r="H217" s="510"/>
      <c r="I217" s="510">
        <v>0.65</v>
      </c>
      <c r="J217" s="510">
        <v>1</v>
      </c>
      <c r="K217" s="510">
        <f t="shared" si="37"/>
        <v>4.05</v>
      </c>
      <c r="L217" s="510">
        <f t="shared" si="38"/>
        <v>1.8199999999999998</v>
      </c>
      <c r="M217" s="510">
        <f t="shared" si="39"/>
        <v>0.31849999999999995</v>
      </c>
      <c r="N217" s="510">
        <f t="shared" si="40"/>
        <v>1.8589999999999995</v>
      </c>
      <c r="O217" s="510">
        <f t="shared" si="41"/>
        <v>1.3464999999999996</v>
      </c>
      <c r="P217" s="510">
        <f>0.2*0.6*0.4+(0.35*2+0.55*2)*0.15*0.45</f>
        <v>0.16950000000000001</v>
      </c>
      <c r="Q217" s="510">
        <f t="shared" si="42"/>
        <v>2.4499999999999997E-2</v>
      </c>
      <c r="R217" s="524"/>
    </row>
    <row r="218" spans="1:18" x14ac:dyDescent="0.3">
      <c r="A218" s="523" t="s">
        <v>1231</v>
      </c>
      <c r="B218" s="159">
        <v>1</v>
      </c>
      <c r="C218" s="159" t="s">
        <v>49</v>
      </c>
      <c r="D218" s="510">
        <v>0.7</v>
      </c>
      <c r="E218" s="510">
        <v>0.7</v>
      </c>
      <c r="F218" s="510"/>
      <c r="G218" s="510"/>
      <c r="H218" s="510"/>
      <c r="I218" s="510">
        <v>0.65</v>
      </c>
      <c r="J218" s="510">
        <v>1</v>
      </c>
      <c r="K218" s="510">
        <f t="shared" si="37"/>
        <v>4.05</v>
      </c>
      <c r="L218" s="510">
        <f t="shared" si="38"/>
        <v>1.8199999999999998</v>
      </c>
      <c r="M218" s="510">
        <f t="shared" si="39"/>
        <v>0.31849999999999995</v>
      </c>
      <c r="N218" s="510">
        <f t="shared" si="40"/>
        <v>1.8589999999999995</v>
      </c>
      <c r="O218" s="510">
        <f t="shared" si="41"/>
        <v>1.3701249999999996</v>
      </c>
      <c r="P218" s="510">
        <f>0.2*0.6*0.4+(0.35+0.55*2)*0.15*0.45</f>
        <v>0.14587500000000003</v>
      </c>
      <c r="Q218" s="510">
        <f t="shared" si="42"/>
        <v>2.4499999999999997E-2</v>
      </c>
      <c r="R218" s="524"/>
    </row>
    <row r="219" spans="1:18" x14ac:dyDescent="0.3">
      <c r="A219" s="523" t="s">
        <v>1232</v>
      </c>
      <c r="B219" s="159">
        <v>1</v>
      </c>
      <c r="C219" s="159" t="s">
        <v>49</v>
      </c>
      <c r="D219" s="510">
        <v>0.7</v>
      </c>
      <c r="E219" s="510">
        <v>0.7</v>
      </c>
      <c r="F219" s="510"/>
      <c r="G219" s="510"/>
      <c r="H219" s="510"/>
      <c r="I219" s="510">
        <v>0.65</v>
      </c>
      <c r="J219" s="510">
        <v>1</v>
      </c>
      <c r="K219" s="510">
        <f t="shared" si="37"/>
        <v>4.05</v>
      </c>
      <c r="L219" s="510">
        <f t="shared" si="38"/>
        <v>1.8199999999999998</v>
      </c>
      <c r="M219" s="510">
        <f t="shared" si="39"/>
        <v>0.31849999999999995</v>
      </c>
      <c r="N219" s="510">
        <f t="shared" si="40"/>
        <v>1.8589999999999995</v>
      </c>
      <c r="O219" s="510">
        <f t="shared" si="41"/>
        <v>1.4118749999999995</v>
      </c>
      <c r="P219" s="510">
        <f>0.2*0.5*0.4+(0.4+0.55)*0.15*0.45</f>
        <v>0.10412500000000002</v>
      </c>
      <c r="Q219" s="510">
        <f t="shared" si="42"/>
        <v>2.4499999999999997E-2</v>
      </c>
      <c r="R219" s="524"/>
    </row>
    <row r="220" spans="1:18" x14ac:dyDescent="0.3">
      <c r="A220" s="523" t="s">
        <v>1233</v>
      </c>
      <c r="B220" s="159">
        <v>1</v>
      </c>
      <c r="C220" s="159" t="s">
        <v>49</v>
      </c>
      <c r="D220" s="510">
        <v>0.7</v>
      </c>
      <c r="E220" s="510">
        <v>0.7</v>
      </c>
      <c r="F220" s="510"/>
      <c r="G220" s="510"/>
      <c r="H220" s="510"/>
      <c r="I220" s="510">
        <v>0.65</v>
      </c>
      <c r="J220" s="510">
        <v>1</v>
      </c>
      <c r="K220" s="510">
        <f t="shared" si="37"/>
        <v>4.05</v>
      </c>
      <c r="L220" s="510">
        <f t="shared" si="38"/>
        <v>1.8199999999999998</v>
      </c>
      <c r="M220" s="510">
        <f t="shared" si="39"/>
        <v>0.31849999999999995</v>
      </c>
      <c r="N220" s="510">
        <f t="shared" si="40"/>
        <v>1.8589999999999995</v>
      </c>
      <c r="O220" s="510">
        <f t="shared" si="41"/>
        <v>1.3836249999999994</v>
      </c>
      <c r="P220" s="510">
        <f>0.2*0.6*0.4+(0.35*2+0.55)*0.15*0.45</f>
        <v>0.13237500000000002</v>
      </c>
      <c r="Q220" s="510">
        <f t="shared" si="42"/>
        <v>2.4499999999999997E-2</v>
      </c>
      <c r="R220" s="524"/>
    </row>
    <row r="221" spans="1:18" ht="15" thickBot="1" x14ac:dyDescent="0.35">
      <c r="A221" s="523" t="s">
        <v>1234</v>
      </c>
      <c r="B221" s="159">
        <v>1</v>
      </c>
      <c r="C221" s="159" t="s">
        <v>49</v>
      </c>
      <c r="D221" s="510">
        <v>0.7</v>
      </c>
      <c r="E221" s="510">
        <v>0.7</v>
      </c>
      <c r="F221" s="510"/>
      <c r="G221" s="510"/>
      <c r="H221" s="510"/>
      <c r="I221" s="510">
        <v>0.65</v>
      </c>
      <c r="J221" s="510">
        <v>1</v>
      </c>
      <c r="K221" s="510">
        <f t="shared" si="37"/>
        <v>4.05</v>
      </c>
      <c r="L221" s="510">
        <f t="shared" si="38"/>
        <v>1.8199999999999998</v>
      </c>
      <c r="M221" s="510">
        <f t="shared" si="39"/>
        <v>0.31849999999999995</v>
      </c>
      <c r="N221" s="510">
        <f t="shared" si="40"/>
        <v>1.8589999999999995</v>
      </c>
      <c r="O221" s="510">
        <f t="shared" si="41"/>
        <v>1.3747499999999997</v>
      </c>
      <c r="P221" s="510">
        <f>0.2*0.5*0.4+(0.4+0.55*2)*0.15*0.45</f>
        <v>0.14124999999999999</v>
      </c>
      <c r="Q221" s="510">
        <f t="shared" si="42"/>
        <v>2.4499999999999997E-2</v>
      </c>
      <c r="R221" s="524"/>
    </row>
    <row r="222" spans="1:18" x14ac:dyDescent="0.3">
      <c r="A222" s="609" t="s">
        <v>1008</v>
      </c>
      <c r="B222" s="609"/>
      <c r="C222" s="609"/>
      <c r="D222" s="609"/>
      <c r="E222" s="609"/>
      <c r="F222" s="609"/>
      <c r="G222" s="609"/>
      <c r="H222" s="609"/>
      <c r="I222" s="609"/>
      <c r="J222" s="609"/>
      <c r="K222" s="609"/>
      <c r="L222" s="609"/>
      <c r="M222" s="609"/>
      <c r="N222" s="609"/>
      <c r="O222" s="609"/>
      <c r="P222" s="609"/>
      <c r="Q222" s="610"/>
      <c r="R222" s="471"/>
    </row>
    <row r="223" spans="1:18" x14ac:dyDescent="0.3">
      <c r="A223" s="523" t="s">
        <v>1235</v>
      </c>
      <c r="B223" s="159">
        <v>1</v>
      </c>
      <c r="C223" s="159" t="s">
        <v>49</v>
      </c>
      <c r="D223" s="510">
        <v>1</v>
      </c>
      <c r="E223" s="510">
        <v>1</v>
      </c>
      <c r="F223" s="510"/>
      <c r="G223" s="510"/>
      <c r="H223" s="510"/>
      <c r="I223" s="510">
        <v>0.9</v>
      </c>
      <c r="J223" s="510">
        <v>1</v>
      </c>
      <c r="K223" s="510">
        <f t="shared" ref="K223:K244" si="72">J223*($Q$15+I223+$Q$13)</f>
        <v>4.3</v>
      </c>
      <c r="L223" s="510">
        <f t="shared" ref="L223:L244" si="73">(D223*2+E223*2)*I223</f>
        <v>3.6</v>
      </c>
      <c r="M223" s="510">
        <f t="shared" ref="M223:M244" si="74">((D223*E223*I223))*B223</f>
        <v>0.9</v>
      </c>
      <c r="N223" s="510">
        <f>(D223+$Q$14*2)*(E223+$Q$14*2)*(I223+$Q$16+$Q$13)+0.15*1.3*0.45</f>
        <v>3.5437500000000011</v>
      </c>
      <c r="O223" s="510">
        <f t="shared" ref="O223:O244" si="75">N223-(M223+Q223+P223)</f>
        <v>2.2705000000000011</v>
      </c>
      <c r="P223" s="510">
        <f>0.15*1*0.4+(1.3*2+0.5*2+0.3)*0.15*0.45</f>
        <v>0.32324999999999998</v>
      </c>
      <c r="Q223" s="510">
        <f t="shared" ref="Q223:Q244" si="76">D223*E223*$Q$16*B223</f>
        <v>0.05</v>
      </c>
      <c r="R223" s="524"/>
    </row>
    <row r="224" spans="1:18" ht="15" thickBot="1" x14ac:dyDescent="0.35">
      <c r="A224" s="523" t="s">
        <v>1236</v>
      </c>
      <c r="B224" s="159">
        <v>1</v>
      </c>
      <c r="C224" s="159" t="s">
        <v>49</v>
      </c>
      <c r="D224" s="510">
        <v>1</v>
      </c>
      <c r="E224" s="510">
        <v>1</v>
      </c>
      <c r="F224" s="510"/>
      <c r="G224" s="510"/>
      <c r="H224" s="510"/>
      <c r="I224" s="510">
        <v>0.9</v>
      </c>
      <c r="J224" s="510">
        <v>1</v>
      </c>
      <c r="K224" s="510">
        <f t="shared" si="72"/>
        <v>4.3</v>
      </c>
      <c r="L224" s="510">
        <f t="shared" si="73"/>
        <v>3.6</v>
      </c>
      <c r="M224" s="510">
        <f t="shared" si="74"/>
        <v>0.9</v>
      </c>
      <c r="N224" s="510">
        <f>(D224+$Q$14*2)*(E224+$Q$14*2)*(I224+$Q$16+$Q$13)+0.15*1.3*0.45</f>
        <v>3.5437500000000011</v>
      </c>
      <c r="O224" s="510">
        <f t="shared" si="75"/>
        <v>2.2705000000000011</v>
      </c>
      <c r="P224" s="510">
        <f>0.15*1*0.4+(1.3*2+0.5*2+0.3)*0.15*0.45</f>
        <v>0.32324999999999998</v>
      </c>
      <c r="Q224" s="510">
        <f t="shared" si="76"/>
        <v>0.05</v>
      </c>
      <c r="R224" s="524"/>
    </row>
    <row r="225" spans="1:18" x14ac:dyDescent="0.3">
      <c r="A225" s="609" t="s">
        <v>1845</v>
      </c>
      <c r="B225" s="609"/>
      <c r="C225" s="609"/>
      <c r="D225" s="609"/>
      <c r="E225" s="609"/>
      <c r="F225" s="609"/>
      <c r="G225" s="609"/>
      <c r="H225" s="609"/>
      <c r="I225" s="609"/>
      <c r="J225" s="609"/>
      <c r="K225" s="609"/>
      <c r="L225" s="609"/>
      <c r="M225" s="609"/>
      <c r="N225" s="609"/>
      <c r="O225" s="609"/>
      <c r="P225" s="609"/>
      <c r="Q225" s="610"/>
      <c r="R225" s="471"/>
    </row>
    <row r="226" spans="1:18" x14ac:dyDescent="0.3">
      <c r="A226" s="523" t="s">
        <v>1846</v>
      </c>
      <c r="B226" s="159">
        <v>1</v>
      </c>
      <c r="C226" s="159" t="s">
        <v>49</v>
      </c>
      <c r="D226" s="510">
        <v>0.7</v>
      </c>
      <c r="E226" s="510">
        <v>0.7</v>
      </c>
      <c r="F226" s="510"/>
      <c r="G226" s="510"/>
      <c r="H226" s="510"/>
      <c r="I226" s="510">
        <v>1</v>
      </c>
      <c r="J226" s="510">
        <v>1</v>
      </c>
      <c r="K226" s="510">
        <f>J226*($Q$15+I226)</f>
        <v>4</v>
      </c>
      <c r="L226" s="510">
        <f t="shared" si="73"/>
        <v>2.8</v>
      </c>
      <c r="M226" s="510">
        <f t="shared" si="74"/>
        <v>0.48999999999999994</v>
      </c>
      <c r="N226" s="510">
        <f>(D226+$Q$14*2)*(E226+$Q$14*2)*(I226+$Q$16)</f>
        <v>1.7744999999999995</v>
      </c>
      <c r="O226" s="510">
        <f t="shared" si="75"/>
        <v>1.2299999999999995</v>
      </c>
      <c r="P226" s="510">
        <f>0.25*0.3*0.4</f>
        <v>0.03</v>
      </c>
      <c r="Q226" s="510">
        <f t="shared" si="76"/>
        <v>2.4499999999999997E-2</v>
      </c>
      <c r="R226" s="524"/>
    </row>
    <row r="227" spans="1:18" x14ac:dyDescent="0.3">
      <c r="A227" s="523" t="s">
        <v>1847</v>
      </c>
      <c r="B227" s="159">
        <v>1</v>
      </c>
      <c r="C227" s="159" t="s">
        <v>49</v>
      </c>
      <c r="D227" s="510">
        <v>0.7</v>
      </c>
      <c r="E227" s="510">
        <v>0.7</v>
      </c>
      <c r="F227" s="510"/>
      <c r="G227" s="510"/>
      <c r="H227" s="510"/>
      <c r="I227" s="510">
        <v>0.65</v>
      </c>
      <c r="J227" s="510">
        <v>1</v>
      </c>
      <c r="K227" s="510">
        <f t="shared" si="72"/>
        <v>4.05</v>
      </c>
      <c r="L227" s="510">
        <f t="shared" si="73"/>
        <v>1.8199999999999998</v>
      </c>
      <c r="M227" s="510">
        <f t="shared" si="74"/>
        <v>0.31849999999999995</v>
      </c>
      <c r="N227" s="510">
        <f t="shared" ref="N227:N244" si="77">(D227+$Q$14*2)*(E227+$Q$14*2)*(I227+$Q$16+$Q$13)</f>
        <v>1.8589999999999995</v>
      </c>
      <c r="O227" s="510">
        <f t="shared" si="75"/>
        <v>0.81199999999999939</v>
      </c>
      <c r="P227" s="510">
        <f>0.4*0.4*0.25+0.53+0.4*0.15+0.4*0.15*0.4+0.25*0.5*0.4</f>
        <v>0.70400000000000018</v>
      </c>
      <c r="Q227" s="510">
        <f t="shared" si="76"/>
        <v>2.4499999999999997E-2</v>
      </c>
      <c r="R227" s="524"/>
    </row>
    <row r="228" spans="1:18" x14ac:dyDescent="0.3">
      <c r="A228" s="523" t="s">
        <v>1848</v>
      </c>
      <c r="B228" s="159">
        <v>1</v>
      </c>
      <c r="C228" s="159" t="s">
        <v>49</v>
      </c>
      <c r="D228" s="510">
        <v>0.7</v>
      </c>
      <c r="E228" s="510">
        <v>0.7</v>
      </c>
      <c r="F228" s="510"/>
      <c r="G228" s="510"/>
      <c r="H228" s="510"/>
      <c r="I228" s="510">
        <v>0.65</v>
      </c>
      <c r="J228" s="510">
        <v>1</v>
      </c>
      <c r="K228" s="510">
        <f t="shared" si="72"/>
        <v>4.05</v>
      </c>
      <c r="L228" s="510">
        <f t="shared" si="73"/>
        <v>1.8199999999999998</v>
      </c>
      <c r="M228" s="510">
        <f t="shared" si="74"/>
        <v>0.31849999999999995</v>
      </c>
      <c r="N228" s="510">
        <f t="shared" si="77"/>
        <v>1.8589999999999995</v>
      </c>
      <c r="O228" s="510">
        <f t="shared" si="75"/>
        <v>1.4591999999999996</v>
      </c>
      <c r="P228" s="510">
        <f>0.53*0.4*0.15+0.25*0.25*0.4</f>
        <v>5.6800000000000003E-2</v>
      </c>
      <c r="Q228" s="510">
        <f t="shared" si="76"/>
        <v>2.4499999999999997E-2</v>
      </c>
      <c r="R228" s="524"/>
    </row>
    <row r="229" spans="1:18" x14ac:dyDescent="0.3">
      <c r="A229" s="523" t="s">
        <v>1849</v>
      </c>
      <c r="B229" s="159">
        <v>1</v>
      </c>
      <c r="C229" s="159" t="s">
        <v>49</v>
      </c>
      <c r="D229" s="510">
        <v>0.7</v>
      </c>
      <c r="E229" s="510">
        <v>0.7</v>
      </c>
      <c r="F229" s="510"/>
      <c r="G229" s="510"/>
      <c r="H229" s="510"/>
      <c r="I229" s="510">
        <v>0.65</v>
      </c>
      <c r="J229" s="510">
        <v>1</v>
      </c>
      <c r="K229" s="510">
        <f t="shared" si="72"/>
        <v>4.05</v>
      </c>
      <c r="L229" s="510">
        <f t="shared" si="73"/>
        <v>1.8199999999999998</v>
      </c>
      <c r="M229" s="510">
        <f t="shared" si="74"/>
        <v>0.31849999999999995</v>
      </c>
      <c r="N229" s="510">
        <f t="shared" si="77"/>
        <v>1.8589999999999995</v>
      </c>
      <c r="O229" s="510">
        <f t="shared" si="75"/>
        <v>1.4361999999999995</v>
      </c>
      <c r="P229" s="510">
        <f>0.4*0.4*0.15*2+0.53*0.4*0.15</f>
        <v>7.980000000000001E-2</v>
      </c>
      <c r="Q229" s="510">
        <f t="shared" si="76"/>
        <v>2.4499999999999997E-2</v>
      </c>
      <c r="R229" s="524"/>
    </row>
    <row r="230" spans="1:18" x14ac:dyDescent="0.3">
      <c r="A230" s="523" t="s">
        <v>1850</v>
      </c>
      <c r="B230" s="159">
        <v>1</v>
      </c>
      <c r="C230" s="159" t="s">
        <v>49</v>
      </c>
      <c r="D230" s="510">
        <v>0.7</v>
      </c>
      <c r="E230" s="510">
        <v>0.7</v>
      </c>
      <c r="F230" s="510"/>
      <c r="G230" s="510"/>
      <c r="H230" s="510"/>
      <c r="I230" s="510">
        <v>0.65</v>
      </c>
      <c r="J230" s="510">
        <v>1</v>
      </c>
      <c r="K230" s="510">
        <f t="shared" si="72"/>
        <v>4.05</v>
      </c>
      <c r="L230" s="510">
        <f t="shared" si="73"/>
        <v>1.8199999999999998</v>
      </c>
      <c r="M230" s="510">
        <f t="shared" si="74"/>
        <v>0.31849999999999995</v>
      </c>
      <c r="N230" s="510">
        <f t="shared" si="77"/>
        <v>1.8589999999999995</v>
      </c>
      <c r="O230" s="510">
        <f t="shared" si="75"/>
        <v>1.3639999999999994</v>
      </c>
      <c r="P230" s="510">
        <f>0.45*0.4*0.15*2+0.55*0.4*0.15*2+0.2*0.4*0.4</f>
        <v>0.15200000000000002</v>
      </c>
      <c r="Q230" s="510">
        <f t="shared" si="76"/>
        <v>2.4499999999999997E-2</v>
      </c>
      <c r="R230" s="524"/>
    </row>
    <row r="231" spans="1:18" x14ac:dyDescent="0.3">
      <c r="A231" s="523" t="s">
        <v>1851</v>
      </c>
      <c r="B231" s="159">
        <v>1</v>
      </c>
      <c r="C231" s="159" t="s">
        <v>49</v>
      </c>
      <c r="D231" s="510">
        <v>0.7</v>
      </c>
      <c r="E231" s="510">
        <v>0.7</v>
      </c>
      <c r="F231" s="510"/>
      <c r="G231" s="510"/>
      <c r="H231" s="510"/>
      <c r="I231" s="510">
        <v>0.65</v>
      </c>
      <c r="J231" s="510">
        <v>1</v>
      </c>
      <c r="K231" s="510">
        <f t="shared" si="72"/>
        <v>4.05</v>
      </c>
      <c r="L231" s="510">
        <f t="shared" si="73"/>
        <v>1.8199999999999998</v>
      </c>
      <c r="M231" s="510">
        <f t="shared" si="74"/>
        <v>0.31849999999999995</v>
      </c>
      <c r="N231" s="510">
        <f t="shared" si="77"/>
        <v>1.8589999999999995</v>
      </c>
      <c r="O231" s="510">
        <f t="shared" si="75"/>
        <v>1.4229999999999996</v>
      </c>
      <c r="P231" s="510">
        <f>0.55*0.4*0.15*2+0.45*0.15*0.4</f>
        <v>9.2999999999999999E-2</v>
      </c>
      <c r="Q231" s="510">
        <f t="shared" si="76"/>
        <v>2.4499999999999997E-2</v>
      </c>
      <c r="R231" s="524"/>
    </row>
    <row r="232" spans="1:18" x14ac:dyDescent="0.3">
      <c r="A232" s="523" t="s">
        <v>1852</v>
      </c>
      <c r="B232" s="159">
        <v>1</v>
      </c>
      <c r="C232" s="159" t="s">
        <v>49</v>
      </c>
      <c r="D232" s="510">
        <v>0.7</v>
      </c>
      <c r="E232" s="510">
        <v>0.7</v>
      </c>
      <c r="F232" s="510"/>
      <c r="G232" s="510"/>
      <c r="H232" s="510"/>
      <c r="I232" s="510">
        <v>0.65</v>
      </c>
      <c r="J232" s="510">
        <v>1</v>
      </c>
      <c r="K232" s="510">
        <f t="shared" si="72"/>
        <v>4.05</v>
      </c>
      <c r="L232" s="510">
        <f t="shared" si="73"/>
        <v>1.8199999999999998</v>
      </c>
      <c r="M232" s="510">
        <f t="shared" si="74"/>
        <v>0.31849999999999995</v>
      </c>
      <c r="N232" s="510">
        <f t="shared" si="77"/>
        <v>1.8589999999999995</v>
      </c>
      <c r="O232" s="510">
        <f t="shared" si="75"/>
        <v>1.4229999999999996</v>
      </c>
      <c r="P232" s="510">
        <f>0.55*0.4*0.15*2+0.45*0.15*0.4</f>
        <v>9.2999999999999999E-2</v>
      </c>
      <c r="Q232" s="510">
        <f t="shared" si="76"/>
        <v>2.4499999999999997E-2</v>
      </c>
      <c r="R232" s="524"/>
    </row>
    <row r="233" spans="1:18" x14ac:dyDescent="0.3">
      <c r="A233" s="523" t="s">
        <v>1853</v>
      </c>
      <c r="B233" s="159">
        <v>1</v>
      </c>
      <c r="C233" s="159" t="s">
        <v>49</v>
      </c>
      <c r="D233" s="510">
        <v>0.7</v>
      </c>
      <c r="E233" s="510">
        <v>0.7</v>
      </c>
      <c r="F233" s="510"/>
      <c r="G233" s="510"/>
      <c r="H233" s="510"/>
      <c r="I233" s="510">
        <v>0.65</v>
      </c>
      <c r="J233" s="510">
        <v>1</v>
      </c>
      <c r="K233" s="510">
        <f t="shared" si="72"/>
        <v>4.05</v>
      </c>
      <c r="L233" s="510">
        <f t="shared" si="73"/>
        <v>1.8199999999999998</v>
      </c>
      <c r="M233" s="510">
        <f t="shared" si="74"/>
        <v>0.31849999999999995</v>
      </c>
      <c r="N233" s="510">
        <f t="shared" si="77"/>
        <v>1.8589999999999995</v>
      </c>
      <c r="O233" s="510">
        <f t="shared" si="75"/>
        <v>1.4559999999999995</v>
      </c>
      <c r="P233" s="510">
        <f>0.55*0.4*0.15+0.45*0.15*0.4</f>
        <v>6.0000000000000005E-2</v>
      </c>
      <c r="Q233" s="510">
        <f t="shared" si="76"/>
        <v>2.4499999999999997E-2</v>
      </c>
      <c r="R233" s="524"/>
    </row>
    <row r="234" spans="1:18" x14ac:dyDescent="0.3">
      <c r="A234" s="523" t="s">
        <v>1854</v>
      </c>
      <c r="B234" s="159">
        <v>1</v>
      </c>
      <c r="C234" s="159" t="s">
        <v>49</v>
      </c>
      <c r="D234" s="510">
        <v>0.7</v>
      </c>
      <c r="E234" s="510">
        <v>0.7</v>
      </c>
      <c r="F234" s="510"/>
      <c r="G234" s="510"/>
      <c r="H234" s="510"/>
      <c r="I234" s="510">
        <v>0.65</v>
      </c>
      <c r="J234" s="510">
        <v>1</v>
      </c>
      <c r="K234" s="510">
        <f t="shared" si="72"/>
        <v>4.05</v>
      </c>
      <c r="L234" s="510">
        <f t="shared" si="73"/>
        <v>1.8199999999999998</v>
      </c>
      <c r="M234" s="510">
        <f t="shared" si="74"/>
        <v>0.31849999999999995</v>
      </c>
      <c r="N234" s="510">
        <f t="shared" si="77"/>
        <v>1.8589999999999995</v>
      </c>
      <c r="O234" s="510">
        <f t="shared" si="75"/>
        <v>1.4601999999999995</v>
      </c>
      <c r="P234" s="510">
        <f>0.53*0.4*0.15+0.4*0.4*0.15</f>
        <v>5.5800000000000002E-2</v>
      </c>
      <c r="Q234" s="510">
        <f t="shared" si="76"/>
        <v>2.4499999999999997E-2</v>
      </c>
      <c r="R234" s="524"/>
    </row>
    <row r="235" spans="1:18" x14ac:dyDescent="0.3">
      <c r="A235" s="523" t="s">
        <v>1855</v>
      </c>
      <c r="B235" s="159">
        <v>1</v>
      </c>
      <c r="C235" s="159" t="s">
        <v>49</v>
      </c>
      <c r="D235" s="510">
        <v>0.7</v>
      </c>
      <c r="E235" s="510">
        <v>0.7</v>
      </c>
      <c r="F235" s="510"/>
      <c r="G235" s="510"/>
      <c r="H235" s="510"/>
      <c r="I235" s="510">
        <v>0.65</v>
      </c>
      <c r="J235" s="510">
        <v>1</v>
      </c>
      <c r="K235" s="510">
        <f t="shared" si="72"/>
        <v>4.05</v>
      </c>
      <c r="L235" s="510">
        <f t="shared" si="73"/>
        <v>1.8199999999999998</v>
      </c>
      <c r="M235" s="510">
        <f t="shared" si="74"/>
        <v>0.31849999999999995</v>
      </c>
      <c r="N235" s="510">
        <f t="shared" si="77"/>
        <v>1.8589999999999995</v>
      </c>
      <c r="O235" s="510">
        <f t="shared" si="75"/>
        <v>1.4179999999999997</v>
      </c>
      <c r="P235" s="510">
        <f>0.4*0.4*0.15*2+0.25*0.5*0.4</f>
        <v>9.8000000000000004E-2</v>
      </c>
      <c r="Q235" s="510">
        <f t="shared" si="76"/>
        <v>2.4499999999999997E-2</v>
      </c>
      <c r="R235" s="524"/>
    </row>
    <row r="236" spans="1:18" x14ac:dyDescent="0.3">
      <c r="A236" s="523" t="s">
        <v>1856</v>
      </c>
      <c r="B236" s="159">
        <v>1</v>
      </c>
      <c r="C236" s="159" t="s">
        <v>49</v>
      </c>
      <c r="D236" s="510">
        <v>0.7</v>
      </c>
      <c r="E236" s="510">
        <v>0.7</v>
      </c>
      <c r="F236" s="510"/>
      <c r="G236" s="510"/>
      <c r="H236" s="510"/>
      <c r="I236" s="510">
        <v>0.65</v>
      </c>
      <c r="J236" s="510">
        <v>1</v>
      </c>
      <c r="K236" s="510">
        <f t="shared" si="72"/>
        <v>4.05</v>
      </c>
      <c r="L236" s="510">
        <f t="shared" si="73"/>
        <v>1.8199999999999998</v>
      </c>
      <c r="M236" s="510">
        <f t="shared" si="74"/>
        <v>0.31849999999999995</v>
      </c>
      <c r="N236" s="510">
        <f>(D236+$Q$14*2)*(E236+$Q$14*2)*(I236+$Q$16+$Q$13)-0.53*1.25*1.05</f>
        <v>1.1633749999999994</v>
      </c>
      <c r="O236" s="510">
        <f t="shared" si="75"/>
        <v>0.71957499999999941</v>
      </c>
      <c r="P236" s="510">
        <f>0.03*0.4*0.15+0.45*0.4*0.15*2+0.55*0.4*0.15+0.2*0.4*0.15</f>
        <v>0.10080000000000001</v>
      </c>
      <c r="Q236" s="510">
        <f t="shared" si="76"/>
        <v>2.4499999999999997E-2</v>
      </c>
      <c r="R236" s="524"/>
    </row>
    <row r="237" spans="1:18" x14ac:dyDescent="0.3">
      <c r="A237" s="523" t="s">
        <v>1857</v>
      </c>
      <c r="B237" s="159">
        <v>1</v>
      </c>
      <c r="C237" s="159" t="s">
        <v>49</v>
      </c>
      <c r="D237" s="510">
        <v>0.7</v>
      </c>
      <c r="E237" s="510">
        <v>0.7</v>
      </c>
      <c r="F237" s="510"/>
      <c r="G237" s="510"/>
      <c r="H237" s="510"/>
      <c r="I237" s="510">
        <v>0.65</v>
      </c>
      <c r="J237" s="510">
        <v>1</v>
      </c>
      <c r="K237" s="510">
        <f t="shared" si="72"/>
        <v>4.05</v>
      </c>
      <c r="L237" s="510">
        <f t="shared" si="73"/>
        <v>1.8199999999999998</v>
      </c>
      <c r="M237" s="510">
        <f t="shared" si="74"/>
        <v>0.31849999999999995</v>
      </c>
      <c r="N237" s="510">
        <f t="shared" si="77"/>
        <v>1.8589999999999995</v>
      </c>
      <c r="O237" s="510">
        <f t="shared" si="75"/>
        <v>1.3639999999999994</v>
      </c>
      <c r="P237" s="510">
        <f>0.45*0.4*0.15*2+0.55*0.4*0.15*2+0.2*0.4*0.4</f>
        <v>0.15200000000000002</v>
      </c>
      <c r="Q237" s="510">
        <f t="shared" si="76"/>
        <v>2.4499999999999997E-2</v>
      </c>
      <c r="R237" s="524"/>
    </row>
    <row r="238" spans="1:18" x14ac:dyDescent="0.3">
      <c r="A238" s="523" t="s">
        <v>1858</v>
      </c>
      <c r="B238" s="159">
        <v>1</v>
      </c>
      <c r="C238" s="159" t="s">
        <v>49</v>
      </c>
      <c r="D238" s="510">
        <v>0.7</v>
      </c>
      <c r="E238" s="510">
        <v>0.7</v>
      </c>
      <c r="F238" s="510"/>
      <c r="G238" s="510"/>
      <c r="H238" s="510"/>
      <c r="I238" s="510">
        <v>0.65</v>
      </c>
      <c r="J238" s="510">
        <v>1</v>
      </c>
      <c r="K238" s="510">
        <f t="shared" si="72"/>
        <v>4.05</v>
      </c>
      <c r="L238" s="510">
        <f t="shared" si="73"/>
        <v>1.8199999999999998</v>
      </c>
      <c r="M238" s="510">
        <f t="shared" si="74"/>
        <v>0.31849999999999995</v>
      </c>
      <c r="N238" s="510">
        <f t="shared" si="77"/>
        <v>1.8589999999999995</v>
      </c>
      <c r="O238" s="510">
        <f t="shared" si="75"/>
        <v>1.3639999999999994</v>
      </c>
      <c r="P238" s="510">
        <f>0.45*0.4*0.15*2+0.55*0.4*0.15*2+0.2*0.4*0.4</f>
        <v>0.15200000000000002</v>
      </c>
      <c r="Q238" s="510">
        <f t="shared" si="76"/>
        <v>2.4499999999999997E-2</v>
      </c>
      <c r="R238" s="524"/>
    </row>
    <row r="239" spans="1:18" x14ac:dyDescent="0.3">
      <c r="A239" s="523" t="s">
        <v>1859</v>
      </c>
      <c r="B239" s="159">
        <v>1</v>
      </c>
      <c r="C239" s="159" t="s">
        <v>49</v>
      </c>
      <c r="D239" s="510">
        <v>0.7</v>
      </c>
      <c r="E239" s="510">
        <v>0.7</v>
      </c>
      <c r="F239" s="510"/>
      <c r="G239" s="510"/>
      <c r="H239" s="510"/>
      <c r="I239" s="510">
        <v>0.65</v>
      </c>
      <c r="J239" s="510">
        <v>1</v>
      </c>
      <c r="K239" s="510">
        <f t="shared" si="72"/>
        <v>4.05</v>
      </c>
      <c r="L239" s="510">
        <f t="shared" si="73"/>
        <v>1.8199999999999998</v>
      </c>
      <c r="M239" s="510">
        <f t="shared" si="74"/>
        <v>0.31849999999999995</v>
      </c>
      <c r="N239" s="510">
        <f t="shared" si="77"/>
        <v>1.8589999999999995</v>
      </c>
      <c r="O239" s="510">
        <f t="shared" si="75"/>
        <v>1.3969999999999996</v>
      </c>
      <c r="P239" s="510">
        <f>0.45*0.4*0.15*2+0.55*0.4*0.15+0.2*0.4*0.4</f>
        <v>0.11900000000000002</v>
      </c>
      <c r="Q239" s="510">
        <f t="shared" si="76"/>
        <v>2.4499999999999997E-2</v>
      </c>
      <c r="R239" s="524"/>
    </row>
    <row r="240" spans="1:18" x14ac:dyDescent="0.3">
      <c r="A240" s="523" t="s">
        <v>1860</v>
      </c>
      <c r="B240" s="159">
        <v>1</v>
      </c>
      <c r="C240" s="159" t="s">
        <v>49</v>
      </c>
      <c r="D240" s="510">
        <v>0.7</v>
      </c>
      <c r="E240" s="510">
        <v>0.7</v>
      </c>
      <c r="F240" s="510"/>
      <c r="G240" s="510"/>
      <c r="H240" s="510"/>
      <c r="I240" s="510">
        <v>0.65</v>
      </c>
      <c r="J240" s="510">
        <v>1</v>
      </c>
      <c r="K240" s="510">
        <f t="shared" si="72"/>
        <v>4.05</v>
      </c>
      <c r="L240" s="510">
        <f t="shared" si="73"/>
        <v>1.8199999999999998</v>
      </c>
      <c r="M240" s="510">
        <f t="shared" si="74"/>
        <v>0.31849999999999995</v>
      </c>
      <c r="N240" s="510">
        <f t="shared" si="77"/>
        <v>1.8589999999999995</v>
      </c>
      <c r="O240" s="510">
        <f t="shared" si="75"/>
        <v>1.4031999999999996</v>
      </c>
      <c r="P240" s="510">
        <f>0.4*0.45*0.15*2+0.58*0.4*0.15+0.15*0.4*0.4</f>
        <v>0.11280000000000001</v>
      </c>
      <c r="Q240" s="510">
        <f t="shared" si="76"/>
        <v>2.4499999999999997E-2</v>
      </c>
      <c r="R240" s="524"/>
    </row>
    <row r="241" spans="1:18" x14ac:dyDescent="0.3">
      <c r="A241" s="523" t="s">
        <v>1861</v>
      </c>
      <c r="B241" s="159">
        <v>1</v>
      </c>
      <c r="C241" s="159" t="s">
        <v>49</v>
      </c>
      <c r="D241" s="510">
        <v>0.7</v>
      </c>
      <c r="E241" s="510">
        <v>0.7</v>
      </c>
      <c r="F241" s="510"/>
      <c r="G241" s="510"/>
      <c r="H241" s="510"/>
      <c r="I241" s="510">
        <v>0.65</v>
      </c>
      <c r="J241" s="510">
        <v>1</v>
      </c>
      <c r="K241" s="510">
        <f t="shared" si="72"/>
        <v>4.05</v>
      </c>
      <c r="L241" s="510">
        <f t="shared" si="73"/>
        <v>1.8199999999999998</v>
      </c>
      <c r="M241" s="510">
        <f t="shared" si="74"/>
        <v>0.31849999999999995</v>
      </c>
      <c r="N241" s="510">
        <f t="shared" si="77"/>
        <v>1.8589999999999995</v>
      </c>
      <c r="O241" s="510">
        <f t="shared" si="75"/>
        <v>1.3949999999999996</v>
      </c>
      <c r="P241" s="510">
        <f>0.4*0.4*0.15*2+0.55*0.4*0.15+0.2*0.5*0.4</f>
        <v>0.12100000000000002</v>
      </c>
      <c r="Q241" s="510">
        <f t="shared" si="76"/>
        <v>2.4499999999999997E-2</v>
      </c>
      <c r="R241" s="524"/>
    </row>
    <row r="242" spans="1:18" x14ac:dyDescent="0.3">
      <c r="A242" s="523" t="s">
        <v>1862</v>
      </c>
      <c r="B242" s="159">
        <v>1</v>
      </c>
      <c r="C242" s="159" t="s">
        <v>49</v>
      </c>
      <c r="D242" s="510">
        <v>0.7</v>
      </c>
      <c r="E242" s="510">
        <v>0.7</v>
      </c>
      <c r="F242" s="510"/>
      <c r="G242" s="510"/>
      <c r="H242" s="510"/>
      <c r="I242" s="510">
        <v>0.65</v>
      </c>
      <c r="J242" s="510">
        <v>1</v>
      </c>
      <c r="K242" s="510">
        <f t="shared" si="72"/>
        <v>4.05</v>
      </c>
      <c r="L242" s="510">
        <f t="shared" si="73"/>
        <v>1.8199999999999998</v>
      </c>
      <c r="M242" s="510">
        <f t="shared" si="74"/>
        <v>0.31849999999999995</v>
      </c>
      <c r="N242" s="510">
        <f t="shared" si="77"/>
        <v>1.8589999999999995</v>
      </c>
      <c r="O242" s="510">
        <f t="shared" si="75"/>
        <v>1.3639999999999994</v>
      </c>
      <c r="P242" s="510">
        <f>0.45*0.4*0.15*2+0.55*0.4*0.15*2+0.2*0.4*0.4</f>
        <v>0.15200000000000002</v>
      </c>
      <c r="Q242" s="510">
        <f t="shared" si="76"/>
        <v>2.4499999999999997E-2</v>
      </c>
      <c r="R242" s="524"/>
    </row>
    <row r="243" spans="1:18" x14ac:dyDescent="0.3">
      <c r="A243" s="523" t="s">
        <v>1863</v>
      </c>
      <c r="B243" s="159">
        <v>1</v>
      </c>
      <c r="C243" s="159" t="s">
        <v>49</v>
      </c>
      <c r="D243" s="510">
        <v>0.7</v>
      </c>
      <c r="E243" s="510">
        <v>0.7</v>
      </c>
      <c r="F243" s="510"/>
      <c r="G243" s="510"/>
      <c r="H243" s="510"/>
      <c r="I243" s="510">
        <v>0.65</v>
      </c>
      <c r="J243" s="510">
        <v>1</v>
      </c>
      <c r="K243" s="510">
        <f t="shared" si="72"/>
        <v>4.05</v>
      </c>
      <c r="L243" s="510">
        <f t="shared" si="73"/>
        <v>1.8199999999999998</v>
      </c>
      <c r="M243" s="510">
        <f t="shared" si="74"/>
        <v>0.31849999999999995</v>
      </c>
      <c r="N243" s="510">
        <f t="shared" si="77"/>
        <v>1.8589999999999995</v>
      </c>
      <c r="O243" s="510">
        <f t="shared" si="75"/>
        <v>1.3683999999999996</v>
      </c>
      <c r="P243" s="510">
        <f>0.58*0.4*0.15*2+0.4*0.4*0.15*2+0.15*0.5*0.4</f>
        <v>0.14760000000000001</v>
      </c>
      <c r="Q243" s="510">
        <f t="shared" si="76"/>
        <v>2.4499999999999997E-2</v>
      </c>
      <c r="R243" s="524"/>
    </row>
    <row r="244" spans="1:18" x14ac:dyDescent="0.3">
      <c r="A244" s="523" t="s">
        <v>1864</v>
      </c>
      <c r="B244" s="159">
        <v>1</v>
      </c>
      <c r="C244" s="159" t="s">
        <v>49</v>
      </c>
      <c r="D244" s="510">
        <v>0.7</v>
      </c>
      <c r="E244" s="510">
        <v>0.7</v>
      </c>
      <c r="F244" s="510"/>
      <c r="G244" s="510"/>
      <c r="H244" s="510"/>
      <c r="I244" s="510">
        <v>0.65</v>
      </c>
      <c r="J244" s="510">
        <v>1</v>
      </c>
      <c r="K244" s="510">
        <f t="shared" si="72"/>
        <v>4.05</v>
      </c>
      <c r="L244" s="510">
        <f t="shared" si="73"/>
        <v>1.8199999999999998</v>
      </c>
      <c r="M244" s="510">
        <f t="shared" si="74"/>
        <v>0.31849999999999995</v>
      </c>
      <c r="N244" s="510">
        <f t="shared" si="77"/>
        <v>1.8589999999999995</v>
      </c>
      <c r="O244" s="510">
        <f t="shared" si="75"/>
        <v>1.3953999999999995</v>
      </c>
      <c r="P244" s="510">
        <f>0.58*0.4*0.15*2+0.45*0.4*0.15+0.15*0.4*0.4</f>
        <v>0.12059999999999998</v>
      </c>
      <c r="Q244" s="510">
        <f t="shared" si="76"/>
        <v>2.4499999999999997E-2</v>
      </c>
      <c r="R244" s="524"/>
    </row>
    <row r="245" spans="1:18" x14ac:dyDescent="0.3">
      <c r="A245" s="523" t="s">
        <v>1865</v>
      </c>
      <c r="B245" s="159">
        <v>1</v>
      </c>
      <c r="C245" s="159" t="s">
        <v>49</v>
      </c>
      <c r="D245" s="510">
        <v>0.7</v>
      </c>
      <c r="E245" s="510">
        <v>0.7</v>
      </c>
      <c r="F245" s="510"/>
      <c r="G245" s="510"/>
      <c r="H245" s="510"/>
      <c r="I245" s="510">
        <v>0.65</v>
      </c>
      <c r="J245" s="510">
        <v>1</v>
      </c>
      <c r="K245" s="510">
        <f t="shared" ref="K245:K258" si="78">J245*($Q$15+I245+$Q$13)</f>
        <v>4.05</v>
      </c>
      <c r="L245" s="510">
        <f t="shared" ref="L245:L260" si="79">(D245*2+E245*2)*I245</f>
        <v>1.8199999999999998</v>
      </c>
      <c r="M245" s="510">
        <f t="shared" ref="M245:M260" si="80">((D245*E245*I245))*B245</f>
        <v>0.31849999999999995</v>
      </c>
      <c r="N245" s="510">
        <f t="shared" ref="N245:N258" si="81">(D245+$Q$14*2)*(E245+$Q$14*2)*(I245+$Q$16+$Q$13)</f>
        <v>1.8589999999999995</v>
      </c>
      <c r="O245" s="510">
        <f t="shared" ref="O245:O260" si="82">N245-(M245+Q245+P245)</f>
        <v>1.4247999999999996</v>
      </c>
      <c r="P245" s="510">
        <f>0.45*0.4*0.15*2+0.58*0.4*0.15+0.15*0.04*0.4</f>
        <v>9.1200000000000003E-2</v>
      </c>
      <c r="Q245" s="510">
        <f t="shared" ref="Q245:Q258" si="83">D245*E245*$Q$16*B245</f>
        <v>2.4499999999999997E-2</v>
      </c>
      <c r="R245" s="524"/>
    </row>
    <row r="246" spans="1:18" x14ac:dyDescent="0.3">
      <c r="A246" s="523" t="s">
        <v>1866</v>
      </c>
      <c r="B246" s="159">
        <v>1</v>
      </c>
      <c r="C246" s="159" t="s">
        <v>49</v>
      </c>
      <c r="D246" s="510">
        <v>0.7</v>
      </c>
      <c r="E246" s="510">
        <v>0.7</v>
      </c>
      <c r="F246" s="510"/>
      <c r="G246" s="510"/>
      <c r="H246" s="510"/>
      <c r="I246" s="510">
        <v>0.65</v>
      </c>
      <c r="J246" s="510">
        <v>1</v>
      </c>
      <c r="K246" s="510">
        <f t="shared" si="78"/>
        <v>4.05</v>
      </c>
      <c r="L246" s="510">
        <f t="shared" si="79"/>
        <v>1.8199999999999998</v>
      </c>
      <c r="M246" s="510">
        <f t="shared" si="80"/>
        <v>0.31849999999999995</v>
      </c>
      <c r="N246" s="510">
        <f t="shared" si="81"/>
        <v>1.8589999999999995</v>
      </c>
      <c r="O246" s="510">
        <f t="shared" si="82"/>
        <v>1.3683999999999996</v>
      </c>
      <c r="P246" s="510">
        <f>0.58*0.4*0.15*2+0.4*0.4*0.15*2+0.15*0.5*0.4</f>
        <v>0.14760000000000001</v>
      </c>
      <c r="Q246" s="510">
        <f t="shared" si="83"/>
        <v>2.4499999999999997E-2</v>
      </c>
      <c r="R246" s="524"/>
    </row>
    <row r="247" spans="1:18" x14ac:dyDescent="0.3">
      <c r="A247" s="523" t="s">
        <v>1867</v>
      </c>
      <c r="B247" s="159">
        <v>1</v>
      </c>
      <c r="C247" s="159" t="s">
        <v>49</v>
      </c>
      <c r="D247" s="510">
        <v>0.7</v>
      </c>
      <c r="E247" s="510">
        <v>0.7</v>
      </c>
      <c r="F247" s="510"/>
      <c r="G247" s="510"/>
      <c r="H247" s="510"/>
      <c r="I247" s="510">
        <v>0.65</v>
      </c>
      <c r="J247" s="510">
        <v>1</v>
      </c>
      <c r="K247" s="510">
        <f t="shared" si="78"/>
        <v>4.05</v>
      </c>
      <c r="L247" s="510">
        <f t="shared" si="79"/>
        <v>1.8199999999999998</v>
      </c>
      <c r="M247" s="510">
        <f t="shared" si="80"/>
        <v>0.31849999999999995</v>
      </c>
      <c r="N247" s="510">
        <f t="shared" si="81"/>
        <v>1.8589999999999995</v>
      </c>
      <c r="O247" s="510">
        <f t="shared" si="82"/>
        <v>1.3969999999999996</v>
      </c>
      <c r="P247" s="510">
        <f>0.45*0.4*0.15*2+0.55*0.4*0.15+0.2*0.4*0.4</f>
        <v>0.11900000000000002</v>
      </c>
      <c r="Q247" s="510">
        <f t="shared" si="83"/>
        <v>2.4499999999999997E-2</v>
      </c>
      <c r="R247" s="524"/>
    </row>
    <row r="248" spans="1:18" x14ac:dyDescent="0.3">
      <c r="A248" s="523" t="s">
        <v>1868</v>
      </c>
      <c r="B248" s="159">
        <v>1</v>
      </c>
      <c r="C248" s="159" t="s">
        <v>49</v>
      </c>
      <c r="D248" s="510">
        <v>0.7</v>
      </c>
      <c r="E248" s="510">
        <v>0.7</v>
      </c>
      <c r="F248" s="510"/>
      <c r="G248" s="510"/>
      <c r="H248" s="510"/>
      <c r="I248" s="510">
        <v>0.65</v>
      </c>
      <c r="J248" s="510">
        <v>1</v>
      </c>
      <c r="K248" s="510">
        <f t="shared" si="78"/>
        <v>4.05</v>
      </c>
      <c r="L248" s="510">
        <f t="shared" si="79"/>
        <v>1.8199999999999998</v>
      </c>
      <c r="M248" s="510">
        <f t="shared" si="80"/>
        <v>0.31849999999999995</v>
      </c>
      <c r="N248" s="510">
        <f t="shared" si="81"/>
        <v>1.8589999999999995</v>
      </c>
      <c r="O248" s="510">
        <f t="shared" si="82"/>
        <v>1.3639999999999994</v>
      </c>
      <c r="P248" s="510">
        <f>0.45*0.4*0.15*2+0.55*0.4*0.15*2+0.2*0.4*0.4</f>
        <v>0.15200000000000002</v>
      </c>
      <c r="Q248" s="510">
        <f t="shared" si="83"/>
        <v>2.4499999999999997E-2</v>
      </c>
      <c r="R248" s="524"/>
    </row>
    <row r="249" spans="1:18" x14ac:dyDescent="0.3">
      <c r="A249" s="523" t="s">
        <v>1869</v>
      </c>
      <c r="B249" s="159">
        <v>1</v>
      </c>
      <c r="C249" s="159" t="s">
        <v>49</v>
      </c>
      <c r="D249" s="510">
        <v>0.7</v>
      </c>
      <c r="E249" s="510">
        <v>0.7</v>
      </c>
      <c r="F249" s="510"/>
      <c r="G249" s="510"/>
      <c r="H249" s="510"/>
      <c r="I249" s="510">
        <v>0.65</v>
      </c>
      <c r="J249" s="510">
        <v>1</v>
      </c>
      <c r="K249" s="510">
        <f t="shared" si="78"/>
        <v>4.05</v>
      </c>
      <c r="L249" s="510">
        <f t="shared" si="79"/>
        <v>1.8199999999999998</v>
      </c>
      <c r="M249" s="510">
        <f t="shared" si="80"/>
        <v>0.31849999999999995</v>
      </c>
      <c r="N249" s="510">
        <f t="shared" si="81"/>
        <v>1.8589999999999995</v>
      </c>
      <c r="O249" s="510">
        <f t="shared" si="82"/>
        <v>1.3639999999999994</v>
      </c>
      <c r="P249" s="510">
        <f>0.45*0.4*0.15*2+0.55*0.4*0.15*2+0.2*0.4*0.4</f>
        <v>0.15200000000000002</v>
      </c>
      <c r="Q249" s="510">
        <f t="shared" si="83"/>
        <v>2.4499999999999997E-2</v>
      </c>
      <c r="R249" s="524"/>
    </row>
    <row r="250" spans="1:18" x14ac:dyDescent="0.3">
      <c r="A250" s="523" t="s">
        <v>1870</v>
      </c>
      <c r="B250" s="159">
        <v>1</v>
      </c>
      <c r="C250" s="159" t="s">
        <v>49</v>
      </c>
      <c r="D250" s="510">
        <v>0.7</v>
      </c>
      <c r="E250" s="510">
        <v>0.7</v>
      </c>
      <c r="F250" s="510"/>
      <c r="G250" s="510"/>
      <c r="H250" s="510"/>
      <c r="I250" s="510">
        <v>0.65</v>
      </c>
      <c r="J250" s="510">
        <v>1</v>
      </c>
      <c r="K250" s="510">
        <f t="shared" si="78"/>
        <v>4.05</v>
      </c>
      <c r="L250" s="510">
        <f t="shared" si="79"/>
        <v>1.8199999999999998</v>
      </c>
      <c r="M250" s="510">
        <f t="shared" si="80"/>
        <v>0.31849999999999995</v>
      </c>
      <c r="N250" s="510">
        <f t="shared" si="81"/>
        <v>1.8589999999999995</v>
      </c>
      <c r="O250" s="510">
        <f t="shared" si="82"/>
        <v>1.3969999999999996</v>
      </c>
      <c r="P250" s="510">
        <f>0.45*0.4*0.15*2+0.55*0.4*0.15+0.2*0.4*0.4</f>
        <v>0.11900000000000002</v>
      </c>
      <c r="Q250" s="510">
        <f t="shared" si="83"/>
        <v>2.4499999999999997E-2</v>
      </c>
      <c r="R250" s="524"/>
    </row>
    <row r="251" spans="1:18" x14ac:dyDescent="0.3">
      <c r="A251" s="523" t="s">
        <v>1871</v>
      </c>
      <c r="B251" s="159">
        <v>1</v>
      </c>
      <c r="C251" s="159" t="s">
        <v>49</v>
      </c>
      <c r="D251" s="510">
        <v>0.7</v>
      </c>
      <c r="E251" s="510">
        <v>0.7</v>
      </c>
      <c r="F251" s="510"/>
      <c r="G251" s="510"/>
      <c r="H251" s="510"/>
      <c r="I251" s="510">
        <v>0.65</v>
      </c>
      <c r="J251" s="510">
        <v>1</v>
      </c>
      <c r="K251" s="510">
        <f t="shared" si="78"/>
        <v>4.05</v>
      </c>
      <c r="L251" s="510">
        <f t="shared" si="79"/>
        <v>1.8199999999999998</v>
      </c>
      <c r="M251" s="510">
        <f t="shared" si="80"/>
        <v>0.31849999999999995</v>
      </c>
      <c r="N251" s="510">
        <f t="shared" si="81"/>
        <v>1.8589999999999995</v>
      </c>
      <c r="O251" s="510">
        <f t="shared" si="82"/>
        <v>1.3969999999999996</v>
      </c>
      <c r="P251" s="510">
        <f>0.45*0.4*0.15*2+0.55*0.4*0.15+0.2*0.4*0.4</f>
        <v>0.11900000000000002</v>
      </c>
      <c r="Q251" s="510">
        <f t="shared" si="83"/>
        <v>2.4499999999999997E-2</v>
      </c>
      <c r="R251" s="524"/>
    </row>
    <row r="252" spans="1:18" x14ac:dyDescent="0.3">
      <c r="A252" s="523" t="s">
        <v>1872</v>
      </c>
      <c r="B252" s="159">
        <v>1</v>
      </c>
      <c r="C252" s="159" t="s">
        <v>49</v>
      </c>
      <c r="D252" s="510">
        <v>0.7</v>
      </c>
      <c r="E252" s="510">
        <v>0.7</v>
      </c>
      <c r="F252" s="510"/>
      <c r="G252" s="510"/>
      <c r="H252" s="510"/>
      <c r="I252" s="510">
        <v>0.65</v>
      </c>
      <c r="J252" s="510">
        <v>1</v>
      </c>
      <c r="K252" s="510">
        <f t="shared" si="78"/>
        <v>4.05</v>
      </c>
      <c r="L252" s="510">
        <f t="shared" si="79"/>
        <v>1.8199999999999998</v>
      </c>
      <c r="M252" s="510">
        <f t="shared" si="80"/>
        <v>0.31849999999999995</v>
      </c>
      <c r="N252" s="510">
        <f t="shared" si="81"/>
        <v>1.8589999999999995</v>
      </c>
      <c r="O252" s="510">
        <f t="shared" si="82"/>
        <v>1.3639999999999994</v>
      </c>
      <c r="P252" s="510">
        <f>0.45*0.4*0.15*2+0.55*0.4*0.15*2+0.2*0.4*0.4</f>
        <v>0.15200000000000002</v>
      </c>
      <c r="Q252" s="510">
        <f t="shared" si="83"/>
        <v>2.4499999999999997E-2</v>
      </c>
      <c r="R252" s="524"/>
    </row>
    <row r="253" spans="1:18" x14ac:dyDescent="0.3">
      <c r="A253" s="523" t="s">
        <v>1873</v>
      </c>
      <c r="B253" s="159">
        <v>1</v>
      </c>
      <c r="C253" s="159" t="s">
        <v>49</v>
      </c>
      <c r="D253" s="510">
        <v>0.7</v>
      </c>
      <c r="E253" s="510">
        <v>0.7</v>
      </c>
      <c r="F253" s="510"/>
      <c r="G253" s="510"/>
      <c r="H253" s="510"/>
      <c r="I253" s="510">
        <v>0.65</v>
      </c>
      <c r="J253" s="510">
        <v>1</v>
      </c>
      <c r="K253" s="510">
        <f t="shared" si="78"/>
        <v>4.05</v>
      </c>
      <c r="L253" s="510">
        <f t="shared" si="79"/>
        <v>1.8199999999999998</v>
      </c>
      <c r="M253" s="510">
        <f t="shared" si="80"/>
        <v>0.31849999999999995</v>
      </c>
      <c r="N253" s="510">
        <f t="shared" si="81"/>
        <v>1.8589999999999995</v>
      </c>
      <c r="O253" s="510">
        <f t="shared" si="82"/>
        <v>1.3639999999999994</v>
      </c>
      <c r="P253" s="510">
        <f>0.45*0.4*0.15*2+0.55*0.4*0.15*2+0.2*0.4*0.4</f>
        <v>0.15200000000000002</v>
      </c>
      <c r="Q253" s="510">
        <f t="shared" si="83"/>
        <v>2.4499999999999997E-2</v>
      </c>
      <c r="R253" s="524"/>
    </row>
    <row r="254" spans="1:18" x14ac:dyDescent="0.3">
      <c r="A254" s="523" t="s">
        <v>1874</v>
      </c>
      <c r="B254" s="159">
        <v>1</v>
      </c>
      <c r="C254" s="159" t="s">
        <v>49</v>
      </c>
      <c r="D254" s="510">
        <v>0.7</v>
      </c>
      <c r="E254" s="510">
        <v>0.7</v>
      </c>
      <c r="F254" s="510"/>
      <c r="G254" s="510"/>
      <c r="H254" s="510"/>
      <c r="I254" s="510">
        <v>0.65</v>
      </c>
      <c r="J254" s="510">
        <v>1</v>
      </c>
      <c r="K254" s="510">
        <f t="shared" si="78"/>
        <v>4.05</v>
      </c>
      <c r="L254" s="510">
        <f t="shared" si="79"/>
        <v>1.8199999999999998</v>
      </c>
      <c r="M254" s="510">
        <f t="shared" si="80"/>
        <v>0.31849999999999995</v>
      </c>
      <c r="N254" s="510">
        <f t="shared" si="81"/>
        <v>1.8589999999999995</v>
      </c>
      <c r="O254" s="510">
        <f t="shared" si="82"/>
        <v>1.3969999999999996</v>
      </c>
      <c r="P254" s="510">
        <f>0.45*0.4*0.15*2+0.55*0.4*0.15+0.2*0.4*0.4</f>
        <v>0.11900000000000002</v>
      </c>
      <c r="Q254" s="510">
        <f t="shared" si="83"/>
        <v>2.4499999999999997E-2</v>
      </c>
      <c r="R254" s="524"/>
    </row>
    <row r="255" spans="1:18" x14ac:dyDescent="0.3">
      <c r="A255" s="523" t="s">
        <v>1875</v>
      </c>
      <c r="B255" s="159">
        <v>1</v>
      </c>
      <c r="C255" s="159" t="s">
        <v>49</v>
      </c>
      <c r="D255" s="510">
        <v>0.7</v>
      </c>
      <c r="E255" s="510">
        <v>0.7</v>
      </c>
      <c r="F255" s="510"/>
      <c r="G255" s="510"/>
      <c r="H255" s="510"/>
      <c r="I255" s="510">
        <v>0.65</v>
      </c>
      <c r="J255" s="510">
        <v>1</v>
      </c>
      <c r="K255" s="510">
        <f t="shared" si="78"/>
        <v>4.05</v>
      </c>
      <c r="L255" s="510">
        <f t="shared" si="79"/>
        <v>1.8199999999999998</v>
      </c>
      <c r="M255" s="510">
        <f t="shared" si="80"/>
        <v>0.31849999999999995</v>
      </c>
      <c r="N255" s="510">
        <f t="shared" si="81"/>
        <v>1.8589999999999995</v>
      </c>
      <c r="O255" s="510">
        <f t="shared" si="82"/>
        <v>1.3969999999999996</v>
      </c>
      <c r="P255" s="510">
        <f>0.45*0.4*0.15*2+0.55*0.4*0.15+0.2*0.4*0.4</f>
        <v>0.11900000000000002</v>
      </c>
      <c r="Q255" s="510">
        <f t="shared" si="83"/>
        <v>2.4499999999999997E-2</v>
      </c>
      <c r="R255" s="524"/>
    </row>
    <row r="256" spans="1:18" x14ac:dyDescent="0.3">
      <c r="A256" s="523" t="s">
        <v>1876</v>
      </c>
      <c r="B256" s="159">
        <v>1</v>
      </c>
      <c r="C256" s="159" t="s">
        <v>49</v>
      </c>
      <c r="D256" s="510">
        <v>0.7</v>
      </c>
      <c r="E256" s="510">
        <v>0.7</v>
      </c>
      <c r="F256" s="510"/>
      <c r="G256" s="510"/>
      <c r="H256" s="510"/>
      <c r="I256" s="510">
        <v>0.65</v>
      </c>
      <c r="J256" s="510">
        <v>1</v>
      </c>
      <c r="K256" s="510">
        <f t="shared" si="78"/>
        <v>4.05</v>
      </c>
      <c r="L256" s="510">
        <f t="shared" si="79"/>
        <v>1.8199999999999998</v>
      </c>
      <c r="M256" s="510">
        <f t="shared" si="80"/>
        <v>0.31849999999999995</v>
      </c>
      <c r="N256" s="510">
        <f t="shared" si="81"/>
        <v>1.8589999999999995</v>
      </c>
      <c r="O256" s="510">
        <f t="shared" si="82"/>
        <v>1.3949999999999996</v>
      </c>
      <c r="P256" s="510">
        <f>0.4*0.4*0.15*2+0.55*0.4*0.15+0.2*0.5*0.4</f>
        <v>0.12100000000000002</v>
      </c>
      <c r="Q256" s="510">
        <f t="shared" si="83"/>
        <v>2.4499999999999997E-2</v>
      </c>
      <c r="R256" s="524"/>
    </row>
    <row r="257" spans="1:18" x14ac:dyDescent="0.3">
      <c r="A257" s="523" t="s">
        <v>1877</v>
      </c>
      <c r="B257" s="159">
        <v>1</v>
      </c>
      <c r="C257" s="159" t="s">
        <v>49</v>
      </c>
      <c r="D257" s="510">
        <v>0.7</v>
      </c>
      <c r="E257" s="510">
        <v>0.7</v>
      </c>
      <c r="F257" s="510"/>
      <c r="G257" s="510"/>
      <c r="H257" s="510"/>
      <c r="I257" s="510">
        <v>0.65</v>
      </c>
      <c r="J257" s="510">
        <v>1</v>
      </c>
      <c r="K257" s="510">
        <f t="shared" si="78"/>
        <v>4.05</v>
      </c>
      <c r="L257" s="510">
        <f t="shared" si="79"/>
        <v>1.8199999999999998</v>
      </c>
      <c r="M257" s="510">
        <f t="shared" si="80"/>
        <v>0.31849999999999995</v>
      </c>
      <c r="N257" s="510">
        <f t="shared" si="81"/>
        <v>1.8589999999999995</v>
      </c>
      <c r="O257" s="510">
        <f t="shared" si="82"/>
        <v>1.3949999999999996</v>
      </c>
      <c r="P257" s="510">
        <f>0.4*0.4*0.15*2+0.55*0.4*0.15+0.2*0.5*0.4</f>
        <v>0.12100000000000002</v>
      </c>
      <c r="Q257" s="510">
        <f t="shared" si="83"/>
        <v>2.4499999999999997E-2</v>
      </c>
      <c r="R257" s="524"/>
    </row>
    <row r="258" spans="1:18" ht="15" thickBot="1" x14ac:dyDescent="0.35">
      <c r="A258" s="523" t="s">
        <v>1878</v>
      </c>
      <c r="B258" s="159">
        <v>1</v>
      </c>
      <c r="C258" s="159" t="s">
        <v>49</v>
      </c>
      <c r="D258" s="510">
        <v>0.7</v>
      </c>
      <c r="E258" s="510">
        <v>0.7</v>
      </c>
      <c r="F258" s="510"/>
      <c r="G258" s="510"/>
      <c r="H258" s="510"/>
      <c r="I258" s="510">
        <v>0.65</v>
      </c>
      <c r="J258" s="510">
        <v>1</v>
      </c>
      <c r="K258" s="510">
        <f t="shared" si="78"/>
        <v>4.05</v>
      </c>
      <c r="L258" s="510">
        <f t="shared" si="79"/>
        <v>1.8199999999999998</v>
      </c>
      <c r="M258" s="510">
        <f t="shared" si="80"/>
        <v>0.31849999999999995</v>
      </c>
      <c r="N258" s="510">
        <f t="shared" si="81"/>
        <v>1.8589999999999995</v>
      </c>
      <c r="O258" s="510">
        <f t="shared" si="82"/>
        <v>1.3969999999999996</v>
      </c>
      <c r="P258" s="510">
        <f>0.45*0.4*0.15*2+0.55*0.4*0.15+0.2*0.4*0.4</f>
        <v>0.11900000000000002</v>
      </c>
      <c r="Q258" s="510">
        <f t="shared" si="83"/>
        <v>2.4499999999999997E-2</v>
      </c>
      <c r="R258" s="524"/>
    </row>
    <row r="259" spans="1:18" x14ac:dyDescent="0.3">
      <c r="A259" s="609" t="s">
        <v>2115</v>
      </c>
      <c r="B259" s="609"/>
      <c r="C259" s="609"/>
      <c r="D259" s="609"/>
      <c r="E259" s="609"/>
      <c r="F259" s="609"/>
      <c r="G259" s="609"/>
      <c r="H259" s="609"/>
      <c r="I259" s="609"/>
      <c r="J259" s="609"/>
      <c r="K259" s="609"/>
      <c r="L259" s="609"/>
      <c r="M259" s="609"/>
      <c r="N259" s="609"/>
      <c r="O259" s="609"/>
      <c r="P259" s="609"/>
      <c r="Q259" s="610"/>
      <c r="R259" s="471"/>
    </row>
    <row r="260" spans="1:18" x14ac:dyDescent="0.3">
      <c r="A260" s="523" t="s">
        <v>2116</v>
      </c>
      <c r="B260" s="159">
        <v>1</v>
      </c>
      <c r="C260" s="159" t="s">
        <v>49</v>
      </c>
      <c r="D260" s="510">
        <v>0.7</v>
      </c>
      <c r="E260" s="510">
        <v>0.7</v>
      </c>
      <c r="F260" s="510"/>
      <c r="G260" s="510"/>
      <c r="H260" s="510"/>
      <c r="I260" s="510">
        <v>0.65</v>
      </c>
      <c r="J260" s="510">
        <v>1</v>
      </c>
      <c r="K260" s="510">
        <f>J260*($Q$15+I260+$Q$12)</f>
        <v>3.9499999999999997</v>
      </c>
      <c r="L260" s="510">
        <f t="shared" si="79"/>
        <v>1.8199999999999998</v>
      </c>
      <c r="M260" s="510">
        <f t="shared" si="80"/>
        <v>0.31849999999999995</v>
      </c>
      <c r="N260" s="510">
        <f>(D260+$Q$14*2)*(E260+$Q$14*2)*(I260+$Q$16+$Q$12)</f>
        <v>1.6899999999999995</v>
      </c>
      <c r="O260" s="510">
        <f t="shared" si="82"/>
        <v>1.2749249999999996</v>
      </c>
      <c r="P260" s="510">
        <f>0.15*0.4*0.3+0.45*0.15*0.35+0.58*0.15*0.35</f>
        <v>7.2074999999999986E-2</v>
      </c>
      <c r="Q260" s="510">
        <f>D260*E260*$Q$16*B260</f>
        <v>2.4499999999999997E-2</v>
      </c>
      <c r="R260" s="471"/>
    </row>
    <row r="261" spans="1:18" x14ac:dyDescent="0.3">
      <c r="A261" s="523" t="s">
        <v>2117</v>
      </c>
      <c r="B261" s="159">
        <v>1</v>
      </c>
      <c r="C261" s="159" t="s">
        <v>49</v>
      </c>
      <c r="D261" s="510">
        <v>0.7</v>
      </c>
      <c r="E261" s="510">
        <v>0.7</v>
      </c>
      <c r="F261" s="510"/>
      <c r="G261" s="510"/>
      <c r="H261" s="510"/>
      <c r="I261" s="510">
        <v>0.65</v>
      </c>
      <c r="J261" s="510">
        <v>1</v>
      </c>
      <c r="K261" s="510">
        <f t="shared" ref="K261:K283" si="84">J261*($Q$15+I261+$Q$12)</f>
        <v>3.9499999999999997</v>
      </c>
      <c r="L261" s="510">
        <f t="shared" ref="L261:L283" si="85">(D261*2+E261*2)*I261</f>
        <v>1.8199999999999998</v>
      </c>
      <c r="M261" s="510">
        <f t="shared" ref="M261:M283" si="86">((D261*E261*I261))*B261</f>
        <v>0.31849999999999995</v>
      </c>
      <c r="N261" s="510">
        <f t="shared" ref="N261:N283" si="87">(D261+$Q$14*2)*(E261+$Q$14*2)*(I261+$Q$16+$Q$12)</f>
        <v>1.6899999999999995</v>
      </c>
      <c r="O261" s="510">
        <f t="shared" ref="O261:O283" si="88">N261-(M261+Q261+P261)</f>
        <v>1.2489749999999995</v>
      </c>
      <c r="P261" s="510">
        <f>0.15*0.3*0.3+0.45*0.15*0.35+2*0.58*0.15*0.35</f>
        <v>9.8024999999999987E-2</v>
      </c>
      <c r="Q261" s="510">
        <f t="shared" ref="Q261:Q283" si="89">D261*E261*$Q$16*B261</f>
        <v>2.4499999999999997E-2</v>
      </c>
      <c r="R261" s="471"/>
    </row>
    <row r="262" spans="1:18" x14ac:dyDescent="0.3">
      <c r="A262" s="523" t="s">
        <v>2118</v>
      </c>
      <c r="B262" s="159">
        <v>1</v>
      </c>
      <c r="C262" s="159" t="s">
        <v>49</v>
      </c>
      <c r="D262" s="510">
        <v>0.7</v>
      </c>
      <c r="E262" s="510">
        <v>0.7</v>
      </c>
      <c r="F262" s="510"/>
      <c r="G262" s="510"/>
      <c r="H262" s="510"/>
      <c r="I262" s="510">
        <v>0.65</v>
      </c>
      <c r="J262" s="510">
        <v>1</v>
      </c>
      <c r="K262" s="510">
        <f t="shared" si="84"/>
        <v>3.9499999999999997</v>
      </c>
      <c r="L262" s="510">
        <f t="shared" si="85"/>
        <v>1.8199999999999998</v>
      </c>
      <c r="M262" s="510">
        <f t="shared" si="86"/>
        <v>0.31849999999999995</v>
      </c>
      <c r="N262" s="510">
        <f t="shared" si="87"/>
        <v>1.6899999999999995</v>
      </c>
      <c r="O262" s="510">
        <f t="shared" si="88"/>
        <v>1.2489749999999995</v>
      </c>
      <c r="P262" s="510">
        <f>0.15*0.3*0.3+0.45*0.15*0.35+2*0.58*0.15*0.35</f>
        <v>9.8024999999999987E-2</v>
      </c>
      <c r="Q262" s="510">
        <f t="shared" si="89"/>
        <v>2.4499999999999997E-2</v>
      </c>
      <c r="R262" s="471"/>
    </row>
    <row r="263" spans="1:18" x14ac:dyDescent="0.3">
      <c r="A263" s="523" t="s">
        <v>2119</v>
      </c>
      <c r="B263" s="159">
        <v>1</v>
      </c>
      <c r="C263" s="159" t="s">
        <v>49</v>
      </c>
      <c r="D263" s="510">
        <v>0.7</v>
      </c>
      <c r="E263" s="510">
        <v>0.7</v>
      </c>
      <c r="F263" s="510"/>
      <c r="G263" s="510"/>
      <c r="H263" s="510"/>
      <c r="I263" s="510">
        <v>0.65</v>
      </c>
      <c r="J263" s="510">
        <v>1</v>
      </c>
      <c r="K263" s="510">
        <f t="shared" si="84"/>
        <v>3.9499999999999997</v>
      </c>
      <c r="L263" s="510">
        <f t="shared" si="85"/>
        <v>1.8199999999999998</v>
      </c>
      <c r="M263" s="510">
        <f t="shared" si="86"/>
        <v>0.31849999999999995</v>
      </c>
      <c r="N263" s="510">
        <f t="shared" si="87"/>
        <v>1.6899999999999995</v>
      </c>
      <c r="O263" s="510">
        <f t="shared" si="88"/>
        <v>1.2800999999999996</v>
      </c>
      <c r="P263" s="510">
        <f>0.15*0.25*0.3+2*0.53*0.15*0.35</f>
        <v>6.6900000000000001E-2</v>
      </c>
      <c r="Q263" s="510">
        <f t="shared" si="89"/>
        <v>2.4499999999999997E-2</v>
      </c>
      <c r="R263" s="471"/>
    </row>
    <row r="264" spans="1:18" x14ac:dyDescent="0.3">
      <c r="A264" s="523" t="s">
        <v>2120</v>
      </c>
      <c r="B264" s="159">
        <v>1</v>
      </c>
      <c r="C264" s="159" t="s">
        <v>49</v>
      </c>
      <c r="D264" s="510">
        <v>0.7</v>
      </c>
      <c r="E264" s="510">
        <v>0.7</v>
      </c>
      <c r="F264" s="510"/>
      <c r="G264" s="510"/>
      <c r="H264" s="510"/>
      <c r="I264" s="510">
        <v>0.65</v>
      </c>
      <c r="J264" s="510">
        <v>1</v>
      </c>
      <c r="K264" s="510">
        <f t="shared" si="84"/>
        <v>3.9499999999999997</v>
      </c>
      <c r="L264" s="510">
        <f t="shared" si="85"/>
        <v>1.8199999999999998</v>
      </c>
      <c r="M264" s="510">
        <f t="shared" si="86"/>
        <v>0.31849999999999995</v>
      </c>
      <c r="N264" s="510">
        <f t="shared" si="87"/>
        <v>1.6899999999999995</v>
      </c>
      <c r="O264" s="510">
        <f t="shared" si="88"/>
        <v>1.2774749999999995</v>
      </c>
      <c r="P264" s="510">
        <f>0.15*0.25*0.3+0.53*0.15*0.35+0.58*0.15*0.35</f>
        <v>6.952499999999999E-2</v>
      </c>
      <c r="Q264" s="510">
        <f t="shared" si="89"/>
        <v>2.4499999999999997E-2</v>
      </c>
      <c r="R264" s="471"/>
    </row>
    <row r="265" spans="1:18" x14ac:dyDescent="0.3">
      <c r="A265" s="523" t="s">
        <v>2121</v>
      </c>
      <c r="B265" s="159">
        <v>1</v>
      </c>
      <c r="C265" s="159" t="s">
        <v>49</v>
      </c>
      <c r="D265" s="510">
        <v>0.7</v>
      </c>
      <c r="E265" s="510">
        <v>0.7</v>
      </c>
      <c r="F265" s="510"/>
      <c r="G265" s="510"/>
      <c r="H265" s="510"/>
      <c r="I265" s="510">
        <v>0.65</v>
      </c>
      <c r="J265" s="510">
        <v>1</v>
      </c>
      <c r="K265" s="510">
        <f t="shared" si="84"/>
        <v>3.9499999999999997</v>
      </c>
      <c r="L265" s="510">
        <f t="shared" si="85"/>
        <v>1.8199999999999998</v>
      </c>
      <c r="M265" s="510">
        <f t="shared" si="86"/>
        <v>0.31849999999999995</v>
      </c>
      <c r="N265" s="510">
        <f t="shared" si="87"/>
        <v>1.6899999999999995</v>
      </c>
      <c r="O265" s="510">
        <f t="shared" si="88"/>
        <v>1.2489749999999995</v>
      </c>
      <c r="P265" s="510">
        <f>0.15*0.3*0.3+0.45*0.15*0.35+2*0.58*0.15*0.35</f>
        <v>9.8024999999999987E-2</v>
      </c>
      <c r="Q265" s="510">
        <f t="shared" si="89"/>
        <v>2.4499999999999997E-2</v>
      </c>
      <c r="R265" s="471"/>
    </row>
    <row r="266" spans="1:18" x14ac:dyDescent="0.3">
      <c r="A266" s="523" t="s">
        <v>2122</v>
      </c>
      <c r="B266" s="159">
        <v>1</v>
      </c>
      <c r="C266" s="159" t="s">
        <v>49</v>
      </c>
      <c r="D266" s="510">
        <v>0.7</v>
      </c>
      <c r="E266" s="510">
        <v>0.7</v>
      </c>
      <c r="F266" s="510"/>
      <c r="G266" s="510"/>
      <c r="H266" s="510"/>
      <c r="I266" s="510">
        <v>0.65</v>
      </c>
      <c r="J266" s="510">
        <v>1</v>
      </c>
      <c r="K266" s="510">
        <f t="shared" si="84"/>
        <v>3.9499999999999997</v>
      </c>
      <c r="L266" s="510">
        <f t="shared" si="85"/>
        <v>1.8199999999999998</v>
      </c>
      <c r="M266" s="510">
        <f t="shared" si="86"/>
        <v>0.31849999999999995</v>
      </c>
      <c r="N266" s="510">
        <f t="shared" si="87"/>
        <v>1.6899999999999995</v>
      </c>
      <c r="O266" s="510">
        <f t="shared" si="88"/>
        <v>1.2772499999999996</v>
      </c>
      <c r="P266" s="510">
        <f>0.2*0.2*0.3+2*0.55*0.15*0.35</f>
        <v>6.9749999999999993E-2</v>
      </c>
      <c r="Q266" s="510">
        <f t="shared" si="89"/>
        <v>2.4499999999999997E-2</v>
      </c>
      <c r="R266" s="471"/>
    </row>
    <row r="267" spans="1:18" x14ac:dyDescent="0.3">
      <c r="A267" s="523" t="s">
        <v>2123</v>
      </c>
      <c r="B267" s="159">
        <v>1</v>
      </c>
      <c r="C267" s="159" t="s">
        <v>49</v>
      </c>
      <c r="D267" s="510">
        <v>0.7</v>
      </c>
      <c r="E267" s="510">
        <v>0.7</v>
      </c>
      <c r="F267" s="510"/>
      <c r="G267" s="510"/>
      <c r="H267" s="510"/>
      <c r="I267" s="510">
        <v>0.65</v>
      </c>
      <c r="J267" s="510">
        <v>1</v>
      </c>
      <c r="K267" s="510">
        <f t="shared" si="84"/>
        <v>3.9499999999999997</v>
      </c>
      <c r="L267" s="510">
        <f t="shared" si="85"/>
        <v>1.8199999999999998</v>
      </c>
      <c r="M267" s="510">
        <f t="shared" si="86"/>
        <v>0.31849999999999995</v>
      </c>
      <c r="N267" s="510">
        <f t="shared" si="87"/>
        <v>1.6899999999999995</v>
      </c>
      <c r="O267" s="510">
        <f t="shared" si="88"/>
        <v>1.2800999999999996</v>
      </c>
      <c r="P267" s="510">
        <f>0.15*0.25*0.3+2*0.53*0.15*0.35</f>
        <v>6.6900000000000001E-2</v>
      </c>
      <c r="Q267" s="510">
        <f t="shared" si="89"/>
        <v>2.4499999999999997E-2</v>
      </c>
      <c r="R267" s="471"/>
    </row>
    <row r="268" spans="1:18" x14ac:dyDescent="0.3">
      <c r="A268" s="523" t="s">
        <v>2124</v>
      </c>
      <c r="B268" s="159">
        <v>1</v>
      </c>
      <c r="C268" s="159" t="s">
        <v>49</v>
      </c>
      <c r="D268" s="510">
        <v>0.7</v>
      </c>
      <c r="E268" s="510">
        <v>0.7</v>
      </c>
      <c r="F268" s="510"/>
      <c r="G268" s="510"/>
      <c r="H268" s="510"/>
      <c r="I268" s="510">
        <v>0.65</v>
      </c>
      <c r="J268" s="510">
        <v>1</v>
      </c>
      <c r="K268" s="510">
        <f t="shared" si="84"/>
        <v>3.9499999999999997</v>
      </c>
      <c r="L268" s="510">
        <f t="shared" si="85"/>
        <v>1.8199999999999998</v>
      </c>
      <c r="M268" s="510">
        <f t="shared" si="86"/>
        <v>0.31849999999999995</v>
      </c>
      <c r="N268" s="510">
        <f t="shared" si="87"/>
        <v>1.6899999999999995</v>
      </c>
      <c r="O268" s="510">
        <f t="shared" si="88"/>
        <v>1.2772499999999996</v>
      </c>
      <c r="P268" s="510">
        <f>0.2*0.2*0.3+2*0.55*0.15*0.35</f>
        <v>6.9749999999999993E-2</v>
      </c>
      <c r="Q268" s="510">
        <f t="shared" si="89"/>
        <v>2.4499999999999997E-2</v>
      </c>
      <c r="R268" s="471"/>
    </row>
    <row r="269" spans="1:18" x14ac:dyDescent="0.3">
      <c r="A269" s="523" t="s">
        <v>2125</v>
      </c>
      <c r="B269" s="159">
        <v>1</v>
      </c>
      <c r="C269" s="159" t="s">
        <v>49</v>
      </c>
      <c r="D269" s="510">
        <v>0.7</v>
      </c>
      <c r="E269" s="510">
        <v>0.7</v>
      </c>
      <c r="F269" s="510"/>
      <c r="G269" s="510"/>
      <c r="H269" s="510"/>
      <c r="I269" s="510">
        <v>0.65</v>
      </c>
      <c r="J269" s="510">
        <v>1</v>
      </c>
      <c r="K269" s="510">
        <f t="shared" si="84"/>
        <v>3.9499999999999997</v>
      </c>
      <c r="L269" s="510">
        <f t="shared" si="85"/>
        <v>1.8199999999999998</v>
      </c>
      <c r="M269" s="510">
        <f t="shared" si="86"/>
        <v>0.31849999999999995</v>
      </c>
      <c r="N269" s="510">
        <f t="shared" si="87"/>
        <v>1.6899999999999995</v>
      </c>
      <c r="O269" s="510">
        <f t="shared" si="88"/>
        <v>1.2496499999999995</v>
      </c>
      <c r="P269" s="510">
        <f>0.15*0.25*0.3+2*0.53*0.15*0.35+0.58*0.15*0.35</f>
        <v>9.7349999999999992E-2</v>
      </c>
      <c r="Q269" s="510">
        <f t="shared" si="89"/>
        <v>2.4499999999999997E-2</v>
      </c>
      <c r="R269" s="471"/>
    </row>
    <row r="270" spans="1:18" x14ac:dyDescent="0.3">
      <c r="A270" s="523" t="s">
        <v>2137</v>
      </c>
      <c r="B270" s="159">
        <v>1</v>
      </c>
      <c r="C270" s="159" t="s">
        <v>49</v>
      </c>
      <c r="D270" s="510">
        <v>0.7</v>
      </c>
      <c r="E270" s="510">
        <v>0.7</v>
      </c>
      <c r="F270" s="510"/>
      <c r="G270" s="510"/>
      <c r="H270" s="510"/>
      <c r="I270" s="510">
        <v>1</v>
      </c>
      <c r="J270" s="510">
        <v>1</v>
      </c>
      <c r="K270" s="510">
        <f>J270*($Q$15+I270)</f>
        <v>4</v>
      </c>
      <c r="L270" s="510">
        <f t="shared" si="85"/>
        <v>2.8</v>
      </c>
      <c r="M270" s="510">
        <f t="shared" si="86"/>
        <v>0.48999999999999994</v>
      </c>
      <c r="N270" s="510">
        <f t="shared" si="87"/>
        <v>2.2814999999999994</v>
      </c>
      <c r="O270" s="510">
        <f t="shared" si="88"/>
        <v>1.7512499999999993</v>
      </c>
      <c r="P270" s="510">
        <f>0.3*0.15*0.35</f>
        <v>1.575E-2</v>
      </c>
      <c r="Q270" s="510">
        <f t="shared" si="89"/>
        <v>2.4499999999999997E-2</v>
      </c>
      <c r="R270" s="471"/>
    </row>
    <row r="271" spans="1:18" x14ac:dyDescent="0.3">
      <c r="A271" s="523" t="s">
        <v>2126</v>
      </c>
      <c r="B271" s="159">
        <v>1</v>
      </c>
      <c r="C271" s="159" t="s">
        <v>49</v>
      </c>
      <c r="D271" s="510">
        <v>0.7</v>
      </c>
      <c r="E271" s="510">
        <v>0.7</v>
      </c>
      <c r="F271" s="510"/>
      <c r="G271" s="510"/>
      <c r="H271" s="510"/>
      <c r="I271" s="510">
        <v>0.65</v>
      </c>
      <c r="J271" s="510">
        <v>1</v>
      </c>
      <c r="K271" s="510">
        <f t="shared" si="84"/>
        <v>3.9499999999999997</v>
      </c>
      <c r="L271" s="510">
        <f t="shared" si="85"/>
        <v>1.8199999999999998</v>
      </c>
      <c r="M271" s="510">
        <f t="shared" si="86"/>
        <v>0.31849999999999995</v>
      </c>
      <c r="N271" s="510">
        <f t="shared" si="87"/>
        <v>1.6899999999999995</v>
      </c>
      <c r="O271" s="510">
        <f t="shared" si="88"/>
        <v>1.2772499999999996</v>
      </c>
      <c r="P271" s="510">
        <f>0.2*0.2*0.3+2*0.55*0.15*0.35</f>
        <v>6.9749999999999993E-2</v>
      </c>
      <c r="Q271" s="510">
        <f t="shared" si="89"/>
        <v>2.4499999999999997E-2</v>
      </c>
      <c r="R271" s="471"/>
    </row>
    <row r="272" spans="1:18" x14ac:dyDescent="0.3">
      <c r="A272" s="523" t="s">
        <v>2127</v>
      </c>
      <c r="B272" s="159">
        <v>1</v>
      </c>
      <c r="C272" s="159" t="s">
        <v>49</v>
      </c>
      <c r="D272" s="510">
        <v>0.7</v>
      </c>
      <c r="E272" s="510">
        <v>0.7</v>
      </c>
      <c r="F272" s="510"/>
      <c r="G272" s="510"/>
      <c r="H272" s="510"/>
      <c r="I272" s="510">
        <v>0.65</v>
      </c>
      <c r="J272" s="510">
        <v>1</v>
      </c>
      <c r="K272" s="510">
        <f t="shared" si="84"/>
        <v>3.9499999999999997</v>
      </c>
      <c r="L272" s="510">
        <f t="shared" si="85"/>
        <v>1.8199999999999998</v>
      </c>
      <c r="M272" s="510">
        <f t="shared" si="86"/>
        <v>0.31849999999999995</v>
      </c>
      <c r="N272" s="510">
        <f t="shared" si="87"/>
        <v>1.6899999999999995</v>
      </c>
      <c r="O272" s="510">
        <f t="shared" si="88"/>
        <v>1.2772499999999996</v>
      </c>
      <c r="P272" s="510">
        <f>0.2*0.2*0.3+2*0.55*0.15*0.35</f>
        <v>6.9749999999999993E-2</v>
      </c>
      <c r="Q272" s="510">
        <f t="shared" si="89"/>
        <v>2.4499999999999997E-2</v>
      </c>
      <c r="R272" s="471"/>
    </row>
    <row r="273" spans="1:18" x14ac:dyDescent="0.3">
      <c r="A273" s="523" t="s">
        <v>2128</v>
      </c>
      <c r="B273" s="159">
        <v>1</v>
      </c>
      <c r="C273" s="159" t="s">
        <v>49</v>
      </c>
      <c r="D273" s="510">
        <v>0.7</v>
      </c>
      <c r="E273" s="510">
        <v>0.7</v>
      </c>
      <c r="F273" s="510"/>
      <c r="G273" s="510"/>
      <c r="H273" s="510"/>
      <c r="I273" s="510">
        <v>0.65</v>
      </c>
      <c r="J273" s="510">
        <v>1</v>
      </c>
      <c r="K273" s="510">
        <f t="shared" si="84"/>
        <v>3.9499999999999997</v>
      </c>
      <c r="L273" s="510">
        <f t="shared" si="85"/>
        <v>1.8199999999999998</v>
      </c>
      <c r="M273" s="510">
        <f t="shared" si="86"/>
        <v>0.31849999999999995</v>
      </c>
      <c r="N273" s="510">
        <f t="shared" si="87"/>
        <v>1.6899999999999995</v>
      </c>
      <c r="O273" s="510">
        <f t="shared" si="88"/>
        <v>1.2800999999999996</v>
      </c>
      <c r="P273" s="510">
        <f>0.15*0.25*0.3+2*0.53*0.15*0.35</f>
        <v>6.6900000000000001E-2</v>
      </c>
      <c r="Q273" s="510">
        <f t="shared" si="89"/>
        <v>2.4499999999999997E-2</v>
      </c>
      <c r="R273" s="471"/>
    </row>
    <row r="274" spans="1:18" x14ac:dyDescent="0.3">
      <c r="A274" s="523" t="s">
        <v>2129</v>
      </c>
      <c r="B274" s="159">
        <v>1</v>
      </c>
      <c r="C274" s="159" t="s">
        <v>49</v>
      </c>
      <c r="D274" s="510">
        <v>0.7</v>
      </c>
      <c r="E274" s="510">
        <v>0.7</v>
      </c>
      <c r="F274" s="510"/>
      <c r="G274" s="510"/>
      <c r="H274" s="510"/>
      <c r="I274" s="510">
        <v>0.65</v>
      </c>
      <c r="J274" s="510">
        <v>1</v>
      </c>
      <c r="K274" s="510">
        <f t="shared" si="84"/>
        <v>3.9499999999999997</v>
      </c>
      <c r="L274" s="510">
        <f t="shared" si="85"/>
        <v>1.8199999999999998</v>
      </c>
      <c r="M274" s="510">
        <f t="shared" si="86"/>
        <v>0.31849999999999995</v>
      </c>
      <c r="N274" s="510">
        <f t="shared" si="87"/>
        <v>1.6899999999999995</v>
      </c>
      <c r="O274" s="510">
        <f t="shared" si="88"/>
        <v>1.2772499999999996</v>
      </c>
      <c r="P274" s="510">
        <f>0.2*0.2*0.3+2*0.55*0.15*0.35</f>
        <v>6.9749999999999993E-2</v>
      </c>
      <c r="Q274" s="510">
        <f t="shared" si="89"/>
        <v>2.4499999999999997E-2</v>
      </c>
      <c r="R274" s="471"/>
    </row>
    <row r="275" spans="1:18" x14ac:dyDescent="0.3">
      <c r="A275" s="523" t="s">
        <v>2130</v>
      </c>
      <c r="B275" s="159">
        <v>1</v>
      </c>
      <c r="C275" s="159" t="s">
        <v>49</v>
      </c>
      <c r="D275" s="510">
        <v>0.7</v>
      </c>
      <c r="E275" s="510">
        <v>0.7</v>
      </c>
      <c r="F275" s="510"/>
      <c r="G275" s="510"/>
      <c r="H275" s="510"/>
      <c r="I275" s="510">
        <v>0.65</v>
      </c>
      <c r="J275" s="510">
        <v>1</v>
      </c>
      <c r="K275" s="510">
        <f t="shared" si="84"/>
        <v>3.9499999999999997</v>
      </c>
      <c r="L275" s="510">
        <f t="shared" si="85"/>
        <v>1.8199999999999998</v>
      </c>
      <c r="M275" s="510">
        <f t="shared" si="86"/>
        <v>0.31849999999999995</v>
      </c>
      <c r="N275" s="510">
        <f t="shared" si="87"/>
        <v>1.6899999999999995</v>
      </c>
      <c r="O275" s="510">
        <f t="shared" si="88"/>
        <v>1.2772499999999996</v>
      </c>
      <c r="P275" s="510">
        <f>0.2*0.2*0.3+2*0.55*0.15*0.35</f>
        <v>6.9749999999999993E-2</v>
      </c>
      <c r="Q275" s="510">
        <f t="shared" si="89"/>
        <v>2.4499999999999997E-2</v>
      </c>
      <c r="R275" s="471"/>
    </row>
    <row r="276" spans="1:18" x14ac:dyDescent="0.3">
      <c r="A276" s="523" t="s">
        <v>2131</v>
      </c>
      <c r="B276" s="159">
        <v>1</v>
      </c>
      <c r="C276" s="159" t="s">
        <v>49</v>
      </c>
      <c r="D276" s="510">
        <v>0.7</v>
      </c>
      <c r="E276" s="510">
        <v>0.7</v>
      </c>
      <c r="F276" s="510"/>
      <c r="G276" s="510"/>
      <c r="H276" s="510"/>
      <c r="I276" s="510">
        <v>0.65</v>
      </c>
      <c r="J276" s="510">
        <v>1</v>
      </c>
      <c r="K276" s="510">
        <f t="shared" si="84"/>
        <v>3.9499999999999997</v>
      </c>
      <c r="L276" s="510">
        <f t="shared" si="85"/>
        <v>1.8199999999999998</v>
      </c>
      <c r="M276" s="510">
        <f t="shared" si="86"/>
        <v>0.31849999999999995</v>
      </c>
      <c r="N276" s="510">
        <f t="shared" si="87"/>
        <v>1.6899999999999995</v>
      </c>
      <c r="O276" s="510">
        <f t="shared" si="88"/>
        <v>1.2772499999999996</v>
      </c>
      <c r="P276" s="510">
        <f>0.2*0.2*0.3+2*0.55*0.15*0.35</f>
        <v>6.9749999999999993E-2</v>
      </c>
      <c r="Q276" s="510">
        <f t="shared" si="89"/>
        <v>2.4499999999999997E-2</v>
      </c>
      <c r="R276" s="471"/>
    </row>
    <row r="277" spans="1:18" x14ac:dyDescent="0.3">
      <c r="A277" s="523" t="s">
        <v>2138</v>
      </c>
      <c r="B277" s="159">
        <v>1</v>
      </c>
      <c r="C277" s="159" t="s">
        <v>49</v>
      </c>
      <c r="D277" s="510">
        <v>0.7</v>
      </c>
      <c r="E277" s="510">
        <v>0.7</v>
      </c>
      <c r="F277" s="510"/>
      <c r="G277" s="510"/>
      <c r="H277" s="510"/>
      <c r="I277" s="510">
        <v>1</v>
      </c>
      <c r="J277" s="510">
        <v>1</v>
      </c>
      <c r="K277" s="510">
        <f>J277*($Q$15+I277)</f>
        <v>4</v>
      </c>
      <c r="L277" s="510">
        <f t="shared" si="85"/>
        <v>2.8</v>
      </c>
      <c r="M277" s="510">
        <f t="shared" si="86"/>
        <v>0.48999999999999994</v>
      </c>
      <c r="N277" s="510">
        <f t="shared" si="87"/>
        <v>2.2814999999999994</v>
      </c>
      <c r="O277" s="510">
        <f t="shared" si="88"/>
        <v>1.7512499999999993</v>
      </c>
      <c r="P277" s="510">
        <f>0.3*0.15*0.35</f>
        <v>1.575E-2</v>
      </c>
      <c r="Q277" s="510">
        <f t="shared" si="89"/>
        <v>2.4499999999999997E-2</v>
      </c>
      <c r="R277" s="471"/>
    </row>
    <row r="278" spans="1:18" x14ac:dyDescent="0.3">
      <c r="A278" s="523" t="s">
        <v>2132</v>
      </c>
      <c r="B278" s="159">
        <v>1</v>
      </c>
      <c r="C278" s="159" t="s">
        <v>49</v>
      </c>
      <c r="D278" s="510">
        <v>0.7</v>
      </c>
      <c r="E278" s="510">
        <v>0.7</v>
      </c>
      <c r="F278" s="510"/>
      <c r="G278" s="510"/>
      <c r="H278" s="510"/>
      <c r="I278" s="510">
        <v>0.65</v>
      </c>
      <c r="J278" s="510">
        <v>1</v>
      </c>
      <c r="K278" s="510">
        <f t="shared" si="84"/>
        <v>3.9499999999999997</v>
      </c>
      <c r="L278" s="510">
        <f t="shared" si="85"/>
        <v>1.8199999999999998</v>
      </c>
      <c r="M278" s="510">
        <f t="shared" si="86"/>
        <v>0.31849999999999995</v>
      </c>
      <c r="N278" s="510">
        <f t="shared" si="87"/>
        <v>1.6899999999999995</v>
      </c>
      <c r="O278" s="510">
        <f t="shared" si="88"/>
        <v>1.2730499999999996</v>
      </c>
      <c r="P278" s="510">
        <f>0.15*0.5*0.3+0.4*0.15*0.35+0.58*0.15*0.35</f>
        <v>7.3949999999999988E-2</v>
      </c>
      <c r="Q278" s="510">
        <f t="shared" si="89"/>
        <v>2.4499999999999997E-2</v>
      </c>
      <c r="R278" s="471"/>
    </row>
    <row r="279" spans="1:18" x14ac:dyDescent="0.3">
      <c r="A279" s="523" t="s">
        <v>2139</v>
      </c>
      <c r="B279" s="159">
        <v>1</v>
      </c>
      <c r="C279" s="159" t="s">
        <v>49</v>
      </c>
      <c r="D279" s="510">
        <v>0.7</v>
      </c>
      <c r="E279" s="510">
        <v>0.7</v>
      </c>
      <c r="F279" s="510"/>
      <c r="G279" s="510"/>
      <c r="H279" s="510"/>
      <c r="I279" s="510">
        <v>1</v>
      </c>
      <c r="J279" s="510">
        <v>1</v>
      </c>
      <c r="K279" s="510">
        <f>J279*($Q$15+I279)</f>
        <v>4</v>
      </c>
      <c r="L279" s="510">
        <f t="shared" si="85"/>
        <v>2.8</v>
      </c>
      <c r="M279" s="510">
        <f t="shared" si="86"/>
        <v>0.48999999999999994</v>
      </c>
      <c r="N279" s="510">
        <f t="shared" si="87"/>
        <v>2.2814999999999994</v>
      </c>
      <c r="O279" s="510">
        <f t="shared" si="88"/>
        <v>1.7512499999999993</v>
      </c>
      <c r="P279" s="510">
        <f>0.3*0.15*0.35</f>
        <v>1.575E-2</v>
      </c>
      <c r="Q279" s="510">
        <f t="shared" si="89"/>
        <v>2.4499999999999997E-2</v>
      </c>
      <c r="R279" s="471"/>
    </row>
    <row r="280" spans="1:18" x14ac:dyDescent="0.3">
      <c r="A280" s="523" t="s">
        <v>2133</v>
      </c>
      <c r="B280" s="159">
        <v>1</v>
      </c>
      <c r="C280" s="159" t="s">
        <v>49</v>
      </c>
      <c r="D280" s="510">
        <v>0.7</v>
      </c>
      <c r="E280" s="510">
        <v>0.7</v>
      </c>
      <c r="F280" s="510"/>
      <c r="G280" s="510"/>
      <c r="H280" s="510"/>
      <c r="I280" s="510">
        <v>0.65</v>
      </c>
      <c r="J280" s="510">
        <v>1</v>
      </c>
      <c r="K280" s="510">
        <f t="shared" si="84"/>
        <v>3.9499999999999997</v>
      </c>
      <c r="L280" s="510">
        <f t="shared" si="85"/>
        <v>1.8199999999999998</v>
      </c>
      <c r="M280" s="510">
        <f t="shared" si="86"/>
        <v>0.31849999999999995</v>
      </c>
      <c r="N280" s="510">
        <f t="shared" si="87"/>
        <v>1.6899999999999995</v>
      </c>
      <c r="O280" s="510">
        <f t="shared" si="88"/>
        <v>1.2772499999999996</v>
      </c>
      <c r="P280" s="510">
        <f>0.2*0.2*0.3+2*0.55*0.15*0.35</f>
        <v>6.9749999999999993E-2</v>
      </c>
      <c r="Q280" s="510">
        <f t="shared" si="89"/>
        <v>2.4499999999999997E-2</v>
      </c>
      <c r="R280" s="471"/>
    </row>
    <row r="281" spans="1:18" x14ac:dyDescent="0.3">
      <c r="A281" s="523" t="s">
        <v>2134</v>
      </c>
      <c r="B281" s="159">
        <v>1</v>
      </c>
      <c r="C281" s="159" t="s">
        <v>49</v>
      </c>
      <c r="D281" s="510">
        <v>0.7</v>
      </c>
      <c r="E281" s="510">
        <v>0.7</v>
      </c>
      <c r="F281" s="510"/>
      <c r="G281" s="510"/>
      <c r="H281" s="510"/>
      <c r="I281" s="510">
        <v>0.65</v>
      </c>
      <c r="J281" s="510">
        <v>1</v>
      </c>
      <c r="K281" s="510">
        <f t="shared" si="84"/>
        <v>3.9499999999999997</v>
      </c>
      <c r="L281" s="510">
        <f t="shared" si="85"/>
        <v>1.8199999999999998</v>
      </c>
      <c r="M281" s="510">
        <f t="shared" si="86"/>
        <v>0.31849999999999995</v>
      </c>
      <c r="N281" s="510">
        <f t="shared" si="87"/>
        <v>1.6899999999999995</v>
      </c>
      <c r="O281" s="510">
        <f t="shared" si="88"/>
        <v>1.2772499999999996</v>
      </c>
      <c r="P281" s="510">
        <f>0.2*0.2*0.3+2*0.55*0.15*0.35</f>
        <v>6.9749999999999993E-2</v>
      </c>
      <c r="Q281" s="510">
        <f t="shared" si="89"/>
        <v>2.4499999999999997E-2</v>
      </c>
      <c r="R281" s="471"/>
    </row>
    <row r="282" spans="1:18" x14ac:dyDescent="0.3">
      <c r="A282" s="523" t="s">
        <v>2135</v>
      </c>
      <c r="B282" s="159">
        <v>1</v>
      </c>
      <c r="C282" s="159" t="s">
        <v>49</v>
      </c>
      <c r="D282" s="510">
        <v>0.7</v>
      </c>
      <c r="E282" s="510">
        <v>0.7</v>
      </c>
      <c r="F282" s="510"/>
      <c r="G282" s="510"/>
      <c r="H282" s="510"/>
      <c r="I282" s="510">
        <v>0.65</v>
      </c>
      <c r="J282" s="510">
        <v>1</v>
      </c>
      <c r="K282" s="510">
        <f t="shared" si="84"/>
        <v>3.9499999999999997</v>
      </c>
      <c r="L282" s="510">
        <f t="shared" si="85"/>
        <v>1.8199999999999998</v>
      </c>
      <c r="M282" s="510">
        <f t="shared" si="86"/>
        <v>0.31849999999999995</v>
      </c>
      <c r="N282" s="510">
        <f t="shared" si="87"/>
        <v>1.6899999999999995</v>
      </c>
      <c r="O282" s="510">
        <f t="shared" si="88"/>
        <v>1.2772499999999996</v>
      </c>
      <c r="P282" s="510">
        <f>0.2*0.2*0.3+2*0.55*0.15*0.35</f>
        <v>6.9749999999999993E-2</v>
      </c>
      <c r="Q282" s="510">
        <f t="shared" si="89"/>
        <v>2.4499999999999997E-2</v>
      </c>
      <c r="R282" s="471"/>
    </row>
    <row r="283" spans="1:18" x14ac:dyDescent="0.3">
      <c r="A283" s="523" t="s">
        <v>2136</v>
      </c>
      <c r="B283" s="159">
        <v>1</v>
      </c>
      <c r="C283" s="159" t="s">
        <v>49</v>
      </c>
      <c r="D283" s="510">
        <v>0.7</v>
      </c>
      <c r="E283" s="510">
        <v>0.7</v>
      </c>
      <c r="F283" s="510"/>
      <c r="G283" s="510"/>
      <c r="H283" s="510"/>
      <c r="I283" s="510">
        <v>0.65</v>
      </c>
      <c r="J283" s="510">
        <v>1</v>
      </c>
      <c r="K283" s="510">
        <f t="shared" si="84"/>
        <v>3.9499999999999997</v>
      </c>
      <c r="L283" s="510">
        <f t="shared" si="85"/>
        <v>1.8199999999999998</v>
      </c>
      <c r="M283" s="510">
        <f t="shared" si="86"/>
        <v>0.31849999999999995</v>
      </c>
      <c r="N283" s="510">
        <f t="shared" si="87"/>
        <v>1.6899999999999995</v>
      </c>
      <c r="O283" s="510">
        <f t="shared" si="88"/>
        <v>1.3034999999999997</v>
      </c>
      <c r="P283" s="510">
        <f>0.15*0.5*0.3+0.4*0.15*0.35</f>
        <v>4.3499999999999997E-2</v>
      </c>
      <c r="Q283" s="510">
        <f t="shared" si="89"/>
        <v>2.4499999999999997E-2</v>
      </c>
      <c r="R283" s="471"/>
    </row>
    <row r="284" spans="1:18" x14ac:dyDescent="0.3">
      <c r="A284" s="523" t="s">
        <v>2141</v>
      </c>
      <c r="B284" s="159">
        <v>1</v>
      </c>
      <c r="C284" s="159" t="s">
        <v>49</v>
      </c>
      <c r="D284" s="510"/>
      <c r="E284" s="510"/>
      <c r="F284" s="510"/>
      <c r="G284" s="510"/>
      <c r="H284" s="510"/>
      <c r="I284" s="510"/>
      <c r="J284" s="510">
        <v>1</v>
      </c>
      <c r="K284" s="510">
        <f>3+0.3</f>
        <v>3.3</v>
      </c>
      <c r="L284" s="510">
        <f t="shared" si="27"/>
        <v>0</v>
      </c>
      <c r="M284" s="510">
        <f t="shared" si="28"/>
        <v>0</v>
      </c>
      <c r="N284" s="510"/>
      <c r="O284" s="510">
        <f t="shared" si="5"/>
        <v>0</v>
      </c>
      <c r="P284" s="510"/>
      <c r="Q284" s="510">
        <f t="shared" si="29"/>
        <v>0</v>
      </c>
      <c r="R284" s="471"/>
    </row>
    <row r="285" spans="1:18" x14ac:dyDescent="0.3">
      <c r="A285" s="523" t="s">
        <v>2142</v>
      </c>
      <c r="B285" s="159">
        <v>1</v>
      </c>
      <c r="C285" s="159" t="s">
        <v>49</v>
      </c>
      <c r="D285" s="510"/>
      <c r="E285" s="510"/>
      <c r="F285" s="510"/>
      <c r="G285" s="510"/>
      <c r="H285" s="510"/>
      <c r="I285" s="510"/>
      <c r="J285" s="510">
        <v>1</v>
      </c>
      <c r="K285" s="510">
        <f>3+0.3</f>
        <v>3.3</v>
      </c>
      <c r="L285" s="510">
        <f t="shared" si="27"/>
        <v>0</v>
      </c>
      <c r="M285" s="510">
        <f t="shared" si="28"/>
        <v>0</v>
      </c>
      <c r="N285" s="510"/>
      <c r="O285" s="510">
        <f t="shared" si="5"/>
        <v>0</v>
      </c>
      <c r="P285" s="510"/>
      <c r="Q285" s="510">
        <f t="shared" si="29"/>
        <v>0</v>
      </c>
      <c r="R285" s="471"/>
    </row>
    <row r="286" spans="1:18" x14ac:dyDescent="0.3">
      <c r="A286" s="523"/>
      <c r="B286" s="159"/>
      <c r="C286" s="159"/>
      <c r="D286" s="510"/>
      <c r="E286" s="510"/>
      <c r="F286" s="510"/>
      <c r="G286" s="510"/>
      <c r="H286" s="510"/>
      <c r="I286" s="510"/>
      <c r="J286" s="510"/>
      <c r="K286" s="510"/>
      <c r="L286" s="510">
        <f t="shared" si="27"/>
        <v>0</v>
      </c>
      <c r="M286" s="510">
        <f t="shared" si="28"/>
        <v>0</v>
      </c>
      <c r="N286" s="510"/>
      <c r="O286" s="510">
        <f t="shared" si="5"/>
        <v>0</v>
      </c>
      <c r="P286" s="510"/>
      <c r="Q286" s="510">
        <f t="shared" si="29"/>
        <v>0</v>
      </c>
      <c r="R286" s="471"/>
    </row>
    <row r="287" spans="1:18" ht="15" thickBot="1" x14ac:dyDescent="0.35">
      <c r="A287" s="523"/>
      <c r="B287" s="159"/>
      <c r="C287" s="159"/>
      <c r="D287" s="510"/>
      <c r="E287" s="510"/>
      <c r="F287" s="510"/>
      <c r="G287" s="510"/>
      <c r="H287" s="510"/>
      <c r="I287" s="510"/>
      <c r="J287" s="510"/>
      <c r="K287" s="510"/>
      <c r="L287" s="510">
        <f t="shared" si="27"/>
        <v>0</v>
      </c>
      <c r="M287" s="510">
        <f t="shared" si="28"/>
        <v>0</v>
      </c>
      <c r="N287" s="510"/>
      <c r="O287" s="510">
        <f t="shared" si="5"/>
        <v>0</v>
      </c>
      <c r="P287" s="510"/>
      <c r="Q287" s="510">
        <f t="shared" si="29"/>
        <v>0</v>
      </c>
      <c r="R287" s="471"/>
    </row>
    <row r="288" spans="1:18" ht="18.600000000000001" thickBot="1" x14ac:dyDescent="0.4">
      <c r="A288" s="79"/>
      <c r="B288" s="80"/>
      <c r="C288" s="80"/>
      <c r="D288" s="80"/>
      <c r="E288" s="80"/>
      <c r="F288" s="677" t="s">
        <v>10</v>
      </c>
      <c r="G288" s="677"/>
      <c r="H288" s="677"/>
      <c r="I288" s="678"/>
      <c r="J288" s="511">
        <f t="shared" ref="J288:Q288" si="90">SUM(J20:J287)</f>
        <v>330</v>
      </c>
      <c r="K288" s="511">
        <f t="shared" si="90"/>
        <v>1343.4499999999962</v>
      </c>
      <c r="L288" s="511">
        <f t="shared" si="90"/>
        <v>627.32350000000167</v>
      </c>
      <c r="M288" s="511">
        <f t="shared" si="90"/>
        <v>145.11179250000001</v>
      </c>
      <c r="N288" s="511">
        <f t="shared" si="90"/>
        <v>645.63196625000216</v>
      </c>
      <c r="O288" s="511">
        <f t="shared" si="90"/>
        <v>445.22145374999991</v>
      </c>
      <c r="P288" s="511">
        <f t="shared" si="90"/>
        <v>44.904199999999953</v>
      </c>
      <c r="Q288" s="511">
        <f t="shared" si="90"/>
        <v>10.394519999999963</v>
      </c>
      <c r="R288" s="512"/>
    </row>
    <row r="289" spans="1:21" x14ac:dyDescent="0.3">
      <c r="M289" s="1"/>
      <c r="N289" s="1"/>
    </row>
    <row r="290" spans="1:21" ht="30" customHeight="1" x14ac:dyDescent="0.3">
      <c r="A290" s="679"/>
      <c r="B290" s="679"/>
      <c r="C290" s="679"/>
      <c r="D290" s="679"/>
      <c r="E290" s="679"/>
      <c r="F290" s="679"/>
      <c r="G290" s="679"/>
      <c r="H290" s="679"/>
      <c r="I290" s="679"/>
      <c r="J290" s="679"/>
      <c r="K290" s="679"/>
      <c r="L290" s="679"/>
      <c r="M290" s="679"/>
      <c r="N290" s="113"/>
      <c r="O290" s="113"/>
      <c r="P290" s="113"/>
      <c r="Q290" s="113"/>
      <c r="R290" s="113"/>
      <c r="U290" s="208"/>
    </row>
    <row r="291" spans="1:21" x14ac:dyDescent="0.3">
      <c r="A291" s="513"/>
      <c r="B291" s="514"/>
      <c r="C291" s="514"/>
      <c r="D291" s="514"/>
      <c r="E291" s="514"/>
      <c r="F291" s="679"/>
      <c r="G291" s="679"/>
      <c r="H291" s="679"/>
      <c r="I291" s="679"/>
      <c r="J291" s="514"/>
      <c r="K291" s="514"/>
      <c r="L291" s="680"/>
      <c r="M291" s="680"/>
      <c r="N291" s="515"/>
      <c r="Q291" s="115"/>
      <c r="R291" s="115"/>
    </row>
    <row r="292" spans="1:21" x14ac:dyDescent="0.3">
      <c r="A292" s="516"/>
      <c r="B292" s="517"/>
      <c r="C292" s="517"/>
      <c r="D292" s="517"/>
      <c r="E292" s="518"/>
      <c r="F292" s="675"/>
      <c r="G292" s="675"/>
      <c r="H292" s="675"/>
      <c r="I292" s="675"/>
      <c r="J292" s="517"/>
      <c r="K292" s="517"/>
      <c r="L292" s="519"/>
      <c r="M292" s="519"/>
      <c r="N292" s="115"/>
      <c r="O292" s="115"/>
      <c r="P292" s="115"/>
      <c r="Q292" s="115"/>
      <c r="R292" s="115"/>
    </row>
    <row r="293" spans="1:21" x14ac:dyDescent="0.3">
      <c r="A293" s="516"/>
      <c r="B293" s="517"/>
      <c r="C293" s="517"/>
      <c r="D293" s="517"/>
      <c r="E293" s="518"/>
      <c r="F293" s="675"/>
      <c r="G293" s="675"/>
      <c r="H293" s="675"/>
      <c r="I293" s="675"/>
      <c r="J293" s="517"/>
      <c r="K293" s="517"/>
      <c r="L293" s="676"/>
      <c r="M293" s="676"/>
      <c r="N293" s="115"/>
      <c r="O293" s="115"/>
      <c r="P293" s="115"/>
      <c r="Q293" s="115"/>
      <c r="R293" s="115"/>
    </row>
    <row r="294" spans="1:21" x14ac:dyDescent="0.3">
      <c r="A294" s="516"/>
      <c r="B294" s="517"/>
      <c r="C294" s="517"/>
      <c r="D294" s="517"/>
      <c r="E294" s="518"/>
      <c r="F294" s="675"/>
      <c r="G294" s="675"/>
      <c r="H294" s="675"/>
      <c r="I294" s="675"/>
      <c r="J294" s="517"/>
      <c r="K294" s="517"/>
      <c r="L294" s="676"/>
      <c r="M294" s="676"/>
      <c r="N294" s="115"/>
      <c r="O294" s="115"/>
      <c r="P294" s="115"/>
      <c r="Q294" s="115"/>
      <c r="R294" s="115"/>
    </row>
    <row r="295" spans="1:21" x14ac:dyDescent="0.3">
      <c r="A295" s="516"/>
      <c r="B295" s="517"/>
      <c r="C295" s="517"/>
      <c r="D295" s="517"/>
      <c r="E295" s="518"/>
      <c r="F295" s="675"/>
      <c r="G295" s="675"/>
      <c r="H295" s="675"/>
      <c r="I295" s="675"/>
      <c r="J295" s="517"/>
      <c r="K295" s="517"/>
      <c r="L295" s="676"/>
      <c r="M295" s="676"/>
      <c r="N295" s="115"/>
      <c r="O295" s="115"/>
      <c r="P295" s="115"/>
      <c r="Q295" s="115"/>
      <c r="R295" s="115"/>
    </row>
    <row r="296" spans="1:21" x14ac:dyDescent="0.3">
      <c r="A296" s="516"/>
      <c r="B296" s="517"/>
      <c r="C296" s="517"/>
      <c r="D296" s="517"/>
      <c r="E296" s="518"/>
      <c r="F296" s="675"/>
      <c r="G296" s="675"/>
      <c r="H296" s="675"/>
      <c r="I296" s="675"/>
      <c r="J296" s="517"/>
      <c r="K296" s="517"/>
      <c r="L296" s="676"/>
      <c r="M296" s="676"/>
      <c r="N296" s="115"/>
      <c r="O296" s="115"/>
      <c r="P296" s="115"/>
      <c r="Q296" s="115"/>
      <c r="R296" s="115"/>
    </row>
    <row r="297" spans="1:21" x14ac:dyDescent="0.3">
      <c r="A297" s="516"/>
      <c r="B297" s="517"/>
      <c r="C297" s="517"/>
      <c r="D297" s="517"/>
      <c r="E297" s="518"/>
      <c r="F297" s="675"/>
      <c r="G297" s="675"/>
      <c r="H297" s="675"/>
      <c r="I297" s="675"/>
      <c r="J297" s="517"/>
      <c r="K297" s="517"/>
      <c r="L297" s="520"/>
      <c r="M297" s="520"/>
      <c r="N297" s="115"/>
      <c r="O297" s="115"/>
      <c r="P297" s="115"/>
      <c r="Q297" s="115"/>
      <c r="R297" s="115"/>
    </row>
    <row r="298" spans="1:21" x14ac:dyDescent="0.3">
      <c r="A298" s="516"/>
      <c r="B298" s="517"/>
      <c r="C298" s="517"/>
      <c r="D298" s="517"/>
      <c r="E298" s="518"/>
      <c r="F298" s="675"/>
      <c r="G298" s="675"/>
      <c r="H298" s="675"/>
      <c r="I298" s="675"/>
      <c r="J298" s="517"/>
      <c r="K298" s="517"/>
      <c r="L298" s="520"/>
      <c r="M298" s="520"/>
      <c r="N298" s="115"/>
      <c r="O298" s="115"/>
      <c r="P298" s="115"/>
      <c r="Q298" s="115"/>
      <c r="R298" s="115"/>
    </row>
    <row r="299" spans="1:21" x14ac:dyDescent="0.3">
      <c r="A299" s="516"/>
      <c r="B299" s="517"/>
      <c r="C299" s="517"/>
      <c r="D299" s="517"/>
      <c r="E299" s="518"/>
      <c r="F299" s="675"/>
      <c r="G299" s="675"/>
      <c r="H299" s="675"/>
      <c r="I299" s="675"/>
      <c r="J299" s="517"/>
      <c r="K299" s="517"/>
      <c r="L299" s="520"/>
      <c r="M299" s="520"/>
      <c r="N299" s="115"/>
      <c r="O299" s="115"/>
      <c r="P299" s="115"/>
      <c r="Q299" s="115"/>
      <c r="R299" s="115"/>
    </row>
    <row r="300" spans="1:21" x14ac:dyDescent="0.3">
      <c r="A300" s="516"/>
      <c r="B300" s="517"/>
      <c r="C300" s="517"/>
      <c r="D300" s="517"/>
      <c r="E300" s="518"/>
      <c r="F300" s="675"/>
      <c r="G300" s="675"/>
      <c r="H300" s="675"/>
      <c r="I300" s="675"/>
      <c r="J300" s="517"/>
      <c r="K300" s="517"/>
      <c r="L300" s="520"/>
      <c r="M300" s="520"/>
      <c r="N300" s="115"/>
      <c r="O300" s="115"/>
      <c r="P300" s="115"/>
      <c r="Q300" s="115"/>
      <c r="R300" s="115"/>
    </row>
    <row r="301" spans="1:21" x14ac:dyDescent="0.3">
      <c r="A301" s="516"/>
      <c r="B301" s="517"/>
      <c r="C301" s="517"/>
      <c r="D301" s="517"/>
      <c r="E301" s="518"/>
      <c r="F301" s="675"/>
      <c r="G301" s="675"/>
      <c r="H301" s="675"/>
      <c r="I301" s="675"/>
      <c r="J301" s="517"/>
      <c r="K301" s="517"/>
      <c r="L301" s="520"/>
      <c r="M301" s="520"/>
      <c r="N301" s="115"/>
      <c r="O301" s="115"/>
      <c r="P301" s="115"/>
      <c r="Q301" s="115"/>
      <c r="R301" s="115"/>
    </row>
    <row r="302" spans="1:21" x14ac:dyDescent="0.3">
      <c r="A302" s="516"/>
      <c r="B302" s="517"/>
      <c r="C302" s="517"/>
      <c r="D302" s="517"/>
      <c r="E302" s="518"/>
      <c r="F302" s="675"/>
      <c r="G302" s="675"/>
      <c r="H302" s="675"/>
      <c r="I302" s="675"/>
      <c r="J302" s="517"/>
      <c r="K302" s="517"/>
      <c r="L302" s="520"/>
      <c r="M302" s="520"/>
      <c r="N302" s="115"/>
      <c r="O302" s="115"/>
      <c r="P302" s="115"/>
      <c r="Q302" s="115"/>
      <c r="R302" s="115"/>
    </row>
    <row r="303" spans="1:21" x14ac:dyDescent="0.3">
      <c r="A303" s="516"/>
      <c r="B303" s="517"/>
      <c r="C303" s="517"/>
      <c r="D303" s="517"/>
      <c r="E303" s="518"/>
      <c r="F303" s="675"/>
      <c r="G303" s="675"/>
      <c r="H303" s="675"/>
      <c r="I303" s="675"/>
      <c r="J303" s="517"/>
      <c r="K303" s="517"/>
      <c r="L303" s="520"/>
      <c r="M303" s="520"/>
      <c r="N303" s="115"/>
      <c r="O303" s="115"/>
      <c r="P303" s="115"/>
      <c r="Q303" s="115"/>
      <c r="R303" s="115"/>
    </row>
    <row r="304" spans="1:21" ht="18" x14ac:dyDescent="0.35">
      <c r="A304" s="681"/>
      <c r="B304" s="681"/>
      <c r="C304" s="681"/>
      <c r="D304" s="681"/>
      <c r="E304" s="681"/>
      <c r="F304" s="682"/>
      <c r="G304" s="682"/>
      <c r="H304" s="682"/>
      <c r="I304" s="683"/>
      <c r="J304" s="521"/>
      <c r="K304" s="521"/>
      <c r="L304" s="680"/>
      <c r="M304" s="680"/>
    </row>
    <row r="305" spans="1:16" x14ac:dyDescent="0.3">
      <c r="A305" s="336"/>
      <c r="B305" s="336"/>
      <c r="C305" s="336"/>
      <c r="D305" s="336"/>
      <c r="E305" s="336"/>
      <c r="F305" s="336"/>
      <c r="G305" s="336"/>
      <c r="H305" s="336"/>
      <c r="I305" s="336"/>
      <c r="J305" s="336"/>
      <c r="K305" s="336"/>
      <c r="L305" s="336"/>
      <c r="M305" s="336"/>
    </row>
    <row r="308" spans="1:16" x14ac:dyDescent="0.3">
      <c r="O308" s="522"/>
      <c r="P308" s="522"/>
    </row>
    <row r="318" spans="1:16" ht="115.2" x14ac:dyDescent="0.3">
      <c r="O318" s="522" t="s">
        <v>1037</v>
      </c>
    </row>
  </sheetData>
  <mergeCells count="44">
    <mergeCell ref="F297:I297"/>
    <mergeCell ref="F298:I298"/>
    <mergeCell ref="F294:I294"/>
    <mergeCell ref="F303:I303"/>
    <mergeCell ref="A304:E304"/>
    <mergeCell ref="F304:I304"/>
    <mergeCell ref="L304:M304"/>
    <mergeCell ref="F299:I299"/>
    <mergeCell ref="F300:I300"/>
    <mergeCell ref="F301:I301"/>
    <mergeCell ref="F302:I302"/>
    <mergeCell ref="L294:M294"/>
    <mergeCell ref="F295:I295"/>
    <mergeCell ref="L295:M295"/>
    <mergeCell ref="F296:I296"/>
    <mergeCell ref="L296:M296"/>
    <mergeCell ref="F293:I293"/>
    <mergeCell ref="L293:M293"/>
    <mergeCell ref="F288:I288"/>
    <mergeCell ref="A290:M290"/>
    <mergeCell ref="F291:I291"/>
    <mergeCell ref="L291:M291"/>
    <mergeCell ref="F292:I292"/>
    <mergeCell ref="A1:R1"/>
    <mergeCell ref="A2:R2"/>
    <mergeCell ref="A3:R3"/>
    <mergeCell ref="A4:R4"/>
    <mergeCell ref="A5:R5"/>
    <mergeCell ref="A6:R6"/>
    <mergeCell ref="A9:N9"/>
    <mergeCell ref="A10:R10"/>
    <mergeCell ref="A17:A18"/>
    <mergeCell ref="B17:B18"/>
    <mergeCell ref="C17:C18"/>
    <mergeCell ref="D17:I17"/>
    <mergeCell ref="J17:J18"/>
    <mergeCell ref="K17:K18"/>
    <mergeCell ref="L17:L18"/>
    <mergeCell ref="M17:M18"/>
    <mergeCell ref="N17:N18"/>
    <mergeCell ref="O17:O18"/>
    <mergeCell ref="P17:P18"/>
    <mergeCell ref="Q17:Q18"/>
    <mergeCell ref="R17:R18"/>
  </mergeCells>
  <printOptions horizontalCentered="1"/>
  <pageMargins left="0.51181102362204722" right="0.51181102362204722" top="0.78740157480314965" bottom="0.78740157480314965" header="0.31496062992125984" footer="0.31496062992125984"/>
  <pageSetup scale="10" orientation="landscape" r:id="rId1"/>
  <headerFooter>
    <oddFooter>&amp;C&amp;9Rua Ferreira Pena, 1.109 – Centro – Manaus/AM – Cel: (0**92) 98415-0793, Fone: (0**92) 3306-0045 – e-mail: enge.ifam@ifam.edu.br 
DIRETORIA DE OBRAS E SERVIÇOS DE ENGENHARIA - DOSE/IFAM&amp;R&amp;9Página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 tint="0.59999389629810485"/>
    <pageSetUpPr fitToPage="1"/>
  </sheetPr>
  <dimension ref="A1:AD259"/>
  <sheetViews>
    <sheetView showGridLines="0" view="pageBreakPreview" topLeftCell="H15" zoomScale="90" zoomScaleNormal="120" zoomScaleSheetLayoutView="90" workbookViewId="0">
      <pane ySplit="8" topLeftCell="A103" activePane="bottomLeft" state="frozen"/>
      <selection activeCell="A15" sqref="A15"/>
      <selection pane="bottomLeft" activeCell="G107" sqref="G107"/>
    </sheetView>
  </sheetViews>
  <sheetFormatPr defaultColWidth="9.109375" defaultRowHeight="13.2" x14ac:dyDescent="0.25"/>
  <cols>
    <col min="1" max="3" width="9.109375" style="82"/>
    <col min="4" max="4" width="14.33203125" style="82" customWidth="1"/>
    <col min="5" max="5" width="14.6640625" style="82" customWidth="1"/>
    <col min="6" max="8" width="9.109375" style="82"/>
    <col min="9" max="9" width="10.33203125" style="82" bestFit="1" customWidth="1"/>
    <col min="10" max="10" width="14.33203125" style="82" bestFit="1" customWidth="1"/>
    <col min="11" max="16" width="9.109375" style="82"/>
    <col min="17" max="17" width="15.44140625" style="82" customWidth="1"/>
    <col min="18" max="18" width="9.109375" style="85"/>
    <col min="19" max="23" width="9.109375" style="82" customWidth="1"/>
    <col min="24" max="16384" width="9.109375" style="82"/>
  </cols>
  <sheetData>
    <row r="1" spans="1:30" ht="12.9" customHeight="1" x14ac:dyDescent="0.25">
      <c r="B1" s="83"/>
      <c r="C1" s="83"/>
      <c r="D1" s="656" t="s">
        <v>36</v>
      </c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</row>
    <row r="2" spans="1:30" ht="12.9" customHeight="1" x14ac:dyDescent="0.25">
      <c r="B2" s="83"/>
      <c r="C2" s="83"/>
      <c r="D2" s="656" t="s">
        <v>37</v>
      </c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</row>
    <row r="3" spans="1:30" ht="12.9" customHeight="1" x14ac:dyDescent="0.25">
      <c r="B3" s="83"/>
      <c r="C3" s="83"/>
      <c r="D3" s="656" t="s">
        <v>39</v>
      </c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</row>
    <row r="4" spans="1:30" ht="12.9" customHeight="1" x14ac:dyDescent="0.25">
      <c r="B4" s="83"/>
      <c r="C4" s="83"/>
      <c r="D4" s="656" t="s">
        <v>38</v>
      </c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</row>
    <row r="5" spans="1:30" ht="12.9" customHeight="1" x14ac:dyDescent="0.25">
      <c r="B5" s="83"/>
      <c r="C5" s="83"/>
      <c r="D5" s="656" t="s">
        <v>109</v>
      </c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</row>
    <row r="6" spans="1:30" ht="12.9" customHeight="1" x14ac:dyDescent="0.25">
      <c r="B6" s="83"/>
      <c r="C6" s="83"/>
      <c r="D6" s="656" t="s">
        <v>110</v>
      </c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</row>
    <row r="7" spans="1:30" ht="5.0999999999999996" customHeight="1" x14ac:dyDescent="0.25">
      <c r="B7" s="83"/>
      <c r="C7" s="83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</row>
    <row r="8" spans="1:30" ht="12.9" customHeight="1" x14ac:dyDescent="0.25">
      <c r="B8" s="83"/>
      <c r="C8" s="83"/>
      <c r="D8" s="696" t="s">
        <v>160</v>
      </c>
      <c r="E8" s="696"/>
      <c r="F8" s="696"/>
      <c r="G8" s="696"/>
      <c r="H8" s="696"/>
      <c r="I8" s="696"/>
      <c r="J8" s="696"/>
      <c r="K8" s="696"/>
      <c r="L8" s="110"/>
      <c r="M8" s="110"/>
      <c r="N8" s="110"/>
      <c r="O8" s="110"/>
      <c r="P8" s="110"/>
    </row>
    <row r="9" spans="1:30" ht="12.9" customHeight="1" x14ac:dyDescent="0.25">
      <c r="A9" s="110"/>
      <c r="B9" s="110"/>
      <c r="C9" s="110"/>
      <c r="D9" s="657" t="s">
        <v>161</v>
      </c>
      <c r="E9" s="657"/>
      <c r="F9" s="657"/>
      <c r="G9" s="657"/>
      <c r="H9" s="657"/>
      <c r="I9" s="657"/>
      <c r="J9" s="657"/>
      <c r="K9" s="657"/>
      <c r="L9" s="467"/>
      <c r="M9" s="320"/>
    </row>
    <row r="10" spans="1:30" ht="12.9" customHeight="1" x14ac:dyDescent="0.25">
      <c r="A10" s="110"/>
      <c r="B10" s="110"/>
      <c r="C10" s="110"/>
      <c r="D10" s="754" t="s">
        <v>91</v>
      </c>
      <c r="E10" s="754"/>
      <c r="F10" s="754"/>
      <c r="G10" s="754"/>
      <c r="H10" s="754"/>
      <c r="I10" s="754"/>
      <c r="J10" s="754"/>
      <c r="K10" s="754"/>
      <c r="L10" s="754"/>
      <c r="M10" s="754"/>
      <c r="N10" s="754"/>
      <c r="O10" s="754"/>
      <c r="P10" s="754"/>
      <c r="Q10" s="754"/>
    </row>
    <row r="11" spans="1:30" ht="5.0999999999999996" customHeight="1" thickBot="1" x14ac:dyDescent="0.3">
      <c r="A11" s="110"/>
      <c r="B11" s="110"/>
      <c r="C11" s="110"/>
      <c r="D11" s="108"/>
      <c r="E11" s="97"/>
      <c r="F11" s="97"/>
      <c r="G11" s="97"/>
      <c r="H11" s="97"/>
      <c r="I11" s="97"/>
      <c r="J11" s="97"/>
      <c r="K11" s="97"/>
      <c r="L11" s="97"/>
      <c r="M11" s="97"/>
      <c r="N11" s="98"/>
    </row>
    <row r="12" spans="1:30" s="16" customFormat="1" ht="16.5" customHeight="1" thickTop="1" x14ac:dyDescent="0.25">
      <c r="D12" s="755" t="s">
        <v>164</v>
      </c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7"/>
      <c r="R12" s="315"/>
    </row>
    <row r="13" spans="1:30" s="16" customFormat="1" ht="15.75" customHeight="1" thickBot="1" x14ac:dyDescent="0.3">
      <c r="D13" s="761" t="s">
        <v>22</v>
      </c>
      <c r="E13" s="762"/>
      <c r="F13" s="762"/>
      <c r="G13" s="762"/>
      <c r="H13" s="762"/>
      <c r="I13" s="762"/>
      <c r="J13" s="762"/>
      <c r="K13" s="762"/>
      <c r="L13" s="762"/>
      <c r="M13" s="762"/>
      <c r="N13" s="762"/>
      <c r="O13" s="762"/>
      <c r="P13" s="762"/>
      <c r="Q13" s="763"/>
      <c r="R13" s="315"/>
    </row>
    <row r="14" spans="1:30" s="16" customFormat="1" ht="15" customHeight="1" x14ac:dyDescent="0.25">
      <c r="D14" s="764" t="s">
        <v>17</v>
      </c>
      <c r="E14" s="765"/>
      <c r="F14" s="765"/>
      <c r="G14" s="765"/>
      <c r="H14" s="765"/>
      <c r="I14" s="765"/>
      <c r="J14" s="765"/>
      <c r="K14" s="770" t="s">
        <v>41</v>
      </c>
      <c r="L14" s="771"/>
      <c r="M14" s="771"/>
      <c r="N14" s="771"/>
      <c r="O14" s="771"/>
      <c r="P14" s="771"/>
      <c r="Q14" s="772"/>
      <c r="R14" s="315"/>
    </row>
    <row r="15" spans="1:30" s="16" customFormat="1" ht="15" customHeight="1" x14ac:dyDescent="0.25">
      <c r="D15" s="766"/>
      <c r="E15" s="767"/>
      <c r="F15" s="767"/>
      <c r="G15" s="767"/>
      <c r="H15" s="767"/>
      <c r="I15" s="767"/>
      <c r="J15" s="767"/>
      <c r="K15" s="314" t="s">
        <v>43</v>
      </c>
      <c r="L15" s="735" t="s">
        <v>40</v>
      </c>
      <c r="M15" s="736"/>
      <c r="N15" s="736"/>
      <c r="O15" s="736"/>
      <c r="P15" s="736"/>
      <c r="Q15" s="737" t="s">
        <v>46</v>
      </c>
      <c r="R15" s="315"/>
    </row>
    <row r="16" spans="1:30" s="16" customFormat="1" ht="15.75" customHeight="1" thickBot="1" x14ac:dyDescent="0.3">
      <c r="D16" s="768"/>
      <c r="E16" s="769"/>
      <c r="F16" s="769"/>
      <c r="G16" s="769"/>
      <c r="H16" s="769"/>
      <c r="I16" s="769"/>
      <c r="J16" s="769"/>
      <c r="K16" s="59">
        <v>5</v>
      </c>
      <c r="L16" s="21">
        <v>6.3</v>
      </c>
      <c r="M16" s="21">
        <v>8</v>
      </c>
      <c r="N16" s="21">
        <v>10</v>
      </c>
      <c r="O16" s="21">
        <v>12.5</v>
      </c>
      <c r="P16" s="67">
        <v>16</v>
      </c>
      <c r="Q16" s="738"/>
      <c r="R16" s="315"/>
      <c r="Y16" s="59">
        <v>5</v>
      </c>
      <c r="Z16" s="21">
        <v>6.3</v>
      </c>
      <c r="AA16" s="21">
        <v>8</v>
      </c>
      <c r="AB16" s="21">
        <v>10</v>
      </c>
      <c r="AC16" s="21">
        <v>12.5</v>
      </c>
      <c r="AD16" s="67">
        <v>16</v>
      </c>
    </row>
    <row r="17" spans="1:30" s="16" customFormat="1" ht="12.75" customHeight="1" thickBot="1" x14ac:dyDescent="0.3">
      <c r="D17" s="739" t="s">
        <v>119</v>
      </c>
      <c r="E17" s="740"/>
      <c r="F17" s="740"/>
      <c r="G17" s="740"/>
      <c r="H17" s="740"/>
      <c r="I17" s="740"/>
      <c r="J17" s="740"/>
      <c r="K17" s="101">
        <f t="shared" ref="K17:P17" si="0">K121</f>
        <v>84.927919999999986</v>
      </c>
      <c r="L17" s="102">
        <f t="shared" si="0"/>
        <v>354.48314999999991</v>
      </c>
      <c r="M17" s="102">
        <f t="shared" si="0"/>
        <v>0</v>
      </c>
      <c r="N17" s="102">
        <f t="shared" si="0"/>
        <v>0</v>
      </c>
      <c r="O17" s="102">
        <f t="shared" si="0"/>
        <v>0</v>
      </c>
      <c r="P17" s="103">
        <f t="shared" si="0"/>
        <v>0</v>
      </c>
      <c r="Q17" s="104">
        <f>SUM(K17:P17)</f>
        <v>439.41106999999988</v>
      </c>
      <c r="R17" s="315">
        <v>84.712319999999991</v>
      </c>
      <c r="S17" s="287">
        <v>340.59654999999992</v>
      </c>
      <c r="T17" s="16">
        <v>0</v>
      </c>
      <c r="U17" s="16">
        <v>0</v>
      </c>
      <c r="V17" s="16">
        <v>0</v>
      </c>
      <c r="W17" s="16">
        <v>0</v>
      </c>
      <c r="Y17" s="287">
        <f>K17-R17</f>
        <v>0.21559999999999491</v>
      </c>
      <c r="Z17" s="287">
        <f t="shared" ref="Z17:AD17" si="1">L17-S17</f>
        <v>13.886599999999987</v>
      </c>
      <c r="AA17" s="287">
        <f t="shared" si="1"/>
        <v>0</v>
      </c>
      <c r="AB17" s="287">
        <f t="shared" si="1"/>
        <v>0</v>
      </c>
      <c r="AC17" s="287">
        <f t="shared" si="1"/>
        <v>0</v>
      </c>
      <c r="AD17" s="287">
        <f t="shared" si="1"/>
        <v>0</v>
      </c>
    </row>
    <row r="18" spans="1:30" ht="13.8" thickBot="1" x14ac:dyDescent="0.3">
      <c r="A18" s="16" t="s">
        <v>31</v>
      </c>
      <c r="B18" s="16">
        <v>0.11</v>
      </c>
    </row>
    <row r="19" spans="1:30" s="16" customFormat="1" ht="13.8" thickTop="1" x14ac:dyDescent="0.25">
      <c r="A19" s="16" t="s">
        <v>23</v>
      </c>
      <c r="B19" s="16">
        <v>0.154</v>
      </c>
      <c r="D19" s="751" t="s">
        <v>165</v>
      </c>
      <c r="E19" s="752"/>
      <c r="F19" s="752"/>
      <c r="G19" s="752"/>
      <c r="H19" s="752"/>
      <c r="I19" s="752"/>
      <c r="J19" s="752"/>
      <c r="K19" s="752"/>
      <c r="L19" s="752"/>
      <c r="M19" s="752"/>
      <c r="N19" s="752"/>
      <c r="O19" s="752"/>
      <c r="P19" s="752"/>
      <c r="Q19" s="753"/>
      <c r="R19" s="315"/>
    </row>
    <row r="20" spans="1:30" s="16" customFormat="1" ht="13.8" thickBot="1" x14ac:dyDescent="0.3">
      <c r="A20" s="16" t="s">
        <v>24</v>
      </c>
      <c r="B20" s="16">
        <v>0.245</v>
      </c>
      <c r="D20" s="741" t="str">
        <f>D8</f>
        <v>Obra: Construção de Cozinha Industrial e Refeitório do Campus Itacoatiara</v>
      </c>
      <c r="E20" s="742"/>
      <c r="F20" s="742"/>
      <c r="G20" s="742"/>
      <c r="H20" s="742"/>
      <c r="I20" s="742"/>
      <c r="J20" s="742"/>
      <c r="K20" s="742"/>
      <c r="L20" s="742"/>
      <c r="M20" s="742"/>
      <c r="N20" s="742"/>
      <c r="O20" s="742"/>
      <c r="P20" s="742"/>
      <c r="Q20" s="743"/>
      <c r="R20" s="315"/>
    </row>
    <row r="21" spans="1:30" s="16" customFormat="1" ht="15" customHeight="1" x14ac:dyDescent="0.25">
      <c r="A21" s="16" t="s">
        <v>25</v>
      </c>
      <c r="B21" s="16">
        <v>0.39500000000000002</v>
      </c>
      <c r="D21" s="744" t="s">
        <v>17</v>
      </c>
      <c r="E21" s="745"/>
      <c r="F21" s="745"/>
      <c r="G21" s="745"/>
      <c r="H21" s="745"/>
      <c r="I21" s="745"/>
      <c r="J21" s="745"/>
      <c r="K21" s="746" t="s">
        <v>41</v>
      </c>
      <c r="L21" s="747"/>
      <c r="M21" s="747"/>
      <c r="N21" s="747"/>
      <c r="O21" s="747"/>
      <c r="P21" s="748"/>
      <c r="Q21" s="749" t="s">
        <v>45</v>
      </c>
      <c r="R21" s="315"/>
    </row>
    <row r="22" spans="1:30" s="16" customFormat="1" x14ac:dyDescent="0.25">
      <c r="A22" s="16" t="s">
        <v>26</v>
      </c>
      <c r="B22" s="16">
        <v>0.61699999999999999</v>
      </c>
      <c r="D22" s="68" t="s">
        <v>102</v>
      </c>
      <c r="E22" s="70" t="s">
        <v>47</v>
      </c>
      <c r="F22" s="166" t="s">
        <v>19</v>
      </c>
      <c r="G22" s="167" t="s">
        <v>20</v>
      </c>
      <c r="H22" s="167" t="s">
        <v>21</v>
      </c>
      <c r="I22" s="168" t="s">
        <v>32</v>
      </c>
      <c r="J22" s="168" t="s">
        <v>33</v>
      </c>
      <c r="K22" s="169">
        <v>5</v>
      </c>
      <c r="L22" s="170">
        <v>6.3</v>
      </c>
      <c r="M22" s="170">
        <v>8</v>
      </c>
      <c r="N22" s="170">
        <v>10</v>
      </c>
      <c r="O22" s="170">
        <v>12.5</v>
      </c>
      <c r="P22" s="171">
        <v>16</v>
      </c>
      <c r="Q22" s="749"/>
      <c r="R22" s="315"/>
    </row>
    <row r="23" spans="1:30" s="16" customFormat="1" x14ac:dyDescent="0.25">
      <c r="D23" s="848" t="s">
        <v>1291</v>
      </c>
      <c r="E23" s="848"/>
      <c r="F23" s="848"/>
      <c r="G23" s="848"/>
      <c r="H23" s="848"/>
      <c r="I23" s="848"/>
      <c r="J23" s="848"/>
      <c r="K23" s="848"/>
      <c r="L23" s="848"/>
      <c r="M23" s="848"/>
      <c r="N23" s="848"/>
      <c r="O23" s="848"/>
      <c r="P23" s="848"/>
      <c r="Q23" s="537"/>
      <c r="R23" s="554"/>
    </row>
    <row r="24" spans="1:30" s="16" customFormat="1" ht="13.2" customHeight="1" x14ac:dyDescent="0.25">
      <c r="A24" s="16" t="s">
        <v>27</v>
      </c>
      <c r="B24" s="16">
        <v>0.96299999999999997</v>
      </c>
      <c r="C24" s="34"/>
      <c r="D24" s="845" t="s">
        <v>1331</v>
      </c>
      <c r="E24" s="322" t="s">
        <v>50</v>
      </c>
      <c r="F24" s="321">
        <v>2</v>
      </c>
      <c r="G24" s="323">
        <f>2</f>
        <v>2</v>
      </c>
      <c r="H24" s="408">
        <v>6.3</v>
      </c>
      <c r="I24" s="324">
        <v>3.05</v>
      </c>
      <c r="J24" s="324">
        <f t="shared" ref="J24:J91" si="2">G24*I24</f>
        <v>6.1</v>
      </c>
      <c r="K24" s="329">
        <f t="shared" ref="K24:K93" si="3">IF($H24=5,$J24*$B$19,0)</f>
        <v>0</v>
      </c>
      <c r="L24" s="329">
        <f t="shared" ref="L24:L93" si="4">IF($H24=6.3,$J24*$B$20,0)</f>
        <v>1.4944999999999999</v>
      </c>
      <c r="M24" s="329">
        <f>IF($H24=8,$J24*$B$22,0)</f>
        <v>0</v>
      </c>
      <c r="N24" s="329">
        <f t="shared" ref="N24:N93" si="5">IF($H24=10,$J24*$B$22,0)</f>
        <v>0</v>
      </c>
      <c r="O24" s="329">
        <f t="shared" ref="O24:O93" si="6">IF($H24=12.5,$J24*$B$24,0)</f>
        <v>0</v>
      </c>
      <c r="P24" s="329">
        <f t="shared" ref="P24:P93" si="7">IF($H24=16,$J24*$B$27,0)</f>
        <v>0</v>
      </c>
      <c r="Q24" s="330"/>
      <c r="R24" s="315"/>
    </row>
    <row r="25" spans="1:30" s="16" customFormat="1" ht="15" customHeight="1" x14ac:dyDescent="0.25">
      <c r="C25" s="34"/>
      <c r="D25" s="774"/>
      <c r="E25" s="322" t="s">
        <v>50</v>
      </c>
      <c r="F25" s="321">
        <v>3</v>
      </c>
      <c r="G25" s="323">
        <f>3*2</f>
        <v>6</v>
      </c>
      <c r="H25" s="408">
        <v>6.3</v>
      </c>
      <c r="I25" s="324">
        <v>2.2000000000000002</v>
      </c>
      <c r="J25" s="324">
        <f t="shared" si="2"/>
        <v>13.200000000000001</v>
      </c>
      <c r="K25" s="329">
        <f t="shared" si="3"/>
        <v>0</v>
      </c>
      <c r="L25" s="329">
        <f t="shared" si="4"/>
        <v>3.234</v>
      </c>
      <c r="M25" s="329">
        <f t="shared" ref="M25:M93" si="8">IF($H25=8,$J25*$B$22,0)</f>
        <v>0</v>
      </c>
      <c r="N25" s="329">
        <f t="shared" si="5"/>
        <v>0</v>
      </c>
      <c r="O25" s="329">
        <f t="shared" si="6"/>
        <v>0</v>
      </c>
      <c r="P25" s="329">
        <f t="shared" si="7"/>
        <v>0</v>
      </c>
      <c r="Q25" s="330"/>
      <c r="R25" s="315"/>
    </row>
    <row r="26" spans="1:30" s="16" customFormat="1" ht="15" customHeight="1" x14ac:dyDescent="0.25">
      <c r="C26" s="34"/>
      <c r="D26" s="774"/>
      <c r="E26" s="322" t="s">
        <v>50</v>
      </c>
      <c r="F26" s="321">
        <v>4</v>
      </c>
      <c r="G26" s="323">
        <f>2*2</f>
        <v>4</v>
      </c>
      <c r="H26" s="408">
        <v>6.3</v>
      </c>
      <c r="I26" s="324">
        <v>3.04</v>
      </c>
      <c r="J26" s="324">
        <f t="shared" si="2"/>
        <v>12.16</v>
      </c>
      <c r="K26" s="329">
        <f t="shared" si="3"/>
        <v>0</v>
      </c>
      <c r="L26" s="329">
        <f t="shared" si="4"/>
        <v>2.9792000000000001</v>
      </c>
      <c r="M26" s="329">
        <f t="shared" si="8"/>
        <v>0</v>
      </c>
      <c r="N26" s="329">
        <f t="shared" si="5"/>
        <v>0</v>
      </c>
      <c r="O26" s="329">
        <f t="shared" si="6"/>
        <v>0</v>
      </c>
      <c r="P26" s="329">
        <f t="shared" si="7"/>
        <v>0</v>
      </c>
      <c r="Q26" s="330"/>
      <c r="R26" s="315"/>
      <c r="S26" s="287"/>
    </row>
    <row r="27" spans="1:30" s="16" customFormat="1" ht="15" customHeight="1" x14ac:dyDescent="0.25">
      <c r="A27" s="16" t="s">
        <v>28</v>
      </c>
      <c r="B27" s="16">
        <v>1.5780000000000001</v>
      </c>
      <c r="C27" s="34"/>
      <c r="D27" s="774"/>
      <c r="E27" s="322" t="s">
        <v>50</v>
      </c>
      <c r="F27" s="321">
        <v>5</v>
      </c>
      <c r="G27" s="323">
        <f>3*2</f>
        <v>6</v>
      </c>
      <c r="H27" s="408">
        <v>6.3</v>
      </c>
      <c r="I27" s="324">
        <v>3.05</v>
      </c>
      <c r="J27" s="324">
        <f t="shared" si="2"/>
        <v>18.299999999999997</v>
      </c>
      <c r="K27" s="329">
        <f t="shared" si="3"/>
        <v>0</v>
      </c>
      <c r="L27" s="329">
        <f t="shared" si="4"/>
        <v>4.4834999999999994</v>
      </c>
      <c r="M27" s="329">
        <f t="shared" si="8"/>
        <v>0</v>
      </c>
      <c r="N27" s="329">
        <f t="shared" si="5"/>
        <v>0</v>
      </c>
      <c r="O27" s="329">
        <f t="shared" si="6"/>
        <v>0</v>
      </c>
      <c r="P27" s="329">
        <f t="shared" si="7"/>
        <v>0</v>
      </c>
      <c r="Q27" s="330"/>
      <c r="R27" s="315"/>
      <c r="T27" s="284"/>
    </row>
    <row r="28" spans="1:30" s="16" customFormat="1" ht="15" customHeight="1" x14ac:dyDescent="0.25">
      <c r="C28" s="34"/>
      <c r="D28" s="774"/>
      <c r="E28" s="322" t="s">
        <v>50</v>
      </c>
      <c r="F28" s="321">
        <v>6</v>
      </c>
      <c r="G28" s="323">
        <v>2</v>
      </c>
      <c r="H28" s="408">
        <v>6.3</v>
      </c>
      <c r="I28" s="324">
        <v>4.0999999999999996</v>
      </c>
      <c r="J28" s="324">
        <f t="shared" si="2"/>
        <v>8.1999999999999993</v>
      </c>
      <c r="K28" s="329">
        <f t="shared" si="3"/>
        <v>0</v>
      </c>
      <c r="L28" s="329">
        <f t="shared" si="4"/>
        <v>2.0089999999999999</v>
      </c>
      <c r="M28" s="329">
        <f t="shared" si="8"/>
        <v>0</v>
      </c>
      <c r="N28" s="329">
        <f t="shared" si="5"/>
        <v>0</v>
      </c>
      <c r="O28" s="329">
        <f t="shared" si="6"/>
        <v>0</v>
      </c>
      <c r="P28" s="329">
        <f t="shared" si="7"/>
        <v>0</v>
      </c>
      <c r="Q28" s="330"/>
      <c r="R28" s="315"/>
      <c r="T28" s="284"/>
      <c r="X28" s="82"/>
    </row>
    <row r="29" spans="1:30" s="16" customFormat="1" ht="15" customHeight="1" x14ac:dyDescent="0.25">
      <c r="C29" s="34"/>
      <c r="D29" s="774"/>
      <c r="E29" s="322" t="s">
        <v>50</v>
      </c>
      <c r="F29" s="321">
        <v>7</v>
      </c>
      <c r="G29" s="323">
        <f>6*14+3*10+16</f>
        <v>130</v>
      </c>
      <c r="H29" s="408">
        <v>6.3</v>
      </c>
      <c r="I29" s="324">
        <v>0.53</v>
      </c>
      <c r="J29" s="324">
        <f t="shared" si="2"/>
        <v>68.900000000000006</v>
      </c>
      <c r="K29" s="329">
        <f t="shared" si="3"/>
        <v>0</v>
      </c>
      <c r="L29" s="329">
        <f t="shared" si="4"/>
        <v>16.880500000000001</v>
      </c>
      <c r="M29" s="329">
        <f t="shared" si="8"/>
        <v>0</v>
      </c>
      <c r="N29" s="329">
        <f t="shared" si="5"/>
        <v>0</v>
      </c>
      <c r="O29" s="329">
        <f t="shared" si="6"/>
        <v>0</v>
      </c>
      <c r="P29" s="329">
        <f t="shared" si="7"/>
        <v>0</v>
      </c>
      <c r="Q29" s="331"/>
      <c r="R29" s="315"/>
      <c r="T29" s="284"/>
      <c r="X29" s="82"/>
    </row>
    <row r="30" spans="1:30" s="16" customFormat="1" ht="15" customHeight="1" x14ac:dyDescent="0.25">
      <c r="C30" s="34"/>
      <c r="D30" s="847"/>
      <c r="E30" s="322" t="s">
        <v>50</v>
      </c>
      <c r="F30" s="321"/>
      <c r="G30" s="323"/>
      <c r="H30" s="408"/>
      <c r="I30" s="324"/>
      <c r="J30" s="324">
        <f t="shared" si="2"/>
        <v>0</v>
      </c>
      <c r="K30" s="329">
        <f t="shared" si="3"/>
        <v>0</v>
      </c>
      <c r="L30" s="329">
        <f t="shared" si="4"/>
        <v>0</v>
      </c>
      <c r="M30" s="329">
        <f t="shared" si="8"/>
        <v>0</v>
      </c>
      <c r="N30" s="329">
        <f t="shared" si="5"/>
        <v>0</v>
      </c>
      <c r="O30" s="329">
        <f t="shared" si="6"/>
        <v>0</v>
      </c>
      <c r="P30" s="329">
        <f t="shared" si="7"/>
        <v>0</v>
      </c>
      <c r="Q30" s="331"/>
      <c r="R30" s="315"/>
      <c r="T30" s="284"/>
      <c r="X30" s="82"/>
    </row>
    <row r="31" spans="1:30" s="16" customFormat="1" x14ac:dyDescent="0.25">
      <c r="D31" s="848" t="s">
        <v>323</v>
      </c>
      <c r="E31" s="848"/>
      <c r="F31" s="848"/>
      <c r="G31" s="848"/>
      <c r="H31" s="848"/>
      <c r="I31" s="848"/>
      <c r="J31" s="848"/>
      <c r="K31" s="848"/>
      <c r="L31" s="848"/>
      <c r="M31" s="848"/>
      <c r="N31" s="848"/>
      <c r="O31" s="848"/>
      <c r="P31" s="848"/>
      <c r="Q31" s="537"/>
      <c r="R31" s="575"/>
    </row>
    <row r="32" spans="1:30" s="16" customFormat="1" ht="15" customHeight="1" x14ac:dyDescent="0.25">
      <c r="C32" s="34"/>
      <c r="D32" s="845" t="s">
        <v>1399</v>
      </c>
      <c r="E32" s="322" t="s">
        <v>50</v>
      </c>
      <c r="F32" s="321">
        <v>1</v>
      </c>
      <c r="G32" s="323">
        <v>1</v>
      </c>
      <c r="H32" s="408">
        <v>6.3</v>
      </c>
      <c r="I32" s="324">
        <v>2.27</v>
      </c>
      <c r="J32" s="324">
        <f t="shared" ref="J32:J58" si="9">G32*I32</f>
        <v>2.27</v>
      </c>
      <c r="K32" s="329">
        <f t="shared" si="3"/>
        <v>0</v>
      </c>
      <c r="L32" s="329">
        <f t="shared" si="4"/>
        <v>0.55615000000000003</v>
      </c>
      <c r="M32" s="329">
        <f t="shared" si="8"/>
        <v>0</v>
      </c>
      <c r="N32" s="329">
        <f t="shared" si="5"/>
        <v>0</v>
      </c>
      <c r="O32" s="329">
        <f t="shared" si="6"/>
        <v>0</v>
      </c>
      <c r="P32" s="329">
        <f t="shared" si="7"/>
        <v>0</v>
      </c>
      <c r="Q32" s="331"/>
      <c r="R32" s="569"/>
      <c r="T32" s="34"/>
      <c r="X32" s="82"/>
    </row>
    <row r="33" spans="3:24" s="16" customFormat="1" ht="15" customHeight="1" x14ac:dyDescent="0.25">
      <c r="C33" s="34"/>
      <c r="D33" s="774"/>
      <c r="E33" s="322" t="s">
        <v>50</v>
      </c>
      <c r="F33" s="321">
        <v>2</v>
      </c>
      <c r="G33" s="323">
        <v>10</v>
      </c>
      <c r="H33" s="408">
        <v>6.3</v>
      </c>
      <c r="I33" s="324">
        <v>3.82</v>
      </c>
      <c r="J33" s="324">
        <f t="shared" si="9"/>
        <v>38.199999999999996</v>
      </c>
      <c r="K33" s="329">
        <f t="shared" si="3"/>
        <v>0</v>
      </c>
      <c r="L33" s="329">
        <f t="shared" si="4"/>
        <v>9.3589999999999982</v>
      </c>
      <c r="M33" s="329">
        <f t="shared" si="8"/>
        <v>0</v>
      </c>
      <c r="N33" s="329">
        <f t="shared" si="5"/>
        <v>0</v>
      </c>
      <c r="O33" s="329">
        <f t="shared" si="6"/>
        <v>0</v>
      </c>
      <c r="P33" s="329">
        <f t="shared" si="7"/>
        <v>0</v>
      </c>
      <c r="Q33" s="330"/>
      <c r="R33" s="569"/>
      <c r="T33" s="34"/>
      <c r="X33" s="82"/>
    </row>
    <row r="34" spans="3:24" s="16" customFormat="1" ht="15" customHeight="1" x14ac:dyDescent="0.25">
      <c r="C34" s="34"/>
      <c r="D34" s="774"/>
      <c r="E34" s="322" t="s">
        <v>50</v>
      </c>
      <c r="F34" s="321">
        <v>3</v>
      </c>
      <c r="G34" s="323">
        <v>10</v>
      </c>
      <c r="H34" s="408">
        <v>6.3</v>
      </c>
      <c r="I34" s="324">
        <v>4.3600000000000003</v>
      </c>
      <c r="J34" s="324">
        <f t="shared" si="9"/>
        <v>43.6</v>
      </c>
      <c r="K34" s="329">
        <f t="shared" si="3"/>
        <v>0</v>
      </c>
      <c r="L34" s="329">
        <f t="shared" si="4"/>
        <v>10.682</v>
      </c>
      <c r="M34" s="329">
        <f t="shared" si="8"/>
        <v>0</v>
      </c>
      <c r="N34" s="329">
        <f t="shared" si="5"/>
        <v>0</v>
      </c>
      <c r="O34" s="329">
        <f t="shared" si="6"/>
        <v>0</v>
      </c>
      <c r="P34" s="329">
        <f t="shared" si="7"/>
        <v>0</v>
      </c>
      <c r="Q34" s="330"/>
      <c r="R34" s="569"/>
      <c r="T34" s="34"/>
      <c r="X34" s="82"/>
    </row>
    <row r="35" spans="3:24" s="16" customFormat="1" ht="15" customHeight="1" x14ac:dyDescent="0.25">
      <c r="C35" s="306"/>
      <c r="D35" s="774"/>
      <c r="E35" s="322" t="s">
        <v>50</v>
      </c>
      <c r="F35" s="321">
        <v>4</v>
      </c>
      <c r="G35" s="323">
        <v>2</v>
      </c>
      <c r="H35" s="408">
        <v>6.3</v>
      </c>
      <c r="I35" s="324">
        <v>4.0999999999999996</v>
      </c>
      <c r="J35" s="324">
        <f t="shared" si="9"/>
        <v>8.1999999999999993</v>
      </c>
      <c r="K35" s="329">
        <f t="shared" si="3"/>
        <v>0</v>
      </c>
      <c r="L35" s="329">
        <f t="shared" si="4"/>
        <v>2.0089999999999999</v>
      </c>
      <c r="M35" s="329">
        <f t="shared" si="8"/>
        <v>0</v>
      </c>
      <c r="N35" s="329">
        <f t="shared" si="5"/>
        <v>0</v>
      </c>
      <c r="O35" s="329">
        <f t="shared" si="6"/>
        <v>0</v>
      </c>
      <c r="P35" s="329">
        <f t="shared" si="7"/>
        <v>0</v>
      </c>
      <c r="Q35" s="330"/>
      <c r="R35" s="569"/>
      <c r="T35" s="34"/>
      <c r="X35" s="82"/>
    </row>
    <row r="36" spans="3:24" s="16" customFormat="1" ht="15" customHeight="1" x14ac:dyDescent="0.25">
      <c r="C36" s="34"/>
      <c r="D36" s="774"/>
      <c r="E36" s="322" t="s">
        <v>50</v>
      </c>
      <c r="F36" s="321">
        <v>5</v>
      </c>
      <c r="G36" s="323">
        <v>4</v>
      </c>
      <c r="H36" s="408">
        <v>6.3</v>
      </c>
      <c r="I36" s="324">
        <v>2.2000000000000002</v>
      </c>
      <c r="J36" s="324">
        <f t="shared" si="9"/>
        <v>8.8000000000000007</v>
      </c>
      <c r="K36" s="329">
        <f t="shared" si="3"/>
        <v>0</v>
      </c>
      <c r="L36" s="329">
        <f t="shared" si="4"/>
        <v>2.1560000000000001</v>
      </c>
      <c r="M36" s="329">
        <f t="shared" si="8"/>
        <v>0</v>
      </c>
      <c r="N36" s="329">
        <f t="shared" si="5"/>
        <v>0</v>
      </c>
      <c r="O36" s="329">
        <f t="shared" si="6"/>
        <v>0</v>
      </c>
      <c r="P36" s="329">
        <f t="shared" si="7"/>
        <v>0</v>
      </c>
      <c r="Q36" s="330"/>
      <c r="R36" s="569"/>
      <c r="T36" s="34"/>
      <c r="X36" s="82"/>
    </row>
    <row r="37" spans="3:24" s="16" customFormat="1" ht="15" customHeight="1" x14ac:dyDescent="0.25">
      <c r="C37" s="306"/>
      <c r="D37" s="774"/>
      <c r="E37" s="322" t="s">
        <v>50</v>
      </c>
      <c r="F37" s="321">
        <v>6</v>
      </c>
      <c r="G37" s="323">
        <v>2</v>
      </c>
      <c r="H37" s="408">
        <v>6.3</v>
      </c>
      <c r="I37" s="324">
        <v>3.89</v>
      </c>
      <c r="J37" s="324">
        <f t="shared" si="9"/>
        <v>7.78</v>
      </c>
      <c r="K37" s="329">
        <f t="shared" si="3"/>
        <v>0</v>
      </c>
      <c r="L37" s="329">
        <f t="shared" si="4"/>
        <v>1.9061000000000001</v>
      </c>
      <c r="M37" s="329">
        <f t="shared" si="8"/>
        <v>0</v>
      </c>
      <c r="N37" s="329">
        <f t="shared" si="5"/>
        <v>0</v>
      </c>
      <c r="O37" s="329">
        <f t="shared" si="6"/>
        <v>0</v>
      </c>
      <c r="P37" s="329">
        <f t="shared" si="7"/>
        <v>0</v>
      </c>
      <c r="Q37" s="331"/>
      <c r="R37" s="569"/>
      <c r="T37" s="34"/>
      <c r="X37" s="82"/>
    </row>
    <row r="38" spans="3:24" s="16" customFormat="1" ht="15" customHeight="1" x14ac:dyDescent="0.25">
      <c r="C38" s="34"/>
      <c r="D38" s="774"/>
      <c r="E38" s="322" t="s">
        <v>50</v>
      </c>
      <c r="F38" s="321">
        <v>7</v>
      </c>
      <c r="G38" s="323">
        <v>2</v>
      </c>
      <c r="H38" s="408">
        <v>6.3</v>
      </c>
      <c r="I38" s="324">
        <v>4.18</v>
      </c>
      <c r="J38" s="324">
        <f t="shared" ref="J38" si="10">G38*I38</f>
        <v>8.36</v>
      </c>
      <c r="K38" s="329">
        <f t="shared" si="3"/>
        <v>0</v>
      </c>
      <c r="L38" s="329">
        <f t="shared" si="4"/>
        <v>2.0482</v>
      </c>
      <c r="M38" s="329">
        <f t="shared" si="8"/>
        <v>0</v>
      </c>
      <c r="N38" s="329">
        <f t="shared" si="5"/>
        <v>0</v>
      </c>
      <c r="O38" s="329">
        <f t="shared" si="6"/>
        <v>0</v>
      </c>
      <c r="P38" s="329">
        <f t="shared" si="7"/>
        <v>0</v>
      </c>
      <c r="Q38" s="331"/>
      <c r="R38" s="569"/>
      <c r="T38" s="34"/>
      <c r="X38" s="82"/>
    </row>
    <row r="39" spans="3:24" s="16" customFormat="1" ht="15" customHeight="1" x14ac:dyDescent="0.25">
      <c r="C39" s="34"/>
      <c r="D39" s="774"/>
      <c r="E39" s="322" t="s">
        <v>50</v>
      </c>
      <c r="F39" s="321">
        <v>8</v>
      </c>
      <c r="G39" s="323">
        <v>39</v>
      </c>
      <c r="H39" s="408">
        <v>6.3</v>
      </c>
      <c r="I39" s="324">
        <v>2.09</v>
      </c>
      <c r="J39" s="324">
        <f t="shared" si="9"/>
        <v>81.509999999999991</v>
      </c>
      <c r="K39" s="329">
        <f t="shared" si="3"/>
        <v>0</v>
      </c>
      <c r="L39" s="329">
        <f t="shared" si="4"/>
        <v>19.969949999999997</v>
      </c>
      <c r="M39" s="329">
        <f t="shared" si="8"/>
        <v>0</v>
      </c>
      <c r="N39" s="329">
        <f t="shared" si="5"/>
        <v>0</v>
      </c>
      <c r="O39" s="329">
        <f t="shared" si="6"/>
        <v>0</v>
      </c>
      <c r="P39" s="329">
        <f t="shared" si="7"/>
        <v>0</v>
      </c>
      <c r="Q39" s="331"/>
      <c r="R39" s="569"/>
      <c r="T39" s="34"/>
      <c r="X39" s="82"/>
    </row>
    <row r="40" spans="3:24" s="16" customFormat="1" ht="15" customHeight="1" x14ac:dyDescent="0.25">
      <c r="C40" s="34"/>
      <c r="D40" s="847"/>
      <c r="E40" s="322" t="s">
        <v>50</v>
      </c>
      <c r="F40" s="321">
        <v>9</v>
      </c>
      <c r="G40" s="323">
        <v>79</v>
      </c>
      <c r="H40" s="408">
        <v>6.3</v>
      </c>
      <c r="I40" s="324">
        <v>0.69</v>
      </c>
      <c r="J40" s="324">
        <f t="shared" si="9"/>
        <v>54.51</v>
      </c>
      <c r="K40" s="329">
        <f t="shared" si="3"/>
        <v>0</v>
      </c>
      <c r="L40" s="329">
        <f t="shared" si="4"/>
        <v>13.354949999999999</v>
      </c>
      <c r="M40" s="329">
        <f t="shared" si="8"/>
        <v>0</v>
      </c>
      <c r="N40" s="329">
        <f t="shared" si="5"/>
        <v>0</v>
      </c>
      <c r="O40" s="329">
        <f t="shared" si="6"/>
        <v>0</v>
      </c>
      <c r="P40" s="329">
        <f t="shared" si="7"/>
        <v>0</v>
      </c>
      <c r="Q40" s="331"/>
      <c r="R40" s="569"/>
      <c r="T40" s="34"/>
      <c r="X40" s="82"/>
    </row>
    <row r="41" spans="3:24" s="16" customFormat="1" x14ac:dyDescent="0.25">
      <c r="D41" s="848" t="s">
        <v>422</v>
      </c>
      <c r="E41" s="848"/>
      <c r="F41" s="848"/>
      <c r="G41" s="848"/>
      <c r="H41" s="848"/>
      <c r="I41" s="848"/>
      <c r="J41" s="848"/>
      <c r="K41" s="848"/>
      <c r="L41" s="848"/>
      <c r="M41" s="848"/>
      <c r="N41" s="848"/>
      <c r="O41" s="848"/>
      <c r="P41" s="848"/>
      <c r="Q41" s="537"/>
      <c r="R41" s="575"/>
    </row>
    <row r="42" spans="3:24" s="16" customFormat="1" ht="15" customHeight="1" x14ac:dyDescent="0.25">
      <c r="C42" s="34"/>
      <c r="D42" s="845" t="s">
        <v>1508</v>
      </c>
      <c r="E42" s="322" t="s">
        <v>50</v>
      </c>
      <c r="F42" s="321">
        <v>1</v>
      </c>
      <c r="G42" s="323">
        <v>9</v>
      </c>
      <c r="H42" s="408">
        <v>6.3</v>
      </c>
      <c r="I42" s="324">
        <v>4.09</v>
      </c>
      <c r="J42" s="324">
        <f t="shared" si="9"/>
        <v>36.81</v>
      </c>
      <c r="K42" s="329">
        <f t="shared" si="3"/>
        <v>0</v>
      </c>
      <c r="L42" s="329">
        <f t="shared" si="4"/>
        <v>9.0184499999999996</v>
      </c>
      <c r="M42" s="329">
        <f t="shared" si="8"/>
        <v>0</v>
      </c>
      <c r="N42" s="329">
        <f t="shared" si="5"/>
        <v>0</v>
      </c>
      <c r="O42" s="329">
        <f t="shared" si="6"/>
        <v>0</v>
      </c>
      <c r="P42" s="329">
        <f t="shared" si="7"/>
        <v>0</v>
      </c>
      <c r="Q42" s="331"/>
      <c r="R42" s="575"/>
      <c r="T42" s="34"/>
      <c r="X42" s="82"/>
    </row>
    <row r="43" spans="3:24" s="16" customFormat="1" ht="15" customHeight="1" x14ac:dyDescent="0.25">
      <c r="C43" s="34"/>
      <c r="D43" s="774"/>
      <c r="E43" s="322" t="s">
        <v>50</v>
      </c>
      <c r="F43" s="321">
        <v>2</v>
      </c>
      <c r="G43" s="323">
        <v>9</v>
      </c>
      <c r="H43" s="408">
        <v>6.3</v>
      </c>
      <c r="I43" s="324">
        <v>3.82</v>
      </c>
      <c r="J43" s="324">
        <f t="shared" si="9"/>
        <v>34.379999999999995</v>
      </c>
      <c r="K43" s="329">
        <f t="shared" si="3"/>
        <v>0</v>
      </c>
      <c r="L43" s="329">
        <f t="shared" si="4"/>
        <v>8.423099999999998</v>
      </c>
      <c r="M43" s="329">
        <f t="shared" si="8"/>
        <v>0</v>
      </c>
      <c r="N43" s="329">
        <f t="shared" si="5"/>
        <v>0</v>
      </c>
      <c r="O43" s="329">
        <f t="shared" si="6"/>
        <v>0</v>
      </c>
      <c r="P43" s="329">
        <f t="shared" si="7"/>
        <v>0</v>
      </c>
      <c r="Q43" s="330"/>
      <c r="R43" s="575"/>
      <c r="T43" s="34"/>
      <c r="X43" s="82"/>
    </row>
    <row r="44" spans="3:24" s="16" customFormat="1" ht="15" customHeight="1" x14ac:dyDescent="0.25">
      <c r="C44" s="34"/>
      <c r="D44" s="774"/>
      <c r="E44" s="322" t="s">
        <v>50</v>
      </c>
      <c r="F44" s="321">
        <v>3</v>
      </c>
      <c r="G44" s="323">
        <v>9</v>
      </c>
      <c r="H44" s="408">
        <v>6.3</v>
      </c>
      <c r="I44" s="324">
        <v>4.37</v>
      </c>
      <c r="J44" s="324">
        <f t="shared" si="9"/>
        <v>39.33</v>
      </c>
      <c r="K44" s="329">
        <f t="shared" si="3"/>
        <v>0</v>
      </c>
      <c r="L44" s="329">
        <f t="shared" si="4"/>
        <v>9.6358499999999996</v>
      </c>
      <c r="M44" s="329">
        <f t="shared" si="8"/>
        <v>0</v>
      </c>
      <c r="N44" s="329">
        <f t="shared" si="5"/>
        <v>0</v>
      </c>
      <c r="O44" s="329">
        <f t="shared" si="6"/>
        <v>0</v>
      </c>
      <c r="P44" s="329">
        <f t="shared" si="7"/>
        <v>0</v>
      </c>
      <c r="Q44" s="330"/>
      <c r="R44" s="575"/>
      <c r="T44" s="34"/>
      <c r="X44" s="82"/>
    </row>
    <row r="45" spans="3:24" s="16" customFormat="1" ht="15" customHeight="1" x14ac:dyDescent="0.25">
      <c r="C45" s="306"/>
      <c r="D45" s="774"/>
      <c r="E45" s="322" t="s">
        <v>50</v>
      </c>
      <c r="F45" s="321">
        <v>4</v>
      </c>
      <c r="G45" s="323">
        <v>3</v>
      </c>
      <c r="H45" s="408">
        <v>6.3</v>
      </c>
      <c r="I45" s="324">
        <v>2</v>
      </c>
      <c r="J45" s="324">
        <f t="shared" si="9"/>
        <v>6</v>
      </c>
      <c r="K45" s="329">
        <f t="shared" si="3"/>
        <v>0</v>
      </c>
      <c r="L45" s="329">
        <f t="shared" si="4"/>
        <v>1.47</v>
      </c>
      <c r="M45" s="329">
        <f t="shared" si="8"/>
        <v>0</v>
      </c>
      <c r="N45" s="329">
        <f t="shared" si="5"/>
        <v>0</v>
      </c>
      <c r="O45" s="329">
        <f t="shared" si="6"/>
        <v>0</v>
      </c>
      <c r="P45" s="329">
        <f t="shared" si="7"/>
        <v>0</v>
      </c>
      <c r="Q45" s="330"/>
      <c r="R45" s="575"/>
      <c r="T45" s="34"/>
      <c r="X45" s="82"/>
    </row>
    <row r="46" spans="3:24" s="16" customFormat="1" ht="15" customHeight="1" x14ac:dyDescent="0.25">
      <c r="C46" s="34"/>
      <c r="D46" s="774"/>
      <c r="E46" s="322" t="s">
        <v>50</v>
      </c>
      <c r="F46" s="321">
        <v>5</v>
      </c>
      <c r="G46" s="323">
        <v>4</v>
      </c>
      <c r="H46" s="408">
        <v>6.3</v>
      </c>
      <c r="I46" s="324">
        <v>1.1299999999999999</v>
      </c>
      <c r="J46" s="324">
        <f t="shared" si="9"/>
        <v>4.5199999999999996</v>
      </c>
      <c r="K46" s="329">
        <f t="shared" si="3"/>
        <v>0</v>
      </c>
      <c r="L46" s="329">
        <f t="shared" si="4"/>
        <v>1.1073999999999999</v>
      </c>
      <c r="M46" s="329">
        <f t="shared" si="8"/>
        <v>0</v>
      </c>
      <c r="N46" s="329">
        <f t="shared" si="5"/>
        <v>0</v>
      </c>
      <c r="O46" s="329">
        <f t="shared" si="6"/>
        <v>0</v>
      </c>
      <c r="P46" s="329">
        <f t="shared" si="7"/>
        <v>0</v>
      </c>
      <c r="Q46" s="330"/>
      <c r="R46" s="575"/>
      <c r="T46" s="34"/>
      <c r="X46" s="82"/>
    </row>
    <row r="47" spans="3:24" s="16" customFormat="1" ht="15" customHeight="1" x14ac:dyDescent="0.25">
      <c r="C47" s="306"/>
      <c r="D47" s="774"/>
      <c r="E47" s="322" t="s">
        <v>50</v>
      </c>
      <c r="F47" s="321">
        <v>6</v>
      </c>
      <c r="G47" s="323">
        <v>12</v>
      </c>
      <c r="H47" s="408">
        <v>6.3</v>
      </c>
      <c r="I47" s="324">
        <v>1.1499999999999999</v>
      </c>
      <c r="J47" s="324">
        <f t="shared" si="9"/>
        <v>13.799999999999999</v>
      </c>
      <c r="K47" s="329">
        <f t="shared" si="3"/>
        <v>0</v>
      </c>
      <c r="L47" s="329">
        <f t="shared" si="4"/>
        <v>3.3809999999999998</v>
      </c>
      <c r="M47" s="329">
        <f t="shared" si="8"/>
        <v>0</v>
      </c>
      <c r="N47" s="329">
        <f t="shared" si="5"/>
        <v>0</v>
      </c>
      <c r="O47" s="329">
        <f t="shared" si="6"/>
        <v>0</v>
      </c>
      <c r="P47" s="329">
        <f t="shared" si="7"/>
        <v>0</v>
      </c>
      <c r="Q47" s="331"/>
      <c r="R47" s="575"/>
      <c r="T47" s="34"/>
      <c r="X47" s="82"/>
    </row>
    <row r="48" spans="3:24" s="16" customFormat="1" ht="15" customHeight="1" x14ac:dyDescent="0.25">
      <c r="C48" s="34"/>
      <c r="D48" s="774"/>
      <c r="E48" s="322" t="s">
        <v>50</v>
      </c>
      <c r="F48" s="321">
        <v>7</v>
      </c>
      <c r="G48" s="323">
        <v>10</v>
      </c>
      <c r="H48" s="408">
        <v>6.3</v>
      </c>
      <c r="I48" s="324">
        <v>1.1399999999999999</v>
      </c>
      <c r="J48" s="324">
        <f t="shared" si="9"/>
        <v>11.399999999999999</v>
      </c>
      <c r="K48" s="329">
        <f t="shared" si="3"/>
        <v>0</v>
      </c>
      <c r="L48" s="329">
        <f t="shared" si="4"/>
        <v>2.7929999999999997</v>
      </c>
      <c r="M48" s="329">
        <f t="shared" si="8"/>
        <v>0</v>
      </c>
      <c r="N48" s="329">
        <f t="shared" si="5"/>
        <v>0</v>
      </c>
      <c r="O48" s="329">
        <f t="shared" si="6"/>
        <v>0</v>
      </c>
      <c r="P48" s="329">
        <f t="shared" si="7"/>
        <v>0</v>
      </c>
      <c r="Q48" s="330"/>
      <c r="R48" s="575"/>
      <c r="T48" s="34"/>
      <c r="X48" s="82"/>
    </row>
    <row r="49" spans="3:24" s="16" customFormat="1" ht="15" customHeight="1" x14ac:dyDescent="0.25">
      <c r="C49" s="306"/>
      <c r="D49" s="774"/>
      <c r="E49" s="322" t="s">
        <v>50</v>
      </c>
      <c r="F49" s="321">
        <v>8</v>
      </c>
      <c r="G49" s="323">
        <v>6</v>
      </c>
      <c r="H49" s="408">
        <v>6.3</v>
      </c>
      <c r="I49" s="324">
        <v>1.99</v>
      </c>
      <c r="J49" s="324">
        <f t="shared" si="9"/>
        <v>11.94</v>
      </c>
      <c r="K49" s="329">
        <f t="shared" si="3"/>
        <v>0</v>
      </c>
      <c r="L49" s="329">
        <f t="shared" si="4"/>
        <v>2.9253</v>
      </c>
      <c r="M49" s="329">
        <f t="shared" si="8"/>
        <v>0</v>
      </c>
      <c r="N49" s="329">
        <f t="shared" si="5"/>
        <v>0</v>
      </c>
      <c r="O49" s="329">
        <f t="shared" si="6"/>
        <v>0</v>
      </c>
      <c r="P49" s="329">
        <f t="shared" si="7"/>
        <v>0</v>
      </c>
      <c r="Q49" s="330"/>
      <c r="R49" s="575"/>
      <c r="T49" s="34"/>
      <c r="X49" s="82"/>
    </row>
    <row r="50" spans="3:24" s="16" customFormat="1" ht="15" customHeight="1" x14ac:dyDescent="0.25">
      <c r="C50" s="34"/>
      <c r="D50" s="774"/>
      <c r="E50" s="322" t="s">
        <v>50</v>
      </c>
      <c r="F50" s="321">
        <v>9</v>
      </c>
      <c r="G50" s="323">
        <v>4</v>
      </c>
      <c r="H50" s="408">
        <v>6.3</v>
      </c>
      <c r="I50" s="324">
        <v>1.1399999999999999</v>
      </c>
      <c r="J50" s="324">
        <f t="shared" si="9"/>
        <v>4.5599999999999996</v>
      </c>
      <c r="K50" s="329">
        <f t="shared" si="3"/>
        <v>0</v>
      </c>
      <c r="L50" s="329">
        <f t="shared" si="4"/>
        <v>1.1172</v>
      </c>
      <c r="M50" s="329">
        <f t="shared" si="8"/>
        <v>0</v>
      </c>
      <c r="N50" s="329">
        <f t="shared" si="5"/>
        <v>0</v>
      </c>
      <c r="O50" s="329">
        <f t="shared" si="6"/>
        <v>0</v>
      </c>
      <c r="P50" s="329">
        <f t="shared" si="7"/>
        <v>0</v>
      </c>
      <c r="Q50" s="330"/>
      <c r="R50" s="575"/>
      <c r="T50" s="34"/>
      <c r="X50" s="82"/>
    </row>
    <row r="51" spans="3:24" s="16" customFormat="1" ht="15" customHeight="1" x14ac:dyDescent="0.25">
      <c r="C51" s="306"/>
      <c r="D51" s="774"/>
      <c r="E51" s="322" t="s">
        <v>50</v>
      </c>
      <c r="F51" s="321">
        <v>10</v>
      </c>
      <c r="G51" s="323">
        <v>4</v>
      </c>
      <c r="H51" s="408">
        <v>6.3</v>
      </c>
      <c r="I51" s="324">
        <v>1.1499999999999999</v>
      </c>
      <c r="J51" s="324">
        <f t="shared" si="9"/>
        <v>4.5999999999999996</v>
      </c>
      <c r="K51" s="329">
        <f t="shared" si="3"/>
        <v>0</v>
      </c>
      <c r="L51" s="329">
        <f t="shared" si="4"/>
        <v>1.127</v>
      </c>
      <c r="M51" s="329">
        <f t="shared" si="8"/>
        <v>0</v>
      </c>
      <c r="N51" s="329">
        <f t="shared" si="5"/>
        <v>0</v>
      </c>
      <c r="O51" s="329">
        <f t="shared" si="6"/>
        <v>0</v>
      </c>
      <c r="P51" s="329">
        <f t="shared" si="7"/>
        <v>0</v>
      </c>
      <c r="Q51" s="331"/>
      <c r="R51" s="575"/>
      <c r="T51" s="34"/>
      <c r="X51" s="82"/>
    </row>
    <row r="52" spans="3:24" s="16" customFormat="1" ht="15" customHeight="1" x14ac:dyDescent="0.25">
      <c r="C52" s="34"/>
      <c r="D52" s="774"/>
      <c r="E52" s="322" t="s">
        <v>50</v>
      </c>
      <c r="F52" s="321">
        <v>11</v>
      </c>
      <c r="G52" s="323">
        <v>3</v>
      </c>
      <c r="H52" s="408">
        <v>6.3</v>
      </c>
      <c r="I52" s="324">
        <v>2.2599999999999998</v>
      </c>
      <c r="J52" s="324">
        <f t="shared" si="9"/>
        <v>6.7799999999999994</v>
      </c>
      <c r="K52" s="329">
        <f t="shared" si="3"/>
        <v>0</v>
      </c>
      <c r="L52" s="329">
        <f t="shared" si="4"/>
        <v>1.6610999999999998</v>
      </c>
      <c r="M52" s="329">
        <f t="shared" si="8"/>
        <v>0</v>
      </c>
      <c r="N52" s="329">
        <f t="shared" si="5"/>
        <v>0</v>
      </c>
      <c r="O52" s="329">
        <f t="shared" si="6"/>
        <v>0</v>
      </c>
      <c r="P52" s="329">
        <f t="shared" si="7"/>
        <v>0</v>
      </c>
      <c r="Q52" s="330"/>
      <c r="R52" s="575"/>
      <c r="T52" s="34"/>
      <c r="X52" s="82"/>
    </row>
    <row r="53" spans="3:24" s="16" customFormat="1" ht="15" customHeight="1" x14ac:dyDescent="0.25">
      <c r="C53" s="306"/>
      <c r="D53" s="774"/>
      <c r="E53" s="322" t="s">
        <v>50</v>
      </c>
      <c r="F53" s="321">
        <v>12</v>
      </c>
      <c r="G53" s="323">
        <v>3</v>
      </c>
      <c r="H53" s="408">
        <v>6.3</v>
      </c>
      <c r="I53" s="324">
        <v>1.72</v>
      </c>
      <c r="J53" s="324">
        <f t="shared" si="9"/>
        <v>5.16</v>
      </c>
      <c r="K53" s="329">
        <f t="shared" si="3"/>
        <v>0</v>
      </c>
      <c r="L53" s="329">
        <f t="shared" si="4"/>
        <v>1.2642</v>
      </c>
      <c r="M53" s="329">
        <f t="shared" si="8"/>
        <v>0</v>
      </c>
      <c r="N53" s="329">
        <f t="shared" si="5"/>
        <v>0</v>
      </c>
      <c r="O53" s="329">
        <f t="shared" si="6"/>
        <v>0</v>
      </c>
      <c r="P53" s="329">
        <f t="shared" si="7"/>
        <v>0</v>
      </c>
      <c r="Q53" s="330"/>
      <c r="R53" s="575"/>
      <c r="T53" s="34"/>
      <c r="X53" s="82"/>
    </row>
    <row r="54" spans="3:24" s="16" customFormat="1" ht="15" customHeight="1" x14ac:dyDescent="0.25">
      <c r="C54" s="34"/>
      <c r="D54" s="774"/>
      <c r="E54" s="322" t="s">
        <v>50</v>
      </c>
      <c r="F54" s="321">
        <v>13</v>
      </c>
      <c r="G54" s="323">
        <v>8</v>
      </c>
      <c r="H54" s="408">
        <v>6.3</v>
      </c>
      <c r="I54" s="324">
        <v>1.1399999999999999</v>
      </c>
      <c r="J54" s="324">
        <f t="shared" si="9"/>
        <v>9.1199999999999992</v>
      </c>
      <c r="K54" s="329">
        <f t="shared" si="3"/>
        <v>0</v>
      </c>
      <c r="L54" s="329">
        <f t="shared" si="4"/>
        <v>2.2343999999999999</v>
      </c>
      <c r="M54" s="329">
        <f t="shared" si="8"/>
        <v>0</v>
      </c>
      <c r="N54" s="329">
        <f t="shared" si="5"/>
        <v>0</v>
      </c>
      <c r="O54" s="329">
        <f t="shared" si="6"/>
        <v>0</v>
      </c>
      <c r="P54" s="329">
        <f t="shared" si="7"/>
        <v>0</v>
      </c>
      <c r="Q54" s="330"/>
      <c r="R54" s="575"/>
      <c r="T54" s="34"/>
      <c r="X54" s="82"/>
    </row>
    <row r="55" spans="3:24" s="16" customFormat="1" ht="15" customHeight="1" x14ac:dyDescent="0.25">
      <c r="C55" s="306"/>
      <c r="D55" s="774"/>
      <c r="E55" s="322" t="s">
        <v>50</v>
      </c>
      <c r="F55" s="321">
        <v>14</v>
      </c>
      <c r="G55" s="323">
        <v>3</v>
      </c>
      <c r="H55" s="408">
        <v>6.3</v>
      </c>
      <c r="I55" s="324">
        <v>2.0499999999999998</v>
      </c>
      <c r="J55" s="324">
        <f t="shared" si="9"/>
        <v>6.1499999999999995</v>
      </c>
      <c r="K55" s="329">
        <f t="shared" si="3"/>
        <v>0</v>
      </c>
      <c r="L55" s="329">
        <f t="shared" si="4"/>
        <v>1.5067499999999998</v>
      </c>
      <c r="M55" s="329">
        <f t="shared" si="8"/>
        <v>0</v>
      </c>
      <c r="N55" s="329">
        <f t="shared" si="5"/>
        <v>0</v>
      </c>
      <c r="O55" s="329">
        <f t="shared" si="6"/>
        <v>0</v>
      </c>
      <c r="P55" s="329">
        <f t="shared" si="7"/>
        <v>0</v>
      </c>
      <c r="Q55" s="331"/>
      <c r="R55" s="575"/>
      <c r="T55" s="34"/>
      <c r="X55" s="82"/>
    </row>
    <row r="56" spans="3:24" s="16" customFormat="1" ht="15" customHeight="1" x14ac:dyDescent="0.25">
      <c r="C56" s="34"/>
      <c r="D56" s="774"/>
      <c r="E56" s="322" t="s">
        <v>50</v>
      </c>
      <c r="F56" s="321">
        <v>15</v>
      </c>
      <c r="G56" s="323">
        <v>59</v>
      </c>
      <c r="H56" s="408">
        <v>6.3</v>
      </c>
      <c r="I56" s="324">
        <v>2.09</v>
      </c>
      <c r="J56" s="324">
        <f t="shared" si="9"/>
        <v>123.30999999999999</v>
      </c>
      <c r="K56" s="329">
        <f t="shared" si="3"/>
        <v>0</v>
      </c>
      <c r="L56" s="329">
        <f t="shared" si="4"/>
        <v>30.210949999999997</v>
      </c>
      <c r="M56" s="329">
        <f t="shared" si="8"/>
        <v>0</v>
      </c>
      <c r="N56" s="329">
        <f t="shared" si="5"/>
        <v>0</v>
      </c>
      <c r="O56" s="329">
        <f t="shared" si="6"/>
        <v>0</v>
      </c>
      <c r="P56" s="329">
        <f t="shared" si="7"/>
        <v>0</v>
      </c>
      <c r="Q56" s="331"/>
      <c r="R56" s="575"/>
      <c r="T56" s="34"/>
      <c r="X56" s="82"/>
    </row>
    <row r="57" spans="3:24" s="16" customFormat="1" ht="15" customHeight="1" x14ac:dyDescent="0.25">
      <c r="C57" s="34"/>
      <c r="D57" s="774"/>
      <c r="E57" s="322" t="s">
        <v>50</v>
      </c>
      <c r="F57" s="321">
        <v>16</v>
      </c>
      <c r="G57" s="323">
        <v>18</v>
      </c>
      <c r="H57" s="408">
        <v>6.3</v>
      </c>
      <c r="I57" s="324">
        <v>0.89</v>
      </c>
      <c r="J57" s="324">
        <f t="shared" si="9"/>
        <v>16.02</v>
      </c>
      <c r="K57" s="329">
        <f t="shared" si="3"/>
        <v>0</v>
      </c>
      <c r="L57" s="329">
        <f t="shared" si="4"/>
        <v>3.9248999999999996</v>
      </c>
      <c r="M57" s="329">
        <f t="shared" si="8"/>
        <v>0</v>
      </c>
      <c r="N57" s="329">
        <f t="shared" si="5"/>
        <v>0</v>
      </c>
      <c r="O57" s="329">
        <f t="shared" si="6"/>
        <v>0</v>
      </c>
      <c r="P57" s="329">
        <f t="shared" si="7"/>
        <v>0</v>
      </c>
      <c r="Q57" s="331"/>
      <c r="R57" s="575"/>
      <c r="T57" s="34"/>
      <c r="X57" s="82"/>
    </row>
    <row r="58" spans="3:24" s="16" customFormat="1" ht="15" customHeight="1" x14ac:dyDescent="0.25">
      <c r="C58" s="34"/>
      <c r="D58" s="847"/>
      <c r="E58" s="322" t="s">
        <v>50</v>
      </c>
      <c r="F58" s="321">
        <v>17</v>
      </c>
      <c r="G58" s="323">
        <v>90</v>
      </c>
      <c r="H58" s="408">
        <v>6.3</v>
      </c>
      <c r="I58" s="324">
        <v>0.89</v>
      </c>
      <c r="J58" s="324">
        <f t="shared" si="9"/>
        <v>80.099999999999994</v>
      </c>
      <c r="K58" s="329">
        <f t="shared" si="3"/>
        <v>0</v>
      </c>
      <c r="L58" s="329">
        <f t="shared" si="4"/>
        <v>19.624499999999998</v>
      </c>
      <c r="M58" s="329">
        <f t="shared" si="8"/>
        <v>0</v>
      </c>
      <c r="N58" s="329">
        <f t="shared" si="5"/>
        <v>0</v>
      </c>
      <c r="O58" s="329">
        <f t="shared" si="6"/>
        <v>0</v>
      </c>
      <c r="P58" s="329">
        <f t="shared" si="7"/>
        <v>0</v>
      </c>
      <c r="Q58" s="331"/>
      <c r="R58" s="575"/>
      <c r="T58" s="34"/>
      <c r="X58" s="82"/>
    </row>
    <row r="59" spans="3:24" s="16" customFormat="1" ht="15" customHeight="1" x14ac:dyDescent="0.25">
      <c r="C59" s="34"/>
      <c r="D59" s="325"/>
      <c r="E59" s="301"/>
      <c r="F59" s="302"/>
      <c r="G59" s="303"/>
      <c r="H59" s="327"/>
      <c r="I59" s="326"/>
      <c r="J59" s="305"/>
      <c r="K59" s="229"/>
      <c r="L59" s="229"/>
      <c r="M59" s="229"/>
      <c r="N59" s="229"/>
      <c r="O59" s="229"/>
      <c r="P59" s="229"/>
      <c r="Q59" s="332"/>
      <c r="R59" s="569"/>
      <c r="T59" s="34"/>
      <c r="X59" s="82"/>
    </row>
    <row r="60" spans="3:24" s="16" customFormat="1" x14ac:dyDescent="0.25">
      <c r="D60" s="848" t="s">
        <v>583</v>
      </c>
      <c r="E60" s="848"/>
      <c r="F60" s="848"/>
      <c r="G60" s="848"/>
      <c r="H60" s="848"/>
      <c r="I60" s="848"/>
      <c r="J60" s="848"/>
      <c r="K60" s="848"/>
      <c r="L60" s="848"/>
      <c r="M60" s="848"/>
      <c r="N60" s="848"/>
      <c r="O60" s="848"/>
      <c r="P60" s="848"/>
      <c r="Q60" s="537"/>
      <c r="R60" s="580"/>
    </row>
    <row r="61" spans="3:24" s="16" customFormat="1" ht="15" customHeight="1" x14ac:dyDescent="0.25">
      <c r="C61" s="34"/>
      <c r="D61" s="845" t="s">
        <v>1623</v>
      </c>
      <c r="E61" s="322" t="s">
        <v>50</v>
      </c>
      <c r="F61" s="321">
        <v>1</v>
      </c>
      <c r="G61" s="323">
        <v>2</v>
      </c>
      <c r="H61" s="408">
        <v>6.3</v>
      </c>
      <c r="I61" s="324">
        <v>2.27</v>
      </c>
      <c r="J61" s="324">
        <f t="shared" ref="J61:J67" si="11">G61*I61</f>
        <v>4.54</v>
      </c>
      <c r="K61" s="329">
        <f t="shared" si="3"/>
        <v>0</v>
      </c>
      <c r="L61" s="329">
        <f t="shared" si="4"/>
        <v>1.1123000000000001</v>
      </c>
      <c r="M61" s="329">
        <f t="shared" si="8"/>
        <v>0</v>
      </c>
      <c r="N61" s="329">
        <f t="shared" si="5"/>
        <v>0</v>
      </c>
      <c r="O61" s="329">
        <f t="shared" si="6"/>
        <v>0</v>
      </c>
      <c r="P61" s="329">
        <f t="shared" si="7"/>
        <v>0</v>
      </c>
      <c r="Q61" s="331"/>
      <c r="R61" s="580"/>
      <c r="T61" s="34"/>
      <c r="X61" s="82"/>
    </row>
    <row r="62" spans="3:24" s="16" customFormat="1" ht="15" customHeight="1" x14ac:dyDescent="0.25">
      <c r="C62" s="34"/>
      <c r="D62" s="774"/>
      <c r="E62" s="322" t="s">
        <v>50</v>
      </c>
      <c r="F62" s="321">
        <v>2</v>
      </c>
      <c r="G62" s="323">
        <v>20</v>
      </c>
      <c r="H62" s="408">
        <v>6.3</v>
      </c>
      <c r="I62" s="324">
        <v>3.82</v>
      </c>
      <c r="J62" s="324">
        <f t="shared" si="11"/>
        <v>76.399999999999991</v>
      </c>
      <c r="K62" s="329">
        <f t="shared" si="3"/>
        <v>0</v>
      </c>
      <c r="L62" s="329">
        <f t="shared" si="4"/>
        <v>18.717999999999996</v>
      </c>
      <c r="M62" s="329">
        <f t="shared" si="8"/>
        <v>0</v>
      </c>
      <c r="N62" s="329">
        <f t="shared" si="5"/>
        <v>0</v>
      </c>
      <c r="O62" s="329">
        <f t="shared" si="6"/>
        <v>0</v>
      </c>
      <c r="P62" s="329">
        <f t="shared" si="7"/>
        <v>0</v>
      </c>
      <c r="Q62" s="330"/>
      <c r="R62" s="580"/>
      <c r="T62" s="34"/>
      <c r="X62" s="82"/>
    </row>
    <row r="63" spans="3:24" s="16" customFormat="1" ht="15" customHeight="1" x14ac:dyDescent="0.25">
      <c r="C63" s="34"/>
      <c r="D63" s="774"/>
      <c r="E63" s="322" t="s">
        <v>50</v>
      </c>
      <c r="F63" s="321">
        <v>3</v>
      </c>
      <c r="G63" s="323">
        <v>20</v>
      </c>
      <c r="H63" s="408">
        <v>6.3</v>
      </c>
      <c r="I63" s="324">
        <v>4.3600000000000003</v>
      </c>
      <c r="J63" s="324">
        <f t="shared" si="11"/>
        <v>87.2</v>
      </c>
      <c r="K63" s="329">
        <f t="shared" si="3"/>
        <v>0</v>
      </c>
      <c r="L63" s="329">
        <f t="shared" si="4"/>
        <v>21.364000000000001</v>
      </c>
      <c r="M63" s="329">
        <f t="shared" si="8"/>
        <v>0</v>
      </c>
      <c r="N63" s="329">
        <f t="shared" si="5"/>
        <v>0</v>
      </c>
      <c r="O63" s="329">
        <f t="shared" si="6"/>
        <v>0</v>
      </c>
      <c r="P63" s="329">
        <f t="shared" si="7"/>
        <v>0</v>
      </c>
      <c r="Q63" s="330"/>
      <c r="R63" s="580"/>
      <c r="T63" s="34"/>
      <c r="X63" s="82"/>
    </row>
    <row r="64" spans="3:24" s="16" customFormat="1" ht="15" customHeight="1" x14ac:dyDescent="0.25">
      <c r="C64" s="306"/>
      <c r="D64" s="774"/>
      <c r="E64" s="322" t="s">
        <v>50</v>
      </c>
      <c r="F64" s="321">
        <v>4</v>
      </c>
      <c r="G64" s="323">
        <v>8</v>
      </c>
      <c r="H64" s="408">
        <v>6.3</v>
      </c>
      <c r="I64" s="324">
        <v>4.0999999999999996</v>
      </c>
      <c r="J64" s="324">
        <f t="shared" si="11"/>
        <v>32.799999999999997</v>
      </c>
      <c r="K64" s="329">
        <f t="shared" si="3"/>
        <v>0</v>
      </c>
      <c r="L64" s="329">
        <f t="shared" si="4"/>
        <v>8.0359999999999996</v>
      </c>
      <c r="M64" s="329">
        <f t="shared" si="8"/>
        <v>0</v>
      </c>
      <c r="N64" s="329">
        <f t="shared" si="5"/>
        <v>0</v>
      </c>
      <c r="O64" s="329">
        <f t="shared" si="6"/>
        <v>0</v>
      </c>
      <c r="P64" s="329">
        <f t="shared" si="7"/>
        <v>0</v>
      </c>
      <c r="Q64" s="330"/>
      <c r="R64" s="580"/>
      <c r="T64" s="34"/>
      <c r="X64" s="82"/>
    </row>
    <row r="65" spans="3:24" s="16" customFormat="1" ht="15" customHeight="1" x14ac:dyDescent="0.25">
      <c r="C65" s="34"/>
      <c r="D65" s="774"/>
      <c r="E65" s="322" t="s">
        <v>50</v>
      </c>
      <c r="F65" s="321">
        <v>5</v>
      </c>
      <c r="G65" s="323">
        <v>12</v>
      </c>
      <c r="H65" s="408">
        <v>6.3</v>
      </c>
      <c r="I65" s="324">
        <v>2.2000000000000002</v>
      </c>
      <c r="J65" s="324">
        <f t="shared" si="11"/>
        <v>26.400000000000002</v>
      </c>
      <c r="K65" s="329">
        <f t="shared" si="3"/>
        <v>0</v>
      </c>
      <c r="L65" s="329">
        <f t="shared" si="4"/>
        <v>6.468</v>
      </c>
      <c r="M65" s="329">
        <f t="shared" si="8"/>
        <v>0</v>
      </c>
      <c r="N65" s="329">
        <f t="shared" si="5"/>
        <v>0</v>
      </c>
      <c r="O65" s="329">
        <f t="shared" si="6"/>
        <v>0</v>
      </c>
      <c r="P65" s="329">
        <f t="shared" si="7"/>
        <v>0</v>
      </c>
      <c r="Q65" s="330"/>
      <c r="R65" s="580"/>
      <c r="T65" s="34"/>
      <c r="X65" s="82"/>
    </row>
    <row r="66" spans="3:24" s="16" customFormat="1" ht="15" customHeight="1" x14ac:dyDescent="0.25">
      <c r="C66" s="306"/>
      <c r="D66" s="774"/>
      <c r="E66" s="322" t="s">
        <v>50</v>
      </c>
      <c r="F66" s="321">
        <v>6</v>
      </c>
      <c r="G66" s="323">
        <v>4</v>
      </c>
      <c r="H66" s="408">
        <v>6.3</v>
      </c>
      <c r="I66" s="324">
        <v>3.89</v>
      </c>
      <c r="J66" s="324">
        <f t="shared" si="11"/>
        <v>15.56</v>
      </c>
      <c r="K66" s="329">
        <f t="shared" si="3"/>
        <v>0</v>
      </c>
      <c r="L66" s="329">
        <f t="shared" si="4"/>
        <v>3.8122000000000003</v>
      </c>
      <c r="M66" s="329">
        <f t="shared" si="8"/>
        <v>0</v>
      </c>
      <c r="N66" s="329">
        <f t="shared" si="5"/>
        <v>0</v>
      </c>
      <c r="O66" s="329">
        <f t="shared" si="6"/>
        <v>0</v>
      </c>
      <c r="P66" s="329">
        <f t="shared" si="7"/>
        <v>0</v>
      </c>
      <c r="Q66" s="331"/>
      <c r="R66" s="580"/>
      <c r="T66" s="34"/>
      <c r="X66" s="82"/>
    </row>
    <row r="67" spans="3:24" s="16" customFormat="1" ht="15" customHeight="1" x14ac:dyDescent="0.25">
      <c r="C67" s="34"/>
      <c r="D67" s="774"/>
      <c r="E67" s="322" t="s">
        <v>50</v>
      </c>
      <c r="F67" s="321">
        <v>7</v>
      </c>
      <c r="G67" s="323">
        <v>2</v>
      </c>
      <c r="H67" s="408">
        <v>6.3</v>
      </c>
      <c r="I67" s="324">
        <v>4.18</v>
      </c>
      <c r="J67" s="324">
        <f t="shared" si="11"/>
        <v>8.36</v>
      </c>
      <c r="K67" s="329">
        <f t="shared" si="3"/>
        <v>0</v>
      </c>
      <c r="L67" s="329">
        <f t="shared" si="4"/>
        <v>2.0482</v>
      </c>
      <c r="M67" s="329">
        <f t="shared" si="8"/>
        <v>0</v>
      </c>
      <c r="N67" s="329">
        <f t="shared" si="5"/>
        <v>0</v>
      </c>
      <c r="O67" s="329">
        <f t="shared" si="6"/>
        <v>0</v>
      </c>
      <c r="P67" s="329">
        <f t="shared" si="7"/>
        <v>0</v>
      </c>
      <c r="Q67" s="331"/>
      <c r="R67" s="580"/>
      <c r="T67" s="34"/>
      <c r="X67" s="82"/>
    </row>
    <row r="68" spans="3:24" s="16" customFormat="1" ht="15" customHeight="1" x14ac:dyDescent="0.25">
      <c r="C68" s="34"/>
      <c r="D68" s="325"/>
      <c r="E68" s="301"/>
      <c r="F68" s="302"/>
      <c r="G68" s="303"/>
      <c r="H68" s="327"/>
      <c r="I68" s="326"/>
      <c r="J68" s="305"/>
      <c r="K68" s="229"/>
      <c r="L68" s="229"/>
      <c r="M68" s="229"/>
      <c r="N68" s="229"/>
      <c r="O68" s="229"/>
      <c r="P68" s="229"/>
      <c r="Q68" s="230"/>
      <c r="R68" s="580"/>
      <c r="T68" s="34"/>
      <c r="X68" s="82"/>
    </row>
    <row r="69" spans="3:24" s="16" customFormat="1" ht="60.75" customHeight="1" x14ac:dyDescent="0.25">
      <c r="C69" s="34"/>
      <c r="D69" s="845" t="s">
        <v>1624</v>
      </c>
      <c r="E69" s="322" t="s">
        <v>50</v>
      </c>
      <c r="F69" s="321">
        <v>1</v>
      </c>
      <c r="G69" s="323">
        <v>78</v>
      </c>
      <c r="H69" s="408">
        <v>6.3</v>
      </c>
      <c r="I69" s="324">
        <v>2.09</v>
      </c>
      <c r="J69" s="324">
        <f t="shared" ref="J69:J70" si="12">G69*I69</f>
        <v>163.01999999999998</v>
      </c>
      <c r="K69" s="329">
        <f t="shared" si="3"/>
        <v>0</v>
      </c>
      <c r="L69" s="329">
        <f t="shared" si="4"/>
        <v>39.939899999999994</v>
      </c>
      <c r="M69" s="329">
        <f t="shared" si="8"/>
        <v>0</v>
      </c>
      <c r="N69" s="329">
        <f t="shared" si="5"/>
        <v>0</v>
      </c>
      <c r="O69" s="329">
        <f t="shared" si="6"/>
        <v>0</v>
      </c>
      <c r="P69" s="329">
        <f t="shared" si="7"/>
        <v>0</v>
      </c>
      <c r="Q69" s="331"/>
      <c r="R69" s="580"/>
      <c r="T69" s="34"/>
      <c r="X69" s="82"/>
    </row>
    <row r="70" spans="3:24" s="16" customFormat="1" ht="60.75" customHeight="1" x14ac:dyDescent="0.25">
      <c r="C70" s="34"/>
      <c r="D70" s="774"/>
      <c r="E70" s="322" t="s">
        <v>50</v>
      </c>
      <c r="F70" s="321">
        <v>2</v>
      </c>
      <c r="G70" s="323">
        <v>142</v>
      </c>
      <c r="H70" s="408">
        <v>6.3</v>
      </c>
      <c r="I70" s="324">
        <v>0.69</v>
      </c>
      <c r="J70" s="324">
        <f t="shared" si="12"/>
        <v>97.97999999999999</v>
      </c>
      <c r="K70" s="329">
        <f t="shared" si="3"/>
        <v>0</v>
      </c>
      <c r="L70" s="329">
        <f t="shared" si="4"/>
        <v>24.005099999999999</v>
      </c>
      <c r="M70" s="329">
        <f t="shared" si="8"/>
        <v>0</v>
      </c>
      <c r="N70" s="329">
        <f t="shared" si="5"/>
        <v>0</v>
      </c>
      <c r="O70" s="329">
        <f t="shared" si="6"/>
        <v>0</v>
      </c>
      <c r="P70" s="329">
        <f t="shared" si="7"/>
        <v>0</v>
      </c>
      <c r="Q70" s="330"/>
      <c r="R70" s="580"/>
      <c r="T70" s="34"/>
      <c r="X70" s="82"/>
    </row>
    <row r="71" spans="3:24" s="16" customFormat="1" ht="15" customHeight="1" x14ac:dyDescent="0.25">
      <c r="C71" s="34"/>
      <c r="D71" s="325"/>
      <c r="E71" s="301"/>
      <c r="F71" s="302"/>
      <c r="G71" s="303"/>
      <c r="H71" s="327"/>
      <c r="I71" s="326"/>
      <c r="J71" s="305"/>
      <c r="K71" s="229"/>
      <c r="L71" s="229"/>
      <c r="M71" s="229"/>
      <c r="N71" s="229"/>
      <c r="O71" s="229"/>
      <c r="P71" s="229"/>
      <c r="Q71" s="230"/>
      <c r="R71" s="580"/>
      <c r="T71" s="34"/>
      <c r="X71" s="82"/>
    </row>
    <row r="72" spans="3:24" s="16" customFormat="1" x14ac:dyDescent="0.25">
      <c r="D72" s="848" t="s">
        <v>740</v>
      </c>
      <c r="E72" s="848"/>
      <c r="F72" s="848"/>
      <c r="G72" s="848"/>
      <c r="H72" s="848"/>
      <c r="I72" s="848"/>
      <c r="J72" s="848"/>
      <c r="K72" s="848"/>
      <c r="L72" s="848"/>
      <c r="M72" s="848"/>
      <c r="N72" s="848"/>
      <c r="O72" s="848"/>
      <c r="P72" s="848"/>
      <c r="Q72" s="537"/>
      <c r="R72" s="584"/>
    </row>
    <row r="73" spans="3:24" s="16" customFormat="1" ht="18" customHeight="1" x14ac:dyDescent="0.25">
      <c r="C73" s="34"/>
      <c r="D73" s="845" t="s">
        <v>1758</v>
      </c>
      <c r="E73" s="322" t="s">
        <v>50</v>
      </c>
      <c r="F73" s="321">
        <v>1</v>
      </c>
      <c r="G73" s="323">
        <v>20</v>
      </c>
      <c r="H73" s="408">
        <v>5</v>
      </c>
      <c r="I73" s="324">
        <v>3.82</v>
      </c>
      <c r="J73" s="324">
        <f t="shared" ref="J73:J79" si="13">G73*I73</f>
        <v>76.399999999999991</v>
      </c>
      <c r="K73" s="329">
        <f t="shared" si="3"/>
        <v>11.765599999999999</v>
      </c>
      <c r="L73" s="329">
        <f t="shared" si="4"/>
        <v>0</v>
      </c>
      <c r="M73" s="329">
        <f t="shared" si="8"/>
        <v>0</v>
      </c>
      <c r="N73" s="329">
        <f t="shared" si="5"/>
        <v>0</v>
      </c>
      <c r="O73" s="329">
        <f t="shared" si="6"/>
        <v>0</v>
      </c>
      <c r="P73" s="329">
        <f t="shared" si="7"/>
        <v>0</v>
      </c>
      <c r="Q73" s="331"/>
      <c r="R73" s="584"/>
      <c r="T73" s="34"/>
      <c r="X73" s="82"/>
    </row>
    <row r="74" spans="3:24" s="16" customFormat="1" ht="18" customHeight="1" x14ac:dyDescent="0.25">
      <c r="C74" s="34"/>
      <c r="D74" s="774"/>
      <c r="E74" s="322" t="s">
        <v>50</v>
      </c>
      <c r="F74" s="321">
        <v>2</v>
      </c>
      <c r="G74" s="323">
        <v>20</v>
      </c>
      <c r="H74" s="408">
        <v>5</v>
      </c>
      <c r="I74" s="324">
        <v>4.3600000000000003</v>
      </c>
      <c r="J74" s="324">
        <f t="shared" si="13"/>
        <v>87.2</v>
      </c>
      <c r="K74" s="329">
        <f t="shared" si="3"/>
        <v>13.428800000000001</v>
      </c>
      <c r="L74" s="329">
        <f t="shared" si="4"/>
        <v>0</v>
      </c>
      <c r="M74" s="329">
        <f t="shared" si="8"/>
        <v>0</v>
      </c>
      <c r="N74" s="329">
        <f t="shared" si="5"/>
        <v>0</v>
      </c>
      <c r="O74" s="329">
        <f t="shared" si="6"/>
        <v>0</v>
      </c>
      <c r="P74" s="329">
        <f t="shared" si="7"/>
        <v>0</v>
      </c>
      <c r="Q74" s="330"/>
      <c r="R74" s="584"/>
      <c r="T74" s="34"/>
      <c r="X74" s="82"/>
    </row>
    <row r="75" spans="3:24" s="16" customFormat="1" ht="18" customHeight="1" x14ac:dyDescent="0.25">
      <c r="C75" s="34"/>
      <c r="D75" s="774"/>
      <c r="E75" s="322" t="s">
        <v>50</v>
      </c>
      <c r="F75" s="321">
        <v>3</v>
      </c>
      <c r="G75" s="323">
        <v>9</v>
      </c>
      <c r="H75" s="408">
        <v>5</v>
      </c>
      <c r="I75" s="324">
        <v>4.0999999999999996</v>
      </c>
      <c r="J75" s="324">
        <f t="shared" si="13"/>
        <v>36.9</v>
      </c>
      <c r="K75" s="329">
        <f t="shared" si="3"/>
        <v>5.6825999999999999</v>
      </c>
      <c r="L75" s="329">
        <f t="shared" si="4"/>
        <v>0</v>
      </c>
      <c r="M75" s="329">
        <f t="shared" si="8"/>
        <v>0</v>
      </c>
      <c r="N75" s="329">
        <f t="shared" si="5"/>
        <v>0</v>
      </c>
      <c r="O75" s="329">
        <f t="shared" si="6"/>
        <v>0</v>
      </c>
      <c r="P75" s="329">
        <f t="shared" si="7"/>
        <v>0</v>
      </c>
      <c r="Q75" s="330"/>
      <c r="R75" s="584"/>
      <c r="T75" s="34"/>
      <c r="X75" s="82"/>
    </row>
    <row r="76" spans="3:24" s="16" customFormat="1" ht="18" customHeight="1" x14ac:dyDescent="0.25">
      <c r="C76" s="306"/>
      <c r="D76" s="774"/>
      <c r="E76" s="322" t="s">
        <v>50</v>
      </c>
      <c r="F76" s="321">
        <v>4</v>
      </c>
      <c r="G76" s="323">
        <v>12</v>
      </c>
      <c r="H76" s="408">
        <v>5</v>
      </c>
      <c r="I76" s="324">
        <v>2.2000000000000002</v>
      </c>
      <c r="J76" s="324">
        <f t="shared" si="13"/>
        <v>26.400000000000002</v>
      </c>
      <c r="K76" s="329">
        <f t="shared" si="3"/>
        <v>4.0655999999999999</v>
      </c>
      <c r="L76" s="329">
        <f t="shared" si="4"/>
        <v>0</v>
      </c>
      <c r="M76" s="329">
        <f t="shared" si="8"/>
        <v>0</v>
      </c>
      <c r="N76" s="329">
        <f t="shared" si="5"/>
        <v>0</v>
      </c>
      <c r="O76" s="329">
        <f t="shared" si="6"/>
        <v>0</v>
      </c>
      <c r="P76" s="329">
        <f t="shared" si="7"/>
        <v>0</v>
      </c>
      <c r="Q76" s="330"/>
      <c r="R76" s="584"/>
      <c r="T76" s="34"/>
      <c r="X76" s="82"/>
    </row>
    <row r="77" spans="3:24" s="16" customFormat="1" ht="18" customHeight="1" x14ac:dyDescent="0.25">
      <c r="C77" s="34"/>
      <c r="D77" s="774"/>
      <c r="E77" s="322" t="s">
        <v>50</v>
      </c>
      <c r="F77" s="321">
        <v>5</v>
      </c>
      <c r="G77" s="323">
        <v>6</v>
      </c>
      <c r="H77" s="408">
        <v>5</v>
      </c>
      <c r="I77" s="324">
        <v>3.89</v>
      </c>
      <c r="J77" s="324">
        <f t="shared" si="13"/>
        <v>23.34</v>
      </c>
      <c r="K77" s="329">
        <f t="shared" si="3"/>
        <v>3.59436</v>
      </c>
      <c r="L77" s="329">
        <f t="shared" si="4"/>
        <v>0</v>
      </c>
      <c r="M77" s="329">
        <f t="shared" si="8"/>
        <v>0</v>
      </c>
      <c r="N77" s="329">
        <f t="shared" si="5"/>
        <v>0</v>
      </c>
      <c r="O77" s="329">
        <f t="shared" si="6"/>
        <v>0</v>
      </c>
      <c r="P77" s="329">
        <f t="shared" si="7"/>
        <v>0</v>
      </c>
      <c r="Q77" s="330"/>
      <c r="R77" s="584"/>
      <c r="T77" s="34"/>
      <c r="X77" s="82"/>
    </row>
    <row r="78" spans="3:24" s="16" customFormat="1" ht="18" customHeight="1" x14ac:dyDescent="0.25">
      <c r="C78" s="306"/>
      <c r="D78" s="774"/>
      <c r="E78" s="322" t="s">
        <v>50</v>
      </c>
      <c r="F78" s="321">
        <v>6</v>
      </c>
      <c r="G78" s="323">
        <v>3</v>
      </c>
      <c r="H78" s="408">
        <v>5</v>
      </c>
      <c r="I78" s="324">
        <v>4.18</v>
      </c>
      <c r="J78" s="324">
        <f t="shared" si="13"/>
        <v>12.54</v>
      </c>
      <c r="K78" s="329">
        <f t="shared" si="3"/>
        <v>1.9311599999999998</v>
      </c>
      <c r="L78" s="329">
        <f t="shared" si="4"/>
        <v>0</v>
      </c>
      <c r="M78" s="329">
        <f t="shared" si="8"/>
        <v>0</v>
      </c>
      <c r="N78" s="329">
        <f t="shared" si="5"/>
        <v>0</v>
      </c>
      <c r="O78" s="329">
        <f t="shared" si="6"/>
        <v>0</v>
      </c>
      <c r="P78" s="329">
        <f t="shared" si="7"/>
        <v>0</v>
      </c>
      <c r="Q78" s="331"/>
      <c r="R78" s="584"/>
      <c r="T78" s="34"/>
      <c r="X78" s="82"/>
    </row>
    <row r="79" spans="3:24" s="16" customFormat="1" ht="18" customHeight="1" x14ac:dyDescent="0.25">
      <c r="C79" s="34"/>
      <c r="D79" s="774"/>
      <c r="E79" s="322" t="s">
        <v>50</v>
      </c>
      <c r="F79" s="321">
        <v>7</v>
      </c>
      <c r="G79" s="323">
        <v>2</v>
      </c>
      <c r="H79" s="408">
        <v>6.3</v>
      </c>
      <c r="I79" s="324">
        <v>2.27</v>
      </c>
      <c r="J79" s="324">
        <f t="shared" si="13"/>
        <v>4.54</v>
      </c>
      <c r="K79" s="329">
        <f t="shared" si="3"/>
        <v>0</v>
      </c>
      <c r="L79" s="329">
        <f t="shared" si="4"/>
        <v>1.1123000000000001</v>
      </c>
      <c r="M79" s="329">
        <f t="shared" si="8"/>
        <v>0</v>
      </c>
      <c r="N79" s="329">
        <f t="shared" si="5"/>
        <v>0</v>
      </c>
      <c r="O79" s="329">
        <f t="shared" si="6"/>
        <v>0</v>
      </c>
      <c r="P79" s="329">
        <f t="shared" si="7"/>
        <v>0</v>
      </c>
      <c r="Q79" s="331"/>
      <c r="R79" s="584"/>
      <c r="T79" s="34"/>
      <c r="X79" s="82"/>
    </row>
    <row r="80" spans="3:24" s="16" customFormat="1" ht="15" customHeight="1" x14ac:dyDescent="0.25">
      <c r="C80" s="34"/>
      <c r="D80" s="325"/>
      <c r="E80" s="301"/>
      <c r="F80" s="302"/>
      <c r="G80" s="303"/>
      <c r="H80" s="327"/>
      <c r="I80" s="326"/>
      <c r="J80" s="305"/>
      <c r="K80" s="229"/>
      <c r="L80" s="229"/>
      <c r="M80" s="229"/>
      <c r="N80" s="229"/>
      <c r="O80" s="229"/>
      <c r="P80" s="229"/>
      <c r="Q80" s="230"/>
      <c r="R80" s="584"/>
      <c r="T80" s="34"/>
      <c r="X80" s="82"/>
    </row>
    <row r="81" spans="3:24" s="16" customFormat="1" ht="60.75" customHeight="1" x14ac:dyDescent="0.25">
      <c r="C81" s="34"/>
      <c r="D81" s="845" t="s">
        <v>1759</v>
      </c>
      <c r="E81" s="322" t="s">
        <v>50</v>
      </c>
      <c r="F81" s="321">
        <v>1</v>
      </c>
      <c r="G81" s="323">
        <v>82</v>
      </c>
      <c r="H81" s="408">
        <v>5</v>
      </c>
      <c r="I81" s="324">
        <v>2.09</v>
      </c>
      <c r="J81" s="324">
        <f t="shared" ref="J81:J82" si="14">G81*I81</f>
        <v>171.38</v>
      </c>
      <c r="K81" s="329">
        <f t="shared" si="3"/>
        <v>26.392519999999998</v>
      </c>
      <c r="L81" s="329">
        <f t="shared" si="4"/>
        <v>0</v>
      </c>
      <c r="M81" s="329">
        <f t="shared" si="8"/>
        <v>0</v>
      </c>
      <c r="N81" s="329">
        <f t="shared" si="5"/>
        <v>0</v>
      </c>
      <c r="O81" s="329">
        <f t="shared" si="6"/>
        <v>0</v>
      </c>
      <c r="P81" s="329">
        <f t="shared" si="7"/>
        <v>0</v>
      </c>
      <c r="Q81" s="331"/>
      <c r="R81" s="584"/>
      <c r="T81" s="34"/>
      <c r="X81" s="82"/>
    </row>
    <row r="82" spans="3:24" s="16" customFormat="1" ht="60.75" customHeight="1" x14ac:dyDescent="0.25">
      <c r="C82" s="34"/>
      <c r="D82" s="774"/>
      <c r="E82" s="322" t="s">
        <v>50</v>
      </c>
      <c r="F82" s="321">
        <v>2</v>
      </c>
      <c r="G82" s="323">
        <v>168</v>
      </c>
      <c r="H82" s="408">
        <v>5</v>
      </c>
      <c r="I82" s="324">
        <v>0.69</v>
      </c>
      <c r="J82" s="324">
        <f t="shared" si="14"/>
        <v>115.91999999999999</v>
      </c>
      <c r="K82" s="329">
        <f t="shared" si="3"/>
        <v>17.851679999999998</v>
      </c>
      <c r="L82" s="329">
        <f t="shared" si="4"/>
        <v>0</v>
      </c>
      <c r="M82" s="329">
        <f t="shared" si="8"/>
        <v>0</v>
      </c>
      <c r="N82" s="329">
        <f t="shared" si="5"/>
        <v>0</v>
      </c>
      <c r="O82" s="329">
        <f t="shared" si="6"/>
        <v>0</v>
      </c>
      <c r="P82" s="329">
        <f t="shared" si="7"/>
        <v>0</v>
      </c>
      <c r="Q82" s="330"/>
      <c r="R82" s="584"/>
      <c r="T82" s="34"/>
      <c r="X82" s="82"/>
    </row>
    <row r="83" spans="3:24" s="16" customFormat="1" ht="15" customHeight="1" x14ac:dyDescent="0.25">
      <c r="C83" s="34"/>
      <c r="D83" s="325"/>
      <c r="E83" s="301"/>
      <c r="F83" s="302"/>
      <c r="G83" s="303"/>
      <c r="H83" s="327"/>
      <c r="I83" s="326"/>
      <c r="J83" s="305"/>
      <c r="K83" s="229"/>
      <c r="L83" s="229"/>
      <c r="M83" s="229"/>
      <c r="N83" s="229"/>
      <c r="O83" s="229"/>
      <c r="P83" s="229"/>
      <c r="Q83" s="230"/>
      <c r="R83" s="584"/>
      <c r="T83" s="34"/>
      <c r="X83" s="82"/>
    </row>
    <row r="84" spans="3:24" s="16" customFormat="1" ht="15" customHeight="1" x14ac:dyDescent="0.25">
      <c r="C84" s="34"/>
      <c r="D84" s="845" t="s">
        <v>103</v>
      </c>
      <c r="E84" s="322" t="s">
        <v>50</v>
      </c>
      <c r="F84" s="321"/>
      <c r="G84" s="323"/>
      <c r="H84" s="408"/>
      <c r="I84" s="324"/>
      <c r="J84" s="324">
        <f t="shared" si="2"/>
        <v>0</v>
      </c>
      <c r="K84" s="329">
        <f t="shared" si="3"/>
        <v>0</v>
      </c>
      <c r="L84" s="329">
        <f t="shared" si="4"/>
        <v>0</v>
      </c>
      <c r="M84" s="329">
        <f t="shared" si="8"/>
        <v>0</v>
      </c>
      <c r="N84" s="329">
        <f t="shared" si="5"/>
        <v>0</v>
      </c>
      <c r="O84" s="329">
        <f t="shared" si="6"/>
        <v>0</v>
      </c>
      <c r="P84" s="329">
        <f t="shared" si="7"/>
        <v>0</v>
      </c>
      <c r="Q84" s="331"/>
      <c r="R84" s="315"/>
      <c r="T84" s="34"/>
      <c r="X84" s="82"/>
    </row>
    <row r="85" spans="3:24" s="16" customFormat="1" ht="15" customHeight="1" x14ac:dyDescent="0.25">
      <c r="C85" s="34"/>
      <c r="D85" s="774"/>
      <c r="E85" s="322" t="s">
        <v>50</v>
      </c>
      <c r="F85" s="321"/>
      <c r="G85" s="323"/>
      <c r="H85" s="408"/>
      <c r="I85" s="324"/>
      <c r="J85" s="324">
        <f t="shared" si="2"/>
        <v>0</v>
      </c>
      <c r="K85" s="329">
        <f t="shared" si="3"/>
        <v>0</v>
      </c>
      <c r="L85" s="329">
        <f t="shared" si="4"/>
        <v>0</v>
      </c>
      <c r="M85" s="329">
        <f t="shared" si="8"/>
        <v>0</v>
      </c>
      <c r="N85" s="329">
        <f t="shared" si="5"/>
        <v>0</v>
      </c>
      <c r="O85" s="329">
        <f t="shared" si="6"/>
        <v>0</v>
      </c>
      <c r="P85" s="329">
        <f t="shared" si="7"/>
        <v>0</v>
      </c>
      <c r="Q85" s="330"/>
      <c r="R85" s="315"/>
      <c r="T85" s="34"/>
      <c r="X85" s="82"/>
    </row>
    <row r="86" spans="3:24" s="16" customFormat="1" ht="15" customHeight="1" x14ac:dyDescent="0.25">
      <c r="C86" s="34"/>
      <c r="D86" s="774"/>
      <c r="E86" s="322" t="s">
        <v>50</v>
      </c>
      <c r="F86" s="321"/>
      <c r="G86" s="323"/>
      <c r="H86" s="408"/>
      <c r="I86" s="324"/>
      <c r="J86" s="324">
        <f t="shared" si="2"/>
        <v>0</v>
      </c>
      <c r="K86" s="329">
        <f t="shared" si="3"/>
        <v>0</v>
      </c>
      <c r="L86" s="329">
        <f t="shared" si="4"/>
        <v>0</v>
      </c>
      <c r="M86" s="329">
        <f t="shared" si="8"/>
        <v>0</v>
      </c>
      <c r="N86" s="329">
        <f t="shared" si="5"/>
        <v>0</v>
      </c>
      <c r="O86" s="329">
        <f t="shared" si="6"/>
        <v>0</v>
      </c>
      <c r="P86" s="329">
        <f t="shared" si="7"/>
        <v>0</v>
      </c>
      <c r="Q86" s="330"/>
      <c r="R86" s="315"/>
      <c r="T86" s="34"/>
      <c r="X86" s="82"/>
    </row>
    <row r="87" spans="3:24" s="16" customFormat="1" ht="15" customHeight="1" x14ac:dyDescent="0.25">
      <c r="C87" s="306"/>
      <c r="D87" s="774"/>
      <c r="E87" s="322" t="s">
        <v>50</v>
      </c>
      <c r="F87" s="321"/>
      <c r="G87" s="323"/>
      <c r="H87" s="328"/>
      <c r="I87" s="324"/>
      <c r="J87" s="324">
        <f t="shared" si="2"/>
        <v>0</v>
      </c>
      <c r="K87" s="329">
        <f t="shared" si="3"/>
        <v>0</v>
      </c>
      <c r="L87" s="329">
        <f t="shared" si="4"/>
        <v>0</v>
      </c>
      <c r="M87" s="329">
        <f t="shared" si="8"/>
        <v>0</v>
      </c>
      <c r="N87" s="329">
        <f t="shared" si="5"/>
        <v>0</v>
      </c>
      <c r="O87" s="329">
        <f t="shared" si="6"/>
        <v>0</v>
      </c>
      <c r="P87" s="329">
        <f t="shared" si="7"/>
        <v>0</v>
      </c>
      <c r="Q87" s="330"/>
      <c r="R87" s="315"/>
      <c r="T87" s="34"/>
      <c r="X87" s="82"/>
    </row>
    <row r="88" spans="3:24" s="16" customFormat="1" ht="15" customHeight="1" x14ac:dyDescent="0.25">
      <c r="C88" s="34"/>
      <c r="D88" s="774"/>
      <c r="E88" s="322" t="s">
        <v>50</v>
      </c>
      <c r="F88" s="321"/>
      <c r="G88" s="323"/>
      <c r="H88" s="328"/>
      <c r="I88" s="324"/>
      <c r="J88" s="324">
        <f t="shared" si="2"/>
        <v>0</v>
      </c>
      <c r="K88" s="329">
        <f t="shared" si="3"/>
        <v>0</v>
      </c>
      <c r="L88" s="329">
        <f t="shared" si="4"/>
        <v>0</v>
      </c>
      <c r="M88" s="329">
        <f t="shared" si="8"/>
        <v>0</v>
      </c>
      <c r="N88" s="329">
        <f t="shared" si="5"/>
        <v>0</v>
      </c>
      <c r="O88" s="329">
        <f t="shared" si="6"/>
        <v>0</v>
      </c>
      <c r="P88" s="329">
        <f t="shared" si="7"/>
        <v>0</v>
      </c>
      <c r="Q88" s="330"/>
      <c r="R88" s="315"/>
      <c r="T88" s="34"/>
      <c r="X88" s="82"/>
    </row>
    <row r="89" spans="3:24" s="16" customFormat="1" ht="15" customHeight="1" x14ac:dyDescent="0.25">
      <c r="C89" s="306"/>
      <c r="D89" s="774"/>
      <c r="E89" s="322" t="s">
        <v>50</v>
      </c>
      <c r="F89" s="321"/>
      <c r="G89" s="323"/>
      <c r="H89" s="328"/>
      <c r="I89" s="324"/>
      <c r="J89" s="324">
        <f t="shared" si="2"/>
        <v>0</v>
      </c>
      <c r="K89" s="329">
        <f t="shared" si="3"/>
        <v>0</v>
      </c>
      <c r="L89" s="329">
        <f t="shared" si="4"/>
        <v>0</v>
      </c>
      <c r="M89" s="329">
        <f t="shared" si="8"/>
        <v>0</v>
      </c>
      <c r="N89" s="329">
        <f t="shared" si="5"/>
        <v>0</v>
      </c>
      <c r="O89" s="329">
        <f t="shared" si="6"/>
        <v>0</v>
      </c>
      <c r="P89" s="329">
        <f t="shared" si="7"/>
        <v>0</v>
      </c>
      <c r="Q89" s="331"/>
      <c r="R89" s="315"/>
      <c r="T89" s="34"/>
      <c r="X89" s="82"/>
    </row>
    <row r="90" spans="3:24" s="16" customFormat="1" ht="15" customHeight="1" x14ac:dyDescent="0.25">
      <c r="C90" s="34"/>
      <c r="D90" s="774"/>
      <c r="E90" s="322" t="s">
        <v>50</v>
      </c>
      <c r="F90" s="321"/>
      <c r="G90" s="323"/>
      <c r="H90" s="328"/>
      <c r="I90" s="324"/>
      <c r="J90" s="324">
        <f t="shared" si="2"/>
        <v>0</v>
      </c>
      <c r="K90" s="329">
        <f t="shared" si="3"/>
        <v>0</v>
      </c>
      <c r="L90" s="329">
        <f t="shared" si="4"/>
        <v>0</v>
      </c>
      <c r="M90" s="329">
        <f t="shared" si="8"/>
        <v>0</v>
      </c>
      <c r="N90" s="329">
        <f t="shared" si="5"/>
        <v>0</v>
      </c>
      <c r="O90" s="329">
        <f t="shared" si="6"/>
        <v>0</v>
      </c>
      <c r="P90" s="329">
        <f t="shared" si="7"/>
        <v>0</v>
      </c>
      <c r="Q90" s="331"/>
      <c r="R90" s="315"/>
      <c r="T90" s="34"/>
      <c r="X90" s="82"/>
    </row>
    <row r="91" spans="3:24" s="16" customFormat="1" ht="15" customHeight="1" x14ac:dyDescent="0.25">
      <c r="C91" s="34"/>
      <c r="D91" s="847"/>
      <c r="E91" s="322" t="s">
        <v>50</v>
      </c>
      <c r="F91" s="321"/>
      <c r="G91" s="323"/>
      <c r="H91" s="328"/>
      <c r="I91" s="324"/>
      <c r="J91" s="324">
        <f t="shared" si="2"/>
        <v>0</v>
      </c>
      <c r="K91" s="329">
        <f t="shared" si="3"/>
        <v>0</v>
      </c>
      <c r="L91" s="329">
        <f t="shared" si="4"/>
        <v>0</v>
      </c>
      <c r="M91" s="329">
        <f t="shared" si="8"/>
        <v>0</v>
      </c>
      <c r="N91" s="329">
        <f t="shared" si="5"/>
        <v>0</v>
      </c>
      <c r="O91" s="329">
        <f t="shared" si="6"/>
        <v>0</v>
      </c>
      <c r="P91" s="329">
        <f t="shared" si="7"/>
        <v>0</v>
      </c>
      <c r="Q91" s="331"/>
      <c r="R91" s="315"/>
      <c r="T91" s="34"/>
      <c r="X91" s="82"/>
    </row>
    <row r="92" spans="3:24" s="16" customFormat="1" x14ac:dyDescent="0.25">
      <c r="D92" s="848" t="s">
        <v>1985</v>
      </c>
      <c r="E92" s="848"/>
      <c r="F92" s="848"/>
      <c r="G92" s="848"/>
      <c r="H92" s="848"/>
      <c r="I92" s="848"/>
      <c r="J92" s="848"/>
      <c r="K92" s="848"/>
      <c r="L92" s="848"/>
      <c r="M92" s="848"/>
      <c r="N92" s="848"/>
      <c r="O92" s="848"/>
      <c r="P92" s="848"/>
      <c r="Q92" s="537"/>
      <c r="R92" s="598"/>
    </row>
    <row r="93" spans="3:24" s="16" customFormat="1" ht="18" customHeight="1" x14ac:dyDescent="0.25">
      <c r="C93" s="34"/>
      <c r="D93" s="845" t="s">
        <v>2059</v>
      </c>
      <c r="E93" s="322" t="s">
        <v>50</v>
      </c>
      <c r="F93" s="321">
        <v>6</v>
      </c>
      <c r="G93" s="323">
        <f>2*3</f>
        <v>6</v>
      </c>
      <c r="H93" s="408">
        <v>6.3</v>
      </c>
      <c r="I93" s="324">
        <v>4.12</v>
      </c>
      <c r="J93" s="324">
        <f t="shared" ref="J93:J94" si="15">G93*I93</f>
        <v>24.72</v>
      </c>
      <c r="K93" s="329">
        <f t="shared" si="3"/>
        <v>0</v>
      </c>
      <c r="L93" s="329">
        <f t="shared" si="4"/>
        <v>6.0564</v>
      </c>
      <c r="M93" s="329">
        <f t="shared" si="8"/>
        <v>0</v>
      </c>
      <c r="N93" s="329">
        <f t="shared" si="5"/>
        <v>0</v>
      </c>
      <c r="O93" s="329">
        <f t="shared" si="6"/>
        <v>0</v>
      </c>
      <c r="P93" s="329">
        <f t="shared" si="7"/>
        <v>0</v>
      </c>
      <c r="Q93" s="331"/>
      <c r="R93" s="598"/>
      <c r="T93" s="34"/>
      <c r="X93" s="82"/>
    </row>
    <row r="94" spans="3:24" s="16" customFormat="1" ht="18" customHeight="1" x14ac:dyDescent="0.25">
      <c r="C94" s="34"/>
      <c r="D94" s="774"/>
      <c r="E94" s="322" t="s">
        <v>50</v>
      </c>
      <c r="F94" s="321">
        <v>7</v>
      </c>
      <c r="G94" s="323">
        <v>3</v>
      </c>
      <c r="H94" s="408">
        <v>6.3</v>
      </c>
      <c r="I94" s="324">
        <v>4.1399999999999997</v>
      </c>
      <c r="J94" s="324">
        <f t="shared" si="15"/>
        <v>12.419999999999998</v>
      </c>
      <c r="K94" s="329">
        <f t="shared" ref="K94:K97" si="16">IF($H94=5,$J94*$B$19,0)</f>
        <v>0</v>
      </c>
      <c r="L94" s="329">
        <f t="shared" ref="L94:L97" si="17">IF($H94=6.3,$J94*$B$20,0)</f>
        <v>3.0428999999999995</v>
      </c>
      <c r="M94" s="329">
        <f t="shared" ref="M94:M97" si="18">IF($H94=8,$J94*$B$22,0)</f>
        <v>0</v>
      </c>
      <c r="N94" s="329">
        <f t="shared" ref="N94:N97" si="19">IF($H94=10,$J94*$B$22,0)</f>
        <v>0</v>
      </c>
      <c r="O94" s="329">
        <f t="shared" ref="O94:O97" si="20">IF($H94=12.5,$J94*$B$24,0)</f>
        <v>0</v>
      </c>
      <c r="P94" s="329">
        <f t="shared" ref="P94:P97" si="21">IF($H94=16,$J94*$B$27,0)</f>
        <v>0</v>
      </c>
      <c r="Q94" s="330"/>
      <c r="R94" s="598"/>
      <c r="T94" s="34"/>
      <c r="X94" s="82"/>
    </row>
    <row r="95" spans="3:24" s="16" customFormat="1" ht="15" customHeight="1" x14ac:dyDescent="0.25">
      <c r="C95" s="34"/>
      <c r="D95" s="325"/>
      <c r="E95" s="301"/>
      <c r="F95" s="302"/>
      <c r="G95" s="303"/>
      <c r="H95" s="327"/>
      <c r="I95" s="326"/>
      <c r="J95" s="305"/>
      <c r="K95" s="229"/>
      <c r="L95" s="229"/>
      <c r="M95" s="229"/>
      <c r="N95" s="229"/>
      <c r="O95" s="229"/>
      <c r="P95" s="229"/>
      <c r="Q95" s="230"/>
      <c r="R95" s="598"/>
      <c r="T95" s="34"/>
      <c r="X95" s="82"/>
    </row>
    <row r="96" spans="3:24" s="16" customFormat="1" ht="60.75" customHeight="1" x14ac:dyDescent="0.25">
      <c r="C96" s="34"/>
      <c r="D96" s="845" t="s">
        <v>2060</v>
      </c>
      <c r="E96" s="322" t="s">
        <v>50</v>
      </c>
      <c r="F96" s="321">
        <v>8</v>
      </c>
      <c r="G96" s="323">
        <f>3*19</f>
        <v>57</v>
      </c>
      <c r="H96" s="408">
        <v>6.3</v>
      </c>
      <c r="I96" s="324">
        <v>0.74</v>
      </c>
      <c r="J96" s="324">
        <f t="shared" ref="J96:J97" si="22">G96*I96</f>
        <v>42.18</v>
      </c>
      <c r="K96" s="329">
        <f t="shared" si="16"/>
        <v>0</v>
      </c>
      <c r="L96" s="329">
        <f t="shared" si="17"/>
        <v>10.334099999999999</v>
      </c>
      <c r="M96" s="329">
        <f t="shared" si="18"/>
        <v>0</v>
      </c>
      <c r="N96" s="329">
        <f t="shared" si="19"/>
        <v>0</v>
      </c>
      <c r="O96" s="329">
        <f t="shared" si="20"/>
        <v>0</v>
      </c>
      <c r="P96" s="329">
        <f t="shared" si="21"/>
        <v>0</v>
      </c>
      <c r="Q96" s="331"/>
      <c r="R96" s="598"/>
      <c r="T96" s="34"/>
      <c r="X96" s="82"/>
    </row>
    <row r="97" spans="3:24" s="16" customFormat="1" ht="60.75" customHeight="1" x14ac:dyDescent="0.25">
      <c r="C97" s="34"/>
      <c r="D97" s="774"/>
      <c r="E97" s="322" t="s">
        <v>50</v>
      </c>
      <c r="F97" s="321"/>
      <c r="G97" s="323"/>
      <c r="H97" s="408"/>
      <c r="I97" s="324"/>
      <c r="J97" s="324">
        <f t="shared" si="22"/>
        <v>0</v>
      </c>
      <c r="K97" s="329">
        <f t="shared" si="16"/>
        <v>0</v>
      </c>
      <c r="L97" s="329">
        <f t="shared" si="17"/>
        <v>0</v>
      </c>
      <c r="M97" s="329">
        <f t="shared" si="18"/>
        <v>0</v>
      </c>
      <c r="N97" s="329">
        <f t="shared" si="19"/>
        <v>0</v>
      </c>
      <c r="O97" s="329">
        <f t="shared" si="20"/>
        <v>0</v>
      </c>
      <c r="P97" s="329">
        <f t="shared" si="21"/>
        <v>0</v>
      </c>
      <c r="Q97" s="330"/>
      <c r="R97" s="598"/>
      <c r="T97" s="34"/>
      <c r="X97" s="82"/>
    </row>
    <row r="98" spans="3:24" s="16" customFormat="1" x14ac:dyDescent="0.25">
      <c r="D98" s="848" t="s">
        <v>740</v>
      </c>
      <c r="E98" s="848"/>
      <c r="F98" s="848"/>
      <c r="G98" s="848"/>
      <c r="H98" s="848"/>
      <c r="I98" s="848"/>
      <c r="J98" s="848"/>
      <c r="K98" s="848"/>
      <c r="L98" s="848"/>
      <c r="M98" s="848"/>
      <c r="N98" s="848"/>
      <c r="O98" s="848"/>
      <c r="P98" s="848"/>
      <c r="Q98" s="537"/>
      <c r="R98" s="650"/>
    </row>
    <row r="99" spans="3:24" s="16" customFormat="1" ht="18" customHeight="1" x14ac:dyDescent="0.25">
      <c r="C99" s="34"/>
      <c r="D99" s="845" t="s">
        <v>2238</v>
      </c>
      <c r="E99" s="322" t="s">
        <v>50</v>
      </c>
      <c r="F99" s="321">
        <v>1</v>
      </c>
      <c r="G99" s="323">
        <v>2</v>
      </c>
      <c r="H99" s="408">
        <v>5</v>
      </c>
      <c r="I99" s="324">
        <v>0.7</v>
      </c>
      <c r="J99" s="324">
        <f t="shared" ref="J99:J105" si="23">G99*I99</f>
        <v>1.4</v>
      </c>
      <c r="K99" s="329">
        <f t="shared" ref="K99:K118" si="24">IF($H99=5,$J99*$B$19,0)</f>
        <v>0.21559999999999999</v>
      </c>
      <c r="L99" s="329">
        <f t="shared" ref="L99:L118" si="25">IF($H99=6.3,$J99*$B$20,0)</f>
        <v>0</v>
      </c>
      <c r="M99" s="329">
        <f t="shared" ref="M99:M118" si="26">IF($H99=8,$J99*$B$22,0)</f>
        <v>0</v>
      </c>
      <c r="N99" s="329">
        <f t="shared" ref="N99:N118" si="27">IF($H99=10,$J99*$B$22,0)</f>
        <v>0</v>
      </c>
      <c r="O99" s="329">
        <f t="shared" ref="O99:O118" si="28">IF($H99=12.5,$J99*$B$24,0)</f>
        <v>0</v>
      </c>
      <c r="P99" s="329">
        <f t="shared" ref="P99:P118" si="29">IF($H99=16,$J99*$B$27,0)</f>
        <v>0</v>
      </c>
      <c r="Q99" s="331"/>
      <c r="R99" s="650"/>
      <c r="T99" s="34"/>
      <c r="X99" s="82"/>
    </row>
    <row r="100" spans="3:24" s="16" customFormat="1" ht="18" customHeight="1" x14ac:dyDescent="0.25">
      <c r="C100" s="34"/>
      <c r="D100" s="774"/>
      <c r="E100" s="322" t="s">
        <v>50</v>
      </c>
      <c r="F100" s="321"/>
      <c r="G100" s="323"/>
      <c r="H100" s="408"/>
      <c r="I100" s="324"/>
      <c r="J100" s="324">
        <f t="shared" si="23"/>
        <v>0</v>
      </c>
      <c r="K100" s="329">
        <f t="shared" si="24"/>
        <v>0</v>
      </c>
      <c r="L100" s="329">
        <f t="shared" si="25"/>
        <v>0</v>
      </c>
      <c r="M100" s="329">
        <f t="shared" si="26"/>
        <v>0</v>
      </c>
      <c r="N100" s="329">
        <f t="shared" si="27"/>
        <v>0</v>
      </c>
      <c r="O100" s="329">
        <f t="shared" si="28"/>
        <v>0</v>
      </c>
      <c r="P100" s="329">
        <f t="shared" si="29"/>
        <v>0</v>
      </c>
      <c r="Q100" s="330"/>
      <c r="R100" s="650"/>
      <c r="T100" s="34"/>
      <c r="X100" s="82"/>
    </row>
    <row r="101" spans="3:24" s="16" customFormat="1" ht="18" customHeight="1" x14ac:dyDescent="0.25">
      <c r="C101" s="34"/>
      <c r="D101" s="774"/>
      <c r="E101" s="322" t="s">
        <v>50</v>
      </c>
      <c r="F101" s="321"/>
      <c r="G101" s="323"/>
      <c r="H101" s="408"/>
      <c r="I101" s="324"/>
      <c r="J101" s="324">
        <f t="shared" si="23"/>
        <v>0</v>
      </c>
      <c r="K101" s="329">
        <f t="shared" si="24"/>
        <v>0</v>
      </c>
      <c r="L101" s="329">
        <f t="shared" si="25"/>
        <v>0</v>
      </c>
      <c r="M101" s="329">
        <f t="shared" si="26"/>
        <v>0</v>
      </c>
      <c r="N101" s="329">
        <f t="shared" si="27"/>
        <v>0</v>
      </c>
      <c r="O101" s="329">
        <f t="shared" si="28"/>
        <v>0</v>
      </c>
      <c r="P101" s="329">
        <f t="shared" si="29"/>
        <v>0</v>
      </c>
      <c r="Q101" s="330"/>
      <c r="R101" s="650"/>
      <c r="T101" s="34"/>
      <c r="X101" s="82"/>
    </row>
    <row r="102" spans="3:24" s="16" customFormat="1" ht="18" customHeight="1" x14ac:dyDescent="0.25">
      <c r="C102" s="306"/>
      <c r="D102" s="774"/>
      <c r="E102" s="322" t="s">
        <v>50</v>
      </c>
      <c r="F102" s="321"/>
      <c r="G102" s="323"/>
      <c r="H102" s="408"/>
      <c r="I102" s="324"/>
      <c r="J102" s="324">
        <f t="shared" si="23"/>
        <v>0</v>
      </c>
      <c r="K102" s="329">
        <f t="shared" si="24"/>
        <v>0</v>
      </c>
      <c r="L102" s="329">
        <f t="shared" si="25"/>
        <v>0</v>
      </c>
      <c r="M102" s="329">
        <f t="shared" si="26"/>
        <v>0</v>
      </c>
      <c r="N102" s="329">
        <f t="shared" si="27"/>
        <v>0</v>
      </c>
      <c r="O102" s="329">
        <f t="shared" si="28"/>
        <v>0</v>
      </c>
      <c r="P102" s="329">
        <f t="shared" si="29"/>
        <v>0</v>
      </c>
      <c r="Q102" s="330"/>
      <c r="R102" s="650"/>
      <c r="T102" s="34"/>
      <c r="X102" s="82"/>
    </row>
    <row r="103" spans="3:24" s="16" customFormat="1" ht="18" customHeight="1" x14ac:dyDescent="0.25">
      <c r="C103" s="34"/>
      <c r="D103" s="774"/>
      <c r="E103" s="322" t="s">
        <v>50</v>
      </c>
      <c r="F103" s="321"/>
      <c r="G103" s="323"/>
      <c r="H103" s="408"/>
      <c r="I103" s="324"/>
      <c r="J103" s="324">
        <f t="shared" si="23"/>
        <v>0</v>
      </c>
      <c r="K103" s="329">
        <f t="shared" si="24"/>
        <v>0</v>
      </c>
      <c r="L103" s="329">
        <f t="shared" si="25"/>
        <v>0</v>
      </c>
      <c r="M103" s="329">
        <f t="shared" si="26"/>
        <v>0</v>
      </c>
      <c r="N103" s="329">
        <f t="shared" si="27"/>
        <v>0</v>
      </c>
      <c r="O103" s="329">
        <f t="shared" si="28"/>
        <v>0</v>
      </c>
      <c r="P103" s="329">
        <f t="shared" si="29"/>
        <v>0</v>
      </c>
      <c r="Q103" s="330"/>
      <c r="R103" s="650"/>
      <c r="T103" s="34"/>
      <c r="X103" s="82"/>
    </row>
    <row r="104" spans="3:24" s="16" customFormat="1" ht="18" customHeight="1" x14ac:dyDescent="0.25">
      <c r="C104" s="306"/>
      <c r="D104" s="774"/>
      <c r="E104" s="322" t="s">
        <v>50</v>
      </c>
      <c r="F104" s="321"/>
      <c r="G104" s="323"/>
      <c r="H104" s="408"/>
      <c r="I104" s="324"/>
      <c r="J104" s="324">
        <f t="shared" si="23"/>
        <v>0</v>
      </c>
      <c r="K104" s="329">
        <f t="shared" si="24"/>
        <v>0</v>
      </c>
      <c r="L104" s="329">
        <f t="shared" si="25"/>
        <v>0</v>
      </c>
      <c r="M104" s="329">
        <f t="shared" si="26"/>
        <v>0</v>
      </c>
      <c r="N104" s="329">
        <f t="shared" si="27"/>
        <v>0</v>
      </c>
      <c r="O104" s="329">
        <f t="shared" si="28"/>
        <v>0</v>
      </c>
      <c r="P104" s="329">
        <f t="shared" si="29"/>
        <v>0</v>
      </c>
      <c r="Q104" s="331"/>
      <c r="R104" s="650"/>
      <c r="T104" s="34"/>
      <c r="X104" s="82"/>
    </row>
    <row r="105" spans="3:24" s="16" customFormat="1" ht="18" customHeight="1" x14ac:dyDescent="0.25">
      <c r="C105" s="34"/>
      <c r="D105" s="774"/>
      <c r="E105" s="322" t="s">
        <v>50</v>
      </c>
      <c r="F105" s="321"/>
      <c r="G105" s="323"/>
      <c r="H105" s="408"/>
      <c r="I105" s="324"/>
      <c r="J105" s="324">
        <f t="shared" si="23"/>
        <v>0</v>
      </c>
      <c r="K105" s="329">
        <f t="shared" si="24"/>
        <v>0</v>
      </c>
      <c r="L105" s="329">
        <f t="shared" si="25"/>
        <v>0</v>
      </c>
      <c r="M105" s="329">
        <f t="shared" si="26"/>
        <v>0</v>
      </c>
      <c r="N105" s="329">
        <f t="shared" si="27"/>
        <v>0</v>
      </c>
      <c r="O105" s="329">
        <f t="shared" si="28"/>
        <v>0</v>
      </c>
      <c r="P105" s="329">
        <f t="shared" si="29"/>
        <v>0</v>
      </c>
      <c r="Q105" s="331"/>
      <c r="R105" s="650"/>
      <c r="T105" s="34"/>
      <c r="X105" s="82"/>
    </row>
    <row r="106" spans="3:24" s="16" customFormat="1" ht="15" customHeight="1" x14ac:dyDescent="0.25">
      <c r="C106" s="34"/>
      <c r="D106" s="325"/>
      <c r="E106" s="301"/>
      <c r="F106" s="302"/>
      <c r="G106" s="303"/>
      <c r="H106" s="327"/>
      <c r="I106" s="326"/>
      <c r="J106" s="305"/>
      <c r="K106" s="229"/>
      <c r="L106" s="229"/>
      <c r="M106" s="229"/>
      <c r="N106" s="229"/>
      <c r="O106" s="229"/>
      <c r="P106" s="229"/>
      <c r="Q106" s="230"/>
      <c r="R106" s="650"/>
      <c r="T106" s="34"/>
      <c r="X106" s="82"/>
    </row>
    <row r="107" spans="3:24" s="16" customFormat="1" ht="60.75" customHeight="1" x14ac:dyDescent="0.25">
      <c r="C107" s="34"/>
      <c r="D107" s="845" t="s">
        <v>2239</v>
      </c>
      <c r="E107" s="322" t="s">
        <v>50</v>
      </c>
      <c r="F107" s="321">
        <v>3</v>
      </c>
      <c r="G107" s="323">
        <v>6</v>
      </c>
      <c r="H107" s="408">
        <v>6.3</v>
      </c>
      <c r="I107" s="324">
        <v>5.14</v>
      </c>
      <c r="J107" s="324">
        <f t="shared" ref="J107:J109" si="30">G107*I107</f>
        <v>30.839999999999996</v>
      </c>
      <c r="K107" s="329">
        <f t="shared" si="24"/>
        <v>0</v>
      </c>
      <c r="L107" s="329">
        <f t="shared" si="25"/>
        <v>7.5557999999999987</v>
      </c>
      <c r="M107" s="329">
        <f t="shared" si="26"/>
        <v>0</v>
      </c>
      <c r="N107" s="329">
        <f t="shared" si="27"/>
        <v>0</v>
      </c>
      <c r="O107" s="329">
        <f t="shared" si="28"/>
        <v>0</v>
      </c>
      <c r="P107" s="329">
        <f t="shared" si="29"/>
        <v>0</v>
      </c>
      <c r="Q107" s="331"/>
      <c r="R107" s="650"/>
      <c r="T107" s="34"/>
      <c r="X107" s="82"/>
    </row>
    <row r="108" spans="3:24" s="16" customFormat="1" ht="60.75" customHeight="1" x14ac:dyDescent="0.25">
      <c r="C108" s="34"/>
      <c r="D108" s="774"/>
      <c r="E108" s="322" t="s">
        <v>50</v>
      </c>
      <c r="F108" s="321">
        <v>4</v>
      </c>
      <c r="G108" s="323">
        <v>6</v>
      </c>
      <c r="H108" s="408">
        <v>6.3</v>
      </c>
      <c r="I108" s="324">
        <v>2.74</v>
      </c>
      <c r="J108" s="324">
        <f t="shared" ref="J108" si="31">G108*I108</f>
        <v>16.440000000000001</v>
      </c>
      <c r="K108" s="329">
        <f t="shared" si="24"/>
        <v>0</v>
      </c>
      <c r="L108" s="329">
        <f t="shared" si="25"/>
        <v>4.0278</v>
      </c>
      <c r="M108" s="329">
        <f t="shared" si="26"/>
        <v>0</v>
      </c>
      <c r="N108" s="329">
        <f t="shared" si="27"/>
        <v>0</v>
      </c>
      <c r="O108" s="329">
        <f t="shared" si="28"/>
        <v>0</v>
      </c>
      <c r="P108" s="329">
        <f t="shared" si="29"/>
        <v>0</v>
      </c>
      <c r="Q108" s="330"/>
      <c r="R108" s="650"/>
      <c r="T108" s="34"/>
      <c r="X108" s="82"/>
    </row>
    <row r="109" spans="3:24" s="16" customFormat="1" ht="60.75" customHeight="1" x14ac:dyDescent="0.25">
      <c r="C109" s="34"/>
      <c r="D109" s="774"/>
      <c r="E109" s="322" t="s">
        <v>50</v>
      </c>
      <c r="F109" s="321">
        <v>5</v>
      </c>
      <c r="G109" s="323">
        <v>10</v>
      </c>
      <c r="H109" s="408">
        <v>6.3</v>
      </c>
      <c r="I109" s="324">
        <v>0.94</v>
      </c>
      <c r="J109" s="324">
        <f t="shared" si="30"/>
        <v>9.3999999999999986</v>
      </c>
      <c r="K109" s="329">
        <f t="shared" si="24"/>
        <v>0</v>
      </c>
      <c r="L109" s="329">
        <f t="shared" si="25"/>
        <v>2.3029999999999995</v>
      </c>
      <c r="M109" s="329">
        <f t="shared" si="26"/>
        <v>0</v>
      </c>
      <c r="N109" s="329">
        <f t="shared" si="27"/>
        <v>0</v>
      </c>
      <c r="O109" s="329">
        <f t="shared" si="28"/>
        <v>0</v>
      </c>
      <c r="P109" s="329">
        <f t="shared" si="29"/>
        <v>0</v>
      </c>
      <c r="Q109" s="330"/>
      <c r="R109" s="650"/>
      <c r="T109" s="34"/>
      <c r="X109" s="82"/>
    </row>
    <row r="110" spans="3:24" s="16" customFormat="1" ht="15" customHeight="1" x14ac:dyDescent="0.25">
      <c r="C110" s="34"/>
      <c r="D110" s="325"/>
      <c r="E110" s="301"/>
      <c r="F110" s="302"/>
      <c r="G110" s="303"/>
      <c r="H110" s="327"/>
      <c r="I110" s="326"/>
      <c r="J110" s="305"/>
      <c r="K110" s="229"/>
      <c r="L110" s="229"/>
      <c r="M110" s="229"/>
      <c r="N110" s="229"/>
      <c r="O110" s="229"/>
      <c r="P110" s="229"/>
      <c r="Q110" s="230"/>
      <c r="R110" s="650"/>
      <c r="T110" s="34"/>
      <c r="X110" s="82"/>
    </row>
    <row r="111" spans="3:24" s="16" customFormat="1" ht="15" customHeight="1" x14ac:dyDescent="0.25">
      <c r="C111" s="34"/>
      <c r="D111" s="845" t="s">
        <v>2240</v>
      </c>
      <c r="E111" s="322" t="s">
        <v>50</v>
      </c>
      <c r="F111" s="321"/>
      <c r="G111" s="323"/>
      <c r="H111" s="408"/>
      <c r="I111" s="324"/>
      <c r="J111" s="324">
        <f t="shared" ref="J111:J118" si="32">G111*I111</f>
        <v>0</v>
      </c>
      <c r="K111" s="329">
        <f t="shared" si="24"/>
        <v>0</v>
      </c>
      <c r="L111" s="329">
        <f t="shared" si="25"/>
        <v>0</v>
      </c>
      <c r="M111" s="329">
        <f t="shared" si="26"/>
        <v>0</v>
      </c>
      <c r="N111" s="329">
        <f t="shared" si="27"/>
        <v>0</v>
      </c>
      <c r="O111" s="329">
        <f t="shared" si="28"/>
        <v>0</v>
      </c>
      <c r="P111" s="329">
        <f t="shared" si="29"/>
        <v>0</v>
      </c>
      <c r="Q111" s="331"/>
      <c r="R111" s="650"/>
      <c r="T111" s="34"/>
      <c r="X111" s="82"/>
    </row>
    <row r="112" spans="3:24" s="16" customFormat="1" ht="15" customHeight="1" x14ac:dyDescent="0.25">
      <c r="C112" s="34"/>
      <c r="D112" s="774"/>
      <c r="E112" s="322" t="s">
        <v>50</v>
      </c>
      <c r="F112" s="321"/>
      <c r="G112" s="323"/>
      <c r="H112" s="408"/>
      <c r="I112" s="324"/>
      <c r="J112" s="324">
        <f t="shared" si="32"/>
        <v>0</v>
      </c>
      <c r="K112" s="329">
        <f t="shared" si="24"/>
        <v>0</v>
      </c>
      <c r="L112" s="329">
        <f t="shared" si="25"/>
        <v>0</v>
      </c>
      <c r="M112" s="329">
        <f t="shared" si="26"/>
        <v>0</v>
      </c>
      <c r="N112" s="329">
        <f t="shared" si="27"/>
        <v>0</v>
      </c>
      <c r="O112" s="329">
        <f t="shared" si="28"/>
        <v>0</v>
      </c>
      <c r="P112" s="329">
        <f t="shared" si="29"/>
        <v>0</v>
      </c>
      <c r="Q112" s="330"/>
      <c r="R112" s="650"/>
      <c r="T112" s="34"/>
      <c r="X112" s="82"/>
    </row>
    <row r="113" spans="3:24" s="16" customFormat="1" ht="15" customHeight="1" x14ac:dyDescent="0.25">
      <c r="C113" s="34"/>
      <c r="D113" s="774"/>
      <c r="E113" s="322" t="s">
        <v>50</v>
      </c>
      <c r="F113" s="321"/>
      <c r="G113" s="323"/>
      <c r="H113" s="408"/>
      <c r="I113" s="324"/>
      <c r="J113" s="324">
        <f t="shared" si="32"/>
        <v>0</v>
      </c>
      <c r="K113" s="329">
        <f t="shared" si="24"/>
        <v>0</v>
      </c>
      <c r="L113" s="329">
        <f t="shared" si="25"/>
        <v>0</v>
      </c>
      <c r="M113" s="329">
        <f t="shared" si="26"/>
        <v>0</v>
      </c>
      <c r="N113" s="329">
        <f t="shared" si="27"/>
        <v>0</v>
      </c>
      <c r="O113" s="329">
        <f t="shared" si="28"/>
        <v>0</v>
      </c>
      <c r="P113" s="329">
        <f t="shared" si="29"/>
        <v>0</v>
      </c>
      <c r="Q113" s="330"/>
      <c r="R113" s="650"/>
      <c r="T113" s="34"/>
      <c r="X113" s="82"/>
    </row>
    <row r="114" spans="3:24" s="16" customFormat="1" ht="15" customHeight="1" x14ac:dyDescent="0.25">
      <c r="C114" s="306"/>
      <c r="D114" s="774"/>
      <c r="E114" s="322" t="s">
        <v>50</v>
      </c>
      <c r="F114" s="321"/>
      <c r="G114" s="323"/>
      <c r="H114" s="328"/>
      <c r="I114" s="324"/>
      <c r="J114" s="324">
        <f t="shared" si="32"/>
        <v>0</v>
      </c>
      <c r="K114" s="329">
        <f t="shared" si="24"/>
        <v>0</v>
      </c>
      <c r="L114" s="329">
        <f t="shared" si="25"/>
        <v>0</v>
      </c>
      <c r="M114" s="329">
        <f t="shared" si="26"/>
        <v>0</v>
      </c>
      <c r="N114" s="329">
        <f t="shared" si="27"/>
        <v>0</v>
      </c>
      <c r="O114" s="329">
        <f t="shared" si="28"/>
        <v>0</v>
      </c>
      <c r="P114" s="329">
        <f t="shared" si="29"/>
        <v>0</v>
      </c>
      <c r="Q114" s="330"/>
      <c r="R114" s="650"/>
      <c r="T114" s="34"/>
      <c r="X114" s="82"/>
    </row>
    <row r="115" spans="3:24" s="16" customFormat="1" ht="15" customHeight="1" x14ac:dyDescent="0.25">
      <c r="C115" s="34"/>
      <c r="D115" s="774"/>
      <c r="E115" s="322" t="s">
        <v>50</v>
      </c>
      <c r="F115" s="321"/>
      <c r="G115" s="323"/>
      <c r="H115" s="328"/>
      <c r="I115" s="324"/>
      <c r="J115" s="324">
        <f t="shared" si="32"/>
        <v>0</v>
      </c>
      <c r="K115" s="329">
        <f t="shared" si="24"/>
        <v>0</v>
      </c>
      <c r="L115" s="329">
        <f t="shared" si="25"/>
        <v>0</v>
      </c>
      <c r="M115" s="329">
        <f t="shared" si="26"/>
        <v>0</v>
      </c>
      <c r="N115" s="329">
        <f t="shared" si="27"/>
        <v>0</v>
      </c>
      <c r="O115" s="329">
        <f t="shared" si="28"/>
        <v>0</v>
      </c>
      <c r="P115" s="329">
        <f t="shared" si="29"/>
        <v>0</v>
      </c>
      <c r="Q115" s="330"/>
      <c r="R115" s="650"/>
      <c r="T115" s="34"/>
      <c r="X115" s="82"/>
    </row>
    <row r="116" spans="3:24" s="16" customFormat="1" ht="15" customHeight="1" x14ac:dyDescent="0.25">
      <c r="C116" s="306"/>
      <c r="D116" s="774"/>
      <c r="E116" s="322" t="s">
        <v>50</v>
      </c>
      <c r="F116" s="321"/>
      <c r="G116" s="323"/>
      <c r="H116" s="328"/>
      <c r="I116" s="324"/>
      <c r="J116" s="324">
        <f t="shared" si="32"/>
        <v>0</v>
      </c>
      <c r="K116" s="329">
        <f t="shared" si="24"/>
        <v>0</v>
      </c>
      <c r="L116" s="329">
        <f t="shared" si="25"/>
        <v>0</v>
      </c>
      <c r="M116" s="329">
        <f t="shared" si="26"/>
        <v>0</v>
      </c>
      <c r="N116" s="329">
        <f t="shared" si="27"/>
        <v>0</v>
      </c>
      <c r="O116" s="329">
        <f t="shared" si="28"/>
        <v>0</v>
      </c>
      <c r="P116" s="329">
        <f t="shared" si="29"/>
        <v>0</v>
      </c>
      <c r="Q116" s="331"/>
      <c r="R116" s="650"/>
      <c r="T116" s="34"/>
      <c r="X116" s="82"/>
    </row>
    <row r="117" spans="3:24" s="16" customFormat="1" ht="15" customHeight="1" x14ac:dyDescent="0.25">
      <c r="C117" s="34"/>
      <c r="D117" s="774"/>
      <c r="E117" s="322" t="s">
        <v>50</v>
      </c>
      <c r="F117" s="321"/>
      <c r="G117" s="323"/>
      <c r="H117" s="328"/>
      <c r="I117" s="324"/>
      <c r="J117" s="324">
        <f t="shared" si="32"/>
        <v>0</v>
      </c>
      <c r="K117" s="329">
        <f t="shared" si="24"/>
        <v>0</v>
      </c>
      <c r="L117" s="329">
        <f t="shared" si="25"/>
        <v>0</v>
      </c>
      <c r="M117" s="329">
        <f t="shared" si="26"/>
        <v>0</v>
      </c>
      <c r="N117" s="329">
        <f t="shared" si="27"/>
        <v>0</v>
      </c>
      <c r="O117" s="329">
        <f t="shared" si="28"/>
        <v>0</v>
      </c>
      <c r="P117" s="329">
        <f t="shared" si="29"/>
        <v>0</v>
      </c>
      <c r="Q117" s="331"/>
      <c r="R117" s="650"/>
      <c r="T117" s="34"/>
      <c r="X117" s="82"/>
    </row>
    <row r="118" spans="3:24" s="16" customFormat="1" ht="15" customHeight="1" x14ac:dyDescent="0.25">
      <c r="C118" s="34"/>
      <c r="D118" s="847"/>
      <c r="E118" s="322" t="s">
        <v>50</v>
      </c>
      <c r="F118" s="321"/>
      <c r="G118" s="323"/>
      <c r="H118" s="328"/>
      <c r="I118" s="324"/>
      <c r="J118" s="324">
        <f t="shared" si="32"/>
        <v>0</v>
      </c>
      <c r="K118" s="329">
        <f t="shared" si="24"/>
        <v>0</v>
      </c>
      <c r="L118" s="329">
        <f t="shared" si="25"/>
        <v>0</v>
      </c>
      <c r="M118" s="329">
        <f t="shared" si="26"/>
        <v>0</v>
      </c>
      <c r="N118" s="329">
        <f t="shared" si="27"/>
        <v>0</v>
      </c>
      <c r="O118" s="329">
        <f t="shared" si="28"/>
        <v>0</v>
      </c>
      <c r="P118" s="329">
        <f t="shared" si="29"/>
        <v>0</v>
      </c>
      <c r="Q118" s="331"/>
      <c r="R118" s="650"/>
      <c r="T118" s="34"/>
      <c r="X118" s="82"/>
    </row>
    <row r="119" spans="3:24" s="16" customFormat="1" ht="15" customHeight="1" x14ac:dyDescent="0.25">
      <c r="C119" s="34"/>
      <c r="D119" s="325"/>
      <c r="E119" s="301"/>
      <c r="F119" s="302"/>
      <c r="G119" s="303"/>
      <c r="H119" s="327"/>
      <c r="I119" s="326"/>
      <c r="J119" s="305"/>
      <c r="K119" s="229"/>
      <c r="L119" s="229"/>
      <c r="M119" s="229"/>
      <c r="N119" s="229"/>
      <c r="O119" s="229"/>
      <c r="P119" s="229"/>
      <c r="Q119" s="230"/>
      <c r="R119" s="598"/>
      <c r="T119" s="34"/>
      <c r="X119" s="82"/>
    </row>
    <row r="120" spans="3:24" s="16" customFormat="1" ht="15" customHeight="1" thickBot="1" x14ac:dyDescent="0.3">
      <c r="C120" s="34"/>
      <c r="D120" s="325"/>
      <c r="E120" s="301"/>
      <c r="F120" s="302"/>
      <c r="G120" s="303"/>
      <c r="H120" s="327"/>
      <c r="I120" s="326"/>
      <c r="J120" s="305"/>
      <c r="K120" s="229"/>
      <c r="L120" s="229"/>
      <c r="M120" s="229"/>
      <c r="N120" s="229"/>
      <c r="O120" s="229"/>
      <c r="P120" s="229"/>
      <c r="Q120" s="332"/>
      <c r="R120" s="316"/>
      <c r="T120" s="34"/>
      <c r="X120" s="82"/>
    </row>
    <row r="121" spans="3:24" s="16" customFormat="1" ht="15" customHeight="1" thickBot="1" x14ac:dyDescent="0.3">
      <c r="C121" s="34"/>
      <c r="D121" s="300"/>
      <c r="E121" s="333"/>
      <c r="F121" s="334"/>
      <c r="G121" s="334"/>
      <c r="H121" s="334"/>
      <c r="I121" s="846" t="s">
        <v>83</v>
      </c>
      <c r="J121" s="784"/>
      <c r="K121" s="233">
        <f t="shared" ref="K121:P121" si="33">SUM(K24:K120)</f>
        <v>84.927919999999986</v>
      </c>
      <c r="L121" s="233">
        <f t="shared" si="33"/>
        <v>354.48314999999991</v>
      </c>
      <c r="M121" s="233">
        <f t="shared" si="33"/>
        <v>0</v>
      </c>
      <c r="N121" s="233">
        <f t="shared" si="33"/>
        <v>0</v>
      </c>
      <c r="O121" s="233">
        <f t="shared" si="33"/>
        <v>0</v>
      </c>
      <c r="P121" s="233">
        <f t="shared" si="33"/>
        <v>0</v>
      </c>
      <c r="Q121" s="234"/>
      <c r="R121" s="315"/>
      <c r="T121" s="34"/>
      <c r="X121" s="82"/>
    </row>
    <row r="122" spans="3:24" s="16" customFormat="1" ht="15" customHeight="1" thickTop="1" x14ac:dyDescent="0.25">
      <c r="C122" s="34"/>
      <c r="D122" s="300"/>
      <c r="E122" s="301"/>
      <c r="F122" s="302"/>
      <c r="G122" s="303"/>
      <c r="H122" s="304"/>
      <c r="I122" s="305"/>
      <c r="J122" s="305"/>
      <c r="K122" s="229"/>
      <c r="L122" s="229"/>
      <c r="M122" s="229"/>
      <c r="N122" s="229"/>
      <c r="O122" s="229"/>
      <c r="P122" s="229"/>
      <c r="Q122" s="230"/>
      <c r="R122" s="315"/>
      <c r="T122" s="34"/>
      <c r="X122" s="82"/>
    </row>
    <row r="123" spans="3:24" s="16" customFormat="1" ht="15" customHeight="1" x14ac:dyDescent="0.25">
      <c r="C123" s="34"/>
      <c r="D123" s="300"/>
      <c r="E123" s="301"/>
      <c r="F123" s="302"/>
      <c r="G123" s="303"/>
      <c r="H123" s="304"/>
      <c r="I123" s="305"/>
      <c r="J123" s="305"/>
      <c r="K123" s="229"/>
      <c r="L123" s="229"/>
      <c r="M123" s="229"/>
      <c r="N123" s="229"/>
      <c r="O123" s="229"/>
      <c r="P123" s="229"/>
      <c r="Q123" s="230"/>
      <c r="R123" s="315"/>
      <c r="T123" s="34"/>
      <c r="X123" s="82"/>
    </row>
    <row r="124" spans="3:24" s="16" customFormat="1" ht="15" customHeight="1" x14ac:dyDescent="0.25">
      <c r="C124" s="34"/>
      <c r="D124" s="300"/>
      <c r="E124" s="301"/>
      <c r="F124" s="302"/>
      <c r="G124" s="303"/>
      <c r="H124" s="304"/>
      <c r="I124" s="305"/>
      <c r="J124" s="305"/>
      <c r="K124" s="229"/>
      <c r="L124" s="229"/>
      <c r="M124" s="229"/>
      <c r="N124" s="229"/>
      <c r="O124" s="229"/>
      <c r="P124" s="229"/>
      <c r="Q124" s="230"/>
      <c r="R124" s="315"/>
      <c r="T124" s="34"/>
      <c r="X124" s="82"/>
    </row>
    <row r="125" spans="3:24" s="16" customFormat="1" ht="15" customHeight="1" x14ac:dyDescent="0.25">
      <c r="C125" s="34"/>
      <c r="D125" s="85"/>
      <c r="F125" s="285"/>
      <c r="G125" s="334"/>
      <c r="H125" s="82"/>
      <c r="I125" s="285"/>
      <c r="J125" s="82"/>
      <c r="K125" s="82"/>
      <c r="L125" s="98"/>
      <c r="M125" s="98"/>
      <c r="N125" s="82"/>
      <c r="O125" s="82"/>
      <c r="P125" s="82"/>
      <c r="Q125" s="82"/>
      <c r="R125" s="315"/>
      <c r="T125" s="34"/>
      <c r="X125" s="82"/>
    </row>
    <row r="126" spans="3:24" s="16" customFormat="1" ht="15" customHeight="1" x14ac:dyDescent="0.25">
      <c r="C126" s="34"/>
      <c r="D126" s="85"/>
      <c r="F126" s="285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315"/>
      <c r="T126" s="34"/>
      <c r="X126" s="82"/>
    </row>
    <row r="127" spans="3:24" s="16" customFormat="1" ht="15" customHeight="1" x14ac:dyDescent="0.25">
      <c r="C127" s="34"/>
      <c r="D127" s="85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315"/>
      <c r="T127" s="34"/>
      <c r="X127" s="82"/>
    </row>
    <row r="128" spans="3:24" s="16" customFormat="1" ht="15" customHeight="1" x14ac:dyDescent="0.25">
      <c r="C128" s="34"/>
      <c r="D128" s="26"/>
      <c r="E128" s="82"/>
      <c r="F128" s="286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315"/>
      <c r="T128" s="34"/>
      <c r="X128" s="82"/>
    </row>
    <row r="129" spans="3:24" s="16" customFormat="1" ht="15" customHeight="1" x14ac:dyDescent="0.25">
      <c r="C129" s="34"/>
      <c r="D129" s="26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315"/>
      <c r="T129" s="34"/>
      <c r="X129" s="82"/>
    </row>
    <row r="130" spans="3:24" s="16" customFormat="1" ht="15" customHeight="1" x14ac:dyDescent="0.25">
      <c r="C130" s="34"/>
      <c r="D130" s="26"/>
      <c r="E130" s="286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315"/>
      <c r="T130" s="34"/>
      <c r="X130" s="82"/>
    </row>
    <row r="131" spans="3:24" s="16" customFormat="1" ht="15" customHeight="1" x14ac:dyDescent="0.25">
      <c r="C131" s="34"/>
      <c r="D131" s="26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315"/>
      <c r="T131" s="34"/>
      <c r="X131" s="82"/>
    </row>
    <row r="132" spans="3:24" s="16" customFormat="1" ht="15" customHeight="1" x14ac:dyDescent="0.25">
      <c r="C132" s="34"/>
      <c r="D132" s="26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315"/>
      <c r="T132" s="34"/>
      <c r="X132" s="82"/>
    </row>
    <row r="133" spans="3:24" s="16" customFormat="1" ht="15" customHeight="1" x14ac:dyDescent="0.25">
      <c r="C133" s="34"/>
      <c r="D133" s="85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315"/>
      <c r="T133" s="34"/>
      <c r="X133" s="82"/>
    </row>
    <row r="134" spans="3:24" s="16" customFormat="1" ht="15" customHeight="1" x14ac:dyDescent="0.25">
      <c r="C134" s="34"/>
      <c r="D134" s="85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315"/>
      <c r="T134" s="34"/>
      <c r="X134" s="82"/>
    </row>
    <row r="135" spans="3:24" s="16" customFormat="1" ht="15" customHeight="1" x14ac:dyDescent="0.25">
      <c r="C135" s="34"/>
      <c r="D135" s="85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315"/>
      <c r="T135" s="34"/>
      <c r="X135" s="82"/>
    </row>
    <row r="136" spans="3:24" s="16" customFormat="1" ht="15" customHeight="1" x14ac:dyDescent="0.25">
      <c r="C136" s="34"/>
      <c r="D136" s="85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315"/>
      <c r="T136" s="34"/>
      <c r="X136" s="82"/>
    </row>
    <row r="137" spans="3:24" s="16" customFormat="1" ht="15" customHeight="1" x14ac:dyDescent="0.25">
      <c r="C137" s="34"/>
      <c r="D137" s="85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315"/>
      <c r="T137" s="34"/>
      <c r="X137" s="82"/>
    </row>
    <row r="138" spans="3:24" s="16" customFormat="1" ht="15" customHeight="1" x14ac:dyDescent="0.25">
      <c r="C138" s="34"/>
      <c r="D138" s="85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315"/>
      <c r="T138" s="34"/>
      <c r="X138" s="82"/>
    </row>
    <row r="139" spans="3:24" s="16" customFormat="1" ht="15" customHeight="1" x14ac:dyDescent="0.25">
      <c r="C139" s="34"/>
      <c r="D139" s="85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315"/>
      <c r="T139" s="34"/>
      <c r="X139" s="82"/>
    </row>
    <row r="140" spans="3:24" s="16" customFormat="1" ht="15" customHeight="1" x14ac:dyDescent="0.25">
      <c r="C140" s="34"/>
      <c r="D140" s="85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315"/>
      <c r="T140" s="34"/>
      <c r="X140" s="82"/>
    </row>
    <row r="141" spans="3:24" s="16" customFormat="1" ht="15" customHeight="1" x14ac:dyDescent="0.25">
      <c r="C141" s="34"/>
      <c r="D141" s="85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315"/>
      <c r="T141" s="34"/>
      <c r="X141" s="82"/>
    </row>
    <row r="142" spans="3:24" s="16" customFormat="1" ht="15" customHeight="1" x14ac:dyDescent="0.25">
      <c r="C142" s="34"/>
      <c r="D142" s="85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315"/>
      <c r="T142" s="34"/>
      <c r="X142" s="82"/>
    </row>
    <row r="143" spans="3:24" s="16" customFormat="1" ht="15" customHeight="1" x14ac:dyDescent="0.25">
      <c r="C143" s="34"/>
      <c r="D143" s="85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315"/>
      <c r="T143" s="34"/>
      <c r="X143" s="82"/>
    </row>
    <row r="144" spans="3:24" s="16" customFormat="1" ht="15" customHeight="1" x14ac:dyDescent="0.25">
      <c r="C144" s="34"/>
      <c r="D144" s="85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315"/>
      <c r="T144" s="34"/>
      <c r="X144" s="82"/>
    </row>
    <row r="145" spans="3:24" s="16" customFormat="1" ht="15" customHeight="1" x14ac:dyDescent="0.25">
      <c r="C145" s="34"/>
      <c r="D145" s="85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315"/>
      <c r="T145" s="34"/>
      <c r="X145" s="82"/>
    </row>
    <row r="146" spans="3:24" s="16" customFormat="1" ht="15" customHeight="1" x14ac:dyDescent="0.25">
      <c r="C146" s="34"/>
      <c r="D146" s="85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315"/>
      <c r="T146" s="34"/>
      <c r="X146" s="82"/>
    </row>
    <row r="147" spans="3:24" s="16" customFormat="1" ht="15" customHeight="1" x14ac:dyDescent="0.25">
      <c r="C147" s="34"/>
      <c r="D147" s="85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315"/>
      <c r="T147" s="34"/>
      <c r="X147" s="82"/>
    </row>
    <row r="148" spans="3:24" s="16" customFormat="1" ht="15" customHeight="1" x14ac:dyDescent="0.25">
      <c r="C148" s="34"/>
      <c r="D148" s="85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315"/>
      <c r="T148" s="34"/>
      <c r="X148" s="82"/>
    </row>
    <row r="149" spans="3:24" s="16" customFormat="1" ht="15" customHeight="1" x14ac:dyDescent="0.25">
      <c r="C149" s="34"/>
      <c r="D149" s="85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315"/>
      <c r="T149" s="34"/>
      <c r="X149" s="82"/>
    </row>
    <row r="150" spans="3:24" s="16" customFormat="1" ht="15" customHeight="1" x14ac:dyDescent="0.25">
      <c r="C150" s="34"/>
      <c r="D150" s="85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315"/>
      <c r="T150" s="34"/>
      <c r="X150" s="82"/>
    </row>
    <row r="151" spans="3:24" s="16" customFormat="1" ht="15" customHeight="1" x14ac:dyDescent="0.25">
      <c r="C151" s="34"/>
      <c r="D151" s="85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315"/>
      <c r="T151" s="34"/>
      <c r="X151" s="82"/>
    </row>
    <row r="152" spans="3:24" s="16" customFormat="1" ht="15" customHeight="1" x14ac:dyDescent="0.25">
      <c r="C152" s="34"/>
      <c r="D152" s="85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315"/>
      <c r="T152" s="34"/>
      <c r="X152" s="82"/>
    </row>
    <row r="153" spans="3:24" s="16" customFormat="1" ht="15" customHeight="1" x14ac:dyDescent="0.25">
      <c r="C153" s="34"/>
      <c r="D153" s="85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315"/>
      <c r="T153" s="34"/>
      <c r="X153" s="82"/>
    </row>
    <row r="154" spans="3:24" x14ac:dyDescent="0.25">
      <c r="D154" s="85"/>
      <c r="R154" s="82"/>
    </row>
    <row r="155" spans="3:24" ht="15" customHeight="1" x14ac:dyDescent="0.25">
      <c r="D155" s="85"/>
      <c r="R155" s="82"/>
    </row>
    <row r="156" spans="3:24" ht="15" customHeight="1" x14ac:dyDescent="0.25">
      <c r="D156" s="85"/>
      <c r="R156" s="82"/>
    </row>
    <row r="157" spans="3:24" ht="15" customHeight="1" x14ac:dyDescent="0.25">
      <c r="D157" s="85"/>
      <c r="R157" s="82"/>
    </row>
    <row r="158" spans="3:24" ht="15" customHeight="1" x14ac:dyDescent="0.25">
      <c r="D158" s="85"/>
      <c r="R158" s="82"/>
    </row>
    <row r="159" spans="3:24" ht="15" customHeight="1" x14ac:dyDescent="0.25">
      <c r="D159" s="85"/>
      <c r="R159" s="82"/>
    </row>
    <row r="160" spans="3:24" x14ac:dyDescent="0.25">
      <c r="D160" s="85"/>
      <c r="R160" s="82"/>
    </row>
    <row r="161" spans="4:18" ht="15" customHeight="1" x14ac:dyDescent="0.25">
      <c r="D161" s="85"/>
      <c r="R161" s="82"/>
    </row>
    <row r="162" spans="4:18" ht="15" customHeight="1" x14ac:dyDescent="0.25">
      <c r="D162" s="85"/>
      <c r="R162" s="82"/>
    </row>
    <row r="163" spans="4:18" ht="15" customHeight="1" x14ac:dyDescent="0.25">
      <c r="D163" s="85"/>
      <c r="R163" s="82"/>
    </row>
    <row r="164" spans="4:18" ht="15" customHeight="1" x14ac:dyDescent="0.25">
      <c r="D164" s="85"/>
      <c r="R164" s="82"/>
    </row>
    <row r="165" spans="4:18" ht="15" customHeight="1" x14ac:dyDescent="0.25">
      <c r="D165" s="85"/>
      <c r="R165" s="82"/>
    </row>
    <row r="166" spans="4:18" x14ac:dyDescent="0.25">
      <c r="D166" s="85"/>
      <c r="R166" s="82"/>
    </row>
    <row r="167" spans="4:18" ht="15" customHeight="1" x14ac:dyDescent="0.25">
      <c r="D167" s="85"/>
      <c r="R167" s="82"/>
    </row>
    <row r="168" spans="4:18" ht="15.75" customHeight="1" x14ac:dyDescent="0.25">
      <c r="D168" s="85"/>
      <c r="R168" s="82"/>
    </row>
    <row r="169" spans="4:18" x14ac:dyDescent="0.25">
      <c r="D169" s="85"/>
      <c r="R169" s="82"/>
    </row>
    <row r="170" spans="4:18" ht="15" customHeight="1" x14ac:dyDescent="0.25">
      <c r="D170" s="85"/>
      <c r="E170" s="313"/>
      <c r="F170" s="226"/>
      <c r="G170" s="227"/>
      <c r="H170" s="228"/>
      <c r="I170" s="228"/>
      <c r="J170" s="229"/>
      <c r="K170" s="229"/>
      <c r="L170" s="229"/>
      <c r="M170" s="229"/>
      <c r="N170" s="229"/>
      <c r="O170" s="229"/>
      <c r="P170" s="230"/>
      <c r="Q170" s="85"/>
      <c r="R170" s="82"/>
    </row>
    <row r="171" spans="4:18" ht="15" customHeight="1" x14ac:dyDescent="0.25">
      <c r="D171" s="225"/>
      <c r="R171" s="82"/>
    </row>
    <row r="172" spans="4:18" x14ac:dyDescent="0.25">
      <c r="J172" s="86"/>
      <c r="K172" s="86"/>
      <c r="L172" s="86"/>
      <c r="M172" s="86"/>
      <c r="N172" s="86"/>
      <c r="O172" s="86"/>
      <c r="Q172" s="85"/>
      <c r="R172" s="82"/>
    </row>
    <row r="173" spans="4:18" ht="15" customHeight="1" x14ac:dyDescent="0.25">
      <c r="D173" s="86"/>
      <c r="E173" s="86"/>
      <c r="K173" s="86"/>
      <c r="L173" s="86"/>
      <c r="M173" s="86"/>
      <c r="N173" s="86"/>
      <c r="O173" s="86"/>
      <c r="P173" s="86"/>
      <c r="R173" s="82"/>
    </row>
    <row r="174" spans="4:18" x14ac:dyDescent="0.25">
      <c r="D174" s="224"/>
      <c r="Q174" s="85"/>
      <c r="R174" s="82"/>
    </row>
    <row r="175" spans="4:18" ht="15" customHeight="1" x14ac:dyDescent="0.25">
      <c r="R175" s="82"/>
    </row>
    <row r="176" spans="4:18" ht="15.75" customHeight="1" x14ac:dyDescent="0.25">
      <c r="D176" s="86"/>
      <c r="R176" s="82"/>
    </row>
    <row r="177" spans="4:18" x14ac:dyDescent="0.25">
      <c r="D177" s="86"/>
      <c r="R177" s="82"/>
    </row>
    <row r="178" spans="4:18" ht="15" customHeight="1" x14ac:dyDescent="0.25">
      <c r="R178" s="82"/>
    </row>
    <row r="179" spans="4:18" ht="15.75" customHeight="1" x14ac:dyDescent="0.25">
      <c r="R179" s="82"/>
    </row>
    <row r="180" spans="4:18" x14ac:dyDescent="0.25">
      <c r="R180" s="82"/>
    </row>
    <row r="181" spans="4:18" ht="15" customHeight="1" x14ac:dyDescent="0.25">
      <c r="R181" s="82"/>
    </row>
    <row r="182" spans="4:18" ht="15" customHeight="1" x14ac:dyDescent="0.25">
      <c r="R182" s="82"/>
    </row>
    <row r="183" spans="4:18" x14ac:dyDescent="0.25">
      <c r="R183" s="82"/>
    </row>
    <row r="184" spans="4:18" ht="15" customHeight="1" x14ac:dyDescent="0.25">
      <c r="R184" s="82"/>
    </row>
    <row r="185" spans="4:18" ht="15.75" customHeight="1" x14ac:dyDescent="0.25">
      <c r="R185" s="82"/>
    </row>
    <row r="186" spans="4:18" x14ac:dyDescent="0.25">
      <c r="R186" s="82"/>
    </row>
    <row r="187" spans="4:18" ht="15" customHeight="1" x14ac:dyDescent="0.25">
      <c r="R187" s="82"/>
    </row>
    <row r="188" spans="4:18" ht="15.75" customHeight="1" x14ac:dyDescent="0.25">
      <c r="R188" s="82"/>
    </row>
    <row r="189" spans="4:18" x14ac:dyDescent="0.25">
      <c r="R189" s="82"/>
    </row>
    <row r="190" spans="4:18" ht="15" customHeight="1" x14ac:dyDescent="0.25">
      <c r="R190" s="82"/>
    </row>
    <row r="191" spans="4:18" ht="15.75" customHeight="1" x14ac:dyDescent="0.25">
      <c r="R191" s="82"/>
    </row>
    <row r="192" spans="4:18" x14ac:dyDescent="0.25">
      <c r="R192" s="82"/>
    </row>
    <row r="193" spans="18:18" ht="15" customHeight="1" x14ac:dyDescent="0.25">
      <c r="R193" s="82"/>
    </row>
    <row r="194" spans="18:18" ht="15" customHeight="1" x14ac:dyDescent="0.25">
      <c r="R194" s="82"/>
    </row>
    <row r="195" spans="18:18" x14ac:dyDescent="0.25">
      <c r="R195" s="82"/>
    </row>
    <row r="196" spans="18:18" ht="15.75" customHeight="1" x14ac:dyDescent="0.25">
      <c r="R196" s="82"/>
    </row>
    <row r="197" spans="18:18" ht="15" customHeight="1" x14ac:dyDescent="0.25">
      <c r="R197" s="82"/>
    </row>
    <row r="198" spans="18:18" x14ac:dyDescent="0.25">
      <c r="R198" s="82"/>
    </row>
    <row r="199" spans="18:18" ht="15" customHeight="1" x14ac:dyDescent="0.25">
      <c r="R199" s="82"/>
    </row>
    <row r="200" spans="18:18" ht="15" customHeight="1" x14ac:dyDescent="0.25">
      <c r="R200" s="82"/>
    </row>
    <row r="201" spans="18:18" x14ac:dyDescent="0.25">
      <c r="R201" s="82"/>
    </row>
    <row r="202" spans="18:18" ht="15.75" customHeight="1" x14ac:dyDescent="0.25">
      <c r="R202" s="82"/>
    </row>
    <row r="203" spans="18:18" ht="15" customHeight="1" x14ac:dyDescent="0.25">
      <c r="R203" s="82"/>
    </row>
    <row r="205" spans="18:18" x14ac:dyDescent="0.25">
      <c r="R205" s="82"/>
    </row>
    <row r="206" spans="18:18" ht="15" customHeight="1" x14ac:dyDescent="0.25">
      <c r="R206" s="82"/>
    </row>
    <row r="207" spans="18:18" ht="15" customHeight="1" x14ac:dyDescent="0.25">
      <c r="R207" s="82"/>
    </row>
    <row r="208" spans="18:18" ht="15" customHeight="1" x14ac:dyDescent="0.25"/>
    <row r="209" spans="18:18" ht="15" customHeight="1" x14ac:dyDescent="0.25">
      <c r="R209" s="82"/>
    </row>
    <row r="210" spans="18:18" ht="15" customHeight="1" x14ac:dyDescent="0.25"/>
    <row r="212" spans="18:18" ht="15" customHeight="1" x14ac:dyDescent="0.25"/>
    <row r="213" spans="18:18" ht="15" customHeight="1" x14ac:dyDescent="0.25"/>
    <row r="214" spans="18:18" ht="15.75" customHeight="1" x14ac:dyDescent="0.25"/>
    <row r="215" spans="18:18" ht="15.75" customHeight="1" x14ac:dyDescent="0.25"/>
    <row r="216" spans="18:18" ht="15" customHeight="1" x14ac:dyDescent="0.25"/>
    <row r="218" spans="18:18" ht="15" customHeight="1" x14ac:dyDescent="0.25"/>
    <row r="219" spans="18:18" ht="15" customHeight="1" x14ac:dyDescent="0.25"/>
    <row r="220" spans="18:18" ht="15.75" customHeight="1" x14ac:dyDescent="0.25"/>
    <row r="221" spans="18:18" ht="15.75" customHeight="1" x14ac:dyDescent="0.25"/>
    <row r="222" spans="18:18" ht="15" customHeight="1" x14ac:dyDescent="0.25"/>
    <row r="225" ht="15" customHeight="1" x14ac:dyDescent="0.25"/>
    <row r="226" ht="15.75" customHeight="1" x14ac:dyDescent="0.25"/>
    <row r="227" ht="15.75" customHeight="1" x14ac:dyDescent="0.25"/>
    <row r="228" ht="15.75" customHeight="1" x14ac:dyDescent="0.25"/>
    <row r="230" ht="15" customHeight="1" x14ac:dyDescent="0.25"/>
    <row r="231" ht="15" customHeight="1" x14ac:dyDescent="0.25"/>
    <row r="232" ht="15.75" customHeight="1" x14ac:dyDescent="0.25"/>
    <row r="233" ht="15.75" customHeight="1" x14ac:dyDescent="0.25"/>
    <row r="234" ht="15" customHeight="1" x14ac:dyDescent="0.25"/>
    <row r="236" ht="15" customHeight="1" x14ac:dyDescent="0.25"/>
    <row r="237" ht="15" customHeight="1" x14ac:dyDescent="0.25"/>
    <row r="238" ht="15.75" customHeight="1" x14ac:dyDescent="0.25"/>
    <row r="239" ht="15.75" customHeight="1" x14ac:dyDescent="0.25"/>
    <row r="240" ht="15" customHeight="1" x14ac:dyDescent="0.25"/>
    <row r="242" ht="15" customHeight="1" x14ac:dyDescent="0.25"/>
    <row r="243" ht="15" customHeight="1" x14ac:dyDescent="0.25"/>
    <row r="244" ht="15.75" customHeight="1" x14ac:dyDescent="0.25"/>
    <row r="245" ht="15.75" customHeight="1" x14ac:dyDescent="0.25"/>
    <row r="246" ht="15" customHeight="1" x14ac:dyDescent="0.25"/>
    <row r="248" ht="15" customHeight="1" x14ac:dyDescent="0.25"/>
    <row r="249" ht="15" customHeight="1" x14ac:dyDescent="0.25"/>
    <row r="250" ht="15.75" customHeight="1" x14ac:dyDescent="0.25"/>
    <row r="251" ht="15.75" customHeight="1" x14ac:dyDescent="0.25"/>
    <row r="252" ht="15" customHeight="1" x14ac:dyDescent="0.25"/>
    <row r="254" ht="15" customHeight="1" x14ac:dyDescent="0.25"/>
    <row r="255" ht="15" customHeight="1" x14ac:dyDescent="0.25"/>
    <row r="256" ht="15.75" customHeight="1" x14ac:dyDescent="0.25"/>
    <row r="257" ht="15.75" customHeight="1" x14ac:dyDescent="0.25"/>
    <row r="258" ht="15" customHeight="1" x14ac:dyDescent="0.25"/>
    <row r="259" ht="3" customHeight="1" x14ac:dyDescent="0.25"/>
  </sheetData>
  <mergeCells count="42">
    <mergeCell ref="D98:P98"/>
    <mergeCell ref="D99:D105"/>
    <mergeCell ref="D107:D109"/>
    <mergeCell ref="D111:D118"/>
    <mergeCell ref="D92:P92"/>
    <mergeCell ref="D93:D94"/>
    <mergeCell ref="D96:D97"/>
    <mergeCell ref="D8:K8"/>
    <mergeCell ref="D9:K9"/>
    <mergeCell ref="D42:D58"/>
    <mergeCell ref="D60:P60"/>
    <mergeCell ref="D61:D67"/>
    <mergeCell ref="D72:P72"/>
    <mergeCell ref="D10:Q10"/>
    <mergeCell ref="D12:Q12"/>
    <mergeCell ref="D13:Q13"/>
    <mergeCell ref="D14:J16"/>
    <mergeCell ref="K14:Q14"/>
    <mergeCell ref="L15:P15"/>
    <mergeCell ref="Q15:Q16"/>
    <mergeCell ref="D6:Q6"/>
    <mergeCell ref="D1:Q1"/>
    <mergeCell ref="D2:Q2"/>
    <mergeCell ref="D3:Q3"/>
    <mergeCell ref="D4:Q4"/>
    <mergeCell ref="D5:Q5"/>
    <mergeCell ref="D73:D79"/>
    <mergeCell ref="D81:D82"/>
    <mergeCell ref="D69:D70"/>
    <mergeCell ref="D17:J17"/>
    <mergeCell ref="I121:J121"/>
    <mergeCell ref="D19:Q19"/>
    <mergeCell ref="D20:Q20"/>
    <mergeCell ref="D21:J21"/>
    <mergeCell ref="K21:P21"/>
    <mergeCell ref="Q21:Q22"/>
    <mergeCell ref="D24:D30"/>
    <mergeCell ref="D23:P23"/>
    <mergeCell ref="D32:D40"/>
    <mergeCell ref="D84:D91"/>
    <mergeCell ref="D31:P31"/>
    <mergeCell ref="D41:P4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1" fitToHeight="0" orientation="portrait" r:id="rId1"/>
  <headerFooter>
    <oddFooter>&amp;C&amp;8Rua Ferreira Pena, 1.109 – Centro – Manaus/AM – Cel: (0**92) 98415-0793, Fone: (0**92) 3306-0045 – e-mail: enge.ifam@ifam.edu.br 
DIRETORIA DE INFRAESTURURA - DINFRA&amp;R&amp;9Página &amp;P/&amp;N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8">
    <tabColor rgb="FF92D050"/>
  </sheetPr>
  <dimension ref="A1:O33"/>
  <sheetViews>
    <sheetView showGridLines="0" view="pageBreakPreview" topLeftCell="A7" zoomScale="115" zoomScaleNormal="100" zoomScaleSheetLayoutView="115" workbookViewId="0">
      <selection activeCell="B16" activeCellId="2" sqref="B6:G6 B11:G11 B16:G16"/>
    </sheetView>
  </sheetViews>
  <sheetFormatPr defaultRowHeight="14.4" x14ac:dyDescent="0.3"/>
  <cols>
    <col min="1" max="8" width="12.6640625" customWidth="1"/>
    <col min="9" max="9" width="11.5546875" customWidth="1"/>
    <col min="10" max="10" width="11.44140625" customWidth="1"/>
    <col min="11" max="11" width="10" customWidth="1"/>
    <col min="12" max="12" width="10.5546875" customWidth="1"/>
    <col min="14" max="14" width="12.44140625" customWidth="1"/>
  </cols>
  <sheetData>
    <row r="1" spans="1:15" s="62" customFormat="1" ht="18" x14ac:dyDescent="0.35">
      <c r="A1" s="727" t="s">
        <v>73</v>
      </c>
      <c r="B1" s="727"/>
      <c r="C1" s="727"/>
      <c r="D1" s="727"/>
      <c r="E1" s="727"/>
      <c r="F1" s="727"/>
      <c r="G1" s="727"/>
    </row>
    <row r="2" spans="1:15" s="62" customFormat="1" ht="18.600000000000001" thickBot="1" x14ac:dyDescent="0.4">
      <c r="A2" s="599"/>
      <c r="B2" s="599"/>
      <c r="C2" s="599"/>
      <c r="D2" s="599"/>
      <c r="E2" s="599"/>
      <c r="F2" s="599"/>
      <c r="G2" s="599"/>
    </row>
    <row r="3" spans="1:15" s="62" customFormat="1" x14ac:dyDescent="0.3">
      <c r="A3" s="849" t="s">
        <v>2072</v>
      </c>
      <c r="B3" s="850"/>
      <c r="C3" s="850"/>
      <c r="D3" s="850"/>
      <c r="E3" s="850"/>
      <c r="F3" s="850"/>
      <c r="G3" s="851"/>
    </row>
    <row r="4" spans="1:15" s="62" customFormat="1" x14ac:dyDescent="0.3">
      <c r="A4" s="141" t="s">
        <v>72</v>
      </c>
      <c r="B4" s="137" t="s">
        <v>63</v>
      </c>
      <c r="C4" s="137" t="s">
        <v>64</v>
      </c>
      <c r="D4" s="137" t="s">
        <v>64</v>
      </c>
      <c r="E4" s="137" t="s">
        <v>64</v>
      </c>
      <c r="F4" s="137" t="s">
        <v>64</v>
      </c>
      <c r="G4" s="138" t="s">
        <v>64</v>
      </c>
    </row>
    <row r="5" spans="1:15" s="62" customFormat="1" x14ac:dyDescent="0.3">
      <c r="A5" s="141" t="s">
        <v>71</v>
      </c>
      <c r="B5" s="137" t="s">
        <v>2071</v>
      </c>
      <c r="C5" s="137" t="s">
        <v>92</v>
      </c>
      <c r="D5" s="137" t="s">
        <v>117</v>
      </c>
      <c r="E5" s="137" t="s">
        <v>65</v>
      </c>
      <c r="F5" s="137" t="s">
        <v>66</v>
      </c>
      <c r="G5" s="138" t="s">
        <v>67</v>
      </c>
    </row>
    <row r="6" spans="1:15" s="62" customFormat="1" ht="15" thickBot="1" x14ac:dyDescent="0.35">
      <c r="A6" s="140" t="s">
        <v>60</v>
      </c>
      <c r="B6" s="469">
        <f>'Aço Estacas'!K18</f>
        <v>1213.1812</v>
      </c>
      <c r="C6" s="469">
        <f>'Aço Estacas'!L18</f>
        <v>0</v>
      </c>
      <c r="D6" s="469">
        <f>'Aço Estacas'!M18</f>
        <v>0</v>
      </c>
      <c r="E6" s="469">
        <f>'Aço Estacas'!N18</f>
        <v>4166.2307999999994</v>
      </c>
      <c r="F6" s="469">
        <f>'Aço Estacas'!O18</f>
        <v>0</v>
      </c>
      <c r="G6" s="647">
        <f>'Aço Estacas'!P18</f>
        <v>0</v>
      </c>
      <c r="H6" s="62" t="s">
        <v>112</v>
      </c>
    </row>
    <row r="7" spans="1:15" ht="15" thickBot="1" x14ac:dyDescent="0.35">
      <c r="L7" s="62"/>
      <c r="M7" s="62"/>
      <c r="N7" s="62"/>
      <c r="O7" s="62"/>
    </row>
    <row r="8" spans="1:15" x14ac:dyDescent="0.3">
      <c r="A8" s="849" t="s">
        <v>2070</v>
      </c>
      <c r="B8" s="850"/>
      <c r="C8" s="850"/>
      <c r="D8" s="850"/>
      <c r="E8" s="850"/>
      <c r="F8" s="850"/>
      <c r="G8" s="851"/>
      <c r="H8" s="136"/>
      <c r="L8" s="62"/>
      <c r="M8" s="62"/>
      <c r="N8" s="62"/>
      <c r="O8" s="62"/>
    </row>
    <row r="9" spans="1:15" ht="15" thickBot="1" x14ac:dyDescent="0.35">
      <c r="A9" s="141" t="s">
        <v>72</v>
      </c>
      <c r="B9" s="137" t="s">
        <v>63</v>
      </c>
      <c r="C9" s="137" t="s">
        <v>64</v>
      </c>
      <c r="D9" s="137" t="s">
        <v>64</v>
      </c>
      <c r="E9" s="137" t="s">
        <v>64</v>
      </c>
      <c r="F9" s="137" t="s">
        <v>64</v>
      </c>
      <c r="G9" s="138" t="s">
        <v>64</v>
      </c>
      <c r="H9" s="1"/>
      <c r="L9" s="62"/>
      <c r="M9" s="62"/>
      <c r="N9" s="62"/>
      <c r="O9" s="62"/>
    </row>
    <row r="10" spans="1:15" x14ac:dyDescent="0.3">
      <c r="A10" s="141" t="s">
        <v>71</v>
      </c>
      <c r="B10" s="137" t="s">
        <v>2071</v>
      </c>
      <c r="C10" s="137" t="s">
        <v>92</v>
      </c>
      <c r="D10" s="137" t="s">
        <v>117</v>
      </c>
      <c r="E10" s="137" t="s">
        <v>65</v>
      </c>
      <c r="F10" s="137" t="s">
        <v>66</v>
      </c>
      <c r="G10" s="138" t="s">
        <v>67</v>
      </c>
      <c r="H10" s="1"/>
      <c r="L10" s="114" t="s">
        <v>83</v>
      </c>
      <c r="M10" s="62"/>
      <c r="N10" s="602" t="s">
        <v>22</v>
      </c>
      <c r="O10" s="603"/>
    </row>
    <row r="11" spans="1:15" ht="15" thickBot="1" x14ac:dyDescent="0.35">
      <c r="A11" s="140" t="s">
        <v>60</v>
      </c>
      <c r="B11" s="469">
        <f>'Aço Blocos'!K18</f>
        <v>22.397759999999998</v>
      </c>
      <c r="C11" s="469">
        <f>'Aço Blocos'!L18</f>
        <v>223.72910000000002</v>
      </c>
      <c r="D11" s="469">
        <f>'Aço Blocos'!M18</f>
        <v>3153.9802</v>
      </c>
      <c r="E11" s="469">
        <f>'Aço Blocos'!N18</f>
        <v>199.43908000000002</v>
      </c>
      <c r="F11" s="469">
        <f>'Aço Blocos'!O18</f>
        <v>898.06490999999983</v>
      </c>
      <c r="G11" s="647">
        <f>'Aço Blocos'!P18</f>
        <v>403.33680000000004</v>
      </c>
      <c r="H11" s="1" t="s">
        <v>112</v>
      </c>
      <c r="L11" s="198">
        <f>SUM(B11:G11)</f>
        <v>4900.9478499999996</v>
      </c>
      <c r="M11" s="62"/>
      <c r="N11" s="199">
        <f>L11+L16+L29</f>
        <v>31237.014560000003</v>
      </c>
      <c r="O11" s="200" t="s">
        <v>84</v>
      </c>
    </row>
    <row r="12" spans="1:15" s="62" customFormat="1" ht="15" thickBot="1" x14ac:dyDescent="0.35">
      <c r="B12" s="1"/>
      <c r="C12" s="1"/>
      <c r="D12" s="1"/>
      <c r="E12" s="1"/>
      <c r="F12" s="1"/>
      <c r="G12" s="1"/>
      <c r="H12" s="1"/>
    </row>
    <row r="13" spans="1:15" x14ac:dyDescent="0.3">
      <c r="A13" s="849" t="s">
        <v>68</v>
      </c>
      <c r="B13" s="850"/>
      <c r="C13" s="850"/>
      <c r="D13" s="850"/>
      <c r="E13" s="850"/>
      <c r="F13" s="850"/>
      <c r="G13" s="851"/>
      <c r="H13" s="136"/>
      <c r="L13" s="62"/>
      <c r="M13" s="62"/>
      <c r="N13" s="62">
        <f>4.8+209.3+548.9+248.3+139.2+38+264.4</f>
        <v>1452.9</v>
      </c>
      <c r="O13" s="62"/>
    </row>
    <row r="14" spans="1:15" x14ac:dyDescent="0.3">
      <c r="A14" s="141" t="s">
        <v>72</v>
      </c>
      <c r="B14" s="137" t="s">
        <v>63</v>
      </c>
      <c r="C14" s="137" t="s">
        <v>64</v>
      </c>
      <c r="D14" s="137" t="s">
        <v>64</v>
      </c>
      <c r="E14" s="137" t="s">
        <v>64</v>
      </c>
      <c r="F14" s="137" t="s">
        <v>64</v>
      </c>
      <c r="G14" s="138" t="s">
        <v>64</v>
      </c>
      <c r="H14" s="1"/>
      <c r="L14" s="62"/>
      <c r="M14" s="62"/>
      <c r="N14" s="62"/>
      <c r="O14" s="62"/>
    </row>
    <row r="15" spans="1:15" x14ac:dyDescent="0.3">
      <c r="A15" s="141" t="s">
        <v>71</v>
      </c>
      <c r="B15" s="137" t="s">
        <v>97</v>
      </c>
      <c r="C15" s="137" t="s">
        <v>92</v>
      </c>
      <c r="D15" s="137" t="s">
        <v>98</v>
      </c>
      <c r="E15" s="137" t="s">
        <v>65</v>
      </c>
      <c r="F15" s="137" t="s">
        <v>66</v>
      </c>
      <c r="G15" s="138" t="s">
        <v>67</v>
      </c>
      <c r="L15" s="1" t="s">
        <v>83</v>
      </c>
      <c r="M15" s="1" t="s">
        <v>85</v>
      </c>
      <c r="N15" s="62"/>
      <c r="O15" s="62"/>
    </row>
    <row r="16" spans="1:15" ht="15" thickBot="1" x14ac:dyDescent="0.35">
      <c r="A16" s="140" t="s">
        <v>60</v>
      </c>
      <c r="B16" s="469">
        <f>' Aço Vigas '!J18</f>
        <v>1176.9973599999989</v>
      </c>
      <c r="C16" s="469">
        <f>' Aço Vigas '!K18</f>
        <v>1.0437000000000001</v>
      </c>
      <c r="D16" s="469">
        <f>' Aço Vigas '!L18</f>
        <v>2304.2245999999973</v>
      </c>
      <c r="E16" s="469">
        <f>' Aço Vigas '!M18</f>
        <v>1208.9991600000003</v>
      </c>
      <c r="F16" s="469">
        <f>' Aço Vigas '!N18</f>
        <v>272.50973999999991</v>
      </c>
      <c r="G16" s="647">
        <f>' Aço Vigas '!O18</f>
        <v>7.4797200000000004</v>
      </c>
      <c r="H16" t="s">
        <v>112</v>
      </c>
      <c r="L16" s="8">
        <f>SUM(B16:G16)</f>
        <v>4971.2542799999965</v>
      </c>
      <c r="M16" s="1">
        <f>329+249.4</f>
        <v>578.4</v>
      </c>
      <c r="N16" s="62"/>
      <c r="O16" s="62"/>
    </row>
    <row r="17" spans="1:15" s="62" customFormat="1" ht="15" thickBot="1" x14ac:dyDescent="0.35">
      <c r="A17" s="406"/>
      <c r="B17" s="407"/>
      <c r="C17" s="407"/>
      <c r="D17" s="407"/>
      <c r="E17" s="407"/>
      <c r="F17" s="407"/>
      <c r="G17" s="407"/>
      <c r="H17" s="8"/>
      <c r="L17" s="1"/>
    </row>
    <row r="18" spans="1:15" s="62" customFormat="1" x14ac:dyDescent="0.3">
      <c r="A18" s="849" t="s">
        <v>116</v>
      </c>
      <c r="B18" s="850"/>
      <c r="C18" s="850"/>
      <c r="D18" s="850"/>
      <c r="E18" s="850"/>
      <c r="F18" s="850"/>
      <c r="G18" s="850"/>
      <c r="H18" s="851"/>
      <c r="L18" s="1"/>
    </row>
    <row r="19" spans="1:15" s="62" customFormat="1" x14ac:dyDescent="0.3">
      <c r="A19" s="141" t="s">
        <v>72</v>
      </c>
      <c r="B19" s="137" t="s">
        <v>63</v>
      </c>
      <c r="C19" s="137" t="s">
        <v>64</v>
      </c>
      <c r="D19" s="137" t="s">
        <v>64</v>
      </c>
      <c r="E19" s="137" t="s">
        <v>64</v>
      </c>
      <c r="F19" s="137" t="s">
        <v>64</v>
      </c>
      <c r="G19" s="137" t="s">
        <v>64</v>
      </c>
      <c r="H19" s="138" t="s">
        <v>64</v>
      </c>
      <c r="L19" s="1"/>
    </row>
    <row r="20" spans="1:15" s="62" customFormat="1" x14ac:dyDescent="0.3">
      <c r="A20" s="141" t="s">
        <v>71</v>
      </c>
      <c r="B20" s="137" t="s">
        <v>120</v>
      </c>
      <c r="C20" s="137" t="s">
        <v>92</v>
      </c>
      <c r="D20" s="137" t="s">
        <v>2073</v>
      </c>
      <c r="E20" s="137" t="s">
        <v>65</v>
      </c>
      <c r="F20" s="137" t="s">
        <v>66</v>
      </c>
      <c r="G20" s="137" t="s">
        <v>67</v>
      </c>
      <c r="H20" s="138" t="s">
        <v>118</v>
      </c>
      <c r="L20" s="1" t="s">
        <v>83</v>
      </c>
    </row>
    <row r="21" spans="1:15" s="62" customFormat="1" ht="15" thickBot="1" x14ac:dyDescent="0.35">
      <c r="A21" s="140" t="s">
        <v>60</v>
      </c>
      <c r="B21" s="470">
        <f>'Aço Pilares'!K17</f>
        <v>568.18453999999906</v>
      </c>
      <c r="C21" s="470">
        <f>'Aço Pilares'!L17</f>
        <v>0</v>
      </c>
      <c r="D21" s="470">
        <f>'Aço Pilares'!M17</f>
        <v>4.6452</v>
      </c>
      <c r="E21" s="470">
        <f>'Aço Pilares'!N17</f>
        <v>781.02327999999943</v>
      </c>
      <c r="F21" s="470">
        <f>'Aço Pilares'!O17</f>
        <v>680.34023999999988</v>
      </c>
      <c r="G21" s="470">
        <f>'Aço Pilares'!P17</f>
        <v>861.90359999999976</v>
      </c>
      <c r="H21" s="600">
        <f>'Aço Pilares'!Q17</f>
        <v>549.17820000000006</v>
      </c>
      <c r="L21" s="8">
        <f>SUM(B21:H21)</f>
        <v>3445.2750599999981</v>
      </c>
      <c r="M21" s="62" t="s">
        <v>112</v>
      </c>
    </row>
    <row r="22" spans="1:15" s="62" customFormat="1" ht="15" thickBot="1" x14ac:dyDescent="0.35"/>
    <row r="23" spans="1:15" x14ac:dyDescent="0.3">
      <c r="A23" s="604" t="s">
        <v>69</v>
      </c>
      <c r="B23" s="605"/>
      <c r="C23" s="605"/>
      <c r="D23" s="605"/>
      <c r="E23" s="605"/>
      <c r="F23" s="605"/>
      <c r="G23" s="605"/>
      <c r="H23" s="605"/>
      <c r="I23" s="605"/>
      <c r="J23" s="606"/>
      <c r="L23" s="62"/>
      <c r="M23" s="62"/>
      <c r="N23" s="62"/>
      <c r="O23" s="62"/>
    </row>
    <row r="24" spans="1:15" s="62" customFormat="1" x14ac:dyDescent="0.3">
      <c r="A24" s="141" t="s">
        <v>72</v>
      </c>
      <c r="B24" s="137" t="s">
        <v>63</v>
      </c>
      <c r="C24" s="137" t="s">
        <v>63</v>
      </c>
      <c r="D24" s="137" t="s">
        <v>64</v>
      </c>
      <c r="E24" s="137" t="s">
        <v>64</v>
      </c>
      <c r="F24" s="137" t="s">
        <v>64</v>
      </c>
      <c r="G24" s="137" t="s">
        <v>64</v>
      </c>
      <c r="H24" s="137" t="s">
        <v>64</v>
      </c>
      <c r="I24" s="137" t="s">
        <v>64</v>
      </c>
      <c r="J24" s="138" t="s">
        <v>64</v>
      </c>
    </row>
    <row r="25" spans="1:15" x14ac:dyDescent="0.3">
      <c r="A25" s="141" t="s">
        <v>71</v>
      </c>
      <c r="B25" s="215">
        <f>' Aço Vigas '!I2105</f>
        <v>4.2</v>
      </c>
      <c r="C25" s="215">
        <f>' Aço Vigas '!J2105</f>
        <v>5</v>
      </c>
      <c r="D25" s="215">
        <f>' Aço Vigas '!K2105</f>
        <v>6.3</v>
      </c>
      <c r="E25" s="215">
        <f>' Aço Vigas '!L2105</f>
        <v>8</v>
      </c>
      <c r="F25" s="215">
        <f>' Aço Vigas '!M2105</f>
        <v>10</v>
      </c>
      <c r="G25" s="215">
        <f>' Aço Vigas '!N2105</f>
        <v>12.5</v>
      </c>
      <c r="H25" s="215">
        <f>' Aço Vigas '!O2105</f>
        <v>16</v>
      </c>
      <c r="I25" s="215">
        <f>' Aço Vigas '!P2105</f>
        <v>20</v>
      </c>
      <c r="J25" s="216">
        <f>' Aço Vigas '!Q2105</f>
        <v>25</v>
      </c>
      <c r="L25" s="213"/>
      <c r="M25" s="62"/>
      <c r="N25" s="62"/>
      <c r="O25" s="62"/>
    </row>
    <row r="26" spans="1:15" s="336" customFormat="1" x14ac:dyDescent="0.3">
      <c r="A26" s="335" t="s">
        <v>104</v>
      </c>
      <c r="B26" s="646">
        <v>0</v>
      </c>
      <c r="C26" s="343">
        <f>'Aço Lajes'!K17</f>
        <v>84.927919999999986</v>
      </c>
      <c r="D26" s="343">
        <f>'Aço Lajes'!L17</f>
        <v>354.48314999999991</v>
      </c>
      <c r="E26" s="343">
        <f>'Aço Lajes'!M17</f>
        <v>0</v>
      </c>
      <c r="F26" s="343">
        <v>0</v>
      </c>
      <c r="G26" s="343">
        <f>'Aço Lajes'!O17</f>
        <v>0</v>
      </c>
      <c r="H26" s="343">
        <f>'Aço Lajes'!P17</f>
        <v>0</v>
      </c>
      <c r="I26" s="343">
        <v>0</v>
      </c>
      <c r="J26" s="466">
        <v>0</v>
      </c>
      <c r="K26" s="336" t="s">
        <v>112</v>
      </c>
      <c r="L26" s="213"/>
    </row>
    <row r="27" spans="1:15" ht="28.8" x14ac:dyDescent="0.3">
      <c r="A27" s="601" t="s">
        <v>2074</v>
      </c>
      <c r="B27" s="343">
        <f>' Aço Vigas '!I19</f>
        <v>0</v>
      </c>
      <c r="C27" s="343">
        <f>' Aço Vigas '!J19+' Aço Vigas '!J20</f>
        <v>2489.0696600000001</v>
      </c>
      <c r="D27" s="343">
        <f>' Aço Vigas '!K19+' Aço Vigas '!K20</f>
        <v>136.39885000000004</v>
      </c>
      <c r="E27" s="343">
        <f>' Aço Vigas '!L19+' Aço Vigas '!L20</f>
        <v>1810.4785500000005</v>
      </c>
      <c r="F27" s="343">
        <f>' Aço Vigas '!M19+' Aço Vigas '!M20</f>
        <v>2925.1784899999989</v>
      </c>
      <c r="G27" s="343">
        <f>' Aço Vigas '!N19+' Aço Vigas '!N20</f>
        <v>2810.9103300000038</v>
      </c>
      <c r="H27" s="343">
        <f>' Aço Vigas '!O19+' Aço Vigas '!O20</f>
        <v>1790.5250400000002</v>
      </c>
      <c r="I27" s="343">
        <f>' Aço Vigas '!P19+' Aço Vigas '!P20</f>
        <v>479.52500000000009</v>
      </c>
      <c r="J27" s="466">
        <f>' Aço Vigas '!Q19+' Aço Vigas '!Q20</f>
        <v>377.68500000000006</v>
      </c>
      <c r="K27" t="s">
        <v>112</v>
      </c>
      <c r="L27" s="214"/>
      <c r="M27" s="62"/>
      <c r="N27" s="62"/>
      <c r="O27" s="62"/>
    </row>
    <row r="28" spans="1:15" ht="28.8" x14ac:dyDescent="0.3">
      <c r="A28" s="601" t="s">
        <v>2076</v>
      </c>
      <c r="B28" s="343">
        <v>0</v>
      </c>
      <c r="C28" s="343">
        <f>'Aço Pilares'!K18+'Aço Pilares'!K19</f>
        <v>2145.9345599999965</v>
      </c>
      <c r="D28" s="343">
        <f>'Aço Pilares'!L18+'Aço Pilares'!L19</f>
        <v>0</v>
      </c>
      <c r="E28" s="343">
        <f>'Aço Pilares'!M18+'Aço Pilares'!M19</f>
        <v>3.3574999999999999</v>
      </c>
      <c r="F28" s="343">
        <f>'Aço Pilares'!N18+'Aço Pilares'!N19</f>
        <v>2212.6977400000001</v>
      </c>
      <c r="G28" s="343">
        <f>'Aço Pilares'!O18+'Aço Pilares'!O19</f>
        <v>2128.3455599999998</v>
      </c>
      <c r="H28" s="343">
        <f>'Aço Pilares'!P18+'Aço Pilares'!P19</f>
        <v>2472.5050800000008</v>
      </c>
      <c r="I28" s="343">
        <f>'Aço Pilares'!Q18+'Aço Pilares'!Q19</f>
        <v>1545.9847200000002</v>
      </c>
      <c r="J28" s="343">
        <v>0</v>
      </c>
      <c r="L28" s="1" t="s">
        <v>83</v>
      </c>
      <c r="M28" s="62"/>
      <c r="N28" s="62"/>
      <c r="O28" s="62"/>
    </row>
    <row r="29" spans="1:15" ht="15" thickBot="1" x14ac:dyDescent="0.35">
      <c r="A29" s="140" t="s">
        <v>60</v>
      </c>
      <c r="B29" s="278">
        <f t="shared" ref="B29:G29" si="0">SUM(B28,B26:B27)</f>
        <v>0</v>
      </c>
      <c r="C29" s="278">
        <f t="shared" si="0"/>
        <v>4719.9321399999972</v>
      </c>
      <c r="D29" s="278">
        <f t="shared" si="0"/>
        <v>490.88199999999995</v>
      </c>
      <c r="E29" s="278">
        <f t="shared" si="0"/>
        <v>1813.8360500000006</v>
      </c>
      <c r="F29" s="278">
        <f t="shared" si="0"/>
        <v>5137.8762299999989</v>
      </c>
      <c r="G29" s="278">
        <f t="shared" si="0"/>
        <v>4939.255890000004</v>
      </c>
      <c r="H29" s="607">
        <f>SUM(H28,H26:H27)</f>
        <v>4263.0301200000013</v>
      </c>
      <c r="I29" s="607">
        <f>SUM(I28,I26:I27)</f>
        <v>2025.5097200000002</v>
      </c>
      <c r="J29" s="278">
        <f>SUM(J28,J26:J27)</f>
        <v>377.68500000000006</v>
      </c>
      <c r="L29" s="8">
        <f>SUM(B29:H29)</f>
        <v>21364.812430000005</v>
      </c>
      <c r="M29" s="62"/>
      <c r="N29" s="62"/>
      <c r="O29" s="62"/>
    </row>
    <row r="31" spans="1:15" x14ac:dyDescent="0.3">
      <c r="J31" s="213"/>
      <c r="K31" s="1"/>
    </row>
    <row r="32" spans="1:15" x14ac:dyDescent="0.3">
      <c r="C32" s="636">
        <f>SUM(C27:C28)</f>
        <v>4635.0042199999971</v>
      </c>
      <c r="D32" s="636">
        <f t="shared" ref="D32:J32" si="1">SUM(D27:D28)</f>
        <v>136.39885000000004</v>
      </c>
      <c r="E32" s="636">
        <f t="shared" si="1"/>
        <v>1813.8360500000006</v>
      </c>
      <c r="F32" s="636">
        <f t="shared" si="1"/>
        <v>5137.8762299999989</v>
      </c>
      <c r="G32" s="636">
        <f t="shared" si="1"/>
        <v>4939.255890000004</v>
      </c>
      <c r="H32" s="636">
        <f t="shared" si="1"/>
        <v>4263.0301200000013</v>
      </c>
      <c r="I32" s="636">
        <f t="shared" si="1"/>
        <v>2025.5097200000002</v>
      </c>
      <c r="J32" s="636">
        <f t="shared" si="1"/>
        <v>377.68500000000006</v>
      </c>
    </row>
    <row r="33" spans="10:10" x14ac:dyDescent="0.3">
      <c r="J33" s="213"/>
    </row>
  </sheetData>
  <mergeCells count="5">
    <mergeCell ref="A1:G1"/>
    <mergeCell ref="A13:G13"/>
    <mergeCell ref="A8:G8"/>
    <mergeCell ref="A3:G3"/>
    <mergeCell ref="A18:H18"/>
  </mergeCells>
  <pageMargins left="1.17" right="0.511811024" top="0.78740157499999996" bottom="0.78740157499999996" header="0.31496062000000002" footer="0.31496062000000002"/>
  <pageSetup paperSize="9" scale="8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89D3C-6B9F-489D-AB64-0261774F38D2}">
  <dimension ref="A1:Z92"/>
  <sheetViews>
    <sheetView tabSelected="1" view="pageBreakPreview" topLeftCell="A73" zoomScale="80" zoomScaleNormal="100" zoomScaleSheetLayoutView="80" workbookViewId="0">
      <selection activeCell="H77" sqref="H77:H80"/>
    </sheetView>
  </sheetViews>
  <sheetFormatPr defaultColWidth="9.109375" defaultRowHeight="13.2" x14ac:dyDescent="0.25"/>
  <cols>
    <col min="1" max="1" width="9.109375" style="429"/>
    <col min="2" max="2" width="11.109375" style="442" customWidth="1"/>
    <col min="3" max="3" width="87.33203125" style="432" customWidth="1"/>
    <col min="4" max="4" width="11" style="430" bestFit="1" customWidth="1"/>
    <col min="5" max="5" width="14.88671875" style="451" customWidth="1"/>
    <col min="6" max="6" width="26.33203125" style="429" customWidth="1"/>
    <col min="7" max="7" width="7.5546875" style="452" customWidth="1"/>
    <col min="8" max="8" width="17.88671875" style="453" customWidth="1"/>
    <col min="9" max="9" width="10.109375" style="454" customWidth="1"/>
    <col min="10" max="10" width="9.109375" style="430"/>
    <col min="11" max="12" width="9.109375" style="429"/>
    <col min="13" max="14" width="11.5546875" style="429" bestFit="1" customWidth="1"/>
    <col min="15" max="15" width="9.109375" style="429"/>
    <col min="16" max="16" width="11.5546875" style="429" bestFit="1" customWidth="1"/>
    <col min="17" max="16384" width="9.109375" style="429"/>
  </cols>
  <sheetData>
    <row r="1" spans="1:11" s="409" customFormat="1" ht="14.25" customHeight="1" x14ac:dyDescent="0.25">
      <c r="B1" s="884" t="s">
        <v>36</v>
      </c>
      <c r="C1" s="885"/>
      <c r="D1" s="885"/>
      <c r="E1" s="885"/>
      <c r="F1" s="885"/>
      <c r="G1" s="885"/>
      <c r="H1" s="885"/>
      <c r="I1" s="886"/>
      <c r="J1" s="410"/>
    </row>
    <row r="2" spans="1:11" s="409" customFormat="1" ht="14.25" customHeight="1" x14ac:dyDescent="0.25">
      <c r="B2" s="887" t="s">
        <v>37</v>
      </c>
      <c r="C2" s="888"/>
      <c r="D2" s="888"/>
      <c r="E2" s="888"/>
      <c r="F2" s="888"/>
      <c r="G2" s="888"/>
      <c r="H2" s="888"/>
      <c r="I2" s="889"/>
      <c r="J2" s="410"/>
    </row>
    <row r="3" spans="1:11" s="409" customFormat="1" ht="14.25" customHeight="1" x14ac:dyDescent="0.25">
      <c r="B3" s="887" t="s">
        <v>121</v>
      </c>
      <c r="C3" s="888"/>
      <c r="D3" s="888"/>
      <c r="E3" s="888"/>
      <c r="F3" s="888"/>
      <c r="G3" s="888"/>
      <c r="H3" s="888"/>
      <c r="I3" s="889"/>
      <c r="J3" s="410"/>
    </row>
    <row r="4" spans="1:11" s="409" customFormat="1" ht="14.25" customHeight="1" x14ac:dyDescent="0.25">
      <c r="B4" s="890" t="s">
        <v>122</v>
      </c>
      <c r="C4" s="891"/>
      <c r="D4" s="891"/>
      <c r="E4" s="891"/>
      <c r="F4" s="891"/>
      <c r="G4" s="891"/>
      <c r="H4" s="891"/>
      <c r="I4" s="892"/>
      <c r="J4" s="410"/>
    </row>
    <row r="5" spans="1:11" s="409" customFormat="1" ht="14.25" customHeight="1" x14ac:dyDescent="0.25">
      <c r="B5" s="887" t="s">
        <v>123</v>
      </c>
      <c r="C5" s="888"/>
      <c r="D5" s="888"/>
      <c r="E5" s="888"/>
      <c r="F5" s="888"/>
      <c r="G5" s="888"/>
      <c r="H5" s="888"/>
      <c r="I5" s="889"/>
      <c r="J5" s="410"/>
    </row>
    <row r="6" spans="1:11" s="409" customFormat="1" ht="14.25" customHeight="1" x14ac:dyDescent="0.25">
      <c r="B6" s="887" t="s">
        <v>124</v>
      </c>
      <c r="C6" s="888"/>
      <c r="D6" s="888"/>
      <c r="E6" s="888"/>
      <c r="F6" s="888"/>
      <c r="G6" s="888"/>
      <c r="H6" s="888"/>
      <c r="I6" s="889"/>
      <c r="J6" s="410"/>
    </row>
    <row r="7" spans="1:11" s="409" customFormat="1" ht="14.25" customHeight="1" x14ac:dyDescent="0.25">
      <c r="B7" s="411"/>
      <c r="C7" s="412"/>
      <c r="D7" s="413"/>
      <c r="E7" s="413"/>
      <c r="F7" s="413"/>
      <c r="G7" s="413"/>
      <c r="H7" s="414"/>
      <c r="J7" s="415"/>
      <c r="K7" s="416" t="s">
        <v>125</v>
      </c>
    </row>
    <row r="8" spans="1:11" s="409" customFormat="1" ht="14.25" customHeight="1" x14ac:dyDescent="0.25">
      <c r="B8" s="411"/>
      <c r="C8" s="896"/>
      <c r="D8" s="896"/>
      <c r="E8" s="896"/>
      <c r="F8" s="896"/>
      <c r="G8" s="896"/>
      <c r="H8" s="896"/>
      <c r="J8" s="417"/>
      <c r="K8" s="416" t="s">
        <v>126</v>
      </c>
    </row>
    <row r="9" spans="1:11" s="409" customFormat="1" ht="20.100000000000001" customHeight="1" x14ac:dyDescent="0.25">
      <c r="B9" s="411"/>
      <c r="C9" s="696" t="s">
        <v>160</v>
      </c>
      <c r="D9" s="696"/>
      <c r="E9" s="696"/>
      <c r="F9" s="696"/>
      <c r="G9" s="696"/>
      <c r="H9" s="696"/>
      <c r="I9" s="696"/>
      <c r="J9" s="696"/>
      <c r="K9" s="416" t="s">
        <v>127</v>
      </c>
    </row>
    <row r="10" spans="1:11" s="409" customFormat="1" ht="14.25" customHeight="1" x14ac:dyDescent="0.25">
      <c r="B10" s="411"/>
      <c r="C10" s="657" t="s">
        <v>161</v>
      </c>
      <c r="D10" s="657"/>
      <c r="E10" s="657"/>
      <c r="F10" s="657"/>
      <c r="G10" s="657"/>
      <c r="H10" s="657"/>
      <c r="I10" s="657"/>
      <c r="J10" s="657"/>
      <c r="K10" s="416" t="s">
        <v>128</v>
      </c>
    </row>
    <row r="11" spans="1:11" s="409" customFormat="1" ht="15" customHeight="1" x14ac:dyDescent="0.25">
      <c r="B11" s="411"/>
      <c r="C11" s="897"/>
      <c r="D11" s="898"/>
      <c r="E11" s="898"/>
      <c r="F11" s="898"/>
      <c r="G11" s="898"/>
      <c r="H11" s="418"/>
      <c r="J11" s="419"/>
      <c r="K11" s="416" t="s">
        <v>129</v>
      </c>
    </row>
    <row r="12" spans="1:11" s="409" customFormat="1" ht="15" customHeight="1" x14ac:dyDescent="0.25">
      <c r="B12" s="420"/>
      <c r="C12" s="421"/>
      <c r="D12" s="412"/>
      <c r="E12" s="412"/>
      <c r="F12" s="412"/>
      <c r="G12" s="412"/>
      <c r="H12" s="418"/>
      <c r="J12" s="422"/>
      <c r="K12" s="416" t="s">
        <v>130</v>
      </c>
    </row>
    <row r="13" spans="1:11" s="409" customFormat="1" ht="15" customHeight="1" x14ac:dyDescent="0.25">
      <c r="B13" s="420"/>
      <c r="C13" s="421"/>
      <c r="D13" s="412"/>
      <c r="E13" s="412"/>
      <c r="F13" s="412"/>
      <c r="G13" s="412"/>
      <c r="H13" s="418"/>
      <c r="J13" s="423"/>
      <c r="K13" s="416" t="s">
        <v>131</v>
      </c>
    </row>
    <row r="14" spans="1:11" s="409" customFormat="1" ht="15" customHeight="1" thickBot="1" x14ac:dyDescent="0.3">
      <c r="B14" s="424"/>
      <c r="C14" s="425"/>
      <c r="D14" s="426"/>
      <c r="E14" s="426"/>
      <c r="F14" s="426"/>
      <c r="G14" s="426"/>
      <c r="H14" s="427"/>
      <c r="J14" s="428"/>
      <c r="K14" s="416" t="s">
        <v>132</v>
      </c>
    </row>
    <row r="15" spans="1:11" ht="30" customHeight="1" thickBot="1" x14ac:dyDescent="0.3">
      <c r="B15" s="899" t="s">
        <v>133</v>
      </c>
      <c r="C15" s="900"/>
      <c r="D15" s="900"/>
      <c r="E15" s="900"/>
      <c r="F15" s="900"/>
      <c r="G15" s="900"/>
      <c r="H15" s="900"/>
      <c r="I15" s="901"/>
    </row>
    <row r="16" spans="1:11" ht="14.4" thickTop="1" thickBot="1" x14ac:dyDescent="0.3">
      <c r="A16" s="431"/>
      <c r="B16" s="434">
        <v>4</v>
      </c>
      <c r="C16" s="893" t="s">
        <v>134</v>
      </c>
      <c r="D16" s="894"/>
      <c r="E16" s="894"/>
      <c r="F16" s="894"/>
      <c r="G16" s="894"/>
      <c r="H16" s="894"/>
      <c r="I16" s="895"/>
      <c r="J16" s="430">
        <v>4</v>
      </c>
    </row>
    <row r="17" spans="1:16" ht="45" customHeight="1" thickTop="1" thickBot="1" x14ac:dyDescent="0.3">
      <c r="A17" s="431"/>
      <c r="B17" s="621">
        <v>96521</v>
      </c>
      <c r="C17" s="622" t="s">
        <v>2080</v>
      </c>
      <c r="D17" s="868" t="s">
        <v>135</v>
      </c>
      <c r="E17" s="869"/>
      <c r="F17" s="869"/>
      <c r="G17" s="870"/>
      <c r="H17" s="623">
        <f>'RESUMO LEV.'!B5</f>
        <v>645.63196625000216</v>
      </c>
      <c r="I17" s="624" t="s">
        <v>15</v>
      </c>
    </row>
    <row r="18" spans="1:16" ht="45" customHeight="1" thickTop="1" thickBot="1" x14ac:dyDescent="0.3">
      <c r="A18" s="431"/>
      <c r="B18" s="621">
        <v>96525</v>
      </c>
      <c r="C18" s="622" t="s">
        <v>2081</v>
      </c>
      <c r="D18" s="868" t="s">
        <v>135</v>
      </c>
      <c r="E18" s="869"/>
      <c r="F18" s="869"/>
      <c r="G18" s="870"/>
      <c r="H18" s="623">
        <f>'RESUMO LEV.'!B6</f>
        <v>197.77207500000006</v>
      </c>
      <c r="I18" s="624" t="s">
        <v>15</v>
      </c>
    </row>
    <row r="19" spans="1:16" ht="61.95" customHeight="1" thickTop="1" thickBot="1" x14ac:dyDescent="0.3">
      <c r="A19" s="431"/>
      <c r="B19" s="621">
        <v>93379</v>
      </c>
      <c r="C19" s="622" t="s">
        <v>2082</v>
      </c>
      <c r="D19" s="868" t="s">
        <v>135</v>
      </c>
      <c r="E19" s="869"/>
      <c r="F19" s="869"/>
      <c r="G19" s="870"/>
      <c r="H19" s="623">
        <v>1343</v>
      </c>
      <c r="I19" s="624" t="s">
        <v>15</v>
      </c>
    </row>
    <row r="20" spans="1:16" ht="14.4" thickTop="1" thickBot="1" x14ac:dyDescent="0.3">
      <c r="A20" s="431"/>
      <c r="B20" s="434">
        <v>5</v>
      </c>
      <c r="C20" s="893" t="s">
        <v>136</v>
      </c>
      <c r="D20" s="894"/>
      <c r="E20" s="894"/>
      <c r="F20" s="894"/>
      <c r="G20" s="894"/>
      <c r="H20" s="894"/>
      <c r="I20" s="895"/>
      <c r="J20" s="430">
        <v>5</v>
      </c>
    </row>
    <row r="21" spans="1:16" ht="14.4" thickTop="1" thickBot="1" x14ac:dyDescent="0.3">
      <c r="A21" s="431"/>
      <c r="B21" s="435" t="s">
        <v>137</v>
      </c>
      <c r="C21" s="436" t="s">
        <v>2084</v>
      </c>
      <c r="D21" s="437"/>
      <c r="E21" s="437"/>
      <c r="F21" s="437"/>
      <c r="G21" s="437"/>
      <c r="H21" s="437"/>
      <c r="I21" s="438"/>
      <c r="J21" s="430">
        <v>5</v>
      </c>
    </row>
    <row r="22" spans="1:16" s="433" customFormat="1" ht="40.799999999999997" thickTop="1" thickBot="1" x14ac:dyDescent="0.3">
      <c r="A22" s="431"/>
      <c r="B22" s="621" t="s">
        <v>2104</v>
      </c>
      <c r="C22" s="622" t="s">
        <v>2103</v>
      </c>
      <c r="D22" s="868" t="s">
        <v>135</v>
      </c>
      <c r="E22" s="869"/>
      <c r="F22" s="869"/>
      <c r="G22" s="870"/>
      <c r="H22" s="625">
        <f>'RESUMO LEV.'!H4</f>
        <v>1343.4499999999962</v>
      </c>
      <c r="I22" s="624" t="s">
        <v>2110</v>
      </c>
      <c r="J22" s="645" t="s">
        <v>2105</v>
      </c>
    </row>
    <row r="23" spans="1:16" s="433" customFormat="1" ht="27.6" thickTop="1" thickBot="1" x14ac:dyDescent="0.3">
      <c r="A23" s="431"/>
      <c r="B23" s="621">
        <v>95601</v>
      </c>
      <c r="C23" s="622" t="s">
        <v>2111</v>
      </c>
      <c r="D23" s="868" t="s">
        <v>135</v>
      </c>
      <c r="E23" s="869"/>
      <c r="F23" s="869"/>
      <c r="G23" s="870"/>
      <c r="H23" s="625">
        <f>'RESUMO LEV.'!I4</f>
        <v>330</v>
      </c>
      <c r="I23" s="624" t="s">
        <v>2112</v>
      </c>
      <c r="J23" s="439"/>
    </row>
    <row r="24" spans="1:16" s="433" customFormat="1" ht="27.6" thickTop="1" thickBot="1" x14ac:dyDescent="0.3">
      <c r="A24" s="431"/>
      <c r="B24" s="621">
        <v>95583</v>
      </c>
      <c r="C24" s="622" t="s">
        <v>2113</v>
      </c>
      <c r="D24" s="868" t="s">
        <v>135</v>
      </c>
      <c r="E24" s="869"/>
      <c r="F24" s="869"/>
      <c r="G24" s="870"/>
      <c r="H24" s="625">
        <f>'RESUMO AÇO'!B6</f>
        <v>1213.1812</v>
      </c>
      <c r="I24" s="624" t="s">
        <v>2112</v>
      </c>
      <c r="J24" s="439"/>
    </row>
    <row r="25" spans="1:16" s="433" customFormat="1" ht="14.4" thickTop="1" thickBot="1" x14ac:dyDescent="0.3">
      <c r="A25" s="431"/>
      <c r="B25" s="621">
        <v>95577</v>
      </c>
      <c r="C25" s="622" t="s">
        <v>2114</v>
      </c>
      <c r="D25" s="868" t="s">
        <v>135</v>
      </c>
      <c r="E25" s="869"/>
      <c r="F25" s="869"/>
      <c r="G25" s="870"/>
      <c r="H25" s="625">
        <f>'RESUMO AÇO'!E6</f>
        <v>4166.2307999999994</v>
      </c>
      <c r="I25" s="624" t="s">
        <v>2112</v>
      </c>
      <c r="J25" s="439"/>
    </row>
    <row r="26" spans="1:16" ht="14.4" thickTop="1" thickBot="1" x14ac:dyDescent="0.3">
      <c r="A26" s="431"/>
      <c r="B26" s="435" t="s">
        <v>141</v>
      </c>
      <c r="C26" s="436" t="s">
        <v>1207</v>
      </c>
      <c r="D26" s="437"/>
      <c r="E26" s="437"/>
      <c r="F26" s="437"/>
      <c r="G26" s="437"/>
      <c r="H26" s="437"/>
      <c r="I26" s="438"/>
      <c r="J26" s="430">
        <v>5</v>
      </c>
    </row>
    <row r="27" spans="1:16" s="433" customFormat="1" ht="27.6" thickTop="1" thickBot="1" x14ac:dyDescent="0.3">
      <c r="A27" s="431"/>
      <c r="B27" s="621">
        <v>96619</v>
      </c>
      <c r="C27" s="622" t="s">
        <v>138</v>
      </c>
      <c r="D27" s="868" t="s">
        <v>135</v>
      </c>
      <c r="E27" s="869"/>
      <c r="F27" s="869"/>
      <c r="G27" s="870"/>
      <c r="H27" s="625">
        <f>'RESUMO LEV.'!F5/0.05</f>
        <v>207.89039999999923</v>
      </c>
      <c r="I27" s="624" t="s">
        <v>14</v>
      </c>
      <c r="J27" s="439"/>
    </row>
    <row r="28" spans="1:16" s="433" customFormat="1" ht="27.6" thickTop="1" thickBot="1" x14ac:dyDescent="0.3">
      <c r="A28" s="431"/>
      <c r="B28" s="621">
        <v>96534</v>
      </c>
      <c r="C28" s="622" t="s">
        <v>2083</v>
      </c>
      <c r="D28" s="868" t="s">
        <v>135</v>
      </c>
      <c r="E28" s="869"/>
      <c r="F28" s="869"/>
      <c r="G28" s="870"/>
      <c r="H28" s="625">
        <f>'RESUMO LEV.'!D5</f>
        <v>627.32350000000167</v>
      </c>
      <c r="I28" s="624" t="s">
        <v>14</v>
      </c>
      <c r="J28" s="439"/>
    </row>
    <row r="29" spans="1:16" s="433" customFormat="1" ht="14.4" thickTop="1" thickBot="1" x14ac:dyDescent="0.3">
      <c r="A29" s="431"/>
      <c r="B29" s="621">
        <v>96543</v>
      </c>
      <c r="C29" s="622" t="s">
        <v>2086</v>
      </c>
      <c r="D29" s="868" t="s">
        <v>135</v>
      </c>
      <c r="E29" s="869"/>
      <c r="F29" s="869"/>
      <c r="G29" s="870"/>
      <c r="H29" s="625">
        <f>'RESUMO AÇO'!B11</f>
        <v>22.397759999999998</v>
      </c>
      <c r="I29" s="624" t="s">
        <v>84</v>
      </c>
      <c r="J29" s="439"/>
      <c r="M29" s="440">
        <v>44369</v>
      </c>
      <c r="N29" s="440">
        <f>P29-O29</f>
        <v>44459</v>
      </c>
      <c r="O29" s="433">
        <v>105</v>
      </c>
      <c r="P29" s="440">
        <v>44564</v>
      </c>
    </row>
    <row r="30" spans="1:16" s="433" customFormat="1" ht="14.4" thickTop="1" thickBot="1" x14ac:dyDescent="0.3">
      <c r="A30" s="431"/>
      <c r="B30" s="621">
        <v>96544</v>
      </c>
      <c r="C30" s="622" t="s">
        <v>2087</v>
      </c>
      <c r="D30" s="868" t="s">
        <v>135</v>
      </c>
      <c r="E30" s="869"/>
      <c r="F30" s="869"/>
      <c r="G30" s="870"/>
      <c r="H30" s="625">
        <f>'RESUMO AÇO'!C11</f>
        <v>223.72910000000002</v>
      </c>
      <c r="I30" s="624" t="s">
        <v>84</v>
      </c>
      <c r="J30" s="439"/>
      <c r="N30" s="433">
        <f>N29-M29</f>
        <v>90</v>
      </c>
    </row>
    <row r="31" spans="1:16" s="433" customFormat="1" ht="14.4" thickTop="1" thickBot="1" x14ac:dyDescent="0.3">
      <c r="A31" s="431"/>
      <c r="B31" s="621">
        <v>96545</v>
      </c>
      <c r="C31" s="626" t="s">
        <v>2088</v>
      </c>
      <c r="D31" s="868" t="s">
        <v>135</v>
      </c>
      <c r="E31" s="869"/>
      <c r="F31" s="869"/>
      <c r="G31" s="870"/>
      <c r="H31" s="627">
        <f>'RESUMO AÇO'!D11</f>
        <v>3153.9802</v>
      </c>
      <c r="I31" s="624" t="s">
        <v>84</v>
      </c>
      <c r="J31" s="439"/>
    </row>
    <row r="32" spans="1:16" s="433" customFormat="1" ht="14.4" thickTop="1" thickBot="1" x14ac:dyDescent="0.3">
      <c r="A32" s="431"/>
      <c r="B32" s="621">
        <v>96546</v>
      </c>
      <c r="C32" s="626" t="s">
        <v>2089</v>
      </c>
      <c r="D32" s="868" t="s">
        <v>135</v>
      </c>
      <c r="E32" s="869"/>
      <c r="F32" s="869"/>
      <c r="G32" s="870"/>
      <c r="H32" s="627">
        <f>'RESUMO AÇO'!E11</f>
        <v>199.43908000000002</v>
      </c>
      <c r="I32" s="624" t="s">
        <v>84</v>
      </c>
      <c r="J32" s="439"/>
    </row>
    <row r="33" spans="1:10" s="433" customFormat="1" ht="27.6" thickTop="1" thickBot="1" x14ac:dyDescent="0.3">
      <c r="A33" s="431"/>
      <c r="B33" s="621">
        <v>104920</v>
      </c>
      <c r="C33" s="626" t="s">
        <v>2090</v>
      </c>
      <c r="D33" s="868" t="s">
        <v>135</v>
      </c>
      <c r="E33" s="869"/>
      <c r="F33" s="869"/>
      <c r="G33" s="870"/>
      <c r="H33" s="627">
        <f>'RESUMO AÇO'!F11</f>
        <v>898.06490999999983</v>
      </c>
      <c r="I33" s="624" t="s">
        <v>84</v>
      </c>
      <c r="J33" s="439"/>
    </row>
    <row r="34" spans="1:10" s="433" customFormat="1" ht="27.6" thickTop="1" thickBot="1" x14ac:dyDescent="0.3">
      <c r="A34" s="431"/>
      <c r="B34" s="621">
        <v>104921</v>
      </c>
      <c r="C34" s="626" t="s">
        <v>2091</v>
      </c>
      <c r="D34" s="868" t="s">
        <v>135</v>
      </c>
      <c r="E34" s="869"/>
      <c r="F34" s="869"/>
      <c r="G34" s="870"/>
      <c r="H34" s="627">
        <f>'RESUMO AÇO'!G11</f>
        <v>403.33680000000004</v>
      </c>
      <c r="I34" s="624" t="s">
        <v>84</v>
      </c>
      <c r="J34" s="439"/>
    </row>
    <row r="35" spans="1:10" s="433" customFormat="1" ht="27.6" thickTop="1" thickBot="1" x14ac:dyDescent="0.3">
      <c r="A35" s="431"/>
      <c r="B35" s="621" t="s">
        <v>139</v>
      </c>
      <c r="C35" s="628" t="s">
        <v>140</v>
      </c>
      <c r="D35" s="868" t="s">
        <v>135</v>
      </c>
      <c r="E35" s="869"/>
      <c r="F35" s="869"/>
      <c r="G35" s="870"/>
      <c r="H35" s="625">
        <f>'RESUMO LEV.'!E5</f>
        <v>145.11179250000001</v>
      </c>
      <c r="I35" s="624" t="s">
        <v>15</v>
      </c>
      <c r="J35" s="439"/>
    </row>
    <row r="36" spans="1:10" ht="14.4" thickTop="1" thickBot="1" x14ac:dyDescent="0.3">
      <c r="A36" s="431"/>
      <c r="B36" s="441" t="s">
        <v>2085</v>
      </c>
      <c r="C36" s="874" t="s">
        <v>142</v>
      </c>
      <c r="D36" s="875"/>
      <c r="E36" s="875"/>
      <c r="F36" s="875"/>
      <c r="G36" s="875"/>
      <c r="H36" s="875"/>
      <c r="I36" s="876"/>
      <c r="J36" s="430">
        <v>5</v>
      </c>
    </row>
    <row r="37" spans="1:10" s="433" customFormat="1" ht="27.6" thickTop="1" thickBot="1" x14ac:dyDescent="0.3">
      <c r="A37" s="431"/>
      <c r="B37" s="621">
        <v>96619</v>
      </c>
      <c r="C37" s="622" t="s">
        <v>138</v>
      </c>
      <c r="D37" s="868" t="s">
        <v>135</v>
      </c>
      <c r="E37" s="869"/>
      <c r="F37" s="869"/>
      <c r="G37" s="870"/>
      <c r="H37" s="625">
        <f>'RESUMO LEV.'!F6/0.05</f>
        <v>251.30099999999993</v>
      </c>
      <c r="I37" s="624" t="s">
        <v>14</v>
      </c>
      <c r="J37" s="439"/>
    </row>
    <row r="38" spans="1:10" s="433" customFormat="1" ht="27.6" thickTop="1" thickBot="1" x14ac:dyDescent="0.3">
      <c r="A38" s="431"/>
      <c r="B38" s="621">
        <v>96536</v>
      </c>
      <c r="C38" s="622" t="s">
        <v>2092</v>
      </c>
      <c r="D38" s="868" t="s">
        <v>135</v>
      </c>
      <c r="E38" s="869"/>
      <c r="F38" s="869"/>
      <c r="G38" s="870"/>
      <c r="H38" s="625">
        <f>'RESUMO LEV.'!D6</f>
        <v>1288.8279999999991</v>
      </c>
      <c r="I38" s="624" t="s">
        <v>14</v>
      </c>
      <c r="J38" s="439"/>
    </row>
    <row r="39" spans="1:10" s="433" customFormat="1" ht="27.6" thickTop="1" thickBot="1" x14ac:dyDescent="0.3">
      <c r="A39" s="431"/>
      <c r="B39" s="621">
        <v>92759</v>
      </c>
      <c r="C39" s="626" t="s">
        <v>153</v>
      </c>
      <c r="D39" s="868" t="s">
        <v>135</v>
      </c>
      <c r="E39" s="869"/>
      <c r="F39" s="869"/>
      <c r="G39" s="870"/>
      <c r="H39" s="629">
        <f>'RESUMO AÇO'!B21</f>
        <v>568.18453999999906</v>
      </c>
      <c r="I39" s="624" t="s">
        <v>84</v>
      </c>
      <c r="J39" s="439"/>
    </row>
    <row r="40" spans="1:10" s="433" customFormat="1" ht="27.6" thickTop="1" thickBot="1" x14ac:dyDescent="0.3">
      <c r="A40" s="431"/>
      <c r="B40" s="621">
        <v>92761</v>
      </c>
      <c r="C40" s="626" t="s">
        <v>149</v>
      </c>
      <c r="D40" s="868" t="s">
        <v>135</v>
      </c>
      <c r="E40" s="869"/>
      <c r="F40" s="869"/>
      <c r="G40" s="870"/>
      <c r="H40" s="627">
        <f>'RESUMO AÇO'!D21</f>
        <v>4.6452</v>
      </c>
      <c r="I40" s="624" t="s">
        <v>84</v>
      </c>
      <c r="J40" s="439"/>
    </row>
    <row r="41" spans="1:10" ht="27.6" thickTop="1" thickBot="1" x14ac:dyDescent="0.3">
      <c r="A41" s="431"/>
      <c r="B41" s="621">
        <v>92762</v>
      </c>
      <c r="C41" s="626" t="s">
        <v>150</v>
      </c>
      <c r="D41" s="868" t="s">
        <v>135</v>
      </c>
      <c r="E41" s="869"/>
      <c r="F41" s="869"/>
      <c r="G41" s="870"/>
      <c r="H41" s="627">
        <f>'RESUMO AÇO'!E21</f>
        <v>781.02327999999943</v>
      </c>
      <c r="I41" s="624" t="s">
        <v>84</v>
      </c>
      <c r="J41" s="442"/>
    </row>
    <row r="42" spans="1:10" ht="27.6" thickTop="1" thickBot="1" x14ac:dyDescent="0.3">
      <c r="A42" s="431"/>
      <c r="B42" s="621">
        <v>92763</v>
      </c>
      <c r="C42" s="626" t="s">
        <v>144</v>
      </c>
      <c r="D42" s="868" t="s">
        <v>135</v>
      </c>
      <c r="E42" s="869"/>
      <c r="F42" s="869"/>
      <c r="G42" s="870"/>
      <c r="H42" s="627">
        <f>'RESUMO AÇO'!F21</f>
        <v>680.34023999999988</v>
      </c>
      <c r="I42" s="624" t="s">
        <v>84</v>
      </c>
      <c r="J42" s="442"/>
    </row>
    <row r="43" spans="1:10" ht="27.6" thickTop="1" thickBot="1" x14ac:dyDescent="0.3">
      <c r="A43" s="431"/>
      <c r="B43" s="621">
        <v>92764</v>
      </c>
      <c r="C43" s="626" t="s">
        <v>2094</v>
      </c>
      <c r="D43" s="868" t="s">
        <v>135</v>
      </c>
      <c r="E43" s="869"/>
      <c r="F43" s="869"/>
      <c r="G43" s="870"/>
      <c r="H43" s="627">
        <f>'RESUMO AÇO'!G21</f>
        <v>861.90359999999976</v>
      </c>
      <c r="I43" s="624" t="s">
        <v>84</v>
      </c>
      <c r="J43" s="442"/>
    </row>
    <row r="44" spans="1:10" ht="27.6" thickTop="1" thickBot="1" x14ac:dyDescent="0.3">
      <c r="A44" s="431"/>
      <c r="B44" s="621">
        <v>92765</v>
      </c>
      <c r="C44" s="626" t="s">
        <v>2095</v>
      </c>
      <c r="D44" s="868" t="s">
        <v>135</v>
      </c>
      <c r="E44" s="869"/>
      <c r="F44" s="869"/>
      <c r="G44" s="870"/>
      <c r="H44" s="627">
        <f>'RESUMO AÇO'!H21</f>
        <v>549.17820000000006</v>
      </c>
      <c r="I44" s="624" t="s">
        <v>84</v>
      </c>
      <c r="J44" s="442"/>
    </row>
    <row r="45" spans="1:10" s="433" customFormat="1" ht="27.6" thickTop="1" thickBot="1" x14ac:dyDescent="0.3">
      <c r="A45" s="431"/>
      <c r="B45" s="621">
        <v>104916</v>
      </c>
      <c r="C45" s="622" t="s">
        <v>157</v>
      </c>
      <c r="D45" s="868" t="s">
        <v>135</v>
      </c>
      <c r="E45" s="869"/>
      <c r="F45" s="869"/>
      <c r="G45" s="870"/>
      <c r="H45" s="625">
        <f>'RESUMO AÇO'!B16</f>
        <v>1176.9973599999989</v>
      </c>
      <c r="I45" s="624" t="s">
        <v>84</v>
      </c>
      <c r="J45" s="439"/>
    </row>
    <row r="46" spans="1:10" s="433" customFormat="1" ht="27.6" thickTop="1" thickBot="1" x14ac:dyDescent="0.3">
      <c r="A46" s="431"/>
      <c r="B46" s="621">
        <v>104917</v>
      </c>
      <c r="C46" s="622" t="s">
        <v>2093</v>
      </c>
      <c r="D46" s="868" t="s">
        <v>135</v>
      </c>
      <c r="E46" s="869"/>
      <c r="F46" s="869"/>
      <c r="G46" s="870"/>
      <c r="H46" s="625">
        <f>'RESUMO AÇO'!C16</f>
        <v>1.0437000000000001</v>
      </c>
      <c r="I46" s="624" t="s">
        <v>84</v>
      </c>
      <c r="J46" s="439"/>
    </row>
    <row r="47" spans="1:10" s="433" customFormat="1" ht="27.6" thickTop="1" thickBot="1" x14ac:dyDescent="0.3">
      <c r="A47" s="431"/>
      <c r="B47" s="621">
        <v>104918</v>
      </c>
      <c r="C47" s="622" t="s">
        <v>155</v>
      </c>
      <c r="D47" s="868" t="s">
        <v>135</v>
      </c>
      <c r="E47" s="869"/>
      <c r="F47" s="869"/>
      <c r="G47" s="870"/>
      <c r="H47" s="625">
        <f>'RESUMO AÇO'!D16</f>
        <v>2304.2245999999973</v>
      </c>
      <c r="I47" s="624" t="s">
        <v>84</v>
      </c>
      <c r="J47" s="439"/>
    </row>
    <row r="48" spans="1:10" s="433" customFormat="1" ht="27.6" thickTop="1" thickBot="1" x14ac:dyDescent="0.3">
      <c r="A48" s="431"/>
      <c r="B48" s="621">
        <v>104919</v>
      </c>
      <c r="C48" s="622" t="s">
        <v>156</v>
      </c>
      <c r="D48" s="868" t="s">
        <v>135</v>
      </c>
      <c r="E48" s="869"/>
      <c r="F48" s="869"/>
      <c r="G48" s="870"/>
      <c r="H48" s="625">
        <f>'RESUMO AÇO'!E16</f>
        <v>1208.9991600000003</v>
      </c>
      <c r="I48" s="624" t="s">
        <v>84</v>
      </c>
      <c r="J48" s="439"/>
    </row>
    <row r="49" spans="1:11" s="433" customFormat="1" ht="30.6" customHeight="1" thickTop="1" thickBot="1" x14ac:dyDescent="0.3">
      <c r="A49" s="431"/>
      <c r="B49" s="621">
        <v>104920</v>
      </c>
      <c r="C49" s="630" t="s">
        <v>2090</v>
      </c>
      <c r="D49" s="868" t="s">
        <v>135</v>
      </c>
      <c r="E49" s="869"/>
      <c r="F49" s="869"/>
      <c r="G49" s="870"/>
      <c r="H49" s="625">
        <f>'RESUMO AÇO'!F16</f>
        <v>272.50973999999991</v>
      </c>
      <c r="I49" s="624" t="s">
        <v>15</v>
      </c>
      <c r="J49" s="439"/>
    </row>
    <row r="50" spans="1:11" s="433" customFormat="1" ht="30.6" customHeight="1" thickTop="1" thickBot="1" x14ac:dyDescent="0.3">
      <c r="A50" s="431"/>
      <c r="B50" s="621">
        <v>104921</v>
      </c>
      <c r="C50" s="630" t="s">
        <v>2091</v>
      </c>
      <c r="D50" s="868" t="s">
        <v>135</v>
      </c>
      <c r="E50" s="869"/>
      <c r="F50" s="869"/>
      <c r="G50" s="870"/>
      <c r="H50" s="625">
        <f>'RESUMO AÇO'!G16</f>
        <v>7.4797200000000004</v>
      </c>
      <c r="I50" s="624" t="s">
        <v>15</v>
      </c>
      <c r="J50" s="439"/>
    </row>
    <row r="51" spans="1:11" s="433" customFormat="1" ht="27.6" thickTop="1" thickBot="1" x14ac:dyDescent="0.3">
      <c r="A51" s="431"/>
      <c r="B51" s="621" t="s">
        <v>139</v>
      </c>
      <c r="C51" s="628" t="s">
        <v>140</v>
      </c>
      <c r="D51" s="868" t="s">
        <v>135</v>
      </c>
      <c r="E51" s="869"/>
      <c r="F51" s="869"/>
      <c r="G51" s="870"/>
      <c r="H51" s="625">
        <f>'RESUMO LEV.'!E6</f>
        <v>100.76130000000001</v>
      </c>
      <c r="I51" s="624" t="s">
        <v>15</v>
      </c>
      <c r="J51" s="439"/>
    </row>
    <row r="52" spans="1:11" ht="30" customHeight="1" thickTop="1" thickBot="1" x14ac:dyDescent="0.3">
      <c r="A52" s="431"/>
      <c r="B52" s="434">
        <v>6</v>
      </c>
      <c r="C52" s="871" t="s">
        <v>146</v>
      </c>
      <c r="D52" s="872"/>
      <c r="E52" s="872"/>
      <c r="F52" s="872"/>
      <c r="G52" s="872"/>
      <c r="H52" s="872"/>
      <c r="I52" s="873"/>
      <c r="J52" s="439">
        <v>6</v>
      </c>
    </row>
    <row r="53" spans="1:11" ht="30" customHeight="1" thickTop="1" thickBot="1" x14ac:dyDescent="0.3">
      <c r="A53" s="431"/>
      <c r="B53" s="443" t="s">
        <v>147</v>
      </c>
      <c r="C53" s="874" t="s">
        <v>148</v>
      </c>
      <c r="D53" s="875"/>
      <c r="E53" s="875"/>
      <c r="F53" s="875"/>
      <c r="G53" s="875"/>
      <c r="H53" s="875"/>
      <c r="I53" s="876"/>
      <c r="J53" s="439">
        <v>6</v>
      </c>
    </row>
    <row r="54" spans="1:11" ht="40.799999999999997" thickTop="1" thickBot="1" x14ac:dyDescent="0.3">
      <c r="A54" s="431"/>
      <c r="B54" s="621">
        <v>92443</v>
      </c>
      <c r="C54" s="622" t="s">
        <v>2098</v>
      </c>
      <c r="D54" s="868" t="s">
        <v>135</v>
      </c>
      <c r="E54" s="869"/>
      <c r="F54" s="869"/>
      <c r="G54" s="870"/>
      <c r="H54" s="631">
        <f>'RESUMO LEV.'!B12</f>
        <v>1185.1400000000012</v>
      </c>
      <c r="I54" s="624" t="s">
        <v>14</v>
      </c>
      <c r="J54" s="439"/>
      <c r="K54" s="433"/>
    </row>
    <row r="55" spans="1:11" ht="40.799999999999997" thickTop="1" thickBot="1" x14ac:dyDescent="0.3">
      <c r="A55" s="431"/>
      <c r="B55" s="632" t="s">
        <v>2099</v>
      </c>
      <c r="C55" s="633" t="s">
        <v>2100</v>
      </c>
      <c r="D55" s="877" t="s">
        <v>135</v>
      </c>
      <c r="E55" s="878"/>
      <c r="F55" s="878"/>
      <c r="G55" s="879"/>
      <c r="H55" s="634">
        <f>'RESUMO LEV.'!B14</f>
        <v>1855.4184000000007</v>
      </c>
      <c r="I55" s="635" t="s">
        <v>14</v>
      </c>
      <c r="J55" s="439"/>
      <c r="K55" s="433"/>
    </row>
    <row r="56" spans="1:11" s="433" customFormat="1" ht="27.6" thickTop="1" thickBot="1" x14ac:dyDescent="0.3">
      <c r="A56" s="431"/>
      <c r="B56" s="621">
        <v>92759</v>
      </c>
      <c r="C56" s="626" t="s">
        <v>153</v>
      </c>
      <c r="D56" s="868" t="s">
        <v>135</v>
      </c>
      <c r="E56" s="869"/>
      <c r="F56" s="869"/>
      <c r="G56" s="870"/>
      <c r="H56" s="629">
        <f>'RESUMO AÇO'!C28+'RESUMO AÇO'!C27</f>
        <v>4635.0042199999971</v>
      </c>
      <c r="I56" s="624" t="s">
        <v>84</v>
      </c>
      <c r="J56" s="439"/>
    </row>
    <row r="57" spans="1:11" ht="27.6" thickTop="1" thickBot="1" x14ac:dyDescent="0.3">
      <c r="A57" s="431"/>
      <c r="B57" s="621">
        <v>92760</v>
      </c>
      <c r="C57" s="637" t="s">
        <v>143</v>
      </c>
      <c r="D57" s="868" t="s">
        <v>135</v>
      </c>
      <c r="E57" s="869"/>
      <c r="F57" s="869"/>
      <c r="G57" s="870"/>
      <c r="H57" s="638">
        <f>'RESUMO AÇO'!D28+'RESUMO AÇO'!D27</f>
        <v>136.39885000000004</v>
      </c>
      <c r="I57" s="635" t="s">
        <v>84</v>
      </c>
      <c r="J57" s="439"/>
    </row>
    <row r="58" spans="1:11" ht="27.6" thickTop="1" thickBot="1" x14ac:dyDescent="0.3">
      <c r="A58" s="431"/>
      <c r="B58" s="621">
        <v>92761</v>
      </c>
      <c r="C58" s="626" t="s">
        <v>149</v>
      </c>
      <c r="D58" s="868" t="s">
        <v>135</v>
      </c>
      <c r="E58" s="869"/>
      <c r="F58" s="869"/>
      <c r="G58" s="870"/>
      <c r="H58" s="638">
        <f>'RESUMO AÇO'!E28+'RESUMO AÇO'!E27</f>
        <v>1813.8360500000006</v>
      </c>
      <c r="I58" s="635" t="s">
        <v>84</v>
      </c>
      <c r="J58" s="439"/>
    </row>
    <row r="59" spans="1:11" ht="27.6" thickTop="1" thickBot="1" x14ac:dyDescent="0.3">
      <c r="A59" s="431"/>
      <c r="B59" s="621">
        <v>92762</v>
      </c>
      <c r="C59" s="626" t="s">
        <v>150</v>
      </c>
      <c r="D59" s="868" t="s">
        <v>135</v>
      </c>
      <c r="E59" s="869"/>
      <c r="F59" s="869"/>
      <c r="G59" s="870"/>
      <c r="H59" s="638">
        <f>'RESUMO AÇO'!F27+'RESUMO AÇO'!F28</f>
        <v>5137.8762299999989</v>
      </c>
      <c r="I59" s="635" t="s">
        <v>84</v>
      </c>
      <c r="J59" s="439"/>
    </row>
    <row r="60" spans="1:11" ht="27.6" thickTop="1" thickBot="1" x14ac:dyDescent="0.3">
      <c r="A60" s="431"/>
      <c r="B60" s="621">
        <v>92763</v>
      </c>
      <c r="C60" s="626" t="s">
        <v>144</v>
      </c>
      <c r="D60" s="868" t="s">
        <v>135</v>
      </c>
      <c r="E60" s="869"/>
      <c r="F60" s="869"/>
      <c r="G60" s="870"/>
      <c r="H60" s="623">
        <f>'RESUMO AÇO'!G27+'RESUMO AÇO'!G28</f>
        <v>4939.255890000004</v>
      </c>
      <c r="I60" s="635" t="s">
        <v>84</v>
      </c>
      <c r="J60" s="439"/>
    </row>
    <row r="61" spans="1:11" s="445" customFormat="1" ht="27.6" thickTop="1" thickBot="1" x14ac:dyDescent="0.3">
      <c r="A61" s="431"/>
      <c r="B61" s="621">
        <v>92764</v>
      </c>
      <c r="C61" s="626" t="s">
        <v>2094</v>
      </c>
      <c r="D61" s="868" t="s">
        <v>135</v>
      </c>
      <c r="E61" s="869"/>
      <c r="F61" s="869"/>
      <c r="G61" s="870"/>
      <c r="H61" s="623">
        <f>'RESUMO AÇO'!H27+'RESUMO AÇO'!H28</f>
        <v>4263.0301200000013</v>
      </c>
      <c r="I61" s="635" t="s">
        <v>84</v>
      </c>
      <c r="J61" s="444"/>
    </row>
    <row r="62" spans="1:11" s="445" customFormat="1" ht="27.6" thickTop="1" thickBot="1" x14ac:dyDescent="0.3">
      <c r="A62" s="431"/>
      <c r="B62" s="621">
        <v>92765</v>
      </c>
      <c r="C62" s="626" t="s">
        <v>2095</v>
      </c>
      <c r="D62" s="868" t="s">
        <v>135</v>
      </c>
      <c r="E62" s="869"/>
      <c r="F62" s="869"/>
      <c r="G62" s="870"/>
      <c r="H62" s="623">
        <f>'RESUMO AÇO'!I27+'RESUMO AÇO'!I28</f>
        <v>2025.5097200000002</v>
      </c>
      <c r="I62" s="635" t="s">
        <v>84</v>
      </c>
      <c r="J62" s="444"/>
    </row>
    <row r="63" spans="1:11" s="445" customFormat="1" ht="27.6" thickTop="1" thickBot="1" x14ac:dyDescent="0.3">
      <c r="A63" s="431"/>
      <c r="B63" s="621">
        <v>92766</v>
      </c>
      <c r="C63" s="630" t="s">
        <v>2101</v>
      </c>
      <c r="D63" s="868" t="s">
        <v>135</v>
      </c>
      <c r="E63" s="869"/>
      <c r="F63" s="869"/>
      <c r="G63" s="870"/>
      <c r="H63" s="623">
        <f>'RESUMO AÇO'!J27+'RESUMO AÇO'!J28</f>
        <v>377.68500000000006</v>
      </c>
      <c r="I63" s="635" t="s">
        <v>84</v>
      </c>
      <c r="J63" s="444"/>
    </row>
    <row r="64" spans="1:11" s="445" customFormat="1" ht="27.6" thickTop="1" thickBot="1" x14ac:dyDescent="0.3">
      <c r="A64" s="431"/>
      <c r="B64" s="621">
        <v>103669</v>
      </c>
      <c r="C64" s="630" t="s">
        <v>145</v>
      </c>
      <c r="D64" s="868" t="s">
        <v>135</v>
      </c>
      <c r="E64" s="869"/>
      <c r="F64" s="869"/>
      <c r="G64" s="870"/>
      <c r="H64" s="639">
        <f>'RESUMO LEV.'!C12</f>
        <v>81.037250000000256</v>
      </c>
      <c r="I64" s="624" t="s">
        <v>15</v>
      </c>
      <c r="J64" s="444"/>
    </row>
    <row r="65" spans="1:26" ht="40.799999999999997" thickTop="1" thickBot="1" x14ac:dyDescent="0.3">
      <c r="A65" s="431"/>
      <c r="B65" s="621">
        <v>103682</v>
      </c>
      <c r="C65" s="628" t="s">
        <v>151</v>
      </c>
      <c r="D65" s="868" t="s">
        <v>135</v>
      </c>
      <c r="E65" s="869"/>
      <c r="F65" s="869"/>
      <c r="G65" s="870"/>
      <c r="H65" s="639">
        <f>'RESUMO LEV.'!C14</f>
        <v>150.05667500000007</v>
      </c>
      <c r="I65" s="624" t="s">
        <v>15</v>
      </c>
      <c r="J65" s="439"/>
    </row>
    <row r="66" spans="1:26" s="457" customFormat="1" ht="12.75" customHeight="1" thickTop="1" thickBot="1" x14ac:dyDescent="0.35">
      <c r="A66" s="455"/>
      <c r="B66" s="461" t="s">
        <v>159</v>
      </c>
      <c r="C66" s="881" t="s">
        <v>101</v>
      </c>
      <c r="D66" s="882"/>
      <c r="E66" s="882"/>
      <c r="F66" s="882"/>
      <c r="G66" s="882"/>
      <c r="H66" s="882"/>
      <c r="I66" s="883"/>
      <c r="J66" s="456"/>
      <c r="K66" s="455"/>
      <c r="L66" s="455"/>
      <c r="M66" s="455"/>
      <c r="N66" s="455"/>
      <c r="O66" s="455"/>
      <c r="P66" s="455"/>
      <c r="Q66" s="455"/>
      <c r="R66" s="455"/>
      <c r="S66" s="455"/>
      <c r="T66" s="455"/>
      <c r="U66" s="455"/>
      <c r="V66" s="455"/>
      <c r="W66" s="455"/>
      <c r="X66" s="455"/>
      <c r="Y66" s="455"/>
      <c r="Z66" s="455"/>
    </row>
    <row r="67" spans="1:26" s="457" customFormat="1" ht="27" customHeight="1" thickTop="1" thickBot="1" x14ac:dyDescent="0.35">
      <c r="A67" s="455"/>
      <c r="B67" s="641">
        <v>92514</v>
      </c>
      <c r="C67" s="642" t="s">
        <v>2102</v>
      </c>
      <c r="D67" s="865" t="s">
        <v>135</v>
      </c>
      <c r="E67" s="866"/>
      <c r="F67" s="866"/>
      <c r="G67" s="867"/>
      <c r="H67" s="643">
        <f>'RESUMO LEV.'!D15</f>
        <v>156.52800000000002</v>
      </c>
      <c r="I67" s="644" t="s">
        <v>14</v>
      </c>
      <c r="J67" s="459"/>
      <c r="K67" s="455"/>
      <c r="L67" s="455"/>
      <c r="M67" s="455"/>
      <c r="N67" s="455"/>
      <c r="O67" s="455"/>
      <c r="P67" s="455"/>
      <c r="Q67" s="455"/>
      <c r="R67" s="455"/>
      <c r="S67" s="455"/>
      <c r="T67" s="455"/>
      <c r="U67" s="455"/>
      <c r="V67" s="455"/>
      <c r="W67" s="455"/>
      <c r="X67" s="455"/>
      <c r="Y67" s="455"/>
      <c r="Z67" s="455"/>
    </row>
    <row r="68" spans="1:26" s="457" customFormat="1" ht="27.6" thickTop="1" thickBot="1" x14ac:dyDescent="0.35">
      <c r="A68" s="455"/>
      <c r="B68" s="641">
        <v>92768</v>
      </c>
      <c r="C68" s="642" t="s">
        <v>152</v>
      </c>
      <c r="D68" s="865" t="s">
        <v>135</v>
      </c>
      <c r="E68" s="866"/>
      <c r="F68" s="866"/>
      <c r="G68" s="867"/>
      <c r="H68" s="643">
        <f>'RESUMO AÇO'!C26</f>
        <v>84.927919999999986</v>
      </c>
      <c r="I68" s="644" t="s">
        <v>84</v>
      </c>
      <c r="J68" s="458"/>
      <c r="K68" s="455"/>
      <c r="L68" s="455"/>
      <c r="M68" s="455"/>
      <c r="N68" s="455"/>
      <c r="O68" s="455"/>
      <c r="P68" s="455"/>
      <c r="Q68" s="455"/>
      <c r="R68" s="455"/>
      <c r="S68" s="455"/>
      <c r="T68" s="455"/>
      <c r="U68" s="455"/>
      <c r="V68" s="455"/>
      <c r="W68" s="455"/>
      <c r="X68" s="455"/>
      <c r="Y68" s="455"/>
      <c r="Z68" s="455"/>
    </row>
    <row r="69" spans="1:26" s="457" customFormat="1" ht="27.6" thickTop="1" thickBot="1" x14ac:dyDescent="0.35">
      <c r="A69" s="455"/>
      <c r="B69" s="641">
        <v>92769</v>
      </c>
      <c r="C69" s="642" t="s">
        <v>158</v>
      </c>
      <c r="D69" s="865" t="s">
        <v>135</v>
      </c>
      <c r="E69" s="866"/>
      <c r="F69" s="866"/>
      <c r="G69" s="867"/>
      <c r="H69" s="643">
        <f>'RESUMO AÇO'!D26</f>
        <v>354.48314999999991</v>
      </c>
      <c r="I69" s="644" t="s">
        <v>84</v>
      </c>
      <c r="J69" s="458"/>
      <c r="K69" s="455"/>
      <c r="L69" s="455"/>
      <c r="M69" s="455"/>
      <c r="N69" s="455"/>
      <c r="O69" s="455"/>
      <c r="P69" s="455"/>
      <c r="Q69" s="455"/>
      <c r="R69" s="455"/>
      <c r="S69" s="455"/>
      <c r="T69" s="455"/>
      <c r="U69" s="455"/>
      <c r="V69" s="455"/>
      <c r="W69" s="455"/>
      <c r="X69" s="455"/>
      <c r="Y69" s="455"/>
      <c r="Z69" s="455"/>
    </row>
    <row r="70" spans="1:26" s="457" customFormat="1" ht="40.799999999999997" thickTop="1" thickBot="1" x14ac:dyDescent="0.35">
      <c r="A70" s="455"/>
      <c r="B70" s="621">
        <v>103682</v>
      </c>
      <c r="C70" s="628" t="s">
        <v>151</v>
      </c>
      <c r="D70" s="865" t="s">
        <v>135</v>
      </c>
      <c r="E70" s="866"/>
      <c r="F70" s="866"/>
      <c r="G70" s="867"/>
      <c r="H70" s="643">
        <f>'RESUMO LEV.'!C15</f>
        <v>15.48986</v>
      </c>
      <c r="I70" s="644" t="s">
        <v>84</v>
      </c>
      <c r="J70" s="458"/>
      <c r="K70" s="455"/>
      <c r="L70" s="455"/>
      <c r="M70" s="455"/>
      <c r="N70" s="455"/>
      <c r="O70" s="455"/>
      <c r="P70" s="455"/>
      <c r="Q70" s="455"/>
      <c r="R70" s="455"/>
      <c r="S70" s="455"/>
      <c r="T70" s="455"/>
      <c r="U70" s="455"/>
      <c r="V70" s="455"/>
      <c r="W70" s="455"/>
      <c r="X70" s="455"/>
      <c r="Y70" s="455"/>
      <c r="Z70" s="455"/>
    </row>
    <row r="71" spans="1:26" s="457" customFormat="1" ht="12.75" customHeight="1" thickTop="1" thickBot="1" x14ac:dyDescent="0.35">
      <c r="A71" s="455"/>
      <c r="B71" s="461" t="s">
        <v>159</v>
      </c>
      <c r="C71" s="881" t="s">
        <v>2097</v>
      </c>
      <c r="D71" s="882"/>
      <c r="E71" s="882"/>
      <c r="F71" s="882"/>
      <c r="G71" s="882"/>
      <c r="H71" s="882"/>
      <c r="I71" s="883"/>
      <c r="J71" s="456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</row>
    <row r="72" spans="1:26" s="457" customFormat="1" ht="27" customHeight="1" thickTop="1" thickBot="1" x14ac:dyDescent="0.35">
      <c r="A72" s="455"/>
      <c r="B72" s="641">
        <v>98557</v>
      </c>
      <c r="C72" s="642" t="s">
        <v>2096</v>
      </c>
      <c r="D72" s="865" t="s">
        <v>135</v>
      </c>
      <c r="E72" s="866"/>
      <c r="F72" s="866"/>
      <c r="G72" s="867"/>
      <c r="H72" s="643">
        <f>'RESUMO LEV.'!G7</f>
        <v>1560.1209999999992</v>
      </c>
      <c r="I72" s="644" t="s">
        <v>14</v>
      </c>
      <c r="J72" s="459"/>
      <c r="K72" s="455"/>
      <c r="L72" s="455"/>
      <c r="M72" s="455"/>
      <c r="N72" s="455"/>
      <c r="O72" s="455"/>
      <c r="P72" s="455"/>
      <c r="Q72" s="455"/>
      <c r="R72" s="455"/>
      <c r="S72" s="455"/>
      <c r="T72" s="455"/>
      <c r="U72" s="455"/>
      <c r="V72" s="455"/>
      <c r="W72" s="455"/>
      <c r="X72" s="455"/>
      <c r="Y72" s="455"/>
      <c r="Z72" s="455"/>
    </row>
    <row r="73" spans="1:26" s="457" customFormat="1" ht="48.75" customHeight="1" thickTop="1" thickBot="1" x14ac:dyDescent="0.35">
      <c r="A73" s="455"/>
      <c r="B73" s="852">
        <v>87755</v>
      </c>
      <c r="C73" s="859" t="s">
        <v>2254</v>
      </c>
      <c r="D73" s="651" t="s">
        <v>2241</v>
      </c>
      <c r="E73" s="655" t="s">
        <v>2250</v>
      </c>
      <c r="F73" s="655" t="s">
        <v>2243</v>
      </c>
      <c r="G73" s="653">
        <f>1.8*7.8</f>
        <v>14.04</v>
      </c>
      <c r="H73" s="862">
        <f>SUM(G73:G76)</f>
        <v>91.22399999999999</v>
      </c>
      <c r="I73" s="858"/>
      <c r="J73" s="459"/>
      <c r="K73" s="455"/>
      <c r="L73" s="455"/>
      <c r="M73" s="455"/>
      <c r="N73" s="455"/>
      <c r="O73" s="455"/>
      <c r="P73" s="455"/>
      <c r="Q73" s="455"/>
      <c r="R73" s="455"/>
      <c r="S73" s="455"/>
      <c r="T73" s="455"/>
      <c r="U73" s="455"/>
      <c r="V73" s="455"/>
      <c r="W73" s="455"/>
      <c r="X73" s="455"/>
      <c r="Y73" s="455"/>
      <c r="Z73" s="455"/>
    </row>
    <row r="74" spans="1:26" s="457" customFormat="1" ht="60" customHeight="1" thickTop="1" thickBot="1" x14ac:dyDescent="0.35">
      <c r="A74" s="455"/>
      <c r="B74" s="853"/>
      <c r="C74" s="860"/>
      <c r="D74" s="654" t="s">
        <v>2245</v>
      </c>
      <c r="E74" s="655" t="s">
        <v>2250</v>
      </c>
      <c r="F74" s="655" t="s">
        <v>2251</v>
      </c>
      <c r="G74" s="653">
        <f>1.8*7.8+1.8*3.88</f>
        <v>21.024000000000001</v>
      </c>
      <c r="H74" s="863"/>
      <c r="I74" s="856"/>
      <c r="J74" s="459"/>
      <c r="K74" s="455"/>
      <c r="L74" s="455"/>
      <c r="M74" s="455"/>
      <c r="N74" s="455"/>
      <c r="O74" s="455"/>
      <c r="P74" s="455"/>
      <c r="Q74" s="455"/>
      <c r="R74" s="455"/>
      <c r="S74" s="455"/>
      <c r="T74" s="455"/>
      <c r="U74" s="455"/>
      <c r="V74" s="455"/>
      <c r="W74" s="455"/>
      <c r="X74" s="455"/>
      <c r="Y74" s="455"/>
      <c r="Z74" s="455"/>
    </row>
    <row r="75" spans="1:26" s="457" customFormat="1" ht="62.25" customHeight="1" thickTop="1" thickBot="1" x14ac:dyDescent="0.35">
      <c r="A75" s="455"/>
      <c r="B75" s="853"/>
      <c r="C75" s="860"/>
      <c r="D75" s="654" t="s">
        <v>2247</v>
      </c>
      <c r="E75" s="655" t="s">
        <v>2250</v>
      </c>
      <c r="F75" s="655" t="s">
        <v>2252</v>
      </c>
      <c r="G75" s="653">
        <f>(1.8*7.8)*2</f>
        <v>28.08</v>
      </c>
      <c r="H75" s="863"/>
      <c r="I75" s="856"/>
      <c r="J75" s="459"/>
      <c r="K75" s="455"/>
      <c r="L75" s="455"/>
      <c r="M75" s="455"/>
      <c r="N75" s="455"/>
      <c r="O75" s="455"/>
      <c r="P75" s="455"/>
      <c r="Q75" s="455"/>
      <c r="R75" s="455"/>
      <c r="S75" s="455"/>
      <c r="T75" s="455"/>
      <c r="U75" s="455"/>
      <c r="V75" s="455"/>
      <c r="W75" s="455"/>
      <c r="X75" s="455"/>
      <c r="Y75" s="455"/>
      <c r="Z75" s="455"/>
    </row>
    <row r="76" spans="1:26" s="457" customFormat="1" ht="60.75" customHeight="1" thickTop="1" thickBot="1" x14ac:dyDescent="0.35">
      <c r="A76" s="455"/>
      <c r="B76" s="854"/>
      <c r="C76" s="861"/>
      <c r="D76" s="654" t="s">
        <v>2255</v>
      </c>
      <c r="E76" s="655" t="s">
        <v>2250</v>
      </c>
      <c r="F76" s="655" t="s">
        <v>2252</v>
      </c>
      <c r="G76" s="653">
        <f>(1.8*7.8)*2</f>
        <v>28.08</v>
      </c>
      <c r="H76" s="864"/>
      <c r="I76" s="857"/>
      <c r="J76" s="459"/>
      <c r="K76" s="455"/>
      <c r="L76" s="455"/>
      <c r="M76" s="455"/>
      <c r="N76" s="455"/>
      <c r="O76" s="455"/>
      <c r="P76" s="455"/>
      <c r="Q76" s="455"/>
      <c r="R76" s="455"/>
      <c r="S76" s="455"/>
      <c r="T76" s="455"/>
      <c r="U76" s="455"/>
      <c r="V76" s="455"/>
      <c r="W76" s="455"/>
      <c r="X76" s="455"/>
      <c r="Y76" s="455"/>
      <c r="Z76" s="455"/>
    </row>
    <row r="77" spans="1:26" s="457" customFormat="1" ht="46.5" customHeight="1" thickTop="1" thickBot="1" x14ac:dyDescent="0.35">
      <c r="A77" s="455"/>
      <c r="B77" s="852">
        <v>87792</v>
      </c>
      <c r="C77" s="859" t="s">
        <v>2257</v>
      </c>
      <c r="D77" s="651" t="s">
        <v>2241</v>
      </c>
      <c r="E77" s="652" t="s">
        <v>2242</v>
      </c>
      <c r="F77" s="652" t="s">
        <v>2258</v>
      </c>
      <c r="G77" s="653">
        <f>(1.8+1.8+7.8+7.8)*0.6</f>
        <v>11.52</v>
      </c>
      <c r="H77" s="862">
        <f>SUM(G77:G80)</f>
        <v>75.936000000000007</v>
      </c>
      <c r="I77" s="855" t="s">
        <v>14</v>
      </c>
      <c r="J77" s="459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  <c r="Z77" s="455"/>
    </row>
    <row r="78" spans="1:26" s="457" customFormat="1" ht="84.75" customHeight="1" thickTop="1" thickBot="1" x14ac:dyDescent="0.35">
      <c r="A78" s="455"/>
      <c r="B78" s="853"/>
      <c r="C78" s="860"/>
      <c r="D78" s="654" t="s">
        <v>2245</v>
      </c>
      <c r="E78" s="652" t="s">
        <v>2242</v>
      </c>
      <c r="F78" s="655" t="s">
        <v>2259</v>
      </c>
      <c r="G78" s="653">
        <f>(1.8+1.8+7.8+7.8)*0.6+(1.8+1.8+3.88+3.88)*0.6</f>
        <v>18.335999999999999</v>
      </c>
      <c r="H78" s="863"/>
      <c r="I78" s="856"/>
      <c r="J78" s="459"/>
      <c r="K78" s="455"/>
      <c r="L78" s="455"/>
      <c r="M78" s="455"/>
      <c r="N78" s="455"/>
      <c r="O78" s="455"/>
      <c r="P78" s="455"/>
      <c r="Q78" s="455"/>
      <c r="R78" s="455"/>
      <c r="S78" s="455"/>
      <c r="T78" s="455"/>
      <c r="U78" s="455"/>
      <c r="V78" s="455"/>
      <c r="W78" s="455"/>
      <c r="X78" s="455"/>
      <c r="Y78" s="455"/>
      <c r="Z78" s="455"/>
    </row>
    <row r="79" spans="1:26" s="457" customFormat="1" ht="63" customHeight="1" thickTop="1" thickBot="1" x14ac:dyDescent="0.35">
      <c r="A79" s="455"/>
      <c r="B79" s="853"/>
      <c r="C79" s="860"/>
      <c r="D79" s="654" t="s">
        <v>2247</v>
      </c>
      <c r="E79" s="655" t="s">
        <v>2248</v>
      </c>
      <c r="F79" s="655" t="s">
        <v>2260</v>
      </c>
      <c r="G79" s="653">
        <f>((1.8+1.8+7.8+7.8)*0.6)*2</f>
        <v>23.04</v>
      </c>
      <c r="H79" s="863"/>
      <c r="I79" s="856"/>
      <c r="J79" s="459"/>
      <c r="K79" s="455"/>
      <c r="L79" s="455"/>
      <c r="M79" s="455"/>
      <c r="N79" s="455"/>
      <c r="O79" s="455"/>
      <c r="P79" s="455"/>
      <c r="Q79" s="455"/>
      <c r="R79" s="455"/>
      <c r="S79" s="455"/>
      <c r="T79" s="455"/>
      <c r="U79" s="455"/>
      <c r="V79" s="455"/>
      <c r="W79" s="455"/>
      <c r="X79" s="455"/>
      <c r="Y79" s="455"/>
      <c r="Z79" s="455"/>
    </row>
    <row r="80" spans="1:26" s="457" customFormat="1" ht="74.25" customHeight="1" thickTop="1" thickBot="1" x14ac:dyDescent="0.35">
      <c r="A80" s="455"/>
      <c r="B80" s="854"/>
      <c r="C80" s="861"/>
      <c r="D80" s="654" t="s">
        <v>2255</v>
      </c>
      <c r="E80" s="655" t="s">
        <v>2248</v>
      </c>
      <c r="F80" s="655" t="s">
        <v>2260</v>
      </c>
      <c r="G80" s="653">
        <f>((1.8+1.8+7.8+7.8)*0.6)*2</f>
        <v>23.04</v>
      </c>
      <c r="H80" s="864"/>
      <c r="I80" s="857"/>
      <c r="J80" s="459"/>
      <c r="K80" s="455"/>
      <c r="L80" s="455"/>
      <c r="M80" s="455"/>
      <c r="N80" s="455"/>
      <c r="O80" s="455"/>
      <c r="P80" s="455"/>
      <c r="Q80" s="455"/>
      <c r="R80" s="455"/>
      <c r="S80" s="455"/>
      <c r="T80" s="455"/>
      <c r="U80" s="455"/>
      <c r="V80" s="455"/>
      <c r="W80" s="455"/>
      <c r="X80" s="455"/>
      <c r="Y80" s="455"/>
      <c r="Z80" s="455"/>
    </row>
    <row r="81" spans="1:26" s="457" customFormat="1" ht="46.5" customHeight="1" thickTop="1" thickBot="1" x14ac:dyDescent="0.35">
      <c r="A81" s="455"/>
      <c r="B81" s="852">
        <v>98546</v>
      </c>
      <c r="C81" s="859" t="s">
        <v>2256</v>
      </c>
      <c r="D81" s="651" t="s">
        <v>2241</v>
      </c>
      <c r="E81" s="652" t="s">
        <v>2242</v>
      </c>
      <c r="F81" s="652" t="s">
        <v>2244</v>
      </c>
      <c r="G81" s="653">
        <f>1.8*7.8+(1.8+1.8+7.8+7.8)*0.6</f>
        <v>25.56</v>
      </c>
      <c r="H81" s="862">
        <f>SUM(G81:G84)</f>
        <v>167.16</v>
      </c>
      <c r="I81" s="855" t="s">
        <v>14</v>
      </c>
      <c r="J81" s="459"/>
      <c r="K81" s="455"/>
      <c r="L81" s="455"/>
      <c r="M81" s="455"/>
      <c r="N81" s="455"/>
      <c r="O81" s="455"/>
      <c r="P81" s="455"/>
      <c r="Q81" s="455"/>
      <c r="R81" s="455"/>
      <c r="S81" s="455"/>
      <c r="T81" s="455"/>
      <c r="U81" s="455"/>
      <c r="V81" s="455"/>
      <c r="W81" s="455"/>
      <c r="X81" s="455"/>
      <c r="Y81" s="455"/>
      <c r="Z81" s="455"/>
    </row>
    <row r="82" spans="1:26" s="457" customFormat="1" ht="84.75" customHeight="1" thickTop="1" thickBot="1" x14ac:dyDescent="0.35">
      <c r="A82" s="455"/>
      <c r="B82" s="853"/>
      <c r="C82" s="860"/>
      <c r="D82" s="654" t="s">
        <v>2245</v>
      </c>
      <c r="E82" s="652" t="s">
        <v>2242</v>
      </c>
      <c r="F82" s="655" t="s">
        <v>2246</v>
      </c>
      <c r="G82" s="653">
        <f>1.8*7.8+1.8*3.88+(1.8+1.8+7.8+7.8)*0.6+(1.8+1.8+3.88+3.88)*0.6</f>
        <v>39.36</v>
      </c>
      <c r="H82" s="863"/>
      <c r="I82" s="856"/>
      <c r="J82" s="459"/>
      <c r="K82" s="455"/>
      <c r="L82" s="455"/>
      <c r="M82" s="455"/>
      <c r="N82" s="455"/>
      <c r="O82" s="455"/>
      <c r="P82" s="455"/>
      <c r="Q82" s="455"/>
      <c r="R82" s="455"/>
      <c r="S82" s="455"/>
      <c r="T82" s="455"/>
      <c r="U82" s="455"/>
      <c r="V82" s="455"/>
      <c r="W82" s="455"/>
      <c r="X82" s="455"/>
      <c r="Y82" s="455"/>
      <c r="Z82" s="455"/>
    </row>
    <row r="83" spans="1:26" s="457" customFormat="1" ht="63" customHeight="1" thickTop="1" thickBot="1" x14ac:dyDescent="0.35">
      <c r="A83" s="455"/>
      <c r="B83" s="853"/>
      <c r="C83" s="860"/>
      <c r="D83" s="654" t="s">
        <v>2247</v>
      </c>
      <c r="E83" s="655" t="s">
        <v>2248</v>
      </c>
      <c r="F83" s="655" t="s">
        <v>2249</v>
      </c>
      <c r="G83" s="653">
        <f>(1.8*7.8+(1.8+1.8+7.8+7.8)*0.6)*2</f>
        <v>51.12</v>
      </c>
      <c r="H83" s="863"/>
      <c r="I83" s="856"/>
      <c r="J83" s="459"/>
      <c r="K83" s="455"/>
      <c r="L83" s="455"/>
      <c r="M83" s="455"/>
      <c r="N83" s="455"/>
      <c r="O83" s="455"/>
      <c r="P83" s="455"/>
      <c r="Q83" s="455"/>
      <c r="R83" s="455"/>
      <c r="S83" s="455"/>
      <c r="T83" s="455"/>
      <c r="U83" s="455"/>
      <c r="V83" s="455"/>
      <c r="W83" s="455"/>
      <c r="X83" s="455"/>
      <c r="Y83" s="455"/>
      <c r="Z83" s="455"/>
    </row>
    <row r="84" spans="1:26" s="457" customFormat="1" ht="74.25" customHeight="1" thickTop="1" thickBot="1" x14ac:dyDescent="0.35">
      <c r="A84" s="455"/>
      <c r="B84" s="854"/>
      <c r="C84" s="861"/>
      <c r="D84" s="654" t="s">
        <v>2255</v>
      </c>
      <c r="E84" s="655" t="s">
        <v>2248</v>
      </c>
      <c r="F84" s="655" t="s">
        <v>2249</v>
      </c>
      <c r="G84" s="653">
        <f>(1.8*7.8+(1.8+1.8+7.8+7.8)*0.6)*2</f>
        <v>51.12</v>
      </c>
      <c r="H84" s="864"/>
      <c r="I84" s="857"/>
      <c r="J84" s="459"/>
      <c r="K84" s="455"/>
      <c r="L84" s="455"/>
      <c r="M84" s="455"/>
      <c r="N84" s="455"/>
      <c r="O84" s="455"/>
      <c r="P84" s="455"/>
      <c r="Q84" s="455"/>
      <c r="R84" s="455"/>
      <c r="S84" s="455"/>
      <c r="T84" s="455"/>
      <c r="U84" s="455"/>
      <c r="V84" s="455"/>
      <c r="W84" s="455"/>
      <c r="X84" s="455"/>
      <c r="Y84" s="455"/>
      <c r="Z84" s="455"/>
    </row>
    <row r="85" spans="1:26" s="457" customFormat="1" ht="48.75" customHeight="1" thickTop="1" thickBot="1" x14ac:dyDescent="0.35">
      <c r="A85" s="455"/>
      <c r="B85" s="852">
        <v>98565</v>
      </c>
      <c r="C85" s="859" t="s">
        <v>2253</v>
      </c>
      <c r="D85" s="651" t="s">
        <v>2241</v>
      </c>
      <c r="E85" s="655" t="s">
        <v>2250</v>
      </c>
      <c r="F85" s="655" t="s">
        <v>2243</v>
      </c>
      <c r="G85" s="653">
        <f>1.8*7.8</f>
        <v>14.04</v>
      </c>
      <c r="H85" s="862">
        <f>SUM(G85:G88)</f>
        <v>91.22399999999999</v>
      </c>
      <c r="I85" s="858"/>
      <c r="J85" s="459"/>
      <c r="K85" s="455"/>
      <c r="L85" s="455"/>
      <c r="M85" s="455"/>
      <c r="N85" s="455"/>
      <c r="O85" s="455"/>
      <c r="P85" s="455"/>
      <c r="Q85" s="455"/>
      <c r="R85" s="455"/>
      <c r="S85" s="455"/>
      <c r="T85" s="455"/>
      <c r="U85" s="455"/>
      <c r="V85" s="455"/>
      <c r="W85" s="455"/>
      <c r="X85" s="455"/>
      <c r="Y85" s="455"/>
      <c r="Z85" s="455"/>
    </row>
    <row r="86" spans="1:26" s="457" customFormat="1" ht="60" customHeight="1" thickTop="1" thickBot="1" x14ac:dyDescent="0.35">
      <c r="A86" s="455"/>
      <c r="B86" s="853"/>
      <c r="C86" s="860"/>
      <c r="D86" s="654" t="s">
        <v>2245</v>
      </c>
      <c r="E86" s="655" t="s">
        <v>2250</v>
      </c>
      <c r="F86" s="655" t="s">
        <v>2251</v>
      </c>
      <c r="G86" s="653">
        <f>1.8*7.8+1.8*3.88</f>
        <v>21.024000000000001</v>
      </c>
      <c r="H86" s="863"/>
      <c r="I86" s="856"/>
      <c r="J86" s="459"/>
      <c r="K86" s="455"/>
      <c r="L86" s="455"/>
      <c r="M86" s="455"/>
      <c r="N86" s="455"/>
      <c r="O86" s="455"/>
      <c r="P86" s="455"/>
      <c r="Q86" s="455"/>
      <c r="R86" s="455"/>
      <c r="S86" s="455"/>
      <c r="T86" s="455"/>
      <c r="U86" s="455"/>
      <c r="V86" s="455"/>
      <c r="W86" s="455"/>
      <c r="X86" s="455"/>
      <c r="Y86" s="455"/>
      <c r="Z86" s="455"/>
    </row>
    <row r="87" spans="1:26" s="457" customFormat="1" ht="62.25" customHeight="1" thickTop="1" thickBot="1" x14ac:dyDescent="0.35">
      <c r="A87" s="455"/>
      <c r="B87" s="853"/>
      <c r="C87" s="860"/>
      <c r="D87" s="654" t="s">
        <v>2247</v>
      </c>
      <c r="E87" s="655" t="s">
        <v>2250</v>
      </c>
      <c r="F87" s="655" t="s">
        <v>2252</v>
      </c>
      <c r="G87" s="653">
        <f>(1.8*7.8)*2</f>
        <v>28.08</v>
      </c>
      <c r="H87" s="863"/>
      <c r="I87" s="856"/>
      <c r="J87" s="459"/>
      <c r="K87" s="455"/>
      <c r="L87" s="455"/>
      <c r="M87" s="455"/>
      <c r="N87" s="455"/>
      <c r="O87" s="455"/>
      <c r="P87" s="455"/>
      <c r="Q87" s="455"/>
      <c r="R87" s="455"/>
      <c r="S87" s="455"/>
      <c r="T87" s="455"/>
      <c r="U87" s="455"/>
      <c r="V87" s="455"/>
      <c r="W87" s="455"/>
      <c r="X87" s="455"/>
      <c r="Y87" s="455"/>
      <c r="Z87" s="455"/>
    </row>
    <row r="88" spans="1:26" s="457" customFormat="1" ht="60.75" customHeight="1" thickTop="1" thickBot="1" x14ac:dyDescent="0.35">
      <c r="A88" s="455"/>
      <c r="B88" s="854"/>
      <c r="C88" s="861"/>
      <c r="D88" s="654" t="s">
        <v>2255</v>
      </c>
      <c r="E88" s="655" t="s">
        <v>2250</v>
      </c>
      <c r="F88" s="655" t="s">
        <v>2252</v>
      </c>
      <c r="G88" s="653">
        <f>(1.8*7.8)*2</f>
        <v>28.08</v>
      </c>
      <c r="H88" s="864"/>
      <c r="I88" s="857"/>
      <c r="J88" s="459"/>
      <c r="K88" s="455"/>
      <c r="L88" s="455"/>
      <c r="M88" s="455"/>
      <c r="N88" s="455"/>
      <c r="O88" s="455"/>
      <c r="P88" s="455"/>
      <c r="Q88" s="455"/>
      <c r="R88" s="455"/>
      <c r="S88" s="455"/>
      <c r="T88" s="455"/>
      <c r="U88" s="455"/>
      <c r="V88" s="455"/>
      <c r="W88" s="455"/>
      <c r="X88" s="455"/>
      <c r="Y88" s="455"/>
      <c r="Z88" s="455"/>
    </row>
    <row r="89" spans="1:26" s="457" customFormat="1" ht="27" customHeight="1" thickTop="1" thickBot="1" x14ac:dyDescent="0.35">
      <c r="A89" s="455"/>
      <c r="B89" s="641"/>
      <c r="C89" s="642"/>
      <c r="D89" s="865"/>
      <c r="E89" s="866"/>
      <c r="F89" s="866"/>
      <c r="G89" s="867"/>
      <c r="H89" s="643"/>
      <c r="I89" s="644"/>
      <c r="J89" s="459"/>
      <c r="K89" s="455"/>
      <c r="L89" s="455"/>
      <c r="M89" s="455"/>
      <c r="N89" s="455"/>
      <c r="O89" s="455"/>
      <c r="P89" s="455"/>
      <c r="Q89" s="455"/>
      <c r="R89" s="455"/>
      <c r="S89" s="455"/>
      <c r="T89" s="455"/>
      <c r="U89" s="455"/>
      <c r="V89" s="455"/>
      <c r="W89" s="455"/>
      <c r="X89" s="455"/>
      <c r="Y89" s="455"/>
      <c r="Z89" s="455"/>
    </row>
    <row r="90" spans="1:26" s="457" customFormat="1" ht="27" customHeight="1" thickTop="1" thickBot="1" x14ac:dyDescent="0.35">
      <c r="A90" s="455"/>
      <c r="B90" s="641"/>
      <c r="C90" s="642"/>
      <c r="D90" s="865"/>
      <c r="E90" s="866"/>
      <c r="F90" s="866"/>
      <c r="G90" s="867"/>
      <c r="H90" s="643"/>
      <c r="I90" s="644"/>
      <c r="J90" s="459"/>
      <c r="K90" s="455"/>
      <c r="L90" s="455"/>
      <c r="M90" s="455"/>
      <c r="N90" s="455"/>
      <c r="O90" s="455"/>
      <c r="P90" s="455"/>
      <c r="Q90" s="455"/>
      <c r="R90" s="455"/>
      <c r="S90" s="455"/>
      <c r="T90" s="455"/>
      <c r="U90" s="455"/>
      <c r="V90" s="455"/>
      <c r="W90" s="455"/>
      <c r="X90" s="455"/>
      <c r="Y90" s="455"/>
      <c r="Z90" s="455"/>
    </row>
    <row r="91" spans="1:26" ht="15.6" thickTop="1" thickBot="1" x14ac:dyDescent="0.35">
      <c r="A91" s="431"/>
      <c r="B91" s="448"/>
      <c r="C91" s="449"/>
      <c r="D91" s="880"/>
      <c r="E91" s="880"/>
      <c r="F91" s="880"/>
      <c r="G91" s="880"/>
      <c r="H91" s="446"/>
      <c r="I91" s="447"/>
      <c r="J91" s="62"/>
      <c r="K91" s="429" t="s">
        <v>154</v>
      </c>
    </row>
    <row r="92" spans="1:26" x14ac:dyDescent="0.25">
      <c r="C92" s="450"/>
    </row>
  </sheetData>
  <mergeCells count="85">
    <mergeCell ref="B73:B76"/>
    <mergeCell ref="C73:C76"/>
    <mergeCell ref="H73:H76"/>
    <mergeCell ref="I73:I76"/>
    <mergeCell ref="B77:B80"/>
    <mergeCell ref="C77:C80"/>
    <mergeCell ref="H77:H80"/>
    <mergeCell ref="I77:I80"/>
    <mergeCell ref="B6:I6"/>
    <mergeCell ref="C9:J9"/>
    <mergeCell ref="C10:J10"/>
    <mergeCell ref="D28:G28"/>
    <mergeCell ref="C16:I16"/>
    <mergeCell ref="D17:G17"/>
    <mergeCell ref="D18:G18"/>
    <mergeCell ref="D27:G27"/>
    <mergeCell ref="D19:G19"/>
    <mergeCell ref="C8:H8"/>
    <mergeCell ref="C11:G11"/>
    <mergeCell ref="B15:I15"/>
    <mergeCell ref="C20:I20"/>
    <mergeCell ref="D22:G22"/>
    <mergeCell ref="D23:G23"/>
    <mergeCell ref="D25:G25"/>
    <mergeCell ref="B1:I1"/>
    <mergeCell ref="B2:I2"/>
    <mergeCell ref="B3:I3"/>
    <mergeCell ref="B4:I4"/>
    <mergeCell ref="B5:I5"/>
    <mergeCell ref="D35:G35"/>
    <mergeCell ref="C36:I36"/>
    <mergeCell ref="D37:G37"/>
    <mergeCell ref="D38:G38"/>
    <mergeCell ref="D41:G41"/>
    <mergeCell ref="D39:G39"/>
    <mergeCell ref="D40:G40"/>
    <mergeCell ref="D68:G68"/>
    <mergeCell ref="D91:G91"/>
    <mergeCell ref="D58:G58"/>
    <mergeCell ref="D59:G59"/>
    <mergeCell ref="D60:G60"/>
    <mergeCell ref="D64:G64"/>
    <mergeCell ref="D65:G65"/>
    <mergeCell ref="C66:I66"/>
    <mergeCell ref="D67:G67"/>
    <mergeCell ref="D69:G69"/>
    <mergeCell ref="D70:G70"/>
    <mergeCell ref="C71:I71"/>
    <mergeCell ref="D72:G72"/>
    <mergeCell ref="D63:G63"/>
    <mergeCell ref="D61:G61"/>
    <mergeCell ref="D62:G62"/>
    <mergeCell ref="C52:I52"/>
    <mergeCell ref="D51:G51"/>
    <mergeCell ref="D56:G56"/>
    <mergeCell ref="D49:G49"/>
    <mergeCell ref="D43:G43"/>
    <mergeCell ref="D44:G44"/>
    <mergeCell ref="C53:I53"/>
    <mergeCell ref="D54:G54"/>
    <mergeCell ref="D55:G55"/>
    <mergeCell ref="D89:G89"/>
    <mergeCell ref="D90:G90"/>
    <mergeCell ref="D24:G24"/>
    <mergeCell ref="D34:G34"/>
    <mergeCell ref="D33:G33"/>
    <mergeCell ref="D31:G31"/>
    <mergeCell ref="D32:G32"/>
    <mergeCell ref="D29:G29"/>
    <mergeCell ref="D30:G30"/>
    <mergeCell ref="D42:G42"/>
    <mergeCell ref="D50:G50"/>
    <mergeCell ref="D45:G45"/>
    <mergeCell ref="D46:G46"/>
    <mergeCell ref="D57:G57"/>
    <mergeCell ref="D47:G47"/>
    <mergeCell ref="D48:G48"/>
    <mergeCell ref="B81:B84"/>
    <mergeCell ref="B85:B88"/>
    <mergeCell ref="I81:I84"/>
    <mergeCell ref="I85:I88"/>
    <mergeCell ref="C81:C84"/>
    <mergeCell ref="H81:H84"/>
    <mergeCell ref="C85:C88"/>
    <mergeCell ref="H85:H88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0" fitToHeight="0" orientation="portrait" r:id="rId1"/>
  <rowBreaks count="1" manualBreakCount="1">
    <brk id="65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  <pageSetUpPr fitToPage="1"/>
  </sheetPr>
  <dimension ref="A1:V492"/>
  <sheetViews>
    <sheetView showGridLines="0" view="pageBreakPreview" zoomScaleNormal="100" zoomScaleSheetLayoutView="100" workbookViewId="0">
      <pane ySplit="14" topLeftCell="A426" activePane="bottomLeft" state="frozen"/>
      <selection pane="bottomLeft" activeCell="G453" sqref="G453"/>
    </sheetView>
  </sheetViews>
  <sheetFormatPr defaultColWidth="9.109375" defaultRowHeight="14.4" x14ac:dyDescent="0.3"/>
  <cols>
    <col min="1" max="1" width="10.88671875" style="62" customWidth="1"/>
    <col min="2" max="2" width="9.109375" style="62"/>
    <col min="3" max="3" width="12.33203125" style="62" bestFit="1" customWidth="1"/>
    <col min="4" max="6" width="9.109375" style="62"/>
    <col min="7" max="7" width="28.33203125" style="62" customWidth="1"/>
    <col min="8" max="8" width="15.5546875" style="62" bestFit="1" customWidth="1"/>
    <col min="9" max="9" width="17.5546875" style="62" customWidth="1"/>
    <col min="10" max="10" width="13.33203125" style="62" customWidth="1"/>
    <col min="11" max="11" width="9.109375" style="1"/>
    <col min="12" max="16384" width="9.109375" style="62"/>
  </cols>
  <sheetData>
    <row r="1" spans="1:22" ht="12.9" customHeight="1" thickBot="1" x14ac:dyDescent="0.35">
      <c r="A1" s="656" t="s">
        <v>36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</row>
    <row r="2" spans="1:22" ht="12.9" hidden="1" customHeight="1" x14ac:dyDescent="0.3">
      <c r="A2" s="656" t="s">
        <v>37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</row>
    <row r="3" spans="1:22" ht="12.9" hidden="1" customHeight="1" x14ac:dyDescent="0.3">
      <c r="A3" s="656" t="s">
        <v>39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</row>
    <row r="4" spans="1:22" ht="12.9" hidden="1" customHeight="1" x14ac:dyDescent="0.3">
      <c r="A4" s="656" t="s">
        <v>38</v>
      </c>
      <c r="B4" s="656"/>
      <c r="C4" s="656"/>
      <c r="D4" s="656"/>
      <c r="E4" s="656"/>
      <c r="F4" s="656"/>
      <c r="G4" s="656"/>
      <c r="H4" s="656"/>
      <c r="I4" s="656"/>
      <c r="J4" s="656"/>
      <c r="K4" s="656"/>
    </row>
    <row r="5" spans="1:22" ht="12.9" hidden="1" customHeight="1" x14ac:dyDescent="0.3">
      <c r="A5" s="656" t="s">
        <v>162</v>
      </c>
      <c r="B5" s="656"/>
      <c r="C5" s="656"/>
      <c r="D5" s="656"/>
      <c r="E5" s="656"/>
      <c r="F5" s="656"/>
      <c r="G5" s="656"/>
      <c r="H5" s="656"/>
      <c r="I5" s="656"/>
      <c r="J5" s="656"/>
      <c r="K5" s="656"/>
      <c r="L5" s="60"/>
    </row>
    <row r="6" spans="1:22" ht="12.9" hidden="1" customHeight="1" x14ac:dyDescent="0.3">
      <c r="A6" s="656" t="s">
        <v>124</v>
      </c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0"/>
    </row>
    <row r="7" spans="1:22" ht="5.0999999999999996" hidden="1" customHeight="1" x14ac:dyDescent="0.3">
      <c r="A7" s="279"/>
      <c r="B7" s="279"/>
      <c r="C7" s="279"/>
      <c r="D7" s="279"/>
      <c r="E7" s="279"/>
      <c r="F7" s="279"/>
      <c r="G7" s="279"/>
      <c r="H7" s="279"/>
      <c r="I7" s="279"/>
      <c r="J7" s="279"/>
      <c r="K7" s="279"/>
    </row>
    <row r="8" spans="1:22" ht="20.100000000000001" hidden="1" customHeight="1" x14ac:dyDescent="0.35">
      <c r="A8" s="696" t="s">
        <v>160</v>
      </c>
      <c r="B8" s="696"/>
      <c r="C8" s="696"/>
      <c r="D8" s="696"/>
      <c r="E8" s="696"/>
      <c r="F8" s="696"/>
      <c r="G8" s="696"/>
      <c r="H8" s="696"/>
      <c r="I8" s="12" t="s">
        <v>16</v>
      </c>
      <c r="J8" s="15">
        <f>G453</f>
        <v>1185.1400000000012</v>
      </c>
      <c r="K8" s="14" t="s">
        <v>14</v>
      </c>
    </row>
    <row r="9" spans="1:22" ht="35.25" hidden="1" customHeight="1" x14ac:dyDescent="0.35">
      <c r="A9" s="657" t="s">
        <v>161</v>
      </c>
      <c r="B9" s="657"/>
      <c r="C9" s="657"/>
      <c r="D9" s="657"/>
      <c r="E9" s="657"/>
      <c r="F9" s="657"/>
      <c r="G9" s="657"/>
      <c r="H9" s="657"/>
      <c r="I9" s="464" t="s">
        <v>48</v>
      </c>
      <c r="J9" s="15">
        <f>H453</f>
        <v>81.037250000000256</v>
      </c>
      <c r="K9" s="14" t="s">
        <v>15</v>
      </c>
    </row>
    <row r="10" spans="1:22" ht="5.0999999999999996" hidden="1" customHeight="1" x14ac:dyDescent="0.35">
      <c r="A10" s="108"/>
      <c r="B10" s="108"/>
      <c r="C10" s="108"/>
      <c r="D10" s="108"/>
      <c r="E10" s="108"/>
      <c r="F10" s="108"/>
      <c r="G10" s="73"/>
      <c r="I10" s="12"/>
      <c r="J10" s="15"/>
      <c r="K10" s="14"/>
    </row>
    <row r="11" spans="1:22" ht="20.100000000000001" hidden="1" customHeight="1" x14ac:dyDescent="0.3">
      <c r="A11" s="693" t="s">
        <v>91</v>
      </c>
      <c r="B11" s="693"/>
      <c r="C11" s="693"/>
      <c r="D11" s="693"/>
      <c r="E11" s="693"/>
      <c r="F11" s="693"/>
      <c r="G11" s="693"/>
      <c r="H11" s="693"/>
      <c r="I11" s="693"/>
      <c r="J11" s="693"/>
      <c r="K11" s="693"/>
    </row>
    <row r="12" spans="1:22" ht="15" hidden="1" thickBot="1" x14ac:dyDescent="0.35">
      <c r="A12" s="3" t="s">
        <v>0</v>
      </c>
      <c r="M12" s="62">
        <v>0.4</v>
      </c>
      <c r="N12" s="62">
        <v>0.15</v>
      </c>
      <c r="O12" s="62">
        <f>M12*N12</f>
        <v>0.06</v>
      </c>
    </row>
    <row r="13" spans="1:22" ht="15" customHeight="1" x14ac:dyDescent="0.3">
      <c r="A13" s="694" t="s">
        <v>1</v>
      </c>
      <c r="B13" s="691" t="s">
        <v>9</v>
      </c>
      <c r="C13" s="691" t="s">
        <v>5</v>
      </c>
      <c r="D13" s="691" t="s">
        <v>6</v>
      </c>
      <c r="E13" s="691"/>
      <c r="F13" s="691"/>
      <c r="G13" s="691" t="s">
        <v>7</v>
      </c>
      <c r="H13" s="691" t="s">
        <v>8</v>
      </c>
      <c r="I13" s="691" t="s">
        <v>12</v>
      </c>
      <c r="J13" s="691"/>
      <c r="K13" s="689"/>
      <c r="M13" s="62">
        <v>0.25</v>
      </c>
      <c r="N13" s="62">
        <v>0.2</v>
      </c>
      <c r="O13" s="62">
        <f>M13*N13</f>
        <v>0.05</v>
      </c>
      <c r="Q13" s="203"/>
      <c r="R13" s="203"/>
      <c r="S13" s="203"/>
      <c r="T13" s="203"/>
      <c r="U13" s="203"/>
      <c r="V13" s="203"/>
    </row>
    <row r="14" spans="1:22" ht="15" thickBot="1" x14ac:dyDescent="0.35">
      <c r="A14" s="695"/>
      <c r="B14" s="692"/>
      <c r="C14" s="692"/>
      <c r="D14" s="281" t="s">
        <v>2</v>
      </c>
      <c r="E14" s="281" t="s">
        <v>3</v>
      </c>
      <c r="F14" s="281" t="s">
        <v>4</v>
      </c>
      <c r="G14" s="692"/>
      <c r="H14" s="692"/>
      <c r="I14" s="692"/>
      <c r="J14" s="692"/>
      <c r="K14" s="690"/>
      <c r="Q14" s="688" t="s">
        <v>86</v>
      </c>
      <c r="R14" s="688"/>
      <c r="S14" s="688" t="s">
        <v>87</v>
      </c>
      <c r="T14" s="688"/>
      <c r="U14" s="203" t="s">
        <v>88</v>
      </c>
      <c r="V14" s="203"/>
    </row>
    <row r="15" spans="1:22" ht="15" thickBot="1" x14ac:dyDescent="0.35">
      <c r="A15" s="685" t="s">
        <v>195</v>
      </c>
      <c r="B15" s="686"/>
      <c r="C15" s="686"/>
      <c r="D15" s="686"/>
      <c r="E15" s="686"/>
      <c r="F15" s="686"/>
      <c r="G15" s="686"/>
      <c r="H15" s="687"/>
      <c r="I15" s="483"/>
      <c r="J15" s="483"/>
      <c r="K15" s="484"/>
      <c r="Q15" s="460"/>
      <c r="R15" s="460"/>
      <c r="S15" s="460"/>
      <c r="T15" s="460"/>
      <c r="U15" s="203"/>
      <c r="V15" s="203"/>
    </row>
    <row r="16" spans="1:22" ht="15" thickBot="1" x14ac:dyDescent="0.35">
      <c r="A16" s="480" t="s">
        <v>168</v>
      </c>
      <c r="B16" s="481">
        <v>1</v>
      </c>
      <c r="C16" s="481" t="s">
        <v>99</v>
      </c>
      <c r="D16" s="482">
        <v>0.25</v>
      </c>
      <c r="E16" s="482">
        <v>0.5</v>
      </c>
      <c r="F16" s="482">
        <v>2.95</v>
      </c>
      <c r="G16" s="462">
        <f>(((2*D16+2*E16)*F16))*B16</f>
        <v>4.4250000000000007</v>
      </c>
      <c r="H16" s="462">
        <f>F16*E16*D16*B16</f>
        <v>0.36875000000000002</v>
      </c>
      <c r="I16" s="283"/>
      <c r="J16" s="283"/>
      <c r="K16" s="282"/>
      <c r="Q16" s="280"/>
      <c r="R16" s="280"/>
      <c r="S16" s="280"/>
      <c r="T16" s="280"/>
      <c r="U16" s="203"/>
      <c r="V16" s="203"/>
    </row>
    <row r="17" spans="1:22" ht="15" thickBot="1" x14ac:dyDescent="0.35">
      <c r="A17" s="289" t="s">
        <v>169</v>
      </c>
      <c r="B17" s="156">
        <v>1</v>
      </c>
      <c r="C17" s="156" t="s">
        <v>99</v>
      </c>
      <c r="D17" s="339">
        <v>0.25</v>
      </c>
      <c r="E17" s="339">
        <v>0.5</v>
      </c>
      <c r="F17" s="339">
        <v>2.95</v>
      </c>
      <c r="G17" s="5">
        <f t="shared" ref="G17:G58" si="0">(((2*D17+2*E17)*F17))*B17</f>
        <v>4.4250000000000007</v>
      </c>
      <c r="H17" s="4">
        <f t="shared" ref="H17:H58" si="1">F17*E17*D17*B17</f>
        <v>0.36875000000000002</v>
      </c>
      <c r="I17" s="283"/>
      <c r="J17" s="283"/>
      <c r="K17" s="282"/>
      <c r="Q17" s="288"/>
      <c r="R17" s="288"/>
      <c r="S17" s="288"/>
      <c r="T17" s="288"/>
      <c r="U17" s="203"/>
      <c r="V17" s="203"/>
    </row>
    <row r="18" spans="1:22" ht="15" thickBot="1" x14ac:dyDescent="0.35">
      <c r="A18" s="289" t="s">
        <v>170</v>
      </c>
      <c r="B18" s="156">
        <v>1</v>
      </c>
      <c r="C18" s="156" t="s">
        <v>99</v>
      </c>
      <c r="D18" s="339">
        <v>0.2</v>
      </c>
      <c r="E18" s="339">
        <v>0.4</v>
      </c>
      <c r="F18" s="339">
        <v>2.95</v>
      </c>
      <c r="G18" s="5">
        <f t="shared" si="0"/>
        <v>3.5400000000000009</v>
      </c>
      <c r="H18" s="4">
        <f t="shared" si="1"/>
        <v>0.23600000000000004</v>
      </c>
      <c r="I18" s="283"/>
      <c r="J18" s="283"/>
      <c r="K18" s="282"/>
      <c r="Q18" s="288"/>
      <c r="R18" s="288"/>
      <c r="S18" s="288"/>
      <c r="T18" s="288"/>
      <c r="U18" s="203"/>
      <c r="V18" s="203"/>
    </row>
    <row r="19" spans="1:22" ht="15" thickBot="1" x14ac:dyDescent="0.35">
      <c r="A19" s="289" t="s">
        <v>171</v>
      </c>
      <c r="B19" s="156">
        <v>1</v>
      </c>
      <c r="C19" s="156" t="s">
        <v>99</v>
      </c>
      <c r="D19" s="339">
        <v>0.25</v>
      </c>
      <c r="E19" s="339">
        <v>0.4</v>
      </c>
      <c r="F19" s="339">
        <v>2.95</v>
      </c>
      <c r="G19" s="5">
        <f t="shared" si="0"/>
        <v>3.8350000000000004</v>
      </c>
      <c r="H19" s="4">
        <f t="shared" si="1"/>
        <v>0.29500000000000004</v>
      </c>
      <c r="I19" s="283"/>
      <c r="J19" s="283"/>
      <c r="K19" s="282"/>
      <c r="Q19" s="288"/>
      <c r="R19" s="288"/>
      <c r="S19" s="288"/>
      <c r="T19" s="288"/>
      <c r="U19" s="203"/>
      <c r="V19" s="203"/>
    </row>
    <row r="20" spans="1:22" ht="15" thickBot="1" x14ac:dyDescent="0.35">
      <c r="A20" s="289" t="s">
        <v>172</v>
      </c>
      <c r="B20" s="156">
        <v>1</v>
      </c>
      <c r="C20" s="156" t="s">
        <v>99</v>
      </c>
      <c r="D20" s="339">
        <v>0.2</v>
      </c>
      <c r="E20" s="339">
        <v>0.4</v>
      </c>
      <c r="F20" s="339">
        <v>2.95</v>
      </c>
      <c r="G20" s="5">
        <f t="shared" si="0"/>
        <v>3.5400000000000009</v>
      </c>
      <c r="H20" s="4">
        <f t="shared" si="1"/>
        <v>0.23600000000000004</v>
      </c>
      <c r="I20" s="283"/>
      <c r="J20" s="283"/>
      <c r="K20" s="282"/>
      <c r="Q20" s="288"/>
      <c r="R20" s="288"/>
      <c r="S20" s="288"/>
      <c r="T20" s="288"/>
      <c r="U20" s="203"/>
      <c r="V20" s="203"/>
    </row>
    <row r="21" spans="1:22" ht="15" thickBot="1" x14ac:dyDescent="0.35">
      <c r="A21" s="289" t="s">
        <v>173</v>
      </c>
      <c r="B21" s="156">
        <v>1</v>
      </c>
      <c r="C21" s="156" t="s">
        <v>99</v>
      </c>
      <c r="D21" s="339">
        <v>0.25</v>
      </c>
      <c r="E21" s="339">
        <v>0.4</v>
      </c>
      <c r="F21" s="339">
        <v>2.95</v>
      </c>
      <c r="G21" s="5">
        <f t="shared" si="0"/>
        <v>3.8350000000000004</v>
      </c>
      <c r="H21" s="4">
        <f t="shared" si="1"/>
        <v>0.29500000000000004</v>
      </c>
      <c r="I21" s="283"/>
      <c r="J21" s="283"/>
      <c r="K21" s="282"/>
      <c r="Q21" s="288"/>
      <c r="R21" s="288"/>
      <c r="S21" s="288"/>
      <c r="T21" s="288"/>
      <c r="U21" s="203"/>
      <c r="V21" s="203"/>
    </row>
    <row r="22" spans="1:22" ht="15" thickBot="1" x14ac:dyDescent="0.35">
      <c r="A22" s="289" t="s">
        <v>174</v>
      </c>
      <c r="B22" s="156">
        <v>1</v>
      </c>
      <c r="C22" s="156" t="s">
        <v>99</v>
      </c>
      <c r="D22" s="339">
        <v>0.25</v>
      </c>
      <c r="E22" s="339">
        <v>0.5</v>
      </c>
      <c r="F22" s="339">
        <v>2.95</v>
      </c>
      <c r="G22" s="5">
        <f t="shared" si="0"/>
        <v>4.4250000000000007</v>
      </c>
      <c r="H22" s="4">
        <f t="shared" si="1"/>
        <v>0.36875000000000002</v>
      </c>
      <c r="I22" s="283"/>
      <c r="J22" s="283"/>
      <c r="K22" s="282"/>
      <c r="Q22" s="288"/>
      <c r="R22" s="288"/>
      <c r="S22" s="288"/>
      <c r="T22" s="288"/>
      <c r="U22" s="203"/>
      <c r="V22" s="203"/>
    </row>
    <row r="23" spans="1:22" ht="15" thickBot="1" x14ac:dyDescent="0.35">
      <c r="A23" s="289" t="s">
        <v>175</v>
      </c>
      <c r="B23" s="156">
        <v>1</v>
      </c>
      <c r="C23" s="156" t="s">
        <v>99</v>
      </c>
      <c r="D23" s="339">
        <v>0.25</v>
      </c>
      <c r="E23" s="339">
        <v>0.5</v>
      </c>
      <c r="F23" s="339">
        <v>2.95</v>
      </c>
      <c r="G23" s="5">
        <f t="shared" si="0"/>
        <v>4.4250000000000007</v>
      </c>
      <c r="H23" s="4">
        <f t="shared" si="1"/>
        <v>0.36875000000000002</v>
      </c>
      <c r="I23" s="283"/>
      <c r="J23" s="283"/>
      <c r="K23" s="282"/>
      <c r="Q23" s="288"/>
      <c r="R23" s="288"/>
      <c r="S23" s="288"/>
      <c r="T23" s="288"/>
      <c r="U23" s="203"/>
      <c r="V23" s="203"/>
    </row>
    <row r="24" spans="1:22" ht="15" thickBot="1" x14ac:dyDescent="0.35">
      <c r="A24" s="289" t="s">
        <v>168</v>
      </c>
      <c r="B24" s="156">
        <v>1</v>
      </c>
      <c r="C24" s="156" t="s">
        <v>184</v>
      </c>
      <c r="D24" s="339">
        <v>0.25</v>
      </c>
      <c r="E24" s="339">
        <v>0.5</v>
      </c>
      <c r="F24" s="339">
        <v>0.9</v>
      </c>
      <c r="G24" s="5">
        <f t="shared" si="0"/>
        <v>1.35</v>
      </c>
      <c r="H24" s="4">
        <f t="shared" si="1"/>
        <v>0.1125</v>
      </c>
      <c r="I24" s="283"/>
      <c r="J24" s="283"/>
      <c r="K24" s="282"/>
      <c r="Q24" s="288"/>
      <c r="R24" s="288"/>
      <c r="S24" s="288"/>
      <c r="T24" s="288"/>
      <c r="U24" s="203"/>
      <c r="V24" s="203"/>
    </row>
    <row r="25" spans="1:22" ht="15" thickBot="1" x14ac:dyDescent="0.35">
      <c r="A25" s="289" t="s">
        <v>169</v>
      </c>
      <c r="B25" s="156">
        <v>1</v>
      </c>
      <c r="C25" s="156" t="s">
        <v>184</v>
      </c>
      <c r="D25" s="339">
        <v>0.25</v>
      </c>
      <c r="E25" s="339">
        <v>0.5</v>
      </c>
      <c r="F25" s="339">
        <v>0.9</v>
      </c>
      <c r="G25" s="5">
        <f t="shared" si="0"/>
        <v>1.35</v>
      </c>
      <c r="H25" s="4">
        <f t="shared" si="1"/>
        <v>0.1125</v>
      </c>
      <c r="I25" s="283"/>
      <c r="J25" s="283"/>
      <c r="K25" s="282"/>
      <c r="Q25" s="288"/>
      <c r="R25" s="288"/>
      <c r="S25" s="288"/>
      <c r="T25" s="288"/>
      <c r="U25" s="203"/>
      <c r="V25" s="203"/>
    </row>
    <row r="26" spans="1:22" ht="15" thickBot="1" x14ac:dyDescent="0.35">
      <c r="A26" s="289" t="s">
        <v>170</v>
      </c>
      <c r="B26" s="156">
        <v>1</v>
      </c>
      <c r="C26" s="156" t="s">
        <v>184</v>
      </c>
      <c r="D26" s="339">
        <v>0.2</v>
      </c>
      <c r="E26" s="339">
        <v>0.4</v>
      </c>
      <c r="F26" s="339">
        <v>0.9</v>
      </c>
      <c r="G26" s="5">
        <f t="shared" si="0"/>
        <v>1.0800000000000003</v>
      </c>
      <c r="H26" s="4">
        <f t="shared" si="1"/>
        <v>7.2000000000000008E-2</v>
      </c>
      <c r="I26" s="283"/>
      <c r="J26" s="283"/>
      <c r="K26" s="282"/>
      <c r="Q26" s="288"/>
      <c r="R26" s="288"/>
      <c r="S26" s="288"/>
      <c r="T26" s="288"/>
      <c r="U26" s="203"/>
      <c r="V26" s="203"/>
    </row>
    <row r="27" spans="1:22" ht="15" thickBot="1" x14ac:dyDescent="0.35">
      <c r="A27" s="289" t="s">
        <v>171</v>
      </c>
      <c r="B27" s="156">
        <v>1</v>
      </c>
      <c r="C27" s="156" t="s">
        <v>184</v>
      </c>
      <c r="D27" s="339">
        <v>0.25</v>
      </c>
      <c r="E27" s="339">
        <v>0.4</v>
      </c>
      <c r="F27" s="339">
        <v>0.9</v>
      </c>
      <c r="G27" s="5">
        <f t="shared" si="0"/>
        <v>1.1700000000000002</v>
      </c>
      <c r="H27" s="4">
        <f t="shared" si="1"/>
        <v>9.0000000000000011E-2</v>
      </c>
      <c r="I27" s="283"/>
      <c r="J27" s="283"/>
      <c r="K27" s="282"/>
      <c r="Q27" s="288"/>
      <c r="R27" s="288"/>
      <c r="S27" s="288"/>
      <c r="T27" s="288"/>
      <c r="U27" s="203"/>
      <c r="V27" s="203"/>
    </row>
    <row r="28" spans="1:22" ht="15" thickBot="1" x14ac:dyDescent="0.35">
      <c r="A28" s="289" t="s">
        <v>172</v>
      </c>
      <c r="B28" s="156">
        <v>1</v>
      </c>
      <c r="C28" s="156" t="s">
        <v>184</v>
      </c>
      <c r="D28" s="339">
        <v>0.2</v>
      </c>
      <c r="E28" s="339">
        <v>0.4</v>
      </c>
      <c r="F28" s="339">
        <v>0.9</v>
      </c>
      <c r="G28" s="5">
        <f t="shared" si="0"/>
        <v>1.0800000000000003</v>
      </c>
      <c r="H28" s="4">
        <f t="shared" si="1"/>
        <v>7.2000000000000008E-2</v>
      </c>
      <c r="I28" s="283"/>
      <c r="J28" s="283"/>
      <c r="K28" s="282"/>
      <c r="Q28" s="288"/>
      <c r="R28" s="288"/>
      <c r="S28" s="288"/>
      <c r="T28" s="288"/>
      <c r="U28" s="203"/>
      <c r="V28" s="203"/>
    </row>
    <row r="29" spans="1:22" ht="15" thickBot="1" x14ac:dyDescent="0.35">
      <c r="A29" s="289" t="s">
        <v>173</v>
      </c>
      <c r="B29" s="156">
        <v>1</v>
      </c>
      <c r="C29" s="156" t="s">
        <v>184</v>
      </c>
      <c r="D29" s="339">
        <v>0.25</v>
      </c>
      <c r="E29" s="339">
        <v>0.4</v>
      </c>
      <c r="F29" s="339">
        <v>0.9</v>
      </c>
      <c r="G29" s="5">
        <f t="shared" si="0"/>
        <v>1.1700000000000002</v>
      </c>
      <c r="H29" s="4">
        <f t="shared" si="1"/>
        <v>9.0000000000000011E-2</v>
      </c>
      <c r="I29" s="283"/>
      <c r="J29" s="283"/>
      <c r="K29" s="282"/>
      <c r="Q29" s="288"/>
      <c r="R29" s="288"/>
      <c r="S29" s="288"/>
      <c r="T29" s="288"/>
      <c r="U29" s="203"/>
      <c r="V29" s="203"/>
    </row>
    <row r="30" spans="1:22" ht="15" thickBot="1" x14ac:dyDescent="0.35">
      <c r="A30" s="289" t="s">
        <v>174</v>
      </c>
      <c r="B30" s="156">
        <v>1</v>
      </c>
      <c r="C30" s="156" t="s">
        <v>184</v>
      </c>
      <c r="D30" s="339">
        <v>0.25</v>
      </c>
      <c r="E30" s="339">
        <v>0.5</v>
      </c>
      <c r="F30" s="339">
        <v>0.9</v>
      </c>
      <c r="G30" s="5">
        <f t="shared" si="0"/>
        <v>1.35</v>
      </c>
      <c r="H30" s="4">
        <f t="shared" si="1"/>
        <v>0.1125</v>
      </c>
      <c r="I30" s="283"/>
      <c r="J30" s="283"/>
      <c r="K30" s="282"/>
      <c r="Q30" s="288"/>
      <c r="R30" s="288"/>
      <c r="S30" s="288"/>
      <c r="T30" s="288"/>
      <c r="U30" s="203"/>
      <c r="V30" s="203"/>
    </row>
    <row r="31" spans="1:22" ht="15" thickBot="1" x14ac:dyDescent="0.35">
      <c r="A31" s="289" t="s">
        <v>175</v>
      </c>
      <c r="B31" s="156">
        <v>1</v>
      </c>
      <c r="C31" s="156" t="s">
        <v>184</v>
      </c>
      <c r="D31" s="339">
        <v>0.25</v>
      </c>
      <c r="E31" s="339">
        <v>0.5</v>
      </c>
      <c r="F31" s="339">
        <v>0.9</v>
      </c>
      <c r="G31" s="5">
        <f t="shared" si="0"/>
        <v>1.35</v>
      </c>
      <c r="H31" s="4">
        <f t="shared" si="1"/>
        <v>0.1125</v>
      </c>
      <c r="I31" s="283"/>
      <c r="J31" s="283"/>
      <c r="K31" s="282"/>
      <c r="Q31" s="288"/>
      <c r="R31" s="288"/>
      <c r="S31" s="288"/>
      <c r="T31" s="288"/>
      <c r="U31" s="203"/>
      <c r="V31" s="203"/>
    </row>
    <row r="32" spans="1:22" ht="15" thickBot="1" x14ac:dyDescent="0.35">
      <c r="A32" s="289" t="s">
        <v>176</v>
      </c>
      <c r="B32" s="156">
        <v>1</v>
      </c>
      <c r="C32" s="156" t="s">
        <v>184</v>
      </c>
      <c r="D32" s="339">
        <v>0.25</v>
      </c>
      <c r="E32" s="339">
        <v>0.25</v>
      </c>
      <c r="F32" s="339">
        <v>0.9</v>
      </c>
      <c r="G32" s="5">
        <f t="shared" si="0"/>
        <v>0.9</v>
      </c>
      <c r="H32" s="4">
        <f t="shared" si="1"/>
        <v>5.6250000000000001E-2</v>
      </c>
      <c r="I32" s="283"/>
      <c r="J32" s="283"/>
      <c r="K32" s="282"/>
      <c r="Q32" s="288"/>
      <c r="R32" s="288"/>
      <c r="S32" s="288"/>
      <c r="T32" s="288"/>
      <c r="U32" s="203"/>
      <c r="V32" s="203"/>
    </row>
    <row r="33" spans="1:22" ht="15" thickBot="1" x14ac:dyDescent="0.35">
      <c r="A33" s="289" t="s">
        <v>177</v>
      </c>
      <c r="B33" s="156">
        <v>1</v>
      </c>
      <c r="C33" s="156" t="s">
        <v>184</v>
      </c>
      <c r="D33" s="339">
        <v>0.25</v>
      </c>
      <c r="E33" s="339">
        <v>0.25</v>
      </c>
      <c r="F33" s="339">
        <v>0.9</v>
      </c>
      <c r="G33" s="5">
        <f t="shared" si="0"/>
        <v>0.9</v>
      </c>
      <c r="H33" s="4">
        <f t="shared" si="1"/>
        <v>5.6250000000000001E-2</v>
      </c>
      <c r="I33" s="283"/>
      <c r="J33" s="283"/>
      <c r="K33" s="282"/>
      <c r="Q33" s="288"/>
      <c r="R33" s="288"/>
      <c r="S33" s="288"/>
      <c r="T33" s="288"/>
      <c r="U33" s="203"/>
      <c r="V33" s="203"/>
    </row>
    <row r="34" spans="1:22" ht="15" thickBot="1" x14ac:dyDescent="0.35">
      <c r="A34" s="685" t="s">
        <v>196</v>
      </c>
      <c r="B34" s="686"/>
      <c r="C34" s="686"/>
      <c r="D34" s="686"/>
      <c r="E34" s="686"/>
      <c r="F34" s="686"/>
      <c r="G34" s="686"/>
      <c r="H34" s="687"/>
      <c r="I34" s="483"/>
      <c r="J34" s="483"/>
      <c r="K34" s="484"/>
      <c r="Q34" s="479"/>
      <c r="R34" s="479"/>
      <c r="S34" s="479"/>
      <c r="T34" s="479"/>
      <c r="U34" s="203"/>
      <c r="V34" s="203"/>
    </row>
    <row r="35" spans="1:22" ht="15" thickBot="1" x14ac:dyDescent="0.35">
      <c r="A35" s="289" t="s">
        <v>217</v>
      </c>
      <c r="B35" s="156">
        <v>1</v>
      </c>
      <c r="C35" s="156" t="s">
        <v>99</v>
      </c>
      <c r="D35" s="339">
        <v>0.15</v>
      </c>
      <c r="E35" s="339">
        <v>0.4</v>
      </c>
      <c r="F35" s="339">
        <v>2.95</v>
      </c>
      <c r="G35" s="5">
        <f t="shared" si="0"/>
        <v>3.2450000000000006</v>
      </c>
      <c r="H35" s="4">
        <f t="shared" si="1"/>
        <v>0.17700000000000002</v>
      </c>
      <c r="I35" s="283"/>
      <c r="J35" s="283"/>
      <c r="K35" s="282"/>
      <c r="Q35" s="288"/>
      <c r="R35" s="288"/>
      <c r="S35" s="288"/>
      <c r="T35" s="288"/>
      <c r="U35" s="203"/>
      <c r="V35" s="203"/>
    </row>
    <row r="36" spans="1:22" ht="15" thickBot="1" x14ac:dyDescent="0.35">
      <c r="A36" s="289" t="s">
        <v>218</v>
      </c>
      <c r="B36" s="156">
        <v>1</v>
      </c>
      <c r="C36" s="156" t="s">
        <v>99</v>
      </c>
      <c r="D36" s="339">
        <v>0.2</v>
      </c>
      <c r="E36" s="339">
        <v>0.4</v>
      </c>
      <c r="F36" s="339">
        <v>2.95</v>
      </c>
      <c r="G36" s="5">
        <f t="shared" si="0"/>
        <v>3.5400000000000009</v>
      </c>
      <c r="H36" s="4">
        <f t="shared" si="1"/>
        <v>0.23600000000000004</v>
      </c>
      <c r="I36" s="283"/>
      <c r="J36" s="283"/>
      <c r="K36" s="282"/>
      <c r="Q36" s="288"/>
      <c r="R36" s="288"/>
      <c r="S36" s="288"/>
      <c r="T36" s="288"/>
      <c r="U36" s="203"/>
      <c r="V36" s="203"/>
    </row>
    <row r="37" spans="1:22" ht="15" thickBot="1" x14ac:dyDescent="0.35">
      <c r="A37" s="289" t="s">
        <v>219</v>
      </c>
      <c r="B37" s="156">
        <v>1</v>
      </c>
      <c r="C37" s="156" t="s">
        <v>99</v>
      </c>
      <c r="D37" s="339">
        <v>0.15</v>
      </c>
      <c r="E37" s="339">
        <v>0.4</v>
      </c>
      <c r="F37" s="339">
        <v>2.95</v>
      </c>
      <c r="G37" s="5">
        <f t="shared" si="0"/>
        <v>3.2450000000000006</v>
      </c>
      <c r="H37" s="4">
        <f t="shared" si="1"/>
        <v>0.17700000000000002</v>
      </c>
      <c r="I37" s="283"/>
      <c r="J37" s="283"/>
      <c r="K37" s="282"/>
      <c r="Q37" s="288"/>
      <c r="R37" s="288"/>
      <c r="S37" s="288"/>
      <c r="T37" s="288"/>
      <c r="U37" s="203"/>
      <c r="V37" s="203"/>
    </row>
    <row r="38" spans="1:22" ht="15" thickBot="1" x14ac:dyDescent="0.35">
      <c r="A38" s="289" t="s">
        <v>220</v>
      </c>
      <c r="B38" s="156">
        <v>1</v>
      </c>
      <c r="C38" s="156" t="s">
        <v>99</v>
      </c>
      <c r="D38" s="339">
        <v>0.15</v>
      </c>
      <c r="E38" s="339">
        <v>0.4</v>
      </c>
      <c r="F38" s="339">
        <v>2.95</v>
      </c>
      <c r="G38" s="5">
        <f t="shared" si="0"/>
        <v>3.2450000000000006</v>
      </c>
      <c r="H38" s="4">
        <f t="shared" si="1"/>
        <v>0.17700000000000002</v>
      </c>
      <c r="I38" s="283"/>
      <c r="J38" s="283"/>
      <c r="K38" s="282"/>
      <c r="Q38" s="288"/>
      <c r="R38" s="288"/>
      <c r="S38" s="288"/>
      <c r="T38" s="288"/>
      <c r="U38" s="203"/>
      <c r="V38" s="203"/>
    </row>
    <row r="39" spans="1:22" ht="15" thickBot="1" x14ac:dyDescent="0.35">
      <c r="A39" s="289" t="s">
        <v>221</v>
      </c>
      <c r="B39" s="156">
        <v>1</v>
      </c>
      <c r="C39" s="156" t="s">
        <v>99</v>
      </c>
      <c r="D39" s="339">
        <v>0.2</v>
      </c>
      <c r="E39" s="339">
        <v>0.4</v>
      </c>
      <c r="F39" s="339">
        <v>2.95</v>
      </c>
      <c r="G39" s="5">
        <f t="shared" si="0"/>
        <v>3.5400000000000009</v>
      </c>
      <c r="H39" s="4">
        <f t="shared" si="1"/>
        <v>0.23600000000000004</v>
      </c>
      <c r="I39" s="283"/>
      <c r="J39" s="283"/>
      <c r="K39" s="282"/>
      <c r="Q39" s="288"/>
      <c r="R39" s="288"/>
      <c r="S39" s="288"/>
      <c r="T39" s="288"/>
      <c r="U39" s="203"/>
      <c r="V39" s="203"/>
    </row>
    <row r="40" spans="1:22" ht="15" thickBot="1" x14ac:dyDescent="0.35">
      <c r="A40" s="289" t="s">
        <v>222</v>
      </c>
      <c r="B40" s="156">
        <v>1</v>
      </c>
      <c r="C40" s="156" t="s">
        <v>99</v>
      </c>
      <c r="D40" s="339">
        <v>0.15</v>
      </c>
      <c r="E40" s="339">
        <v>0.4</v>
      </c>
      <c r="F40" s="339">
        <v>2.95</v>
      </c>
      <c r="G40" s="5">
        <f t="shared" ref="G40:G56" si="2">(((2*D40+2*E40)*F40))*B40</f>
        <v>3.2450000000000006</v>
      </c>
      <c r="H40" s="4">
        <f t="shared" ref="H40:H56" si="3">F40*E40*D40*B40</f>
        <v>0.17700000000000002</v>
      </c>
      <c r="I40" s="283"/>
      <c r="J40" s="283"/>
      <c r="K40" s="282"/>
      <c r="Q40" s="479"/>
      <c r="R40" s="479"/>
      <c r="S40" s="479"/>
      <c r="T40" s="479"/>
      <c r="U40" s="203"/>
      <c r="V40" s="203"/>
    </row>
    <row r="41" spans="1:22" ht="15" thickBot="1" x14ac:dyDescent="0.35">
      <c r="A41" s="289" t="s">
        <v>223</v>
      </c>
      <c r="B41" s="156">
        <v>1</v>
      </c>
      <c r="C41" s="156" t="s">
        <v>99</v>
      </c>
      <c r="D41" s="339">
        <v>0.15</v>
      </c>
      <c r="E41" s="339">
        <v>0.4</v>
      </c>
      <c r="F41" s="339">
        <v>2.95</v>
      </c>
      <c r="G41" s="5">
        <f t="shared" si="2"/>
        <v>3.2450000000000006</v>
      </c>
      <c r="H41" s="4">
        <f t="shared" si="3"/>
        <v>0.17700000000000002</v>
      </c>
      <c r="I41" s="283"/>
      <c r="J41" s="283"/>
      <c r="K41" s="282"/>
      <c r="Q41" s="479"/>
      <c r="R41" s="479"/>
      <c r="S41" s="479"/>
      <c r="T41" s="479"/>
      <c r="U41" s="203"/>
      <c r="V41" s="203"/>
    </row>
    <row r="42" spans="1:22" ht="15" thickBot="1" x14ac:dyDescent="0.35">
      <c r="A42" s="289" t="s">
        <v>224</v>
      </c>
      <c r="B42" s="156">
        <v>1</v>
      </c>
      <c r="C42" s="156" t="s">
        <v>99</v>
      </c>
      <c r="D42" s="339">
        <v>0.15</v>
      </c>
      <c r="E42" s="339">
        <v>0.5</v>
      </c>
      <c r="F42" s="339">
        <v>2.95</v>
      </c>
      <c r="G42" s="5">
        <f t="shared" si="2"/>
        <v>3.8350000000000004</v>
      </c>
      <c r="H42" s="4">
        <f t="shared" si="3"/>
        <v>0.22125</v>
      </c>
      <c r="I42" s="283"/>
      <c r="J42" s="283"/>
      <c r="K42" s="282"/>
      <c r="Q42" s="479"/>
      <c r="R42" s="479"/>
      <c r="S42" s="479"/>
      <c r="T42" s="479"/>
      <c r="U42" s="203"/>
      <c r="V42" s="203"/>
    </row>
    <row r="43" spans="1:22" ht="15" thickBot="1" x14ac:dyDescent="0.35">
      <c r="A43" s="289" t="s">
        <v>225</v>
      </c>
      <c r="B43" s="156">
        <v>1</v>
      </c>
      <c r="C43" s="156" t="s">
        <v>99</v>
      </c>
      <c r="D43" s="339">
        <v>0.2</v>
      </c>
      <c r="E43" s="339">
        <v>0.4</v>
      </c>
      <c r="F43" s="339">
        <v>2.95</v>
      </c>
      <c r="G43" s="5">
        <f t="shared" si="2"/>
        <v>3.5400000000000009</v>
      </c>
      <c r="H43" s="4">
        <f t="shared" si="3"/>
        <v>0.23600000000000004</v>
      </c>
      <c r="I43" s="283"/>
      <c r="J43" s="283"/>
      <c r="K43" s="282"/>
      <c r="Q43" s="479"/>
      <c r="R43" s="479"/>
      <c r="S43" s="479"/>
      <c r="T43" s="479"/>
      <c r="U43" s="203"/>
      <c r="V43" s="203"/>
    </row>
    <row r="44" spans="1:22" ht="15" thickBot="1" x14ac:dyDescent="0.35">
      <c r="A44" s="289" t="s">
        <v>226</v>
      </c>
      <c r="B44" s="156">
        <v>1</v>
      </c>
      <c r="C44" s="156" t="s">
        <v>99</v>
      </c>
      <c r="D44" s="339">
        <v>0.15</v>
      </c>
      <c r="E44" s="339">
        <v>0.4</v>
      </c>
      <c r="F44" s="339">
        <v>2.95</v>
      </c>
      <c r="G44" s="5">
        <f t="shared" si="2"/>
        <v>3.2450000000000006</v>
      </c>
      <c r="H44" s="4">
        <f t="shared" si="3"/>
        <v>0.17700000000000002</v>
      </c>
      <c r="I44" s="283"/>
      <c r="J44" s="283"/>
      <c r="K44" s="282"/>
      <c r="Q44" s="479"/>
      <c r="R44" s="479"/>
      <c r="S44" s="479"/>
      <c r="T44" s="479"/>
      <c r="U44" s="203"/>
      <c r="V44" s="203"/>
    </row>
    <row r="45" spans="1:22" ht="15" thickBot="1" x14ac:dyDescent="0.35">
      <c r="A45" s="289" t="s">
        <v>227</v>
      </c>
      <c r="B45" s="156">
        <v>1</v>
      </c>
      <c r="C45" s="156" t="s">
        <v>99</v>
      </c>
      <c r="D45" s="339">
        <v>0.2</v>
      </c>
      <c r="E45" s="339">
        <v>0.4</v>
      </c>
      <c r="F45" s="339">
        <v>2.95</v>
      </c>
      <c r="G45" s="5">
        <f t="shared" si="2"/>
        <v>3.5400000000000009</v>
      </c>
      <c r="H45" s="4">
        <f t="shared" si="3"/>
        <v>0.23600000000000004</v>
      </c>
      <c r="I45" s="283"/>
      <c r="J45" s="283"/>
      <c r="K45" s="282"/>
      <c r="Q45" s="479"/>
      <c r="R45" s="479"/>
      <c r="S45" s="479"/>
      <c r="T45" s="479"/>
      <c r="U45" s="203"/>
      <c r="V45" s="203"/>
    </row>
    <row r="46" spans="1:22" ht="15" thickBot="1" x14ac:dyDescent="0.35">
      <c r="A46" s="289" t="s">
        <v>228</v>
      </c>
      <c r="B46" s="156">
        <v>1</v>
      </c>
      <c r="C46" s="156" t="s">
        <v>99</v>
      </c>
      <c r="D46" s="339">
        <v>0.15</v>
      </c>
      <c r="E46" s="339">
        <v>0.4</v>
      </c>
      <c r="F46" s="339">
        <v>2.95</v>
      </c>
      <c r="G46" s="5">
        <f t="shared" ref="G46:G54" si="4">(((2*D46+2*E46)*F46))*B46</f>
        <v>3.2450000000000006</v>
      </c>
      <c r="H46" s="4">
        <f t="shared" ref="H46:H54" si="5">F46*E46*D46*B46</f>
        <v>0.17700000000000002</v>
      </c>
      <c r="I46" s="283"/>
      <c r="J46" s="283"/>
      <c r="K46" s="282"/>
      <c r="Q46" s="479"/>
      <c r="R46" s="479"/>
      <c r="S46" s="479"/>
      <c r="T46" s="479"/>
      <c r="U46" s="203"/>
      <c r="V46" s="203"/>
    </row>
    <row r="47" spans="1:22" ht="15" thickBot="1" x14ac:dyDescent="0.35">
      <c r="A47" s="289" t="s">
        <v>229</v>
      </c>
      <c r="B47" s="156">
        <v>1</v>
      </c>
      <c r="C47" s="156" t="s">
        <v>99</v>
      </c>
      <c r="D47" s="339">
        <v>0.15</v>
      </c>
      <c r="E47" s="339">
        <v>0.4</v>
      </c>
      <c r="F47" s="339">
        <v>2.95</v>
      </c>
      <c r="G47" s="5">
        <f t="shared" si="4"/>
        <v>3.2450000000000006</v>
      </c>
      <c r="H47" s="4">
        <f t="shared" si="5"/>
        <v>0.17700000000000002</v>
      </c>
      <c r="I47" s="283"/>
      <c r="J47" s="283"/>
      <c r="K47" s="282"/>
      <c r="Q47" s="479"/>
      <c r="R47" s="479"/>
      <c r="S47" s="479"/>
      <c r="T47" s="479"/>
      <c r="U47" s="203"/>
      <c r="V47" s="203"/>
    </row>
    <row r="48" spans="1:22" ht="15" thickBot="1" x14ac:dyDescent="0.35">
      <c r="A48" s="289" t="s">
        <v>230</v>
      </c>
      <c r="B48" s="156">
        <v>1</v>
      </c>
      <c r="C48" s="156" t="s">
        <v>99</v>
      </c>
      <c r="D48" s="339">
        <v>0.2</v>
      </c>
      <c r="E48" s="339">
        <v>0.4</v>
      </c>
      <c r="F48" s="339">
        <v>2.95</v>
      </c>
      <c r="G48" s="5">
        <f t="shared" si="4"/>
        <v>3.5400000000000009</v>
      </c>
      <c r="H48" s="4">
        <f t="shared" si="5"/>
        <v>0.23600000000000004</v>
      </c>
      <c r="I48" s="283"/>
      <c r="J48" s="283"/>
      <c r="K48" s="282"/>
      <c r="Q48" s="479"/>
      <c r="R48" s="479"/>
      <c r="S48" s="479"/>
      <c r="T48" s="479"/>
      <c r="U48" s="203"/>
      <c r="V48" s="203"/>
    </row>
    <row r="49" spans="1:22" ht="15" thickBot="1" x14ac:dyDescent="0.35">
      <c r="A49" s="289" t="s">
        <v>231</v>
      </c>
      <c r="B49" s="156">
        <v>1</v>
      </c>
      <c r="C49" s="156" t="s">
        <v>99</v>
      </c>
      <c r="D49" s="339">
        <v>0.15</v>
      </c>
      <c r="E49" s="339">
        <v>0.4</v>
      </c>
      <c r="F49" s="339">
        <v>2.95</v>
      </c>
      <c r="G49" s="5">
        <f t="shared" si="4"/>
        <v>3.2450000000000006</v>
      </c>
      <c r="H49" s="4">
        <f t="shared" si="5"/>
        <v>0.17700000000000002</v>
      </c>
      <c r="I49" s="283"/>
      <c r="J49" s="283"/>
      <c r="K49" s="282"/>
      <c r="Q49" s="479"/>
      <c r="R49" s="479"/>
      <c r="S49" s="479"/>
      <c r="T49" s="479"/>
      <c r="U49" s="203"/>
      <c r="V49" s="203"/>
    </row>
    <row r="50" spans="1:22" ht="15" thickBot="1" x14ac:dyDescent="0.35">
      <c r="A50" s="685" t="s">
        <v>281</v>
      </c>
      <c r="B50" s="686"/>
      <c r="C50" s="686"/>
      <c r="D50" s="686"/>
      <c r="E50" s="686"/>
      <c r="F50" s="686"/>
      <c r="G50" s="686"/>
      <c r="H50" s="687"/>
      <c r="I50" s="483"/>
      <c r="J50" s="483"/>
      <c r="K50" s="484"/>
      <c r="Q50" s="486"/>
      <c r="R50" s="486"/>
      <c r="S50" s="486"/>
      <c r="T50" s="486"/>
      <c r="U50" s="203"/>
      <c r="V50" s="203"/>
    </row>
    <row r="51" spans="1:22" ht="15" thickBot="1" x14ac:dyDescent="0.35">
      <c r="A51" s="289" t="s">
        <v>301</v>
      </c>
      <c r="B51" s="156">
        <v>1</v>
      </c>
      <c r="C51" s="156" t="s">
        <v>99</v>
      </c>
      <c r="D51" s="339">
        <v>0.15</v>
      </c>
      <c r="E51" s="339">
        <v>0.95</v>
      </c>
      <c r="F51" s="339">
        <v>2.95</v>
      </c>
      <c r="G51" s="5">
        <f t="shared" si="4"/>
        <v>6.4899999999999993</v>
      </c>
      <c r="H51" s="4">
        <f t="shared" si="5"/>
        <v>0.420375</v>
      </c>
      <c r="I51" s="283"/>
      <c r="J51" s="283"/>
      <c r="K51" s="282"/>
      <c r="Q51" s="479"/>
      <c r="R51" s="479"/>
      <c r="S51" s="479"/>
      <c r="T51" s="479"/>
      <c r="U51" s="203"/>
      <c r="V51" s="203"/>
    </row>
    <row r="52" spans="1:22" ht="15" thickBot="1" x14ac:dyDescent="0.35">
      <c r="A52" s="289" t="s">
        <v>302</v>
      </c>
      <c r="B52" s="156">
        <v>1</v>
      </c>
      <c r="C52" s="156" t="s">
        <v>99</v>
      </c>
      <c r="D52" s="339">
        <v>0.15</v>
      </c>
      <c r="E52" s="339">
        <v>0.95</v>
      </c>
      <c r="F52" s="339">
        <v>2.95</v>
      </c>
      <c r="G52" s="5">
        <f t="shared" si="4"/>
        <v>6.4899999999999993</v>
      </c>
      <c r="H52" s="4">
        <f t="shared" si="5"/>
        <v>0.420375</v>
      </c>
      <c r="I52" s="283"/>
      <c r="J52" s="283"/>
      <c r="K52" s="282"/>
      <c r="Q52" s="479"/>
      <c r="R52" s="479"/>
      <c r="S52" s="479"/>
      <c r="T52" s="479"/>
      <c r="U52" s="203"/>
      <c r="V52" s="203"/>
    </row>
    <row r="53" spans="1:22" ht="15" thickBot="1" x14ac:dyDescent="0.35">
      <c r="A53" s="289" t="s">
        <v>303</v>
      </c>
      <c r="B53" s="156">
        <v>1</v>
      </c>
      <c r="C53" s="156" t="s">
        <v>99</v>
      </c>
      <c r="D53" s="339">
        <v>0.15</v>
      </c>
      <c r="E53" s="339">
        <v>0.95</v>
      </c>
      <c r="F53" s="339">
        <v>2.95</v>
      </c>
      <c r="G53" s="5">
        <f t="shared" si="4"/>
        <v>6.4899999999999993</v>
      </c>
      <c r="H53" s="4">
        <f t="shared" si="5"/>
        <v>0.420375</v>
      </c>
      <c r="I53" s="283"/>
      <c r="J53" s="283"/>
      <c r="K53" s="282"/>
      <c r="Q53" s="479"/>
      <c r="R53" s="479"/>
      <c r="S53" s="479"/>
      <c r="T53" s="479"/>
      <c r="U53" s="203"/>
      <c r="V53" s="203"/>
    </row>
    <row r="54" spans="1:22" ht="15" thickBot="1" x14ac:dyDescent="0.35">
      <c r="A54" s="289" t="s">
        <v>304</v>
      </c>
      <c r="B54" s="156">
        <v>1</v>
      </c>
      <c r="C54" s="156" t="s">
        <v>99</v>
      </c>
      <c r="D54" s="339">
        <v>0.15</v>
      </c>
      <c r="E54" s="339">
        <v>0.95</v>
      </c>
      <c r="F54" s="339">
        <v>2.95</v>
      </c>
      <c r="G54" s="5">
        <f t="shared" si="4"/>
        <v>6.4899999999999993</v>
      </c>
      <c r="H54" s="4">
        <f t="shared" si="5"/>
        <v>0.420375</v>
      </c>
      <c r="I54" s="283"/>
      <c r="J54" s="283"/>
      <c r="K54" s="282"/>
      <c r="Q54" s="479"/>
      <c r="R54" s="479"/>
      <c r="S54" s="479"/>
      <c r="T54" s="479"/>
      <c r="U54" s="203"/>
      <c r="V54" s="203"/>
    </row>
    <row r="55" spans="1:22" ht="15" thickBot="1" x14ac:dyDescent="0.35">
      <c r="A55" s="289" t="s">
        <v>305</v>
      </c>
      <c r="B55" s="156">
        <v>1</v>
      </c>
      <c r="C55" s="156" t="s">
        <v>99</v>
      </c>
      <c r="D55" s="339">
        <v>0.15</v>
      </c>
      <c r="E55" s="339">
        <v>0.95</v>
      </c>
      <c r="F55" s="339">
        <v>2.95</v>
      </c>
      <c r="G55" s="5">
        <f t="shared" si="2"/>
        <v>6.4899999999999993</v>
      </c>
      <c r="H55" s="4">
        <f t="shared" si="3"/>
        <v>0.420375</v>
      </c>
      <c r="I55" s="283"/>
      <c r="J55" s="283"/>
      <c r="K55" s="282"/>
      <c r="Q55" s="479"/>
      <c r="R55" s="479"/>
      <c r="S55" s="479"/>
      <c r="T55" s="479"/>
      <c r="U55" s="203"/>
      <c r="V55" s="203"/>
    </row>
    <row r="56" spans="1:22" ht="15" thickBot="1" x14ac:dyDescent="0.35">
      <c r="A56" s="289" t="s">
        <v>306</v>
      </c>
      <c r="B56" s="156">
        <v>1</v>
      </c>
      <c r="C56" s="156" t="s">
        <v>99</v>
      </c>
      <c r="D56" s="339">
        <v>0.15</v>
      </c>
      <c r="E56" s="339">
        <v>0.95</v>
      </c>
      <c r="F56" s="339">
        <v>2.95</v>
      </c>
      <c r="G56" s="5">
        <f t="shared" si="2"/>
        <v>6.4899999999999993</v>
      </c>
      <c r="H56" s="4">
        <f t="shared" si="3"/>
        <v>0.420375</v>
      </c>
      <c r="I56" s="283"/>
      <c r="J56" s="283"/>
      <c r="K56" s="282"/>
      <c r="Q56" s="479"/>
      <c r="R56" s="479"/>
      <c r="S56" s="479"/>
      <c r="T56" s="479"/>
      <c r="U56" s="203"/>
      <c r="V56" s="203"/>
    </row>
    <row r="57" spans="1:22" ht="15" thickBot="1" x14ac:dyDescent="0.35">
      <c r="A57" s="289" t="s">
        <v>307</v>
      </c>
      <c r="B57" s="156">
        <v>1</v>
      </c>
      <c r="C57" s="156" t="s">
        <v>99</v>
      </c>
      <c r="D57" s="339">
        <v>0.15</v>
      </c>
      <c r="E57" s="339">
        <v>0.65</v>
      </c>
      <c r="F57" s="339">
        <v>2.95</v>
      </c>
      <c r="G57" s="5">
        <f t="shared" si="0"/>
        <v>4.7200000000000006</v>
      </c>
      <c r="H57" s="4">
        <f t="shared" si="1"/>
        <v>0.28762500000000002</v>
      </c>
      <c r="I57" s="283"/>
      <c r="J57" s="283"/>
      <c r="K57" s="282"/>
      <c r="Q57" s="288"/>
      <c r="R57" s="288"/>
      <c r="S57" s="288"/>
      <c r="T57" s="288"/>
      <c r="U57" s="203"/>
      <c r="V57" s="203"/>
    </row>
    <row r="58" spans="1:22" ht="15" thickBot="1" x14ac:dyDescent="0.35">
      <c r="A58" s="289" t="s">
        <v>308</v>
      </c>
      <c r="B58" s="156">
        <v>1</v>
      </c>
      <c r="C58" s="156" t="s">
        <v>99</v>
      </c>
      <c r="D58" s="339">
        <v>0.15</v>
      </c>
      <c r="E58" s="339">
        <v>0.65</v>
      </c>
      <c r="F58" s="339">
        <v>2.95</v>
      </c>
      <c r="G58" s="5">
        <f t="shared" si="0"/>
        <v>4.7200000000000006</v>
      </c>
      <c r="H58" s="4">
        <f t="shared" si="1"/>
        <v>0.28762500000000002</v>
      </c>
      <c r="I58" s="283"/>
      <c r="J58" s="283"/>
      <c r="K58" s="282"/>
      <c r="Q58" s="288"/>
      <c r="R58" s="288"/>
      <c r="S58" s="288"/>
      <c r="T58" s="288"/>
      <c r="U58" s="203"/>
      <c r="V58" s="203"/>
    </row>
    <row r="59" spans="1:22" ht="15" thickBot="1" x14ac:dyDescent="0.35">
      <c r="A59" s="289" t="s">
        <v>309</v>
      </c>
      <c r="B59" s="156">
        <v>1</v>
      </c>
      <c r="C59" s="156" t="s">
        <v>99</v>
      </c>
      <c r="D59" s="339">
        <v>0.15</v>
      </c>
      <c r="E59" s="339">
        <v>0.65</v>
      </c>
      <c r="F59" s="339">
        <v>2.95</v>
      </c>
      <c r="G59" s="5">
        <f t="shared" ref="G59:G450" si="6">(((2*D59+2*E59)*F59))*B59</f>
        <v>4.7200000000000006</v>
      </c>
      <c r="H59" s="4">
        <f t="shared" ref="H59:H450" si="7">F59*E59*D59*B59</f>
        <v>0.28762500000000002</v>
      </c>
      <c r="I59" s="283"/>
      <c r="J59" s="283"/>
      <c r="K59" s="282"/>
      <c r="Q59" s="288"/>
      <c r="R59" s="288"/>
      <c r="S59" s="288"/>
      <c r="T59" s="288"/>
      <c r="U59" s="203"/>
      <c r="V59" s="203"/>
    </row>
    <row r="60" spans="1:22" ht="15" thickBot="1" x14ac:dyDescent="0.35">
      <c r="A60" s="289" t="s">
        <v>310</v>
      </c>
      <c r="B60" s="156">
        <v>1</v>
      </c>
      <c r="C60" s="156" t="s">
        <v>99</v>
      </c>
      <c r="D60" s="339">
        <v>0.15</v>
      </c>
      <c r="E60" s="339">
        <v>0.65</v>
      </c>
      <c r="F60" s="339">
        <v>2.95</v>
      </c>
      <c r="G60" s="5">
        <f t="shared" si="6"/>
        <v>4.7200000000000006</v>
      </c>
      <c r="H60" s="4">
        <f t="shared" si="7"/>
        <v>0.28762500000000002</v>
      </c>
      <c r="I60" s="283"/>
      <c r="J60" s="283"/>
      <c r="K60" s="282"/>
      <c r="Q60" s="288"/>
      <c r="R60" s="288"/>
      <c r="S60" s="288"/>
      <c r="T60" s="288"/>
      <c r="U60" s="203"/>
      <c r="V60" s="203"/>
    </row>
    <row r="61" spans="1:22" ht="15" thickBot="1" x14ac:dyDescent="0.35">
      <c r="A61" s="289" t="s">
        <v>311</v>
      </c>
      <c r="B61" s="156">
        <v>1</v>
      </c>
      <c r="C61" s="156" t="s">
        <v>99</v>
      </c>
      <c r="D61" s="339">
        <v>0.15</v>
      </c>
      <c r="E61" s="339">
        <v>0.65</v>
      </c>
      <c r="F61" s="339">
        <v>2.95</v>
      </c>
      <c r="G61" s="5">
        <f t="shared" si="6"/>
        <v>4.7200000000000006</v>
      </c>
      <c r="H61" s="4">
        <f t="shared" si="7"/>
        <v>0.28762500000000002</v>
      </c>
      <c r="I61" s="283"/>
      <c r="J61" s="283"/>
      <c r="K61" s="282"/>
      <c r="Q61" s="288"/>
      <c r="R61" s="288"/>
      <c r="S61" s="288"/>
      <c r="T61" s="288"/>
      <c r="U61" s="203"/>
      <c r="V61" s="203"/>
    </row>
    <row r="62" spans="1:22" ht="15" thickBot="1" x14ac:dyDescent="0.35">
      <c r="A62" s="289" t="s">
        <v>312</v>
      </c>
      <c r="B62" s="156">
        <v>1</v>
      </c>
      <c r="C62" s="156" t="s">
        <v>99</v>
      </c>
      <c r="D62" s="339">
        <v>0.25</v>
      </c>
      <c r="E62" s="339">
        <v>0.4</v>
      </c>
      <c r="F62" s="339">
        <v>2.95</v>
      </c>
      <c r="G62" s="5">
        <f t="shared" si="6"/>
        <v>3.8350000000000004</v>
      </c>
      <c r="H62" s="4">
        <f t="shared" si="7"/>
        <v>0.29500000000000004</v>
      </c>
      <c r="I62" s="283"/>
      <c r="J62" s="283"/>
      <c r="K62" s="282"/>
      <c r="Q62" s="288"/>
      <c r="R62" s="288"/>
      <c r="S62" s="288"/>
      <c r="T62" s="288"/>
      <c r="U62" s="203"/>
      <c r="V62" s="203"/>
    </row>
    <row r="63" spans="1:22" ht="15" thickBot="1" x14ac:dyDescent="0.35">
      <c r="A63" s="289" t="s">
        <v>313</v>
      </c>
      <c r="B63" s="156">
        <v>1</v>
      </c>
      <c r="C63" s="156" t="s">
        <v>99</v>
      </c>
      <c r="D63" s="339">
        <v>0.2</v>
      </c>
      <c r="E63" s="339">
        <v>0.4</v>
      </c>
      <c r="F63" s="339">
        <v>2.95</v>
      </c>
      <c r="G63" s="5">
        <f t="shared" si="6"/>
        <v>3.5400000000000009</v>
      </c>
      <c r="H63" s="4">
        <f t="shared" si="7"/>
        <v>0.23600000000000004</v>
      </c>
      <c r="I63" s="283"/>
      <c r="J63" s="283"/>
      <c r="K63" s="282"/>
      <c r="Q63" s="486"/>
      <c r="R63" s="486"/>
      <c r="S63" s="486"/>
      <c r="T63" s="486"/>
      <c r="U63" s="203"/>
      <c r="V63" s="203"/>
    </row>
    <row r="64" spans="1:22" ht="15" thickBot="1" x14ac:dyDescent="0.35">
      <c r="A64" s="289" t="s">
        <v>314</v>
      </c>
      <c r="B64" s="156">
        <v>1</v>
      </c>
      <c r="C64" s="156" t="s">
        <v>99</v>
      </c>
      <c r="D64" s="339">
        <v>0.2</v>
      </c>
      <c r="E64" s="339">
        <v>0.4</v>
      </c>
      <c r="F64" s="339">
        <v>2.95</v>
      </c>
      <c r="G64" s="5">
        <f t="shared" si="6"/>
        <v>3.5400000000000009</v>
      </c>
      <c r="H64" s="4">
        <f t="shared" si="7"/>
        <v>0.23600000000000004</v>
      </c>
      <c r="I64" s="283"/>
      <c r="J64" s="283"/>
      <c r="K64" s="282"/>
      <c r="Q64" s="486"/>
      <c r="R64" s="486"/>
      <c r="S64" s="486"/>
      <c r="T64" s="486"/>
      <c r="U64" s="203"/>
      <c r="V64" s="203"/>
    </row>
    <row r="65" spans="1:22" ht="15" thickBot="1" x14ac:dyDescent="0.35">
      <c r="A65" s="289" t="s">
        <v>315</v>
      </c>
      <c r="B65" s="156">
        <v>1</v>
      </c>
      <c r="C65" s="156" t="s">
        <v>99</v>
      </c>
      <c r="D65" s="339">
        <v>0.2</v>
      </c>
      <c r="E65" s="339">
        <v>0.6</v>
      </c>
      <c r="F65" s="339">
        <v>2.95</v>
      </c>
      <c r="G65" s="5">
        <f t="shared" si="6"/>
        <v>4.7200000000000006</v>
      </c>
      <c r="H65" s="4">
        <f t="shared" si="7"/>
        <v>0.35400000000000004</v>
      </c>
      <c r="I65" s="283"/>
      <c r="J65" s="283"/>
      <c r="K65" s="282"/>
      <c r="Q65" s="486"/>
      <c r="R65" s="486"/>
      <c r="S65" s="486"/>
      <c r="T65" s="486"/>
      <c r="U65" s="203"/>
      <c r="V65" s="203"/>
    </row>
    <row r="66" spans="1:22" ht="15" thickBot="1" x14ac:dyDescent="0.35">
      <c r="A66" s="289" t="s">
        <v>316</v>
      </c>
      <c r="B66" s="156">
        <v>1</v>
      </c>
      <c r="C66" s="156" t="s">
        <v>99</v>
      </c>
      <c r="D66" s="339">
        <v>0.2</v>
      </c>
      <c r="E66" s="339">
        <v>0.6</v>
      </c>
      <c r="F66" s="339">
        <v>2.95</v>
      </c>
      <c r="G66" s="5">
        <f t="shared" si="6"/>
        <v>4.7200000000000006</v>
      </c>
      <c r="H66" s="4">
        <f t="shared" si="7"/>
        <v>0.35400000000000004</v>
      </c>
      <c r="I66" s="283"/>
      <c r="J66" s="283"/>
      <c r="K66" s="282"/>
      <c r="Q66" s="486"/>
      <c r="R66" s="486"/>
      <c r="S66" s="486"/>
      <c r="T66" s="486"/>
      <c r="U66" s="203"/>
      <c r="V66" s="203"/>
    </row>
    <row r="67" spans="1:22" ht="15" thickBot="1" x14ac:dyDescent="0.35">
      <c r="A67" s="289" t="s">
        <v>317</v>
      </c>
      <c r="B67" s="156">
        <v>1</v>
      </c>
      <c r="C67" s="156" t="s">
        <v>99</v>
      </c>
      <c r="D67" s="339">
        <v>0.2</v>
      </c>
      <c r="E67" s="339">
        <v>0.6</v>
      </c>
      <c r="F67" s="339">
        <v>2.95</v>
      </c>
      <c r="G67" s="5">
        <f t="shared" si="6"/>
        <v>4.7200000000000006</v>
      </c>
      <c r="H67" s="4">
        <f t="shared" si="7"/>
        <v>0.35400000000000004</v>
      </c>
      <c r="I67" s="283"/>
      <c r="J67" s="283"/>
      <c r="K67" s="282"/>
      <c r="Q67" s="486"/>
      <c r="R67" s="486"/>
      <c r="S67" s="486"/>
      <c r="T67" s="486"/>
      <c r="U67" s="203"/>
      <c r="V67" s="203"/>
    </row>
    <row r="68" spans="1:22" ht="15" thickBot="1" x14ac:dyDescent="0.35">
      <c r="A68" s="289" t="s">
        <v>318</v>
      </c>
      <c r="B68" s="156">
        <v>1</v>
      </c>
      <c r="C68" s="156" t="s">
        <v>99</v>
      </c>
      <c r="D68" s="339">
        <v>0.2</v>
      </c>
      <c r="E68" s="339">
        <v>0.6</v>
      </c>
      <c r="F68" s="339">
        <v>2.95</v>
      </c>
      <c r="G68" s="5">
        <f t="shared" si="6"/>
        <v>4.7200000000000006</v>
      </c>
      <c r="H68" s="4">
        <f t="shared" si="7"/>
        <v>0.35400000000000004</v>
      </c>
      <c r="I68" s="283"/>
      <c r="J68" s="283"/>
      <c r="K68" s="282"/>
      <c r="Q68" s="486"/>
      <c r="R68" s="486"/>
      <c r="S68" s="486"/>
      <c r="T68" s="486"/>
      <c r="U68" s="203"/>
      <c r="V68" s="203"/>
    </row>
    <row r="69" spans="1:22" ht="15" thickBot="1" x14ac:dyDescent="0.35">
      <c r="A69" s="289" t="s">
        <v>319</v>
      </c>
      <c r="B69" s="156">
        <v>1</v>
      </c>
      <c r="C69" s="156" t="s">
        <v>99</v>
      </c>
      <c r="D69" s="339">
        <v>0.2</v>
      </c>
      <c r="E69" s="339">
        <v>0.6</v>
      </c>
      <c r="F69" s="339">
        <v>2.95</v>
      </c>
      <c r="G69" s="5">
        <f t="shared" si="6"/>
        <v>4.7200000000000006</v>
      </c>
      <c r="H69" s="4">
        <f t="shared" si="7"/>
        <v>0.35400000000000004</v>
      </c>
      <c r="I69" s="283"/>
      <c r="J69" s="283"/>
      <c r="K69" s="282"/>
      <c r="Q69" s="486"/>
      <c r="R69" s="486"/>
      <c r="S69" s="486"/>
      <c r="T69" s="486"/>
      <c r="U69" s="203"/>
      <c r="V69" s="203"/>
    </row>
    <row r="70" spans="1:22" ht="15" thickBot="1" x14ac:dyDescent="0.35">
      <c r="A70" s="289" t="s">
        <v>320</v>
      </c>
      <c r="B70" s="156">
        <v>1</v>
      </c>
      <c r="C70" s="156" t="s">
        <v>99</v>
      </c>
      <c r="D70" s="339">
        <v>0.2</v>
      </c>
      <c r="E70" s="339">
        <v>0.6</v>
      </c>
      <c r="F70" s="339">
        <v>2.95</v>
      </c>
      <c r="G70" s="5">
        <f t="shared" si="6"/>
        <v>4.7200000000000006</v>
      </c>
      <c r="H70" s="4">
        <f t="shared" si="7"/>
        <v>0.35400000000000004</v>
      </c>
      <c r="I70" s="283"/>
      <c r="J70" s="283"/>
      <c r="K70" s="282"/>
      <c r="Q70" s="486"/>
      <c r="R70" s="486"/>
      <c r="S70" s="486"/>
      <c r="T70" s="486"/>
      <c r="U70" s="203"/>
      <c r="V70" s="203"/>
    </row>
    <row r="71" spans="1:22" ht="15" thickBot="1" x14ac:dyDescent="0.35">
      <c r="A71" s="289" t="s">
        <v>321</v>
      </c>
      <c r="B71" s="156">
        <v>1</v>
      </c>
      <c r="C71" s="156" t="s">
        <v>99</v>
      </c>
      <c r="D71" s="339">
        <v>0.2</v>
      </c>
      <c r="E71" s="339">
        <v>0.4</v>
      </c>
      <c r="F71" s="339">
        <v>2.95</v>
      </c>
      <c r="G71" s="5">
        <f t="shared" ref="G71:G78" si="8">(((2*D71+2*E71)*F71))*B71</f>
        <v>3.5400000000000009</v>
      </c>
      <c r="H71" s="4">
        <f t="shared" ref="H71:H78" si="9">F71*E71*D71*B71</f>
        <v>0.23600000000000004</v>
      </c>
      <c r="I71" s="283"/>
      <c r="J71" s="283"/>
      <c r="K71" s="282"/>
      <c r="Q71" s="486"/>
      <c r="R71" s="486"/>
      <c r="S71" s="486"/>
      <c r="T71" s="486"/>
      <c r="U71" s="203"/>
      <c r="V71" s="203"/>
    </row>
    <row r="72" spans="1:22" ht="15" thickBot="1" x14ac:dyDescent="0.35">
      <c r="A72" s="289" t="s">
        <v>322</v>
      </c>
      <c r="B72" s="156">
        <v>1</v>
      </c>
      <c r="C72" s="156" t="s">
        <v>99</v>
      </c>
      <c r="D72" s="339">
        <v>0.2</v>
      </c>
      <c r="E72" s="339">
        <v>0.6</v>
      </c>
      <c r="F72" s="339">
        <v>2.95</v>
      </c>
      <c r="G72" s="5">
        <f t="shared" si="8"/>
        <v>4.7200000000000006</v>
      </c>
      <c r="H72" s="4">
        <f t="shared" si="9"/>
        <v>0.35400000000000004</v>
      </c>
      <c r="I72" s="283"/>
      <c r="J72" s="283"/>
      <c r="K72" s="282"/>
      <c r="Q72" s="486"/>
      <c r="R72" s="486"/>
      <c r="S72" s="486"/>
      <c r="T72" s="486"/>
      <c r="U72" s="203"/>
      <c r="V72" s="203"/>
    </row>
    <row r="73" spans="1:22" ht="15" thickBot="1" x14ac:dyDescent="0.35">
      <c r="A73" s="289" t="s">
        <v>301</v>
      </c>
      <c r="B73" s="156">
        <v>1</v>
      </c>
      <c r="C73" s="156" t="s">
        <v>184</v>
      </c>
      <c r="D73" s="339">
        <v>0.15</v>
      </c>
      <c r="E73" s="339">
        <v>0.95</v>
      </c>
      <c r="F73" s="339">
        <v>0.9</v>
      </c>
      <c r="G73" s="5">
        <f t="shared" si="8"/>
        <v>1.9799999999999998</v>
      </c>
      <c r="H73" s="4">
        <f t="shared" si="9"/>
        <v>0.12825</v>
      </c>
      <c r="I73" s="283"/>
      <c r="J73" s="283"/>
      <c r="K73" s="282"/>
      <c r="Q73" s="486"/>
      <c r="R73" s="486"/>
      <c r="S73" s="486"/>
      <c r="T73" s="486"/>
      <c r="U73" s="203"/>
      <c r="V73" s="203"/>
    </row>
    <row r="74" spans="1:22" ht="15" thickBot="1" x14ac:dyDescent="0.35">
      <c r="A74" s="289" t="s">
        <v>302</v>
      </c>
      <c r="B74" s="156">
        <v>1</v>
      </c>
      <c r="C74" s="156" t="s">
        <v>184</v>
      </c>
      <c r="D74" s="339">
        <v>0.15</v>
      </c>
      <c r="E74" s="339">
        <v>0.4</v>
      </c>
      <c r="F74" s="339">
        <v>0.9</v>
      </c>
      <c r="G74" s="5">
        <f t="shared" si="8"/>
        <v>0.9900000000000001</v>
      </c>
      <c r="H74" s="4">
        <f t="shared" si="9"/>
        <v>5.4000000000000006E-2</v>
      </c>
      <c r="I74" s="283"/>
      <c r="J74" s="283"/>
      <c r="K74" s="282"/>
      <c r="Q74" s="486"/>
      <c r="R74" s="486"/>
      <c r="S74" s="486"/>
      <c r="T74" s="486"/>
      <c r="U74" s="203"/>
      <c r="V74" s="203"/>
    </row>
    <row r="75" spans="1:22" ht="15" thickBot="1" x14ac:dyDescent="0.35">
      <c r="A75" s="289" t="s">
        <v>303</v>
      </c>
      <c r="B75" s="156">
        <v>1</v>
      </c>
      <c r="C75" s="156" t="s">
        <v>184</v>
      </c>
      <c r="D75" s="339">
        <v>0.15</v>
      </c>
      <c r="E75" s="339">
        <v>0.4</v>
      </c>
      <c r="F75" s="339">
        <v>0.9</v>
      </c>
      <c r="G75" s="5">
        <f t="shared" si="8"/>
        <v>0.9900000000000001</v>
      </c>
      <c r="H75" s="4">
        <f t="shared" si="9"/>
        <v>5.4000000000000006E-2</v>
      </c>
      <c r="I75" s="283"/>
      <c r="J75" s="283"/>
      <c r="K75" s="282"/>
      <c r="Q75" s="486"/>
      <c r="R75" s="486"/>
      <c r="S75" s="486"/>
      <c r="T75" s="486"/>
      <c r="U75" s="203"/>
      <c r="V75" s="203"/>
    </row>
    <row r="76" spans="1:22" ht="15" thickBot="1" x14ac:dyDescent="0.35">
      <c r="A76" s="289" t="s">
        <v>304</v>
      </c>
      <c r="B76" s="156">
        <v>1</v>
      </c>
      <c r="C76" s="156" t="s">
        <v>184</v>
      </c>
      <c r="D76" s="339">
        <v>0.15</v>
      </c>
      <c r="E76" s="339">
        <v>0.4</v>
      </c>
      <c r="F76" s="339">
        <v>0.9</v>
      </c>
      <c r="G76" s="5">
        <f t="shared" si="8"/>
        <v>0.9900000000000001</v>
      </c>
      <c r="H76" s="4">
        <f t="shared" si="9"/>
        <v>5.4000000000000006E-2</v>
      </c>
      <c r="I76" s="283"/>
      <c r="J76" s="283"/>
      <c r="K76" s="282"/>
      <c r="Q76" s="486"/>
      <c r="R76" s="486"/>
      <c r="S76" s="486"/>
      <c r="T76" s="486"/>
      <c r="U76" s="203"/>
      <c r="V76" s="203"/>
    </row>
    <row r="77" spans="1:22" ht="15" thickBot="1" x14ac:dyDescent="0.35">
      <c r="A77" s="289" t="s">
        <v>305</v>
      </c>
      <c r="B77" s="156">
        <v>1</v>
      </c>
      <c r="C77" s="156" t="s">
        <v>184</v>
      </c>
      <c r="D77" s="339">
        <v>0.15</v>
      </c>
      <c r="E77" s="339">
        <v>0.4</v>
      </c>
      <c r="F77" s="339">
        <v>0.9</v>
      </c>
      <c r="G77" s="5">
        <f t="shared" si="8"/>
        <v>0.9900000000000001</v>
      </c>
      <c r="H77" s="4">
        <f t="shared" si="9"/>
        <v>5.4000000000000006E-2</v>
      </c>
      <c r="I77" s="283"/>
      <c r="J77" s="283"/>
      <c r="K77" s="282"/>
      <c r="Q77" s="486"/>
      <c r="R77" s="486"/>
      <c r="S77" s="486"/>
      <c r="T77" s="486"/>
      <c r="U77" s="203"/>
      <c r="V77" s="203"/>
    </row>
    <row r="78" spans="1:22" ht="15" thickBot="1" x14ac:dyDescent="0.35">
      <c r="A78" s="289" t="s">
        <v>306</v>
      </c>
      <c r="B78" s="156">
        <v>1</v>
      </c>
      <c r="C78" s="156" t="s">
        <v>184</v>
      </c>
      <c r="D78" s="339">
        <v>0.15</v>
      </c>
      <c r="E78" s="339">
        <v>0.95</v>
      </c>
      <c r="F78" s="339">
        <v>0.9</v>
      </c>
      <c r="G78" s="5">
        <f t="shared" si="8"/>
        <v>1.9799999999999998</v>
      </c>
      <c r="H78" s="4">
        <f t="shared" si="9"/>
        <v>0.12825</v>
      </c>
      <c r="I78" s="283"/>
      <c r="J78" s="283"/>
      <c r="K78" s="282"/>
      <c r="Q78" s="486"/>
      <c r="R78" s="486"/>
      <c r="S78" s="486"/>
      <c r="T78" s="486"/>
      <c r="U78" s="203"/>
      <c r="V78" s="203"/>
    </row>
    <row r="79" spans="1:22" ht="15" thickBot="1" x14ac:dyDescent="0.35">
      <c r="A79" s="289" t="s">
        <v>312</v>
      </c>
      <c r="B79" s="156">
        <v>1</v>
      </c>
      <c r="C79" s="156" t="s">
        <v>184</v>
      </c>
      <c r="D79" s="339">
        <v>0.25</v>
      </c>
      <c r="E79" s="339">
        <v>0.4</v>
      </c>
      <c r="F79" s="339">
        <v>0.9</v>
      </c>
      <c r="G79" s="5">
        <f t="shared" ref="G79:G113" si="10">(((2*D79+2*E79)*F79))*B79</f>
        <v>1.1700000000000002</v>
      </c>
      <c r="H79" s="4">
        <f t="shared" ref="H79:H113" si="11">F79*E79*D79*B79</f>
        <v>9.0000000000000011E-2</v>
      </c>
      <c r="I79" s="283"/>
      <c r="J79" s="283"/>
      <c r="K79" s="282"/>
      <c r="Q79" s="486"/>
      <c r="R79" s="486"/>
      <c r="S79" s="486"/>
      <c r="T79" s="486"/>
      <c r="U79" s="203"/>
      <c r="V79" s="203"/>
    </row>
    <row r="80" spans="1:22" ht="15" thickBot="1" x14ac:dyDescent="0.35">
      <c r="A80" s="289" t="s">
        <v>314</v>
      </c>
      <c r="B80" s="156">
        <v>1</v>
      </c>
      <c r="C80" s="156" t="s">
        <v>184</v>
      </c>
      <c r="D80" s="339">
        <v>0.2</v>
      </c>
      <c r="E80" s="339">
        <v>0.4</v>
      </c>
      <c r="F80" s="339">
        <v>0.9</v>
      </c>
      <c r="G80" s="5">
        <f t="shared" ref="G80:G97" si="12">(((2*D80+2*E80)*F80))*B80</f>
        <v>1.0800000000000003</v>
      </c>
      <c r="H80" s="4">
        <f t="shared" ref="H80:H97" si="13">F80*E80*D80*B80</f>
        <v>7.2000000000000008E-2</v>
      </c>
      <c r="I80" s="283"/>
      <c r="J80" s="283"/>
      <c r="K80" s="282"/>
      <c r="Q80" s="486"/>
      <c r="R80" s="486"/>
      <c r="S80" s="486"/>
      <c r="T80" s="486"/>
      <c r="U80" s="203"/>
      <c r="V80" s="203"/>
    </row>
    <row r="81" spans="1:22" ht="15" thickBot="1" x14ac:dyDescent="0.35">
      <c r="A81" s="289" t="s">
        <v>315</v>
      </c>
      <c r="B81" s="156">
        <v>1</v>
      </c>
      <c r="C81" s="156" t="s">
        <v>184</v>
      </c>
      <c r="D81" s="339">
        <v>0.2</v>
      </c>
      <c r="E81" s="339">
        <v>0.6</v>
      </c>
      <c r="F81" s="339">
        <v>0.9</v>
      </c>
      <c r="G81" s="5">
        <f t="shared" si="12"/>
        <v>1.4400000000000002</v>
      </c>
      <c r="H81" s="4">
        <f t="shared" si="13"/>
        <v>0.10800000000000001</v>
      </c>
      <c r="I81" s="283"/>
      <c r="J81" s="283"/>
      <c r="K81" s="282"/>
      <c r="Q81" s="486"/>
      <c r="R81" s="486"/>
      <c r="S81" s="486"/>
      <c r="T81" s="486"/>
      <c r="U81" s="203"/>
      <c r="V81" s="203"/>
    </row>
    <row r="82" spans="1:22" ht="15" thickBot="1" x14ac:dyDescent="0.35">
      <c r="A82" s="289" t="s">
        <v>316</v>
      </c>
      <c r="B82" s="156">
        <v>1</v>
      </c>
      <c r="C82" s="156" t="s">
        <v>184</v>
      </c>
      <c r="D82" s="339">
        <v>0.2</v>
      </c>
      <c r="E82" s="339">
        <v>0.4</v>
      </c>
      <c r="F82" s="339">
        <v>0.9</v>
      </c>
      <c r="G82" s="5">
        <f t="shared" si="12"/>
        <v>1.0800000000000003</v>
      </c>
      <c r="H82" s="4">
        <f t="shared" si="13"/>
        <v>7.2000000000000008E-2</v>
      </c>
      <c r="I82" s="283"/>
      <c r="J82" s="283"/>
      <c r="K82" s="282"/>
      <c r="Q82" s="486"/>
      <c r="R82" s="486"/>
      <c r="S82" s="486"/>
      <c r="T82" s="486"/>
      <c r="U82" s="203"/>
      <c r="V82" s="203"/>
    </row>
    <row r="83" spans="1:22" ht="15" thickBot="1" x14ac:dyDescent="0.35">
      <c r="A83" s="289" t="s">
        <v>317</v>
      </c>
      <c r="B83" s="156">
        <v>1</v>
      </c>
      <c r="C83" s="156" t="s">
        <v>184</v>
      </c>
      <c r="D83" s="339">
        <v>0.2</v>
      </c>
      <c r="E83" s="339">
        <v>0.4</v>
      </c>
      <c r="F83" s="339">
        <v>0.9</v>
      </c>
      <c r="G83" s="5">
        <f t="shared" si="12"/>
        <v>1.0800000000000003</v>
      </c>
      <c r="H83" s="4">
        <f t="shared" si="13"/>
        <v>7.2000000000000008E-2</v>
      </c>
      <c r="I83" s="283"/>
      <c r="J83" s="283"/>
      <c r="K83" s="282"/>
      <c r="Q83" s="486"/>
      <c r="R83" s="486"/>
      <c r="S83" s="486"/>
      <c r="T83" s="486"/>
      <c r="U83" s="203"/>
      <c r="V83" s="203"/>
    </row>
    <row r="84" spans="1:22" ht="15" thickBot="1" x14ac:dyDescent="0.35">
      <c r="A84" s="289" t="s">
        <v>318</v>
      </c>
      <c r="B84" s="156">
        <v>1</v>
      </c>
      <c r="C84" s="156" t="s">
        <v>184</v>
      </c>
      <c r="D84" s="339">
        <v>0.2</v>
      </c>
      <c r="E84" s="339">
        <v>0.4</v>
      </c>
      <c r="F84" s="339">
        <v>0.9</v>
      </c>
      <c r="G84" s="5">
        <f t="shared" si="12"/>
        <v>1.0800000000000003</v>
      </c>
      <c r="H84" s="4">
        <f t="shared" si="13"/>
        <v>7.2000000000000008E-2</v>
      </c>
      <c r="I84" s="283"/>
      <c r="J84" s="283"/>
      <c r="K84" s="282"/>
      <c r="Q84" s="486"/>
      <c r="R84" s="486"/>
      <c r="S84" s="486"/>
      <c r="T84" s="486"/>
      <c r="U84" s="203"/>
      <c r="V84" s="203"/>
    </row>
    <row r="85" spans="1:22" ht="15" thickBot="1" x14ac:dyDescent="0.35">
      <c r="A85" s="289" t="s">
        <v>319</v>
      </c>
      <c r="B85" s="156">
        <v>1</v>
      </c>
      <c r="C85" s="156" t="s">
        <v>184</v>
      </c>
      <c r="D85" s="339">
        <v>0.2</v>
      </c>
      <c r="E85" s="339">
        <v>0.4</v>
      </c>
      <c r="F85" s="339">
        <v>0.9</v>
      </c>
      <c r="G85" s="5">
        <f t="shared" si="12"/>
        <v>1.0800000000000003</v>
      </c>
      <c r="H85" s="4">
        <f t="shared" si="13"/>
        <v>7.2000000000000008E-2</v>
      </c>
      <c r="I85" s="283"/>
      <c r="J85" s="283"/>
      <c r="K85" s="282"/>
      <c r="Q85" s="486"/>
      <c r="R85" s="486"/>
      <c r="S85" s="486"/>
      <c r="T85" s="486"/>
      <c r="U85" s="203"/>
      <c r="V85" s="203"/>
    </row>
    <row r="86" spans="1:22" ht="15" thickBot="1" x14ac:dyDescent="0.35">
      <c r="A86" s="289" t="s">
        <v>320</v>
      </c>
      <c r="B86" s="156">
        <v>1</v>
      </c>
      <c r="C86" s="156" t="s">
        <v>184</v>
      </c>
      <c r="D86" s="339">
        <v>0.2</v>
      </c>
      <c r="E86" s="339">
        <v>0.4</v>
      </c>
      <c r="F86" s="339">
        <v>0.9</v>
      </c>
      <c r="G86" s="5">
        <f t="shared" si="12"/>
        <v>1.0800000000000003</v>
      </c>
      <c r="H86" s="4">
        <f t="shared" si="13"/>
        <v>7.2000000000000008E-2</v>
      </c>
      <c r="I86" s="283"/>
      <c r="J86" s="283"/>
      <c r="K86" s="282"/>
      <c r="Q86" s="486"/>
      <c r="R86" s="486"/>
      <c r="S86" s="486"/>
      <c r="T86" s="486"/>
      <c r="U86" s="203"/>
      <c r="V86" s="203"/>
    </row>
    <row r="87" spans="1:22" ht="15" thickBot="1" x14ac:dyDescent="0.35">
      <c r="A87" s="289" t="s">
        <v>321</v>
      </c>
      <c r="B87" s="156">
        <v>1</v>
      </c>
      <c r="C87" s="156" t="s">
        <v>184</v>
      </c>
      <c r="D87" s="339">
        <v>0.2</v>
      </c>
      <c r="E87" s="339">
        <v>0.4</v>
      </c>
      <c r="F87" s="339">
        <v>0.9</v>
      </c>
      <c r="G87" s="5">
        <f t="shared" si="12"/>
        <v>1.0800000000000003</v>
      </c>
      <c r="H87" s="4">
        <f t="shared" si="13"/>
        <v>7.2000000000000008E-2</v>
      </c>
      <c r="I87" s="283"/>
      <c r="J87" s="283"/>
      <c r="K87" s="282"/>
      <c r="Q87" s="486"/>
      <c r="R87" s="486"/>
      <c r="S87" s="486"/>
      <c r="T87" s="486"/>
      <c r="U87" s="203"/>
      <c r="V87" s="203"/>
    </row>
    <row r="88" spans="1:22" ht="15" thickBot="1" x14ac:dyDescent="0.35">
      <c r="A88" s="289" t="s">
        <v>322</v>
      </c>
      <c r="B88" s="156">
        <v>1</v>
      </c>
      <c r="C88" s="156" t="s">
        <v>184</v>
      </c>
      <c r="D88" s="339">
        <v>0.2</v>
      </c>
      <c r="E88" s="339">
        <v>0.6</v>
      </c>
      <c r="F88" s="339">
        <v>0.9</v>
      </c>
      <c r="G88" s="5">
        <f t="shared" si="12"/>
        <v>1.4400000000000002</v>
      </c>
      <c r="H88" s="4">
        <f t="shared" si="13"/>
        <v>0.10800000000000001</v>
      </c>
      <c r="I88" s="283"/>
      <c r="J88" s="283"/>
      <c r="K88" s="282"/>
      <c r="Q88" s="486"/>
      <c r="R88" s="486"/>
      <c r="S88" s="486"/>
      <c r="T88" s="486"/>
      <c r="U88" s="203"/>
      <c r="V88" s="203"/>
    </row>
    <row r="89" spans="1:22" ht="15" thickBot="1" x14ac:dyDescent="0.35">
      <c r="A89" s="685" t="s">
        <v>323</v>
      </c>
      <c r="B89" s="686"/>
      <c r="C89" s="686"/>
      <c r="D89" s="686"/>
      <c r="E89" s="686"/>
      <c r="F89" s="686"/>
      <c r="G89" s="686"/>
      <c r="H89" s="687"/>
      <c r="I89" s="483"/>
      <c r="J89" s="483"/>
      <c r="K89" s="484"/>
      <c r="Q89" s="486"/>
      <c r="R89" s="486"/>
      <c r="S89" s="486"/>
      <c r="T89" s="486"/>
      <c r="U89" s="203"/>
      <c r="V89" s="203"/>
    </row>
    <row r="90" spans="1:22" ht="15" thickBot="1" x14ac:dyDescent="0.35">
      <c r="A90" s="289" t="s">
        <v>395</v>
      </c>
      <c r="B90" s="156">
        <v>1</v>
      </c>
      <c r="C90" s="156" t="s">
        <v>99</v>
      </c>
      <c r="D90" s="339">
        <v>0.2</v>
      </c>
      <c r="E90" s="339">
        <v>0.5</v>
      </c>
      <c r="F90" s="339">
        <v>2.95</v>
      </c>
      <c r="G90" s="5">
        <f t="shared" si="12"/>
        <v>4.13</v>
      </c>
      <c r="H90" s="4">
        <f t="shared" si="13"/>
        <v>0.29500000000000004</v>
      </c>
      <c r="I90" s="283"/>
      <c r="J90" s="283"/>
      <c r="K90" s="282"/>
      <c r="Q90" s="486"/>
      <c r="R90" s="486"/>
      <c r="S90" s="486"/>
      <c r="T90" s="486"/>
      <c r="U90" s="203"/>
      <c r="V90" s="203"/>
    </row>
    <row r="91" spans="1:22" ht="15" thickBot="1" x14ac:dyDescent="0.35">
      <c r="A91" s="289" t="s">
        <v>396</v>
      </c>
      <c r="B91" s="156">
        <v>1</v>
      </c>
      <c r="C91" s="156" t="s">
        <v>99</v>
      </c>
      <c r="D91" s="339">
        <v>0.15</v>
      </c>
      <c r="E91" s="339">
        <v>0.4</v>
      </c>
      <c r="F91" s="339">
        <v>2.95</v>
      </c>
      <c r="G91" s="5">
        <f t="shared" si="12"/>
        <v>3.2450000000000006</v>
      </c>
      <c r="H91" s="4">
        <f t="shared" si="13"/>
        <v>0.17700000000000002</v>
      </c>
      <c r="I91" s="283"/>
      <c r="J91" s="283"/>
      <c r="K91" s="282"/>
      <c r="Q91" s="486"/>
      <c r="R91" s="486"/>
      <c r="S91" s="486"/>
      <c r="T91" s="486"/>
      <c r="U91" s="203"/>
      <c r="V91" s="203"/>
    </row>
    <row r="92" spans="1:22" ht="15" thickBot="1" x14ac:dyDescent="0.35">
      <c r="A92" s="289" t="s">
        <v>397</v>
      </c>
      <c r="B92" s="156">
        <v>1</v>
      </c>
      <c r="C92" s="156" t="s">
        <v>99</v>
      </c>
      <c r="D92" s="339">
        <v>0.15</v>
      </c>
      <c r="E92" s="339">
        <v>0.4</v>
      </c>
      <c r="F92" s="339">
        <v>2.95</v>
      </c>
      <c r="G92" s="5">
        <f t="shared" si="12"/>
        <v>3.2450000000000006</v>
      </c>
      <c r="H92" s="4">
        <f t="shared" si="13"/>
        <v>0.17700000000000002</v>
      </c>
      <c r="I92" s="283"/>
      <c r="J92" s="283"/>
      <c r="K92" s="282"/>
      <c r="Q92" s="486"/>
      <c r="R92" s="486"/>
      <c r="S92" s="486"/>
      <c r="T92" s="486"/>
      <c r="U92" s="203"/>
      <c r="V92" s="203"/>
    </row>
    <row r="93" spans="1:22" ht="15" thickBot="1" x14ac:dyDescent="0.35">
      <c r="A93" s="289" t="s">
        <v>398</v>
      </c>
      <c r="B93" s="156">
        <v>1</v>
      </c>
      <c r="C93" s="156" t="s">
        <v>99</v>
      </c>
      <c r="D93" s="339">
        <v>0.25</v>
      </c>
      <c r="E93" s="339">
        <v>0.5</v>
      </c>
      <c r="F93" s="339">
        <v>2.95</v>
      </c>
      <c r="G93" s="5">
        <f t="shared" si="12"/>
        <v>4.4250000000000007</v>
      </c>
      <c r="H93" s="4">
        <f t="shared" si="13"/>
        <v>0.36875000000000002</v>
      </c>
      <c r="I93" s="283"/>
      <c r="J93" s="283"/>
      <c r="K93" s="282"/>
      <c r="Q93" s="486"/>
      <c r="R93" s="486"/>
      <c r="S93" s="486"/>
      <c r="T93" s="486"/>
      <c r="U93" s="203"/>
      <c r="V93" s="203"/>
    </row>
    <row r="94" spans="1:22" ht="15" thickBot="1" x14ac:dyDescent="0.35">
      <c r="A94" s="289" t="s">
        <v>399</v>
      </c>
      <c r="B94" s="156">
        <v>1</v>
      </c>
      <c r="C94" s="156" t="s">
        <v>99</v>
      </c>
      <c r="D94" s="339">
        <v>0.15</v>
      </c>
      <c r="E94" s="339">
        <v>0.4</v>
      </c>
      <c r="F94" s="339">
        <v>2.95</v>
      </c>
      <c r="G94" s="5">
        <f t="shared" si="12"/>
        <v>3.2450000000000006</v>
      </c>
      <c r="H94" s="4">
        <f t="shared" si="13"/>
        <v>0.17700000000000002</v>
      </c>
      <c r="I94" s="283"/>
      <c r="J94" s="283"/>
      <c r="K94" s="282"/>
      <c r="Q94" s="486"/>
      <c r="R94" s="486"/>
      <c r="S94" s="486"/>
      <c r="T94" s="486"/>
      <c r="U94" s="203"/>
      <c r="V94" s="203"/>
    </row>
    <row r="95" spans="1:22" ht="15" thickBot="1" x14ac:dyDescent="0.35">
      <c r="A95" s="289" t="s">
        <v>400</v>
      </c>
      <c r="B95" s="156">
        <v>1</v>
      </c>
      <c r="C95" s="156" t="s">
        <v>99</v>
      </c>
      <c r="D95" s="339">
        <v>0.2</v>
      </c>
      <c r="E95" s="339">
        <v>0.6</v>
      </c>
      <c r="F95" s="339">
        <v>2.95</v>
      </c>
      <c r="G95" s="5">
        <f t="shared" si="12"/>
        <v>4.7200000000000006</v>
      </c>
      <c r="H95" s="4">
        <f t="shared" si="13"/>
        <v>0.35400000000000004</v>
      </c>
      <c r="I95" s="283"/>
      <c r="J95" s="283"/>
      <c r="K95" s="282"/>
      <c r="Q95" s="486"/>
      <c r="R95" s="486"/>
      <c r="S95" s="486"/>
      <c r="T95" s="486"/>
      <c r="U95" s="203"/>
      <c r="V95" s="203"/>
    </row>
    <row r="96" spans="1:22" ht="15" thickBot="1" x14ac:dyDescent="0.35">
      <c r="A96" s="289" t="s">
        <v>401</v>
      </c>
      <c r="B96" s="156">
        <v>1</v>
      </c>
      <c r="C96" s="156" t="s">
        <v>99</v>
      </c>
      <c r="D96" s="339">
        <v>0.15</v>
      </c>
      <c r="E96" s="339">
        <v>0.4</v>
      </c>
      <c r="F96" s="339">
        <v>2.95</v>
      </c>
      <c r="G96" s="5">
        <f t="shared" si="12"/>
        <v>3.2450000000000006</v>
      </c>
      <c r="H96" s="4">
        <f t="shared" si="13"/>
        <v>0.17700000000000002</v>
      </c>
      <c r="I96" s="283"/>
      <c r="J96" s="283"/>
      <c r="K96" s="282"/>
      <c r="Q96" s="486"/>
      <c r="R96" s="486"/>
      <c r="S96" s="486"/>
      <c r="T96" s="486"/>
      <c r="U96" s="203"/>
      <c r="V96" s="203"/>
    </row>
    <row r="97" spans="1:22" ht="15" thickBot="1" x14ac:dyDescent="0.35">
      <c r="A97" s="289" t="s">
        <v>402</v>
      </c>
      <c r="B97" s="156">
        <v>1</v>
      </c>
      <c r="C97" s="156" t="s">
        <v>99</v>
      </c>
      <c r="D97" s="339">
        <v>0.25</v>
      </c>
      <c r="E97" s="339">
        <v>0.7</v>
      </c>
      <c r="F97" s="339">
        <v>2.95</v>
      </c>
      <c r="G97" s="5">
        <f t="shared" si="12"/>
        <v>5.6050000000000004</v>
      </c>
      <c r="H97" s="4">
        <f t="shared" si="13"/>
        <v>0.51624999999999999</v>
      </c>
      <c r="I97" s="283"/>
      <c r="J97" s="283"/>
      <c r="K97" s="282"/>
      <c r="Q97" s="486"/>
      <c r="R97" s="486"/>
      <c r="S97" s="486"/>
      <c r="T97" s="486"/>
      <c r="U97" s="203"/>
      <c r="V97" s="203"/>
    </row>
    <row r="98" spans="1:22" ht="15" thickBot="1" x14ac:dyDescent="0.35">
      <c r="A98" s="289" t="s">
        <v>403</v>
      </c>
      <c r="B98" s="156">
        <v>1</v>
      </c>
      <c r="C98" s="156" t="s">
        <v>99</v>
      </c>
      <c r="D98" s="339">
        <v>0.25</v>
      </c>
      <c r="E98" s="339">
        <v>0.7</v>
      </c>
      <c r="F98" s="339">
        <v>2.95</v>
      </c>
      <c r="G98" s="5">
        <f t="shared" si="10"/>
        <v>5.6050000000000004</v>
      </c>
      <c r="H98" s="4">
        <f t="shared" si="11"/>
        <v>0.51624999999999999</v>
      </c>
      <c r="I98" s="283"/>
      <c r="J98" s="283"/>
      <c r="K98" s="282"/>
      <c r="Q98" s="486"/>
      <c r="R98" s="486"/>
      <c r="S98" s="486"/>
      <c r="T98" s="486"/>
      <c r="U98" s="203"/>
      <c r="V98" s="203"/>
    </row>
    <row r="99" spans="1:22" ht="15" thickBot="1" x14ac:dyDescent="0.35">
      <c r="A99" s="289" t="s">
        <v>404</v>
      </c>
      <c r="B99" s="156">
        <v>1</v>
      </c>
      <c r="C99" s="156" t="s">
        <v>99</v>
      </c>
      <c r="D99" s="339">
        <v>0.25</v>
      </c>
      <c r="E99" s="339">
        <v>0.7</v>
      </c>
      <c r="F99" s="339">
        <v>2.95</v>
      </c>
      <c r="G99" s="5">
        <f t="shared" si="10"/>
        <v>5.6050000000000004</v>
      </c>
      <c r="H99" s="4">
        <f t="shared" si="11"/>
        <v>0.51624999999999999</v>
      </c>
      <c r="I99" s="283"/>
      <c r="J99" s="283"/>
      <c r="K99" s="282"/>
      <c r="Q99" s="486"/>
      <c r="R99" s="486"/>
      <c r="S99" s="486"/>
      <c r="T99" s="486"/>
      <c r="U99" s="203"/>
      <c r="V99" s="203"/>
    </row>
    <row r="100" spans="1:22" ht="15" thickBot="1" x14ac:dyDescent="0.35">
      <c r="A100" s="289" t="s">
        <v>405</v>
      </c>
      <c r="B100" s="156">
        <v>1</v>
      </c>
      <c r="C100" s="156" t="s">
        <v>99</v>
      </c>
      <c r="D100" s="339">
        <v>0.15</v>
      </c>
      <c r="E100" s="339">
        <v>0.95</v>
      </c>
      <c r="F100" s="339">
        <v>2.95</v>
      </c>
      <c r="G100" s="5">
        <f t="shared" si="10"/>
        <v>6.4899999999999993</v>
      </c>
      <c r="H100" s="4">
        <f t="shared" si="11"/>
        <v>0.420375</v>
      </c>
      <c r="I100" s="283"/>
      <c r="J100" s="283"/>
      <c r="K100" s="282"/>
      <c r="Q100" s="486"/>
      <c r="R100" s="486"/>
      <c r="S100" s="486"/>
      <c r="T100" s="486"/>
      <c r="U100" s="203"/>
      <c r="V100" s="203"/>
    </row>
    <row r="101" spans="1:22" ht="15" thickBot="1" x14ac:dyDescent="0.35">
      <c r="A101" s="289" t="s">
        <v>406</v>
      </c>
      <c r="B101" s="156">
        <v>1</v>
      </c>
      <c r="C101" s="156" t="s">
        <v>99</v>
      </c>
      <c r="D101" s="339">
        <v>0.15</v>
      </c>
      <c r="E101" s="339">
        <v>0.95</v>
      </c>
      <c r="F101" s="339">
        <v>2.95</v>
      </c>
      <c r="G101" s="5">
        <f t="shared" si="10"/>
        <v>6.4899999999999993</v>
      </c>
      <c r="H101" s="4">
        <f t="shared" si="11"/>
        <v>0.420375</v>
      </c>
      <c r="I101" s="283"/>
      <c r="J101" s="283"/>
      <c r="K101" s="282"/>
      <c r="Q101" s="486"/>
      <c r="R101" s="486"/>
      <c r="S101" s="486"/>
      <c r="T101" s="486"/>
      <c r="U101" s="203"/>
      <c r="V101" s="203"/>
    </row>
    <row r="102" spans="1:22" ht="15" thickBot="1" x14ac:dyDescent="0.35">
      <c r="A102" s="289" t="s">
        <v>407</v>
      </c>
      <c r="B102" s="156">
        <v>1</v>
      </c>
      <c r="C102" s="156" t="s">
        <v>99</v>
      </c>
      <c r="D102" s="339">
        <v>0.2</v>
      </c>
      <c r="E102" s="339">
        <v>0.6</v>
      </c>
      <c r="F102" s="339">
        <v>2.95</v>
      </c>
      <c r="G102" s="5">
        <f t="shared" si="10"/>
        <v>4.7200000000000006</v>
      </c>
      <c r="H102" s="4">
        <f t="shared" si="11"/>
        <v>0.35400000000000004</v>
      </c>
      <c r="I102" s="283"/>
      <c r="J102" s="283"/>
      <c r="K102" s="282"/>
      <c r="Q102" s="486"/>
      <c r="R102" s="486"/>
      <c r="S102" s="486"/>
      <c r="T102" s="486"/>
      <c r="U102" s="203"/>
      <c r="V102" s="203"/>
    </row>
    <row r="103" spans="1:22" ht="15" thickBot="1" x14ac:dyDescent="0.35">
      <c r="A103" s="289" t="s">
        <v>408</v>
      </c>
      <c r="B103" s="156">
        <v>1</v>
      </c>
      <c r="C103" s="156" t="s">
        <v>99</v>
      </c>
      <c r="D103" s="339">
        <v>0.15</v>
      </c>
      <c r="E103" s="339">
        <v>0.95</v>
      </c>
      <c r="F103" s="339">
        <v>2.95</v>
      </c>
      <c r="G103" s="5">
        <f t="shared" si="10"/>
        <v>6.4899999999999993</v>
      </c>
      <c r="H103" s="4">
        <f t="shared" si="11"/>
        <v>0.420375</v>
      </c>
      <c r="I103" s="283"/>
      <c r="J103" s="283"/>
      <c r="K103" s="282"/>
      <c r="Q103" s="486"/>
      <c r="R103" s="486"/>
      <c r="S103" s="486"/>
      <c r="T103" s="486"/>
      <c r="U103" s="203"/>
      <c r="V103" s="203"/>
    </row>
    <row r="104" spans="1:22" ht="15" thickBot="1" x14ac:dyDescent="0.35">
      <c r="A104" s="289" t="s">
        <v>409</v>
      </c>
      <c r="B104" s="156">
        <v>1</v>
      </c>
      <c r="C104" s="156" t="s">
        <v>99</v>
      </c>
      <c r="D104" s="339">
        <v>0.25</v>
      </c>
      <c r="E104" s="339">
        <v>0.95</v>
      </c>
      <c r="F104" s="339">
        <v>2.95</v>
      </c>
      <c r="G104" s="5">
        <f t="shared" si="10"/>
        <v>7.08</v>
      </c>
      <c r="H104" s="4">
        <f t="shared" si="11"/>
        <v>0.70062500000000005</v>
      </c>
      <c r="I104" s="283"/>
      <c r="J104" s="283"/>
      <c r="K104" s="282"/>
      <c r="Q104" s="486"/>
      <c r="R104" s="486"/>
      <c r="S104" s="486"/>
      <c r="T104" s="486"/>
      <c r="U104" s="203"/>
      <c r="V104" s="203"/>
    </row>
    <row r="105" spans="1:22" ht="15" thickBot="1" x14ac:dyDescent="0.35">
      <c r="A105" s="289" t="s">
        <v>395</v>
      </c>
      <c r="B105" s="156">
        <v>1</v>
      </c>
      <c r="C105" s="156" t="s">
        <v>184</v>
      </c>
      <c r="D105" s="339">
        <v>0.2</v>
      </c>
      <c r="E105" s="339">
        <v>0.5</v>
      </c>
      <c r="F105" s="339">
        <v>0.9</v>
      </c>
      <c r="G105" s="5">
        <f t="shared" ref="G105:G112" si="14">(((2*D105+2*E105)*F105))*B105</f>
        <v>1.26</v>
      </c>
      <c r="H105" s="4">
        <f t="shared" ref="H105:H112" si="15">F105*E105*D105*B105</f>
        <v>9.0000000000000011E-2</v>
      </c>
      <c r="I105" s="283"/>
      <c r="J105" s="283"/>
      <c r="K105" s="282"/>
      <c r="Q105" s="491"/>
      <c r="R105" s="491"/>
      <c r="S105" s="491"/>
      <c r="T105" s="491"/>
      <c r="U105" s="203"/>
      <c r="V105" s="203"/>
    </row>
    <row r="106" spans="1:22" ht="15" thickBot="1" x14ac:dyDescent="0.35">
      <c r="A106" s="289" t="s">
        <v>396</v>
      </c>
      <c r="B106" s="156">
        <v>1</v>
      </c>
      <c r="C106" s="156" t="s">
        <v>184</v>
      </c>
      <c r="D106" s="339">
        <v>0.15</v>
      </c>
      <c r="E106" s="339">
        <v>0.4</v>
      </c>
      <c r="F106" s="339">
        <v>0.9</v>
      </c>
      <c r="G106" s="5">
        <f t="shared" si="14"/>
        <v>0.9900000000000001</v>
      </c>
      <c r="H106" s="4">
        <f t="shared" si="15"/>
        <v>5.4000000000000006E-2</v>
      </c>
      <c r="I106" s="283"/>
      <c r="J106" s="283"/>
      <c r="K106" s="282"/>
      <c r="Q106" s="491"/>
      <c r="R106" s="491"/>
      <c r="S106" s="491"/>
      <c r="T106" s="491"/>
      <c r="U106" s="203"/>
      <c r="V106" s="203"/>
    </row>
    <row r="107" spans="1:22" ht="15" thickBot="1" x14ac:dyDescent="0.35">
      <c r="A107" s="289" t="s">
        <v>397</v>
      </c>
      <c r="B107" s="156">
        <v>1</v>
      </c>
      <c r="C107" s="156" t="s">
        <v>184</v>
      </c>
      <c r="D107" s="339">
        <v>0.15</v>
      </c>
      <c r="E107" s="339">
        <v>0.4</v>
      </c>
      <c r="F107" s="339">
        <v>0.9</v>
      </c>
      <c r="G107" s="5">
        <f t="shared" si="14"/>
        <v>0.9900000000000001</v>
      </c>
      <c r="H107" s="4">
        <f t="shared" si="15"/>
        <v>5.4000000000000006E-2</v>
      </c>
      <c r="I107" s="283"/>
      <c r="J107" s="283"/>
      <c r="K107" s="282"/>
      <c r="Q107" s="491"/>
      <c r="R107" s="491"/>
      <c r="S107" s="491"/>
      <c r="T107" s="491"/>
      <c r="U107" s="203"/>
      <c r="V107" s="203"/>
    </row>
    <row r="108" spans="1:22" ht="15" thickBot="1" x14ac:dyDescent="0.35">
      <c r="A108" s="289" t="s">
        <v>398</v>
      </c>
      <c r="B108" s="156">
        <v>1</v>
      </c>
      <c r="C108" s="156" t="s">
        <v>184</v>
      </c>
      <c r="D108" s="339">
        <v>0.25</v>
      </c>
      <c r="E108" s="339">
        <v>0.5</v>
      </c>
      <c r="F108" s="339">
        <v>0.9</v>
      </c>
      <c r="G108" s="5">
        <f t="shared" si="14"/>
        <v>1.35</v>
      </c>
      <c r="H108" s="4">
        <f t="shared" si="15"/>
        <v>0.1125</v>
      </c>
      <c r="I108" s="283"/>
      <c r="J108" s="283"/>
      <c r="K108" s="282"/>
      <c r="Q108" s="491"/>
      <c r="R108" s="491"/>
      <c r="S108" s="491"/>
      <c r="T108" s="491"/>
      <c r="U108" s="203"/>
      <c r="V108" s="203"/>
    </row>
    <row r="109" spans="1:22" ht="15" thickBot="1" x14ac:dyDescent="0.35">
      <c r="A109" s="289" t="s">
        <v>399</v>
      </c>
      <c r="B109" s="156">
        <v>1</v>
      </c>
      <c r="C109" s="156" t="s">
        <v>184</v>
      </c>
      <c r="D109" s="339">
        <v>0.15</v>
      </c>
      <c r="E109" s="339">
        <v>0.4</v>
      </c>
      <c r="F109" s="339">
        <v>0.9</v>
      </c>
      <c r="G109" s="5">
        <f t="shared" si="14"/>
        <v>0.9900000000000001</v>
      </c>
      <c r="H109" s="4">
        <f t="shared" si="15"/>
        <v>5.4000000000000006E-2</v>
      </c>
      <c r="I109" s="283"/>
      <c r="J109" s="283"/>
      <c r="K109" s="282"/>
      <c r="Q109" s="491"/>
      <c r="R109" s="491"/>
      <c r="S109" s="491"/>
      <c r="T109" s="491"/>
      <c r="U109" s="203"/>
      <c r="V109" s="203"/>
    </row>
    <row r="110" spans="1:22" ht="15" thickBot="1" x14ac:dyDescent="0.35">
      <c r="A110" s="289" t="s">
        <v>400</v>
      </c>
      <c r="B110" s="156">
        <v>1</v>
      </c>
      <c r="C110" s="156" t="s">
        <v>184</v>
      </c>
      <c r="D110" s="339">
        <v>0.2</v>
      </c>
      <c r="E110" s="339">
        <v>0.6</v>
      </c>
      <c r="F110" s="339">
        <v>0.9</v>
      </c>
      <c r="G110" s="5">
        <f t="shared" si="14"/>
        <v>1.4400000000000002</v>
      </c>
      <c r="H110" s="4">
        <f t="shared" si="15"/>
        <v>0.10800000000000001</v>
      </c>
      <c r="I110" s="283"/>
      <c r="J110" s="283"/>
      <c r="K110" s="282"/>
      <c r="Q110" s="491"/>
      <c r="R110" s="491"/>
      <c r="S110" s="491"/>
      <c r="T110" s="491"/>
      <c r="U110" s="203"/>
      <c r="V110" s="203"/>
    </row>
    <row r="111" spans="1:22" ht="15" thickBot="1" x14ac:dyDescent="0.35">
      <c r="A111" s="289" t="s">
        <v>401</v>
      </c>
      <c r="B111" s="156">
        <v>1</v>
      </c>
      <c r="C111" s="156" t="s">
        <v>184</v>
      </c>
      <c r="D111" s="339">
        <v>0.15</v>
      </c>
      <c r="E111" s="339">
        <v>0.4</v>
      </c>
      <c r="F111" s="339">
        <v>0.9</v>
      </c>
      <c r="G111" s="5">
        <f t="shared" si="14"/>
        <v>0.9900000000000001</v>
      </c>
      <c r="H111" s="4">
        <f t="shared" si="15"/>
        <v>5.4000000000000006E-2</v>
      </c>
      <c r="I111" s="283"/>
      <c r="J111" s="283"/>
      <c r="K111" s="282"/>
      <c r="Q111" s="491"/>
      <c r="R111" s="491"/>
      <c r="S111" s="491"/>
      <c r="T111" s="491"/>
      <c r="U111" s="203"/>
      <c r="V111" s="203"/>
    </row>
    <row r="112" spans="1:22" ht="15" thickBot="1" x14ac:dyDescent="0.35">
      <c r="A112" s="289" t="s">
        <v>402</v>
      </c>
      <c r="B112" s="156">
        <v>1</v>
      </c>
      <c r="C112" s="156" t="s">
        <v>184</v>
      </c>
      <c r="D112" s="339">
        <v>0.25</v>
      </c>
      <c r="E112" s="339">
        <v>0.7</v>
      </c>
      <c r="F112" s="339">
        <v>0.9</v>
      </c>
      <c r="G112" s="5">
        <f t="shared" si="14"/>
        <v>1.71</v>
      </c>
      <c r="H112" s="4">
        <f t="shared" si="15"/>
        <v>0.1575</v>
      </c>
      <c r="I112" s="283"/>
      <c r="J112" s="283"/>
      <c r="K112" s="282"/>
      <c r="Q112" s="491"/>
      <c r="R112" s="491"/>
      <c r="S112" s="491"/>
      <c r="T112" s="491"/>
      <c r="U112" s="203"/>
      <c r="V112" s="203"/>
    </row>
    <row r="113" spans="1:22" ht="15" thickBot="1" x14ac:dyDescent="0.35">
      <c r="A113" s="289" t="s">
        <v>404</v>
      </c>
      <c r="B113" s="156">
        <v>1</v>
      </c>
      <c r="C113" s="156" t="s">
        <v>184</v>
      </c>
      <c r="D113" s="339">
        <v>0.25</v>
      </c>
      <c r="E113" s="339">
        <v>0.7</v>
      </c>
      <c r="F113" s="339">
        <v>0.9</v>
      </c>
      <c r="G113" s="5">
        <f t="shared" si="10"/>
        <v>1.71</v>
      </c>
      <c r="H113" s="4">
        <f t="shared" si="11"/>
        <v>0.1575</v>
      </c>
      <c r="I113" s="283"/>
      <c r="J113" s="283"/>
      <c r="K113" s="282"/>
      <c r="Q113" s="486"/>
      <c r="R113" s="486"/>
      <c r="S113" s="486"/>
      <c r="T113" s="486"/>
      <c r="U113" s="203"/>
      <c r="V113" s="203"/>
    </row>
    <row r="114" spans="1:22" ht="15" thickBot="1" x14ac:dyDescent="0.35">
      <c r="A114" s="289" t="s">
        <v>405</v>
      </c>
      <c r="B114" s="156">
        <v>1</v>
      </c>
      <c r="C114" s="156" t="s">
        <v>184</v>
      </c>
      <c r="D114" s="339">
        <v>0.15</v>
      </c>
      <c r="E114" s="339">
        <v>0.95</v>
      </c>
      <c r="F114" s="339">
        <v>0.9</v>
      </c>
      <c r="G114" s="5">
        <f t="shared" ref="G114:G116" si="16">(((2*D114+2*E114)*F114))*B114</f>
        <v>1.9799999999999998</v>
      </c>
      <c r="H114" s="4">
        <f t="shared" ref="H114:H116" si="17">F114*E114*D114*B114</f>
        <v>0.12825</v>
      </c>
      <c r="I114" s="283"/>
      <c r="J114" s="283"/>
      <c r="K114" s="282"/>
      <c r="Q114" s="486"/>
      <c r="R114" s="486"/>
      <c r="S114" s="486"/>
      <c r="T114" s="486"/>
      <c r="U114" s="203"/>
      <c r="V114" s="203"/>
    </row>
    <row r="115" spans="1:22" ht="15" thickBot="1" x14ac:dyDescent="0.35">
      <c r="A115" s="289" t="s">
        <v>406</v>
      </c>
      <c r="B115" s="156">
        <v>1</v>
      </c>
      <c r="C115" s="156" t="s">
        <v>184</v>
      </c>
      <c r="D115" s="339">
        <v>0.15</v>
      </c>
      <c r="E115" s="339">
        <v>0.4</v>
      </c>
      <c r="F115" s="339">
        <v>0.9</v>
      </c>
      <c r="G115" s="5">
        <f t="shared" si="16"/>
        <v>0.9900000000000001</v>
      </c>
      <c r="H115" s="4">
        <f t="shared" si="17"/>
        <v>5.4000000000000006E-2</v>
      </c>
      <c r="I115" s="283"/>
      <c r="J115" s="283"/>
      <c r="K115" s="282"/>
      <c r="Q115" s="486"/>
      <c r="R115" s="486"/>
      <c r="S115" s="486"/>
      <c r="T115" s="486"/>
      <c r="U115" s="203"/>
      <c r="V115" s="203"/>
    </row>
    <row r="116" spans="1:22" ht="15" thickBot="1" x14ac:dyDescent="0.35">
      <c r="A116" s="289" t="s">
        <v>408</v>
      </c>
      <c r="B116" s="156">
        <v>1</v>
      </c>
      <c r="C116" s="156" t="s">
        <v>184</v>
      </c>
      <c r="D116" s="339">
        <v>0.15</v>
      </c>
      <c r="E116" s="339">
        <v>0.4</v>
      </c>
      <c r="F116" s="339">
        <v>0.9</v>
      </c>
      <c r="G116" s="5">
        <f t="shared" si="16"/>
        <v>0.9900000000000001</v>
      </c>
      <c r="H116" s="4">
        <f t="shared" si="17"/>
        <v>5.4000000000000006E-2</v>
      </c>
      <c r="I116" s="283"/>
      <c r="J116" s="283"/>
      <c r="K116" s="282"/>
      <c r="Q116" s="486"/>
      <c r="R116" s="486"/>
      <c r="S116" s="486"/>
      <c r="T116" s="486"/>
      <c r="U116" s="203"/>
      <c r="V116" s="203"/>
    </row>
    <row r="117" spans="1:22" ht="15" thickBot="1" x14ac:dyDescent="0.35">
      <c r="A117" s="289" t="s">
        <v>409</v>
      </c>
      <c r="B117" s="156">
        <v>1</v>
      </c>
      <c r="C117" s="156" t="s">
        <v>184</v>
      </c>
      <c r="D117" s="339">
        <v>0.25</v>
      </c>
      <c r="E117" s="339">
        <v>0.95</v>
      </c>
      <c r="F117" s="339">
        <v>0.9</v>
      </c>
      <c r="G117" s="5">
        <f t="shared" si="6"/>
        <v>2.16</v>
      </c>
      <c r="H117" s="4">
        <f t="shared" si="7"/>
        <v>0.21375</v>
      </c>
      <c r="I117" s="283"/>
      <c r="J117" s="283"/>
      <c r="K117" s="282"/>
      <c r="Q117" s="486"/>
      <c r="R117" s="486"/>
      <c r="S117" s="486"/>
      <c r="T117" s="486"/>
      <c r="U117" s="203"/>
      <c r="V117" s="203"/>
    </row>
    <row r="118" spans="1:22" ht="15" thickBot="1" x14ac:dyDescent="0.35">
      <c r="A118" s="289" t="s">
        <v>410</v>
      </c>
      <c r="B118" s="156">
        <v>1</v>
      </c>
      <c r="C118" s="156" t="s">
        <v>184</v>
      </c>
      <c r="D118" s="339">
        <v>0.2</v>
      </c>
      <c r="E118" s="339">
        <v>0.25</v>
      </c>
      <c r="F118" s="339">
        <v>0.9</v>
      </c>
      <c r="G118" s="5">
        <f t="shared" si="6"/>
        <v>0.81</v>
      </c>
      <c r="H118" s="4">
        <f t="shared" si="7"/>
        <v>4.5000000000000005E-2</v>
      </c>
      <c r="I118" s="283"/>
      <c r="J118" s="283"/>
      <c r="K118" s="282"/>
      <c r="Q118" s="486"/>
      <c r="R118" s="486"/>
      <c r="S118" s="486"/>
      <c r="T118" s="486"/>
      <c r="U118" s="203"/>
      <c r="V118" s="203"/>
    </row>
    <row r="119" spans="1:22" ht="15" thickBot="1" x14ac:dyDescent="0.35">
      <c r="A119" s="289" t="s">
        <v>411</v>
      </c>
      <c r="B119" s="156">
        <v>1</v>
      </c>
      <c r="C119" s="156" t="s">
        <v>184</v>
      </c>
      <c r="D119" s="339">
        <v>0.15</v>
      </c>
      <c r="E119" s="339">
        <v>0.25</v>
      </c>
      <c r="F119" s="339">
        <v>0.9</v>
      </c>
      <c r="G119" s="5">
        <f t="shared" ref="G119:G120" si="18">(((2*D119+2*E119)*F119))*B119</f>
        <v>0.72000000000000008</v>
      </c>
      <c r="H119" s="4">
        <f t="shared" ref="H119:H120" si="19">F119*E119*D119*B119</f>
        <v>3.3750000000000002E-2</v>
      </c>
      <c r="I119" s="283"/>
      <c r="J119" s="283"/>
      <c r="K119" s="282"/>
      <c r="Q119" s="486"/>
      <c r="R119" s="486"/>
      <c r="S119" s="486"/>
      <c r="T119" s="486"/>
      <c r="U119" s="203"/>
      <c r="V119" s="203"/>
    </row>
    <row r="120" spans="1:22" ht="15" thickBot="1" x14ac:dyDescent="0.35">
      <c r="A120" s="289" t="s">
        <v>412</v>
      </c>
      <c r="B120" s="156">
        <v>1</v>
      </c>
      <c r="C120" s="156" t="s">
        <v>184</v>
      </c>
      <c r="D120" s="339">
        <v>0.15</v>
      </c>
      <c r="E120" s="339">
        <v>0.25</v>
      </c>
      <c r="F120" s="339">
        <v>0.9</v>
      </c>
      <c r="G120" s="5">
        <f t="shared" si="18"/>
        <v>0.72000000000000008</v>
      </c>
      <c r="H120" s="4">
        <f t="shared" si="19"/>
        <v>3.3750000000000002E-2</v>
      </c>
      <c r="I120" s="283"/>
      <c r="J120" s="283"/>
      <c r="K120" s="282"/>
      <c r="Q120" s="486"/>
      <c r="R120" s="486"/>
      <c r="S120" s="486"/>
      <c r="T120" s="486"/>
      <c r="U120" s="203"/>
      <c r="V120" s="203"/>
    </row>
    <row r="121" spans="1:22" ht="15" thickBot="1" x14ac:dyDescent="0.35">
      <c r="A121" s="685" t="s">
        <v>422</v>
      </c>
      <c r="B121" s="686"/>
      <c r="C121" s="686"/>
      <c r="D121" s="686"/>
      <c r="E121" s="686"/>
      <c r="F121" s="686"/>
      <c r="G121" s="686"/>
      <c r="H121" s="687"/>
      <c r="I121" s="483"/>
      <c r="J121" s="483"/>
      <c r="K121" s="484"/>
      <c r="Q121" s="497"/>
      <c r="R121" s="497"/>
      <c r="S121" s="497"/>
      <c r="T121" s="497"/>
      <c r="U121" s="203"/>
      <c r="V121" s="203"/>
    </row>
    <row r="122" spans="1:22" ht="15" thickBot="1" x14ac:dyDescent="0.35">
      <c r="A122" s="289" t="s">
        <v>528</v>
      </c>
      <c r="B122" s="156">
        <v>1</v>
      </c>
      <c r="C122" s="156" t="s">
        <v>99</v>
      </c>
      <c r="D122" s="339">
        <v>0.15</v>
      </c>
      <c r="E122" s="339">
        <v>0.8</v>
      </c>
      <c r="F122" s="339">
        <v>2.95</v>
      </c>
      <c r="G122" s="5">
        <f t="shared" ref="G122:G413" si="20">(((2*D122+2*E122)*F122))*B122</f>
        <v>5.6050000000000004</v>
      </c>
      <c r="H122" s="4">
        <f t="shared" ref="H122:H413" si="21">F122*E122*D122*B122</f>
        <v>0.35400000000000004</v>
      </c>
      <c r="I122" s="283"/>
      <c r="J122" s="283"/>
      <c r="K122" s="282"/>
      <c r="Q122" s="486"/>
      <c r="R122" s="486"/>
      <c r="S122" s="486"/>
      <c r="T122" s="486"/>
      <c r="U122" s="203"/>
      <c r="V122" s="203"/>
    </row>
    <row r="123" spans="1:22" ht="15" thickBot="1" x14ac:dyDescent="0.35">
      <c r="A123" s="289" t="s">
        <v>529</v>
      </c>
      <c r="B123" s="156">
        <v>1</v>
      </c>
      <c r="C123" s="156" t="s">
        <v>99</v>
      </c>
      <c r="D123" s="339">
        <v>0.15</v>
      </c>
      <c r="E123" s="339">
        <v>0.8</v>
      </c>
      <c r="F123" s="339">
        <v>2.95</v>
      </c>
      <c r="G123" s="5">
        <f t="shared" si="20"/>
        <v>5.6050000000000004</v>
      </c>
      <c r="H123" s="4">
        <f t="shared" si="21"/>
        <v>0.35400000000000004</v>
      </c>
      <c r="I123" s="283"/>
      <c r="J123" s="283"/>
      <c r="K123" s="282"/>
      <c r="Q123" s="497"/>
      <c r="R123" s="497"/>
      <c r="S123" s="497"/>
      <c r="T123" s="497"/>
      <c r="U123" s="203"/>
      <c r="V123" s="203"/>
    </row>
    <row r="124" spans="1:22" ht="15" thickBot="1" x14ac:dyDescent="0.35">
      <c r="A124" s="289" t="s">
        <v>530</v>
      </c>
      <c r="B124" s="156">
        <v>1</v>
      </c>
      <c r="C124" s="156" t="s">
        <v>99</v>
      </c>
      <c r="D124" s="339">
        <v>0.15</v>
      </c>
      <c r="E124" s="339">
        <v>0.4</v>
      </c>
      <c r="F124" s="339">
        <v>2.95</v>
      </c>
      <c r="G124" s="5">
        <f t="shared" si="20"/>
        <v>3.2450000000000006</v>
      </c>
      <c r="H124" s="4">
        <f t="shared" si="21"/>
        <v>0.17700000000000002</v>
      </c>
      <c r="I124" s="283"/>
      <c r="J124" s="283"/>
      <c r="K124" s="282"/>
      <c r="Q124" s="497"/>
      <c r="R124" s="497"/>
      <c r="S124" s="497"/>
      <c r="T124" s="497"/>
      <c r="U124" s="203"/>
      <c r="V124" s="203"/>
    </row>
    <row r="125" spans="1:22" ht="15" thickBot="1" x14ac:dyDescent="0.35">
      <c r="A125" s="289" t="s">
        <v>531</v>
      </c>
      <c r="B125" s="156">
        <v>1</v>
      </c>
      <c r="C125" s="156" t="s">
        <v>99</v>
      </c>
      <c r="D125" s="339">
        <v>0.2</v>
      </c>
      <c r="E125" s="339">
        <v>0.4</v>
      </c>
      <c r="F125" s="339">
        <v>2.95</v>
      </c>
      <c r="G125" s="5">
        <f t="shared" si="20"/>
        <v>3.5400000000000009</v>
      </c>
      <c r="H125" s="4">
        <f t="shared" si="21"/>
        <v>0.23600000000000004</v>
      </c>
      <c r="I125" s="283"/>
      <c r="J125" s="283"/>
      <c r="K125" s="282"/>
      <c r="Q125" s="497"/>
      <c r="R125" s="497"/>
      <c r="S125" s="497"/>
      <c r="T125" s="497"/>
      <c r="U125" s="203"/>
      <c r="V125" s="203"/>
    </row>
    <row r="126" spans="1:22" ht="15" thickBot="1" x14ac:dyDescent="0.35">
      <c r="A126" s="289" t="s">
        <v>532</v>
      </c>
      <c r="B126" s="156">
        <v>1</v>
      </c>
      <c r="C126" s="156" t="s">
        <v>99</v>
      </c>
      <c r="D126" s="339">
        <v>0.15</v>
      </c>
      <c r="E126" s="339">
        <v>0.4</v>
      </c>
      <c r="F126" s="339">
        <v>2.95</v>
      </c>
      <c r="G126" s="5">
        <f t="shared" si="20"/>
        <v>3.2450000000000006</v>
      </c>
      <c r="H126" s="4">
        <f t="shared" si="21"/>
        <v>0.17700000000000002</v>
      </c>
      <c r="I126" s="283"/>
      <c r="J126" s="283"/>
      <c r="K126" s="282"/>
      <c r="Q126" s="497"/>
      <c r="R126" s="497"/>
      <c r="S126" s="497"/>
      <c r="T126" s="497"/>
      <c r="U126" s="203"/>
      <c r="V126" s="203"/>
    </row>
    <row r="127" spans="1:22" ht="15" thickBot="1" x14ac:dyDescent="0.35">
      <c r="A127" s="289" t="s">
        <v>533</v>
      </c>
      <c r="B127" s="156">
        <v>1</v>
      </c>
      <c r="C127" s="156" t="s">
        <v>99</v>
      </c>
      <c r="D127" s="339">
        <v>0.15</v>
      </c>
      <c r="E127" s="339">
        <v>0.4</v>
      </c>
      <c r="F127" s="339">
        <v>2.95</v>
      </c>
      <c r="G127" s="5">
        <f t="shared" si="20"/>
        <v>3.2450000000000006</v>
      </c>
      <c r="H127" s="4">
        <f t="shared" si="21"/>
        <v>0.17700000000000002</v>
      </c>
      <c r="I127" s="283"/>
      <c r="J127" s="283"/>
      <c r="K127" s="282"/>
      <c r="Q127" s="497"/>
      <c r="R127" s="497"/>
      <c r="S127" s="497"/>
      <c r="T127" s="497"/>
      <c r="U127" s="203"/>
      <c r="V127" s="203"/>
    </row>
    <row r="128" spans="1:22" ht="15" thickBot="1" x14ac:dyDescent="0.35">
      <c r="A128" s="289" t="s">
        <v>534</v>
      </c>
      <c r="B128" s="156">
        <v>1</v>
      </c>
      <c r="C128" s="156" t="s">
        <v>99</v>
      </c>
      <c r="D128" s="339">
        <v>0.2</v>
      </c>
      <c r="E128" s="339">
        <v>0.5</v>
      </c>
      <c r="F128" s="339">
        <v>2.95</v>
      </c>
      <c r="G128" s="5">
        <f t="shared" si="20"/>
        <v>4.13</v>
      </c>
      <c r="H128" s="4">
        <f t="shared" si="21"/>
        <v>0.29500000000000004</v>
      </c>
      <c r="I128" s="283"/>
      <c r="J128" s="283"/>
      <c r="K128" s="282"/>
      <c r="Q128" s="497"/>
      <c r="R128" s="497"/>
      <c r="S128" s="497"/>
      <c r="T128" s="497"/>
      <c r="U128" s="203"/>
      <c r="V128" s="203"/>
    </row>
    <row r="129" spans="1:22" ht="15" thickBot="1" x14ac:dyDescent="0.35">
      <c r="A129" s="289" t="s">
        <v>535</v>
      </c>
      <c r="B129" s="156">
        <v>1</v>
      </c>
      <c r="C129" s="156" t="s">
        <v>99</v>
      </c>
      <c r="D129" s="339">
        <v>0.2</v>
      </c>
      <c r="E129" s="339">
        <v>0.4</v>
      </c>
      <c r="F129" s="339">
        <v>2.95</v>
      </c>
      <c r="G129" s="5">
        <f t="shared" si="20"/>
        <v>3.5400000000000009</v>
      </c>
      <c r="H129" s="4">
        <f t="shared" si="21"/>
        <v>0.23600000000000004</v>
      </c>
      <c r="I129" s="283"/>
      <c r="J129" s="283"/>
      <c r="K129" s="282"/>
      <c r="Q129" s="497"/>
      <c r="R129" s="497"/>
      <c r="S129" s="497"/>
      <c r="T129" s="497"/>
      <c r="U129" s="203"/>
      <c r="V129" s="203"/>
    </row>
    <row r="130" spans="1:22" ht="15" thickBot="1" x14ac:dyDescent="0.35">
      <c r="A130" s="289" t="s">
        <v>536</v>
      </c>
      <c r="B130" s="156">
        <v>1</v>
      </c>
      <c r="C130" s="156" t="s">
        <v>99</v>
      </c>
      <c r="D130" s="339">
        <v>0.15</v>
      </c>
      <c r="E130" s="339">
        <v>0.4</v>
      </c>
      <c r="F130" s="339">
        <v>2.95</v>
      </c>
      <c r="G130" s="5">
        <f t="shared" si="20"/>
        <v>3.2450000000000006</v>
      </c>
      <c r="H130" s="4">
        <f t="shared" si="21"/>
        <v>0.17700000000000002</v>
      </c>
      <c r="I130" s="283"/>
      <c r="J130" s="283"/>
      <c r="K130" s="282"/>
      <c r="Q130" s="497"/>
      <c r="R130" s="497"/>
      <c r="S130" s="497"/>
      <c r="T130" s="497"/>
      <c r="U130" s="203"/>
      <c r="V130" s="203"/>
    </row>
    <row r="131" spans="1:22" ht="15" thickBot="1" x14ac:dyDescent="0.35">
      <c r="A131" s="289" t="s">
        <v>537</v>
      </c>
      <c r="B131" s="156">
        <v>1</v>
      </c>
      <c r="C131" s="156" t="s">
        <v>99</v>
      </c>
      <c r="D131" s="339">
        <v>0.2</v>
      </c>
      <c r="E131" s="339">
        <v>0.4</v>
      </c>
      <c r="F131" s="339">
        <v>2.95</v>
      </c>
      <c r="G131" s="5">
        <f t="shared" si="20"/>
        <v>3.5400000000000009</v>
      </c>
      <c r="H131" s="4">
        <f t="shared" si="21"/>
        <v>0.23600000000000004</v>
      </c>
      <c r="I131" s="283"/>
      <c r="J131" s="283"/>
      <c r="K131" s="282"/>
      <c r="Q131" s="497"/>
      <c r="R131" s="497"/>
      <c r="S131" s="497"/>
      <c r="T131" s="497"/>
      <c r="U131" s="203"/>
      <c r="V131" s="203"/>
    </row>
    <row r="132" spans="1:22" ht="15" thickBot="1" x14ac:dyDescent="0.35">
      <c r="A132" s="289" t="s">
        <v>538</v>
      </c>
      <c r="B132" s="156">
        <v>1</v>
      </c>
      <c r="C132" s="156" t="s">
        <v>99</v>
      </c>
      <c r="D132" s="339">
        <v>0.15</v>
      </c>
      <c r="E132" s="339">
        <v>0.4</v>
      </c>
      <c r="F132" s="339">
        <v>2.95</v>
      </c>
      <c r="G132" s="5">
        <f t="shared" si="20"/>
        <v>3.2450000000000006</v>
      </c>
      <c r="H132" s="4">
        <f t="shared" si="21"/>
        <v>0.17700000000000002</v>
      </c>
      <c r="I132" s="283"/>
      <c r="J132" s="283"/>
      <c r="K132" s="282"/>
      <c r="Q132" s="497"/>
      <c r="R132" s="497"/>
      <c r="S132" s="497"/>
      <c r="T132" s="497"/>
      <c r="U132" s="203"/>
      <c r="V132" s="203"/>
    </row>
    <row r="133" spans="1:22" ht="15" thickBot="1" x14ac:dyDescent="0.35">
      <c r="A133" s="289" t="s">
        <v>539</v>
      </c>
      <c r="B133" s="156">
        <v>1</v>
      </c>
      <c r="C133" s="156" t="s">
        <v>99</v>
      </c>
      <c r="D133" s="339">
        <v>0.15</v>
      </c>
      <c r="E133" s="339">
        <v>0.4</v>
      </c>
      <c r="F133" s="339">
        <v>2.95</v>
      </c>
      <c r="G133" s="5">
        <f t="shared" si="20"/>
        <v>3.2450000000000006</v>
      </c>
      <c r="H133" s="4">
        <f t="shared" si="21"/>
        <v>0.17700000000000002</v>
      </c>
      <c r="I133" s="283"/>
      <c r="J133" s="283"/>
      <c r="K133" s="282"/>
      <c r="Q133" s="497"/>
      <c r="R133" s="497"/>
      <c r="S133" s="497"/>
      <c r="T133" s="497"/>
      <c r="U133" s="203"/>
      <c r="V133" s="203"/>
    </row>
    <row r="134" spans="1:22" ht="15" thickBot="1" x14ac:dyDescent="0.35">
      <c r="A134" s="289" t="s">
        <v>540</v>
      </c>
      <c r="B134" s="156">
        <v>1</v>
      </c>
      <c r="C134" s="156" t="s">
        <v>99</v>
      </c>
      <c r="D134" s="339">
        <v>0.2</v>
      </c>
      <c r="E134" s="339">
        <v>0.6</v>
      </c>
      <c r="F134" s="339">
        <v>2.95</v>
      </c>
      <c r="G134" s="5">
        <f t="shared" si="20"/>
        <v>4.7200000000000006</v>
      </c>
      <c r="H134" s="4">
        <f t="shared" si="21"/>
        <v>0.35400000000000004</v>
      </c>
      <c r="I134" s="283"/>
      <c r="J134" s="283"/>
      <c r="K134" s="282"/>
      <c r="Q134" s="497"/>
      <c r="R134" s="497"/>
      <c r="S134" s="497"/>
      <c r="T134" s="497"/>
      <c r="U134" s="203"/>
      <c r="V134" s="203"/>
    </row>
    <row r="135" spans="1:22" ht="15" thickBot="1" x14ac:dyDescent="0.35">
      <c r="A135" s="289" t="s">
        <v>541</v>
      </c>
      <c r="B135" s="156">
        <v>1</v>
      </c>
      <c r="C135" s="156" t="s">
        <v>99</v>
      </c>
      <c r="D135" s="339">
        <v>0.15</v>
      </c>
      <c r="E135" s="339">
        <v>0.4</v>
      </c>
      <c r="F135" s="339">
        <v>2.95</v>
      </c>
      <c r="G135" s="5">
        <f t="shared" ref="G135:G143" si="22">(((2*D135+2*E135)*F135))*B135</f>
        <v>3.2450000000000006</v>
      </c>
      <c r="H135" s="4">
        <f t="shared" ref="H135:H143" si="23">F135*E135*D135*B135</f>
        <v>0.17700000000000002</v>
      </c>
      <c r="I135" s="283"/>
      <c r="J135" s="283"/>
      <c r="K135" s="282"/>
      <c r="Q135" s="497"/>
      <c r="R135" s="497"/>
      <c r="S135" s="497"/>
      <c r="T135" s="497"/>
      <c r="U135" s="203"/>
      <c r="V135" s="203"/>
    </row>
    <row r="136" spans="1:22" ht="15" thickBot="1" x14ac:dyDescent="0.35">
      <c r="A136" s="289" t="s">
        <v>542</v>
      </c>
      <c r="B136" s="156">
        <v>1</v>
      </c>
      <c r="C136" s="156" t="s">
        <v>99</v>
      </c>
      <c r="D136" s="339">
        <v>0.15</v>
      </c>
      <c r="E136" s="339">
        <v>0.4</v>
      </c>
      <c r="F136" s="339">
        <v>2.95</v>
      </c>
      <c r="G136" s="5">
        <f t="shared" si="22"/>
        <v>3.2450000000000006</v>
      </c>
      <c r="H136" s="4">
        <f t="shared" si="23"/>
        <v>0.17700000000000002</v>
      </c>
      <c r="I136" s="283"/>
      <c r="J136" s="283"/>
      <c r="K136" s="282"/>
      <c r="Q136" s="497"/>
      <c r="R136" s="497"/>
      <c r="S136" s="497"/>
      <c r="T136" s="497"/>
      <c r="U136" s="203"/>
      <c r="V136" s="203"/>
    </row>
    <row r="137" spans="1:22" ht="15" thickBot="1" x14ac:dyDescent="0.35">
      <c r="A137" s="289" t="s">
        <v>543</v>
      </c>
      <c r="B137" s="156">
        <v>1</v>
      </c>
      <c r="C137" s="156" t="s">
        <v>99</v>
      </c>
      <c r="D137" s="339">
        <v>0.25</v>
      </c>
      <c r="E137" s="339">
        <v>0.7</v>
      </c>
      <c r="F137" s="339">
        <v>2.95</v>
      </c>
      <c r="G137" s="5">
        <f t="shared" si="22"/>
        <v>5.6050000000000004</v>
      </c>
      <c r="H137" s="4">
        <f t="shared" si="23"/>
        <v>0.51624999999999999</v>
      </c>
      <c r="I137" s="283"/>
      <c r="J137" s="283"/>
      <c r="K137" s="282"/>
      <c r="Q137" s="497"/>
      <c r="R137" s="497"/>
      <c r="S137" s="497"/>
      <c r="T137" s="497"/>
      <c r="U137" s="203"/>
      <c r="V137" s="203"/>
    </row>
    <row r="138" spans="1:22" ht="15" thickBot="1" x14ac:dyDescent="0.35">
      <c r="A138" s="289" t="s">
        <v>544</v>
      </c>
      <c r="B138" s="156">
        <v>1</v>
      </c>
      <c r="C138" s="156" t="s">
        <v>99</v>
      </c>
      <c r="D138" s="339">
        <v>0.25</v>
      </c>
      <c r="E138" s="339">
        <v>0.7</v>
      </c>
      <c r="F138" s="339">
        <v>2.95</v>
      </c>
      <c r="G138" s="5">
        <f t="shared" si="22"/>
        <v>5.6050000000000004</v>
      </c>
      <c r="H138" s="4">
        <f t="shared" si="23"/>
        <v>0.51624999999999999</v>
      </c>
      <c r="I138" s="283"/>
      <c r="J138" s="283"/>
      <c r="K138" s="282"/>
      <c r="Q138" s="497"/>
      <c r="R138" s="497"/>
      <c r="S138" s="497"/>
      <c r="T138" s="497"/>
      <c r="U138" s="203"/>
      <c r="V138" s="203"/>
    </row>
    <row r="139" spans="1:22" ht="15" thickBot="1" x14ac:dyDescent="0.35">
      <c r="A139" s="289" t="s">
        <v>545</v>
      </c>
      <c r="B139" s="156">
        <v>1</v>
      </c>
      <c r="C139" s="156" t="s">
        <v>99</v>
      </c>
      <c r="D139" s="339">
        <v>0.25</v>
      </c>
      <c r="E139" s="339">
        <v>0.7</v>
      </c>
      <c r="F139" s="339">
        <v>2.95</v>
      </c>
      <c r="G139" s="5">
        <f t="shared" si="22"/>
        <v>5.6050000000000004</v>
      </c>
      <c r="H139" s="4">
        <f t="shared" si="23"/>
        <v>0.51624999999999999</v>
      </c>
      <c r="I139" s="283"/>
      <c r="J139" s="283"/>
      <c r="K139" s="282"/>
      <c r="Q139" s="497"/>
      <c r="R139" s="497"/>
      <c r="S139" s="497"/>
      <c r="T139" s="497"/>
      <c r="U139" s="203"/>
      <c r="V139" s="203"/>
    </row>
    <row r="140" spans="1:22" ht="15" thickBot="1" x14ac:dyDescent="0.35">
      <c r="A140" s="289" t="s">
        <v>546</v>
      </c>
      <c r="B140" s="156">
        <v>1</v>
      </c>
      <c r="C140" s="156" t="s">
        <v>99</v>
      </c>
      <c r="D140" s="339">
        <v>0.25</v>
      </c>
      <c r="E140" s="339">
        <v>0.7</v>
      </c>
      <c r="F140" s="339">
        <v>2.95</v>
      </c>
      <c r="G140" s="5">
        <f t="shared" si="22"/>
        <v>5.6050000000000004</v>
      </c>
      <c r="H140" s="4">
        <f t="shared" si="23"/>
        <v>0.51624999999999999</v>
      </c>
      <c r="I140" s="283"/>
      <c r="J140" s="283"/>
      <c r="K140" s="282"/>
      <c r="Q140" s="497"/>
      <c r="R140" s="497"/>
      <c r="S140" s="497"/>
      <c r="T140" s="497"/>
      <c r="U140" s="203"/>
      <c r="V140" s="203"/>
    </row>
    <row r="141" spans="1:22" ht="15" thickBot="1" x14ac:dyDescent="0.35">
      <c r="A141" s="289" t="s">
        <v>547</v>
      </c>
      <c r="B141" s="156">
        <v>1</v>
      </c>
      <c r="C141" s="156" t="s">
        <v>99</v>
      </c>
      <c r="D141" s="339">
        <v>0.15</v>
      </c>
      <c r="E141" s="339">
        <v>0.4</v>
      </c>
      <c r="F141" s="339">
        <v>2.95</v>
      </c>
      <c r="G141" s="5">
        <f t="shared" si="22"/>
        <v>3.2450000000000006</v>
      </c>
      <c r="H141" s="4">
        <f t="shared" si="23"/>
        <v>0.17700000000000002</v>
      </c>
      <c r="I141" s="283"/>
      <c r="J141" s="283"/>
      <c r="K141" s="282"/>
      <c r="Q141" s="497"/>
      <c r="R141" s="497"/>
      <c r="S141" s="497"/>
      <c r="T141" s="497"/>
      <c r="U141" s="203"/>
      <c r="V141" s="203"/>
    </row>
    <row r="142" spans="1:22" ht="15" thickBot="1" x14ac:dyDescent="0.35">
      <c r="A142" s="289" t="s">
        <v>548</v>
      </c>
      <c r="B142" s="156">
        <v>1</v>
      </c>
      <c r="C142" s="156" t="s">
        <v>99</v>
      </c>
      <c r="D142" s="339">
        <v>0.15</v>
      </c>
      <c r="E142" s="339">
        <v>0.4</v>
      </c>
      <c r="F142" s="339">
        <v>2.95</v>
      </c>
      <c r="G142" s="5">
        <f t="shared" si="22"/>
        <v>3.2450000000000006</v>
      </c>
      <c r="H142" s="4">
        <f t="shared" si="23"/>
        <v>0.17700000000000002</v>
      </c>
      <c r="I142" s="283"/>
      <c r="J142" s="283"/>
      <c r="K142" s="282"/>
      <c r="Q142" s="497"/>
      <c r="R142" s="497"/>
      <c r="S142" s="497"/>
      <c r="T142" s="497"/>
      <c r="U142" s="203"/>
      <c r="V142" s="203"/>
    </row>
    <row r="143" spans="1:22" ht="15" thickBot="1" x14ac:dyDescent="0.35">
      <c r="A143" s="289" t="s">
        <v>549</v>
      </c>
      <c r="B143" s="156">
        <v>1</v>
      </c>
      <c r="C143" s="156" t="s">
        <v>99</v>
      </c>
      <c r="D143" s="339">
        <v>0.15</v>
      </c>
      <c r="E143" s="339">
        <v>0.75</v>
      </c>
      <c r="F143" s="339">
        <v>2.95</v>
      </c>
      <c r="G143" s="5">
        <f t="shared" si="22"/>
        <v>5.3100000000000005</v>
      </c>
      <c r="H143" s="4">
        <f t="shared" si="23"/>
        <v>0.33187500000000003</v>
      </c>
      <c r="I143" s="283"/>
      <c r="J143" s="283"/>
      <c r="K143" s="282"/>
      <c r="Q143" s="497"/>
      <c r="R143" s="497"/>
      <c r="S143" s="497"/>
      <c r="T143" s="497"/>
      <c r="U143" s="203"/>
      <c r="V143" s="203"/>
    </row>
    <row r="144" spans="1:22" ht="15" thickBot="1" x14ac:dyDescent="0.35">
      <c r="A144" s="289" t="s">
        <v>550</v>
      </c>
      <c r="B144" s="156">
        <v>1</v>
      </c>
      <c r="C144" s="156" t="s">
        <v>99</v>
      </c>
      <c r="D144" s="339">
        <v>0.15</v>
      </c>
      <c r="E144" s="339">
        <v>0.75</v>
      </c>
      <c r="F144" s="339">
        <v>2.95</v>
      </c>
      <c r="G144" s="5">
        <f t="shared" ref="G144:G155" si="24">(((2*D144+2*E144)*F144))*B144</f>
        <v>5.3100000000000005</v>
      </c>
      <c r="H144" s="4">
        <f t="shared" ref="H144:H155" si="25">F144*E144*D144*B144</f>
        <v>0.33187500000000003</v>
      </c>
      <c r="I144" s="283"/>
      <c r="J144" s="283"/>
      <c r="K144" s="282"/>
      <c r="Q144" s="497"/>
      <c r="R144" s="497"/>
      <c r="S144" s="497"/>
      <c r="T144" s="497"/>
      <c r="U144" s="203"/>
      <c r="V144" s="203"/>
    </row>
    <row r="145" spans="1:22" ht="15" thickBot="1" x14ac:dyDescent="0.35">
      <c r="A145" s="289" t="s">
        <v>551</v>
      </c>
      <c r="B145" s="156">
        <v>1</v>
      </c>
      <c r="C145" s="156" t="s">
        <v>99</v>
      </c>
      <c r="D145" s="339">
        <v>0.15</v>
      </c>
      <c r="E145" s="339">
        <v>0.95</v>
      </c>
      <c r="F145" s="339">
        <v>2.95</v>
      </c>
      <c r="G145" s="5">
        <f t="shared" si="24"/>
        <v>6.4899999999999993</v>
      </c>
      <c r="H145" s="4">
        <f t="shared" si="25"/>
        <v>0.420375</v>
      </c>
      <c r="I145" s="283"/>
      <c r="J145" s="283"/>
      <c r="K145" s="282"/>
      <c r="Q145" s="497"/>
      <c r="R145" s="497"/>
      <c r="S145" s="497"/>
      <c r="T145" s="497"/>
      <c r="U145" s="203"/>
      <c r="V145" s="203"/>
    </row>
    <row r="146" spans="1:22" ht="15" thickBot="1" x14ac:dyDescent="0.35">
      <c r="A146" s="289" t="s">
        <v>552</v>
      </c>
      <c r="B146" s="156">
        <v>1</v>
      </c>
      <c r="C146" s="156" t="s">
        <v>99</v>
      </c>
      <c r="D146" s="339">
        <v>0.15</v>
      </c>
      <c r="E146" s="339">
        <v>0.95</v>
      </c>
      <c r="F146" s="339">
        <v>2.95</v>
      </c>
      <c r="G146" s="5">
        <f t="shared" si="24"/>
        <v>6.4899999999999993</v>
      </c>
      <c r="H146" s="4">
        <f t="shared" si="25"/>
        <v>0.420375</v>
      </c>
      <c r="I146" s="283"/>
      <c r="J146" s="283"/>
      <c r="K146" s="282"/>
      <c r="Q146" s="497"/>
      <c r="R146" s="497"/>
      <c r="S146" s="497"/>
      <c r="T146" s="497"/>
      <c r="U146" s="203"/>
      <c r="V146" s="203"/>
    </row>
    <row r="147" spans="1:22" ht="15" thickBot="1" x14ac:dyDescent="0.35">
      <c r="A147" s="289" t="s">
        <v>553</v>
      </c>
      <c r="B147" s="156">
        <v>1</v>
      </c>
      <c r="C147" s="156" t="s">
        <v>99</v>
      </c>
      <c r="D147" s="339">
        <v>0.15</v>
      </c>
      <c r="E147" s="339">
        <v>0.95</v>
      </c>
      <c r="F147" s="339">
        <v>2.95</v>
      </c>
      <c r="G147" s="5">
        <f t="shared" si="24"/>
        <v>6.4899999999999993</v>
      </c>
      <c r="H147" s="4">
        <f t="shared" si="25"/>
        <v>0.420375</v>
      </c>
      <c r="I147" s="283"/>
      <c r="J147" s="283"/>
      <c r="K147" s="282"/>
      <c r="Q147" s="497"/>
      <c r="R147" s="497"/>
      <c r="S147" s="497"/>
      <c r="T147" s="497"/>
      <c r="U147" s="203"/>
      <c r="V147" s="203"/>
    </row>
    <row r="148" spans="1:22" ht="15" thickBot="1" x14ac:dyDescent="0.35">
      <c r="A148" s="289" t="s">
        <v>554</v>
      </c>
      <c r="B148" s="156">
        <v>1</v>
      </c>
      <c r="C148" s="156" t="s">
        <v>99</v>
      </c>
      <c r="D148" s="339">
        <v>0.15</v>
      </c>
      <c r="E148" s="339">
        <v>0.95</v>
      </c>
      <c r="F148" s="339">
        <v>2.95</v>
      </c>
      <c r="G148" s="5">
        <f t="shared" si="24"/>
        <v>6.4899999999999993</v>
      </c>
      <c r="H148" s="4">
        <f t="shared" si="25"/>
        <v>0.420375</v>
      </c>
      <c r="I148" s="283"/>
      <c r="J148" s="283"/>
      <c r="K148" s="282"/>
      <c r="Q148" s="497"/>
      <c r="R148" s="497"/>
      <c r="S148" s="497"/>
      <c r="T148" s="497"/>
      <c r="U148" s="203"/>
      <c r="V148" s="203"/>
    </row>
    <row r="149" spans="1:22" ht="15" thickBot="1" x14ac:dyDescent="0.35">
      <c r="A149" s="289" t="s">
        <v>555</v>
      </c>
      <c r="B149" s="156">
        <v>1</v>
      </c>
      <c r="C149" s="156" t="s">
        <v>99</v>
      </c>
      <c r="D149" s="339">
        <v>0.2</v>
      </c>
      <c r="E149" s="339">
        <v>0.6</v>
      </c>
      <c r="F149" s="339">
        <v>2.95</v>
      </c>
      <c r="G149" s="5">
        <f t="shared" si="24"/>
        <v>4.7200000000000006</v>
      </c>
      <c r="H149" s="4">
        <f t="shared" si="25"/>
        <v>0.35400000000000004</v>
      </c>
      <c r="I149" s="283"/>
      <c r="J149" s="283"/>
      <c r="K149" s="282"/>
      <c r="Q149" s="497"/>
      <c r="R149" s="497"/>
      <c r="S149" s="497"/>
      <c r="T149" s="497"/>
      <c r="U149" s="203"/>
      <c r="V149" s="203"/>
    </row>
    <row r="150" spans="1:22" ht="15" thickBot="1" x14ac:dyDescent="0.35">
      <c r="A150" s="289" t="s">
        <v>556</v>
      </c>
      <c r="B150" s="156">
        <v>1</v>
      </c>
      <c r="C150" s="156" t="s">
        <v>99</v>
      </c>
      <c r="D150" s="339">
        <v>0.15</v>
      </c>
      <c r="E150" s="339">
        <v>0.95</v>
      </c>
      <c r="F150" s="339">
        <v>2.95</v>
      </c>
      <c r="G150" s="5">
        <f t="shared" si="24"/>
        <v>6.4899999999999993</v>
      </c>
      <c r="H150" s="4">
        <f t="shared" si="25"/>
        <v>0.420375</v>
      </c>
      <c r="I150" s="283"/>
      <c r="J150" s="283"/>
      <c r="K150" s="282"/>
      <c r="Q150" s="497"/>
      <c r="R150" s="497"/>
      <c r="S150" s="497"/>
      <c r="T150" s="497"/>
      <c r="U150" s="203"/>
      <c r="V150" s="203"/>
    </row>
    <row r="151" spans="1:22" ht="15" thickBot="1" x14ac:dyDescent="0.35">
      <c r="A151" s="289" t="s">
        <v>557</v>
      </c>
      <c r="B151" s="156">
        <v>1</v>
      </c>
      <c r="C151" s="156" t="s">
        <v>99</v>
      </c>
      <c r="D151" s="339">
        <v>0.2</v>
      </c>
      <c r="E151" s="339">
        <v>0.95</v>
      </c>
      <c r="F151" s="339">
        <v>2.95</v>
      </c>
      <c r="G151" s="5">
        <f t="shared" si="24"/>
        <v>6.7850000000000001</v>
      </c>
      <c r="H151" s="4">
        <f t="shared" si="25"/>
        <v>0.56050000000000011</v>
      </c>
      <c r="I151" s="283"/>
      <c r="J151" s="283"/>
      <c r="K151" s="282"/>
      <c r="Q151" s="497"/>
      <c r="R151" s="497"/>
      <c r="S151" s="497"/>
      <c r="T151" s="497"/>
      <c r="U151" s="203"/>
      <c r="V151" s="203"/>
    </row>
    <row r="152" spans="1:22" ht="15" thickBot="1" x14ac:dyDescent="0.35">
      <c r="A152" s="289" t="s">
        <v>558</v>
      </c>
      <c r="B152" s="156">
        <v>1</v>
      </c>
      <c r="C152" s="156" t="s">
        <v>99</v>
      </c>
      <c r="D152" s="339">
        <v>0.2</v>
      </c>
      <c r="E152" s="339">
        <v>0.3</v>
      </c>
      <c r="F152" s="339">
        <v>2.95</v>
      </c>
      <c r="G152" s="5">
        <f t="shared" si="24"/>
        <v>2.95</v>
      </c>
      <c r="H152" s="4">
        <f t="shared" si="25"/>
        <v>0.17700000000000002</v>
      </c>
      <c r="I152" s="283"/>
      <c r="J152" s="283"/>
      <c r="K152" s="282"/>
      <c r="Q152" s="497"/>
      <c r="R152" s="497"/>
      <c r="S152" s="497"/>
      <c r="T152" s="497"/>
      <c r="U152" s="203"/>
      <c r="V152" s="203"/>
    </row>
    <row r="153" spans="1:22" ht="15" thickBot="1" x14ac:dyDescent="0.35">
      <c r="A153" s="289" t="s">
        <v>559</v>
      </c>
      <c r="B153" s="156">
        <v>1</v>
      </c>
      <c r="C153" s="156" t="s">
        <v>99</v>
      </c>
      <c r="D153" s="339">
        <v>0.2</v>
      </c>
      <c r="E153" s="339">
        <v>0.25</v>
      </c>
      <c r="F153" s="339">
        <v>2.95</v>
      </c>
      <c r="G153" s="5">
        <f t="shared" si="24"/>
        <v>2.6550000000000002</v>
      </c>
      <c r="H153" s="4">
        <f t="shared" si="25"/>
        <v>0.14750000000000002</v>
      </c>
      <c r="I153" s="283"/>
      <c r="J153" s="283"/>
      <c r="K153" s="282"/>
      <c r="Q153" s="497"/>
      <c r="R153" s="497"/>
      <c r="S153" s="497"/>
      <c r="T153" s="497"/>
      <c r="U153" s="203"/>
      <c r="V153" s="203"/>
    </row>
    <row r="154" spans="1:22" ht="15" thickBot="1" x14ac:dyDescent="0.35">
      <c r="A154" s="289" t="s">
        <v>560</v>
      </c>
      <c r="B154" s="156">
        <v>1</v>
      </c>
      <c r="C154" s="156" t="s">
        <v>99</v>
      </c>
      <c r="D154" s="339">
        <v>0.15</v>
      </c>
      <c r="E154" s="339">
        <v>0.25</v>
      </c>
      <c r="F154" s="339">
        <v>2.95</v>
      </c>
      <c r="G154" s="5">
        <f t="shared" si="24"/>
        <v>2.3600000000000003</v>
      </c>
      <c r="H154" s="4">
        <f t="shared" si="25"/>
        <v>0.110625</v>
      </c>
      <c r="I154" s="283"/>
      <c r="J154" s="283"/>
      <c r="K154" s="282"/>
      <c r="Q154" s="497"/>
      <c r="R154" s="497"/>
      <c r="S154" s="497"/>
      <c r="T154" s="497"/>
      <c r="U154" s="203"/>
      <c r="V154" s="203"/>
    </row>
    <row r="155" spans="1:22" ht="15" thickBot="1" x14ac:dyDescent="0.35">
      <c r="A155" s="289" t="s">
        <v>561</v>
      </c>
      <c r="B155" s="156">
        <v>1</v>
      </c>
      <c r="C155" s="156" t="s">
        <v>99</v>
      </c>
      <c r="D155" s="339">
        <v>0.15</v>
      </c>
      <c r="E155" s="339">
        <v>0.25</v>
      </c>
      <c r="F155" s="339">
        <v>2.95</v>
      </c>
      <c r="G155" s="5">
        <f t="shared" si="24"/>
        <v>2.3600000000000003</v>
      </c>
      <c r="H155" s="4">
        <f t="shared" si="25"/>
        <v>0.110625</v>
      </c>
      <c r="I155" s="283"/>
      <c r="J155" s="283"/>
      <c r="K155" s="282"/>
      <c r="Q155" s="497"/>
      <c r="R155" s="497"/>
      <c r="S155" s="497"/>
      <c r="T155" s="497"/>
      <c r="U155" s="203"/>
      <c r="V155" s="203"/>
    </row>
    <row r="156" spans="1:22" ht="15" thickBot="1" x14ac:dyDescent="0.35">
      <c r="A156" s="289" t="s">
        <v>530</v>
      </c>
      <c r="B156" s="156">
        <v>1</v>
      </c>
      <c r="C156" s="156" t="s">
        <v>184</v>
      </c>
      <c r="D156" s="339">
        <v>0.15</v>
      </c>
      <c r="E156" s="339">
        <v>0.4</v>
      </c>
      <c r="F156" s="339">
        <v>0.9</v>
      </c>
      <c r="G156" s="5">
        <f t="shared" si="20"/>
        <v>0.9900000000000001</v>
      </c>
      <c r="H156" s="4">
        <f t="shared" si="21"/>
        <v>5.4000000000000006E-2</v>
      </c>
      <c r="I156" s="283"/>
      <c r="J156" s="283"/>
      <c r="K156" s="282"/>
      <c r="Q156" s="497"/>
      <c r="R156" s="497"/>
      <c r="S156" s="497"/>
      <c r="T156" s="497"/>
      <c r="U156" s="203"/>
      <c r="V156" s="203"/>
    </row>
    <row r="157" spans="1:22" ht="15" thickBot="1" x14ac:dyDescent="0.35">
      <c r="A157" s="289" t="s">
        <v>531</v>
      </c>
      <c r="B157" s="156">
        <v>1</v>
      </c>
      <c r="C157" s="156" t="s">
        <v>184</v>
      </c>
      <c r="D157" s="339">
        <v>0.2</v>
      </c>
      <c r="E157" s="339">
        <v>0.4</v>
      </c>
      <c r="F157" s="339">
        <v>0.9</v>
      </c>
      <c r="G157" s="5">
        <f t="shared" ref="G157:G197" si="26">(((2*D157+2*E157)*F157))*B157</f>
        <v>1.0800000000000003</v>
      </c>
      <c r="H157" s="4">
        <f t="shared" ref="H157:H197" si="27">F157*E157*D157*B157</f>
        <v>7.2000000000000008E-2</v>
      </c>
      <c r="I157" s="283"/>
      <c r="J157" s="283"/>
      <c r="K157" s="282"/>
      <c r="Q157" s="497"/>
      <c r="R157" s="497"/>
      <c r="S157" s="497"/>
      <c r="T157" s="497"/>
      <c r="U157" s="203"/>
      <c r="V157" s="203"/>
    </row>
    <row r="158" spans="1:22" ht="15" thickBot="1" x14ac:dyDescent="0.35">
      <c r="A158" s="289" t="s">
        <v>532</v>
      </c>
      <c r="B158" s="156">
        <v>1</v>
      </c>
      <c r="C158" s="156" t="s">
        <v>184</v>
      </c>
      <c r="D158" s="339">
        <v>0.15</v>
      </c>
      <c r="E158" s="339">
        <v>0.4</v>
      </c>
      <c r="F158" s="339">
        <v>0.9</v>
      </c>
      <c r="G158" s="5">
        <f t="shared" si="26"/>
        <v>0.9900000000000001</v>
      </c>
      <c r="H158" s="4">
        <f t="shared" si="27"/>
        <v>5.4000000000000006E-2</v>
      </c>
      <c r="I158" s="283"/>
      <c r="J158" s="283"/>
      <c r="K158" s="282"/>
      <c r="Q158" s="497"/>
      <c r="R158" s="497"/>
      <c r="S158" s="497"/>
      <c r="T158" s="497"/>
      <c r="U158" s="203"/>
      <c r="V158" s="203"/>
    </row>
    <row r="159" spans="1:22" ht="15" thickBot="1" x14ac:dyDescent="0.35">
      <c r="A159" s="289" t="s">
        <v>533</v>
      </c>
      <c r="B159" s="156">
        <v>1</v>
      </c>
      <c r="C159" s="156" t="s">
        <v>184</v>
      </c>
      <c r="D159" s="339">
        <v>0.15</v>
      </c>
      <c r="E159" s="339">
        <v>0.4</v>
      </c>
      <c r="F159" s="339">
        <v>0.9</v>
      </c>
      <c r="G159" s="5">
        <f t="shared" si="26"/>
        <v>0.9900000000000001</v>
      </c>
      <c r="H159" s="4">
        <f t="shared" si="27"/>
        <v>5.4000000000000006E-2</v>
      </c>
      <c r="I159" s="283"/>
      <c r="J159" s="283"/>
      <c r="K159" s="282"/>
      <c r="Q159" s="497"/>
      <c r="R159" s="497"/>
      <c r="S159" s="497"/>
      <c r="T159" s="497"/>
      <c r="U159" s="203"/>
      <c r="V159" s="203"/>
    </row>
    <row r="160" spans="1:22" ht="15" thickBot="1" x14ac:dyDescent="0.35">
      <c r="A160" s="289" t="s">
        <v>534</v>
      </c>
      <c r="B160" s="156">
        <v>1</v>
      </c>
      <c r="C160" s="156" t="s">
        <v>184</v>
      </c>
      <c r="D160" s="339">
        <v>0.2</v>
      </c>
      <c r="E160" s="339">
        <v>0.5</v>
      </c>
      <c r="F160" s="339">
        <v>0.9</v>
      </c>
      <c r="G160" s="5">
        <f t="shared" si="26"/>
        <v>1.26</v>
      </c>
      <c r="H160" s="4">
        <f t="shared" si="27"/>
        <v>9.0000000000000011E-2</v>
      </c>
      <c r="I160" s="283"/>
      <c r="J160" s="283"/>
      <c r="K160" s="282"/>
      <c r="Q160" s="497"/>
      <c r="R160" s="497"/>
      <c r="S160" s="497"/>
      <c r="T160" s="497"/>
      <c r="U160" s="203"/>
      <c r="V160" s="203"/>
    </row>
    <row r="161" spans="1:22" ht="15" thickBot="1" x14ac:dyDescent="0.35">
      <c r="A161" s="289" t="s">
        <v>537</v>
      </c>
      <c r="B161" s="156">
        <v>1</v>
      </c>
      <c r="C161" s="156" t="s">
        <v>184</v>
      </c>
      <c r="D161" s="339">
        <v>0.2</v>
      </c>
      <c r="E161" s="339">
        <v>0.4</v>
      </c>
      <c r="F161" s="339">
        <v>0.9</v>
      </c>
      <c r="G161" s="5">
        <f t="shared" si="26"/>
        <v>1.0800000000000003</v>
      </c>
      <c r="H161" s="4">
        <f t="shared" si="27"/>
        <v>7.2000000000000008E-2</v>
      </c>
      <c r="I161" s="283"/>
      <c r="J161" s="283"/>
      <c r="K161" s="282"/>
      <c r="Q161" s="497"/>
      <c r="R161" s="497"/>
      <c r="S161" s="497"/>
      <c r="T161" s="497"/>
      <c r="U161" s="203"/>
      <c r="V161" s="203"/>
    </row>
    <row r="162" spans="1:22" ht="15" thickBot="1" x14ac:dyDescent="0.35">
      <c r="A162" s="289" t="s">
        <v>538</v>
      </c>
      <c r="B162" s="156">
        <v>1</v>
      </c>
      <c r="C162" s="156" t="s">
        <v>184</v>
      </c>
      <c r="D162" s="339">
        <v>0.15</v>
      </c>
      <c r="E162" s="339">
        <v>0.4</v>
      </c>
      <c r="F162" s="339">
        <v>0.9</v>
      </c>
      <c r="G162" s="5">
        <f t="shared" si="26"/>
        <v>0.9900000000000001</v>
      </c>
      <c r="H162" s="4">
        <f t="shared" si="27"/>
        <v>5.4000000000000006E-2</v>
      </c>
      <c r="I162" s="283"/>
      <c r="J162" s="283"/>
      <c r="K162" s="282"/>
      <c r="Q162" s="497"/>
      <c r="R162" s="497"/>
      <c r="S162" s="497"/>
      <c r="T162" s="497"/>
      <c r="U162" s="203"/>
      <c r="V162" s="203"/>
    </row>
    <row r="163" spans="1:22" ht="15" thickBot="1" x14ac:dyDescent="0.35">
      <c r="A163" s="289" t="s">
        <v>539</v>
      </c>
      <c r="B163" s="156">
        <v>1</v>
      </c>
      <c r="C163" s="156" t="s">
        <v>184</v>
      </c>
      <c r="D163" s="339">
        <v>0.15</v>
      </c>
      <c r="E163" s="339">
        <v>0.4</v>
      </c>
      <c r="F163" s="339">
        <v>0.9</v>
      </c>
      <c r="G163" s="5">
        <f t="shared" si="26"/>
        <v>0.9900000000000001</v>
      </c>
      <c r="H163" s="4">
        <f t="shared" si="27"/>
        <v>5.4000000000000006E-2</v>
      </c>
      <c r="I163" s="283"/>
      <c r="J163" s="283"/>
      <c r="K163" s="282"/>
      <c r="Q163" s="497"/>
      <c r="R163" s="497"/>
      <c r="S163" s="497"/>
      <c r="T163" s="497"/>
      <c r="U163" s="203"/>
      <c r="V163" s="203"/>
    </row>
    <row r="164" spans="1:22" ht="15" thickBot="1" x14ac:dyDescent="0.35">
      <c r="A164" s="289" t="s">
        <v>540</v>
      </c>
      <c r="B164" s="156">
        <v>1</v>
      </c>
      <c r="C164" s="156" t="s">
        <v>184</v>
      </c>
      <c r="D164" s="339">
        <v>0.2</v>
      </c>
      <c r="E164" s="339">
        <v>0.6</v>
      </c>
      <c r="F164" s="339">
        <v>0.9</v>
      </c>
      <c r="G164" s="5">
        <f t="shared" si="26"/>
        <v>1.4400000000000002</v>
      </c>
      <c r="H164" s="4">
        <f t="shared" si="27"/>
        <v>0.10800000000000001</v>
      </c>
      <c r="I164" s="283"/>
      <c r="J164" s="283"/>
      <c r="K164" s="282"/>
      <c r="Q164" s="497"/>
      <c r="R164" s="497"/>
      <c r="S164" s="497"/>
      <c r="T164" s="497"/>
      <c r="U164" s="203"/>
      <c r="V164" s="203"/>
    </row>
    <row r="165" spans="1:22" ht="15" thickBot="1" x14ac:dyDescent="0.35">
      <c r="A165" s="289" t="s">
        <v>541</v>
      </c>
      <c r="B165" s="156">
        <v>1</v>
      </c>
      <c r="C165" s="156" t="s">
        <v>184</v>
      </c>
      <c r="D165" s="339">
        <v>0.15</v>
      </c>
      <c r="E165" s="339">
        <v>0.4</v>
      </c>
      <c r="F165" s="339">
        <v>0.9</v>
      </c>
      <c r="G165" s="5">
        <f t="shared" si="26"/>
        <v>0.9900000000000001</v>
      </c>
      <c r="H165" s="4">
        <f t="shared" si="27"/>
        <v>5.4000000000000006E-2</v>
      </c>
      <c r="I165" s="283"/>
      <c r="J165" s="283"/>
      <c r="K165" s="282"/>
      <c r="Q165" s="497"/>
      <c r="R165" s="497"/>
      <c r="S165" s="497"/>
      <c r="T165" s="497"/>
      <c r="U165" s="203"/>
      <c r="V165" s="203"/>
    </row>
    <row r="166" spans="1:22" ht="15" thickBot="1" x14ac:dyDescent="0.35">
      <c r="A166" s="289" t="s">
        <v>543</v>
      </c>
      <c r="B166" s="156">
        <v>1</v>
      </c>
      <c r="C166" s="156" t="s">
        <v>184</v>
      </c>
      <c r="D166" s="339">
        <v>0.25</v>
      </c>
      <c r="E166" s="339">
        <v>0.4</v>
      </c>
      <c r="F166" s="339">
        <v>0.9</v>
      </c>
      <c r="G166" s="5">
        <f t="shared" si="26"/>
        <v>1.1700000000000002</v>
      </c>
      <c r="H166" s="4">
        <f t="shared" si="27"/>
        <v>9.0000000000000011E-2</v>
      </c>
      <c r="I166" s="283"/>
      <c r="J166" s="283"/>
      <c r="K166" s="282"/>
      <c r="Q166" s="497"/>
      <c r="R166" s="497"/>
      <c r="S166" s="497"/>
      <c r="T166" s="497"/>
      <c r="U166" s="203"/>
      <c r="V166" s="203"/>
    </row>
    <row r="167" spans="1:22" ht="15" thickBot="1" x14ac:dyDescent="0.35">
      <c r="A167" s="289" t="s">
        <v>546</v>
      </c>
      <c r="B167" s="156">
        <v>1</v>
      </c>
      <c r="C167" s="156" t="s">
        <v>184</v>
      </c>
      <c r="D167" s="339">
        <v>0.25</v>
      </c>
      <c r="E167" s="339">
        <v>0.7</v>
      </c>
      <c r="F167" s="339">
        <v>0.9</v>
      </c>
      <c r="G167" s="5">
        <f t="shared" si="26"/>
        <v>1.71</v>
      </c>
      <c r="H167" s="4">
        <f t="shared" si="27"/>
        <v>0.1575</v>
      </c>
      <c r="I167" s="283"/>
      <c r="J167" s="283"/>
      <c r="K167" s="282"/>
      <c r="Q167" s="497"/>
      <c r="R167" s="497"/>
      <c r="S167" s="497"/>
      <c r="T167" s="497"/>
      <c r="U167" s="203"/>
      <c r="V167" s="203"/>
    </row>
    <row r="168" spans="1:22" ht="15" thickBot="1" x14ac:dyDescent="0.35">
      <c r="A168" s="289" t="s">
        <v>551</v>
      </c>
      <c r="B168" s="156">
        <v>1</v>
      </c>
      <c r="C168" s="156" t="s">
        <v>184</v>
      </c>
      <c r="D168" s="339">
        <v>0.15</v>
      </c>
      <c r="E168" s="339">
        <v>0.95</v>
      </c>
      <c r="F168" s="339">
        <v>0.9</v>
      </c>
      <c r="G168" s="5">
        <f t="shared" si="26"/>
        <v>1.9799999999999998</v>
      </c>
      <c r="H168" s="4">
        <f t="shared" si="27"/>
        <v>0.12825</v>
      </c>
      <c r="I168" s="283"/>
      <c r="J168" s="283"/>
      <c r="K168" s="282"/>
      <c r="Q168" s="497"/>
      <c r="R168" s="497"/>
      <c r="S168" s="497"/>
      <c r="T168" s="497"/>
      <c r="U168" s="203"/>
      <c r="V168" s="203"/>
    </row>
    <row r="169" spans="1:22" ht="15" thickBot="1" x14ac:dyDescent="0.35">
      <c r="A169" s="289" t="s">
        <v>552</v>
      </c>
      <c r="B169" s="156">
        <v>1</v>
      </c>
      <c r="C169" s="156" t="s">
        <v>184</v>
      </c>
      <c r="D169" s="339">
        <v>0.15</v>
      </c>
      <c r="E169" s="339">
        <v>0.4</v>
      </c>
      <c r="F169" s="339">
        <v>0.9</v>
      </c>
      <c r="G169" s="5">
        <f t="shared" si="26"/>
        <v>0.9900000000000001</v>
      </c>
      <c r="H169" s="4">
        <f t="shared" si="27"/>
        <v>5.4000000000000006E-2</v>
      </c>
      <c r="I169" s="283"/>
      <c r="J169" s="283"/>
      <c r="K169" s="282"/>
      <c r="Q169" s="497"/>
      <c r="R169" s="497"/>
      <c r="S169" s="497"/>
      <c r="T169" s="497"/>
      <c r="U169" s="203"/>
      <c r="V169" s="203"/>
    </row>
    <row r="170" spans="1:22" ht="15" thickBot="1" x14ac:dyDescent="0.35">
      <c r="A170" s="289" t="s">
        <v>553</v>
      </c>
      <c r="B170" s="156">
        <v>1</v>
      </c>
      <c r="C170" s="156" t="s">
        <v>184</v>
      </c>
      <c r="D170" s="339">
        <v>0.15</v>
      </c>
      <c r="E170" s="339">
        <v>0.4</v>
      </c>
      <c r="F170" s="339">
        <v>0.9</v>
      </c>
      <c r="G170" s="5">
        <f t="shared" si="26"/>
        <v>0.9900000000000001</v>
      </c>
      <c r="H170" s="4">
        <f t="shared" si="27"/>
        <v>5.4000000000000006E-2</v>
      </c>
      <c r="I170" s="283"/>
      <c r="J170" s="283"/>
      <c r="K170" s="282"/>
      <c r="Q170" s="497"/>
      <c r="R170" s="497"/>
      <c r="S170" s="497"/>
      <c r="T170" s="497"/>
      <c r="U170" s="203"/>
      <c r="V170" s="203"/>
    </row>
    <row r="171" spans="1:22" ht="15" thickBot="1" x14ac:dyDescent="0.35">
      <c r="A171" s="289" t="s">
        <v>554</v>
      </c>
      <c r="B171" s="156">
        <v>1</v>
      </c>
      <c r="C171" s="156" t="s">
        <v>184</v>
      </c>
      <c r="D171" s="339">
        <v>0.15</v>
      </c>
      <c r="E171" s="339">
        <v>0.4</v>
      </c>
      <c r="F171" s="339">
        <v>0.9</v>
      </c>
      <c r="G171" s="5">
        <f t="shared" si="26"/>
        <v>0.9900000000000001</v>
      </c>
      <c r="H171" s="4">
        <f t="shared" si="27"/>
        <v>5.4000000000000006E-2</v>
      </c>
      <c r="I171" s="283"/>
      <c r="J171" s="283"/>
      <c r="K171" s="282"/>
      <c r="Q171" s="497"/>
      <c r="R171" s="497"/>
      <c r="S171" s="497"/>
      <c r="T171" s="497"/>
      <c r="U171" s="203"/>
      <c r="V171" s="203"/>
    </row>
    <row r="172" spans="1:22" ht="15" thickBot="1" x14ac:dyDescent="0.35">
      <c r="A172" s="289" t="s">
        <v>556</v>
      </c>
      <c r="B172" s="156">
        <v>1</v>
      </c>
      <c r="C172" s="156" t="s">
        <v>184</v>
      </c>
      <c r="D172" s="339">
        <v>0.15</v>
      </c>
      <c r="E172" s="339">
        <v>0.4</v>
      </c>
      <c r="F172" s="339">
        <v>0.9</v>
      </c>
      <c r="G172" s="5">
        <f t="shared" si="26"/>
        <v>0.9900000000000001</v>
      </c>
      <c r="H172" s="4">
        <f t="shared" si="27"/>
        <v>5.4000000000000006E-2</v>
      </c>
      <c r="I172" s="283"/>
      <c r="J172" s="283"/>
      <c r="K172" s="282"/>
      <c r="Q172" s="497"/>
      <c r="R172" s="497"/>
      <c r="S172" s="497"/>
      <c r="T172" s="497"/>
      <c r="U172" s="203"/>
      <c r="V172" s="203"/>
    </row>
    <row r="173" spans="1:22" ht="15" thickBot="1" x14ac:dyDescent="0.35">
      <c r="A173" s="289" t="s">
        <v>557</v>
      </c>
      <c r="B173" s="156">
        <v>1</v>
      </c>
      <c r="C173" s="156" t="s">
        <v>184</v>
      </c>
      <c r="D173" s="339">
        <v>0.2</v>
      </c>
      <c r="E173" s="339">
        <v>0.95</v>
      </c>
      <c r="F173" s="339">
        <v>0.9</v>
      </c>
      <c r="G173" s="5">
        <f t="shared" si="26"/>
        <v>2.0699999999999998</v>
      </c>
      <c r="H173" s="4">
        <f t="shared" si="27"/>
        <v>0.17100000000000001</v>
      </c>
      <c r="I173" s="283"/>
      <c r="J173" s="283"/>
      <c r="K173" s="282"/>
      <c r="Q173" s="497"/>
      <c r="R173" s="497"/>
      <c r="S173" s="497"/>
      <c r="T173" s="497"/>
      <c r="U173" s="203"/>
      <c r="V173" s="203"/>
    </row>
    <row r="174" spans="1:22" ht="15" thickBot="1" x14ac:dyDescent="0.35">
      <c r="A174" s="289" t="s">
        <v>558</v>
      </c>
      <c r="B174" s="156">
        <v>1</v>
      </c>
      <c r="C174" s="156" t="s">
        <v>184</v>
      </c>
      <c r="D174" s="339">
        <v>0.2</v>
      </c>
      <c r="E174" s="339">
        <v>0.3</v>
      </c>
      <c r="F174" s="339">
        <v>0.9</v>
      </c>
      <c r="G174" s="5">
        <f t="shared" si="26"/>
        <v>0.9</v>
      </c>
      <c r="H174" s="4">
        <f t="shared" si="27"/>
        <v>5.4000000000000006E-2</v>
      </c>
      <c r="I174" s="283"/>
      <c r="J174" s="283"/>
      <c r="K174" s="282"/>
      <c r="Q174" s="497"/>
      <c r="R174" s="497"/>
      <c r="S174" s="497"/>
      <c r="T174" s="497"/>
      <c r="U174" s="203"/>
      <c r="V174" s="203"/>
    </row>
    <row r="175" spans="1:22" ht="15" thickBot="1" x14ac:dyDescent="0.35">
      <c r="A175" s="289" t="s">
        <v>559</v>
      </c>
      <c r="B175" s="156">
        <v>1</v>
      </c>
      <c r="C175" s="156" t="s">
        <v>184</v>
      </c>
      <c r="D175" s="339">
        <v>0.2</v>
      </c>
      <c r="E175" s="339">
        <v>0.25</v>
      </c>
      <c r="F175" s="339">
        <v>0.9</v>
      </c>
      <c r="G175" s="5">
        <f t="shared" si="26"/>
        <v>0.81</v>
      </c>
      <c r="H175" s="4">
        <f t="shared" si="27"/>
        <v>4.5000000000000005E-2</v>
      </c>
      <c r="I175" s="283"/>
      <c r="J175" s="283"/>
      <c r="K175" s="282"/>
      <c r="Q175" s="497"/>
      <c r="R175" s="497"/>
      <c r="S175" s="497"/>
      <c r="T175" s="497"/>
      <c r="U175" s="203"/>
      <c r="V175" s="203"/>
    </row>
    <row r="176" spans="1:22" ht="15" thickBot="1" x14ac:dyDescent="0.35">
      <c r="A176" s="289" t="s">
        <v>560</v>
      </c>
      <c r="B176" s="156">
        <v>1</v>
      </c>
      <c r="C176" s="156" t="s">
        <v>184</v>
      </c>
      <c r="D176" s="339">
        <v>0.15</v>
      </c>
      <c r="E176" s="339">
        <v>0.25</v>
      </c>
      <c r="F176" s="339">
        <v>0.9</v>
      </c>
      <c r="G176" s="5">
        <f t="shared" si="26"/>
        <v>0.72000000000000008</v>
      </c>
      <c r="H176" s="4">
        <f t="shared" si="27"/>
        <v>3.3750000000000002E-2</v>
      </c>
      <c r="I176" s="283"/>
      <c r="J176" s="283"/>
      <c r="K176" s="282"/>
      <c r="Q176" s="497"/>
      <c r="R176" s="497"/>
      <c r="S176" s="497"/>
      <c r="T176" s="497"/>
      <c r="U176" s="203"/>
      <c r="V176" s="203"/>
    </row>
    <row r="177" spans="1:22" ht="15" thickBot="1" x14ac:dyDescent="0.35">
      <c r="A177" s="289" t="s">
        <v>561</v>
      </c>
      <c r="B177" s="156">
        <v>1</v>
      </c>
      <c r="C177" s="156" t="s">
        <v>184</v>
      </c>
      <c r="D177" s="339">
        <v>0.15</v>
      </c>
      <c r="E177" s="339">
        <v>0.25</v>
      </c>
      <c r="F177" s="339">
        <v>0.9</v>
      </c>
      <c r="G177" s="5">
        <f t="shared" si="26"/>
        <v>0.72000000000000008</v>
      </c>
      <c r="H177" s="4">
        <f t="shared" si="27"/>
        <v>3.3750000000000002E-2</v>
      </c>
      <c r="I177" s="283"/>
      <c r="J177" s="283"/>
      <c r="K177" s="282"/>
      <c r="Q177" s="497"/>
      <c r="R177" s="497"/>
      <c r="S177" s="497"/>
      <c r="T177" s="497"/>
      <c r="U177" s="203"/>
      <c r="V177" s="203"/>
    </row>
    <row r="178" spans="1:22" ht="15" thickBot="1" x14ac:dyDescent="0.35">
      <c r="A178" s="685" t="s">
        <v>583</v>
      </c>
      <c r="B178" s="686"/>
      <c r="C178" s="686"/>
      <c r="D178" s="686"/>
      <c r="E178" s="686"/>
      <c r="F178" s="686"/>
      <c r="G178" s="686"/>
      <c r="H178" s="687"/>
      <c r="I178" s="483"/>
      <c r="J178" s="483"/>
      <c r="K178" s="484"/>
      <c r="Q178" s="498"/>
      <c r="R178" s="498"/>
      <c r="S178" s="498"/>
      <c r="T178" s="498"/>
      <c r="U178" s="203"/>
      <c r="V178" s="203"/>
    </row>
    <row r="179" spans="1:22" ht="15" thickBot="1" x14ac:dyDescent="0.35">
      <c r="A179" s="289" t="s">
        <v>693</v>
      </c>
      <c r="B179" s="156">
        <v>1</v>
      </c>
      <c r="C179" s="156" t="s">
        <v>99</v>
      </c>
      <c r="D179" s="339">
        <v>0.2</v>
      </c>
      <c r="E179" s="339">
        <v>0.5</v>
      </c>
      <c r="F179" s="339">
        <v>2.95</v>
      </c>
      <c r="G179" s="5">
        <f t="shared" si="26"/>
        <v>4.13</v>
      </c>
      <c r="H179" s="4">
        <f t="shared" si="27"/>
        <v>0.29500000000000004</v>
      </c>
      <c r="I179" s="283"/>
      <c r="J179" s="283"/>
      <c r="K179" s="282"/>
      <c r="Q179" s="497"/>
      <c r="R179" s="497"/>
      <c r="S179" s="497"/>
      <c r="T179" s="497"/>
      <c r="U179" s="203"/>
      <c r="V179" s="203"/>
    </row>
    <row r="180" spans="1:22" ht="15" thickBot="1" x14ac:dyDescent="0.35">
      <c r="A180" s="289" t="s">
        <v>694</v>
      </c>
      <c r="B180" s="156">
        <v>1</v>
      </c>
      <c r="C180" s="156" t="s">
        <v>99</v>
      </c>
      <c r="D180" s="339">
        <v>0.15</v>
      </c>
      <c r="E180" s="339">
        <v>0.4</v>
      </c>
      <c r="F180" s="339">
        <v>2.95</v>
      </c>
      <c r="G180" s="5">
        <f t="shared" si="26"/>
        <v>3.2450000000000006</v>
      </c>
      <c r="H180" s="4">
        <f t="shared" si="27"/>
        <v>0.17700000000000002</v>
      </c>
      <c r="I180" s="283"/>
      <c r="J180" s="283"/>
      <c r="K180" s="282"/>
      <c r="Q180" s="497"/>
      <c r="R180" s="497"/>
      <c r="S180" s="497"/>
      <c r="T180" s="497"/>
      <c r="U180" s="203"/>
      <c r="V180" s="203"/>
    </row>
    <row r="181" spans="1:22" ht="15" thickBot="1" x14ac:dyDescent="0.35">
      <c r="A181" s="289" t="s">
        <v>695</v>
      </c>
      <c r="B181" s="156">
        <v>1</v>
      </c>
      <c r="C181" s="156" t="s">
        <v>99</v>
      </c>
      <c r="D181" s="339">
        <v>0.15</v>
      </c>
      <c r="E181" s="339">
        <v>0.4</v>
      </c>
      <c r="F181" s="339">
        <v>2.95</v>
      </c>
      <c r="G181" s="5">
        <f t="shared" si="26"/>
        <v>3.2450000000000006</v>
      </c>
      <c r="H181" s="4">
        <f t="shared" si="27"/>
        <v>0.17700000000000002</v>
      </c>
      <c r="I181" s="283"/>
      <c r="J181" s="283"/>
      <c r="K181" s="282"/>
      <c r="Q181" s="497"/>
      <c r="R181" s="497"/>
      <c r="S181" s="497"/>
      <c r="T181" s="497"/>
      <c r="U181" s="203"/>
      <c r="V181" s="203"/>
    </row>
    <row r="182" spans="1:22" ht="15" thickBot="1" x14ac:dyDescent="0.35">
      <c r="A182" s="289" t="s">
        <v>696</v>
      </c>
      <c r="B182" s="156">
        <v>1</v>
      </c>
      <c r="C182" s="156" t="s">
        <v>99</v>
      </c>
      <c r="D182" s="339">
        <v>0.2</v>
      </c>
      <c r="E182" s="339">
        <v>0.5</v>
      </c>
      <c r="F182" s="339">
        <v>2.95</v>
      </c>
      <c r="G182" s="5">
        <f t="shared" si="26"/>
        <v>4.13</v>
      </c>
      <c r="H182" s="4">
        <f t="shared" si="27"/>
        <v>0.29500000000000004</v>
      </c>
      <c r="I182" s="283"/>
      <c r="J182" s="283"/>
      <c r="K182" s="282"/>
      <c r="Q182" s="497"/>
      <c r="R182" s="497"/>
      <c r="S182" s="497"/>
      <c r="T182" s="497"/>
      <c r="U182" s="203"/>
      <c r="V182" s="203"/>
    </row>
    <row r="183" spans="1:22" ht="15" thickBot="1" x14ac:dyDescent="0.35">
      <c r="A183" s="289" t="s">
        <v>697</v>
      </c>
      <c r="B183" s="156">
        <v>1</v>
      </c>
      <c r="C183" s="156" t="s">
        <v>99</v>
      </c>
      <c r="D183" s="339">
        <v>0.15</v>
      </c>
      <c r="E183" s="339">
        <v>0.4</v>
      </c>
      <c r="F183" s="339">
        <v>2.95</v>
      </c>
      <c r="G183" s="5">
        <f t="shared" si="26"/>
        <v>3.2450000000000006</v>
      </c>
      <c r="H183" s="4">
        <f t="shared" si="27"/>
        <v>0.17700000000000002</v>
      </c>
      <c r="I183" s="283"/>
      <c r="J183" s="283"/>
      <c r="K183" s="282"/>
      <c r="Q183" s="497"/>
      <c r="R183" s="497"/>
      <c r="S183" s="497"/>
      <c r="T183" s="497"/>
      <c r="U183" s="203"/>
      <c r="V183" s="203"/>
    </row>
    <row r="184" spans="1:22" ht="15" thickBot="1" x14ac:dyDescent="0.35">
      <c r="A184" s="289" t="s">
        <v>698</v>
      </c>
      <c r="B184" s="156">
        <v>1</v>
      </c>
      <c r="C184" s="156" t="s">
        <v>99</v>
      </c>
      <c r="D184" s="339">
        <v>0.15</v>
      </c>
      <c r="E184" s="339">
        <v>0.4</v>
      </c>
      <c r="F184" s="339">
        <v>2.95</v>
      </c>
      <c r="G184" s="5">
        <f t="shared" si="26"/>
        <v>3.2450000000000006</v>
      </c>
      <c r="H184" s="4">
        <f t="shared" si="27"/>
        <v>0.17700000000000002</v>
      </c>
      <c r="I184" s="283"/>
      <c r="J184" s="283"/>
      <c r="K184" s="282"/>
      <c r="Q184" s="497"/>
      <c r="R184" s="497"/>
      <c r="S184" s="497"/>
      <c r="T184" s="497"/>
      <c r="U184" s="203"/>
      <c r="V184" s="203"/>
    </row>
    <row r="185" spans="1:22" ht="15" thickBot="1" x14ac:dyDescent="0.35">
      <c r="A185" s="289" t="s">
        <v>699</v>
      </c>
      <c r="B185" s="156">
        <v>1</v>
      </c>
      <c r="C185" s="156" t="s">
        <v>99</v>
      </c>
      <c r="D185" s="339">
        <v>0.25</v>
      </c>
      <c r="E185" s="339">
        <v>0.5</v>
      </c>
      <c r="F185" s="339">
        <v>2.95</v>
      </c>
      <c r="G185" s="5">
        <f t="shared" si="26"/>
        <v>4.4250000000000007</v>
      </c>
      <c r="H185" s="4">
        <f t="shared" si="27"/>
        <v>0.36875000000000002</v>
      </c>
      <c r="I185" s="283"/>
      <c r="J185" s="283"/>
      <c r="K185" s="282"/>
      <c r="Q185" s="497"/>
      <c r="R185" s="497"/>
      <c r="S185" s="497"/>
      <c r="T185" s="497"/>
      <c r="U185" s="203"/>
      <c r="V185" s="203"/>
    </row>
    <row r="186" spans="1:22" ht="15" thickBot="1" x14ac:dyDescent="0.35">
      <c r="A186" s="289" t="s">
        <v>700</v>
      </c>
      <c r="B186" s="156">
        <v>1</v>
      </c>
      <c r="C186" s="156" t="s">
        <v>99</v>
      </c>
      <c r="D186" s="339">
        <v>0.15</v>
      </c>
      <c r="E186" s="339">
        <v>0.4</v>
      </c>
      <c r="F186" s="339">
        <v>2.95</v>
      </c>
      <c r="G186" s="5">
        <f t="shared" si="26"/>
        <v>3.2450000000000006</v>
      </c>
      <c r="H186" s="4">
        <f t="shared" si="27"/>
        <v>0.17700000000000002</v>
      </c>
      <c r="I186" s="283"/>
      <c r="J186" s="283"/>
      <c r="K186" s="282"/>
      <c r="Q186" s="497"/>
      <c r="R186" s="497"/>
      <c r="S186" s="497"/>
      <c r="T186" s="497"/>
      <c r="U186" s="203"/>
      <c r="V186" s="203"/>
    </row>
    <row r="187" spans="1:22" ht="15" thickBot="1" x14ac:dyDescent="0.35">
      <c r="A187" s="289" t="s">
        <v>701</v>
      </c>
      <c r="B187" s="156">
        <v>1</v>
      </c>
      <c r="C187" s="156" t="s">
        <v>99</v>
      </c>
      <c r="D187" s="339">
        <v>0.2</v>
      </c>
      <c r="E187" s="339">
        <v>0.6</v>
      </c>
      <c r="F187" s="339">
        <v>2.95</v>
      </c>
      <c r="G187" s="5">
        <f t="shared" si="26"/>
        <v>4.7200000000000006</v>
      </c>
      <c r="H187" s="4">
        <f t="shared" si="27"/>
        <v>0.35400000000000004</v>
      </c>
      <c r="I187" s="283"/>
      <c r="J187" s="283"/>
      <c r="K187" s="282"/>
      <c r="Q187" s="497"/>
      <c r="R187" s="497"/>
      <c r="S187" s="497"/>
      <c r="T187" s="497"/>
      <c r="U187" s="203"/>
      <c r="V187" s="203"/>
    </row>
    <row r="188" spans="1:22" ht="15" thickBot="1" x14ac:dyDescent="0.35">
      <c r="A188" s="289" t="s">
        <v>702</v>
      </c>
      <c r="B188" s="156">
        <v>1</v>
      </c>
      <c r="C188" s="156" t="s">
        <v>99</v>
      </c>
      <c r="D188" s="339">
        <v>0.15</v>
      </c>
      <c r="E188" s="339">
        <v>0.4</v>
      </c>
      <c r="F188" s="339">
        <v>2.95</v>
      </c>
      <c r="G188" s="5">
        <f t="shared" si="26"/>
        <v>3.2450000000000006</v>
      </c>
      <c r="H188" s="4">
        <f t="shared" si="27"/>
        <v>0.17700000000000002</v>
      </c>
      <c r="I188" s="283"/>
      <c r="J188" s="283"/>
      <c r="K188" s="282"/>
      <c r="Q188" s="497"/>
      <c r="R188" s="497"/>
      <c r="S188" s="497"/>
      <c r="T188" s="497"/>
      <c r="U188" s="203"/>
      <c r="V188" s="203"/>
    </row>
    <row r="189" spans="1:22" ht="15" thickBot="1" x14ac:dyDescent="0.35">
      <c r="A189" s="289" t="s">
        <v>703</v>
      </c>
      <c r="B189" s="156">
        <v>1</v>
      </c>
      <c r="C189" s="156" t="s">
        <v>99</v>
      </c>
      <c r="D189" s="339">
        <v>0.15</v>
      </c>
      <c r="E189" s="339">
        <v>0.4</v>
      </c>
      <c r="F189" s="339">
        <v>2.95</v>
      </c>
      <c r="G189" s="5">
        <f t="shared" si="26"/>
        <v>3.2450000000000006</v>
      </c>
      <c r="H189" s="4">
        <f t="shared" si="27"/>
        <v>0.17700000000000002</v>
      </c>
      <c r="I189" s="283"/>
      <c r="J189" s="283"/>
      <c r="K189" s="282"/>
      <c r="Q189" s="497"/>
      <c r="R189" s="497"/>
      <c r="S189" s="497"/>
      <c r="T189" s="497"/>
      <c r="U189" s="203"/>
      <c r="V189" s="203"/>
    </row>
    <row r="190" spans="1:22" ht="15" thickBot="1" x14ac:dyDescent="0.35">
      <c r="A190" s="289" t="s">
        <v>704</v>
      </c>
      <c r="B190" s="156">
        <v>1</v>
      </c>
      <c r="C190" s="156" t="s">
        <v>99</v>
      </c>
      <c r="D190" s="339">
        <v>0.2</v>
      </c>
      <c r="E190" s="339">
        <v>0.6</v>
      </c>
      <c r="F190" s="339">
        <v>2.95</v>
      </c>
      <c r="G190" s="5">
        <f t="shared" si="26"/>
        <v>4.7200000000000006</v>
      </c>
      <c r="H190" s="4">
        <f t="shared" si="27"/>
        <v>0.35400000000000004</v>
      </c>
      <c r="I190" s="283"/>
      <c r="J190" s="283"/>
      <c r="K190" s="282"/>
      <c r="Q190" s="497"/>
      <c r="R190" s="497"/>
      <c r="S190" s="497"/>
      <c r="T190" s="497"/>
      <c r="U190" s="203"/>
      <c r="V190" s="203"/>
    </row>
    <row r="191" spans="1:22" ht="15" thickBot="1" x14ac:dyDescent="0.35">
      <c r="A191" s="289" t="s">
        <v>705</v>
      </c>
      <c r="B191" s="156">
        <v>1</v>
      </c>
      <c r="C191" s="156" t="s">
        <v>99</v>
      </c>
      <c r="D191" s="339">
        <v>0.15</v>
      </c>
      <c r="E191" s="339">
        <v>0.4</v>
      </c>
      <c r="F191" s="339">
        <v>2.95</v>
      </c>
      <c r="G191" s="5">
        <f t="shared" si="26"/>
        <v>3.2450000000000006</v>
      </c>
      <c r="H191" s="4">
        <f t="shared" si="27"/>
        <v>0.17700000000000002</v>
      </c>
      <c r="I191" s="283"/>
      <c r="J191" s="283"/>
      <c r="K191" s="282"/>
      <c r="Q191" s="497"/>
      <c r="R191" s="497"/>
      <c r="S191" s="497"/>
      <c r="T191" s="497"/>
      <c r="U191" s="203"/>
      <c r="V191" s="203"/>
    </row>
    <row r="192" spans="1:22" ht="15" thickBot="1" x14ac:dyDescent="0.35">
      <c r="A192" s="289" t="s">
        <v>706</v>
      </c>
      <c r="B192" s="156">
        <v>1</v>
      </c>
      <c r="C192" s="156" t="s">
        <v>99</v>
      </c>
      <c r="D192" s="339">
        <v>0.25</v>
      </c>
      <c r="E192" s="339">
        <v>0.7</v>
      </c>
      <c r="F192" s="339">
        <v>2.95</v>
      </c>
      <c r="G192" s="5">
        <f t="shared" si="26"/>
        <v>5.6050000000000004</v>
      </c>
      <c r="H192" s="4">
        <f t="shared" si="27"/>
        <v>0.51624999999999999</v>
      </c>
      <c r="I192" s="283"/>
      <c r="J192" s="283"/>
      <c r="K192" s="282"/>
      <c r="Q192" s="497"/>
      <c r="R192" s="497"/>
      <c r="S192" s="497"/>
      <c r="T192" s="497"/>
      <c r="U192" s="203"/>
      <c r="V192" s="203"/>
    </row>
    <row r="193" spans="1:22" ht="15" thickBot="1" x14ac:dyDescent="0.35">
      <c r="A193" s="289" t="s">
        <v>707</v>
      </c>
      <c r="B193" s="156">
        <v>1</v>
      </c>
      <c r="C193" s="156" t="s">
        <v>99</v>
      </c>
      <c r="D193" s="339">
        <v>0.25</v>
      </c>
      <c r="E193" s="339">
        <v>0.7</v>
      </c>
      <c r="F193" s="339">
        <v>2.95</v>
      </c>
      <c r="G193" s="5">
        <f t="shared" si="26"/>
        <v>5.6050000000000004</v>
      </c>
      <c r="H193" s="4">
        <f t="shared" si="27"/>
        <v>0.51624999999999999</v>
      </c>
      <c r="I193" s="283"/>
      <c r="J193" s="283"/>
      <c r="K193" s="282"/>
      <c r="Q193" s="497"/>
      <c r="R193" s="497"/>
      <c r="S193" s="497"/>
      <c r="T193" s="497"/>
      <c r="U193" s="203"/>
      <c r="V193" s="203"/>
    </row>
    <row r="194" spans="1:22" ht="15" thickBot="1" x14ac:dyDescent="0.35">
      <c r="A194" s="289" t="s">
        <v>708</v>
      </c>
      <c r="B194" s="156">
        <v>1</v>
      </c>
      <c r="C194" s="156" t="s">
        <v>99</v>
      </c>
      <c r="D194" s="339">
        <v>0.25</v>
      </c>
      <c r="E194" s="339">
        <v>0.7</v>
      </c>
      <c r="F194" s="339">
        <v>2.95</v>
      </c>
      <c r="G194" s="5">
        <f t="shared" si="26"/>
        <v>5.6050000000000004</v>
      </c>
      <c r="H194" s="4">
        <f t="shared" si="27"/>
        <v>0.51624999999999999</v>
      </c>
      <c r="I194" s="283"/>
      <c r="J194" s="283"/>
      <c r="K194" s="282"/>
      <c r="Q194" s="497"/>
      <c r="R194" s="497"/>
      <c r="S194" s="497"/>
      <c r="T194" s="497"/>
      <c r="U194" s="203"/>
      <c r="V194" s="203"/>
    </row>
    <row r="195" spans="1:22" ht="15" thickBot="1" x14ac:dyDescent="0.35">
      <c r="A195" s="289" t="s">
        <v>709</v>
      </c>
      <c r="B195" s="156">
        <v>1</v>
      </c>
      <c r="C195" s="156" t="s">
        <v>99</v>
      </c>
      <c r="D195" s="339">
        <v>0.25</v>
      </c>
      <c r="E195" s="339">
        <v>0.7</v>
      </c>
      <c r="F195" s="339">
        <v>2.95</v>
      </c>
      <c r="G195" s="5">
        <f t="shared" si="26"/>
        <v>5.6050000000000004</v>
      </c>
      <c r="H195" s="4">
        <f t="shared" si="27"/>
        <v>0.51624999999999999</v>
      </c>
      <c r="I195" s="283"/>
      <c r="J195" s="283"/>
      <c r="K195" s="282"/>
      <c r="Q195" s="497"/>
      <c r="R195" s="497"/>
      <c r="S195" s="497"/>
      <c r="T195" s="497"/>
      <c r="U195" s="203"/>
      <c r="V195" s="203"/>
    </row>
    <row r="196" spans="1:22" ht="15" thickBot="1" x14ac:dyDescent="0.35">
      <c r="A196" s="289" t="s">
        <v>710</v>
      </c>
      <c r="B196" s="156">
        <v>1</v>
      </c>
      <c r="C196" s="156" t="s">
        <v>99</v>
      </c>
      <c r="D196" s="339">
        <v>0.25</v>
      </c>
      <c r="E196" s="339">
        <v>0.7</v>
      </c>
      <c r="F196" s="339">
        <v>2.95</v>
      </c>
      <c r="G196" s="5">
        <f t="shared" si="26"/>
        <v>5.6050000000000004</v>
      </c>
      <c r="H196" s="4">
        <f t="shared" si="27"/>
        <v>0.51624999999999999</v>
      </c>
      <c r="I196" s="283"/>
      <c r="J196" s="283"/>
      <c r="K196" s="282"/>
      <c r="Q196" s="497"/>
      <c r="R196" s="497"/>
      <c r="S196" s="497"/>
      <c r="T196" s="497"/>
      <c r="U196" s="203"/>
      <c r="V196" s="203"/>
    </row>
    <row r="197" spans="1:22" ht="15" thickBot="1" x14ac:dyDescent="0.35">
      <c r="A197" s="289" t="s">
        <v>711</v>
      </c>
      <c r="B197" s="156">
        <v>1</v>
      </c>
      <c r="C197" s="156" t="s">
        <v>99</v>
      </c>
      <c r="D197" s="339">
        <v>0.15</v>
      </c>
      <c r="E197" s="339">
        <v>0.95</v>
      </c>
      <c r="F197" s="339">
        <v>2.95</v>
      </c>
      <c r="G197" s="5">
        <f t="shared" si="26"/>
        <v>6.4899999999999993</v>
      </c>
      <c r="H197" s="4">
        <f t="shared" si="27"/>
        <v>0.420375</v>
      </c>
      <c r="I197" s="283"/>
      <c r="J197" s="283"/>
      <c r="K197" s="282"/>
      <c r="Q197" s="497"/>
      <c r="R197" s="497"/>
      <c r="S197" s="497"/>
      <c r="T197" s="497"/>
      <c r="U197" s="203"/>
      <c r="V197" s="203"/>
    </row>
    <row r="198" spans="1:22" ht="15" thickBot="1" x14ac:dyDescent="0.35">
      <c r="A198" s="289" t="s">
        <v>712</v>
      </c>
      <c r="B198" s="156">
        <v>1</v>
      </c>
      <c r="C198" s="156" t="s">
        <v>99</v>
      </c>
      <c r="D198" s="339">
        <v>0.15</v>
      </c>
      <c r="E198" s="339">
        <v>0.95</v>
      </c>
      <c r="F198" s="339">
        <v>2.95</v>
      </c>
      <c r="G198" s="5">
        <f t="shared" si="20"/>
        <v>6.4899999999999993</v>
      </c>
      <c r="H198" s="4">
        <f t="shared" si="21"/>
        <v>0.420375</v>
      </c>
      <c r="I198" s="283"/>
      <c r="J198" s="283"/>
      <c r="K198" s="282"/>
      <c r="Q198" s="497"/>
      <c r="R198" s="497"/>
      <c r="S198" s="497"/>
      <c r="T198" s="497"/>
      <c r="U198" s="203"/>
      <c r="V198" s="203"/>
    </row>
    <row r="199" spans="1:22" ht="15" thickBot="1" x14ac:dyDescent="0.35">
      <c r="A199" s="289" t="s">
        <v>713</v>
      </c>
      <c r="B199" s="156">
        <v>1</v>
      </c>
      <c r="C199" s="156" t="s">
        <v>99</v>
      </c>
      <c r="D199" s="339">
        <v>0.2</v>
      </c>
      <c r="E199" s="339">
        <v>0.6</v>
      </c>
      <c r="F199" s="339">
        <v>2.95</v>
      </c>
      <c r="G199" s="5">
        <f t="shared" si="20"/>
        <v>4.7200000000000006</v>
      </c>
      <c r="H199" s="4">
        <f t="shared" si="21"/>
        <v>0.35400000000000004</v>
      </c>
      <c r="I199" s="283"/>
      <c r="J199" s="283"/>
      <c r="K199" s="282"/>
      <c r="Q199" s="497"/>
      <c r="R199" s="497"/>
      <c r="S199" s="497"/>
      <c r="T199" s="497"/>
      <c r="U199" s="203"/>
      <c r="V199" s="203"/>
    </row>
    <row r="200" spans="1:22" ht="15" thickBot="1" x14ac:dyDescent="0.35">
      <c r="A200" s="289" t="s">
        <v>714</v>
      </c>
      <c r="B200" s="156">
        <v>1</v>
      </c>
      <c r="C200" s="156" t="s">
        <v>99</v>
      </c>
      <c r="D200" s="339">
        <v>0.15</v>
      </c>
      <c r="E200" s="339">
        <v>0.95</v>
      </c>
      <c r="F200" s="339">
        <v>2.95</v>
      </c>
      <c r="G200" s="5">
        <f t="shared" si="20"/>
        <v>6.4899999999999993</v>
      </c>
      <c r="H200" s="4">
        <f t="shared" si="21"/>
        <v>0.420375</v>
      </c>
      <c r="I200" s="283"/>
      <c r="J200" s="283"/>
      <c r="K200" s="282"/>
      <c r="Q200" s="497"/>
      <c r="R200" s="497"/>
      <c r="S200" s="497"/>
      <c r="T200" s="497"/>
      <c r="U200" s="203"/>
      <c r="V200" s="203"/>
    </row>
    <row r="201" spans="1:22" ht="15" thickBot="1" x14ac:dyDescent="0.35">
      <c r="A201" s="289" t="s">
        <v>715</v>
      </c>
      <c r="B201" s="156">
        <v>1</v>
      </c>
      <c r="C201" s="156" t="s">
        <v>99</v>
      </c>
      <c r="D201" s="339">
        <v>0.15</v>
      </c>
      <c r="E201" s="339">
        <v>0.95</v>
      </c>
      <c r="F201" s="339">
        <v>2.95</v>
      </c>
      <c r="G201" s="5">
        <f t="shared" si="20"/>
        <v>6.4899999999999993</v>
      </c>
      <c r="H201" s="4">
        <f t="shared" si="21"/>
        <v>0.420375</v>
      </c>
      <c r="I201" s="283"/>
      <c r="J201" s="283"/>
      <c r="K201" s="282"/>
      <c r="Q201" s="497"/>
      <c r="R201" s="497"/>
      <c r="S201" s="497"/>
      <c r="T201" s="497"/>
      <c r="U201" s="203"/>
      <c r="V201" s="203"/>
    </row>
    <row r="202" spans="1:22" ht="15" thickBot="1" x14ac:dyDescent="0.35">
      <c r="A202" s="289" t="s">
        <v>716</v>
      </c>
      <c r="B202" s="156">
        <v>1</v>
      </c>
      <c r="C202" s="156" t="s">
        <v>99</v>
      </c>
      <c r="D202" s="339">
        <v>0.15</v>
      </c>
      <c r="E202" s="339">
        <v>0.95</v>
      </c>
      <c r="F202" s="339">
        <v>2.95</v>
      </c>
      <c r="G202" s="5">
        <f t="shared" si="20"/>
        <v>6.4899999999999993</v>
      </c>
      <c r="H202" s="4">
        <f t="shared" si="21"/>
        <v>0.420375</v>
      </c>
      <c r="I202" s="283"/>
      <c r="J202" s="283"/>
      <c r="K202" s="282"/>
      <c r="Q202" s="497"/>
      <c r="R202" s="497"/>
      <c r="S202" s="497"/>
      <c r="T202" s="497"/>
      <c r="U202" s="203"/>
      <c r="V202" s="203"/>
    </row>
    <row r="203" spans="1:22" ht="15" thickBot="1" x14ac:dyDescent="0.35">
      <c r="A203" s="289" t="s">
        <v>717</v>
      </c>
      <c r="B203" s="156">
        <v>1</v>
      </c>
      <c r="C203" s="156" t="s">
        <v>99</v>
      </c>
      <c r="D203" s="339">
        <v>0.2</v>
      </c>
      <c r="E203" s="339">
        <v>0.6</v>
      </c>
      <c r="F203" s="339">
        <v>2.95</v>
      </c>
      <c r="G203" s="5">
        <f t="shared" si="20"/>
        <v>4.7200000000000006</v>
      </c>
      <c r="H203" s="4">
        <f t="shared" si="21"/>
        <v>0.35400000000000004</v>
      </c>
      <c r="I203" s="283"/>
      <c r="J203" s="283"/>
      <c r="K203" s="282"/>
      <c r="Q203" s="497"/>
      <c r="R203" s="497"/>
      <c r="S203" s="497"/>
      <c r="T203" s="497"/>
      <c r="U203" s="203"/>
      <c r="V203" s="203"/>
    </row>
    <row r="204" spans="1:22" ht="15" thickBot="1" x14ac:dyDescent="0.35">
      <c r="A204" s="289" t="s">
        <v>718</v>
      </c>
      <c r="B204" s="156">
        <v>1</v>
      </c>
      <c r="C204" s="156" t="s">
        <v>99</v>
      </c>
      <c r="D204" s="339">
        <v>0.15</v>
      </c>
      <c r="E204" s="339">
        <v>0.95</v>
      </c>
      <c r="F204" s="339">
        <v>2.95</v>
      </c>
      <c r="G204" s="5">
        <f t="shared" si="20"/>
        <v>6.4899999999999993</v>
      </c>
      <c r="H204" s="4">
        <f t="shared" si="21"/>
        <v>0.420375</v>
      </c>
      <c r="I204" s="283"/>
      <c r="J204" s="283"/>
      <c r="K204" s="282"/>
      <c r="Q204" s="497"/>
      <c r="R204" s="497"/>
      <c r="S204" s="497"/>
      <c r="T204" s="497"/>
      <c r="U204" s="203"/>
      <c r="V204" s="203"/>
    </row>
    <row r="205" spans="1:22" ht="15" thickBot="1" x14ac:dyDescent="0.35">
      <c r="A205" s="289" t="s">
        <v>719</v>
      </c>
      <c r="B205" s="156">
        <v>1</v>
      </c>
      <c r="C205" s="156" t="s">
        <v>99</v>
      </c>
      <c r="D205" s="339">
        <v>0.25</v>
      </c>
      <c r="E205" s="339">
        <v>0.95</v>
      </c>
      <c r="F205" s="339">
        <v>2.95</v>
      </c>
      <c r="G205" s="5">
        <f t="shared" si="20"/>
        <v>7.08</v>
      </c>
      <c r="H205" s="4">
        <f t="shared" si="21"/>
        <v>0.70062500000000005</v>
      </c>
      <c r="I205" s="283"/>
      <c r="J205" s="283"/>
      <c r="K205" s="282"/>
      <c r="Q205" s="497"/>
      <c r="R205" s="497"/>
      <c r="S205" s="497"/>
      <c r="T205" s="497"/>
      <c r="U205" s="203"/>
      <c r="V205" s="203"/>
    </row>
    <row r="206" spans="1:22" ht="15" thickBot="1" x14ac:dyDescent="0.35">
      <c r="A206" s="289" t="s">
        <v>693</v>
      </c>
      <c r="B206" s="156">
        <v>1</v>
      </c>
      <c r="C206" s="156" t="s">
        <v>184</v>
      </c>
      <c r="D206" s="339">
        <v>0.2</v>
      </c>
      <c r="E206" s="339">
        <v>0.5</v>
      </c>
      <c r="F206" s="339">
        <v>0.9</v>
      </c>
      <c r="G206" s="5">
        <f t="shared" si="20"/>
        <v>1.26</v>
      </c>
      <c r="H206" s="4">
        <f t="shared" si="21"/>
        <v>9.0000000000000011E-2</v>
      </c>
      <c r="I206" s="283"/>
      <c r="J206" s="283"/>
      <c r="K206" s="282"/>
      <c r="Q206" s="497"/>
      <c r="R206" s="497"/>
      <c r="S206" s="497"/>
      <c r="T206" s="497"/>
      <c r="U206" s="203"/>
      <c r="V206" s="203"/>
    </row>
    <row r="207" spans="1:22" ht="15" thickBot="1" x14ac:dyDescent="0.35">
      <c r="A207" s="289" t="s">
        <v>694</v>
      </c>
      <c r="B207" s="156">
        <v>1</v>
      </c>
      <c r="C207" s="156" t="s">
        <v>184</v>
      </c>
      <c r="D207" s="339">
        <v>0.15</v>
      </c>
      <c r="E207" s="339">
        <v>0.4</v>
      </c>
      <c r="F207" s="339">
        <v>0.9</v>
      </c>
      <c r="G207" s="5">
        <f t="shared" si="20"/>
        <v>0.9900000000000001</v>
      </c>
      <c r="H207" s="4">
        <f t="shared" si="21"/>
        <v>5.4000000000000006E-2</v>
      </c>
      <c r="I207" s="283"/>
      <c r="J207" s="283"/>
      <c r="K207" s="282"/>
      <c r="Q207" s="497"/>
      <c r="R207" s="497"/>
      <c r="S207" s="497"/>
      <c r="T207" s="497"/>
      <c r="U207" s="203"/>
      <c r="V207" s="203"/>
    </row>
    <row r="208" spans="1:22" ht="15" thickBot="1" x14ac:dyDescent="0.35">
      <c r="A208" s="289" t="s">
        <v>695</v>
      </c>
      <c r="B208" s="156">
        <v>1</v>
      </c>
      <c r="C208" s="156" t="s">
        <v>184</v>
      </c>
      <c r="D208" s="339">
        <v>0.15</v>
      </c>
      <c r="E208" s="339">
        <v>0.4</v>
      </c>
      <c r="F208" s="339">
        <v>0.9</v>
      </c>
      <c r="G208" s="5">
        <f t="shared" si="20"/>
        <v>0.9900000000000001</v>
      </c>
      <c r="H208" s="4">
        <f t="shared" si="21"/>
        <v>5.4000000000000006E-2</v>
      </c>
      <c r="I208" s="283"/>
      <c r="J208" s="283"/>
      <c r="K208" s="282"/>
      <c r="Q208" s="497"/>
      <c r="R208" s="497"/>
      <c r="S208" s="497"/>
      <c r="T208" s="497"/>
      <c r="U208" s="203"/>
      <c r="V208" s="203"/>
    </row>
    <row r="209" spans="1:22" ht="15" thickBot="1" x14ac:dyDescent="0.35">
      <c r="A209" s="289" t="s">
        <v>696</v>
      </c>
      <c r="B209" s="156">
        <v>1</v>
      </c>
      <c r="C209" s="156" t="s">
        <v>184</v>
      </c>
      <c r="D209" s="339">
        <v>0.2</v>
      </c>
      <c r="E209" s="339">
        <v>0.5</v>
      </c>
      <c r="F209" s="339">
        <v>0.9</v>
      </c>
      <c r="G209" s="5">
        <f t="shared" ref="G209:G219" si="28">(((2*D209+2*E209)*F209))*B209</f>
        <v>1.26</v>
      </c>
      <c r="H209" s="4">
        <f t="shared" ref="H209:H219" si="29">F209*E209*D209*B209</f>
        <v>9.0000000000000011E-2</v>
      </c>
      <c r="I209" s="283"/>
      <c r="J209" s="283"/>
      <c r="K209" s="282"/>
      <c r="Q209" s="497"/>
      <c r="R209" s="497"/>
      <c r="S209" s="497"/>
      <c r="T209" s="497"/>
      <c r="U209" s="203"/>
      <c r="V209" s="203"/>
    </row>
    <row r="210" spans="1:22" ht="15" thickBot="1" x14ac:dyDescent="0.35">
      <c r="A210" s="289" t="s">
        <v>697</v>
      </c>
      <c r="B210" s="156">
        <v>1</v>
      </c>
      <c r="C210" s="156" t="s">
        <v>184</v>
      </c>
      <c r="D210" s="339">
        <v>0.15</v>
      </c>
      <c r="E210" s="339">
        <v>0.4</v>
      </c>
      <c r="F210" s="339">
        <v>0.9</v>
      </c>
      <c r="G210" s="5">
        <f t="shared" si="28"/>
        <v>0.9900000000000001</v>
      </c>
      <c r="H210" s="4">
        <f t="shared" si="29"/>
        <v>5.4000000000000006E-2</v>
      </c>
      <c r="I210" s="283"/>
      <c r="J210" s="283"/>
      <c r="K210" s="282"/>
      <c r="Q210" s="497"/>
      <c r="R210" s="497"/>
      <c r="S210" s="497"/>
      <c r="T210" s="497"/>
      <c r="U210" s="203"/>
      <c r="V210" s="203"/>
    </row>
    <row r="211" spans="1:22" ht="15" thickBot="1" x14ac:dyDescent="0.35">
      <c r="A211" s="289" t="s">
        <v>698</v>
      </c>
      <c r="B211" s="156">
        <v>1</v>
      </c>
      <c r="C211" s="156" t="s">
        <v>184</v>
      </c>
      <c r="D211" s="339">
        <v>0.15</v>
      </c>
      <c r="E211" s="339">
        <v>0.4</v>
      </c>
      <c r="F211" s="339">
        <v>0.9</v>
      </c>
      <c r="G211" s="5">
        <f t="shared" si="28"/>
        <v>0.9900000000000001</v>
      </c>
      <c r="H211" s="4">
        <f t="shared" si="29"/>
        <v>5.4000000000000006E-2</v>
      </c>
      <c r="I211" s="283"/>
      <c r="J211" s="283"/>
      <c r="K211" s="282"/>
      <c r="Q211" s="497"/>
      <c r="R211" s="497"/>
      <c r="S211" s="497"/>
      <c r="T211" s="497"/>
      <c r="U211" s="203"/>
      <c r="V211" s="203"/>
    </row>
    <row r="212" spans="1:22" ht="15" thickBot="1" x14ac:dyDescent="0.35">
      <c r="A212" s="289" t="s">
        <v>699</v>
      </c>
      <c r="B212" s="156">
        <v>1</v>
      </c>
      <c r="C212" s="156" t="s">
        <v>184</v>
      </c>
      <c r="D212" s="339">
        <v>0.25</v>
      </c>
      <c r="E212" s="339">
        <v>0.5</v>
      </c>
      <c r="F212" s="339">
        <v>0.9</v>
      </c>
      <c r="G212" s="5">
        <f t="shared" si="28"/>
        <v>1.35</v>
      </c>
      <c r="H212" s="4">
        <f t="shared" si="29"/>
        <v>0.1125</v>
      </c>
      <c r="I212" s="283"/>
      <c r="J212" s="283"/>
      <c r="K212" s="282"/>
      <c r="Q212" s="497"/>
      <c r="R212" s="497"/>
      <c r="S212" s="497"/>
      <c r="T212" s="497"/>
      <c r="U212" s="203"/>
      <c r="V212" s="203"/>
    </row>
    <row r="213" spans="1:22" ht="15" thickBot="1" x14ac:dyDescent="0.35">
      <c r="A213" s="289" t="s">
        <v>700</v>
      </c>
      <c r="B213" s="156">
        <v>1</v>
      </c>
      <c r="C213" s="156" t="s">
        <v>184</v>
      </c>
      <c r="D213" s="339">
        <v>0.15</v>
      </c>
      <c r="E213" s="339">
        <v>0.4</v>
      </c>
      <c r="F213" s="339">
        <v>0.9</v>
      </c>
      <c r="G213" s="5">
        <f t="shared" si="28"/>
        <v>0.9900000000000001</v>
      </c>
      <c r="H213" s="4">
        <f t="shared" si="29"/>
        <v>5.4000000000000006E-2</v>
      </c>
      <c r="I213" s="283"/>
      <c r="J213" s="283"/>
      <c r="K213" s="282"/>
      <c r="Q213" s="497"/>
      <c r="R213" s="497"/>
      <c r="S213" s="497"/>
      <c r="T213" s="497"/>
      <c r="U213" s="203"/>
      <c r="V213" s="203"/>
    </row>
    <row r="214" spans="1:22" ht="15" thickBot="1" x14ac:dyDescent="0.35">
      <c r="A214" s="289" t="s">
        <v>701</v>
      </c>
      <c r="B214" s="156">
        <v>1</v>
      </c>
      <c r="C214" s="156" t="s">
        <v>184</v>
      </c>
      <c r="D214" s="339">
        <v>0.2</v>
      </c>
      <c r="E214" s="339">
        <v>0.6</v>
      </c>
      <c r="F214" s="339">
        <v>0.9</v>
      </c>
      <c r="G214" s="5">
        <f t="shared" si="28"/>
        <v>1.4400000000000002</v>
      </c>
      <c r="H214" s="4">
        <f t="shared" si="29"/>
        <v>0.10800000000000001</v>
      </c>
      <c r="I214" s="283"/>
      <c r="J214" s="283"/>
      <c r="K214" s="282"/>
      <c r="Q214" s="497"/>
      <c r="R214" s="497"/>
      <c r="S214" s="497"/>
      <c r="T214" s="497"/>
      <c r="U214" s="203"/>
      <c r="V214" s="203"/>
    </row>
    <row r="215" spans="1:22" ht="15" thickBot="1" x14ac:dyDescent="0.35">
      <c r="A215" s="289" t="s">
        <v>702</v>
      </c>
      <c r="B215" s="156">
        <v>1</v>
      </c>
      <c r="C215" s="156" t="s">
        <v>184</v>
      </c>
      <c r="D215" s="339">
        <v>0.15</v>
      </c>
      <c r="E215" s="339">
        <v>0.4</v>
      </c>
      <c r="F215" s="339">
        <v>0.9</v>
      </c>
      <c r="G215" s="5">
        <f t="shared" si="28"/>
        <v>0.9900000000000001</v>
      </c>
      <c r="H215" s="4">
        <f t="shared" si="29"/>
        <v>5.4000000000000006E-2</v>
      </c>
      <c r="I215" s="283"/>
      <c r="J215" s="283"/>
      <c r="K215" s="282"/>
      <c r="Q215" s="497"/>
      <c r="R215" s="497"/>
      <c r="S215" s="497"/>
      <c r="T215" s="497"/>
      <c r="U215" s="203"/>
      <c r="V215" s="203"/>
    </row>
    <row r="216" spans="1:22" ht="15" thickBot="1" x14ac:dyDescent="0.35">
      <c r="A216" s="289" t="s">
        <v>703</v>
      </c>
      <c r="B216" s="156">
        <v>1</v>
      </c>
      <c r="C216" s="156" t="s">
        <v>184</v>
      </c>
      <c r="D216" s="339">
        <v>0.15</v>
      </c>
      <c r="E216" s="339">
        <v>0.4</v>
      </c>
      <c r="F216" s="339">
        <v>0.9</v>
      </c>
      <c r="G216" s="5">
        <f t="shared" si="28"/>
        <v>0.9900000000000001</v>
      </c>
      <c r="H216" s="4">
        <f t="shared" si="29"/>
        <v>5.4000000000000006E-2</v>
      </c>
      <c r="I216" s="283"/>
      <c r="J216" s="283"/>
      <c r="K216" s="282"/>
      <c r="Q216" s="497"/>
      <c r="R216" s="497"/>
      <c r="S216" s="497"/>
      <c r="T216" s="497"/>
      <c r="U216" s="203"/>
      <c r="V216" s="203"/>
    </row>
    <row r="217" spans="1:22" ht="15" thickBot="1" x14ac:dyDescent="0.35">
      <c r="A217" s="289" t="s">
        <v>704</v>
      </c>
      <c r="B217" s="156">
        <v>1</v>
      </c>
      <c r="C217" s="156" t="s">
        <v>184</v>
      </c>
      <c r="D217" s="339">
        <v>0.2</v>
      </c>
      <c r="E217" s="339">
        <v>0.6</v>
      </c>
      <c r="F217" s="339">
        <v>0.9</v>
      </c>
      <c r="G217" s="5">
        <f t="shared" si="28"/>
        <v>1.4400000000000002</v>
      </c>
      <c r="H217" s="4">
        <f t="shared" si="29"/>
        <v>0.10800000000000001</v>
      </c>
      <c r="I217" s="283"/>
      <c r="J217" s="283"/>
      <c r="K217" s="282"/>
      <c r="Q217" s="497"/>
      <c r="R217" s="497"/>
      <c r="S217" s="497"/>
      <c r="T217" s="497"/>
      <c r="U217" s="203"/>
      <c r="V217" s="203"/>
    </row>
    <row r="218" spans="1:22" ht="15" thickBot="1" x14ac:dyDescent="0.35">
      <c r="A218" s="289" t="s">
        <v>705</v>
      </c>
      <c r="B218" s="156">
        <v>1</v>
      </c>
      <c r="C218" s="156" t="s">
        <v>184</v>
      </c>
      <c r="D218" s="339">
        <v>0.15</v>
      </c>
      <c r="E218" s="339">
        <v>0.4</v>
      </c>
      <c r="F218" s="339">
        <v>0.9</v>
      </c>
      <c r="G218" s="5">
        <f t="shared" si="28"/>
        <v>0.9900000000000001</v>
      </c>
      <c r="H218" s="4">
        <f t="shared" si="29"/>
        <v>5.4000000000000006E-2</v>
      </c>
      <c r="I218" s="283"/>
      <c r="J218" s="283"/>
      <c r="K218" s="282"/>
      <c r="Q218" s="497"/>
      <c r="R218" s="497"/>
      <c r="S218" s="497"/>
      <c r="T218" s="497"/>
      <c r="U218" s="203"/>
      <c r="V218" s="203"/>
    </row>
    <row r="219" spans="1:22" ht="15" thickBot="1" x14ac:dyDescent="0.35">
      <c r="A219" s="289" t="s">
        <v>706</v>
      </c>
      <c r="B219" s="156">
        <v>1</v>
      </c>
      <c r="C219" s="156" t="s">
        <v>184</v>
      </c>
      <c r="D219" s="339">
        <v>0.25</v>
      </c>
      <c r="E219" s="339">
        <v>0.7</v>
      </c>
      <c r="F219" s="339">
        <v>0.9</v>
      </c>
      <c r="G219" s="5">
        <f t="shared" si="28"/>
        <v>1.71</v>
      </c>
      <c r="H219" s="4">
        <f t="shared" si="29"/>
        <v>0.1575</v>
      </c>
      <c r="I219" s="283"/>
      <c r="J219" s="283"/>
      <c r="K219" s="282"/>
      <c r="Q219" s="497"/>
      <c r="R219" s="497"/>
      <c r="S219" s="497"/>
      <c r="T219" s="497"/>
      <c r="U219" s="203"/>
      <c r="V219" s="203"/>
    </row>
    <row r="220" spans="1:22" ht="15" thickBot="1" x14ac:dyDescent="0.35">
      <c r="A220" s="289" t="s">
        <v>710</v>
      </c>
      <c r="B220" s="156">
        <v>1</v>
      </c>
      <c r="C220" s="156" t="s">
        <v>184</v>
      </c>
      <c r="D220" s="339">
        <v>0.25</v>
      </c>
      <c r="E220" s="339">
        <v>0.7</v>
      </c>
      <c r="F220" s="339">
        <v>0.9</v>
      </c>
      <c r="G220" s="5">
        <f t="shared" ref="G220:G222" si="30">(((2*D220+2*E220)*F220))*B220</f>
        <v>1.71</v>
      </c>
      <c r="H220" s="4">
        <f t="shared" ref="H220:H222" si="31">F220*E220*D220*B220</f>
        <v>0.1575</v>
      </c>
      <c r="I220" s="283"/>
      <c r="J220" s="283"/>
      <c r="K220" s="282"/>
      <c r="Q220" s="497"/>
      <c r="R220" s="497"/>
      <c r="S220" s="497"/>
      <c r="T220" s="497"/>
      <c r="U220" s="203"/>
      <c r="V220" s="203"/>
    </row>
    <row r="221" spans="1:22" ht="15" thickBot="1" x14ac:dyDescent="0.35">
      <c r="A221" s="289" t="s">
        <v>711</v>
      </c>
      <c r="B221" s="156">
        <v>1</v>
      </c>
      <c r="C221" s="156" t="s">
        <v>184</v>
      </c>
      <c r="D221" s="339">
        <v>0.15</v>
      </c>
      <c r="E221" s="339">
        <v>0.95</v>
      </c>
      <c r="F221" s="339">
        <v>0.9</v>
      </c>
      <c r="G221" s="5">
        <f t="shared" si="30"/>
        <v>1.9799999999999998</v>
      </c>
      <c r="H221" s="4">
        <f t="shared" si="31"/>
        <v>0.12825</v>
      </c>
      <c r="I221" s="283"/>
      <c r="J221" s="283"/>
      <c r="K221" s="282"/>
      <c r="Q221" s="497"/>
      <c r="R221" s="497"/>
      <c r="S221" s="497"/>
      <c r="T221" s="497"/>
      <c r="U221" s="203"/>
      <c r="V221" s="203"/>
    </row>
    <row r="222" spans="1:22" ht="15" thickBot="1" x14ac:dyDescent="0.35">
      <c r="A222" s="289" t="s">
        <v>712</v>
      </c>
      <c r="B222" s="156">
        <v>1</v>
      </c>
      <c r="C222" s="156" t="s">
        <v>184</v>
      </c>
      <c r="D222" s="339">
        <v>0.15</v>
      </c>
      <c r="E222" s="339">
        <v>0.4</v>
      </c>
      <c r="F222" s="339">
        <v>0.9</v>
      </c>
      <c r="G222" s="5">
        <f t="shared" si="30"/>
        <v>0.9900000000000001</v>
      </c>
      <c r="H222" s="4">
        <f t="shared" si="31"/>
        <v>5.4000000000000006E-2</v>
      </c>
      <c r="I222" s="283"/>
      <c r="J222" s="283"/>
      <c r="K222" s="282"/>
      <c r="Q222" s="497"/>
      <c r="R222" s="497"/>
      <c r="S222" s="497"/>
      <c r="T222" s="497"/>
      <c r="U222" s="203"/>
      <c r="V222" s="203"/>
    </row>
    <row r="223" spans="1:22" ht="15" thickBot="1" x14ac:dyDescent="0.35">
      <c r="A223" s="289" t="s">
        <v>714</v>
      </c>
      <c r="B223" s="156">
        <v>1</v>
      </c>
      <c r="C223" s="156" t="s">
        <v>184</v>
      </c>
      <c r="D223" s="339">
        <v>0.15</v>
      </c>
      <c r="E223" s="339">
        <v>0.4</v>
      </c>
      <c r="F223" s="339">
        <v>0.9</v>
      </c>
      <c r="G223" s="5">
        <f t="shared" si="20"/>
        <v>0.9900000000000001</v>
      </c>
      <c r="H223" s="4">
        <f t="shared" si="21"/>
        <v>5.4000000000000006E-2</v>
      </c>
      <c r="I223" s="283"/>
      <c r="J223" s="283"/>
      <c r="K223" s="282"/>
      <c r="Q223" s="497"/>
      <c r="R223" s="497"/>
      <c r="S223" s="497"/>
      <c r="T223" s="497"/>
      <c r="U223" s="203"/>
      <c r="V223" s="203"/>
    </row>
    <row r="224" spans="1:22" ht="15" thickBot="1" x14ac:dyDescent="0.35">
      <c r="A224" s="289" t="s">
        <v>715</v>
      </c>
      <c r="B224" s="156">
        <v>1</v>
      </c>
      <c r="C224" s="156" t="s">
        <v>184</v>
      </c>
      <c r="D224" s="339">
        <v>0.15</v>
      </c>
      <c r="E224" s="339">
        <v>0.95</v>
      </c>
      <c r="F224" s="339">
        <v>0.9</v>
      </c>
      <c r="G224" s="5">
        <f t="shared" si="20"/>
        <v>1.9799999999999998</v>
      </c>
      <c r="H224" s="4">
        <f t="shared" si="21"/>
        <v>0.12825</v>
      </c>
      <c r="I224" s="283"/>
      <c r="J224" s="283"/>
      <c r="K224" s="282"/>
      <c r="Q224" s="497"/>
      <c r="R224" s="497"/>
      <c r="S224" s="497"/>
      <c r="T224" s="497"/>
      <c r="U224" s="203"/>
      <c r="V224" s="203"/>
    </row>
    <row r="225" spans="1:22" ht="15" thickBot="1" x14ac:dyDescent="0.35">
      <c r="A225" s="289" t="s">
        <v>716</v>
      </c>
      <c r="B225" s="156">
        <v>1</v>
      </c>
      <c r="C225" s="156" t="s">
        <v>184</v>
      </c>
      <c r="D225" s="339">
        <v>0.15</v>
      </c>
      <c r="E225" s="339">
        <v>0.4</v>
      </c>
      <c r="F225" s="339">
        <v>0.9</v>
      </c>
      <c r="G225" s="5">
        <f t="shared" ref="G225:G226" si="32">(((2*D225+2*E225)*F225))*B225</f>
        <v>0.9900000000000001</v>
      </c>
      <c r="H225" s="4">
        <f t="shared" ref="H225:H226" si="33">F225*E225*D225*B225</f>
        <v>5.4000000000000006E-2</v>
      </c>
      <c r="I225" s="283"/>
      <c r="J225" s="283"/>
      <c r="K225" s="282"/>
      <c r="Q225" s="497"/>
      <c r="R225" s="497"/>
      <c r="S225" s="497"/>
      <c r="T225" s="497"/>
      <c r="U225" s="203"/>
      <c r="V225" s="203"/>
    </row>
    <row r="226" spans="1:22" ht="15" thickBot="1" x14ac:dyDescent="0.35">
      <c r="A226" s="289" t="s">
        <v>718</v>
      </c>
      <c r="B226" s="156">
        <v>1</v>
      </c>
      <c r="C226" s="156" t="s">
        <v>184</v>
      </c>
      <c r="D226" s="339">
        <v>0.15</v>
      </c>
      <c r="E226" s="339">
        <v>0.4</v>
      </c>
      <c r="F226" s="339">
        <v>0.9</v>
      </c>
      <c r="G226" s="5">
        <f t="shared" si="32"/>
        <v>0.9900000000000001</v>
      </c>
      <c r="H226" s="4">
        <f t="shared" si="33"/>
        <v>5.4000000000000006E-2</v>
      </c>
      <c r="I226" s="283"/>
      <c r="J226" s="283"/>
      <c r="K226" s="282"/>
      <c r="Q226" s="497"/>
      <c r="R226" s="497"/>
      <c r="S226" s="497"/>
      <c r="T226" s="497"/>
      <c r="U226" s="203"/>
      <c r="V226" s="203"/>
    </row>
    <row r="227" spans="1:22" ht="15" thickBot="1" x14ac:dyDescent="0.35">
      <c r="A227" s="289" t="s">
        <v>719</v>
      </c>
      <c r="B227" s="156">
        <v>1</v>
      </c>
      <c r="C227" s="156" t="s">
        <v>184</v>
      </c>
      <c r="D227" s="339">
        <v>0.25</v>
      </c>
      <c r="E227" s="339">
        <v>0.95</v>
      </c>
      <c r="F227" s="339">
        <v>0.9</v>
      </c>
      <c r="G227" s="5">
        <f t="shared" ref="G227:G372" si="34">(((2*D227+2*E227)*F227))*B227</f>
        <v>2.16</v>
      </c>
      <c r="H227" s="4">
        <f t="shared" ref="H227:H372" si="35">F227*E227*D227*B227</f>
        <v>0.21375</v>
      </c>
      <c r="I227" s="283"/>
      <c r="J227" s="283"/>
      <c r="K227" s="282"/>
      <c r="Q227" s="497"/>
      <c r="R227" s="497"/>
      <c r="S227" s="497"/>
      <c r="T227" s="497"/>
      <c r="U227" s="203"/>
      <c r="V227" s="203"/>
    </row>
    <row r="228" spans="1:22" ht="15" thickBot="1" x14ac:dyDescent="0.35">
      <c r="A228" s="289" t="s">
        <v>720</v>
      </c>
      <c r="B228" s="156">
        <v>1</v>
      </c>
      <c r="C228" s="156" t="s">
        <v>184</v>
      </c>
      <c r="D228" s="339">
        <v>0.2</v>
      </c>
      <c r="E228" s="339">
        <v>0.25</v>
      </c>
      <c r="F228" s="339">
        <v>0.9</v>
      </c>
      <c r="G228" s="5">
        <f t="shared" si="34"/>
        <v>0.81</v>
      </c>
      <c r="H228" s="4">
        <f t="shared" si="35"/>
        <v>4.5000000000000005E-2</v>
      </c>
      <c r="I228" s="283"/>
      <c r="J228" s="283"/>
      <c r="K228" s="282"/>
      <c r="Q228" s="498"/>
      <c r="R228" s="498"/>
      <c r="S228" s="498"/>
      <c r="T228" s="498"/>
      <c r="U228" s="203"/>
      <c r="V228" s="203"/>
    </row>
    <row r="229" spans="1:22" ht="15" thickBot="1" x14ac:dyDescent="0.35">
      <c r="A229" s="289" t="s">
        <v>721</v>
      </c>
      <c r="B229" s="156">
        <v>1</v>
      </c>
      <c r="C229" s="156" t="s">
        <v>184</v>
      </c>
      <c r="D229" s="339">
        <v>0.2</v>
      </c>
      <c r="E229" s="339">
        <v>0.25</v>
      </c>
      <c r="F229" s="339">
        <v>0.9</v>
      </c>
      <c r="G229" s="5">
        <f t="shared" si="34"/>
        <v>0.81</v>
      </c>
      <c r="H229" s="4">
        <f t="shared" si="35"/>
        <v>4.5000000000000005E-2</v>
      </c>
      <c r="I229" s="283"/>
      <c r="J229" s="283"/>
      <c r="K229" s="282"/>
      <c r="Q229" s="498"/>
      <c r="R229" s="498"/>
      <c r="S229" s="498"/>
      <c r="T229" s="498"/>
      <c r="U229" s="203"/>
      <c r="V229" s="203"/>
    </row>
    <row r="230" spans="1:22" ht="15" thickBot="1" x14ac:dyDescent="0.35">
      <c r="A230" s="289" t="s">
        <v>722</v>
      </c>
      <c r="B230" s="156">
        <v>1</v>
      </c>
      <c r="C230" s="156" t="s">
        <v>184</v>
      </c>
      <c r="D230" s="339">
        <v>0.15</v>
      </c>
      <c r="E230" s="339">
        <v>0.25</v>
      </c>
      <c r="F230" s="339">
        <v>0.9</v>
      </c>
      <c r="G230" s="5">
        <f t="shared" si="34"/>
        <v>0.72000000000000008</v>
      </c>
      <c r="H230" s="4">
        <f t="shared" si="35"/>
        <v>3.3750000000000002E-2</v>
      </c>
      <c r="I230" s="283"/>
      <c r="J230" s="283"/>
      <c r="K230" s="282"/>
      <c r="Q230" s="498"/>
      <c r="R230" s="498"/>
      <c r="S230" s="498"/>
      <c r="T230" s="498"/>
      <c r="U230" s="203"/>
      <c r="V230" s="203"/>
    </row>
    <row r="231" spans="1:22" ht="15" thickBot="1" x14ac:dyDescent="0.35">
      <c r="A231" s="289" t="s">
        <v>723</v>
      </c>
      <c r="B231" s="156">
        <v>1</v>
      </c>
      <c r="C231" s="156" t="s">
        <v>184</v>
      </c>
      <c r="D231" s="339">
        <v>0.15</v>
      </c>
      <c r="E231" s="339">
        <v>0.25</v>
      </c>
      <c r="F231" s="339">
        <v>0.9</v>
      </c>
      <c r="G231" s="5">
        <f t="shared" si="34"/>
        <v>0.72000000000000008</v>
      </c>
      <c r="H231" s="4">
        <f t="shared" si="35"/>
        <v>3.3750000000000002E-2</v>
      </c>
      <c r="I231" s="283"/>
      <c r="J231" s="283"/>
      <c r="K231" s="282"/>
      <c r="Q231" s="498"/>
      <c r="R231" s="498"/>
      <c r="S231" s="498"/>
      <c r="T231" s="498"/>
      <c r="U231" s="203"/>
      <c r="V231" s="203"/>
    </row>
    <row r="232" spans="1:22" ht="15" thickBot="1" x14ac:dyDescent="0.35">
      <c r="A232" s="289" t="s">
        <v>724</v>
      </c>
      <c r="B232" s="156">
        <v>1</v>
      </c>
      <c r="C232" s="156" t="s">
        <v>184</v>
      </c>
      <c r="D232" s="339">
        <v>0.15</v>
      </c>
      <c r="E232" s="339">
        <v>0.25</v>
      </c>
      <c r="F232" s="339">
        <v>0.9</v>
      </c>
      <c r="G232" s="5">
        <f t="shared" si="34"/>
        <v>0.72000000000000008</v>
      </c>
      <c r="H232" s="4">
        <f t="shared" si="35"/>
        <v>3.3750000000000002E-2</v>
      </c>
      <c r="I232" s="283"/>
      <c r="J232" s="283"/>
      <c r="K232" s="282"/>
      <c r="Q232" s="498"/>
      <c r="R232" s="498"/>
      <c r="S232" s="498"/>
      <c r="T232" s="498"/>
      <c r="U232" s="203"/>
      <c r="V232" s="203"/>
    </row>
    <row r="233" spans="1:22" ht="15" thickBot="1" x14ac:dyDescent="0.35">
      <c r="A233" s="289" t="s">
        <v>725</v>
      </c>
      <c r="B233" s="156">
        <v>1</v>
      </c>
      <c r="C233" s="156" t="s">
        <v>184</v>
      </c>
      <c r="D233" s="339">
        <v>0.15</v>
      </c>
      <c r="E233" s="339">
        <v>0.25</v>
      </c>
      <c r="F233" s="339">
        <v>0.9</v>
      </c>
      <c r="G233" s="5">
        <f t="shared" si="34"/>
        <v>0.72000000000000008</v>
      </c>
      <c r="H233" s="4">
        <f t="shared" si="35"/>
        <v>3.3750000000000002E-2</v>
      </c>
      <c r="I233" s="283"/>
      <c r="J233" s="283"/>
      <c r="K233" s="282"/>
      <c r="Q233" s="498"/>
      <c r="R233" s="498"/>
      <c r="S233" s="498"/>
      <c r="T233" s="498"/>
      <c r="U233" s="203"/>
      <c r="V233" s="203"/>
    </row>
    <row r="234" spans="1:22" ht="15" thickBot="1" x14ac:dyDescent="0.35">
      <c r="A234" s="685" t="s">
        <v>740</v>
      </c>
      <c r="B234" s="686"/>
      <c r="C234" s="686"/>
      <c r="D234" s="686"/>
      <c r="E234" s="686"/>
      <c r="F234" s="686"/>
      <c r="G234" s="686"/>
      <c r="H234" s="687"/>
      <c r="I234" s="483"/>
      <c r="J234" s="483"/>
      <c r="K234" s="484"/>
      <c r="Q234" s="499"/>
      <c r="R234" s="499"/>
      <c r="S234" s="499"/>
      <c r="T234" s="499"/>
      <c r="U234" s="203"/>
      <c r="V234" s="203"/>
    </row>
    <row r="235" spans="1:22" ht="15" thickBot="1" x14ac:dyDescent="0.35">
      <c r="A235" s="289" t="s">
        <v>870</v>
      </c>
      <c r="B235" s="156">
        <v>1</v>
      </c>
      <c r="C235" s="156" t="s">
        <v>99</v>
      </c>
      <c r="D235" s="339">
        <v>0.15</v>
      </c>
      <c r="E235" s="339">
        <v>0.8</v>
      </c>
      <c r="F235" s="339">
        <v>2.95</v>
      </c>
      <c r="G235" s="5">
        <f t="shared" si="34"/>
        <v>5.6050000000000004</v>
      </c>
      <c r="H235" s="4">
        <f t="shared" si="35"/>
        <v>0.35400000000000004</v>
      </c>
      <c r="I235" s="283"/>
      <c r="J235" s="283"/>
      <c r="K235" s="282"/>
      <c r="Q235" s="498"/>
      <c r="R235" s="498"/>
      <c r="S235" s="498"/>
      <c r="T235" s="498"/>
      <c r="U235" s="203"/>
      <c r="V235" s="203"/>
    </row>
    <row r="236" spans="1:22" ht="15" thickBot="1" x14ac:dyDescent="0.35">
      <c r="A236" s="289" t="s">
        <v>871</v>
      </c>
      <c r="B236" s="156">
        <v>1</v>
      </c>
      <c r="C236" s="156" t="s">
        <v>99</v>
      </c>
      <c r="D236" s="339">
        <v>0.2</v>
      </c>
      <c r="E236" s="339">
        <v>0.8</v>
      </c>
      <c r="F236" s="339">
        <v>2.95</v>
      </c>
      <c r="G236" s="5">
        <f t="shared" si="34"/>
        <v>5.9</v>
      </c>
      <c r="H236" s="4">
        <f t="shared" si="35"/>
        <v>0.47200000000000009</v>
      </c>
      <c r="I236" s="283"/>
      <c r="J236" s="283"/>
      <c r="K236" s="282"/>
      <c r="Q236" s="498"/>
      <c r="R236" s="498"/>
      <c r="S236" s="498"/>
      <c r="T236" s="498"/>
      <c r="U236" s="203"/>
      <c r="V236" s="203"/>
    </row>
    <row r="237" spans="1:22" ht="15" thickBot="1" x14ac:dyDescent="0.35">
      <c r="A237" s="289" t="s">
        <v>872</v>
      </c>
      <c r="B237" s="156">
        <v>1</v>
      </c>
      <c r="C237" s="156" t="s">
        <v>99</v>
      </c>
      <c r="D237" s="339">
        <v>0.15</v>
      </c>
      <c r="E237" s="339">
        <v>0.4</v>
      </c>
      <c r="F237" s="339">
        <v>2.95</v>
      </c>
      <c r="G237" s="5">
        <f t="shared" si="34"/>
        <v>3.2450000000000006</v>
      </c>
      <c r="H237" s="4">
        <f t="shared" si="35"/>
        <v>0.17700000000000002</v>
      </c>
      <c r="I237" s="283"/>
      <c r="J237" s="283"/>
      <c r="K237" s="282"/>
      <c r="Q237" s="498"/>
      <c r="R237" s="498"/>
      <c r="S237" s="498"/>
      <c r="T237" s="498"/>
      <c r="U237" s="203"/>
      <c r="V237" s="203"/>
    </row>
    <row r="238" spans="1:22" ht="15" thickBot="1" x14ac:dyDescent="0.35">
      <c r="A238" s="289" t="s">
        <v>873</v>
      </c>
      <c r="B238" s="156">
        <v>1</v>
      </c>
      <c r="C238" s="156" t="s">
        <v>99</v>
      </c>
      <c r="D238" s="339">
        <v>0.15</v>
      </c>
      <c r="E238" s="339">
        <v>0.4</v>
      </c>
      <c r="F238" s="339">
        <v>2.95</v>
      </c>
      <c r="G238" s="5">
        <f t="shared" si="34"/>
        <v>3.2450000000000006</v>
      </c>
      <c r="H238" s="4">
        <f t="shared" si="35"/>
        <v>0.17700000000000002</v>
      </c>
      <c r="I238" s="283"/>
      <c r="J238" s="283"/>
      <c r="K238" s="282"/>
      <c r="Q238" s="498"/>
      <c r="R238" s="498"/>
      <c r="S238" s="498"/>
      <c r="T238" s="498"/>
      <c r="U238" s="203"/>
      <c r="V238" s="203"/>
    </row>
    <row r="239" spans="1:22" ht="15" thickBot="1" x14ac:dyDescent="0.35">
      <c r="A239" s="289" t="s">
        <v>874</v>
      </c>
      <c r="B239" s="156">
        <v>1</v>
      </c>
      <c r="C239" s="156" t="s">
        <v>99</v>
      </c>
      <c r="D239" s="339">
        <v>0.2</v>
      </c>
      <c r="E239" s="339">
        <v>0.5</v>
      </c>
      <c r="F239" s="339">
        <v>2.95</v>
      </c>
      <c r="G239" s="5">
        <f t="shared" si="34"/>
        <v>4.13</v>
      </c>
      <c r="H239" s="4">
        <f t="shared" si="35"/>
        <v>0.29500000000000004</v>
      </c>
      <c r="I239" s="283"/>
      <c r="J239" s="283"/>
      <c r="K239" s="282"/>
      <c r="Q239" s="498"/>
      <c r="R239" s="498"/>
      <c r="S239" s="498"/>
      <c r="T239" s="498"/>
      <c r="U239" s="203"/>
      <c r="V239" s="203"/>
    </row>
    <row r="240" spans="1:22" ht="15" thickBot="1" x14ac:dyDescent="0.35">
      <c r="A240" s="289" t="s">
        <v>875</v>
      </c>
      <c r="B240" s="156">
        <v>1</v>
      </c>
      <c r="C240" s="156" t="s">
        <v>99</v>
      </c>
      <c r="D240" s="339">
        <v>0.15</v>
      </c>
      <c r="E240" s="339">
        <v>0.4</v>
      </c>
      <c r="F240" s="339">
        <v>2.95</v>
      </c>
      <c r="G240" s="5">
        <f t="shared" si="34"/>
        <v>3.2450000000000006</v>
      </c>
      <c r="H240" s="4">
        <f t="shared" si="35"/>
        <v>0.17700000000000002</v>
      </c>
      <c r="I240" s="283"/>
      <c r="J240" s="283"/>
      <c r="K240" s="282"/>
      <c r="Q240" s="498"/>
      <c r="R240" s="498"/>
      <c r="S240" s="498"/>
      <c r="T240" s="498"/>
      <c r="U240" s="203"/>
      <c r="V240" s="203"/>
    </row>
    <row r="241" spans="1:22" ht="15" thickBot="1" x14ac:dyDescent="0.35">
      <c r="A241" s="289" t="s">
        <v>876</v>
      </c>
      <c r="B241" s="156">
        <v>1</v>
      </c>
      <c r="C241" s="156" t="s">
        <v>99</v>
      </c>
      <c r="D241" s="339">
        <v>0.15</v>
      </c>
      <c r="E241" s="339">
        <v>0.4</v>
      </c>
      <c r="F241" s="339">
        <v>2.95</v>
      </c>
      <c r="G241" s="5">
        <f t="shared" si="34"/>
        <v>3.2450000000000006</v>
      </c>
      <c r="H241" s="4">
        <f t="shared" si="35"/>
        <v>0.17700000000000002</v>
      </c>
      <c r="I241" s="283"/>
      <c r="J241" s="283"/>
      <c r="K241" s="282"/>
      <c r="Q241" s="498"/>
      <c r="R241" s="498"/>
      <c r="S241" s="498"/>
      <c r="T241" s="498"/>
      <c r="U241" s="203"/>
      <c r="V241" s="203"/>
    </row>
    <row r="242" spans="1:22" ht="15" thickBot="1" x14ac:dyDescent="0.35">
      <c r="A242" s="289" t="s">
        <v>877</v>
      </c>
      <c r="B242" s="156">
        <v>1</v>
      </c>
      <c r="C242" s="156" t="s">
        <v>99</v>
      </c>
      <c r="D242" s="339">
        <v>0.5</v>
      </c>
      <c r="E242" s="339">
        <v>0.5</v>
      </c>
      <c r="F242" s="339">
        <v>2.95</v>
      </c>
      <c r="G242" s="5">
        <f t="shared" si="34"/>
        <v>5.9</v>
      </c>
      <c r="H242" s="4">
        <f t="shared" si="35"/>
        <v>0.73750000000000004</v>
      </c>
      <c r="I242" s="283"/>
      <c r="J242" s="283"/>
      <c r="K242" s="282"/>
      <c r="Q242" s="498"/>
      <c r="R242" s="498"/>
      <c r="S242" s="498"/>
      <c r="T242" s="498"/>
      <c r="U242" s="203"/>
      <c r="V242" s="203"/>
    </row>
    <row r="243" spans="1:22" ht="15" thickBot="1" x14ac:dyDescent="0.35">
      <c r="A243" s="289" t="s">
        <v>878</v>
      </c>
      <c r="B243" s="156">
        <v>1</v>
      </c>
      <c r="C243" s="156" t="s">
        <v>99</v>
      </c>
      <c r="D243" s="339">
        <v>0.2</v>
      </c>
      <c r="E243" s="339">
        <v>0.4</v>
      </c>
      <c r="F243" s="339">
        <v>2.95</v>
      </c>
      <c r="G243" s="5">
        <f t="shared" si="34"/>
        <v>3.5400000000000009</v>
      </c>
      <c r="H243" s="4">
        <f t="shared" si="35"/>
        <v>0.23600000000000004</v>
      </c>
      <c r="I243" s="283"/>
      <c r="J243" s="283"/>
      <c r="K243" s="282"/>
      <c r="Q243" s="498"/>
      <c r="R243" s="498"/>
      <c r="S243" s="498"/>
      <c r="T243" s="498"/>
      <c r="U243" s="203"/>
      <c r="V243" s="203"/>
    </row>
    <row r="244" spans="1:22" ht="15" thickBot="1" x14ac:dyDescent="0.35">
      <c r="A244" s="289" t="s">
        <v>879</v>
      </c>
      <c r="B244" s="156">
        <v>1</v>
      </c>
      <c r="C244" s="156" t="s">
        <v>99</v>
      </c>
      <c r="D244" s="339">
        <v>0.15</v>
      </c>
      <c r="E244" s="339">
        <v>0.4</v>
      </c>
      <c r="F244" s="339">
        <v>2.95</v>
      </c>
      <c r="G244" s="5">
        <f t="shared" si="34"/>
        <v>3.2450000000000006</v>
      </c>
      <c r="H244" s="4">
        <f t="shared" si="35"/>
        <v>0.17700000000000002</v>
      </c>
      <c r="I244" s="283"/>
      <c r="J244" s="283"/>
      <c r="K244" s="282"/>
      <c r="Q244" s="498"/>
      <c r="R244" s="498"/>
      <c r="S244" s="498"/>
      <c r="T244" s="498"/>
      <c r="U244" s="203"/>
      <c r="V244" s="203"/>
    </row>
    <row r="245" spans="1:22" ht="15" thickBot="1" x14ac:dyDescent="0.35">
      <c r="A245" s="289" t="s">
        <v>880</v>
      </c>
      <c r="B245" s="156">
        <v>1</v>
      </c>
      <c r="C245" s="156" t="s">
        <v>99</v>
      </c>
      <c r="D245" s="339">
        <v>0.2</v>
      </c>
      <c r="E245" s="339">
        <v>0.6</v>
      </c>
      <c r="F245" s="339">
        <v>2.95</v>
      </c>
      <c r="G245" s="5">
        <f t="shared" si="34"/>
        <v>4.7200000000000006</v>
      </c>
      <c r="H245" s="4">
        <f t="shared" si="35"/>
        <v>0.35400000000000004</v>
      </c>
      <c r="I245" s="283"/>
      <c r="J245" s="283"/>
      <c r="K245" s="282"/>
      <c r="Q245" s="498"/>
      <c r="R245" s="498"/>
      <c r="S245" s="498"/>
      <c r="T245" s="498"/>
      <c r="U245" s="203"/>
      <c r="V245" s="203"/>
    </row>
    <row r="246" spans="1:22" ht="15" thickBot="1" x14ac:dyDescent="0.35">
      <c r="A246" s="289" t="s">
        <v>881</v>
      </c>
      <c r="B246" s="156">
        <v>1</v>
      </c>
      <c r="C246" s="156" t="s">
        <v>99</v>
      </c>
      <c r="D246" s="339">
        <v>0.15</v>
      </c>
      <c r="E246" s="339">
        <v>0.4</v>
      </c>
      <c r="F246" s="339">
        <v>2.95</v>
      </c>
      <c r="G246" s="5">
        <f t="shared" si="34"/>
        <v>3.2450000000000006</v>
      </c>
      <c r="H246" s="4">
        <f t="shared" si="35"/>
        <v>0.17700000000000002</v>
      </c>
      <c r="I246" s="283"/>
      <c r="J246" s="283"/>
      <c r="K246" s="282"/>
      <c r="Q246" s="498"/>
      <c r="R246" s="498"/>
      <c r="S246" s="498"/>
      <c r="T246" s="498"/>
      <c r="U246" s="203"/>
      <c r="V246" s="203"/>
    </row>
    <row r="247" spans="1:22" ht="15" thickBot="1" x14ac:dyDescent="0.35">
      <c r="A247" s="289" t="s">
        <v>882</v>
      </c>
      <c r="B247" s="156">
        <v>1</v>
      </c>
      <c r="C247" s="156" t="s">
        <v>99</v>
      </c>
      <c r="D247" s="339">
        <v>0.15</v>
      </c>
      <c r="E247" s="339">
        <v>0.4</v>
      </c>
      <c r="F247" s="339">
        <v>2.95</v>
      </c>
      <c r="G247" s="5">
        <f t="shared" si="34"/>
        <v>3.2450000000000006</v>
      </c>
      <c r="H247" s="4">
        <f t="shared" si="35"/>
        <v>0.17700000000000002</v>
      </c>
      <c r="I247" s="283"/>
      <c r="J247" s="283"/>
      <c r="K247" s="282"/>
      <c r="Q247" s="498"/>
      <c r="R247" s="498"/>
      <c r="S247" s="498"/>
      <c r="T247" s="498"/>
      <c r="U247" s="203"/>
      <c r="V247" s="203"/>
    </row>
    <row r="248" spans="1:22" ht="15" thickBot="1" x14ac:dyDescent="0.35">
      <c r="A248" s="289" t="s">
        <v>883</v>
      </c>
      <c r="B248" s="156">
        <v>1</v>
      </c>
      <c r="C248" s="156" t="s">
        <v>99</v>
      </c>
      <c r="D248" s="339">
        <v>0.2</v>
      </c>
      <c r="E248" s="339">
        <v>0.6</v>
      </c>
      <c r="F248" s="339">
        <v>2.95</v>
      </c>
      <c r="G248" s="5">
        <f t="shared" si="34"/>
        <v>4.7200000000000006</v>
      </c>
      <c r="H248" s="4">
        <f t="shared" si="35"/>
        <v>0.35400000000000004</v>
      </c>
      <c r="I248" s="283"/>
      <c r="J248" s="283"/>
      <c r="K248" s="282"/>
      <c r="Q248" s="498"/>
      <c r="R248" s="498"/>
      <c r="S248" s="498"/>
      <c r="T248" s="498"/>
      <c r="U248" s="203"/>
      <c r="V248" s="203"/>
    </row>
    <row r="249" spans="1:22" ht="15" thickBot="1" x14ac:dyDescent="0.35">
      <c r="A249" s="289" t="s">
        <v>884</v>
      </c>
      <c r="B249" s="156">
        <v>1</v>
      </c>
      <c r="C249" s="156" t="s">
        <v>99</v>
      </c>
      <c r="D249" s="339">
        <v>0.15</v>
      </c>
      <c r="E249" s="339">
        <v>0.4</v>
      </c>
      <c r="F249" s="339">
        <v>2.95</v>
      </c>
      <c r="G249" s="5">
        <f t="shared" ref="G249:G263" si="36">(((2*D249+2*E249)*F249))*B249</f>
        <v>3.2450000000000006</v>
      </c>
      <c r="H249" s="4">
        <f t="shared" ref="H249:H263" si="37">F249*E249*D249*B249</f>
        <v>0.17700000000000002</v>
      </c>
      <c r="I249" s="283"/>
      <c r="J249" s="283"/>
      <c r="K249" s="282"/>
      <c r="Q249" s="498"/>
      <c r="R249" s="498"/>
      <c r="S249" s="498"/>
      <c r="T249" s="498"/>
      <c r="U249" s="203"/>
      <c r="V249" s="203"/>
    </row>
    <row r="250" spans="1:22" ht="15" thickBot="1" x14ac:dyDescent="0.35">
      <c r="A250" s="289" t="s">
        <v>885</v>
      </c>
      <c r="B250" s="156">
        <v>1</v>
      </c>
      <c r="C250" s="156" t="s">
        <v>99</v>
      </c>
      <c r="D250" s="339">
        <v>0.15</v>
      </c>
      <c r="E250" s="339">
        <v>0.4</v>
      </c>
      <c r="F250" s="339">
        <v>2.95</v>
      </c>
      <c r="G250" s="5">
        <f t="shared" si="36"/>
        <v>3.2450000000000006</v>
      </c>
      <c r="H250" s="4">
        <f t="shared" si="37"/>
        <v>0.17700000000000002</v>
      </c>
      <c r="I250" s="283"/>
      <c r="J250" s="283"/>
      <c r="K250" s="282"/>
      <c r="Q250" s="498"/>
      <c r="R250" s="498"/>
      <c r="S250" s="498"/>
      <c r="T250" s="498"/>
      <c r="U250" s="203"/>
      <c r="V250" s="203"/>
    </row>
    <row r="251" spans="1:22" ht="15" thickBot="1" x14ac:dyDescent="0.35">
      <c r="A251" s="289" t="s">
        <v>886</v>
      </c>
      <c r="B251" s="156">
        <v>1</v>
      </c>
      <c r="C251" s="156" t="s">
        <v>99</v>
      </c>
      <c r="D251" s="339">
        <v>0.15</v>
      </c>
      <c r="E251" s="339">
        <v>0.4</v>
      </c>
      <c r="F251" s="339">
        <v>2.95</v>
      </c>
      <c r="G251" s="5">
        <f t="shared" si="36"/>
        <v>3.2450000000000006</v>
      </c>
      <c r="H251" s="4">
        <f t="shared" si="37"/>
        <v>0.17700000000000002</v>
      </c>
      <c r="I251" s="283"/>
      <c r="J251" s="283"/>
      <c r="K251" s="282"/>
      <c r="Q251" s="498"/>
      <c r="R251" s="498"/>
      <c r="S251" s="498"/>
      <c r="T251" s="498"/>
      <c r="U251" s="203"/>
      <c r="V251" s="203"/>
    </row>
    <row r="252" spans="1:22" ht="15" thickBot="1" x14ac:dyDescent="0.35">
      <c r="A252" s="289" t="s">
        <v>887</v>
      </c>
      <c r="B252" s="156">
        <v>1</v>
      </c>
      <c r="C252" s="156" t="s">
        <v>99</v>
      </c>
      <c r="D252" s="339">
        <v>0.15</v>
      </c>
      <c r="E252" s="339">
        <v>0.4</v>
      </c>
      <c r="F252" s="339">
        <v>2.95</v>
      </c>
      <c r="G252" s="5">
        <f t="shared" si="36"/>
        <v>3.2450000000000006</v>
      </c>
      <c r="H252" s="4">
        <f t="shared" si="37"/>
        <v>0.17700000000000002</v>
      </c>
      <c r="I252" s="283"/>
      <c r="J252" s="283"/>
      <c r="K252" s="282"/>
      <c r="Q252" s="498"/>
      <c r="R252" s="498"/>
      <c r="S252" s="498"/>
      <c r="T252" s="498"/>
      <c r="U252" s="203"/>
      <c r="V252" s="203"/>
    </row>
    <row r="253" spans="1:22" ht="15" thickBot="1" x14ac:dyDescent="0.35">
      <c r="A253" s="289" t="s">
        <v>888</v>
      </c>
      <c r="B253" s="156">
        <v>1</v>
      </c>
      <c r="C253" s="156" t="s">
        <v>99</v>
      </c>
      <c r="D253" s="339">
        <v>0.15</v>
      </c>
      <c r="E253" s="339">
        <v>0.4</v>
      </c>
      <c r="F253" s="339">
        <v>2.95</v>
      </c>
      <c r="G253" s="5">
        <f t="shared" si="36"/>
        <v>3.2450000000000006</v>
      </c>
      <c r="H253" s="4">
        <f t="shared" si="37"/>
        <v>0.17700000000000002</v>
      </c>
      <c r="I253" s="283"/>
      <c r="J253" s="283"/>
      <c r="K253" s="282"/>
      <c r="Q253" s="498"/>
      <c r="R253" s="498"/>
      <c r="S253" s="498"/>
      <c r="T253" s="498"/>
      <c r="U253" s="203"/>
      <c r="V253" s="203"/>
    </row>
    <row r="254" spans="1:22" ht="15" thickBot="1" x14ac:dyDescent="0.35">
      <c r="A254" s="289" t="s">
        <v>889</v>
      </c>
      <c r="B254" s="156">
        <v>1</v>
      </c>
      <c r="C254" s="156" t="s">
        <v>99</v>
      </c>
      <c r="D254" s="339">
        <v>0.25</v>
      </c>
      <c r="E254" s="339">
        <v>0.7</v>
      </c>
      <c r="F254" s="339">
        <v>2.95</v>
      </c>
      <c r="G254" s="5">
        <f t="shared" si="36"/>
        <v>5.6050000000000004</v>
      </c>
      <c r="H254" s="4">
        <f t="shared" si="37"/>
        <v>0.51624999999999999</v>
      </c>
      <c r="I254" s="283"/>
      <c r="J254" s="283"/>
      <c r="K254" s="282"/>
      <c r="Q254" s="498"/>
      <c r="R254" s="498"/>
      <c r="S254" s="498"/>
      <c r="T254" s="498"/>
      <c r="U254" s="203"/>
      <c r="V254" s="203"/>
    </row>
    <row r="255" spans="1:22" ht="15" thickBot="1" x14ac:dyDescent="0.35">
      <c r="A255" s="289" t="s">
        <v>890</v>
      </c>
      <c r="B255" s="156">
        <v>1</v>
      </c>
      <c r="C255" s="156" t="s">
        <v>99</v>
      </c>
      <c r="D255" s="339">
        <v>0.25</v>
      </c>
      <c r="E255" s="339">
        <v>0.7</v>
      </c>
      <c r="F255" s="339">
        <v>2.95</v>
      </c>
      <c r="G255" s="5">
        <f t="shared" si="36"/>
        <v>5.6050000000000004</v>
      </c>
      <c r="H255" s="4">
        <f t="shared" si="37"/>
        <v>0.51624999999999999</v>
      </c>
      <c r="I255" s="283"/>
      <c r="J255" s="283"/>
      <c r="K255" s="282"/>
      <c r="Q255" s="498"/>
      <c r="R255" s="498"/>
      <c r="S255" s="498"/>
      <c r="T255" s="498"/>
      <c r="U255" s="203"/>
      <c r="V255" s="203"/>
    </row>
    <row r="256" spans="1:22" ht="15" thickBot="1" x14ac:dyDescent="0.35">
      <c r="A256" s="289" t="s">
        <v>891</v>
      </c>
      <c r="B256" s="156">
        <v>1</v>
      </c>
      <c r="C256" s="156" t="s">
        <v>99</v>
      </c>
      <c r="D256" s="339">
        <v>0.25</v>
      </c>
      <c r="E256" s="339">
        <v>0.7</v>
      </c>
      <c r="F256" s="339">
        <v>2.95</v>
      </c>
      <c r="G256" s="5">
        <f t="shared" si="36"/>
        <v>5.6050000000000004</v>
      </c>
      <c r="H256" s="4">
        <f t="shared" si="37"/>
        <v>0.51624999999999999</v>
      </c>
      <c r="I256" s="283"/>
      <c r="J256" s="283"/>
      <c r="K256" s="282"/>
      <c r="Q256" s="498"/>
      <c r="R256" s="498"/>
      <c r="S256" s="498"/>
      <c r="T256" s="498"/>
      <c r="U256" s="203"/>
      <c r="V256" s="203"/>
    </row>
    <row r="257" spans="1:22" ht="15" thickBot="1" x14ac:dyDescent="0.35">
      <c r="A257" s="289" t="s">
        <v>892</v>
      </c>
      <c r="B257" s="156">
        <v>1</v>
      </c>
      <c r="C257" s="156" t="s">
        <v>99</v>
      </c>
      <c r="D257" s="339">
        <v>0.25</v>
      </c>
      <c r="E257" s="339">
        <v>0.7</v>
      </c>
      <c r="F257" s="339">
        <v>2.95</v>
      </c>
      <c r="G257" s="5">
        <f t="shared" si="36"/>
        <v>5.6050000000000004</v>
      </c>
      <c r="H257" s="4">
        <f t="shared" si="37"/>
        <v>0.51624999999999999</v>
      </c>
      <c r="I257" s="283"/>
      <c r="J257" s="283"/>
      <c r="K257" s="282"/>
      <c r="Q257" s="498"/>
      <c r="R257" s="498"/>
      <c r="S257" s="498"/>
      <c r="T257" s="498"/>
      <c r="U257" s="203"/>
      <c r="V257" s="203"/>
    </row>
    <row r="258" spans="1:22" ht="15" thickBot="1" x14ac:dyDescent="0.35">
      <c r="A258" s="289" t="s">
        <v>893</v>
      </c>
      <c r="B258" s="156">
        <v>1</v>
      </c>
      <c r="C258" s="156" t="s">
        <v>99</v>
      </c>
      <c r="D258" s="339">
        <v>0.25</v>
      </c>
      <c r="E258" s="339">
        <v>0.7</v>
      </c>
      <c r="F258" s="339">
        <v>2.95</v>
      </c>
      <c r="G258" s="5">
        <f t="shared" si="36"/>
        <v>5.6050000000000004</v>
      </c>
      <c r="H258" s="4">
        <f t="shared" si="37"/>
        <v>0.51624999999999999</v>
      </c>
      <c r="I258" s="283"/>
      <c r="J258" s="283"/>
      <c r="K258" s="282"/>
      <c r="Q258" s="498"/>
      <c r="R258" s="498"/>
      <c r="S258" s="498"/>
      <c r="T258" s="498"/>
      <c r="U258" s="203"/>
      <c r="V258" s="203"/>
    </row>
    <row r="259" spans="1:22" ht="15" thickBot="1" x14ac:dyDescent="0.35">
      <c r="A259" s="289" t="s">
        <v>894</v>
      </c>
      <c r="B259" s="156">
        <v>1</v>
      </c>
      <c r="C259" s="156" t="s">
        <v>99</v>
      </c>
      <c r="D259" s="339">
        <v>0.15</v>
      </c>
      <c r="E259" s="339">
        <v>0.4</v>
      </c>
      <c r="F259" s="339">
        <v>2.95</v>
      </c>
      <c r="G259" s="5">
        <f t="shared" si="36"/>
        <v>3.2450000000000006</v>
      </c>
      <c r="H259" s="4">
        <f t="shared" si="37"/>
        <v>0.17700000000000002</v>
      </c>
      <c r="I259" s="283"/>
      <c r="J259" s="283"/>
      <c r="K259" s="282"/>
      <c r="Q259" s="498"/>
      <c r="R259" s="498"/>
      <c r="S259" s="498"/>
      <c r="T259" s="498"/>
      <c r="U259" s="203"/>
      <c r="V259" s="203"/>
    </row>
    <row r="260" spans="1:22" ht="15" thickBot="1" x14ac:dyDescent="0.35">
      <c r="A260" s="289" t="s">
        <v>895</v>
      </c>
      <c r="B260" s="156">
        <v>1</v>
      </c>
      <c r="C260" s="156" t="s">
        <v>99</v>
      </c>
      <c r="D260" s="339">
        <v>0.15</v>
      </c>
      <c r="E260" s="339">
        <v>0.4</v>
      </c>
      <c r="F260" s="339">
        <v>2.95</v>
      </c>
      <c r="G260" s="5">
        <f t="shared" si="36"/>
        <v>3.2450000000000006</v>
      </c>
      <c r="H260" s="4">
        <f t="shared" si="37"/>
        <v>0.17700000000000002</v>
      </c>
      <c r="I260" s="283"/>
      <c r="J260" s="283"/>
      <c r="K260" s="282"/>
      <c r="Q260" s="498"/>
      <c r="R260" s="498"/>
      <c r="S260" s="498"/>
      <c r="T260" s="498"/>
      <c r="U260" s="203"/>
      <c r="V260" s="203"/>
    </row>
    <row r="261" spans="1:22" ht="15" thickBot="1" x14ac:dyDescent="0.35">
      <c r="A261" s="289" t="s">
        <v>896</v>
      </c>
      <c r="B261" s="156">
        <v>1</v>
      </c>
      <c r="C261" s="156" t="s">
        <v>99</v>
      </c>
      <c r="D261" s="339">
        <v>0.15</v>
      </c>
      <c r="E261" s="339">
        <v>0.4</v>
      </c>
      <c r="F261" s="339">
        <v>2.95</v>
      </c>
      <c r="G261" s="5">
        <f t="shared" si="36"/>
        <v>3.2450000000000006</v>
      </c>
      <c r="H261" s="4">
        <f t="shared" si="37"/>
        <v>0.17700000000000002</v>
      </c>
      <c r="I261" s="283"/>
      <c r="J261" s="283"/>
      <c r="K261" s="282"/>
      <c r="Q261" s="498"/>
      <c r="R261" s="498"/>
      <c r="S261" s="498"/>
      <c r="T261" s="498"/>
      <c r="U261" s="203"/>
      <c r="V261" s="203"/>
    </row>
    <row r="262" spans="1:22" ht="15" thickBot="1" x14ac:dyDescent="0.35">
      <c r="A262" s="289" t="s">
        <v>897</v>
      </c>
      <c r="B262" s="156">
        <v>1</v>
      </c>
      <c r="C262" s="156" t="s">
        <v>99</v>
      </c>
      <c r="D262" s="339">
        <v>0.15</v>
      </c>
      <c r="E262" s="339">
        <v>0.4</v>
      </c>
      <c r="F262" s="339">
        <v>2.95</v>
      </c>
      <c r="G262" s="5">
        <f t="shared" si="36"/>
        <v>3.2450000000000006</v>
      </c>
      <c r="H262" s="4">
        <f t="shared" si="37"/>
        <v>0.17700000000000002</v>
      </c>
      <c r="I262" s="283"/>
      <c r="J262" s="283"/>
      <c r="K262" s="282"/>
      <c r="Q262" s="498"/>
      <c r="R262" s="498"/>
      <c r="S262" s="498"/>
      <c r="T262" s="498"/>
      <c r="U262" s="203"/>
      <c r="V262" s="203"/>
    </row>
    <row r="263" spans="1:22" ht="15" thickBot="1" x14ac:dyDescent="0.35">
      <c r="A263" s="289" t="s">
        <v>898</v>
      </c>
      <c r="B263" s="156">
        <v>1</v>
      </c>
      <c r="C263" s="156" t="s">
        <v>99</v>
      </c>
      <c r="D263" s="339">
        <v>0.15</v>
      </c>
      <c r="E263" s="339">
        <v>0.4</v>
      </c>
      <c r="F263" s="339">
        <v>2.95</v>
      </c>
      <c r="G263" s="5">
        <f t="shared" si="36"/>
        <v>3.2450000000000006</v>
      </c>
      <c r="H263" s="4">
        <f t="shared" si="37"/>
        <v>0.17700000000000002</v>
      </c>
      <c r="I263" s="283"/>
      <c r="J263" s="283"/>
      <c r="K263" s="282"/>
      <c r="Q263" s="498"/>
      <c r="R263" s="498"/>
      <c r="S263" s="498"/>
      <c r="T263" s="498"/>
      <c r="U263" s="203"/>
      <c r="V263" s="203"/>
    </row>
    <row r="264" spans="1:22" ht="15" thickBot="1" x14ac:dyDescent="0.35">
      <c r="A264" s="289" t="s">
        <v>899</v>
      </c>
      <c r="B264" s="156">
        <v>1</v>
      </c>
      <c r="C264" s="156" t="s">
        <v>99</v>
      </c>
      <c r="D264" s="339">
        <v>0.15</v>
      </c>
      <c r="E264" s="339">
        <v>0.95</v>
      </c>
      <c r="F264" s="339">
        <v>2.95</v>
      </c>
      <c r="G264" s="5">
        <f t="shared" ref="G264:G282" si="38">(((2*D264+2*E264)*F264))*B264</f>
        <v>6.4899999999999993</v>
      </c>
      <c r="H264" s="4">
        <f t="shared" ref="H264:H282" si="39">F264*E264*D264*B264</f>
        <v>0.420375</v>
      </c>
      <c r="I264" s="283"/>
      <c r="J264" s="283"/>
      <c r="K264" s="282"/>
      <c r="Q264" s="498"/>
      <c r="R264" s="498"/>
      <c r="S264" s="498"/>
      <c r="T264" s="498"/>
      <c r="U264" s="203"/>
      <c r="V264" s="203"/>
    </row>
    <row r="265" spans="1:22" ht="15" thickBot="1" x14ac:dyDescent="0.35">
      <c r="A265" s="289" t="s">
        <v>900</v>
      </c>
      <c r="B265" s="156">
        <v>1</v>
      </c>
      <c r="C265" s="156" t="s">
        <v>99</v>
      </c>
      <c r="D265" s="339">
        <v>0.15</v>
      </c>
      <c r="E265" s="339">
        <v>0.95</v>
      </c>
      <c r="F265" s="339">
        <v>2.95</v>
      </c>
      <c r="G265" s="5">
        <f t="shared" si="38"/>
        <v>6.4899999999999993</v>
      </c>
      <c r="H265" s="4">
        <f t="shared" si="39"/>
        <v>0.420375</v>
      </c>
      <c r="I265" s="283"/>
      <c r="J265" s="283"/>
      <c r="K265" s="282"/>
      <c r="Q265" s="498"/>
      <c r="R265" s="498"/>
      <c r="S265" s="498"/>
      <c r="T265" s="498"/>
      <c r="U265" s="203"/>
      <c r="V265" s="203"/>
    </row>
    <row r="266" spans="1:22" ht="15" thickBot="1" x14ac:dyDescent="0.35">
      <c r="A266" s="289" t="s">
        <v>901</v>
      </c>
      <c r="B266" s="156">
        <v>1</v>
      </c>
      <c r="C266" s="156" t="s">
        <v>99</v>
      </c>
      <c r="D266" s="339">
        <v>0.2</v>
      </c>
      <c r="E266" s="339">
        <v>0.6</v>
      </c>
      <c r="F266" s="339">
        <v>2.95</v>
      </c>
      <c r="G266" s="5">
        <f t="shared" si="38"/>
        <v>4.7200000000000006</v>
      </c>
      <c r="H266" s="4">
        <f t="shared" si="39"/>
        <v>0.35400000000000004</v>
      </c>
      <c r="I266" s="283"/>
      <c r="J266" s="283"/>
      <c r="K266" s="282"/>
      <c r="Q266" s="498"/>
      <c r="R266" s="498"/>
      <c r="S266" s="498"/>
      <c r="T266" s="498"/>
      <c r="U266" s="203"/>
      <c r="V266" s="203"/>
    </row>
    <row r="267" spans="1:22" ht="15" thickBot="1" x14ac:dyDescent="0.35">
      <c r="A267" s="289" t="s">
        <v>902</v>
      </c>
      <c r="B267" s="156">
        <v>1</v>
      </c>
      <c r="C267" s="156" t="s">
        <v>99</v>
      </c>
      <c r="D267" s="339">
        <v>0.15</v>
      </c>
      <c r="E267" s="339">
        <v>0.95</v>
      </c>
      <c r="F267" s="339">
        <v>2.95</v>
      </c>
      <c r="G267" s="5">
        <f t="shared" si="38"/>
        <v>6.4899999999999993</v>
      </c>
      <c r="H267" s="4">
        <f t="shared" si="39"/>
        <v>0.420375</v>
      </c>
      <c r="I267" s="283"/>
      <c r="J267" s="283"/>
      <c r="K267" s="282"/>
      <c r="Q267" s="498"/>
      <c r="R267" s="498"/>
      <c r="S267" s="498"/>
      <c r="T267" s="498"/>
      <c r="U267" s="203"/>
      <c r="V267" s="203"/>
    </row>
    <row r="268" spans="1:22" ht="15" thickBot="1" x14ac:dyDescent="0.35">
      <c r="A268" s="289" t="s">
        <v>903</v>
      </c>
      <c r="B268" s="156">
        <v>1</v>
      </c>
      <c r="C268" s="156" t="s">
        <v>99</v>
      </c>
      <c r="D268" s="339">
        <v>0.15</v>
      </c>
      <c r="E268" s="339">
        <v>0.95</v>
      </c>
      <c r="F268" s="339">
        <v>2.95</v>
      </c>
      <c r="G268" s="5">
        <f t="shared" si="38"/>
        <v>6.4899999999999993</v>
      </c>
      <c r="H268" s="4">
        <f t="shared" si="39"/>
        <v>0.420375</v>
      </c>
      <c r="I268" s="283"/>
      <c r="J268" s="283"/>
      <c r="K268" s="282"/>
      <c r="Q268" s="498"/>
      <c r="R268" s="498"/>
      <c r="S268" s="498"/>
      <c r="T268" s="498"/>
      <c r="U268" s="203"/>
      <c r="V268" s="203"/>
    </row>
    <row r="269" spans="1:22" ht="15" thickBot="1" x14ac:dyDescent="0.35">
      <c r="A269" s="289" t="s">
        <v>904</v>
      </c>
      <c r="B269" s="156">
        <v>1</v>
      </c>
      <c r="C269" s="156" t="s">
        <v>99</v>
      </c>
      <c r="D269" s="339">
        <v>0.15</v>
      </c>
      <c r="E269" s="339">
        <v>0.95</v>
      </c>
      <c r="F269" s="339">
        <v>2.95</v>
      </c>
      <c r="G269" s="5">
        <f t="shared" si="38"/>
        <v>6.4899999999999993</v>
      </c>
      <c r="H269" s="4">
        <f t="shared" si="39"/>
        <v>0.420375</v>
      </c>
      <c r="I269" s="283"/>
      <c r="J269" s="283"/>
      <c r="K269" s="282"/>
      <c r="Q269" s="498"/>
      <c r="R269" s="498"/>
      <c r="S269" s="498"/>
      <c r="T269" s="498"/>
      <c r="U269" s="203"/>
      <c r="V269" s="203"/>
    </row>
    <row r="270" spans="1:22" ht="15" thickBot="1" x14ac:dyDescent="0.35">
      <c r="A270" s="289" t="s">
        <v>905</v>
      </c>
      <c r="B270" s="156">
        <v>1</v>
      </c>
      <c r="C270" s="156" t="s">
        <v>99</v>
      </c>
      <c r="D270" s="339">
        <v>0.2</v>
      </c>
      <c r="E270" s="339">
        <v>0.6</v>
      </c>
      <c r="F270" s="339">
        <v>2.95</v>
      </c>
      <c r="G270" s="5">
        <f t="shared" si="38"/>
        <v>4.7200000000000006</v>
      </c>
      <c r="H270" s="4">
        <f t="shared" si="39"/>
        <v>0.35400000000000004</v>
      </c>
      <c r="I270" s="283"/>
      <c r="J270" s="283"/>
      <c r="K270" s="282"/>
      <c r="Q270" s="498"/>
      <c r="R270" s="498"/>
      <c r="S270" s="498"/>
      <c r="T270" s="498"/>
      <c r="U270" s="203"/>
      <c r="V270" s="203"/>
    </row>
    <row r="271" spans="1:22" ht="15" thickBot="1" x14ac:dyDescent="0.35">
      <c r="A271" s="289" t="s">
        <v>906</v>
      </c>
      <c r="B271" s="156">
        <v>1</v>
      </c>
      <c r="C271" s="156" t="s">
        <v>99</v>
      </c>
      <c r="D271" s="339">
        <v>0.15</v>
      </c>
      <c r="E271" s="339">
        <v>0.95</v>
      </c>
      <c r="F271" s="339">
        <v>2.95</v>
      </c>
      <c r="G271" s="5">
        <f t="shared" si="38"/>
        <v>6.4899999999999993</v>
      </c>
      <c r="H271" s="4">
        <f t="shared" si="39"/>
        <v>0.420375</v>
      </c>
      <c r="I271" s="283"/>
      <c r="J271" s="283"/>
      <c r="K271" s="282"/>
      <c r="Q271" s="498"/>
      <c r="R271" s="498"/>
      <c r="S271" s="498"/>
      <c r="T271" s="498"/>
      <c r="U271" s="203"/>
      <c r="V271" s="203"/>
    </row>
    <row r="272" spans="1:22" ht="15" thickBot="1" x14ac:dyDescent="0.35">
      <c r="A272" s="289" t="s">
        <v>907</v>
      </c>
      <c r="B272" s="156">
        <v>1</v>
      </c>
      <c r="C272" s="156" t="s">
        <v>99</v>
      </c>
      <c r="D272" s="339">
        <v>0.25</v>
      </c>
      <c r="E272" s="339">
        <v>0.95</v>
      </c>
      <c r="F272" s="339">
        <v>2.95</v>
      </c>
      <c r="G272" s="5">
        <f t="shared" si="38"/>
        <v>7.08</v>
      </c>
      <c r="H272" s="4">
        <f t="shared" si="39"/>
        <v>0.70062500000000005</v>
      </c>
      <c r="I272" s="283"/>
      <c r="J272" s="283"/>
      <c r="K272" s="282"/>
      <c r="Q272" s="498"/>
      <c r="R272" s="498"/>
      <c r="S272" s="498"/>
      <c r="T272" s="498"/>
      <c r="U272" s="203"/>
      <c r="V272" s="203"/>
    </row>
    <row r="273" spans="1:22" ht="15" thickBot="1" x14ac:dyDescent="0.35">
      <c r="A273" s="289" t="s">
        <v>908</v>
      </c>
      <c r="B273" s="156">
        <v>1</v>
      </c>
      <c r="C273" s="156" t="s">
        <v>99</v>
      </c>
      <c r="D273" s="339">
        <v>0.2</v>
      </c>
      <c r="E273" s="339">
        <v>0.25</v>
      </c>
      <c r="F273" s="339">
        <v>2.95</v>
      </c>
      <c r="G273" s="5">
        <f t="shared" si="38"/>
        <v>2.6550000000000002</v>
      </c>
      <c r="H273" s="4">
        <f t="shared" si="39"/>
        <v>0.14750000000000002</v>
      </c>
      <c r="I273" s="283"/>
      <c r="J273" s="283"/>
      <c r="K273" s="282"/>
      <c r="Q273" s="498"/>
      <c r="R273" s="498"/>
      <c r="S273" s="498"/>
      <c r="T273" s="498"/>
      <c r="U273" s="203"/>
      <c r="V273" s="203"/>
    </row>
    <row r="274" spans="1:22" ht="15" thickBot="1" x14ac:dyDescent="0.35">
      <c r="A274" s="289" t="s">
        <v>909</v>
      </c>
      <c r="B274" s="156">
        <v>1</v>
      </c>
      <c r="C274" s="156" t="s">
        <v>99</v>
      </c>
      <c r="D274" s="339">
        <v>0.2</v>
      </c>
      <c r="E274" s="339">
        <v>0.25</v>
      </c>
      <c r="F274" s="339">
        <v>2.95</v>
      </c>
      <c r="G274" s="5">
        <f t="shared" si="38"/>
        <v>2.6550000000000002</v>
      </c>
      <c r="H274" s="4">
        <f t="shared" si="39"/>
        <v>0.14750000000000002</v>
      </c>
      <c r="I274" s="283"/>
      <c r="J274" s="283"/>
      <c r="K274" s="282"/>
      <c r="Q274" s="498"/>
      <c r="R274" s="498"/>
      <c r="S274" s="498"/>
      <c r="T274" s="498"/>
      <c r="U274" s="203"/>
      <c r="V274" s="203"/>
    </row>
    <row r="275" spans="1:22" ht="15" thickBot="1" x14ac:dyDescent="0.35">
      <c r="A275" s="289" t="s">
        <v>910</v>
      </c>
      <c r="B275" s="156">
        <v>1</v>
      </c>
      <c r="C275" s="156" t="s">
        <v>99</v>
      </c>
      <c r="D275" s="339">
        <v>0.15</v>
      </c>
      <c r="E275" s="339">
        <v>0.25</v>
      </c>
      <c r="F275" s="339">
        <v>2.95</v>
      </c>
      <c r="G275" s="5">
        <f t="shared" si="38"/>
        <v>2.3600000000000003</v>
      </c>
      <c r="H275" s="4">
        <f t="shared" si="39"/>
        <v>0.110625</v>
      </c>
      <c r="I275" s="283"/>
      <c r="J275" s="283"/>
      <c r="K275" s="282"/>
      <c r="Q275" s="498"/>
      <c r="R275" s="498"/>
      <c r="S275" s="498"/>
      <c r="T275" s="498"/>
      <c r="U275" s="203"/>
      <c r="V275" s="203"/>
    </row>
    <row r="276" spans="1:22" ht="15" thickBot="1" x14ac:dyDescent="0.35">
      <c r="A276" s="289" t="s">
        <v>911</v>
      </c>
      <c r="B276" s="156">
        <v>1</v>
      </c>
      <c r="C276" s="156" t="s">
        <v>99</v>
      </c>
      <c r="D276" s="339">
        <v>0.15</v>
      </c>
      <c r="E276" s="339">
        <v>0.25</v>
      </c>
      <c r="F276" s="339">
        <v>2.95</v>
      </c>
      <c r="G276" s="5">
        <f t="shared" si="38"/>
        <v>2.3600000000000003</v>
      </c>
      <c r="H276" s="4">
        <f t="shared" si="39"/>
        <v>0.110625</v>
      </c>
      <c r="I276" s="283"/>
      <c r="J276" s="283"/>
      <c r="K276" s="282"/>
      <c r="Q276" s="498"/>
      <c r="R276" s="498"/>
      <c r="S276" s="498"/>
      <c r="T276" s="498"/>
      <c r="U276" s="203"/>
      <c r="V276" s="203"/>
    </row>
    <row r="277" spans="1:22" ht="15" thickBot="1" x14ac:dyDescent="0.35">
      <c r="A277" s="289" t="s">
        <v>912</v>
      </c>
      <c r="B277" s="156">
        <v>1</v>
      </c>
      <c r="C277" s="156" t="s">
        <v>99</v>
      </c>
      <c r="D277" s="339">
        <v>0.15</v>
      </c>
      <c r="E277" s="339">
        <v>0.25</v>
      </c>
      <c r="F277" s="339">
        <v>2.95</v>
      </c>
      <c r="G277" s="5">
        <f t="shared" si="38"/>
        <v>2.3600000000000003</v>
      </c>
      <c r="H277" s="4">
        <f t="shared" si="39"/>
        <v>0.110625</v>
      </c>
      <c r="I277" s="283"/>
      <c r="J277" s="283"/>
      <c r="K277" s="282"/>
      <c r="Q277" s="498"/>
      <c r="R277" s="498"/>
      <c r="S277" s="498"/>
      <c r="T277" s="498"/>
      <c r="U277" s="203"/>
      <c r="V277" s="203"/>
    </row>
    <row r="278" spans="1:22" ht="15" thickBot="1" x14ac:dyDescent="0.35">
      <c r="A278" s="289" t="s">
        <v>913</v>
      </c>
      <c r="B278" s="156">
        <v>1</v>
      </c>
      <c r="C278" s="156" t="s">
        <v>99</v>
      </c>
      <c r="D278" s="339">
        <v>0.15</v>
      </c>
      <c r="E278" s="339">
        <v>0.25</v>
      </c>
      <c r="F278" s="339">
        <v>2.95</v>
      </c>
      <c r="G278" s="5">
        <f t="shared" si="38"/>
        <v>2.3600000000000003</v>
      </c>
      <c r="H278" s="4">
        <f t="shared" si="39"/>
        <v>0.110625</v>
      </c>
      <c r="I278" s="283"/>
      <c r="J278" s="283"/>
      <c r="K278" s="282"/>
      <c r="Q278" s="498"/>
      <c r="R278" s="498"/>
      <c r="S278" s="498"/>
      <c r="T278" s="498"/>
      <c r="U278" s="203"/>
      <c r="V278" s="203"/>
    </row>
    <row r="279" spans="1:22" ht="15" thickBot="1" x14ac:dyDescent="0.35">
      <c r="A279" s="289" t="s">
        <v>871</v>
      </c>
      <c r="B279" s="156">
        <v>1</v>
      </c>
      <c r="C279" s="156" t="s">
        <v>184</v>
      </c>
      <c r="D279" s="339">
        <v>0.2</v>
      </c>
      <c r="E279" s="339">
        <v>0.8</v>
      </c>
      <c r="F279" s="339">
        <v>0.9</v>
      </c>
      <c r="G279" s="5">
        <f t="shared" si="38"/>
        <v>1.8</v>
      </c>
      <c r="H279" s="4">
        <f t="shared" si="39"/>
        <v>0.14400000000000002</v>
      </c>
      <c r="I279" s="283"/>
      <c r="J279" s="283"/>
      <c r="K279" s="282"/>
      <c r="Q279" s="498"/>
      <c r="R279" s="498"/>
      <c r="S279" s="498"/>
      <c r="T279" s="498"/>
      <c r="U279" s="203"/>
      <c r="V279" s="203"/>
    </row>
    <row r="280" spans="1:22" ht="15" thickBot="1" x14ac:dyDescent="0.35">
      <c r="A280" s="289" t="s">
        <v>872</v>
      </c>
      <c r="B280" s="156">
        <v>1</v>
      </c>
      <c r="C280" s="156" t="s">
        <v>184</v>
      </c>
      <c r="D280" s="339">
        <v>0.15</v>
      </c>
      <c r="E280" s="339">
        <v>0.4</v>
      </c>
      <c r="F280" s="339">
        <v>0.9</v>
      </c>
      <c r="G280" s="5">
        <f t="shared" si="38"/>
        <v>0.9900000000000001</v>
      </c>
      <c r="H280" s="4">
        <f t="shared" si="39"/>
        <v>5.4000000000000006E-2</v>
      </c>
      <c r="I280" s="283"/>
      <c r="J280" s="283"/>
      <c r="K280" s="282"/>
      <c r="Q280" s="498"/>
      <c r="R280" s="498"/>
      <c r="S280" s="498"/>
      <c r="T280" s="498"/>
      <c r="U280" s="203"/>
      <c r="V280" s="203"/>
    </row>
    <row r="281" spans="1:22" ht="15" thickBot="1" x14ac:dyDescent="0.35">
      <c r="A281" s="289" t="s">
        <v>873</v>
      </c>
      <c r="B281" s="156">
        <v>1</v>
      </c>
      <c r="C281" s="156" t="s">
        <v>184</v>
      </c>
      <c r="D281" s="339">
        <v>0.15</v>
      </c>
      <c r="E281" s="339">
        <v>0.4</v>
      </c>
      <c r="F281" s="339">
        <v>0.9</v>
      </c>
      <c r="G281" s="5">
        <f t="shared" si="38"/>
        <v>0.9900000000000001</v>
      </c>
      <c r="H281" s="4">
        <f t="shared" si="39"/>
        <v>5.4000000000000006E-2</v>
      </c>
      <c r="I281" s="283"/>
      <c r="J281" s="283"/>
      <c r="K281" s="282"/>
      <c r="Q281" s="498"/>
      <c r="R281" s="498"/>
      <c r="S281" s="498"/>
      <c r="T281" s="498"/>
      <c r="U281" s="203"/>
      <c r="V281" s="203"/>
    </row>
    <row r="282" spans="1:22" ht="15" thickBot="1" x14ac:dyDescent="0.35">
      <c r="A282" s="289" t="s">
        <v>874</v>
      </c>
      <c r="B282" s="156">
        <v>1</v>
      </c>
      <c r="C282" s="156" t="s">
        <v>184</v>
      </c>
      <c r="D282" s="339">
        <v>0.2</v>
      </c>
      <c r="E282" s="339">
        <v>0.5</v>
      </c>
      <c r="F282" s="339">
        <v>0.9</v>
      </c>
      <c r="G282" s="5">
        <f t="shared" si="38"/>
        <v>1.26</v>
      </c>
      <c r="H282" s="4">
        <f t="shared" si="39"/>
        <v>9.0000000000000011E-2</v>
      </c>
      <c r="I282" s="283"/>
      <c r="J282" s="283"/>
      <c r="K282" s="282"/>
      <c r="Q282" s="498"/>
      <c r="R282" s="498"/>
      <c r="S282" s="498"/>
      <c r="T282" s="498"/>
      <c r="U282" s="203"/>
      <c r="V282" s="203"/>
    </row>
    <row r="283" spans="1:22" ht="15" thickBot="1" x14ac:dyDescent="0.35">
      <c r="A283" s="289" t="s">
        <v>875</v>
      </c>
      <c r="B283" s="156">
        <v>1</v>
      </c>
      <c r="C283" s="156" t="s">
        <v>184</v>
      </c>
      <c r="D283" s="339">
        <v>0.15</v>
      </c>
      <c r="E283" s="339">
        <v>0.4</v>
      </c>
      <c r="F283" s="339">
        <v>0.9</v>
      </c>
      <c r="G283" s="5">
        <f t="shared" si="34"/>
        <v>0.9900000000000001</v>
      </c>
      <c r="H283" s="4">
        <f t="shared" si="35"/>
        <v>5.4000000000000006E-2</v>
      </c>
      <c r="I283" s="283"/>
      <c r="J283" s="283"/>
      <c r="K283" s="282"/>
      <c r="Q283" s="498"/>
      <c r="R283" s="498"/>
      <c r="S283" s="498"/>
      <c r="T283" s="498"/>
      <c r="U283" s="203"/>
      <c r="V283" s="203"/>
    </row>
    <row r="284" spans="1:22" ht="15" thickBot="1" x14ac:dyDescent="0.35">
      <c r="A284" s="289" t="s">
        <v>876</v>
      </c>
      <c r="B284" s="156">
        <v>1</v>
      </c>
      <c r="C284" s="156" t="s">
        <v>184</v>
      </c>
      <c r="D284" s="339">
        <v>0.15</v>
      </c>
      <c r="E284" s="339">
        <v>0.4</v>
      </c>
      <c r="F284" s="339">
        <v>0.9</v>
      </c>
      <c r="G284" s="5">
        <f t="shared" si="34"/>
        <v>0.9900000000000001</v>
      </c>
      <c r="H284" s="4">
        <f t="shared" si="35"/>
        <v>5.4000000000000006E-2</v>
      </c>
      <c r="I284" s="283"/>
      <c r="J284" s="283"/>
      <c r="K284" s="282"/>
      <c r="Q284" s="498"/>
      <c r="R284" s="498"/>
      <c r="S284" s="498"/>
      <c r="T284" s="498"/>
      <c r="U284" s="203"/>
      <c r="V284" s="203"/>
    </row>
    <row r="285" spans="1:22" ht="15" thickBot="1" x14ac:dyDescent="0.35">
      <c r="A285" s="289" t="s">
        <v>877</v>
      </c>
      <c r="B285" s="156">
        <v>1</v>
      </c>
      <c r="C285" s="156" t="s">
        <v>184</v>
      </c>
      <c r="D285" s="339">
        <v>0.25</v>
      </c>
      <c r="E285" s="339">
        <v>0.5</v>
      </c>
      <c r="F285" s="339">
        <v>0.9</v>
      </c>
      <c r="G285" s="5">
        <f t="shared" si="34"/>
        <v>1.35</v>
      </c>
      <c r="H285" s="4">
        <f t="shared" si="35"/>
        <v>0.1125</v>
      </c>
      <c r="I285" s="283"/>
      <c r="J285" s="283"/>
      <c r="K285" s="282"/>
      <c r="Q285" s="498"/>
      <c r="R285" s="498"/>
      <c r="S285" s="498"/>
      <c r="T285" s="498"/>
      <c r="U285" s="203"/>
      <c r="V285" s="203"/>
    </row>
    <row r="286" spans="1:22" ht="15" thickBot="1" x14ac:dyDescent="0.35">
      <c r="A286" s="289" t="s">
        <v>879</v>
      </c>
      <c r="B286" s="156">
        <v>1</v>
      </c>
      <c r="C286" s="156" t="s">
        <v>184</v>
      </c>
      <c r="D286" s="339">
        <v>0.15</v>
      </c>
      <c r="E286" s="339">
        <v>0.4</v>
      </c>
      <c r="F286" s="339">
        <v>0.9</v>
      </c>
      <c r="G286" s="5">
        <f t="shared" si="34"/>
        <v>0.9900000000000001</v>
      </c>
      <c r="H286" s="4">
        <f t="shared" si="35"/>
        <v>5.4000000000000006E-2</v>
      </c>
      <c r="I286" s="283"/>
      <c r="J286" s="283"/>
      <c r="K286" s="282"/>
      <c r="Q286" s="498"/>
      <c r="R286" s="498"/>
      <c r="S286" s="498"/>
      <c r="T286" s="498"/>
      <c r="U286" s="203"/>
      <c r="V286" s="203"/>
    </row>
    <row r="287" spans="1:22" ht="15" thickBot="1" x14ac:dyDescent="0.35">
      <c r="A287" s="289" t="s">
        <v>880</v>
      </c>
      <c r="B287" s="156">
        <v>1</v>
      </c>
      <c r="C287" s="156" t="s">
        <v>184</v>
      </c>
      <c r="D287" s="339">
        <v>0.2</v>
      </c>
      <c r="E287" s="339">
        <v>0.6</v>
      </c>
      <c r="F287" s="339">
        <v>0.9</v>
      </c>
      <c r="G287" s="5">
        <f t="shared" ref="G287:G291" si="40">(((2*D287+2*E287)*F287))*B287</f>
        <v>1.4400000000000002</v>
      </c>
      <c r="H287" s="4">
        <f t="shared" ref="H287:H291" si="41">F287*E287*D287*B287</f>
        <v>0.10800000000000001</v>
      </c>
      <c r="I287" s="283"/>
      <c r="J287" s="283"/>
      <c r="K287" s="282"/>
      <c r="Q287" s="498"/>
      <c r="R287" s="498"/>
      <c r="S287" s="498"/>
      <c r="T287" s="498"/>
      <c r="U287" s="203"/>
      <c r="V287" s="203"/>
    </row>
    <row r="288" spans="1:22" ht="15" thickBot="1" x14ac:dyDescent="0.35">
      <c r="A288" s="289" t="s">
        <v>881</v>
      </c>
      <c r="B288" s="156">
        <v>1</v>
      </c>
      <c r="C288" s="156" t="s">
        <v>184</v>
      </c>
      <c r="D288" s="339">
        <v>0.15</v>
      </c>
      <c r="E288" s="339">
        <v>0.4</v>
      </c>
      <c r="F288" s="339">
        <v>0.9</v>
      </c>
      <c r="G288" s="5">
        <f t="shared" si="40"/>
        <v>0.9900000000000001</v>
      </c>
      <c r="H288" s="4">
        <f t="shared" si="41"/>
        <v>5.4000000000000006E-2</v>
      </c>
      <c r="I288" s="283"/>
      <c r="J288" s="283"/>
      <c r="K288" s="282"/>
      <c r="Q288" s="498"/>
      <c r="R288" s="498"/>
      <c r="S288" s="498"/>
      <c r="T288" s="498"/>
      <c r="U288" s="203"/>
      <c r="V288" s="203"/>
    </row>
    <row r="289" spans="1:22" ht="15" thickBot="1" x14ac:dyDescent="0.35">
      <c r="A289" s="289" t="s">
        <v>882</v>
      </c>
      <c r="B289" s="156">
        <v>1</v>
      </c>
      <c r="C289" s="156" t="s">
        <v>184</v>
      </c>
      <c r="D289" s="339">
        <v>0.15</v>
      </c>
      <c r="E289" s="339">
        <v>0.4</v>
      </c>
      <c r="F289" s="339">
        <v>0.9</v>
      </c>
      <c r="G289" s="5">
        <f t="shared" si="40"/>
        <v>0.9900000000000001</v>
      </c>
      <c r="H289" s="4">
        <f t="shared" si="41"/>
        <v>5.4000000000000006E-2</v>
      </c>
      <c r="I289" s="283"/>
      <c r="J289" s="283"/>
      <c r="K289" s="282"/>
      <c r="Q289" s="498"/>
      <c r="R289" s="498"/>
      <c r="S289" s="498"/>
      <c r="T289" s="498"/>
      <c r="U289" s="203"/>
      <c r="V289" s="203"/>
    </row>
    <row r="290" spans="1:22" ht="15" thickBot="1" x14ac:dyDescent="0.35">
      <c r="A290" s="289" t="s">
        <v>883</v>
      </c>
      <c r="B290" s="156">
        <v>1</v>
      </c>
      <c r="C290" s="156" t="s">
        <v>184</v>
      </c>
      <c r="D290" s="339">
        <v>0.2</v>
      </c>
      <c r="E290" s="339">
        <v>0.6</v>
      </c>
      <c r="F290" s="339">
        <v>0.9</v>
      </c>
      <c r="G290" s="5">
        <f t="shared" si="40"/>
        <v>1.4400000000000002</v>
      </c>
      <c r="H290" s="4">
        <f t="shared" si="41"/>
        <v>0.10800000000000001</v>
      </c>
      <c r="I290" s="283"/>
      <c r="J290" s="283"/>
      <c r="K290" s="282"/>
      <c r="Q290" s="498"/>
      <c r="R290" s="498"/>
      <c r="S290" s="498"/>
      <c r="T290" s="498"/>
      <c r="U290" s="203"/>
      <c r="V290" s="203"/>
    </row>
    <row r="291" spans="1:22" ht="15" thickBot="1" x14ac:dyDescent="0.35">
      <c r="A291" s="289" t="s">
        <v>884</v>
      </c>
      <c r="B291" s="156">
        <v>1</v>
      </c>
      <c r="C291" s="156" t="s">
        <v>184</v>
      </c>
      <c r="D291" s="339">
        <v>0.15</v>
      </c>
      <c r="E291" s="339">
        <v>0.4</v>
      </c>
      <c r="F291" s="339">
        <v>0.9</v>
      </c>
      <c r="G291" s="5">
        <f t="shared" si="40"/>
        <v>0.9900000000000001</v>
      </c>
      <c r="H291" s="4">
        <f t="shared" si="41"/>
        <v>5.4000000000000006E-2</v>
      </c>
      <c r="I291" s="283"/>
      <c r="J291" s="283"/>
      <c r="K291" s="282"/>
      <c r="Q291" s="498"/>
      <c r="R291" s="498"/>
      <c r="S291" s="498"/>
      <c r="T291" s="498"/>
      <c r="U291" s="203"/>
      <c r="V291" s="203"/>
    </row>
    <row r="292" spans="1:22" ht="15" thickBot="1" x14ac:dyDescent="0.35">
      <c r="A292" s="289" t="s">
        <v>889</v>
      </c>
      <c r="B292" s="156">
        <v>1</v>
      </c>
      <c r="C292" s="156" t="s">
        <v>184</v>
      </c>
      <c r="D292" s="339">
        <v>0.25</v>
      </c>
      <c r="E292" s="339">
        <v>0.7</v>
      </c>
      <c r="F292" s="339">
        <v>0.9</v>
      </c>
      <c r="G292" s="5">
        <f t="shared" ref="G292:G296" si="42">(((2*D292+2*E292)*F292))*B292</f>
        <v>1.71</v>
      </c>
      <c r="H292" s="4">
        <f t="shared" ref="H292:H296" si="43">F292*E292*D292*B292</f>
        <v>0.1575</v>
      </c>
      <c r="I292" s="283"/>
      <c r="J292" s="283"/>
      <c r="K292" s="282"/>
      <c r="Q292" s="498"/>
      <c r="R292" s="498"/>
      <c r="S292" s="498"/>
      <c r="T292" s="498"/>
      <c r="U292" s="203"/>
      <c r="V292" s="203"/>
    </row>
    <row r="293" spans="1:22" ht="15" thickBot="1" x14ac:dyDescent="0.35">
      <c r="A293" s="289" t="s">
        <v>893</v>
      </c>
      <c r="B293" s="156">
        <v>1</v>
      </c>
      <c r="C293" s="156" t="s">
        <v>184</v>
      </c>
      <c r="D293" s="339">
        <v>0.25</v>
      </c>
      <c r="E293" s="339">
        <v>0.7</v>
      </c>
      <c r="F293" s="339">
        <v>0.9</v>
      </c>
      <c r="G293" s="5">
        <f t="shared" si="42"/>
        <v>1.71</v>
      </c>
      <c r="H293" s="4">
        <f t="shared" si="43"/>
        <v>0.1575</v>
      </c>
      <c r="I293" s="283"/>
      <c r="J293" s="283"/>
      <c r="K293" s="282"/>
      <c r="Q293" s="498"/>
      <c r="R293" s="498"/>
      <c r="S293" s="498"/>
      <c r="T293" s="498"/>
      <c r="U293" s="203"/>
      <c r="V293" s="203"/>
    </row>
    <row r="294" spans="1:22" ht="15" thickBot="1" x14ac:dyDescent="0.35">
      <c r="A294" s="289" t="s">
        <v>899</v>
      </c>
      <c r="B294" s="156">
        <v>1</v>
      </c>
      <c r="C294" s="156" t="s">
        <v>184</v>
      </c>
      <c r="D294" s="339">
        <v>0.15</v>
      </c>
      <c r="E294" s="339">
        <v>0.95</v>
      </c>
      <c r="F294" s="339">
        <v>0.9</v>
      </c>
      <c r="G294" s="5">
        <f t="shared" si="42"/>
        <v>1.9799999999999998</v>
      </c>
      <c r="H294" s="4">
        <f t="shared" si="43"/>
        <v>0.12825</v>
      </c>
      <c r="I294" s="283"/>
      <c r="J294" s="283"/>
      <c r="K294" s="282"/>
      <c r="Q294" s="498"/>
      <c r="R294" s="498"/>
      <c r="S294" s="498"/>
      <c r="T294" s="498"/>
      <c r="U294" s="203"/>
      <c r="V294" s="203"/>
    </row>
    <row r="295" spans="1:22" ht="15" thickBot="1" x14ac:dyDescent="0.35">
      <c r="A295" s="289" t="s">
        <v>900</v>
      </c>
      <c r="B295" s="156">
        <v>1</v>
      </c>
      <c r="C295" s="156" t="s">
        <v>184</v>
      </c>
      <c r="D295" s="339">
        <v>0.15</v>
      </c>
      <c r="E295" s="339">
        <v>0.4</v>
      </c>
      <c r="F295" s="339">
        <v>0.9</v>
      </c>
      <c r="G295" s="5">
        <f t="shared" si="42"/>
        <v>0.9900000000000001</v>
      </c>
      <c r="H295" s="4">
        <f t="shared" si="43"/>
        <v>5.4000000000000006E-2</v>
      </c>
      <c r="I295" s="283"/>
      <c r="J295" s="283"/>
      <c r="K295" s="282"/>
      <c r="Q295" s="498"/>
      <c r="R295" s="498"/>
      <c r="S295" s="498"/>
      <c r="T295" s="498"/>
      <c r="U295" s="203"/>
      <c r="V295" s="203"/>
    </row>
    <row r="296" spans="1:22" ht="15" thickBot="1" x14ac:dyDescent="0.35">
      <c r="A296" s="289" t="s">
        <v>902</v>
      </c>
      <c r="B296" s="156">
        <v>1</v>
      </c>
      <c r="C296" s="156" t="s">
        <v>184</v>
      </c>
      <c r="D296" s="339">
        <v>0.15</v>
      </c>
      <c r="E296" s="339">
        <v>0.4</v>
      </c>
      <c r="F296" s="339">
        <v>0.9</v>
      </c>
      <c r="G296" s="5">
        <f t="shared" si="42"/>
        <v>0.9900000000000001</v>
      </c>
      <c r="H296" s="4">
        <f t="shared" si="43"/>
        <v>5.4000000000000006E-2</v>
      </c>
      <c r="I296" s="283"/>
      <c r="J296" s="283"/>
      <c r="K296" s="282"/>
      <c r="Q296" s="498"/>
      <c r="R296" s="498"/>
      <c r="S296" s="498"/>
      <c r="T296" s="498"/>
      <c r="U296" s="203"/>
      <c r="V296" s="203"/>
    </row>
    <row r="297" spans="1:22" ht="15" thickBot="1" x14ac:dyDescent="0.35">
      <c r="A297" s="289" t="s">
        <v>903</v>
      </c>
      <c r="B297" s="156">
        <v>1</v>
      </c>
      <c r="C297" s="156" t="s">
        <v>184</v>
      </c>
      <c r="D297" s="339">
        <v>0.15</v>
      </c>
      <c r="E297" s="339">
        <v>0.95</v>
      </c>
      <c r="F297" s="339">
        <v>0.9</v>
      </c>
      <c r="G297" s="5">
        <f t="shared" si="34"/>
        <v>1.9799999999999998</v>
      </c>
      <c r="H297" s="4">
        <f t="shared" si="35"/>
        <v>0.12825</v>
      </c>
      <c r="I297" s="283"/>
      <c r="J297" s="283"/>
      <c r="K297" s="282"/>
      <c r="Q297" s="497"/>
      <c r="R297" s="497"/>
      <c r="S297" s="497"/>
      <c r="T297" s="497"/>
      <c r="U297" s="203"/>
      <c r="V297" s="203"/>
    </row>
    <row r="298" spans="1:22" ht="15" thickBot="1" x14ac:dyDescent="0.35">
      <c r="A298" s="289" t="s">
        <v>904</v>
      </c>
      <c r="B298" s="156">
        <v>1</v>
      </c>
      <c r="C298" s="156" t="s">
        <v>184</v>
      </c>
      <c r="D298" s="339">
        <v>0.15</v>
      </c>
      <c r="E298" s="339">
        <v>0.4</v>
      </c>
      <c r="F298" s="339">
        <v>0.9</v>
      </c>
      <c r="G298" s="5">
        <f t="shared" ref="G298:G371" si="44">(((2*D298+2*E298)*F298))*B298</f>
        <v>0.9900000000000001</v>
      </c>
      <c r="H298" s="4">
        <f t="shared" ref="H298:H371" si="45">F298*E298*D298*B298</f>
        <v>5.4000000000000006E-2</v>
      </c>
      <c r="I298" s="283"/>
      <c r="J298" s="283"/>
      <c r="K298" s="282"/>
      <c r="Q298" s="499"/>
      <c r="R298" s="499"/>
      <c r="S298" s="499"/>
      <c r="T298" s="499"/>
      <c r="U298" s="203"/>
      <c r="V298" s="203"/>
    </row>
    <row r="299" spans="1:22" ht="15" thickBot="1" x14ac:dyDescent="0.35">
      <c r="A299" s="289" t="s">
        <v>906</v>
      </c>
      <c r="B299" s="156">
        <v>1</v>
      </c>
      <c r="C299" s="156" t="s">
        <v>184</v>
      </c>
      <c r="D299" s="339">
        <v>0.15</v>
      </c>
      <c r="E299" s="339">
        <v>0.4</v>
      </c>
      <c r="F299" s="339">
        <v>0.9</v>
      </c>
      <c r="G299" s="5">
        <f t="shared" si="44"/>
        <v>0.9900000000000001</v>
      </c>
      <c r="H299" s="4">
        <f t="shared" si="45"/>
        <v>5.4000000000000006E-2</v>
      </c>
      <c r="I299" s="283"/>
      <c r="J299" s="283"/>
      <c r="K299" s="282"/>
      <c r="Q299" s="499"/>
      <c r="R299" s="499"/>
      <c r="S299" s="499"/>
      <c r="T299" s="499"/>
      <c r="U299" s="203"/>
      <c r="V299" s="203"/>
    </row>
    <row r="300" spans="1:22" ht="15" thickBot="1" x14ac:dyDescent="0.35">
      <c r="A300" s="289" t="s">
        <v>907</v>
      </c>
      <c r="B300" s="156">
        <v>1</v>
      </c>
      <c r="C300" s="156" t="s">
        <v>184</v>
      </c>
      <c r="D300" s="339">
        <v>0.25</v>
      </c>
      <c r="E300" s="339">
        <v>0.95</v>
      </c>
      <c r="F300" s="339">
        <v>0.9</v>
      </c>
      <c r="G300" s="5">
        <f t="shared" si="44"/>
        <v>2.16</v>
      </c>
      <c r="H300" s="4">
        <f t="shared" si="45"/>
        <v>0.21375</v>
      </c>
      <c r="I300" s="283"/>
      <c r="J300" s="283"/>
      <c r="K300" s="282"/>
      <c r="Q300" s="499"/>
      <c r="R300" s="499"/>
      <c r="S300" s="499"/>
      <c r="T300" s="499"/>
      <c r="U300" s="203"/>
      <c r="V300" s="203"/>
    </row>
    <row r="301" spans="1:22" ht="15" thickBot="1" x14ac:dyDescent="0.35">
      <c r="A301" s="289" t="s">
        <v>908</v>
      </c>
      <c r="B301" s="156">
        <v>1</v>
      </c>
      <c r="C301" s="156" t="s">
        <v>184</v>
      </c>
      <c r="D301" s="339">
        <v>0.2</v>
      </c>
      <c r="E301" s="339">
        <v>0.25</v>
      </c>
      <c r="F301" s="339">
        <v>0.9</v>
      </c>
      <c r="G301" s="5">
        <f t="shared" si="44"/>
        <v>0.81</v>
      </c>
      <c r="H301" s="4">
        <f t="shared" si="45"/>
        <v>4.5000000000000005E-2</v>
      </c>
      <c r="I301" s="283"/>
      <c r="J301" s="283"/>
      <c r="K301" s="282"/>
      <c r="Q301" s="499"/>
      <c r="R301" s="499"/>
      <c r="S301" s="499"/>
      <c r="T301" s="499"/>
      <c r="U301" s="203"/>
      <c r="V301" s="203"/>
    </row>
    <row r="302" spans="1:22" ht="15" thickBot="1" x14ac:dyDescent="0.35">
      <c r="A302" s="289" t="s">
        <v>909</v>
      </c>
      <c r="B302" s="156">
        <v>1</v>
      </c>
      <c r="C302" s="156" t="s">
        <v>184</v>
      </c>
      <c r="D302" s="339">
        <v>0.2</v>
      </c>
      <c r="E302" s="339">
        <v>0.25</v>
      </c>
      <c r="F302" s="339">
        <v>0.9</v>
      </c>
      <c r="G302" s="5">
        <f t="shared" si="44"/>
        <v>0.81</v>
      </c>
      <c r="H302" s="4">
        <f t="shared" si="45"/>
        <v>4.5000000000000005E-2</v>
      </c>
      <c r="I302" s="283"/>
      <c r="J302" s="283"/>
      <c r="K302" s="282"/>
      <c r="Q302" s="499"/>
      <c r="R302" s="499"/>
      <c r="S302" s="499"/>
      <c r="T302" s="499"/>
      <c r="U302" s="203"/>
      <c r="V302" s="203"/>
    </row>
    <row r="303" spans="1:22" ht="15" thickBot="1" x14ac:dyDescent="0.35">
      <c r="A303" s="289" t="s">
        <v>910</v>
      </c>
      <c r="B303" s="156">
        <v>1</v>
      </c>
      <c r="C303" s="156" t="s">
        <v>184</v>
      </c>
      <c r="D303" s="339">
        <v>0.15</v>
      </c>
      <c r="E303" s="339">
        <v>0.25</v>
      </c>
      <c r="F303" s="339">
        <v>0.9</v>
      </c>
      <c r="G303" s="5">
        <f t="shared" si="44"/>
        <v>0.72000000000000008</v>
      </c>
      <c r="H303" s="4">
        <f t="shared" si="45"/>
        <v>3.3750000000000002E-2</v>
      </c>
      <c r="I303" s="283"/>
      <c r="J303" s="283"/>
      <c r="K303" s="282"/>
      <c r="Q303" s="499"/>
      <c r="R303" s="499"/>
      <c r="S303" s="499"/>
      <c r="T303" s="499"/>
      <c r="U303" s="203"/>
      <c r="V303" s="203"/>
    </row>
    <row r="304" spans="1:22" ht="15" thickBot="1" x14ac:dyDescent="0.35">
      <c r="A304" s="289" t="s">
        <v>911</v>
      </c>
      <c r="B304" s="156">
        <v>1</v>
      </c>
      <c r="C304" s="156" t="s">
        <v>184</v>
      </c>
      <c r="D304" s="339">
        <v>0.15</v>
      </c>
      <c r="E304" s="339">
        <v>0.25</v>
      </c>
      <c r="F304" s="339">
        <v>0.9</v>
      </c>
      <c r="G304" s="5">
        <f t="shared" si="44"/>
        <v>0.72000000000000008</v>
      </c>
      <c r="H304" s="4">
        <f t="shared" si="45"/>
        <v>3.3750000000000002E-2</v>
      </c>
      <c r="I304" s="283"/>
      <c r="J304" s="283"/>
      <c r="K304" s="282"/>
      <c r="Q304" s="499"/>
      <c r="R304" s="499"/>
      <c r="S304" s="499"/>
      <c r="T304" s="499"/>
      <c r="U304" s="203"/>
      <c r="V304" s="203"/>
    </row>
    <row r="305" spans="1:22" ht="15" thickBot="1" x14ac:dyDescent="0.35">
      <c r="A305" s="289" t="s">
        <v>912</v>
      </c>
      <c r="B305" s="156">
        <v>1</v>
      </c>
      <c r="C305" s="156" t="s">
        <v>184</v>
      </c>
      <c r="D305" s="339">
        <v>0.15</v>
      </c>
      <c r="E305" s="339">
        <v>0.25</v>
      </c>
      <c r="F305" s="339">
        <v>0.9</v>
      </c>
      <c r="G305" s="5">
        <f t="shared" si="44"/>
        <v>0.72000000000000008</v>
      </c>
      <c r="H305" s="4">
        <f t="shared" si="45"/>
        <v>3.3750000000000002E-2</v>
      </c>
      <c r="I305" s="283"/>
      <c r="J305" s="283"/>
      <c r="K305" s="282"/>
      <c r="Q305" s="499"/>
      <c r="R305" s="499"/>
      <c r="S305" s="499"/>
      <c r="T305" s="499"/>
      <c r="U305" s="203"/>
      <c r="V305" s="203"/>
    </row>
    <row r="306" spans="1:22" ht="15" thickBot="1" x14ac:dyDescent="0.35">
      <c r="A306" s="289" t="s">
        <v>913</v>
      </c>
      <c r="B306" s="156">
        <v>1</v>
      </c>
      <c r="C306" s="156" t="s">
        <v>184</v>
      </c>
      <c r="D306" s="339">
        <v>0.15</v>
      </c>
      <c r="E306" s="339">
        <v>0.25</v>
      </c>
      <c r="F306" s="339">
        <v>0.9</v>
      </c>
      <c r="G306" s="5">
        <f t="shared" si="44"/>
        <v>0.72000000000000008</v>
      </c>
      <c r="H306" s="4">
        <f t="shared" si="45"/>
        <v>3.3750000000000002E-2</v>
      </c>
      <c r="I306" s="283"/>
      <c r="J306" s="283"/>
      <c r="K306" s="282"/>
      <c r="Q306" s="499"/>
      <c r="R306" s="499"/>
      <c r="S306" s="499"/>
      <c r="T306" s="499"/>
      <c r="U306" s="203"/>
      <c r="V306" s="203"/>
    </row>
    <row r="307" spans="1:22" ht="15" thickBot="1" x14ac:dyDescent="0.35">
      <c r="A307" s="685" t="s">
        <v>930</v>
      </c>
      <c r="B307" s="686"/>
      <c r="C307" s="686"/>
      <c r="D307" s="686"/>
      <c r="E307" s="686"/>
      <c r="F307" s="686"/>
      <c r="G307" s="686"/>
      <c r="H307" s="687"/>
      <c r="I307" s="483"/>
      <c r="J307" s="483"/>
      <c r="K307" s="484"/>
      <c r="Q307" s="500"/>
      <c r="R307" s="500"/>
      <c r="S307" s="500"/>
      <c r="T307" s="500"/>
      <c r="U307" s="203"/>
      <c r="V307" s="203"/>
    </row>
    <row r="308" spans="1:22" ht="15" thickBot="1" x14ac:dyDescent="0.35">
      <c r="A308" s="289" t="s">
        <v>979</v>
      </c>
      <c r="B308" s="156">
        <v>1</v>
      </c>
      <c r="C308" s="156" t="s">
        <v>99</v>
      </c>
      <c r="D308" s="339">
        <v>0.2</v>
      </c>
      <c r="E308" s="339">
        <v>0.4</v>
      </c>
      <c r="F308" s="339">
        <v>2.5</v>
      </c>
      <c r="G308" s="5">
        <f t="shared" si="44"/>
        <v>3.0000000000000004</v>
      </c>
      <c r="H308" s="4">
        <f t="shared" si="45"/>
        <v>0.2</v>
      </c>
      <c r="I308" s="283"/>
      <c r="J308" s="283"/>
      <c r="K308" s="282"/>
      <c r="Q308" s="499"/>
      <c r="R308" s="499"/>
      <c r="S308" s="499"/>
      <c r="T308" s="499"/>
      <c r="U308" s="203"/>
      <c r="V308" s="203"/>
    </row>
    <row r="309" spans="1:22" ht="15" thickBot="1" x14ac:dyDescent="0.35">
      <c r="A309" s="289" t="s">
        <v>980</v>
      </c>
      <c r="B309" s="156">
        <v>1</v>
      </c>
      <c r="C309" s="156" t="s">
        <v>99</v>
      </c>
      <c r="D309" s="339">
        <v>0.2</v>
      </c>
      <c r="E309" s="339">
        <v>0.4</v>
      </c>
      <c r="F309" s="339">
        <v>2.5</v>
      </c>
      <c r="G309" s="5">
        <f t="shared" si="44"/>
        <v>3.0000000000000004</v>
      </c>
      <c r="H309" s="4">
        <f t="shared" si="45"/>
        <v>0.2</v>
      </c>
      <c r="I309" s="283"/>
      <c r="J309" s="283"/>
      <c r="K309" s="282"/>
      <c r="Q309" s="499"/>
      <c r="R309" s="499"/>
      <c r="S309" s="499"/>
      <c r="T309" s="499"/>
      <c r="U309" s="203"/>
      <c r="V309" s="203"/>
    </row>
    <row r="310" spans="1:22" ht="15" thickBot="1" x14ac:dyDescent="0.35">
      <c r="A310" s="289" t="s">
        <v>981</v>
      </c>
      <c r="B310" s="156">
        <v>1</v>
      </c>
      <c r="C310" s="156" t="s">
        <v>99</v>
      </c>
      <c r="D310" s="339">
        <v>0.2</v>
      </c>
      <c r="E310" s="339">
        <v>0.4</v>
      </c>
      <c r="F310" s="339">
        <v>2.5</v>
      </c>
      <c r="G310" s="5">
        <f t="shared" si="44"/>
        <v>3.0000000000000004</v>
      </c>
      <c r="H310" s="4">
        <f t="shared" si="45"/>
        <v>0.2</v>
      </c>
      <c r="I310" s="283"/>
      <c r="J310" s="283"/>
      <c r="K310" s="282"/>
      <c r="Q310" s="499"/>
      <c r="R310" s="499"/>
      <c r="S310" s="499"/>
      <c r="T310" s="499"/>
      <c r="U310" s="203"/>
      <c r="V310" s="203"/>
    </row>
    <row r="311" spans="1:22" ht="15" thickBot="1" x14ac:dyDescent="0.35">
      <c r="A311" s="289" t="s">
        <v>982</v>
      </c>
      <c r="B311" s="156">
        <v>1</v>
      </c>
      <c r="C311" s="156" t="s">
        <v>99</v>
      </c>
      <c r="D311" s="339">
        <v>0.2</v>
      </c>
      <c r="E311" s="339">
        <v>0.4</v>
      </c>
      <c r="F311" s="339">
        <v>2.5</v>
      </c>
      <c r="G311" s="5">
        <f t="shared" si="44"/>
        <v>3.0000000000000004</v>
      </c>
      <c r="H311" s="4">
        <f t="shared" si="45"/>
        <v>0.2</v>
      </c>
      <c r="I311" s="283"/>
      <c r="J311" s="283"/>
      <c r="K311" s="282"/>
      <c r="Q311" s="501"/>
      <c r="R311" s="501"/>
      <c r="S311" s="501"/>
      <c r="T311" s="501"/>
      <c r="U311" s="203"/>
      <c r="V311" s="203"/>
    </row>
    <row r="312" spans="1:22" ht="15" thickBot="1" x14ac:dyDescent="0.35">
      <c r="A312" s="289" t="s">
        <v>983</v>
      </c>
      <c r="B312" s="156">
        <v>1</v>
      </c>
      <c r="C312" s="156" t="s">
        <v>99</v>
      </c>
      <c r="D312" s="339">
        <v>0.2</v>
      </c>
      <c r="E312" s="339">
        <v>0.4</v>
      </c>
      <c r="F312" s="339">
        <v>2.5</v>
      </c>
      <c r="G312" s="5">
        <f t="shared" si="44"/>
        <v>3.0000000000000004</v>
      </c>
      <c r="H312" s="4">
        <f t="shared" si="45"/>
        <v>0.2</v>
      </c>
      <c r="I312" s="283"/>
      <c r="J312" s="283"/>
      <c r="K312" s="282"/>
      <c r="Q312" s="501"/>
      <c r="R312" s="501"/>
      <c r="S312" s="501"/>
      <c r="T312" s="501"/>
      <c r="U312" s="203"/>
      <c r="V312" s="203"/>
    </row>
    <row r="313" spans="1:22" ht="15" thickBot="1" x14ac:dyDescent="0.35">
      <c r="A313" s="289" t="s">
        <v>984</v>
      </c>
      <c r="B313" s="156">
        <v>1</v>
      </c>
      <c r="C313" s="156" t="s">
        <v>99</v>
      </c>
      <c r="D313" s="339">
        <v>0.2</v>
      </c>
      <c r="E313" s="339">
        <v>0.4</v>
      </c>
      <c r="F313" s="339">
        <v>2.5</v>
      </c>
      <c r="G313" s="5">
        <f t="shared" si="44"/>
        <v>3.0000000000000004</v>
      </c>
      <c r="H313" s="4">
        <f t="shared" si="45"/>
        <v>0.2</v>
      </c>
      <c r="I313" s="283"/>
      <c r="J313" s="283"/>
      <c r="K313" s="282"/>
      <c r="Q313" s="501"/>
      <c r="R313" s="501"/>
      <c r="S313" s="501"/>
      <c r="T313" s="501"/>
      <c r="U313" s="203"/>
      <c r="V313" s="203"/>
    </row>
    <row r="314" spans="1:22" ht="15" thickBot="1" x14ac:dyDescent="0.35">
      <c r="A314" s="289" t="s">
        <v>985</v>
      </c>
      <c r="B314" s="156">
        <v>1</v>
      </c>
      <c r="C314" s="156" t="s">
        <v>99</v>
      </c>
      <c r="D314" s="339">
        <v>0.2</v>
      </c>
      <c r="E314" s="339">
        <v>0.4</v>
      </c>
      <c r="F314" s="339">
        <v>2.6</v>
      </c>
      <c r="G314" s="5">
        <f t="shared" si="44"/>
        <v>3.1200000000000006</v>
      </c>
      <c r="H314" s="4">
        <f t="shared" si="45"/>
        <v>0.20800000000000002</v>
      </c>
      <c r="I314" s="283"/>
      <c r="J314" s="283"/>
      <c r="K314" s="282"/>
      <c r="Q314" s="501"/>
      <c r="R314" s="501"/>
      <c r="S314" s="501"/>
      <c r="T314" s="501"/>
      <c r="U314" s="203"/>
      <c r="V314" s="203"/>
    </row>
    <row r="315" spans="1:22" ht="15" thickBot="1" x14ac:dyDescent="0.35">
      <c r="A315" s="289" t="s">
        <v>986</v>
      </c>
      <c r="B315" s="156">
        <v>1</v>
      </c>
      <c r="C315" s="156" t="s">
        <v>99</v>
      </c>
      <c r="D315" s="339">
        <v>0.15</v>
      </c>
      <c r="E315" s="339">
        <v>0.4</v>
      </c>
      <c r="F315" s="339">
        <v>2.6</v>
      </c>
      <c r="G315" s="5">
        <f t="shared" si="44"/>
        <v>2.8600000000000003</v>
      </c>
      <c r="H315" s="4">
        <f t="shared" si="45"/>
        <v>0.156</v>
      </c>
      <c r="I315" s="283"/>
      <c r="J315" s="283"/>
      <c r="K315" s="282"/>
      <c r="Q315" s="501"/>
      <c r="R315" s="501"/>
      <c r="S315" s="501"/>
      <c r="T315" s="501"/>
      <c r="U315" s="203"/>
      <c r="V315" s="203"/>
    </row>
    <row r="316" spans="1:22" ht="15" thickBot="1" x14ac:dyDescent="0.35">
      <c r="A316" s="289" t="s">
        <v>987</v>
      </c>
      <c r="B316" s="156">
        <v>1</v>
      </c>
      <c r="C316" s="156" t="s">
        <v>99</v>
      </c>
      <c r="D316" s="339">
        <v>0.2</v>
      </c>
      <c r="E316" s="339">
        <v>0.4</v>
      </c>
      <c r="F316" s="339">
        <v>2.6</v>
      </c>
      <c r="G316" s="5">
        <f t="shared" si="44"/>
        <v>3.1200000000000006</v>
      </c>
      <c r="H316" s="4">
        <f t="shared" si="45"/>
        <v>0.20800000000000002</v>
      </c>
      <c r="I316" s="283"/>
      <c r="J316" s="283"/>
      <c r="K316" s="282"/>
      <c r="Q316" s="501"/>
      <c r="R316" s="501"/>
      <c r="S316" s="501"/>
      <c r="T316" s="501"/>
      <c r="U316" s="203"/>
      <c r="V316" s="203"/>
    </row>
    <row r="317" spans="1:22" ht="15" thickBot="1" x14ac:dyDescent="0.35">
      <c r="A317" s="289" t="s">
        <v>988</v>
      </c>
      <c r="B317" s="156">
        <v>1</v>
      </c>
      <c r="C317" s="156" t="s">
        <v>99</v>
      </c>
      <c r="D317" s="339">
        <v>0.15</v>
      </c>
      <c r="E317" s="339">
        <v>0.4</v>
      </c>
      <c r="F317" s="339">
        <v>2.6</v>
      </c>
      <c r="G317" s="5">
        <f t="shared" si="44"/>
        <v>2.8600000000000003</v>
      </c>
      <c r="H317" s="4">
        <f t="shared" si="45"/>
        <v>0.156</v>
      </c>
      <c r="I317" s="283"/>
      <c r="J317" s="283"/>
      <c r="K317" s="282"/>
      <c r="Q317" s="501"/>
      <c r="R317" s="501"/>
      <c r="S317" s="501"/>
      <c r="T317" s="501"/>
      <c r="U317" s="203"/>
      <c r="V317" s="203"/>
    </row>
    <row r="318" spans="1:22" ht="15" thickBot="1" x14ac:dyDescent="0.35">
      <c r="A318" s="289" t="s">
        <v>989</v>
      </c>
      <c r="B318" s="156">
        <v>1</v>
      </c>
      <c r="C318" s="156" t="s">
        <v>99</v>
      </c>
      <c r="D318" s="339">
        <v>0.2</v>
      </c>
      <c r="E318" s="339">
        <v>0.4</v>
      </c>
      <c r="F318" s="339">
        <v>2.5</v>
      </c>
      <c r="G318" s="5">
        <f t="shared" si="44"/>
        <v>3.0000000000000004</v>
      </c>
      <c r="H318" s="4">
        <f t="shared" si="45"/>
        <v>0.2</v>
      </c>
      <c r="I318" s="283"/>
      <c r="J318" s="283"/>
      <c r="K318" s="282"/>
      <c r="Q318" s="501"/>
      <c r="R318" s="501"/>
      <c r="S318" s="501"/>
      <c r="T318" s="501"/>
      <c r="U318" s="203"/>
      <c r="V318" s="203"/>
    </row>
    <row r="319" spans="1:22" ht="15" thickBot="1" x14ac:dyDescent="0.35">
      <c r="A319" s="289" t="s">
        <v>990</v>
      </c>
      <c r="B319" s="156">
        <v>1</v>
      </c>
      <c r="C319" s="156" t="s">
        <v>99</v>
      </c>
      <c r="D319" s="339">
        <v>0.15</v>
      </c>
      <c r="E319" s="339">
        <v>0.4</v>
      </c>
      <c r="F319" s="339">
        <v>2.6</v>
      </c>
      <c r="G319" s="5">
        <f t="shared" si="44"/>
        <v>2.8600000000000003</v>
      </c>
      <c r="H319" s="4">
        <f t="shared" si="45"/>
        <v>0.156</v>
      </c>
      <c r="I319" s="283"/>
      <c r="J319" s="283"/>
      <c r="K319" s="282"/>
      <c r="Q319" s="501"/>
      <c r="R319" s="501"/>
      <c r="S319" s="501"/>
      <c r="T319" s="501"/>
      <c r="U319" s="203"/>
      <c r="V319" s="203"/>
    </row>
    <row r="320" spans="1:22" ht="15" thickBot="1" x14ac:dyDescent="0.35">
      <c r="A320" s="289" t="s">
        <v>991</v>
      </c>
      <c r="B320" s="156">
        <v>1</v>
      </c>
      <c r="C320" s="156" t="s">
        <v>99</v>
      </c>
      <c r="D320" s="339">
        <v>0.2</v>
      </c>
      <c r="E320" s="339">
        <v>0.4</v>
      </c>
      <c r="F320" s="339">
        <v>2.5</v>
      </c>
      <c r="G320" s="5">
        <f t="shared" si="44"/>
        <v>3.0000000000000004</v>
      </c>
      <c r="H320" s="4">
        <f t="shared" si="45"/>
        <v>0.2</v>
      </c>
      <c r="I320" s="283"/>
      <c r="J320" s="283"/>
      <c r="K320" s="282"/>
      <c r="Q320" s="501"/>
      <c r="R320" s="501"/>
      <c r="S320" s="501"/>
      <c r="T320" s="501"/>
      <c r="U320" s="203"/>
      <c r="V320" s="203"/>
    </row>
    <row r="321" spans="1:22" ht="15" thickBot="1" x14ac:dyDescent="0.35">
      <c r="A321" s="289" t="s">
        <v>992</v>
      </c>
      <c r="B321" s="156">
        <v>1</v>
      </c>
      <c r="C321" s="156" t="s">
        <v>99</v>
      </c>
      <c r="D321" s="339">
        <v>0.2</v>
      </c>
      <c r="E321" s="339">
        <v>0.4</v>
      </c>
      <c r="F321" s="339">
        <v>2.5</v>
      </c>
      <c r="G321" s="5">
        <f t="shared" si="44"/>
        <v>3.0000000000000004</v>
      </c>
      <c r="H321" s="4">
        <f t="shared" si="45"/>
        <v>0.2</v>
      </c>
      <c r="I321" s="283"/>
      <c r="J321" s="283"/>
      <c r="K321" s="282"/>
      <c r="Q321" s="501"/>
      <c r="R321" s="501"/>
      <c r="S321" s="501"/>
      <c r="T321" s="501"/>
      <c r="U321" s="203"/>
      <c r="V321" s="203"/>
    </row>
    <row r="322" spans="1:22" ht="15" thickBot="1" x14ac:dyDescent="0.35">
      <c r="A322" s="289" t="s">
        <v>993</v>
      </c>
      <c r="B322" s="156">
        <v>1</v>
      </c>
      <c r="C322" s="156" t="s">
        <v>99</v>
      </c>
      <c r="D322" s="339">
        <v>0.15</v>
      </c>
      <c r="E322" s="339">
        <v>0.4</v>
      </c>
      <c r="F322" s="339">
        <v>2.6</v>
      </c>
      <c r="G322" s="5">
        <f t="shared" si="44"/>
        <v>2.8600000000000003</v>
      </c>
      <c r="H322" s="4">
        <f t="shared" si="45"/>
        <v>0.156</v>
      </c>
      <c r="I322" s="283"/>
      <c r="J322" s="283"/>
      <c r="K322" s="282"/>
      <c r="Q322" s="501"/>
      <c r="R322" s="501"/>
      <c r="S322" s="501"/>
      <c r="T322" s="501"/>
      <c r="U322" s="203"/>
      <c r="V322" s="203"/>
    </row>
    <row r="323" spans="1:22" ht="15" thickBot="1" x14ac:dyDescent="0.35">
      <c r="A323" s="289" t="s">
        <v>994</v>
      </c>
      <c r="B323" s="156">
        <v>1</v>
      </c>
      <c r="C323" s="156" t="s">
        <v>99</v>
      </c>
      <c r="D323" s="339">
        <v>0.15</v>
      </c>
      <c r="E323" s="339">
        <v>0.4</v>
      </c>
      <c r="F323" s="339">
        <v>2.6</v>
      </c>
      <c r="G323" s="5">
        <f t="shared" si="44"/>
        <v>2.8600000000000003</v>
      </c>
      <c r="H323" s="4">
        <f t="shared" si="45"/>
        <v>0.156</v>
      </c>
      <c r="I323" s="283"/>
      <c r="J323" s="283"/>
      <c r="K323" s="282"/>
      <c r="Q323" s="501"/>
      <c r="R323" s="501"/>
      <c r="S323" s="501"/>
      <c r="T323" s="501"/>
      <c r="U323" s="203"/>
      <c r="V323" s="203"/>
    </row>
    <row r="324" spans="1:22" ht="15" thickBot="1" x14ac:dyDescent="0.35">
      <c r="A324" s="289" t="s">
        <v>995</v>
      </c>
      <c r="B324" s="156">
        <v>1</v>
      </c>
      <c r="C324" s="156" t="s">
        <v>99</v>
      </c>
      <c r="D324" s="339">
        <v>0.2</v>
      </c>
      <c r="E324" s="339">
        <v>0.4</v>
      </c>
      <c r="F324" s="339">
        <v>2.5</v>
      </c>
      <c r="G324" s="5">
        <f t="shared" si="44"/>
        <v>3.0000000000000004</v>
      </c>
      <c r="H324" s="4">
        <f t="shared" si="45"/>
        <v>0.2</v>
      </c>
      <c r="I324" s="283"/>
      <c r="J324" s="283"/>
      <c r="K324" s="282"/>
      <c r="Q324" s="501"/>
      <c r="R324" s="501"/>
      <c r="S324" s="501"/>
      <c r="T324" s="501"/>
      <c r="U324" s="203"/>
      <c r="V324" s="203"/>
    </row>
    <row r="325" spans="1:22" ht="15" thickBot="1" x14ac:dyDescent="0.35">
      <c r="A325" s="289" t="s">
        <v>996</v>
      </c>
      <c r="B325" s="156">
        <v>1</v>
      </c>
      <c r="C325" s="156" t="s">
        <v>99</v>
      </c>
      <c r="D325" s="339">
        <v>0.2</v>
      </c>
      <c r="E325" s="339">
        <v>0.4</v>
      </c>
      <c r="F325" s="339">
        <v>2.5</v>
      </c>
      <c r="G325" s="5">
        <f t="shared" si="44"/>
        <v>3.0000000000000004</v>
      </c>
      <c r="H325" s="4">
        <f t="shared" si="45"/>
        <v>0.2</v>
      </c>
      <c r="I325" s="283"/>
      <c r="J325" s="283"/>
      <c r="K325" s="282"/>
      <c r="Q325" s="501"/>
      <c r="R325" s="501"/>
      <c r="S325" s="501"/>
      <c r="T325" s="501"/>
      <c r="U325" s="203"/>
      <c r="V325" s="203"/>
    </row>
    <row r="326" spans="1:22" ht="15" thickBot="1" x14ac:dyDescent="0.35">
      <c r="A326" s="289" t="s">
        <v>997</v>
      </c>
      <c r="B326" s="156">
        <v>1</v>
      </c>
      <c r="C326" s="156" t="s">
        <v>99</v>
      </c>
      <c r="D326" s="339">
        <v>0.2</v>
      </c>
      <c r="E326" s="339">
        <v>0.6</v>
      </c>
      <c r="F326" s="339">
        <v>2.5</v>
      </c>
      <c r="G326" s="5">
        <f t="shared" si="44"/>
        <v>4</v>
      </c>
      <c r="H326" s="4">
        <f t="shared" si="45"/>
        <v>0.30000000000000004</v>
      </c>
      <c r="I326" s="283"/>
      <c r="J326" s="283"/>
      <c r="K326" s="282"/>
      <c r="Q326" s="501"/>
      <c r="R326" s="501"/>
      <c r="S326" s="501"/>
      <c r="T326" s="501"/>
      <c r="U326" s="203"/>
      <c r="V326" s="203"/>
    </row>
    <row r="327" spans="1:22" ht="15" thickBot="1" x14ac:dyDescent="0.35">
      <c r="A327" s="289" t="s">
        <v>998</v>
      </c>
      <c r="B327" s="156">
        <v>1</v>
      </c>
      <c r="C327" s="156" t="s">
        <v>99</v>
      </c>
      <c r="D327" s="339">
        <v>0.2</v>
      </c>
      <c r="E327" s="339">
        <v>0.6</v>
      </c>
      <c r="F327" s="339">
        <v>2.5</v>
      </c>
      <c r="G327" s="5">
        <f t="shared" si="44"/>
        <v>4</v>
      </c>
      <c r="H327" s="4">
        <f t="shared" si="45"/>
        <v>0.30000000000000004</v>
      </c>
      <c r="I327" s="283"/>
      <c r="J327" s="283"/>
      <c r="K327" s="282"/>
      <c r="Q327" s="501"/>
      <c r="R327" s="501"/>
      <c r="S327" s="501"/>
      <c r="T327" s="501"/>
      <c r="U327" s="203"/>
      <c r="V327" s="203"/>
    </row>
    <row r="328" spans="1:22" ht="15" thickBot="1" x14ac:dyDescent="0.35">
      <c r="A328" s="289" t="s">
        <v>999</v>
      </c>
      <c r="B328" s="156">
        <v>1</v>
      </c>
      <c r="C328" s="156" t="s">
        <v>99</v>
      </c>
      <c r="D328" s="339">
        <v>0.2</v>
      </c>
      <c r="E328" s="339">
        <v>0.5</v>
      </c>
      <c r="F328" s="339">
        <v>2.5</v>
      </c>
      <c r="G328" s="5">
        <f t="shared" si="44"/>
        <v>3.5</v>
      </c>
      <c r="H328" s="4">
        <f t="shared" si="45"/>
        <v>0.25</v>
      </c>
      <c r="I328" s="283"/>
      <c r="J328" s="283"/>
      <c r="K328" s="282"/>
      <c r="Q328" s="501"/>
      <c r="R328" s="501"/>
      <c r="S328" s="501"/>
      <c r="T328" s="501"/>
      <c r="U328" s="203"/>
      <c r="V328" s="203"/>
    </row>
    <row r="329" spans="1:22" ht="15" thickBot="1" x14ac:dyDescent="0.35">
      <c r="A329" s="289" t="s">
        <v>1000</v>
      </c>
      <c r="B329" s="156">
        <v>1</v>
      </c>
      <c r="C329" s="156" t="s">
        <v>99</v>
      </c>
      <c r="D329" s="339">
        <v>0.2</v>
      </c>
      <c r="E329" s="339">
        <v>0.4</v>
      </c>
      <c r="F329" s="339">
        <v>2.95</v>
      </c>
      <c r="G329" s="5">
        <f t="shared" si="44"/>
        <v>3.5400000000000009</v>
      </c>
      <c r="H329" s="4">
        <f t="shared" si="45"/>
        <v>0.23600000000000004</v>
      </c>
      <c r="I329" s="283"/>
      <c r="J329" s="283"/>
      <c r="K329" s="282"/>
      <c r="Q329" s="501"/>
      <c r="R329" s="501"/>
      <c r="S329" s="501"/>
      <c r="T329" s="501"/>
      <c r="U329" s="203"/>
      <c r="V329" s="203"/>
    </row>
    <row r="330" spans="1:22" ht="15" thickBot="1" x14ac:dyDescent="0.35">
      <c r="A330" s="289" t="s">
        <v>1001</v>
      </c>
      <c r="B330" s="156">
        <v>1</v>
      </c>
      <c r="C330" s="156" t="s">
        <v>99</v>
      </c>
      <c r="D330" s="339">
        <v>0.2</v>
      </c>
      <c r="E330" s="339">
        <v>0.6</v>
      </c>
      <c r="F330" s="339">
        <v>2.95</v>
      </c>
      <c r="G330" s="5">
        <f t="shared" ref="G330:G348" si="46">(((2*D330+2*E330)*F330))*B330</f>
        <v>4.7200000000000006</v>
      </c>
      <c r="H330" s="4">
        <f t="shared" ref="H330:H348" si="47">F330*E330*D330*B330</f>
        <v>0.35400000000000004</v>
      </c>
      <c r="I330" s="283"/>
      <c r="J330" s="283"/>
      <c r="K330" s="282"/>
      <c r="Q330" s="501"/>
      <c r="R330" s="501"/>
      <c r="S330" s="501"/>
      <c r="T330" s="501"/>
      <c r="U330" s="203"/>
      <c r="V330" s="203"/>
    </row>
    <row r="331" spans="1:22" ht="15" thickBot="1" x14ac:dyDescent="0.35">
      <c r="A331" s="289" t="s">
        <v>1002</v>
      </c>
      <c r="B331" s="156">
        <v>1</v>
      </c>
      <c r="C331" s="156" t="s">
        <v>99</v>
      </c>
      <c r="D331" s="339">
        <v>0.2</v>
      </c>
      <c r="E331" s="339">
        <v>0.6</v>
      </c>
      <c r="F331" s="339">
        <v>2.95</v>
      </c>
      <c r="G331" s="5">
        <f t="shared" si="46"/>
        <v>4.7200000000000006</v>
      </c>
      <c r="H331" s="4">
        <f t="shared" si="47"/>
        <v>0.35400000000000004</v>
      </c>
      <c r="I331" s="283"/>
      <c r="J331" s="283"/>
      <c r="K331" s="282"/>
      <c r="Q331" s="501"/>
      <c r="R331" s="501"/>
      <c r="S331" s="501"/>
      <c r="T331" s="501"/>
      <c r="U331" s="203"/>
      <c r="V331" s="203"/>
    </row>
    <row r="332" spans="1:22" ht="15" thickBot="1" x14ac:dyDescent="0.35">
      <c r="A332" s="289" t="s">
        <v>1003</v>
      </c>
      <c r="B332" s="156">
        <v>1</v>
      </c>
      <c r="C332" s="156" t="s">
        <v>99</v>
      </c>
      <c r="D332" s="339">
        <v>0.2</v>
      </c>
      <c r="E332" s="339">
        <v>0.5</v>
      </c>
      <c r="F332" s="339">
        <v>2.95</v>
      </c>
      <c r="G332" s="5">
        <f t="shared" si="46"/>
        <v>4.13</v>
      </c>
      <c r="H332" s="4">
        <f t="shared" si="47"/>
        <v>0.29500000000000004</v>
      </c>
      <c r="I332" s="283"/>
      <c r="J332" s="283"/>
      <c r="K332" s="282"/>
      <c r="Q332" s="501"/>
      <c r="R332" s="501"/>
      <c r="S332" s="501"/>
      <c r="T332" s="501"/>
      <c r="U332" s="203"/>
      <c r="V332" s="203"/>
    </row>
    <row r="333" spans="1:22" ht="15" thickBot="1" x14ac:dyDescent="0.35">
      <c r="A333" s="289" t="s">
        <v>1004</v>
      </c>
      <c r="B333" s="156">
        <v>1</v>
      </c>
      <c r="C333" s="156" t="s">
        <v>99</v>
      </c>
      <c r="D333" s="339">
        <v>0.2</v>
      </c>
      <c r="E333" s="339">
        <v>0.6</v>
      </c>
      <c r="F333" s="339">
        <v>2.95</v>
      </c>
      <c r="G333" s="5">
        <f t="shared" si="46"/>
        <v>4.7200000000000006</v>
      </c>
      <c r="H333" s="4">
        <f t="shared" si="47"/>
        <v>0.35400000000000004</v>
      </c>
      <c r="I333" s="283"/>
      <c r="J333" s="283"/>
      <c r="K333" s="282"/>
      <c r="Q333" s="501"/>
      <c r="R333" s="501"/>
      <c r="S333" s="501"/>
      <c r="T333" s="501"/>
      <c r="U333" s="203"/>
      <c r="V333" s="203"/>
    </row>
    <row r="334" spans="1:22" ht="15" thickBot="1" x14ac:dyDescent="0.35">
      <c r="A334" s="289" t="s">
        <v>1005</v>
      </c>
      <c r="B334" s="156">
        <v>1</v>
      </c>
      <c r="C334" s="156" t="s">
        <v>99</v>
      </c>
      <c r="D334" s="339">
        <v>0.2</v>
      </c>
      <c r="E334" s="339">
        <v>0.5</v>
      </c>
      <c r="F334" s="339">
        <v>2.95</v>
      </c>
      <c r="G334" s="5">
        <f t="shared" si="46"/>
        <v>4.13</v>
      </c>
      <c r="H334" s="4">
        <f t="shared" si="47"/>
        <v>0.29500000000000004</v>
      </c>
      <c r="I334" s="283"/>
      <c r="J334" s="283"/>
      <c r="K334" s="282"/>
      <c r="Q334" s="501"/>
      <c r="R334" s="501"/>
      <c r="S334" s="501"/>
      <c r="T334" s="501"/>
      <c r="U334" s="203"/>
      <c r="V334" s="203"/>
    </row>
    <row r="335" spans="1:22" ht="15" thickBot="1" x14ac:dyDescent="0.35">
      <c r="A335" s="289" t="s">
        <v>979</v>
      </c>
      <c r="B335" s="156">
        <v>1</v>
      </c>
      <c r="C335" s="156" t="s">
        <v>184</v>
      </c>
      <c r="D335" s="339">
        <v>0.2</v>
      </c>
      <c r="E335" s="339">
        <v>0.4</v>
      </c>
      <c r="F335" s="339">
        <v>0.65</v>
      </c>
      <c r="G335" s="5">
        <f t="shared" si="46"/>
        <v>0.78000000000000014</v>
      </c>
      <c r="H335" s="4">
        <f t="shared" si="47"/>
        <v>5.2000000000000005E-2</v>
      </c>
      <c r="I335" s="283"/>
      <c r="J335" s="283"/>
      <c r="K335" s="282"/>
      <c r="Q335" s="501"/>
      <c r="R335" s="501"/>
      <c r="S335" s="501"/>
      <c r="T335" s="501"/>
      <c r="U335" s="203"/>
      <c r="V335" s="203"/>
    </row>
    <row r="336" spans="1:22" ht="15" thickBot="1" x14ac:dyDescent="0.35">
      <c r="A336" s="289" t="s">
        <v>980</v>
      </c>
      <c r="B336" s="156">
        <v>1</v>
      </c>
      <c r="C336" s="156" t="s">
        <v>184</v>
      </c>
      <c r="D336" s="339">
        <v>0.2</v>
      </c>
      <c r="E336" s="339">
        <v>0.4</v>
      </c>
      <c r="F336" s="339">
        <v>0.65</v>
      </c>
      <c r="G336" s="5">
        <f t="shared" si="46"/>
        <v>0.78000000000000014</v>
      </c>
      <c r="H336" s="4">
        <f t="shared" si="47"/>
        <v>5.2000000000000005E-2</v>
      </c>
      <c r="I336" s="283"/>
      <c r="J336" s="283"/>
      <c r="K336" s="282"/>
      <c r="Q336" s="501"/>
      <c r="R336" s="501"/>
      <c r="S336" s="501"/>
      <c r="T336" s="501"/>
      <c r="U336" s="203"/>
      <c r="V336" s="203"/>
    </row>
    <row r="337" spans="1:22" ht="15" thickBot="1" x14ac:dyDescent="0.35">
      <c r="A337" s="289" t="s">
        <v>981</v>
      </c>
      <c r="B337" s="156">
        <v>1</v>
      </c>
      <c r="C337" s="156" t="s">
        <v>184</v>
      </c>
      <c r="D337" s="339">
        <v>0.2</v>
      </c>
      <c r="E337" s="339">
        <v>0.4</v>
      </c>
      <c r="F337" s="339">
        <v>0.65</v>
      </c>
      <c r="G337" s="5">
        <f t="shared" si="46"/>
        <v>0.78000000000000014</v>
      </c>
      <c r="H337" s="4">
        <f t="shared" si="47"/>
        <v>5.2000000000000005E-2</v>
      </c>
      <c r="I337" s="283"/>
      <c r="J337" s="283"/>
      <c r="K337" s="282"/>
      <c r="Q337" s="501"/>
      <c r="R337" s="501"/>
      <c r="S337" s="501"/>
      <c r="T337" s="501"/>
      <c r="U337" s="203"/>
      <c r="V337" s="203"/>
    </row>
    <row r="338" spans="1:22" ht="15" thickBot="1" x14ac:dyDescent="0.35">
      <c r="A338" s="289" t="s">
        <v>982</v>
      </c>
      <c r="B338" s="156">
        <v>1</v>
      </c>
      <c r="C338" s="156" t="s">
        <v>184</v>
      </c>
      <c r="D338" s="339">
        <v>0.2</v>
      </c>
      <c r="E338" s="339">
        <v>0.4</v>
      </c>
      <c r="F338" s="339">
        <v>0.65</v>
      </c>
      <c r="G338" s="5">
        <f t="shared" si="46"/>
        <v>0.78000000000000014</v>
      </c>
      <c r="H338" s="4">
        <f t="shared" si="47"/>
        <v>5.2000000000000005E-2</v>
      </c>
      <c r="I338" s="283"/>
      <c r="J338" s="283"/>
      <c r="K338" s="282"/>
      <c r="Q338" s="501"/>
      <c r="R338" s="501"/>
      <c r="S338" s="501"/>
      <c r="T338" s="501"/>
      <c r="U338" s="203"/>
      <c r="V338" s="203"/>
    </row>
    <row r="339" spans="1:22" ht="15" thickBot="1" x14ac:dyDescent="0.35">
      <c r="A339" s="289" t="s">
        <v>983</v>
      </c>
      <c r="B339" s="156">
        <v>1</v>
      </c>
      <c r="C339" s="156" t="s">
        <v>184</v>
      </c>
      <c r="D339" s="339">
        <v>0.2</v>
      </c>
      <c r="E339" s="339">
        <v>0.4</v>
      </c>
      <c r="F339" s="339">
        <v>0.65</v>
      </c>
      <c r="G339" s="5">
        <f t="shared" si="46"/>
        <v>0.78000000000000014</v>
      </c>
      <c r="H339" s="4">
        <f t="shared" si="47"/>
        <v>5.2000000000000005E-2</v>
      </c>
      <c r="I339" s="283"/>
      <c r="J339" s="283"/>
      <c r="K339" s="282"/>
      <c r="Q339" s="501"/>
      <c r="R339" s="501"/>
      <c r="S339" s="501"/>
      <c r="T339" s="501"/>
      <c r="U339" s="203"/>
      <c r="V339" s="203"/>
    </row>
    <row r="340" spans="1:22" ht="15" thickBot="1" x14ac:dyDescent="0.35">
      <c r="A340" s="289" t="s">
        <v>984</v>
      </c>
      <c r="B340" s="156">
        <v>1</v>
      </c>
      <c r="C340" s="156" t="s">
        <v>184</v>
      </c>
      <c r="D340" s="339">
        <v>0.2</v>
      </c>
      <c r="E340" s="339">
        <v>0.4</v>
      </c>
      <c r="F340" s="339">
        <v>0.65</v>
      </c>
      <c r="G340" s="5">
        <f t="shared" si="46"/>
        <v>0.78000000000000014</v>
      </c>
      <c r="H340" s="4">
        <f t="shared" si="47"/>
        <v>5.2000000000000005E-2</v>
      </c>
      <c r="I340" s="283"/>
      <c r="J340" s="283"/>
      <c r="K340" s="282"/>
      <c r="Q340" s="501"/>
      <c r="R340" s="501"/>
      <c r="S340" s="501"/>
      <c r="T340" s="501"/>
      <c r="U340" s="203"/>
      <c r="V340" s="203"/>
    </row>
    <row r="341" spans="1:22" ht="15" thickBot="1" x14ac:dyDescent="0.35">
      <c r="A341" s="289" t="s">
        <v>989</v>
      </c>
      <c r="B341" s="156">
        <v>1</v>
      </c>
      <c r="C341" s="156" t="s">
        <v>184</v>
      </c>
      <c r="D341" s="339">
        <v>0.2</v>
      </c>
      <c r="E341" s="339">
        <v>0.4</v>
      </c>
      <c r="F341" s="339">
        <v>0.65</v>
      </c>
      <c r="G341" s="5">
        <f t="shared" si="46"/>
        <v>0.78000000000000014</v>
      </c>
      <c r="H341" s="4">
        <f t="shared" si="47"/>
        <v>5.2000000000000005E-2</v>
      </c>
      <c r="I341" s="283"/>
      <c r="J341" s="283"/>
      <c r="K341" s="282"/>
      <c r="Q341" s="501"/>
      <c r="R341" s="501"/>
      <c r="S341" s="501"/>
      <c r="T341" s="501"/>
      <c r="U341" s="203"/>
      <c r="V341" s="203"/>
    </row>
    <row r="342" spans="1:22" ht="15" thickBot="1" x14ac:dyDescent="0.35">
      <c r="A342" s="289" t="s">
        <v>991</v>
      </c>
      <c r="B342" s="156">
        <v>1</v>
      </c>
      <c r="C342" s="156" t="s">
        <v>184</v>
      </c>
      <c r="D342" s="339">
        <v>0.2</v>
      </c>
      <c r="E342" s="339">
        <v>0.4</v>
      </c>
      <c r="F342" s="339">
        <v>0.65</v>
      </c>
      <c r="G342" s="5">
        <f t="shared" si="46"/>
        <v>0.78000000000000014</v>
      </c>
      <c r="H342" s="4">
        <f t="shared" si="47"/>
        <v>5.2000000000000005E-2</v>
      </c>
      <c r="I342" s="283"/>
      <c r="J342" s="283"/>
      <c r="K342" s="282"/>
      <c r="Q342" s="501"/>
      <c r="R342" s="501"/>
      <c r="S342" s="501"/>
      <c r="T342" s="501"/>
      <c r="U342" s="203"/>
      <c r="V342" s="203"/>
    </row>
    <row r="343" spans="1:22" ht="15" thickBot="1" x14ac:dyDescent="0.35">
      <c r="A343" s="289" t="s">
        <v>992</v>
      </c>
      <c r="B343" s="156">
        <v>1</v>
      </c>
      <c r="C343" s="156" t="s">
        <v>184</v>
      </c>
      <c r="D343" s="339">
        <v>0.2</v>
      </c>
      <c r="E343" s="339">
        <v>0.4</v>
      </c>
      <c r="F343" s="339">
        <v>0.65</v>
      </c>
      <c r="G343" s="5">
        <f t="shared" si="46"/>
        <v>0.78000000000000014</v>
      </c>
      <c r="H343" s="4">
        <f t="shared" si="47"/>
        <v>5.2000000000000005E-2</v>
      </c>
      <c r="I343" s="283"/>
      <c r="J343" s="283"/>
      <c r="K343" s="282"/>
      <c r="Q343" s="501"/>
      <c r="R343" s="501"/>
      <c r="S343" s="501"/>
      <c r="T343" s="501"/>
      <c r="U343" s="203"/>
      <c r="V343" s="203"/>
    </row>
    <row r="344" spans="1:22" ht="15" thickBot="1" x14ac:dyDescent="0.35">
      <c r="A344" s="289" t="s">
        <v>995</v>
      </c>
      <c r="B344" s="156">
        <v>1</v>
      </c>
      <c r="C344" s="156" t="s">
        <v>184</v>
      </c>
      <c r="D344" s="339">
        <v>0.2</v>
      </c>
      <c r="E344" s="339">
        <v>0.4</v>
      </c>
      <c r="F344" s="339">
        <v>0.65</v>
      </c>
      <c r="G344" s="5">
        <f t="shared" si="46"/>
        <v>0.78000000000000014</v>
      </c>
      <c r="H344" s="4">
        <f t="shared" si="47"/>
        <v>5.2000000000000005E-2</v>
      </c>
      <c r="I344" s="283"/>
      <c r="J344" s="283"/>
      <c r="K344" s="282"/>
      <c r="Q344" s="501"/>
      <c r="R344" s="501"/>
      <c r="S344" s="501"/>
      <c r="T344" s="501"/>
      <c r="U344" s="203"/>
      <c r="V344" s="203"/>
    </row>
    <row r="345" spans="1:22" ht="15" thickBot="1" x14ac:dyDescent="0.35">
      <c r="A345" s="289" t="s">
        <v>996</v>
      </c>
      <c r="B345" s="156">
        <v>1</v>
      </c>
      <c r="C345" s="156" t="s">
        <v>184</v>
      </c>
      <c r="D345" s="339">
        <v>0.2</v>
      </c>
      <c r="E345" s="339">
        <v>0.4</v>
      </c>
      <c r="F345" s="339">
        <v>0.9</v>
      </c>
      <c r="G345" s="5">
        <f t="shared" si="46"/>
        <v>1.0800000000000003</v>
      </c>
      <c r="H345" s="4">
        <f t="shared" si="47"/>
        <v>7.2000000000000008E-2</v>
      </c>
      <c r="I345" s="283"/>
      <c r="J345" s="283"/>
      <c r="K345" s="282"/>
      <c r="Q345" s="501"/>
      <c r="R345" s="501"/>
      <c r="S345" s="501"/>
      <c r="T345" s="501"/>
      <c r="U345" s="203"/>
      <c r="V345" s="203"/>
    </row>
    <row r="346" spans="1:22" ht="15" thickBot="1" x14ac:dyDescent="0.35">
      <c r="A346" s="289" t="s">
        <v>997</v>
      </c>
      <c r="B346" s="156">
        <v>1</v>
      </c>
      <c r="C346" s="156" t="s">
        <v>184</v>
      </c>
      <c r="D346" s="339">
        <v>0.2</v>
      </c>
      <c r="E346" s="339">
        <v>0.6</v>
      </c>
      <c r="F346" s="339">
        <v>0.9</v>
      </c>
      <c r="G346" s="5">
        <f t="shared" si="46"/>
        <v>1.4400000000000002</v>
      </c>
      <c r="H346" s="4">
        <f t="shared" si="47"/>
        <v>0.10800000000000001</v>
      </c>
      <c r="I346" s="283"/>
      <c r="J346" s="283"/>
      <c r="K346" s="282"/>
      <c r="Q346" s="501"/>
      <c r="R346" s="501"/>
      <c r="S346" s="501"/>
      <c r="T346" s="501"/>
      <c r="U346" s="203"/>
      <c r="V346" s="203"/>
    </row>
    <row r="347" spans="1:22" ht="15" thickBot="1" x14ac:dyDescent="0.35">
      <c r="A347" s="289" t="s">
        <v>998</v>
      </c>
      <c r="B347" s="156">
        <v>1</v>
      </c>
      <c r="C347" s="156" t="s">
        <v>184</v>
      </c>
      <c r="D347" s="339">
        <v>0.2</v>
      </c>
      <c r="E347" s="339">
        <v>0.6</v>
      </c>
      <c r="F347" s="339">
        <v>0.9</v>
      </c>
      <c r="G347" s="5">
        <f t="shared" si="46"/>
        <v>1.4400000000000002</v>
      </c>
      <c r="H347" s="4">
        <f t="shared" si="47"/>
        <v>0.10800000000000001</v>
      </c>
      <c r="I347" s="283"/>
      <c r="J347" s="283"/>
      <c r="K347" s="282"/>
      <c r="Q347" s="501"/>
      <c r="R347" s="501"/>
      <c r="S347" s="501"/>
      <c r="T347" s="501"/>
      <c r="U347" s="203"/>
      <c r="V347" s="203"/>
    </row>
    <row r="348" spans="1:22" ht="15" thickBot="1" x14ac:dyDescent="0.35">
      <c r="A348" s="289" t="s">
        <v>999</v>
      </c>
      <c r="B348" s="156">
        <v>1</v>
      </c>
      <c r="C348" s="156" t="s">
        <v>184</v>
      </c>
      <c r="D348" s="339">
        <v>0.2</v>
      </c>
      <c r="E348" s="339">
        <v>0.5</v>
      </c>
      <c r="F348" s="339">
        <v>0.9</v>
      </c>
      <c r="G348" s="5">
        <f t="shared" si="46"/>
        <v>1.26</v>
      </c>
      <c r="H348" s="4">
        <f t="shared" si="47"/>
        <v>9.0000000000000011E-2</v>
      </c>
      <c r="I348" s="283"/>
      <c r="J348" s="283"/>
      <c r="K348" s="282"/>
      <c r="Q348" s="501"/>
      <c r="R348" s="501"/>
      <c r="S348" s="501"/>
      <c r="T348" s="501"/>
      <c r="U348" s="203"/>
      <c r="V348" s="203"/>
    </row>
    <row r="349" spans="1:22" ht="15" thickBot="1" x14ac:dyDescent="0.35">
      <c r="A349" s="289" t="s">
        <v>1000</v>
      </c>
      <c r="B349" s="156">
        <v>1</v>
      </c>
      <c r="C349" s="156" t="s">
        <v>184</v>
      </c>
      <c r="D349" s="339">
        <v>0.2</v>
      </c>
      <c r="E349" s="339">
        <v>0.4</v>
      </c>
      <c r="F349" s="339">
        <v>0.9</v>
      </c>
      <c r="G349" s="5">
        <f t="shared" ref="G349:G368" si="48">(((2*D349+2*E349)*F349))*B349</f>
        <v>1.0800000000000003</v>
      </c>
      <c r="H349" s="4">
        <f t="shared" ref="H349:H368" si="49">F349*E349*D349*B349</f>
        <v>7.2000000000000008E-2</v>
      </c>
      <c r="I349" s="283"/>
      <c r="J349" s="283"/>
      <c r="K349" s="282"/>
      <c r="Q349" s="501"/>
      <c r="R349" s="501"/>
      <c r="S349" s="501"/>
      <c r="T349" s="501"/>
      <c r="U349" s="203"/>
      <c r="V349" s="203"/>
    </row>
    <row r="350" spans="1:22" ht="15" thickBot="1" x14ac:dyDescent="0.35">
      <c r="A350" s="289" t="s">
        <v>1003</v>
      </c>
      <c r="B350" s="156">
        <v>1</v>
      </c>
      <c r="C350" s="156" t="s">
        <v>184</v>
      </c>
      <c r="D350" s="339">
        <v>0.2</v>
      </c>
      <c r="E350" s="339">
        <v>0.5</v>
      </c>
      <c r="F350" s="339">
        <v>0.9</v>
      </c>
      <c r="G350" s="5">
        <f t="shared" si="48"/>
        <v>1.26</v>
      </c>
      <c r="H350" s="4">
        <f t="shared" si="49"/>
        <v>9.0000000000000011E-2</v>
      </c>
      <c r="I350" s="283"/>
      <c r="J350" s="283"/>
      <c r="K350" s="282"/>
      <c r="Q350" s="501"/>
      <c r="R350" s="501"/>
      <c r="S350" s="501"/>
      <c r="T350" s="501"/>
      <c r="U350" s="203"/>
      <c r="V350" s="203"/>
    </row>
    <row r="351" spans="1:22" ht="15" thickBot="1" x14ac:dyDescent="0.35">
      <c r="A351" s="289" t="s">
        <v>1004</v>
      </c>
      <c r="B351" s="156">
        <v>1</v>
      </c>
      <c r="C351" s="156" t="s">
        <v>184</v>
      </c>
      <c r="D351" s="339">
        <v>0.2</v>
      </c>
      <c r="E351" s="339">
        <v>0.6</v>
      </c>
      <c r="F351" s="339">
        <v>0.9</v>
      </c>
      <c r="G351" s="5">
        <f t="shared" si="48"/>
        <v>1.4400000000000002</v>
      </c>
      <c r="H351" s="4">
        <f t="shared" si="49"/>
        <v>0.10800000000000001</v>
      </c>
      <c r="I351" s="283"/>
      <c r="J351" s="283"/>
      <c r="K351" s="282"/>
      <c r="Q351" s="501"/>
      <c r="R351" s="501"/>
      <c r="S351" s="501"/>
      <c r="T351" s="501"/>
      <c r="U351" s="203"/>
      <c r="V351" s="203"/>
    </row>
    <row r="352" spans="1:22" ht="15" thickBot="1" x14ac:dyDescent="0.35">
      <c r="A352" s="289" t="s">
        <v>1005</v>
      </c>
      <c r="B352" s="156">
        <v>1</v>
      </c>
      <c r="C352" s="156" t="s">
        <v>184</v>
      </c>
      <c r="D352" s="339">
        <v>0.2</v>
      </c>
      <c r="E352" s="339">
        <v>0.5</v>
      </c>
      <c r="F352" s="339">
        <v>0.9</v>
      </c>
      <c r="G352" s="5">
        <f t="shared" si="48"/>
        <v>1.26</v>
      </c>
      <c r="H352" s="4">
        <f t="shared" si="49"/>
        <v>9.0000000000000011E-2</v>
      </c>
      <c r="I352" s="283"/>
      <c r="J352" s="283"/>
      <c r="K352" s="282"/>
      <c r="Q352" s="501"/>
      <c r="R352" s="501"/>
      <c r="S352" s="501"/>
      <c r="T352" s="501"/>
      <c r="U352" s="203"/>
      <c r="V352" s="203"/>
    </row>
    <row r="353" spans="1:22" ht="15" thickBot="1" x14ac:dyDescent="0.35">
      <c r="A353" s="289" t="s">
        <v>1006</v>
      </c>
      <c r="B353" s="156">
        <v>1</v>
      </c>
      <c r="C353" s="156" t="s">
        <v>184</v>
      </c>
      <c r="D353" s="339">
        <v>0.2</v>
      </c>
      <c r="E353" s="339">
        <v>0.25</v>
      </c>
      <c r="F353" s="339">
        <v>0.9</v>
      </c>
      <c r="G353" s="5">
        <f t="shared" si="48"/>
        <v>0.81</v>
      </c>
      <c r="H353" s="4">
        <f t="shared" si="49"/>
        <v>4.5000000000000005E-2</v>
      </c>
      <c r="I353" s="283"/>
      <c r="J353" s="283"/>
      <c r="K353" s="282"/>
      <c r="Q353" s="501"/>
      <c r="R353" s="501"/>
      <c r="S353" s="501"/>
      <c r="T353" s="501"/>
      <c r="U353" s="203"/>
      <c r="V353" s="203"/>
    </row>
    <row r="354" spans="1:22" ht="15" thickBot="1" x14ac:dyDescent="0.35">
      <c r="A354" s="289" t="s">
        <v>1007</v>
      </c>
      <c r="B354" s="156">
        <v>1</v>
      </c>
      <c r="C354" s="156" t="s">
        <v>184</v>
      </c>
      <c r="D354" s="339">
        <v>0.2</v>
      </c>
      <c r="E354" s="339">
        <v>0.25</v>
      </c>
      <c r="F354" s="339">
        <v>0.9</v>
      </c>
      <c r="G354" s="5">
        <f t="shared" si="48"/>
        <v>0.81</v>
      </c>
      <c r="H354" s="4">
        <f t="shared" si="49"/>
        <v>4.5000000000000005E-2</v>
      </c>
      <c r="I354" s="283"/>
      <c r="J354" s="283"/>
      <c r="K354" s="282"/>
      <c r="Q354" s="501"/>
      <c r="R354" s="501"/>
      <c r="S354" s="501"/>
      <c r="T354" s="501"/>
      <c r="U354" s="203"/>
      <c r="V354" s="203"/>
    </row>
    <row r="355" spans="1:22" ht="15" thickBot="1" x14ac:dyDescent="0.35">
      <c r="A355" s="685" t="s">
        <v>1008</v>
      </c>
      <c r="B355" s="686"/>
      <c r="C355" s="686"/>
      <c r="D355" s="686"/>
      <c r="E355" s="686"/>
      <c r="F355" s="686"/>
      <c r="G355" s="686"/>
      <c r="H355" s="687"/>
      <c r="I355" s="483"/>
      <c r="J355" s="483"/>
      <c r="K355" s="484"/>
      <c r="Q355" s="501"/>
      <c r="R355" s="501"/>
      <c r="S355" s="501"/>
      <c r="T355" s="501"/>
      <c r="U355" s="203"/>
      <c r="V355" s="203"/>
    </row>
    <row r="356" spans="1:22" ht="15" thickBot="1" x14ac:dyDescent="0.35">
      <c r="A356" s="289" t="s">
        <v>1019</v>
      </c>
      <c r="B356" s="156">
        <v>1</v>
      </c>
      <c r="C356" s="156" t="s">
        <v>99</v>
      </c>
      <c r="D356" s="339">
        <v>0.15</v>
      </c>
      <c r="E356" s="339">
        <v>1</v>
      </c>
      <c r="F356" s="339">
        <v>2.95</v>
      </c>
      <c r="G356" s="5">
        <f t="shared" si="48"/>
        <v>6.7850000000000001</v>
      </c>
      <c r="H356" s="4">
        <f t="shared" si="49"/>
        <v>0.4425</v>
      </c>
      <c r="I356" s="283"/>
      <c r="J356" s="283"/>
      <c r="K356" s="282"/>
      <c r="Q356" s="501"/>
      <c r="R356" s="501"/>
      <c r="S356" s="501"/>
      <c r="T356" s="501"/>
      <c r="U356" s="203"/>
      <c r="V356" s="203"/>
    </row>
    <row r="357" spans="1:22" ht="15" thickBot="1" x14ac:dyDescent="0.35">
      <c r="A357" s="289" t="s">
        <v>1020</v>
      </c>
      <c r="B357" s="156">
        <v>1</v>
      </c>
      <c r="C357" s="156" t="s">
        <v>99</v>
      </c>
      <c r="D357" s="339">
        <v>0.15</v>
      </c>
      <c r="E357" s="339">
        <v>1</v>
      </c>
      <c r="F357" s="339">
        <v>2.95</v>
      </c>
      <c r="G357" s="5">
        <f t="shared" si="48"/>
        <v>6.7850000000000001</v>
      </c>
      <c r="H357" s="4">
        <f t="shared" si="49"/>
        <v>0.4425</v>
      </c>
      <c r="I357" s="283"/>
      <c r="J357" s="283"/>
      <c r="K357" s="282"/>
      <c r="Q357" s="501"/>
      <c r="R357" s="501"/>
      <c r="S357" s="501"/>
      <c r="T357" s="501"/>
      <c r="U357" s="203"/>
      <c r="V357" s="203"/>
    </row>
    <row r="358" spans="1:22" ht="15" thickBot="1" x14ac:dyDescent="0.35">
      <c r="A358" s="685" t="s">
        <v>1984</v>
      </c>
      <c r="B358" s="686"/>
      <c r="C358" s="686"/>
      <c r="D358" s="686"/>
      <c r="E358" s="686"/>
      <c r="F358" s="686"/>
      <c r="G358" s="686"/>
      <c r="H358" s="687"/>
      <c r="I358" s="483"/>
      <c r="J358" s="483"/>
      <c r="K358" s="484"/>
      <c r="Q358" s="591"/>
      <c r="R358" s="591"/>
      <c r="S358" s="591"/>
      <c r="T358" s="591"/>
      <c r="U358" s="203"/>
      <c r="V358" s="203"/>
    </row>
    <row r="359" spans="1:22" ht="15" thickBot="1" x14ac:dyDescent="0.35">
      <c r="A359" s="289" t="s">
        <v>1908</v>
      </c>
      <c r="B359" s="156">
        <v>1</v>
      </c>
      <c r="C359" s="156" t="s">
        <v>99</v>
      </c>
      <c r="D359" s="339">
        <v>0.25</v>
      </c>
      <c r="E359" s="339">
        <v>0.5</v>
      </c>
      <c r="F359" s="339">
        <v>2.5</v>
      </c>
      <c r="G359" s="5">
        <f t="shared" si="48"/>
        <v>3.75</v>
      </c>
      <c r="H359" s="4">
        <f t="shared" si="49"/>
        <v>0.3125</v>
      </c>
      <c r="I359" s="283"/>
      <c r="J359" s="283"/>
      <c r="K359" s="282"/>
      <c r="Q359" s="501"/>
      <c r="R359" s="501"/>
      <c r="S359" s="501"/>
      <c r="T359" s="501"/>
      <c r="U359" s="203"/>
      <c r="V359" s="203"/>
    </row>
    <row r="360" spans="1:22" ht="15" thickBot="1" x14ac:dyDescent="0.35">
      <c r="A360" s="289" t="s">
        <v>1909</v>
      </c>
      <c r="B360" s="156">
        <v>1</v>
      </c>
      <c r="C360" s="156" t="s">
        <v>99</v>
      </c>
      <c r="D360" s="339">
        <v>0.25</v>
      </c>
      <c r="E360" s="339">
        <v>0.5</v>
      </c>
      <c r="F360" s="339">
        <v>2.5</v>
      </c>
      <c r="G360" s="5">
        <f t="shared" si="48"/>
        <v>3.75</v>
      </c>
      <c r="H360" s="4">
        <f t="shared" si="49"/>
        <v>0.3125</v>
      </c>
      <c r="I360" s="283"/>
      <c r="J360" s="283"/>
      <c r="K360" s="282"/>
      <c r="Q360" s="501"/>
      <c r="R360" s="501"/>
      <c r="S360" s="501"/>
      <c r="T360" s="501"/>
      <c r="U360" s="203"/>
      <c r="V360" s="203"/>
    </row>
    <row r="361" spans="1:22" ht="15" thickBot="1" x14ac:dyDescent="0.35">
      <c r="A361" s="289" t="s">
        <v>1910</v>
      </c>
      <c r="B361" s="156">
        <v>1</v>
      </c>
      <c r="C361" s="156" t="s">
        <v>99</v>
      </c>
      <c r="D361" s="339">
        <v>0.25</v>
      </c>
      <c r="E361" s="339">
        <v>0.5</v>
      </c>
      <c r="F361" s="339">
        <v>2.5</v>
      </c>
      <c r="G361" s="5">
        <f t="shared" si="48"/>
        <v>3.75</v>
      </c>
      <c r="H361" s="4">
        <f t="shared" si="49"/>
        <v>0.3125</v>
      </c>
      <c r="I361" s="283"/>
      <c r="J361" s="283"/>
      <c r="K361" s="282"/>
      <c r="Q361" s="501"/>
      <c r="R361" s="501"/>
      <c r="S361" s="501"/>
      <c r="T361" s="501"/>
      <c r="U361" s="203"/>
      <c r="V361" s="203"/>
    </row>
    <row r="362" spans="1:22" ht="15" thickBot="1" x14ac:dyDescent="0.35">
      <c r="A362" s="289" t="s">
        <v>1911</v>
      </c>
      <c r="B362" s="156">
        <v>1</v>
      </c>
      <c r="C362" s="156" t="s">
        <v>99</v>
      </c>
      <c r="D362" s="339">
        <v>0.2</v>
      </c>
      <c r="E362" s="339">
        <v>0.4</v>
      </c>
      <c r="F362" s="339">
        <v>2.95</v>
      </c>
      <c r="G362" s="5">
        <f t="shared" si="48"/>
        <v>3.5400000000000009</v>
      </c>
      <c r="H362" s="4">
        <f t="shared" si="49"/>
        <v>0.23600000000000004</v>
      </c>
      <c r="I362" s="283"/>
      <c r="J362" s="283"/>
      <c r="K362" s="282"/>
      <c r="Q362" s="501"/>
      <c r="R362" s="501"/>
      <c r="S362" s="501"/>
      <c r="T362" s="501"/>
      <c r="U362" s="203"/>
      <c r="V362" s="203"/>
    </row>
    <row r="363" spans="1:22" ht="15" thickBot="1" x14ac:dyDescent="0.35">
      <c r="A363" s="289" t="s">
        <v>1912</v>
      </c>
      <c r="B363" s="156">
        <v>1</v>
      </c>
      <c r="C363" s="156" t="s">
        <v>99</v>
      </c>
      <c r="D363" s="339">
        <v>0.2</v>
      </c>
      <c r="E363" s="339">
        <v>0.4</v>
      </c>
      <c r="F363" s="339">
        <v>2.95</v>
      </c>
      <c r="G363" s="5">
        <f t="shared" si="48"/>
        <v>3.5400000000000009</v>
      </c>
      <c r="H363" s="4">
        <f t="shared" si="49"/>
        <v>0.23600000000000004</v>
      </c>
      <c r="I363" s="283"/>
      <c r="J363" s="283"/>
      <c r="K363" s="282"/>
      <c r="Q363" s="501"/>
      <c r="R363" s="501"/>
      <c r="S363" s="501"/>
      <c r="T363" s="501"/>
      <c r="U363" s="203"/>
      <c r="V363" s="203"/>
    </row>
    <row r="364" spans="1:22" ht="15" thickBot="1" x14ac:dyDescent="0.35">
      <c r="A364" s="289" t="s">
        <v>1913</v>
      </c>
      <c r="B364" s="156">
        <v>1</v>
      </c>
      <c r="C364" s="156" t="s">
        <v>99</v>
      </c>
      <c r="D364" s="339">
        <v>0.2</v>
      </c>
      <c r="E364" s="339">
        <v>0.4</v>
      </c>
      <c r="F364" s="339">
        <v>2.95</v>
      </c>
      <c r="G364" s="5">
        <f t="shared" si="48"/>
        <v>3.5400000000000009</v>
      </c>
      <c r="H364" s="4">
        <f t="shared" si="49"/>
        <v>0.23600000000000004</v>
      </c>
      <c r="I364" s="283"/>
      <c r="J364" s="283"/>
      <c r="K364" s="282"/>
      <c r="Q364" s="501"/>
      <c r="R364" s="501"/>
      <c r="S364" s="501"/>
      <c r="T364" s="501"/>
      <c r="U364" s="203"/>
      <c r="V364" s="203"/>
    </row>
    <row r="365" spans="1:22" ht="15" thickBot="1" x14ac:dyDescent="0.35">
      <c r="A365" s="289" t="s">
        <v>1914</v>
      </c>
      <c r="B365" s="156">
        <v>1</v>
      </c>
      <c r="C365" s="156" t="s">
        <v>99</v>
      </c>
      <c r="D365" s="339">
        <v>0.2</v>
      </c>
      <c r="E365" s="339">
        <v>0.4</v>
      </c>
      <c r="F365" s="339">
        <v>2.95</v>
      </c>
      <c r="G365" s="5">
        <f t="shared" si="48"/>
        <v>3.5400000000000009</v>
      </c>
      <c r="H365" s="4">
        <f t="shared" si="49"/>
        <v>0.23600000000000004</v>
      </c>
      <c r="I365" s="283"/>
      <c r="J365" s="283"/>
      <c r="K365" s="282"/>
      <c r="Q365" s="501"/>
      <c r="R365" s="501"/>
      <c r="S365" s="501"/>
      <c r="T365" s="501"/>
      <c r="U365" s="203"/>
      <c r="V365" s="203"/>
    </row>
    <row r="366" spans="1:22" ht="15" thickBot="1" x14ac:dyDescent="0.35">
      <c r="A366" s="289" t="s">
        <v>1915</v>
      </c>
      <c r="B366" s="156">
        <v>1</v>
      </c>
      <c r="C366" s="156" t="s">
        <v>99</v>
      </c>
      <c r="D366" s="339">
        <v>0.25</v>
      </c>
      <c r="E366" s="339">
        <v>0.5</v>
      </c>
      <c r="F366" s="339">
        <v>2.5</v>
      </c>
      <c r="G366" s="5">
        <f t="shared" si="48"/>
        <v>3.75</v>
      </c>
      <c r="H366" s="4">
        <f t="shared" si="49"/>
        <v>0.3125</v>
      </c>
      <c r="I366" s="283"/>
      <c r="J366" s="283"/>
      <c r="K366" s="282"/>
      <c r="Q366" s="501"/>
      <c r="R366" s="501"/>
      <c r="S366" s="501"/>
      <c r="T366" s="501"/>
      <c r="U366" s="203"/>
      <c r="V366" s="203"/>
    </row>
    <row r="367" spans="1:22" ht="15" thickBot="1" x14ac:dyDescent="0.35">
      <c r="A367" s="289" t="s">
        <v>1916</v>
      </c>
      <c r="B367" s="156">
        <v>1</v>
      </c>
      <c r="C367" s="156" t="s">
        <v>99</v>
      </c>
      <c r="D367" s="339">
        <v>0.25</v>
      </c>
      <c r="E367" s="339">
        <v>0.5</v>
      </c>
      <c r="F367" s="339">
        <v>2.5</v>
      </c>
      <c r="G367" s="5">
        <f t="shared" si="48"/>
        <v>3.75</v>
      </c>
      <c r="H367" s="4">
        <f t="shared" si="49"/>
        <v>0.3125</v>
      </c>
      <c r="I367" s="283"/>
      <c r="J367" s="283"/>
      <c r="K367" s="282"/>
      <c r="Q367" s="501"/>
      <c r="R367" s="501"/>
      <c r="S367" s="501"/>
      <c r="T367" s="501"/>
      <c r="U367" s="203"/>
      <c r="V367" s="203"/>
    </row>
    <row r="368" spans="1:22" ht="15" thickBot="1" x14ac:dyDescent="0.35">
      <c r="A368" s="289" t="s">
        <v>1917</v>
      </c>
      <c r="B368" s="156">
        <v>1</v>
      </c>
      <c r="C368" s="156" t="s">
        <v>99</v>
      </c>
      <c r="D368" s="339">
        <v>0.2</v>
      </c>
      <c r="E368" s="339">
        <v>0.4</v>
      </c>
      <c r="F368" s="339">
        <v>2.95</v>
      </c>
      <c r="G368" s="5">
        <f t="shared" si="48"/>
        <v>3.5400000000000009</v>
      </c>
      <c r="H368" s="4">
        <f t="shared" si="49"/>
        <v>0.23600000000000004</v>
      </c>
      <c r="I368" s="283"/>
      <c r="J368" s="283"/>
      <c r="K368" s="282"/>
      <c r="Q368" s="501"/>
      <c r="R368" s="501"/>
      <c r="S368" s="501"/>
      <c r="T368" s="501"/>
      <c r="U368" s="203"/>
      <c r="V368" s="203"/>
    </row>
    <row r="369" spans="1:22" ht="15" thickBot="1" x14ac:dyDescent="0.35">
      <c r="A369" s="289" t="s">
        <v>1918</v>
      </c>
      <c r="B369" s="156">
        <v>1</v>
      </c>
      <c r="C369" s="156" t="s">
        <v>99</v>
      </c>
      <c r="D369" s="339">
        <v>0.2</v>
      </c>
      <c r="E369" s="339">
        <v>0.4</v>
      </c>
      <c r="F369" s="339">
        <v>2.95</v>
      </c>
      <c r="G369" s="5">
        <f t="shared" si="44"/>
        <v>3.5400000000000009</v>
      </c>
      <c r="H369" s="4">
        <f t="shared" si="45"/>
        <v>0.23600000000000004</v>
      </c>
      <c r="I369" s="283"/>
      <c r="J369" s="283"/>
      <c r="K369" s="282"/>
      <c r="Q369" s="499"/>
      <c r="R369" s="499"/>
      <c r="S369" s="499"/>
      <c r="T369" s="499"/>
      <c r="U369" s="203"/>
      <c r="V369" s="203"/>
    </row>
    <row r="370" spans="1:22" ht="15" thickBot="1" x14ac:dyDescent="0.35">
      <c r="A370" s="289" t="s">
        <v>1919</v>
      </c>
      <c r="B370" s="156">
        <v>1</v>
      </c>
      <c r="C370" s="156" t="s">
        <v>99</v>
      </c>
      <c r="D370" s="339">
        <v>0.2</v>
      </c>
      <c r="E370" s="339">
        <v>0.4</v>
      </c>
      <c r="F370" s="339">
        <v>2.95</v>
      </c>
      <c r="G370" s="5">
        <f t="shared" si="44"/>
        <v>3.5400000000000009</v>
      </c>
      <c r="H370" s="4">
        <f t="shared" si="45"/>
        <v>0.23600000000000004</v>
      </c>
      <c r="I370" s="283"/>
      <c r="J370" s="283"/>
      <c r="K370" s="282"/>
      <c r="Q370" s="499"/>
      <c r="R370" s="499"/>
      <c r="S370" s="499"/>
      <c r="T370" s="499"/>
      <c r="U370" s="203"/>
      <c r="V370" s="203"/>
    </row>
    <row r="371" spans="1:22" ht="15" thickBot="1" x14ac:dyDescent="0.35">
      <c r="A371" s="289" t="s">
        <v>1920</v>
      </c>
      <c r="B371" s="156">
        <v>1</v>
      </c>
      <c r="C371" s="156" t="s">
        <v>99</v>
      </c>
      <c r="D371" s="339">
        <v>0.2</v>
      </c>
      <c r="E371" s="339">
        <v>0.4</v>
      </c>
      <c r="F371" s="339">
        <v>2.95</v>
      </c>
      <c r="G371" s="5">
        <f t="shared" si="44"/>
        <v>3.5400000000000009</v>
      </c>
      <c r="H371" s="4">
        <f t="shared" si="45"/>
        <v>0.23600000000000004</v>
      </c>
      <c r="I371" s="283"/>
      <c r="J371" s="283"/>
      <c r="K371" s="282"/>
      <c r="Q371" s="499"/>
      <c r="R371" s="499"/>
      <c r="S371" s="499"/>
      <c r="T371" s="499"/>
      <c r="U371" s="203"/>
      <c r="V371" s="203"/>
    </row>
    <row r="372" spans="1:22" ht="15" thickBot="1" x14ac:dyDescent="0.35">
      <c r="A372" s="289" t="s">
        <v>1921</v>
      </c>
      <c r="B372" s="156">
        <v>1</v>
      </c>
      <c r="C372" s="156" t="s">
        <v>99</v>
      </c>
      <c r="D372" s="339">
        <v>0.15</v>
      </c>
      <c r="E372" s="339">
        <v>0.4</v>
      </c>
      <c r="F372" s="339">
        <v>2.95</v>
      </c>
      <c r="G372" s="5">
        <f t="shared" si="34"/>
        <v>3.2450000000000006</v>
      </c>
      <c r="H372" s="4">
        <f t="shared" si="35"/>
        <v>0.17700000000000002</v>
      </c>
      <c r="I372" s="283"/>
      <c r="J372" s="283"/>
      <c r="K372" s="282"/>
      <c r="Q372" s="499"/>
      <c r="R372" s="499"/>
      <c r="S372" s="499"/>
      <c r="T372" s="499"/>
      <c r="U372" s="203"/>
      <c r="V372" s="203"/>
    </row>
    <row r="373" spans="1:22" ht="15" thickBot="1" x14ac:dyDescent="0.35">
      <c r="A373" s="289" t="s">
        <v>1922</v>
      </c>
      <c r="B373" s="156">
        <v>1</v>
      </c>
      <c r="C373" s="156" t="s">
        <v>99</v>
      </c>
      <c r="D373" s="339">
        <v>0.2</v>
      </c>
      <c r="E373" s="339">
        <v>0.5</v>
      </c>
      <c r="F373" s="339">
        <v>2.95</v>
      </c>
      <c r="G373" s="5">
        <f t="shared" ref="G373:G410" si="50">(((2*D373+2*E373)*F373))*B373</f>
        <v>4.13</v>
      </c>
      <c r="H373" s="4">
        <f t="shared" ref="H373:H410" si="51">F373*E373*D373*B373</f>
        <v>0.29500000000000004</v>
      </c>
      <c r="I373" s="283"/>
      <c r="J373" s="283"/>
      <c r="K373" s="282"/>
      <c r="Q373" s="499"/>
      <c r="R373" s="499"/>
      <c r="S373" s="499"/>
      <c r="T373" s="499"/>
      <c r="U373" s="203"/>
      <c r="V373" s="203"/>
    </row>
    <row r="374" spans="1:22" ht="15" thickBot="1" x14ac:dyDescent="0.35">
      <c r="A374" s="289" t="s">
        <v>1923</v>
      </c>
      <c r="B374" s="156">
        <v>1</v>
      </c>
      <c r="C374" s="156" t="s">
        <v>99</v>
      </c>
      <c r="D374" s="339">
        <v>0.2</v>
      </c>
      <c r="E374" s="339">
        <v>0.4</v>
      </c>
      <c r="F374" s="339">
        <v>2.95</v>
      </c>
      <c r="G374" s="5">
        <f t="shared" si="50"/>
        <v>3.5400000000000009</v>
      </c>
      <c r="H374" s="4">
        <f t="shared" si="51"/>
        <v>0.23600000000000004</v>
      </c>
      <c r="I374" s="283"/>
      <c r="J374" s="283"/>
      <c r="K374" s="282"/>
      <c r="Q374" s="499"/>
      <c r="R374" s="499"/>
      <c r="S374" s="499"/>
      <c r="T374" s="499"/>
      <c r="U374" s="203"/>
      <c r="V374" s="203"/>
    </row>
    <row r="375" spans="1:22" ht="15" thickBot="1" x14ac:dyDescent="0.35">
      <c r="A375" s="289" t="s">
        <v>1924</v>
      </c>
      <c r="B375" s="156">
        <v>1</v>
      </c>
      <c r="C375" s="156" t="s">
        <v>99</v>
      </c>
      <c r="D375" s="339">
        <v>0.15</v>
      </c>
      <c r="E375" s="339">
        <v>0.5</v>
      </c>
      <c r="F375" s="339">
        <v>2.95</v>
      </c>
      <c r="G375" s="5">
        <f t="shared" si="50"/>
        <v>3.8350000000000004</v>
      </c>
      <c r="H375" s="4">
        <f t="shared" si="51"/>
        <v>0.22125</v>
      </c>
      <c r="I375" s="283"/>
      <c r="J375" s="283"/>
      <c r="K375" s="282"/>
      <c r="Q375" s="499"/>
      <c r="R375" s="499"/>
      <c r="S375" s="499"/>
      <c r="T375" s="499"/>
      <c r="U375" s="203"/>
      <c r="V375" s="203"/>
    </row>
    <row r="376" spans="1:22" ht="15" thickBot="1" x14ac:dyDescent="0.35">
      <c r="A376" s="289" t="s">
        <v>1925</v>
      </c>
      <c r="B376" s="156">
        <v>1</v>
      </c>
      <c r="C376" s="156" t="s">
        <v>99</v>
      </c>
      <c r="D376" s="339">
        <v>0.15</v>
      </c>
      <c r="E376" s="339">
        <v>0.4</v>
      </c>
      <c r="F376" s="339">
        <v>2.95</v>
      </c>
      <c r="G376" s="5">
        <f t="shared" ref="G376:G388" si="52">(((2*D376+2*E376)*F376))*B376</f>
        <v>3.2450000000000006</v>
      </c>
      <c r="H376" s="4">
        <f t="shared" ref="H376:H388" si="53">F376*E376*D376*B376</f>
        <v>0.17700000000000002</v>
      </c>
      <c r="I376" s="283"/>
      <c r="J376" s="283"/>
      <c r="K376" s="282"/>
      <c r="Q376" s="591"/>
      <c r="R376" s="591"/>
      <c r="S376" s="591"/>
      <c r="T376" s="591"/>
      <c r="U376" s="203"/>
      <c r="V376" s="203"/>
    </row>
    <row r="377" spans="1:22" ht="15" thickBot="1" x14ac:dyDescent="0.35">
      <c r="A377" s="289" t="s">
        <v>1926</v>
      </c>
      <c r="B377" s="156">
        <v>1</v>
      </c>
      <c r="C377" s="156" t="s">
        <v>99</v>
      </c>
      <c r="D377" s="339">
        <v>0.15</v>
      </c>
      <c r="E377" s="339">
        <v>0.4</v>
      </c>
      <c r="F377" s="339">
        <v>2.95</v>
      </c>
      <c r="G377" s="5">
        <f t="shared" si="52"/>
        <v>3.2450000000000006</v>
      </c>
      <c r="H377" s="4">
        <f t="shared" si="53"/>
        <v>0.17700000000000002</v>
      </c>
      <c r="I377" s="283"/>
      <c r="J377" s="283"/>
      <c r="K377" s="282"/>
      <c r="Q377" s="591"/>
      <c r="R377" s="591"/>
      <c r="S377" s="591"/>
      <c r="T377" s="591"/>
      <c r="U377" s="203"/>
      <c r="V377" s="203"/>
    </row>
    <row r="378" spans="1:22" ht="15" thickBot="1" x14ac:dyDescent="0.35">
      <c r="A378" s="289" t="s">
        <v>1927</v>
      </c>
      <c r="B378" s="156">
        <v>1</v>
      </c>
      <c r="C378" s="156" t="s">
        <v>99</v>
      </c>
      <c r="D378" s="339">
        <v>0.15</v>
      </c>
      <c r="E378" s="339">
        <v>0.5</v>
      </c>
      <c r="F378" s="339">
        <v>2.95</v>
      </c>
      <c r="G378" s="5">
        <f t="shared" si="52"/>
        <v>3.8350000000000004</v>
      </c>
      <c r="H378" s="4">
        <f t="shared" si="53"/>
        <v>0.22125</v>
      </c>
      <c r="I378" s="283"/>
      <c r="J378" s="283"/>
      <c r="K378" s="282"/>
      <c r="Q378" s="591"/>
      <c r="R378" s="591"/>
      <c r="S378" s="591"/>
      <c r="T378" s="591"/>
      <c r="U378" s="203"/>
      <c r="V378" s="203"/>
    </row>
    <row r="379" spans="1:22" ht="15" thickBot="1" x14ac:dyDescent="0.35">
      <c r="A379" s="289" t="s">
        <v>1928</v>
      </c>
      <c r="B379" s="156">
        <v>1</v>
      </c>
      <c r="C379" s="156" t="s">
        <v>99</v>
      </c>
      <c r="D379" s="339">
        <v>0.2</v>
      </c>
      <c r="E379" s="339">
        <v>0.4</v>
      </c>
      <c r="F379" s="339">
        <v>2.95</v>
      </c>
      <c r="G379" s="5">
        <f t="shared" si="52"/>
        <v>3.5400000000000009</v>
      </c>
      <c r="H379" s="4">
        <f t="shared" si="53"/>
        <v>0.23600000000000004</v>
      </c>
      <c r="I379" s="283"/>
      <c r="J379" s="283"/>
      <c r="K379" s="282"/>
      <c r="Q379" s="591"/>
      <c r="R379" s="591"/>
      <c r="S379" s="591"/>
      <c r="T379" s="591"/>
      <c r="U379" s="203"/>
      <c r="V379" s="203"/>
    </row>
    <row r="380" spans="1:22" ht="15" thickBot="1" x14ac:dyDescent="0.35">
      <c r="A380" s="289" t="s">
        <v>1929</v>
      </c>
      <c r="B380" s="156">
        <v>1</v>
      </c>
      <c r="C380" s="156" t="s">
        <v>99</v>
      </c>
      <c r="D380" s="339">
        <v>0.2</v>
      </c>
      <c r="E380" s="339">
        <v>0.4</v>
      </c>
      <c r="F380" s="339">
        <v>2.95</v>
      </c>
      <c r="G380" s="5">
        <f t="shared" si="52"/>
        <v>3.5400000000000009</v>
      </c>
      <c r="H380" s="4">
        <f t="shared" si="53"/>
        <v>0.23600000000000004</v>
      </c>
      <c r="I380" s="283"/>
      <c r="J380" s="283"/>
      <c r="K380" s="282"/>
      <c r="Q380" s="591"/>
      <c r="R380" s="591"/>
      <c r="S380" s="591"/>
      <c r="T380" s="591"/>
      <c r="U380" s="203"/>
      <c r="V380" s="203"/>
    </row>
    <row r="381" spans="1:22" ht="15" thickBot="1" x14ac:dyDescent="0.35">
      <c r="A381" s="289" t="s">
        <v>1930</v>
      </c>
      <c r="B381" s="156">
        <v>1</v>
      </c>
      <c r="C381" s="156" t="s">
        <v>99</v>
      </c>
      <c r="D381" s="339">
        <v>0.2</v>
      </c>
      <c r="E381" s="339">
        <v>0.4</v>
      </c>
      <c r="F381" s="339">
        <v>2.95</v>
      </c>
      <c r="G381" s="5">
        <f t="shared" si="52"/>
        <v>3.5400000000000009</v>
      </c>
      <c r="H381" s="4">
        <f t="shared" si="53"/>
        <v>0.23600000000000004</v>
      </c>
      <c r="I381" s="283"/>
      <c r="J381" s="283"/>
      <c r="K381" s="282"/>
      <c r="Q381" s="591"/>
      <c r="R381" s="591"/>
      <c r="S381" s="591"/>
      <c r="T381" s="591"/>
      <c r="U381" s="203"/>
      <c r="V381" s="203"/>
    </row>
    <row r="382" spans="1:22" ht="15" thickBot="1" x14ac:dyDescent="0.35">
      <c r="A382" s="289" t="s">
        <v>1931</v>
      </c>
      <c r="B382" s="156">
        <v>1</v>
      </c>
      <c r="C382" s="156" t="s">
        <v>99</v>
      </c>
      <c r="D382" s="339">
        <v>0.2</v>
      </c>
      <c r="E382" s="339">
        <v>0.4</v>
      </c>
      <c r="F382" s="339">
        <v>2.95</v>
      </c>
      <c r="G382" s="5">
        <f t="shared" si="52"/>
        <v>3.5400000000000009</v>
      </c>
      <c r="H382" s="4">
        <f t="shared" si="53"/>
        <v>0.23600000000000004</v>
      </c>
      <c r="I382" s="283"/>
      <c r="J382" s="283"/>
      <c r="K382" s="282"/>
      <c r="Q382" s="591"/>
      <c r="R382" s="591"/>
      <c r="S382" s="591"/>
      <c r="T382" s="591"/>
      <c r="U382" s="203"/>
      <c r="V382" s="203"/>
    </row>
    <row r="383" spans="1:22" ht="15" thickBot="1" x14ac:dyDescent="0.35">
      <c r="A383" s="289" t="s">
        <v>1932</v>
      </c>
      <c r="B383" s="156">
        <v>1</v>
      </c>
      <c r="C383" s="156" t="s">
        <v>99</v>
      </c>
      <c r="D383" s="339">
        <v>0.2</v>
      </c>
      <c r="E383" s="339">
        <v>0.4</v>
      </c>
      <c r="F383" s="339">
        <v>2.95</v>
      </c>
      <c r="G383" s="5">
        <f t="shared" si="52"/>
        <v>3.5400000000000009</v>
      </c>
      <c r="H383" s="4">
        <f t="shared" si="53"/>
        <v>0.23600000000000004</v>
      </c>
      <c r="I383" s="283"/>
      <c r="J383" s="283"/>
      <c r="K383" s="282"/>
      <c r="Q383" s="591"/>
      <c r="R383" s="591"/>
      <c r="S383" s="591"/>
      <c r="T383" s="591"/>
      <c r="U383" s="203"/>
      <c r="V383" s="203"/>
    </row>
    <row r="384" spans="1:22" ht="15" thickBot="1" x14ac:dyDescent="0.35">
      <c r="A384" s="289" t="s">
        <v>1933</v>
      </c>
      <c r="B384" s="156">
        <v>1</v>
      </c>
      <c r="C384" s="156" t="s">
        <v>99</v>
      </c>
      <c r="D384" s="339">
        <v>0.2</v>
      </c>
      <c r="E384" s="339">
        <v>0.4</v>
      </c>
      <c r="F384" s="339">
        <v>2.95</v>
      </c>
      <c r="G384" s="5">
        <f t="shared" si="52"/>
        <v>3.5400000000000009</v>
      </c>
      <c r="H384" s="4">
        <f t="shared" si="53"/>
        <v>0.23600000000000004</v>
      </c>
      <c r="I384" s="283"/>
      <c r="J384" s="283"/>
      <c r="K384" s="282"/>
      <c r="Q384" s="591"/>
      <c r="R384" s="591"/>
      <c r="S384" s="591"/>
      <c r="T384" s="591"/>
      <c r="U384" s="203"/>
      <c r="V384" s="203"/>
    </row>
    <row r="385" spans="1:22" ht="15" thickBot="1" x14ac:dyDescent="0.35">
      <c r="A385" s="289" t="s">
        <v>1934</v>
      </c>
      <c r="B385" s="156">
        <v>1</v>
      </c>
      <c r="C385" s="156" t="s">
        <v>99</v>
      </c>
      <c r="D385" s="339">
        <v>0.2</v>
      </c>
      <c r="E385" s="339">
        <v>0.4</v>
      </c>
      <c r="F385" s="339">
        <v>2.95</v>
      </c>
      <c r="G385" s="5">
        <f t="shared" si="52"/>
        <v>3.5400000000000009</v>
      </c>
      <c r="H385" s="4">
        <f t="shared" si="53"/>
        <v>0.23600000000000004</v>
      </c>
      <c r="I385" s="283"/>
      <c r="J385" s="283"/>
      <c r="K385" s="282"/>
      <c r="Q385" s="591"/>
      <c r="R385" s="591"/>
      <c r="S385" s="591"/>
      <c r="T385" s="591"/>
      <c r="U385" s="203"/>
      <c r="V385" s="203"/>
    </row>
    <row r="386" spans="1:22" ht="15" thickBot="1" x14ac:dyDescent="0.35">
      <c r="A386" s="289" t="s">
        <v>1935</v>
      </c>
      <c r="B386" s="156">
        <v>1</v>
      </c>
      <c r="C386" s="156" t="s">
        <v>99</v>
      </c>
      <c r="D386" s="339">
        <v>0.2</v>
      </c>
      <c r="E386" s="339">
        <v>0.4</v>
      </c>
      <c r="F386" s="339">
        <v>2.95</v>
      </c>
      <c r="G386" s="5">
        <f t="shared" si="52"/>
        <v>3.5400000000000009</v>
      </c>
      <c r="H386" s="4">
        <f t="shared" si="53"/>
        <v>0.23600000000000004</v>
      </c>
      <c r="I386" s="283"/>
      <c r="J386" s="283"/>
      <c r="K386" s="282"/>
      <c r="Q386" s="591"/>
      <c r="R386" s="591"/>
      <c r="S386" s="591"/>
      <c r="T386" s="591"/>
      <c r="U386" s="203"/>
      <c r="V386" s="203"/>
    </row>
    <row r="387" spans="1:22" ht="15" thickBot="1" x14ac:dyDescent="0.35">
      <c r="A387" s="289" t="s">
        <v>1936</v>
      </c>
      <c r="B387" s="156">
        <v>1</v>
      </c>
      <c r="C387" s="156" t="s">
        <v>99</v>
      </c>
      <c r="D387" s="339">
        <v>0.2</v>
      </c>
      <c r="E387" s="339">
        <v>0.4</v>
      </c>
      <c r="F387" s="339">
        <v>2.95</v>
      </c>
      <c r="G387" s="5">
        <f t="shared" si="52"/>
        <v>3.5400000000000009</v>
      </c>
      <c r="H387" s="4">
        <f t="shared" si="53"/>
        <v>0.23600000000000004</v>
      </c>
      <c r="I387" s="283"/>
      <c r="J387" s="283"/>
      <c r="K387" s="282"/>
      <c r="Q387" s="591"/>
      <c r="R387" s="591"/>
      <c r="S387" s="591"/>
      <c r="T387" s="591"/>
      <c r="U387" s="203"/>
      <c r="V387" s="203"/>
    </row>
    <row r="388" spans="1:22" ht="15" thickBot="1" x14ac:dyDescent="0.35">
      <c r="A388" s="289" t="s">
        <v>1937</v>
      </c>
      <c r="B388" s="156">
        <v>1</v>
      </c>
      <c r="C388" s="156" t="s">
        <v>99</v>
      </c>
      <c r="D388" s="339">
        <v>0.2</v>
      </c>
      <c r="E388" s="339">
        <v>0.5</v>
      </c>
      <c r="F388" s="339">
        <v>2.95</v>
      </c>
      <c r="G388" s="5">
        <f t="shared" si="52"/>
        <v>4.13</v>
      </c>
      <c r="H388" s="4">
        <f t="shared" si="53"/>
        <v>0.29500000000000004</v>
      </c>
      <c r="I388" s="283"/>
      <c r="J388" s="283"/>
      <c r="K388" s="282"/>
      <c r="Q388" s="591"/>
      <c r="R388" s="591"/>
      <c r="S388" s="591"/>
      <c r="T388" s="591"/>
      <c r="U388" s="203"/>
      <c r="V388" s="203"/>
    </row>
    <row r="389" spans="1:22" ht="15" thickBot="1" x14ac:dyDescent="0.35">
      <c r="A389" s="289" t="s">
        <v>1938</v>
      </c>
      <c r="B389" s="156">
        <v>1</v>
      </c>
      <c r="C389" s="156" t="s">
        <v>99</v>
      </c>
      <c r="D389" s="339">
        <v>0.2</v>
      </c>
      <c r="E389" s="339">
        <v>0.5</v>
      </c>
      <c r="F389" s="339">
        <v>2.95</v>
      </c>
      <c r="G389" s="5">
        <f t="shared" si="50"/>
        <v>4.13</v>
      </c>
      <c r="H389" s="4">
        <f t="shared" si="51"/>
        <v>0.29500000000000004</v>
      </c>
      <c r="I389" s="283"/>
      <c r="J389" s="283"/>
      <c r="K389" s="282"/>
      <c r="Q389" s="591"/>
      <c r="R389" s="591"/>
      <c r="S389" s="591"/>
      <c r="T389" s="591"/>
      <c r="U389" s="203"/>
      <c r="V389" s="203"/>
    </row>
    <row r="390" spans="1:22" ht="15" thickBot="1" x14ac:dyDescent="0.35">
      <c r="A390" s="289" t="s">
        <v>1939</v>
      </c>
      <c r="B390" s="156">
        <v>1</v>
      </c>
      <c r="C390" s="156" t="s">
        <v>99</v>
      </c>
      <c r="D390" s="339">
        <v>0.2</v>
      </c>
      <c r="E390" s="339">
        <v>0.4</v>
      </c>
      <c r="F390" s="339">
        <v>2.95</v>
      </c>
      <c r="G390" s="5">
        <f t="shared" si="50"/>
        <v>3.5400000000000009</v>
      </c>
      <c r="H390" s="4">
        <f t="shared" si="51"/>
        <v>0.23600000000000004</v>
      </c>
      <c r="I390" s="283"/>
      <c r="J390" s="283"/>
      <c r="K390" s="282"/>
      <c r="Q390" s="591"/>
      <c r="R390" s="591"/>
      <c r="S390" s="591"/>
      <c r="T390" s="591"/>
      <c r="U390" s="203"/>
      <c r="V390" s="203"/>
    </row>
    <row r="391" spans="1:22" ht="15" thickBot="1" x14ac:dyDescent="0.35">
      <c r="A391" s="289" t="s">
        <v>1908</v>
      </c>
      <c r="B391" s="156">
        <v>1</v>
      </c>
      <c r="C391" s="156" t="s">
        <v>184</v>
      </c>
      <c r="D391" s="339">
        <v>0.25</v>
      </c>
      <c r="E391" s="339">
        <v>0.5</v>
      </c>
      <c r="F391" s="339">
        <v>0.82</v>
      </c>
      <c r="G391" s="5">
        <f t="shared" ref="G391:G407" si="54">(((2*D391+2*E391)*F391))*B391</f>
        <v>1.23</v>
      </c>
      <c r="H391" s="4">
        <f t="shared" ref="H391:H407" si="55">F391*E391*D391*B391</f>
        <v>0.10249999999999999</v>
      </c>
      <c r="I391" s="283"/>
      <c r="J391" s="283"/>
      <c r="K391" s="282"/>
      <c r="Q391" s="591"/>
      <c r="R391" s="591"/>
      <c r="S391" s="591"/>
      <c r="T391" s="591"/>
      <c r="U391" s="203"/>
      <c r="V391" s="203"/>
    </row>
    <row r="392" spans="1:22" ht="15" thickBot="1" x14ac:dyDescent="0.35">
      <c r="A392" s="289" t="s">
        <v>1909</v>
      </c>
      <c r="B392" s="156">
        <v>1</v>
      </c>
      <c r="C392" s="156" t="s">
        <v>184</v>
      </c>
      <c r="D392" s="339">
        <v>0.25</v>
      </c>
      <c r="E392" s="339">
        <v>0.5</v>
      </c>
      <c r="F392" s="339">
        <v>0.82</v>
      </c>
      <c r="G392" s="5">
        <f t="shared" si="54"/>
        <v>1.23</v>
      </c>
      <c r="H392" s="4">
        <f t="shared" si="55"/>
        <v>0.10249999999999999</v>
      </c>
      <c r="I392" s="283"/>
      <c r="J392" s="283"/>
      <c r="K392" s="282"/>
      <c r="Q392" s="591"/>
      <c r="R392" s="591"/>
      <c r="S392" s="591"/>
      <c r="T392" s="591"/>
      <c r="U392" s="203"/>
      <c r="V392" s="203"/>
    </row>
    <row r="393" spans="1:22" ht="15" thickBot="1" x14ac:dyDescent="0.35">
      <c r="A393" s="289" t="s">
        <v>1910</v>
      </c>
      <c r="B393" s="156">
        <v>1</v>
      </c>
      <c r="C393" s="156" t="s">
        <v>184</v>
      </c>
      <c r="D393" s="339">
        <v>0.25</v>
      </c>
      <c r="E393" s="339">
        <v>0.5</v>
      </c>
      <c r="F393" s="339">
        <v>0.82</v>
      </c>
      <c r="G393" s="5">
        <f t="shared" si="54"/>
        <v>1.23</v>
      </c>
      <c r="H393" s="4">
        <f t="shared" si="55"/>
        <v>0.10249999999999999</v>
      </c>
      <c r="I393" s="283"/>
      <c r="J393" s="283"/>
      <c r="K393" s="282"/>
      <c r="Q393" s="591"/>
      <c r="R393" s="591"/>
      <c r="S393" s="591"/>
      <c r="T393" s="591"/>
      <c r="U393" s="203"/>
      <c r="V393" s="203"/>
    </row>
    <row r="394" spans="1:22" ht="15" thickBot="1" x14ac:dyDescent="0.35">
      <c r="A394" s="289" t="s">
        <v>1911</v>
      </c>
      <c r="B394" s="156">
        <v>1</v>
      </c>
      <c r="C394" s="156" t="s">
        <v>184</v>
      </c>
      <c r="D394" s="339">
        <v>0.2</v>
      </c>
      <c r="E394" s="339">
        <v>0.4</v>
      </c>
      <c r="F394" s="339">
        <v>0.9</v>
      </c>
      <c r="G394" s="5">
        <f t="shared" ref="G394:G399" si="56">(((2*D394+2*E394)*F394))*B394</f>
        <v>1.0800000000000003</v>
      </c>
      <c r="H394" s="4">
        <f t="shared" ref="H394:H399" si="57">F394*E394*D394*B394</f>
        <v>7.2000000000000008E-2</v>
      </c>
      <c r="I394" s="283"/>
      <c r="J394" s="283"/>
      <c r="K394" s="282"/>
      <c r="Q394" s="591"/>
      <c r="R394" s="591"/>
      <c r="S394" s="591"/>
      <c r="T394" s="591"/>
      <c r="U394" s="203"/>
      <c r="V394" s="203"/>
    </row>
    <row r="395" spans="1:22" ht="15" thickBot="1" x14ac:dyDescent="0.35">
      <c r="A395" s="289" t="s">
        <v>1912</v>
      </c>
      <c r="B395" s="156">
        <v>1</v>
      </c>
      <c r="C395" s="156" t="s">
        <v>184</v>
      </c>
      <c r="D395" s="339">
        <v>0.2</v>
      </c>
      <c r="E395" s="339">
        <v>0.4</v>
      </c>
      <c r="F395" s="339">
        <v>0.9</v>
      </c>
      <c r="G395" s="5">
        <f t="shared" si="56"/>
        <v>1.0800000000000003</v>
      </c>
      <c r="H395" s="4">
        <f t="shared" si="57"/>
        <v>7.2000000000000008E-2</v>
      </c>
      <c r="I395" s="283"/>
      <c r="J395" s="283"/>
      <c r="K395" s="282"/>
      <c r="Q395" s="591"/>
      <c r="R395" s="591"/>
      <c r="S395" s="591"/>
      <c r="T395" s="591"/>
      <c r="U395" s="203"/>
      <c r="V395" s="203"/>
    </row>
    <row r="396" spans="1:22" ht="15" thickBot="1" x14ac:dyDescent="0.35">
      <c r="A396" s="289" t="s">
        <v>1913</v>
      </c>
      <c r="B396" s="156">
        <v>1</v>
      </c>
      <c r="C396" s="156" t="s">
        <v>184</v>
      </c>
      <c r="D396" s="339">
        <v>0.2</v>
      </c>
      <c r="E396" s="339">
        <v>0.4</v>
      </c>
      <c r="F396" s="339">
        <v>0.9</v>
      </c>
      <c r="G396" s="5">
        <f t="shared" si="56"/>
        <v>1.0800000000000003</v>
      </c>
      <c r="H396" s="4">
        <f t="shared" si="57"/>
        <v>7.2000000000000008E-2</v>
      </c>
      <c r="I396" s="283"/>
      <c r="J396" s="283"/>
      <c r="K396" s="282"/>
      <c r="Q396" s="591"/>
      <c r="R396" s="591"/>
      <c r="S396" s="591"/>
      <c r="T396" s="591"/>
      <c r="U396" s="203"/>
      <c r="V396" s="203"/>
    </row>
    <row r="397" spans="1:22" ht="15" thickBot="1" x14ac:dyDescent="0.35">
      <c r="A397" s="289" t="s">
        <v>1914</v>
      </c>
      <c r="B397" s="156">
        <v>1</v>
      </c>
      <c r="C397" s="156" t="s">
        <v>184</v>
      </c>
      <c r="D397" s="339">
        <v>0.2</v>
      </c>
      <c r="E397" s="339">
        <v>0.4</v>
      </c>
      <c r="F397" s="339">
        <v>0.9</v>
      </c>
      <c r="G397" s="5">
        <f t="shared" si="56"/>
        <v>1.0800000000000003</v>
      </c>
      <c r="H397" s="4">
        <f t="shared" si="57"/>
        <v>7.2000000000000008E-2</v>
      </c>
      <c r="I397" s="283"/>
      <c r="J397" s="283"/>
      <c r="K397" s="282"/>
      <c r="Q397" s="591"/>
      <c r="R397" s="591"/>
      <c r="S397" s="591"/>
      <c r="T397" s="591"/>
      <c r="U397" s="203"/>
      <c r="V397" s="203"/>
    </row>
    <row r="398" spans="1:22" ht="15" thickBot="1" x14ac:dyDescent="0.35">
      <c r="A398" s="289" t="s">
        <v>1915</v>
      </c>
      <c r="B398" s="156">
        <v>1</v>
      </c>
      <c r="C398" s="156" t="s">
        <v>184</v>
      </c>
      <c r="D398" s="339">
        <v>0.25</v>
      </c>
      <c r="E398" s="339">
        <v>0.5</v>
      </c>
      <c r="F398" s="339">
        <v>0.82</v>
      </c>
      <c r="G398" s="5">
        <f t="shared" si="56"/>
        <v>1.23</v>
      </c>
      <c r="H398" s="4">
        <f t="shared" si="57"/>
        <v>0.10249999999999999</v>
      </c>
      <c r="I398" s="283"/>
      <c r="J398" s="283"/>
      <c r="K398" s="282"/>
      <c r="Q398" s="591"/>
      <c r="R398" s="591"/>
      <c r="S398" s="591"/>
      <c r="T398" s="591"/>
      <c r="U398" s="203"/>
      <c r="V398" s="203"/>
    </row>
    <row r="399" spans="1:22" ht="15" thickBot="1" x14ac:dyDescent="0.35">
      <c r="A399" s="289" t="s">
        <v>1916</v>
      </c>
      <c r="B399" s="156">
        <v>1</v>
      </c>
      <c r="C399" s="156" t="s">
        <v>184</v>
      </c>
      <c r="D399" s="339">
        <v>0.25</v>
      </c>
      <c r="E399" s="339">
        <v>0.5</v>
      </c>
      <c r="F399" s="339">
        <v>0.82</v>
      </c>
      <c r="G399" s="5">
        <f t="shared" si="56"/>
        <v>1.23</v>
      </c>
      <c r="H399" s="4">
        <f t="shared" si="57"/>
        <v>0.10249999999999999</v>
      </c>
      <c r="I399" s="283"/>
      <c r="J399" s="283"/>
      <c r="K399" s="282"/>
      <c r="Q399" s="591"/>
      <c r="R399" s="591"/>
      <c r="S399" s="591"/>
      <c r="T399" s="591"/>
      <c r="U399" s="203"/>
      <c r="V399" s="203"/>
    </row>
    <row r="400" spans="1:22" ht="15" thickBot="1" x14ac:dyDescent="0.35">
      <c r="A400" s="289" t="s">
        <v>1917</v>
      </c>
      <c r="B400" s="156">
        <v>1</v>
      </c>
      <c r="C400" s="156" t="s">
        <v>184</v>
      </c>
      <c r="D400" s="339">
        <v>0.2</v>
      </c>
      <c r="E400" s="339">
        <v>0.4</v>
      </c>
      <c r="F400" s="339">
        <v>0.9</v>
      </c>
      <c r="G400" s="5">
        <f t="shared" si="54"/>
        <v>1.0800000000000003</v>
      </c>
      <c r="H400" s="4">
        <f t="shared" si="55"/>
        <v>7.2000000000000008E-2</v>
      </c>
      <c r="I400" s="283"/>
      <c r="J400" s="283"/>
      <c r="K400" s="282"/>
      <c r="Q400" s="591"/>
      <c r="R400" s="591"/>
      <c r="S400" s="591"/>
      <c r="T400" s="591"/>
      <c r="U400" s="203"/>
      <c r="V400" s="203"/>
    </row>
    <row r="401" spans="1:22" ht="15" thickBot="1" x14ac:dyDescent="0.35">
      <c r="A401" s="289" t="s">
        <v>1918</v>
      </c>
      <c r="B401" s="156">
        <v>1</v>
      </c>
      <c r="C401" s="156" t="s">
        <v>184</v>
      </c>
      <c r="D401" s="339">
        <v>0.2</v>
      </c>
      <c r="E401" s="339">
        <v>0.4</v>
      </c>
      <c r="F401" s="339">
        <v>0.9</v>
      </c>
      <c r="G401" s="5">
        <f t="shared" si="54"/>
        <v>1.0800000000000003</v>
      </c>
      <c r="H401" s="4">
        <f t="shared" si="55"/>
        <v>7.2000000000000008E-2</v>
      </c>
      <c r="I401" s="283"/>
      <c r="J401" s="283"/>
      <c r="K401" s="282"/>
      <c r="Q401" s="591"/>
      <c r="R401" s="591"/>
      <c r="S401" s="591"/>
      <c r="T401" s="591"/>
      <c r="U401" s="203"/>
      <c r="V401" s="203"/>
    </row>
    <row r="402" spans="1:22" ht="15" thickBot="1" x14ac:dyDescent="0.35">
      <c r="A402" s="289" t="s">
        <v>1919</v>
      </c>
      <c r="B402" s="156">
        <v>1</v>
      </c>
      <c r="C402" s="156" t="s">
        <v>184</v>
      </c>
      <c r="D402" s="339">
        <v>0.2</v>
      </c>
      <c r="E402" s="339">
        <v>0.4</v>
      </c>
      <c r="F402" s="339">
        <v>0.9</v>
      </c>
      <c r="G402" s="5">
        <f t="shared" si="54"/>
        <v>1.0800000000000003</v>
      </c>
      <c r="H402" s="4">
        <f t="shared" si="55"/>
        <v>7.2000000000000008E-2</v>
      </c>
      <c r="I402" s="283"/>
      <c r="J402" s="283"/>
      <c r="K402" s="282"/>
      <c r="Q402" s="591"/>
      <c r="R402" s="591"/>
      <c r="S402" s="591"/>
      <c r="T402" s="591"/>
      <c r="U402" s="203"/>
      <c r="V402" s="203"/>
    </row>
    <row r="403" spans="1:22" ht="15" thickBot="1" x14ac:dyDescent="0.35">
      <c r="A403" s="289" t="s">
        <v>1920</v>
      </c>
      <c r="B403" s="156">
        <v>1</v>
      </c>
      <c r="C403" s="156" t="s">
        <v>184</v>
      </c>
      <c r="D403" s="339">
        <v>0.2</v>
      </c>
      <c r="E403" s="339">
        <v>0.4</v>
      </c>
      <c r="F403" s="339">
        <v>0.9</v>
      </c>
      <c r="G403" s="5">
        <f t="shared" si="54"/>
        <v>1.0800000000000003</v>
      </c>
      <c r="H403" s="4">
        <f t="shared" si="55"/>
        <v>7.2000000000000008E-2</v>
      </c>
      <c r="I403" s="283"/>
      <c r="J403" s="283"/>
      <c r="K403" s="282"/>
      <c r="Q403" s="591"/>
      <c r="R403" s="591"/>
      <c r="S403" s="591"/>
      <c r="T403" s="591"/>
      <c r="U403" s="203"/>
      <c r="V403" s="203"/>
    </row>
    <row r="404" spans="1:22" ht="15" thickBot="1" x14ac:dyDescent="0.35">
      <c r="A404" s="289" t="s">
        <v>1922</v>
      </c>
      <c r="B404" s="156">
        <v>1</v>
      </c>
      <c r="C404" s="156" t="s">
        <v>184</v>
      </c>
      <c r="D404" s="339">
        <v>0.2</v>
      </c>
      <c r="E404" s="339">
        <v>0.5</v>
      </c>
      <c r="F404" s="339">
        <v>0.9</v>
      </c>
      <c r="G404" s="5">
        <f t="shared" si="54"/>
        <v>1.26</v>
      </c>
      <c r="H404" s="4">
        <f t="shared" si="55"/>
        <v>9.0000000000000011E-2</v>
      </c>
      <c r="I404" s="283"/>
      <c r="J404" s="283"/>
      <c r="K404" s="282"/>
      <c r="Q404" s="591"/>
      <c r="R404" s="591"/>
      <c r="S404" s="591"/>
      <c r="T404" s="591"/>
      <c r="U404" s="203"/>
      <c r="V404" s="203"/>
    </row>
    <row r="405" spans="1:22" ht="15" thickBot="1" x14ac:dyDescent="0.35">
      <c r="A405" s="289" t="s">
        <v>1923</v>
      </c>
      <c r="B405" s="156">
        <v>1</v>
      </c>
      <c r="C405" s="156" t="s">
        <v>184</v>
      </c>
      <c r="D405" s="339">
        <v>0.2</v>
      </c>
      <c r="E405" s="339">
        <v>0.4</v>
      </c>
      <c r="F405" s="339">
        <v>0.9</v>
      </c>
      <c r="G405" s="5">
        <f t="shared" si="54"/>
        <v>1.0800000000000003</v>
      </c>
      <c r="H405" s="4">
        <f t="shared" si="55"/>
        <v>7.2000000000000008E-2</v>
      </c>
      <c r="I405" s="283"/>
      <c r="J405" s="283"/>
      <c r="K405" s="282"/>
      <c r="Q405" s="591"/>
      <c r="R405" s="591"/>
      <c r="S405" s="591"/>
      <c r="T405" s="591"/>
      <c r="U405" s="203"/>
      <c r="V405" s="203"/>
    </row>
    <row r="406" spans="1:22" ht="15" thickBot="1" x14ac:dyDescent="0.35">
      <c r="A406" s="289" t="s">
        <v>1925</v>
      </c>
      <c r="B406" s="156">
        <v>1</v>
      </c>
      <c r="C406" s="156" t="s">
        <v>184</v>
      </c>
      <c r="D406" s="339">
        <v>0.15</v>
      </c>
      <c r="E406" s="339">
        <v>0.4</v>
      </c>
      <c r="F406" s="339">
        <v>0.9</v>
      </c>
      <c r="G406" s="5">
        <f t="shared" si="54"/>
        <v>0.9900000000000001</v>
      </c>
      <c r="H406" s="4">
        <f t="shared" si="55"/>
        <v>5.4000000000000006E-2</v>
      </c>
      <c r="I406" s="283"/>
      <c r="J406" s="283"/>
      <c r="K406" s="282"/>
      <c r="Q406" s="591"/>
      <c r="R406" s="591"/>
      <c r="S406" s="591"/>
      <c r="T406" s="591"/>
      <c r="U406" s="203"/>
      <c r="V406" s="203"/>
    </row>
    <row r="407" spans="1:22" ht="15" thickBot="1" x14ac:dyDescent="0.35">
      <c r="A407" s="289" t="s">
        <v>1927</v>
      </c>
      <c r="B407" s="156">
        <v>1</v>
      </c>
      <c r="C407" s="156" t="s">
        <v>184</v>
      </c>
      <c r="D407" s="339">
        <v>0.15</v>
      </c>
      <c r="E407" s="339">
        <v>0.5</v>
      </c>
      <c r="F407" s="339">
        <v>0.9</v>
      </c>
      <c r="G407" s="5">
        <f t="shared" si="54"/>
        <v>1.1700000000000002</v>
      </c>
      <c r="H407" s="4">
        <f t="shared" si="55"/>
        <v>6.7500000000000004E-2</v>
      </c>
      <c r="I407" s="283"/>
      <c r="J407" s="283"/>
      <c r="K407" s="282"/>
      <c r="Q407" s="591"/>
      <c r="R407" s="591"/>
      <c r="S407" s="591"/>
      <c r="T407" s="591"/>
      <c r="U407" s="203"/>
      <c r="V407" s="203"/>
    </row>
    <row r="408" spans="1:22" ht="15" thickBot="1" x14ac:dyDescent="0.35">
      <c r="A408" s="289" t="s">
        <v>1928</v>
      </c>
      <c r="B408" s="156">
        <v>1</v>
      </c>
      <c r="C408" s="156" t="s">
        <v>184</v>
      </c>
      <c r="D408" s="339">
        <v>0.2</v>
      </c>
      <c r="E408" s="339">
        <v>0.4</v>
      </c>
      <c r="F408" s="339">
        <v>0.9</v>
      </c>
      <c r="G408" s="5">
        <f t="shared" si="50"/>
        <v>1.0800000000000003</v>
      </c>
      <c r="H408" s="4">
        <f t="shared" si="51"/>
        <v>7.2000000000000008E-2</v>
      </c>
      <c r="I408" s="283"/>
      <c r="J408" s="283"/>
      <c r="K408" s="282"/>
      <c r="Q408" s="591"/>
      <c r="R408" s="591"/>
      <c r="S408" s="591"/>
      <c r="T408" s="591"/>
      <c r="U408" s="203"/>
      <c r="V408" s="203"/>
    </row>
    <row r="409" spans="1:22" ht="15" thickBot="1" x14ac:dyDescent="0.35">
      <c r="A409" s="289" t="s">
        <v>1931</v>
      </c>
      <c r="B409" s="156">
        <v>1</v>
      </c>
      <c r="C409" s="156" t="s">
        <v>184</v>
      </c>
      <c r="D409" s="339">
        <v>0.2</v>
      </c>
      <c r="E409" s="339">
        <v>0.4</v>
      </c>
      <c r="F409" s="339">
        <v>0.9</v>
      </c>
      <c r="G409" s="5">
        <f t="shared" si="50"/>
        <v>1.0800000000000003</v>
      </c>
      <c r="H409" s="4">
        <f t="shared" si="51"/>
        <v>7.2000000000000008E-2</v>
      </c>
      <c r="I409" s="283"/>
      <c r="J409" s="283"/>
      <c r="K409" s="282"/>
      <c r="Q409" s="591"/>
      <c r="R409" s="591"/>
      <c r="S409" s="591"/>
      <c r="T409" s="591"/>
      <c r="U409" s="203"/>
      <c r="V409" s="203"/>
    </row>
    <row r="410" spans="1:22" ht="15" thickBot="1" x14ac:dyDescent="0.35">
      <c r="A410" s="289" t="s">
        <v>1932</v>
      </c>
      <c r="B410" s="156">
        <v>1</v>
      </c>
      <c r="C410" s="156" t="s">
        <v>184</v>
      </c>
      <c r="D410" s="339">
        <v>0.2</v>
      </c>
      <c r="E410" s="339">
        <v>0.4</v>
      </c>
      <c r="F410" s="339">
        <v>0.9</v>
      </c>
      <c r="G410" s="5">
        <f t="shared" si="50"/>
        <v>1.0800000000000003</v>
      </c>
      <c r="H410" s="4">
        <f t="shared" si="51"/>
        <v>7.2000000000000008E-2</v>
      </c>
      <c r="I410" s="283"/>
      <c r="J410" s="283"/>
      <c r="K410" s="282"/>
      <c r="Q410" s="591"/>
      <c r="R410" s="591"/>
      <c r="S410" s="591"/>
      <c r="T410" s="591"/>
      <c r="U410" s="203"/>
      <c r="V410" s="203"/>
    </row>
    <row r="411" spans="1:22" ht="15" thickBot="1" x14ac:dyDescent="0.35">
      <c r="A411" s="289" t="s">
        <v>1935</v>
      </c>
      <c r="B411" s="156">
        <v>1</v>
      </c>
      <c r="C411" s="156" t="s">
        <v>184</v>
      </c>
      <c r="D411" s="339">
        <v>0.2</v>
      </c>
      <c r="E411" s="339">
        <v>0.4</v>
      </c>
      <c r="F411" s="339">
        <v>0.9</v>
      </c>
      <c r="G411" s="5">
        <f t="shared" ref="G411:G412" si="58">(((2*D411+2*E411)*F411))*B411</f>
        <v>1.0800000000000003</v>
      </c>
      <c r="H411" s="4">
        <f t="shared" ref="H411:H412" si="59">F411*E411*D411*B411</f>
        <v>7.2000000000000008E-2</v>
      </c>
      <c r="I411" s="283"/>
      <c r="J411" s="283"/>
      <c r="K411" s="282"/>
      <c r="Q411" s="499"/>
      <c r="R411" s="499"/>
      <c r="S411" s="499"/>
      <c r="T411" s="499"/>
      <c r="U411" s="203"/>
      <c r="V411" s="203"/>
    </row>
    <row r="412" spans="1:22" ht="15" thickBot="1" x14ac:dyDescent="0.35">
      <c r="A412" s="289" t="s">
        <v>1936</v>
      </c>
      <c r="B412" s="156">
        <v>1</v>
      </c>
      <c r="C412" s="156" t="s">
        <v>184</v>
      </c>
      <c r="D412" s="339">
        <v>0.2</v>
      </c>
      <c r="E412" s="339">
        <v>0.4</v>
      </c>
      <c r="F412" s="339">
        <v>0.9</v>
      </c>
      <c r="G412" s="5">
        <f t="shared" si="58"/>
        <v>1.0800000000000003</v>
      </c>
      <c r="H412" s="4">
        <f t="shared" si="59"/>
        <v>7.2000000000000008E-2</v>
      </c>
      <c r="I412" s="283"/>
      <c r="J412" s="283"/>
      <c r="K412" s="282"/>
      <c r="Q412" s="499"/>
      <c r="R412" s="499"/>
      <c r="S412" s="499"/>
      <c r="T412" s="499"/>
      <c r="U412" s="203"/>
      <c r="V412" s="203"/>
    </row>
    <row r="413" spans="1:22" ht="15" thickBot="1" x14ac:dyDescent="0.35">
      <c r="A413" s="289" t="s">
        <v>1939</v>
      </c>
      <c r="B413" s="156">
        <v>1</v>
      </c>
      <c r="C413" s="156" t="s">
        <v>184</v>
      </c>
      <c r="D413" s="339">
        <v>0.2</v>
      </c>
      <c r="E413" s="339">
        <v>0.4</v>
      </c>
      <c r="F413" s="339">
        <v>0.9</v>
      </c>
      <c r="G413" s="5">
        <f t="shared" si="20"/>
        <v>1.0800000000000003</v>
      </c>
      <c r="H413" s="4">
        <f t="shared" si="21"/>
        <v>7.2000000000000008E-2</v>
      </c>
      <c r="I413" s="283"/>
      <c r="J413" s="283"/>
      <c r="K413" s="282"/>
      <c r="Q413" s="486"/>
      <c r="R413" s="486"/>
      <c r="S413" s="486"/>
      <c r="T413" s="486"/>
      <c r="U413" s="203"/>
      <c r="V413" s="203"/>
    </row>
    <row r="414" spans="1:22" ht="15" thickBot="1" x14ac:dyDescent="0.35">
      <c r="A414" s="289" t="s">
        <v>1940</v>
      </c>
      <c r="B414" s="156">
        <v>1</v>
      </c>
      <c r="C414" s="156" t="s">
        <v>184</v>
      </c>
      <c r="D414" s="339">
        <v>0.15</v>
      </c>
      <c r="E414" s="339">
        <v>0.3</v>
      </c>
      <c r="F414" s="339">
        <v>0.9</v>
      </c>
      <c r="G414" s="5">
        <f t="shared" si="6"/>
        <v>0.80999999999999994</v>
      </c>
      <c r="H414" s="4">
        <f t="shared" si="7"/>
        <v>4.0500000000000001E-2</v>
      </c>
      <c r="I414" s="283"/>
      <c r="J414" s="283"/>
      <c r="K414" s="282"/>
      <c r="Q414" s="288"/>
      <c r="R414" s="288"/>
      <c r="S414" s="288"/>
      <c r="T414" s="288"/>
      <c r="U414" s="203"/>
      <c r="V414" s="203"/>
    </row>
    <row r="415" spans="1:22" ht="15" thickBot="1" x14ac:dyDescent="0.35">
      <c r="A415" s="289" t="s">
        <v>1941</v>
      </c>
      <c r="B415" s="156">
        <v>1</v>
      </c>
      <c r="C415" s="156" t="s">
        <v>184</v>
      </c>
      <c r="D415" s="339">
        <v>0.15</v>
      </c>
      <c r="E415" s="339">
        <v>0.25</v>
      </c>
      <c r="F415" s="339">
        <v>0.9</v>
      </c>
      <c r="G415" s="5">
        <f t="shared" ref="G415" si="60">(((2*D415+2*E415)*F415))*B415</f>
        <v>0.72000000000000008</v>
      </c>
      <c r="H415" s="4">
        <f t="shared" ref="H415" si="61">F415*E415*D415*B415</f>
        <v>3.3750000000000002E-2</v>
      </c>
      <c r="I415" s="283"/>
      <c r="J415" s="283"/>
      <c r="K415" s="282"/>
      <c r="Q415" s="591"/>
      <c r="R415" s="591"/>
      <c r="S415" s="591"/>
      <c r="T415" s="591"/>
      <c r="U415" s="203"/>
      <c r="V415" s="203"/>
    </row>
    <row r="416" spans="1:22" ht="15" thickBot="1" x14ac:dyDescent="0.35">
      <c r="A416" s="289" t="s">
        <v>1942</v>
      </c>
      <c r="B416" s="156">
        <v>1</v>
      </c>
      <c r="C416" s="156" t="s">
        <v>184</v>
      </c>
      <c r="D416" s="339">
        <v>0.15</v>
      </c>
      <c r="E416" s="339">
        <v>0.25</v>
      </c>
      <c r="F416" s="339">
        <v>0.9</v>
      </c>
      <c r="G416" s="5">
        <f>(((2*D416+2*E416)*F416))*B416</f>
        <v>0.72000000000000008</v>
      </c>
      <c r="H416" s="4">
        <f>F416*E416*D416*B416</f>
        <v>3.3750000000000002E-2</v>
      </c>
      <c r="I416" s="283"/>
      <c r="J416" s="283"/>
      <c r="K416" s="282"/>
      <c r="Q416" s="591"/>
      <c r="R416" s="591"/>
      <c r="S416" s="591"/>
      <c r="T416" s="591"/>
      <c r="U416" s="203"/>
      <c r="V416" s="203"/>
    </row>
    <row r="417" spans="1:22" ht="15" thickBot="1" x14ac:dyDescent="0.35">
      <c r="A417" s="685" t="s">
        <v>2115</v>
      </c>
      <c r="B417" s="686"/>
      <c r="C417" s="686"/>
      <c r="D417" s="686"/>
      <c r="E417" s="686"/>
      <c r="F417" s="686"/>
      <c r="G417" s="686"/>
      <c r="H417" s="687"/>
      <c r="I417" s="483"/>
      <c r="J417" s="483"/>
      <c r="K417" s="484"/>
      <c r="Q417" s="640"/>
      <c r="R417" s="640"/>
      <c r="S417" s="640"/>
      <c r="T417" s="640"/>
      <c r="U417" s="203"/>
      <c r="V417" s="203"/>
    </row>
    <row r="418" spans="1:22" ht="15" thickBot="1" x14ac:dyDescent="0.35">
      <c r="A418" s="289" t="s">
        <v>2143</v>
      </c>
      <c r="B418" s="156">
        <v>1</v>
      </c>
      <c r="C418" s="156" t="s">
        <v>99</v>
      </c>
      <c r="D418" s="339">
        <v>0.15</v>
      </c>
      <c r="E418" s="339">
        <v>0.4</v>
      </c>
      <c r="F418" s="339">
        <v>2.0499999999999998</v>
      </c>
      <c r="G418" s="5">
        <f t="shared" ref="G418" si="62">(((2*D418+2*E418)*F418))*B418</f>
        <v>2.2549999999999999</v>
      </c>
      <c r="H418" s="4">
        <f t="shared" ref="H418" si="63">F418*E418*D418*B418</f>
        <v>0.12299999999999998</v>
      </c>
      <c r="I418" s="283"/>
      <c r="J418" s="283"/>
      <c r="K418" s="282"/>
      <c r="Q418" s="640"/>
      <c r="R418" s="640"/>
      <c r="S418" s="640"/>
      <c r="T418" s="640"/>
      <c r="U418" s="203"/>
      <c r="V418" s="203"/>
    </row>
    <row r="419" spans="1:22" ht="15" thickBot="1" x14ac:dyDescent="0.35">
      <c r="A419" s="289" t="s">
        <v>2144</v>
      </c>
      <c r="B419" s="156">
        <v>1</v>
      </c>
      <c r="C419" s="156" t="s">
        <v>99</v>
      </c>
      <c r="D419" s="339">
        <v>0.15</v>
      </c>
      <c r="E419" s="339">
        <v>0.4</v>
      </c>
      <c r="F419" s="339">
        <v>2.0499999999999998</v>
      </c>
      <c r="G419" s="5">
        <f>(((2*D419+2*E419)*F419))*B419</f>
        <v>2.2549999999999999</v>
      </c>
      <c r="H419" s="4">
        <f>F419*E419*D419*B419</f>
        <v>0.12299999999999998</v>
      </c>
      <c r="I419" s="283"/>
      <c r="J419" s="283"/>
      <c r="K419" s="282"/>
      <c r="Q419" s="640"/>
      <c r="R419" s="640"/>
      <c r="S419" s="640"/>
      <c r="T419" s="640"/>
      <c r="U419" s="203"/>
      <c r="V419" s="203"/>
    </row>
    <row r="420" spans="1:22" ht="15" thickBot="1" x14ac:dyDescent="0.35">
      <c r="A420" s="289" t="s">
        <v>2145</v>
      </c>
      <c r="B420" s="156">
        <v>1</v>
      </c>
      <c r="C420" s="156" t="s">
        <v>99</v>
      </c>
      <c r="D420" s="339">
        <v>0.15</v>
      </c>
      <c r="E420" s="339">
        <v>0.4</v>
      </c>
      <c r="F420" s="339">
        <v>2.0499999999999998</v>
      </c>
      <c r="G420" s="5">
        <f t="shared" ref="G420" si="64">(((2*D420+2*E420)*F420))*B420</f>
        <v>2.2549999999999999</v>
      </c>
      <c r="H420" s="4">
        <f t="shared" ref="H420" si="65">F420*E420*D420*B420</f>
        <v>0.12299999999999998</v>
      </c>
      <c r="I420" s="283"/>
      <c r="J420" s="283"/>
      <c r="K420" s="282"/>
      <c r="Q420" s="640"/>
      <c r="R420" s="640"/>
      <c r="S420" s="640"/>
      <c r="T420" s="640"/>
      <c r="U420" s="203"/>
      <c r="V420" s="203"/>
    </row>
    <row r="421" spans="1:22" ht="15" thickBot="1" x14ac:dyDescent="0.35">
      <c r="A421" s="289" t="s">
        <v>2146</v>
      </c>
      <c r="B421" s="156">
        <v>1</v>
      </c>
      <c r="C421" s="156" t="s">
        <v>99</v>
      </c>
      <c r="D421" s="339">
        <v>0.15</v>
      </c>
      <c r="E421" s="339">
        <v>0.25</v>
      </c>
      <c r="F421" s="339">
        <v>2.0499999999999998</v>
      </c>
      <c r="G421" s="5">
        <f>(((2*D421+2*E421)*F421))*B421</f>
        <v>1.64</v>
      </c>
      <c r="H421" s="4">
        <f>F421*E421*D421*B421</f>
        <v>7.6874999999999985E-2</v>
      </c>
      <c r="I421" s="283"/>
      <c r="J421" s="283"/>
      <c r="K421" s="282"/>
      <c r="Q421" s="640"/>
      <c r="R421" s="640"/>
      <c r="S421" s="640"/>
      <c r="T421" s="640"/>
      <c r="U421" s="203"/>
      <c r="V421" s="203"/>
    </row>
    <row r="422" spans="1:22" ht="15" thickBot="1" x14ac:dyDescent="0.35">
      <c r="A422" s="289" t="s">
        <v>2147</v>
      </c>
      <c r="B422" s="156">
        <v>1</v>
      </c>
      <c r="C422" s="156" t="s">
        <v>99</v>
      </c>
      <c r="D422" s="339">
        <v>0.15</v>
      </c>
      <c r="E422" s="339">
        <v>0.25</v>
      </c>
      <c r="F422" s="339">
        <v>2.0499999999999998</v>
      </c>
      <c r="G422" s="5">
        <f t="shared" ref="G422" si="66">(((2*D422+2*E422)*F422))*B422</f>
        <v>1.64</v>
      </c>
      <c r="H422" s="4">
        <f t="shared" ref="H422" si="67">F422*E422*D422*B422</f>
        <v>7.6874999999999985E-2</v>
      </c>
      <c r="I422" s="283"/>
      <c r="J422" s="283"/>
      <c r="K422" s="282"/>
      <c r="Q422" s="640"/>
      <c r="R422" s="640"/>
      <c r="S422" s="640"/>
      <c r="T422" s="640"/>
      <c r="U422" s="203"/>
      <c r="V422" s="203"/>
    </row>
    <row r="423" spans="1:22" ht="15" thickBot="1" x14ac:dyDescent="0.35">
      <c r="A423" s="289" t="s">
        <v>2148</v>
      </c>
      <c r="B423" s="156">
        <v>1</v>
      </c>
      <c r="C423" s="156" t="s">
        <v>99</v>
      </c>
      <c r="D423" s="339">
        <v>0.15</v>
      </c>
      <c r="E423" s="339">
        <v>0.4</v>
      </c>
      <c r="F423" s="339">
        <v>2.0499999999999998</v>
      </c>
      <c r="G423" s="5">
        <f t="shared" ref="G423" si="68">(((2*D423+2*E423)*F423))*B423</f>
        <v>2.2549999999999999</v>
      </c>
      <c r="H423" s="4">
        <f t="shared" ref="H423" si="69">F423*E423*D423*B423</f>
        <v>0.12299999999999998</v>
      </c>
      <c r="I423" s="283"/>
      <c r="J423" s="283"/>
      <c r="K423" s="282"/>
      <c r="Q423" s="591"/>
      <c r="R423" s="591"/>
      <c r="S423" s="591"/>
      <c r="T423" s="591"/>
      <c r="U423" s="203"/>
      <c r="V423" s="203"/>
    </row>
    <row r="424" spans="1:22" ht="15" thickBot="1" x14ac:dyDescent="0.35">
      <c r="A424" s="289" t="s">
        <v>2149</v>
      </c>
      <c r="B424" s="156">
        <v>1</v>
      </c>
      <c r="C424" s="156" t="s">
        <v>99</v>
      </c>
      <c r="D424" s="339">
        <v>0.2</v>
      </c>
      <c r="E424" s="339">
        <v>0.2</v>
      </c>
      <c r="F424" s="339">
        <v>1.6</v>
      </c>
      <c r="G424" s="5">
        <f>(((2*D424+2*E424)*F424))*B424</f>
        <v>1.2800000000000002</v>
      </c>
      <c r="H424" s="4">
        <f>F424*E424*D424*B424</f>
        <v>6.4000000000000015E-2</v>
      </c>
      <c r="I424" s="283"/>
      <c r="J424" s="283"/>
      <c r="K424" s="282"/>
      <c r="Q424" s="591"/>
      <c r="R424" s="591"/>
      <c r="S424" s="591"/>
      <c r="T424" s="591"/>
      <c r="U424" s="203"/>
      <c r="V424" s="203"/>
    </row>
    <row r="425" spans="1:22" ht="15" thickBot="1" x14ac:dyDescent="0.35">
      <c r="A425" s="289" t="s">
        <v>2150</v>
      </c>
      <c r="B425" s="156">
        <v>1</v>
      </c>
      <c r="C425" s="156" t="s">
        <v>99</v>
      </c>
      <c r="D425" s="339">
        <v>0.15</v>
      </c>
      <c r="E425" s="339">
        <v>0.25</v>
      </c>
      <c r="F425" s="339">
        <v>2.25</v>
      </c>
      <c r="G425" s="5">
        <f t="shared" ref="G425" si="70">(((2*D425+2*E425)*F425))*B425</f>
        <v>1.8</v>
      </c>
      <c r="H425" s="4">
        <f t="shared" ref="H425" si="71">F425*E425*D425*B425</f>
        <v>8.4374999999999992E-2</v>
      </c>
      <c r="I425" s="283"/>
      <c r="J425" s="283"/>
      <c r="K425" s="282"/>
      <c r="Q425" s="591"/>
      <c r="R425" s="591"/>
      <c r="S425" s="591"/>
      <c r="T425" s="591"/>
      <c r="U425" s="203"/>
      <c r="V425" s="203"/>
    </row>
    <row r="426" spans="1:22" ht="15" thickBot="1" x14ac:dyDescent="0.35">
      <c r="A426" s="289" t="s">
        <v>2151</v>
      </c>
      <c r="B426" s="156">
        <v>1</v>
      </c>
      <c r="C426" s="156" t="s">
        <v>99</v>
      </c>
      <c r="D426" s="339">
        <v>0.2</v>
      </c>
      <c r="E426" s="339">
        <v>0.2</v>
      </c>
      <c r="F426" s="339">
        <v>1.6</v>
      </c>
      <c r="G426" s="5">
        <f>(((2*D426+2*E426)*F426))*B426</f>
        <v>1.2800000000000002</v>
      </c>
      <c r="H426" s="4">
        <f>F426*E426*D426*B426</f>
        <v>6.4000000000000015E-2</v>
      </c>
      <c r="I426" s="283"/>
      <c r="J426" s="283"/>
      <c r="K426" s="282"/>
      <c r="Q426" s="591"/>
      <c r="R426" s="591"/>
      <c r="S426" s="591"/>
      <c r="T426" s="591"/>
      <c r="U426" s="203"/>
      <c r="V426" s="203"/>
    </row>
    <row r="427" spans="1:22" ht="15" thickBot="1" x14ac:dyDescent="0.35">
      <c r="A427" s="289" t="s">
        <v>2152</v>
      </c>
      <c r="B427" s="156">
        <v>1</v>
      </c>
      <c r="C427" s="156" t="s">
        <v>99</v>
      </c>
      <c r="D427" s="339">
        <v>0.15</v>
      </c>
      <c r="E427" s="339">
        <v>0.25</v>
      </c>
      <c r="F427" s="339">
        <f>1.8-0.3</f>
        <v>1.5</v>
      </c>
      <c r="G427" s="5">
        <f t="shared" ref="G427" si="72">(((2*D427+2*E427)*F427))*B427</f>
        <v>1.2000000000000002</v>
      </c>
      <c r="H427" s="4">
        <f t="shared" ref="H427" si="73">F427*E427*D427*B427</f>
        <v>5.6249999999999994E-2</v>
      </c>
      <c r="I427" s="283"/>
      <c r="J427" s="283"/>
      <c r="K427" s="282"/>
      <c r="Q427" s="640"/>
      <c r="R427" s="640"/>
      <c r="S427" s="640"/>
      <c r="T427" s="640"/>
      <c r="U427" s="203"/>
      <c r="V427" s="203"/>
    </row>
    <row r="428" spans="1:22" ht="15" thickBot="1" x14ac:dyDescent="0.35">
      <c r="A428" s="289" t="s">
        <v>2153</v>
      </c>
      <c r="B428" s="156">
        <v>1</v>
      </c>
      <c r="C428" s="156" t="s">
        <v>99</v>
      </c>
      <c r="D428" s="339">
        <v>0.2</v>
      </c>
      <c r="E428" s="339">
        <v>0.2</v>
      </c>
      <c r="F428" s="339">
        <v>1.8</v>
      </c>
      <c r="G428" s="5">
        <f>(((2*D428+2*E428)*F428))*B428</f>
        <v>1.4400000000000002</v>
      </c>
      <c r="H428" s="4">
        <f>F428*E428*D428*B428</f>
        <v>7.2000000000000008E-2</v>
      </c>
      <c r="I428" s="283"/>
      <c r="J428" s="283"/>
      <c r="K428" s="282"/>
      <c r="Q428" s="640"/>
      <c r="R428" s="640"/>
      <c r="S428" s="640"/>
      <c r="T428" s="640"/>
      <c r="U428" s="203"/>
      <c r="V428" s="203"/>
    </row>
    <row r="429" spans="1:22" ht="15" thickBot="1" x14ac:dyDescent="0.35">
      <c r="A429" s="289" t="s">
        <v>2154</v>
      </c>
      <c r="B429" s="156">
        <v>1</v>
      </c>
      <c r="C429" s="156" t="s">
        <v>99</v>
      </c>
      <c r="D429" s="339">
        <v>0.2</v>
      </c>
      <c r="E429" s="339">
        <v>0.2</v>
      </c>
      <c r="F429" s="339">
        <v>1.6</v>
      </c>
      <c r="G429" s="5">
        <f t="shared" ref="G429" si="74">(((2*D429+2*E429)*F429))*B429</f>
        <v>1.2800000000000002</v>
      </c>
      <c r="H429" s="4">
        <f t="shared" ref="H429" si="75">F429*E429*D429*B429</f>
        <v>6.4000000000000015E-2</v>
      </c>
      <c r="I429" s="283"/>
      <c r="J429" s="283"/>
      <c r="K429" s="282"/>
      <c r="Q429" s="640"/>
      <c r="R429" s="640"/>
      <c r="S429" s="640"/>
      <c r="T429" s="640"/>
      <c r="U429" s="203"/>
      <c r="V429" s="203"/>
    </row>
    <row r="430" spans="1:22" ht="15" thickBot="1" x14ac:dyDescent="0.35">
      <c r="A430" s="289" t="s">
        <v>2155</v>
      </c>
      <c r="B430" s="156">
        <v>1</v>
      </c>
      <c r="C430" s="156" t="s">
        <v>99</v>
      </c>
      <c r="D430" s="339">
        <v>0.2</v>
      </c>
      <c r="E430" s="339">
        <v>0.2</v>
      </c>
      <c r="F430" s="339">
        <v>1.6</v>
      </c>
      <c r="G430" s="5">
        <f>(((2*D430+2*E430)*F430))*B430</f>
        <v>1.2800000000000002</v>
      </c>
      <c r="H430" s="4">
        <f>F430*E430*D430*B430</f>
        <v>6.4000000000000015E-2</v>
      </c>
      <c r="I430" s="283"/>
      <c r="J430" s="283"/>
      <c r="K430" s="282"/>
      <c r="Q430" s="640"/>
      <c r="R430" s="640"/>
      <c r="S430" s="640"/>
      <c r="T430" s="640"/>
      <c r="U430" s="203"/>
      <c r="V430" s="203"/>
    </row>
    <row r="431" spans="1:22" ht="15" thickBot="1" x14ac:dyDescent="0.35">
      <c r="A431" s="289" t="s">
        <v>2156</v>
      </c>
      <c r="B431" s="156">
        <v>1</v>
      </c>
      <c r="C431" s="156" t="s">
        <v>99</v>
      </c>
      <c r="D431" s="339">
        <v>0.15</v>
      </c>
      <c r="E431" s="339">
        <v>0.25</v>
      </c>
      <c r="F431" s="339">
        <v>0.55000000000000004</v>
      </c>
      <c r="G431" s="5">
        <f t="shared" ref="G431" si="76">(((2*D431+2*E431)*F431))*B431</f>
        <v>0.44000000000000006</v>
      </c>
      <c r="H431" s="4">
        <f t="shared" ref="H431" si="77">F431*E431*D431*B431</f>
        <v>2.0625000000000001E-2</v>
      </c>
      <c r="I431" s="283"/>
      <c r="J431" s="283"/>
      <c r="K431" s="282"/>
      <c r="Q431" s="640"/>
      <c r="R431" s="640"/>
      <c r="S431" s="640"/>
      <c r="T431" s="640"/>
      <c r="U431" s="203"/>
      <c r="V431" s="203"/>
    </row>
    <row r="432" spans="1:22" ht="15" thickBot="1" x14ac:dyDescent="0.35">
      <c r="A432" s="289" t="s">
        <v>2157</v>
      </c>
      <c r="B432" s="156">
        <v>1</v>
      </c>
      <c r="C432" s="156" t="s">
        <v>99</v>
      </c>
      <c r="D432" s="339">
        <v>0.2</v>
      </c>
      <c r="E432" s="339">
        <v>0.2</v>
      </c>
      <c r="F432" s="339">
        <v>1.6</v>
      </c>
      <c r="G432" s="5">
        <f>(((2*D432+2*E432)*F432))*B432</f>
        <v>1.2800000000000002</v>
      </c>
      <c r="H432" s="4">
        <f>F432*E432*D432*B432</f>
        <v>6.4000000000000015E-2</v>
      </c>
      <c r="I432" s="283"/>
      <c r="J432" s="283"/>
      <c r="K432" s="282"/>
      <c r="Q432" s="640"/>
      <c r="R432" s="640"/>
      <c r="S432" s="640"/>
      <c r="T432" s="640"/>
      <c r="U432" s="203"/>
      <c r="V432" s="203"/>
    </row>
    <row r="433" spans="1:22" ht="15" thickBot="1" x14ac:dyDescent="0.35">
      <c r="A433" s="289" t="s">
        <v>2158</v>
      </c>
      <c r="B433" s="156">
        <v>1</v>
      </c>
      <c r="C433" s="156" t="s">
        <v>99</v>
      </c>
      <c r="D433" s="339">
        <v>0.15</v>
      </c>
      <c r="E433" s="339">
        <v>0.25</v>
      </c>
      <c r="F433" s="339">
        <v>0.55000000000000004</v>
      </c>
      <c r="G433" s="5">
        <f t="shared" ref="G433:G434" si="78">(((2*D433+2*E433)*F433))*B433</f>
        <v>0.44000000000000006</v>
      </c>
      <c r="H433" s="4">
        <f t="shared" ref="H433:H434" si="79">F433*E433*D433*B433</f>
        <v>2.0625000000000001E-2</v>
      </c>
      <c r="I433" s="283"/>
      <c r="J433" s="283"/>
      <c r="K433" s="282"/>
      <c r="Q433" s="640"/>
      <c r="R433" s="640"/>
      <c r="S433" s="640"/>
      <c r="T433" s="640"/>
      <c r="U433" s="203"/>
      <c r="V433" s="203"/>
    </row>
    <row r="434" spans="1:22" ht="15" thickBot="1" x14ac:dyDescent="0.35">
      <c r="A434" s="289" t="s">
        <v>2159</v>
      </c>
      <c r="B434" s="156">
        <v>1</v>
      </c>
      <c r="C434" s="156" t="s">
        <v>99</v>
      </c>
      <c r="D434" s="339">
        <v>0.15</v>
      </c>
      <c r="E434" s="339">
        <v>0.25</v>
      </c>
      <c r="F434" s="339">
        <v>0.55000000000000004</v>
      </c>
      <c r="G434" s="5">
        <f t="shared" si="78"/>
        <v>0.44000000000000006</v>
      </c>
      <c r="H434" s="4">
        <f t="shared" si="79"/>
        <v>2.0625000000000001E-2</v>
      </c>
      <c r="I434" s="283"/>
      <c r="J434" s="283"/>
      <c r="K434" s="282"/>
      <c r="Q434" s="640"/>
      <c r="R434" s="640"/>
      <c r="S434" s="640"/>
      <c r="T434" s="640"/>
      <c r="U434" s="203"/>
      <c r="V434" s="203"/>
    </row>
    <row r="435" spans="1:22" ht="15" thickBot="1" x14ac:dyDescent="0.35">
      <c r="A435" s="289" t="s">
        <v>2160</v>
      </c>
      <c r="B435" s="156">
        <v>1</v>
      </c>
      <c r="C435" s="156" t="s">
        <v>99</v>
      </c>
      <c r="D435" s="339">
        <v>0.15</v>
      </c>
      <c r="E435" s="339">
        <v>0.25</v>
      </c>
      <c r="F435" s="339">
        <v>0.55000000000000004</v>
      </c>
      <c r="G435" s="5">
        <f>(((2*D435+2*E435)*F435))*B435</f>
        <v>0.44000000000000006</v>
      </c>
      <c r="H435" s="4">
        <f>F435*E435*D435*B435</f>
        <v>2.0625000000000001E-2</v>
      </c>
      <c r="I435" s="283"/>
      <c r="J435" s="283"/>
      <c r="K435" s="282"/>
      <c r="Q435" s="640"/>
      <c r="R435" s="640"/>
      <c r="S435" s="640"/>
      <c r="T435" s="640"/>
      <c r="U435" s="203"/>
      <c r="V435" s="203"/>
    </row>
    <row r="436" spans="1:22" ht="15" thickBot="1" x14ac:dyDescent="0.35">
      <c r="A436" s="289" t="s">
        <v>2161</v>
      </c>
      <c r="B436" s="156">
        <v>1</v>
      </c>
      <c r="C436" s="156" t="s">
        <v>99</v>
      </c>
      <c r="D436" s="339">
        <v>0.15</v>
      </c>
      <c r="E436" s="339">
        <v>0.5</v>
      </c>
      <c r="F436" s="339">
        <v>2.0499999999999998</v>
      </c>
      <c r="G436" s="5">
        <f t="shared" ref="G436" si="80">(((2*D436+2*E436)*F436))*B436</f>
        <v>2.665</v>
      </c>
      <c r="H436" s="4">
        <f t="shared" ref="H436" si="81">F436*E436*D436*B436</f>
        <v>0.15374999999999997</v>
      </c>
      <c r="I436" s="283"/>
      <c r="J436" s="283"/>
      <c r="K436" s="282"/>
      <c r="Q436" s="640"/>
      <c r="R436" s="640"/>
      <c r="S436" s="640"/>
      <c r="T436" s="640"/>
      <c r="U436" s="203"/>
      <c r="V436" s="203"/>
    </row>
    <row r="437" spans="1:22" ht="15" thickBot="1" x14ac:dyDescent="0.35">
      <c r="A437" s="289" t="s">
        <v>2162</v>
      </c>
      <c r="B437" s="156">
        <v>1</v>
      </c>
      <c r="C437" s="156" t="s">
        <v>99</v>
      </c>
      <c r="D437" s="339">
        <v>0.15</v>
      </c>
      <c r="E437" s="339">
        <v>0.5</v>
      </c>
      <c r="F437" s="339">
        <v>2.0499999999999998</v>
      </c>
      <c r="G437" s="5">
        <f>(((2*D437+2*E437)*F437))*B437</f>
        <v>2.665</v>
      </c>
      <c r="H437" s="4">
        <f>F437*E437*D437*B437</f>
        <v>0.15374999999999997</v>
      </c>
      <c r="I437" s="283"/>
      <c r="J437" s="283"/>
      <c r="K437" s="282"/>
      <c r="Q437" s="640"/>
      <c r="R437" s="640"/>
      <c r="S437" s="640"/>
      <c r="T437" s="640"/>
      <c r="U437" s="203"/>
      <c r="V437" s="203"/>
    </row>
    <row r="438" spans="1:22" ht="15" thickBot="1" x14ac:dyDescent="0.35">
      <c r="A438" s="289" t="s">
        <v>2163</v>
      </c>
      <c r="B438" s="156">
        <v>1</v>
      </c>
      <c r="C438" s="156" t="s">
        <v>99</v>
      </c>
      <c r="D438" s="339">
        <v>0.15</v>
      </c>
      <c r="E438" s="339">
        <v>0.25</v>
      </c>
      <c r="F438" s="339">
        <v>2.0499999999999998</v>
      </c>
      <c r="G438" s="5">
        <f t="shared" ref="G438" si="82">(((2*D438+2*E438)*F438))*B438</f>
        <v>1.64</v>
      </c>
      <c r="H438" s="4">
        <f t="shared" ref="H438" si="83">F438*E438*D438*B438</f>
        <v>7.6874999999999985E-2</v>
      </c>
      <c r="I438" s="283"/>
      <c r="J438" s="283"/>
      <c r="K438" s="282"/>
      <c r="Q438" s="640"/>
      <c r="R438" s="640"/>
      <c r="S438" s="640"/>
      <c r="T438" s="640"/>
      <c r="U438" s="203"/>
      <c r="V438" s="203"/>
    </row>
    <row r="439" spans="1:22" ht="15" thickBot="1" x14ac:dyDescent="0.35">
      <c r="A439" s="289" t="s">
        <v>2164</v>
      </c>
      <c r="B439" s="156">
        <v>1</v>
      </c>
      <c r="C439" s="156" t="s">
        <v>99</v>
      </c>
      <c r="D439" s="339">
        <v>0.15</v>
      </c>
      <c r="E439" s="339">
        <v>0.25</v>
      </c>
      <c r="F439" s="339">
        <v>2.0499999999999998</v>
      </c>
      <c r="G439" s="5">
        <f>(((2*D439+2*E439)*F439))*B439</f>
        <v>1.64</v>
      </c>
      <c r="H439" s="4">
        <f>F439*E439*D439*B439</f>
        <v>7.6874999999999985E-2</v>
      </c>
      <c r="I439" s="283"/>
      <c r="J439" s="283"/>
      <c r="K439" s="282"/>
      <c r="Q439" s="640"/>
      <c r="R439" s="640"/>
      <c r="S439" s="640"/>
      <c r="T439" s="640"/>
      <c r="U439" s="203"/>
      <c r="V439" s="203"/>
    </row>
    <row r="440" spans="1:22" ht="15" thickBot="1" x14ac:dyDescent="0.35">
      <c r="A440" s="289" t="s">
        <v>2165</v>
      </c>
      <c r="B440" s="156">
        <v>1</v>
      </c>
      <c r="C440" s="156" t="s">
        <v>99</v>
      </c>
      <c r="D440" s="339">
        <v>0.15</v>
      </c>
      <c r="E440" s="339">
        <v>0.25</v>
      </c>
      <c r="F440" s="339">
        <v>2.0499999999999998</v>
      </c>
      <c r="G440" s="5">
        <f t="shared" ref="G440" si="84">(((2*D440+2*E440)*F440))*B440</f>
        <v>1.64</v>
      </c>
      <c r="H440" s="4">
        <f t="shared" ref="H440" si="85">F440*E440*D440*B440</f>
        <v>7.6874999999999985E-2</v>
      </c>
      <c r="I440" s="283"/>
      <c r="J440" s="283"/>
      <c r="K440" s="282"/>
      <c r="Q440" s="640"/>
      <c r="R440" s="640"/>
      <c r="S440" s="640"/>
      <c r="T440" s="640"/>
      <c r="U440" s="203"/>
      <c r="V440" s="203"/>
    </row>
    <row r="441" spans="1:22" ht="15" thickBot="1" x14ac:dyDescent="0.35">
      <c r="A441" s="289" t="s">
        <v>2166</v>
      </c>
      <c r="B441" s="156">
        <v>1</v>
      </c>
      <c r="C441" s="156" t="s">
        <v>99</v>
      </c>
      <c r="D441" s="339">
        <v>0.15</v>
      </c>
      <c r="E441" s="339">
        <v>0.5</v>
      </c>
      <c r="F441" s="339">
        <v>2.0499999999999998</v>
      </c>
      <c r="G441" s="5">
        <f>(((2*D441+2*E441)*F441))*B441</f>
        <v>2.665</v>
      </c>
      <c r="H441" s="4">
        <f>F441*E441*D441*B441</f>
        <v>0.15374999999999997</v>
      </c>
      <c r="I441" s="283"/>
      <c r="J441" s="283"/>
      <c r="K441" s="282"/>
      <c r="Q441" s="640"/>
      <c r="R441" s="640"/>
      <c r="S441" s="640"/>
      <c r="T441" s="640"/>
      <c r="U441" s="203"/>
      <c r="V441" s="203"/>
    </row>
    <row r="442" spans="1:22" ht="15" thickBot="1" x14ac:dyDescent="0.35">
      <c r="A442" s="289"/>
      <c r="B442" s="156">
        <v>1</v>
      </c>
      <c r="C442" s="156" t="s">
        <v>99</v>
      </c>
      <c r="D442" s="472"/>
      <c r="E442" s="472"/>
      <c r="F442" s="217"/>
      <c r="G442" s="5">
        <f t="shared" ref="G442" si="86">(((2*D442+2*E442)*F442))*B442</f>
        <v>0</v>
      </c>
      <c r="H442" s="4">
        <f t="shared" ref="H442" si="87">F442*E442*D442*B442</f>
        <v>0</v>
      </c>
      <c r="I442" s="283"/>
      <c r="J442" s="283"/>
      <c r="K442" s="282"/>
      <c r="Q442" s="591"/>
      <c r="R442" s="591"/>
      <c r="S442" s="591"/>
      <c r="T442" s="591"/>
      <c r="U442" s="203"/>
      <c r="V442" s="203"/>
    </row>
    <row r="443" spans="1:22" ht="15" thickBot="1" x14ac:dyDescent="0.35">
      <c r="A443" s="289"/>
      <c r="B443" s="156">
        <v>1</v>
      </c>
      <c r="C443" s="156" t="s">
        <v>99</v>
      </c>
      <c r="D443" s="472"/>
      <c r="E443" s="472"/>
      <c r="F443" s="217"/>
      <c r="G443" s="5">
        <f>(((2*D443+2*E443)*F443))*B443</f>
        <v>0</v>
      </c>
      <c r="H443" s="4">
        <f>F443*E443*D443*B443</f>
        <v>0</v>
      </c>
      <c r="I443" s="283"/>
      <c r="J443" s="283"/>
      <c r="K443" s="282"/>
      <c r="Q443" s="591"/>
      <c r="R443" s="591"/>
      <c r="S443" s="591"/>
      <c r="T443" s="591"/>
      <c r="U443" s="203"/>
      <c r="V443" s="203"/>
    </row>
    <row r="444" spans="1:22" ht="15" thickBot="1" x14ac:dyDescent="0.35">
      <c r="A444" s="289"/>
      <c r="B444" s="156">
        <v>1</v>
      </c>
      <c r="C444" s="156" t="s">
        <v>99</v>
      </c>
      <c r="D444" s="472"/>
      <c r="E444" s="472"/>
      <c r="F444" s="217"/>
      <c r="G444" s="5">
        <f t="shared" si="6"/>
        <v>0</v>
      </c>
      <c r="H444" s="4">
        <f t="shared" si="7"/>
        <v>0</v>
      </c>
      <c r="I444" s="283"/>
      <c r="J444" s="283"/>
      <c r="K444" s="282"/>
      <c r="Q444" s="591"/>
      <c r="R444" s="591"/>
      <c r="S444" s="591"/>
      <c r="T444" s="591"/>
      <c r="U444" s="203"/>
      <c r="V444" s="203"/>
    </row>
    <row r="445" spans="1:22" ht="15" thickBot="1" x14ac:dyDescent="0.35">
      <c r="A445" s="289"/>
      <c r="B445" s="156">
        <v>1</v>
      </c>
      <c r="C445" s="156" t="s">
        <v>99</v>
      </c>
      <c r="D445" s="472"/>
      <c r="E445" s="472"/>
      <c r="F445" s="217"/>
      <c r="G445" s="5">
        <f>(((2*D445+2*E445)*F445))*B445</f>
        <v>0</v>
      </c>
      <c r="H445" s="4">
        <f>F445*E445*D445*B445</f>
        <v>0</v>
      </c>
      <c r="I445" s="283"/>
      <c r="J445" s="283"/>
      <c r="K445" s="282"/>
      <c r="Q445" s="591"/>
      <c r="R445" s="591"/>
      <c r="S445" s="591"/>
      <c r="T445" s="591"/>
      <c r="U445" s="203"/>
      <c r="V445" s="203"/>
    </row>
    <row r="446" spans="1:22" ht="15" thickBot="1" x14ac:dyDescent="0.35">
      <c r="A446" s="289"/>
      <c r="B446" s="156">
        <v>1</v>
      </c>
      <c r="C446" s="156" t="s">
        <v>99</v>
      </c>
      <c r="D446" s="472"/>
      <c r="E446" s="472"/>
      <c r="F446" s="217"/>
      <c r="G446" s="5">
        <f t="shared" ref="G446" si="88">(((2*D446+2*E446)*F446))*B446</f>
        <v>0</v>
      </c>
      <c r="H446" s="4">
        <f t="shared" ref="H446" si="89">F446*E446*D446*B446</f>
        <v>0</v>
      </c>
      <c r="I446" s="283"/>
      <c r="J446" s="283"/>
      <c r="K446" s="282"/>
      <c r="Q446" s="591"/>
      <c r="R446" s="591"/>
      <c r="S446" s="591"/>
      <c r="T446" s="591"/>
      <c r="U446" s="203"/>
      <c r="V446" s="203"/>
    </row>
    <row r="447" spans="1:22" ht="15" thickBot="1" x14ac:dyDescent="0.35">
      <c r="A447" s="289"/>
      <c r="B447" s="156">
        <v>1</v>
      </c>
      <c r="C447" s="156" t="s">
        <v>99</v>
      </c>
      <c r="D447" s="472"/>
      <c r="E447" s="472"/>
      <c r="F447" s="217"/>
      <c r="G447" s="5">
        <f>(((2*D447+2*E447)*F447))*B447</f>
        <v>0</v>
      </c>
      <c r="H447" s="4">
        <f>F447*E447*D447*B447</f>
        <v>0</v>
      </c>
      <c r="I447" s="283"/>
      <c r="J447" s="283"/>
      <c r="K447" s="282"/>
      <c r="Q447" s="591"/>
      <c r="R447" s="591"/>
      <c r="S447" s="591"/>
      <c r="T447" s="591"/>
      <c r="U447" s="203"/>
      <c r="V447" s="203"/>
    </row>
    <row r="448" spans="1:22" ht="15" thickBot="1" x14ac:dyDescent="0.35">
      <c r="A448" s="289"/>
      <c r="B448" s="156">
        <v>1</v>
      </c>
      <c r="C448" s="156" t="s">
        <v>99</v>
      </c>
      <c r="D448" s="472"/>
      <c r="E448" s="472"/>
      <c r="F448" s="217"/>
      <c r="G448" s="5">
        <f t="shared" ref="G448" si="90">(((2*D448+2*E448)*F448))*B448</f>
        <v>0</v>
      </c>
      <c r="H448" s="4">
        <f t="shared" ref="H448" si="91">F448*E448*D448*B448</f>
        <v>0</v>
      </c>
      <c r="I448" s="283"/>
      <c r="J448" s="283"/>
      <c r="K448" s="282"/>
      <c r="Q448" s="591"/>
      <c r="R448" s="591"/>
      <c r="S448" s="591"/>
      <c r="T448" s="591"/>
      <c r="U448" s="203"/>
      <c r="V448" s="203"/>
    </row>
    <row r="449" spans="1:22" ht="15" thickBot="1" x14ac:dyDescent="0.35">
      <c r="A449" s="289"/>
      <c r="B449" s="156">
        <v>1</v>
      </c>
      <c r="C449" s="156" t="s">
        <v>99</v>
      </c>
      <c r="D449" s="472"/>
      <c r="E449" s="472"/>
      <c r="F449" s="217"/>
      <c r="G449" s="5">
        <f>(((2*D449+2*E449)*F449))*B449</f>
        <v>0</v>
      </c>
      <c r="H449" s="4">
        <f>F449*E449*D449*B449</f>
        <v>0</v>
      </c>
      <c r="I449" s="283"/>
      <c r="J449" s="283"/>
      <c r="K449" s="282"/>
      <c r="Q449" s="591"/>
      <c r="R449" s="591"/>
      <c r="S449" s="591"/>
      <c r="T449" s="591"/>
      <c r="U449" s="203"/>
      <c r="V449" s="203"/>
    </row>
    <row r="450" spans="1:22" ht="15" thickBot="1" x14ac:dyDescent="0.35">
      <c r="A450" s="289"/>
      <c r="B450" s="156">
        <v>1</v>
      </c>
      <c r="C450" s="156" t="s">
        <v>99</v>
      </c>
      <c r="D450" s="472"/>
      <c r="E450" s="472"/>
      <c r="F450" s="217"/>
      <c r="G450" s="5">
        <f t="shared" si="6"/>
        <v>0</v>
      </c>
      <c r="H450" s="4">
        <f t="shared" si="7"/>
        <v>0</v>
      </c>
      <c r="I450" s="283"/>
      <c r="J450" s="283"/>
      <c r="K450" s="282"/>
      <c r="Q450" s="288"/>
      <c r="R450" s="288"/>
      <c r="S450" s="288"/>
      <c r="T450" s="288"/>
      <c r="U450" s="203"/>
      <c r="V450" s="203"/>
    </row>
    <row r="451" spans="1:22" ht="15" thickBot="1" x14ac:dyDescent="0.35">
      <c r="A451" s="289"/>
      <c r="B451" s="156">
        <v>1</v>
      </c>
      <c r="C451" s="156" t="s">
        <v>99</v>
      </c>
      <c r="D451" s="472"/>
      <c r="E451" s="472"/>
      <c r="F451" s="217"/>
      <c r="G451" s="5">
        <f>(((2*D451+2*E451)*F451))*B451</f>
        <v>0</v>
      </c>
      <c r="H451" s="4">
        <f>F451*E451*D451*B451</f>
        <v>0</v>
      </c>
      <c r="I451" s="283"/>
      <c r="J451" s="283"/>
      <c r="K451" s="282"/>
      <c r="Q451" s="288"/>
      <c r="R451" s="288"/>
      <c r="S451" s="288"/>
      <c r="T451" s="288"/>
      <c r="U451" s="203"/>
      <c r="V451" s="203"/>
    </row>
    <row r="452" spans="1:22" x14ac:dyDescent="0.3">
      <c r="F452" s="203"/>
      <c r="I452" s="72"/>
      <c r="J452" s="72"/>
      <c r="K452" s="165"/>
      <c r="Q452" s="280"/>
      <c r="R452" s="280"/>
      <c r="S452" s="280"/>
      <c r="T452" s="280"/>
      <c r="U452" s="203"/>
      <c r="V452" s="203"/>
    </row>
    <row r="453" spans="1:22" ht="18.600000000000001" thickBot="1" x14ac:dyDescent="0.35">
      <c r="F453" s="203"/>
      <c r="G453" s="163">
        <f>SUM(G16:G451)</f>
        <v>1185.1400000000012</v>
      </c>
      <c r="H453" s="164">
        <f>SUM(H16:H451)</f>
        <v>81.037250000000256</v>
      </c>
      <c r="I453" s="203"/>
      <c r="J453" s="203"/>
      <c r="K453" s="203"/>
      <c r="M453" s="62">
        <v>0.11</v>
      </c>
      <c r="N453" s="208">
        <v>1.25</v>
      </c>
      <c r="O453" s="208">
        <f>N453*M453</f>
        <v>0.13750000000000001</v>
      </c>
      <c r="Q453" s="204">
        <v>0.2</v>
      </c>
      <c r="R453" s="204">
        <v>0.25</v>
      </c>
      <c r="S453" s="204">
        <v>0.15</v>
      </c>
      <c r="T453" s="204">
        <v>0.4</v>
      </c>
      <c r="U453" s="205">
        <f>(Q453*R453+S453*T453)*F38</f>
        <v>0.32450000000000001</v>
      </c>
      <c r="V453" s="205">
        <f>(R453*S453+T453*U453)*G39</f>
        <v>0.59224200000000016</v>
      </c>
    </row>
    <row r="454" spans="1:22" x14ac:dyDescent="0.3">
      <c r="F454" s="203"/>
      <c r="G454" s="203"/>
      <c r="H454" s="203"/>
      <c r="I454" s="203"/>
      <c r="J454" s="203"/>
      <c r="K454" s="203"/>
    </row>
    <row r="455" spans="1:22" x14ac:dyDescent="0.3">
      <c r="F455" s="203"/>
      <c r="G455" s="203"/>
      <c r="H455" s="203"/>
      <c r="I455" s="203"/>
      <c r="J455" s="203"/>
      <c r="K455" s="203"/>
    </row>
    <row r="456" spans="1:22" ht="15" thickBot="1" x14ac:dyDescent="0.35">
      <c r="A456" s="3" t="s">
        <v>94</v>
      </c>
      <c r="G456" s="203"/>
      <c r="H456" s="203"/>
      <c r="I456" s="203"/>
      <c r="J456" s="203"/>
      <c r="K456" s="203"/>
    </row>
    <row r="457" spans="1:22" x14ac:dyDescent="0.3">
      <c r="A457" s="694" t="s">
        <v>1</v>
      </c>
      <c r="B457" s="691" t="s">
        <v>9</v>
      </c>
      <c r="C457" s="691" t="s">
        <v>5</v>
      </c>
      <c r="D457" s="691" t="s">
        <v>6</v>
      </c>
      <c r="E457" s="691"/>
      <c r="F457" s="691"/>
      <c r="G457" s="669" t="s">
        <v>7</v>
      </c>
      <c r="H457" s="669" t="s">
        <v>8</v>
      </c>
      <c r="I457" s="669" t="s">
        <v>12</v>
      </c>
      <c r="J457" s="292"/>
      <c r="K457" s="290"/>
    </row>
    <row r="458" spans="1:22" ht="15" thickBot="1" x14ac:dyDescent="0.35">
      <c r="A458" s="695"/>
      <c r="B458" s="692"/>
      <c r="C458" s="692"/>
      <c r="D458" s="293" t="s">
        <v>2</v>
      </c>
      <c r="E458" s="293" t="s">
        <v>3</v>
      </c>
      <c r="F458" s="293" t="s">
        <v>4</v>
      </c>
      <c r="G458" s="697"/>
      <c r="H458" s="670"/>
      <c r="I458" s="684"/>
      <c r="J458" s="293"/>
      <c r="K458" s="291"/>
    </row>
    <row r="459" spans="1:22" ht="15" thickBot="1" x14ac:dyDescent="0.35">
      <c r="A459" s="341"/>
      <c r="B459" s="473">
        <v>1</v>
      </c>
      <c r="C459" s="473" t="s">
        <v>42</v>
      </c>
      <c r="D459" s="472"/>
      <c r="E459" s="472"/>
      <c r="F459" s="472"/>
      <c r="G459" s="5">
        <f>(((2*D459+2*E459)*F459))*B459</f>
        <v>0</v>
      </c>
      <c r="H459" s="4">
        <f>F459*E459*D459*B459</f>
        <v>0</v>
      </c>
      <c r="I459" s="283"/>
      <c r="J459" s="283"/>
      <c r="K459" s="282"/>
    </row>
    <row r="460" spans="1:22" ht="15" thickBot="1" x14ac:dyDescent="0.35">
      <c r="A460" s="289"/>
      <c r="B460" s="473">
        <v>1</v>
      </c>
      <c r="C460" s="473" t="s">
        <v>42</v>
      </c>
      <c r="D460" s="472"/>
      <c r="E460" s="472"/>
      <c r="F460" s="472"/>
      <c r="G460" s="5">
        <f t="shared" ref="G460:G490" si="92">(((2*D460+2*E460)*F460))*B460</f>
        <v>0</v>
      </c>
      <c r="H460" s="4">
        <f t="shared" ref="H460:H490" si="93">F460*E460*D460*B460</f>
        <v>0</v>
      </c>
      <c r="I460" s="283"/>
      <c r="J460" s="283"/>
      <c r="K460" s="282"/>
    </row>
    <row r="461" spans="1:22" ht="15" thickBot="1" x14ac:dyDescent="0.35">
      <c r="A461" s="289"/>
      <c r="B461" s="473">
        <v>1</v>
      </c>
      <c r="C461" s="473" t="s">
        <v>42</v>
      </c>
      <c r="D461" s="472"/>
      <c r="E461" s="472"/>
      <c r="F461" s="472"/>
      <c r="G461" s="5">
        <f t="shared" si="92"/>
        <v>0</v>
      </c>
      <c r="H461" s="4">
        <f t="shared" si="93"/>
        <v>0</v>
      </c>
      <c r="I461" s="283"/>
      <c r="J461" s="283"/>
      <c r="K461" s="282"/>
    </row>
    <row r="462" spans="1:22" ht="15" thickBot="1" x14ac:dyDescent="0.35">
      <c r="A462" s="289"/>
      <c r="B462" s="473">
        <v>1</v>
      </c>
      <c r="C462" s="473" t="s">
        <v>42</v>
      </c>
      <c r="D462" s="472"/>
      <c r="E462" s="472"/>
      <c r="F462" s="472"/>
      <c r="G462" s="5">
        <f t="shared" si="92"/>
        <v>0</v>
      </c>
      <c r="H462" s="4">
        <f t="shared" si="93"/>
        <v>0</v>
      </c>
      <c r="I462" s="283"/>
      <c r="J462" s="283"/>
      <c r="K462" s="282"/>
    </row>
    <row r="463" spans="1:22" ht="15" thickBot="1" x14ac:dyDescent="0.35">
      <c r="A463" s="289"/>
      <c r="B463" s="473">
        <v>1</v>
      </c>
      <c r="C463" s="473" t="s">
        <v>42</v>
      </c>
      <c r="D463" s="472"/>
      <c r="E463" s="472"/>
      <c r="F463" s="472"/>
      <c r="G463" s="5">
        <f t="shared" si="92"/>
        <v>0</v>
      </c>
      <c r="H463" s="4">
        <f t="shared" si="93"/>
        <v>0</v>
      </c>
      <c r="I463" s="283"/>
      <c r="J463" s="283"/>
      <c r="K463" s="282"/>
    </row>
    <row r="464" spans="1:22" ht="15" thickBot="1" x14ac:dyDescent="0.35">
      <c r="A464" s="289"/>
      <c r="B464" s="473">
        <v>1</v>
      </c>
      <c r="C464" s="473" t="s">
        <v>42</v>
      </c>
      <c r="D464" s="472"/>
      <c r="E464" s="472"/>
      <c r="F464" s="472"/>
      <c r="G464" s="5">
        <f t="shared" si="92"/>
        <v>0</v>
      </c>
      <c r="H464" s="4">
        <f t="shared" si="93"/>
        <v>0</v>
      </c>
      <c r="I464" s="283"/>
      <c r="J464" s="283"/>
      <c r="K464" s="282"/>
    </row>
    <row r="465" spans="1:11" ht="15" thickBot="1" x14ac:dyDescent="0.35">
      <c r="A465" s="289"/>
      <c r="B465" s="473">
        <v>1</v>
      </c>
      <c r="C465" s="473" t="s">
        <v>42</v>
      </c>
      <c r="D465" s="472"/>
      <c r="E465" s="472"/>
      <c r="F465" s="472"/>
      <c r="G465" s="5">
        <f t="shared" si="92"/>
        <v>0</v>
      </c>
      <c r="H465" s="4">
        <f t="shared" si="93"/>
        <v>0</v>
      </c>
      <c r="I465" s="283"/>
      <c r="J465" s="283"/>
      <c r="K465" s="282"/>
    </row>
    <row r="466" spans="1:11" ht="15" thickBot="1" x14ac:dyDescent="0.35">
      <c r="A466" s="289"/>
      <c r="B466" s="473">
        <v>1</v>
      </c>
      <c r="C466" s="473" t="s">
        <v>42</v>
      </c>
      <c r="D466" s="472"/>
      <c r="E466" s="472"/>
      <c r="F466" s="472"/>
      <c r="G466" s="5">
        <f t="shared" si="92"/>
        <v>0</v>
      </c>
      <c r="H466" s="4">
        <f t="shared" si="93"/>
        <v>0</v>
      </c>
      <c r="I466" s="283"/>
      <c r="J466" s="283"/>
      <c r="K466" s="282"/>
    </row>
    <row r="467" spans="1:11" ht="15" thickBot="1" x14ac:dyDescent="0.35">
      <c r="A467" s="289"/>
      <c r="B467" s="473">
        <v>1</v>
      </c>
      <c r="C467" s="473" t="s">
        <v>42</v>
      </c>
      <c r="D467" s="472"/>
      <c r="E467" s="472"/>
      <c r="F467" s="472"/>
      <c r="G467" s="5">
        <f t="shared" si="92"/>
        <v>0</v>
      </c>
      <c r="H467" s="4">
        <f t="shared" si="93"/>
        <v>0</v>
      </c>
      <c r="I467" s="283"/>
      <c r="J467" s="283"/>
      <c r="K467" s="282"/>
    </row>
    <row r="468" spans="1:11" ht="15" thickBot="1" x14ac:dyDescent="0.35">
      <c r="A468" s="289"/>
      <c r="B468" s="473">
        <v>1</v>
      </c>
      <c r="C468" s="473" t="s">
        <v>42</v>
      </c>
      <c r="D468" s="472"/>
      <c r="E468" s="472"/>
      <c r="F468" s="472"/>
      <c r="G468" s="5">
        <f t="shared" si="92"/>
        <v>0</v>
      </c>
      <c r="H468" s="4">
        <f t="shared" si="93"/>
        <v>0</v>
      </c>
      <c r="I468" s="283"/>
      <c r="J468" s="283"/>
      <c r="K468" s="282"/>
    </row>
    <row r="469" spans="1:11" ht="15" thickBot="1" x14ac:dyDescent="0.35">
      <c r="A469" s="289"/>
      <c r="B469" s="473">
        <v>1</v>
      </c>
      <c r="C469" s="473" t="s">
        <v>42</v>
      </c>
      <c r="D469" s="472"/>
      <c r="E469" s="472"/>
      <c r="F469" s="472"/>
      <c r="G469" s="5">
        <f t="shared" si="92"/>
        <v>0</v>
      </c>
      <c r="H469" s="4">
        <f t="shared" si="93"/>
        <v>0</v>
      </c>
      <c r="I469" s="283"/>
      <c r="J469" s="283"/>
      <c r="K469" s="282"/>
    </row>
    <row r="470" spans="1:11" ht="15" thickBot="1" x14ac:dyDescent="0.35">
      <c r="A470" s="289"/>
      <c r="B470" s="473">
        <v>1</v>
      </c>
      <c r="C470" s="473" t="s">
        <v>42</v>
      </c>
      <c r="D470" s="472"/>
      <c r="E470" s="472"/>
      <c r="F470" s="472"/>
      <c r="G470" s="5">
        <f t="shared" si="92"/>
        <v>0</v>
      </c>
      <c r="H470" s="4">
        <f t="shared" si="93"/>
        <v>0</v>
      </c>
      <c r="I470" s="283"/>
      <c r="J470" s="283"/>
      <c r="K470" s="282"/>
    </row>
    <row r="471" spans="1:11" ht="15" thickBot="1" x14ac:dyDescent="0.35">
      <c r="A471" s="289"/>
      <c r="B471" s="473">
        <v>1</v>
      </c>
      <c r="C471" s="473" t="s">
        <v>42</v>
      </c>
      <c r="D471" s="472"/>
      <c r="E471" s="472"/>
      <c r="F471" s="472"/>
      <c r="G471" s="5">
        <f t="shared" si="92"/>
        <v>0</v>
      </c>
      <c r="H471" s="4">
        <f t="shared" si="93"/>
        <v>0</v>
      </c>
      <c r="I471" s="283"/>
      <c r="J471" s="283"/>
      <c r="K471" s="282"/>
    </row>
    <row r="472" spans="1:11" ht="15" thickBot="1" x14ac:dyDescent="0.35">
      <c r="A472" s="289"/>
      <c r="B472" s="473">
        <v>1</v>
      </c>
      <c r="C472" s="473" t="s">
        <v>42</v>
      </c>
      <c r="D472" s="472"/>
      <c r="E472" s="472"/>
      <c r="F472" s="472"/>
      <c r="G472" s="5">
        <f t="shared" si="92"/>
        <v>0</v>
      </c>
      <c r="H472" s="4">
        <f t="shared" si="93"/>
        <v>0</v>
      </c>
      <c r="I472" s="283"/>
      <c r="J472" s="283"/>
      <c r="K472" s="282"/>
    </row>
    <row r="473" spans="1:11" ht="15" thickBot="1" x14ac:dyDescent="0.35">
      <c r="A473" s="289"/>
      <c r="B473" s="473">
        <v>1</v>
      </c>
      <c r="C473" s="473" t="s">
        <v>42</v>
      </c>
      <c r="D473" s="472"/>
      <c r="E473" s="472"/>
      <c r="F473" s="472"/>
      <c r="G473" s="5">
        <f t="shared" si="92"/>
        <v>0</v>
      </c>
      <c r="H473" s="4">
        <f t="shared" si="93"/>
        <v>0</v>
      </c>
      <c r="I473" s="283"/>
      <c r="J473" s="283"/>
      <c r="K473" s="282"/>
    </row>
    <row r="474" spans="1:11" ht="15" thickBot="1" x14ac:dyDescent="0.35">
      <c r="A474" s="289"/>
      <c r="B474" s="473">
        <v>1</v>
      </c>
      <c r="C474" s="473" t="s">
        <v>42</v>
      </c>
      <c r="D474" s="472"/>
      <c r="E474" s="472"/>
      <c r="F474" s="472"/>
      <c r="G474" s="5">
        <f t="shared" si="92"/>
        <v>0</v>
      </c>
      <c r="H474" s="4">
        <f t="shared" si="93"/>
        <v>0</v>
      </c>
      <c r="I474" s="283"/>
      <c r="J474" s="283"/>
      <c r="K474" s="282"/>
    </row>
    <row r="475" spans="1:11" ht="15" thickBot="1" x14ac:dyDescent="0.35">
      <c r="A475" s="289"/>
      <c r="B475" s="473">
        <v>1</v>
      </c>
      <c r="C475" s="473" t="s">
        <v>42</v>
      </c>
      <c r="D475" s="472"/>
      <c r="E475" s="472"/>
      <c r="F475" s="472"/>
      <c r="G475" s="5">
        <f t="shared" si="92"/>
        <v>0</v>
      </c>
      <c r="H475" s="4">
        <f t="shared" si="93"/>
        <v>0</v>
      </c>
      <c r="I475" s="283"/>
      <c r="J475" s="283"/>
      <c r="K475" s="282"/>
    </row>
    <row r="476" spans="1:11" ht="15" thickBot="1" x14ac:dyDescent="0.35">
      <c r="A476" s="289"/>
      <c r="B476" s="473">
        <v>1</v>
      </c>
      <c r="C476" s="473" t="s">
        <v>42</v>
      </c>
      <c r="D476" s="472"/>
      <c r="E476" s="472"/>
      <c r="F476" s="472"/>
      <c r="G476" s="5">
        <f t="shared" si="92"/>
        <v>0</v>
      </c>
      <c r="H476" s="4">
        <f t="shared" si="93"/>
        <v>0</v>
      </c>
      <c r="I476" s="283"/>
      <c r="J476" s="283"/>
      <c r="K476" s="282"/>
    </row>
    <row r="477" spans="1:11" ht="15" thickBot="1" x14ac:dyDescent="0.35">
      <c r="A477" s="289"/>
      <c r="B477" s="473">
        <v>1</v>
      </c>
      <c r="C477" s="473" t="s">
        <v>42</v>
      </c>
      <c r="D477" s="472"/>
      <c r="E477" s="472"/>
      <c r="F477" s="472"/>
      <c r="G477" s="5">
        <f t="shared" si="92"/>
        <v>0</v>
      </c>
      <c r="H477" s="4">
        <f t="shared" si="93"/>
        <v>0</v>
      </c>
      <c r="I477" s="283"/>
      <c r="J477" s="283"/>
      <c r="K477" s="282"/>
    </row>
    <row r="478" spans="1:11" ht="15" thickBot="1" x14ac:dyDescent="0.35">
      <c r="A478" s="289"/>
      <c r="B478" s="473">
        <v>1</v>
      </c>
      <c r="C478" s="473" t="s">
        <v>42</v>
      </c>
      <c r="D478" s="472"/>
      <c r="E478" s="472"/>
      <c r="F478" s="472"/>
      <c r="G478" s="5">
        <f t="shared" si="92"/>
        <v>0</v>
      </c>
      <c r="H478" s="4">
        <f t="shared" si="93"/>
        <v>0</v>
      </c>
      <c r="I478" s="283"/>
      <c r="J478" s="283"/>
      <c r="K478" s="282"/>
    </row>
    <row r="479" spans="1:11" ht="15" thickBot="1" x14ac:dyDescent="0.35">
      <c r="A479" s="289"/>
      <c r="B479" s="473">
        <v>1</v>
      </c>
      <c r="C479" s="473" t="s">
        <v>42</v>
      </c>
      <c r="D479" s="472"/>
      <c r="E479" s="472"/>
      <c r="F479" s="472"/>
      <c r="G479" s="5">
        <f t="shared" si="92"/>
        <v>0</v>
      </c>
      <c r="H479" s="4">
        <f t="shared" si="93"/>
        <v>0</v>
      </c>
      <c r="I479" s="283"/>
      <c r="J479" s="283"/>
      <c r="K479" s="282"/>
    </row>
    <row r="480" spans="1:11" ht="15" thickBot="1" x14ac:dyDescent="0.35">
      <c r="A480" s="289"/>
      <c r="B480" s="473">
        <v>1</v>
      </c>
      <c r="C480" s="473" t="s">
        <v>42</v>
      </c>
      <c r="D480" s="472"/>
      <c r="E480" s="472"/>
      <c r="F480" s="472"/>
      <c r="G480" s="5">
        <f t="shared" si="92"/>
        <v>0</v>
      </c>
      <c r="H480" s="4">
        <f t="shared" si="93"/>
        <v>0</v>
      </c>
      <c r="I480" s="283"/>
      <c r="J480" s="283"/>
      <c r="K480" s="282"/>
    </row>
    <row r="481" spans="1:11" ht="15" thickBot="1" x14ac:dyDescent="0.35">
      <c r="A481" s="289"/>
      <c r="B481" s="473">
        <v>1</v>
      </c>
      <c r="C481" s="473" t="s">
        <v>42</v>
      </c>
      <c r="D481" s="472"/>
      <c r="E481" s="472"/>
      <c r="F481" s="472"/>
      <c r="G481" s="5">
        <f t="shared" si="92"/>
        <v>0</v>
      </c>
      <c r="H481" s="4">
        <f t="shared" si="93"/>
        <v>0</v>
      </c>
      <c r="I481" s="283"/>
      <c r="J481" s="283"/>
      <c r="K481" s="282"/>
    </row>
    <row r="482" spans="1:11" ht="15" thickBot="1" x14ac:dyDescent="0.35">
      <c r="A482" s="289"/>
      <c r="B482" s="473">
        <v>1</v>
      </c>
      <c r="C482" s="473" t="s">
        <v>42</v>
      </c>
      <c r="D482" s="472"/>
      <c r="E482" s="472"/>
      <c r="F482" s="472"/>
      <c r="G482" s="5">
        <f t="shared" si="92"/>
        <v>0</v>
      </c>
      <c r="H482" s="4">
        <f t="shared" si="93"/>
        <v>0</v>
      </c>
      <c r="I482" s="283"/>
      <c r="J482" s="283"/>
      <c r="K482" s="282"/>
    </row>
    <row r="483" spans="1:11" ht="15" thickBot="1" x14ac:dyDescent="0.35">
      <c r="A483" s="289"/>
      <c r="B483" s="473">
        <v>1</v>
      </c>
      <c r="C483" s="473" t="s">
        <v>42</v>
      </c>
      <c r="D483" s="472"/>
      <c r="E483" s="472"/>
      <c r="F483" s="472"/>
      <c r="G483" s="5">
        <f t="shared" si="92"/>
        <v>0</v>
      </c>
      <c r="H483" s="4">
        <f t="shared" si="93"/>
        <v>0</v>
      </c>
      <c r="I483" s="283"/>
      <c r="J483" s="283"/>
      <c r="K483" s="282"/>
    </row>
    <row r="484" spans="1:11" ht="15" thickBot="1" x14ac:dyDescent="0.35">
      <c r="A484" s="289"/>
      <c r="B484" s="473">
        <v>1</v>
      </c>
      <c r="C484" s="473" t="s">
        <v>42</v>
      </c>
      <c r="D484" s="472"/>
      <c r="E484" s="472"/>
      <c r="F484" s="472"/>
      <c r="G484" s="5">
        <f t="shared" si="92"/>
        <v>0</v>
      </c>
      <c r="H484" s="4">
        <f t="shared" si="93"/>
        <v>0</v>
      </c>
      <c r="I484" s="283"/>
      <c r="J484" s="283"/>
      <c r="K484" s="282"/>
    </row>
    <row r="485" spans="1:11" ht="15" thickBot="1" x14ac:dyDescent="0.35">
      <c r="A485" s="289"/>
      <c r="B485" s="473">
        <v>1</v>
      </c>
      <c r="C485" s="473" t="s">
        <v>42</v>
      </c>
      <c r="D485" s="472"/>
      <c r="E485" s="472"/>
      <c r="F485" s="472"/>
      <c r="G485" s="5">
        <f t="shared" si="92"/>
        <v>0</v>
      </c>
      <c r="H485" s="4">
        <f t="shared" si="93"/>
        <v>0</v>
      </c>
      <c r="I485" s="283"/>
      <c r="J485" s="283"/>
      <c r="K485" s="282"/>
    </row>
    <row r="486" spans="1:11" ht="15" thickBot="1" x14ac:dyDescent="0.35">
      <c r="A486" s="289"/>
      <c r="B486" s="473">
        <v>1</v>
      </c>
      <c r="C486" s="473" t="s">
        <v>42</v>
      </c>
      <c r="D486" s="472"/>
      <c r="E486" s="472"/>
      <c r="F486" s="472"/>
      <c r="G486" s="5">
        <f t="shared" si="92"/>
        <v>0</v>
      </c>
      <c r="H486" s="4">
        <f t="shared" si="93"/>
        <v>0</v>
      </c>
      <c r="I486" s="283"/>
      <c r="J486" s="283"/>
      <c r="K486" s="282"/>
    </row>
    <row r="487" spans="1:11" ht="15" thickBot="1" x14ac:dyDescent="0.35">
      <c r="A487" s="289"/>
      <c r="B487" s="473">
        <v>1</v>
      </c>
      <c r="C487" s="473" t="s">
        <v>42</v>
      </c>
      <c r="D487" s="472"/>
      <c r="E487" s="472"/>
      <c r="F487" s="472"/>
      <c r="G487" s="5">
        <f t="shared" si="92"/>
        <v>0</v>
      </c>
      <c r="H487" s="4">
        <f t="shared" si="93"/>
        <v>0</v>
      </c>
      <c r="I487" s="283"/>
      <c r="J487" s="283"/>
      <c r="K487" s="282"/>
    </row>
    <row r="488" spans="1:11" ht="15" thickBot="1" x14ac:dyDescent="0.35">
      <c r="A488" s="289"/>
      <c r="B488" s="473">
        <v>1</v>
      </c>
      <c r="C488" s="473" t="s">
        <v>42</v>
      </c>
      <c r="D488" s="472"/>
      <c r="E488" s="472"/>
      <c r="F488" s="472"/>
      <c r="G488" s="5">
        <f t="shared" si="92"/>
        <v>0</v>
      </c>
      <c r="H488" s="4">
        <f t="shared" si="93"/>
        <v>0</v>
      </c>
      <c r="I488" s="283"/>
      <c r="J488" s="283"/>
      <c r="K488" s="282"/>
    </row>
    <row r="489" spans="1:11" ht="15" thickBot="1" x14ac:dyDescent="0.35">
      <c r="A489" s="289"/>
      <c r="B489" s="473">
        <v>1</v>
      </c>
      <c r="C489" s="473" t="s">
        <v>42</v>
      </c>
      <c r="D489" s="472"/>
      <c r="E489" s="472"/>
      <c r="F489" s="472"/>
      <c r="G489" s="5">
        <f t="shared" si="92"/>
        <v>0</v>
      </c>
      <c r="H489" s="4">
        <f t="shared" si="93"/>
        <v>0</v>
      </c>
      <c r="I489" s="283"/>
      <c r="J489" s="283"/>
      <c r="K489" s="282"/>
    </row>
    <row r="490" spans="1:11" ht="15" thickBot="1" x14ac:dyDescent="0.35">
      <c r="A490" s="289"/>
      <c r="B490" s="473">
        <v>1</v>
      </c>
      <c r="C490" s="473" t="s">
        <v>42</v>
      </c>
      <c r="D490" s="472"/>
      <c r="E490" s="472"/>
      <c r="F490" s="472"/>
      <c r="G490" s="5">
        <f t="shared" si="92"/>
        <v>0</v>
      </c>
      <c r="H490" s="4">
        <f t="shared" si="93"/>
        <v>0</v>
      </c>
      <c r="I490" s="283"/>
      <c r="J490" s="283"/>
      <c r="K490" s="282"/>
    </row>
    <row r="491" spans="1:11" x14ac:dyDescent="0.3">
      <c r="E491" s="203"/>
      <c r="H491" s="72"/>
      <c r="I491" s="72"/>
      <c r="J491" s="165"/>
      <c r="K491" s="62"/>
    </row>
    <row r="492" spans="1:11" ht="18.600000000000001" thickBot="1" x14ac:dyDescent="0.35">
      <c r="F492" s="203"/>
      <c r="G492" s="163">
        <f>SUM(G459:G490)</f>
        <v>0</v>
      </c>
      <c r="H492" s="164">
        <f>SUM(H459:H490)</f>
        <v>0</v>
      </c>
      <c r="I492" s="203"/>
      <c r="J492" s="203"/>
      <c r="K492" s="203"/>
    </row>
  </sheetData>
  <mergeCells count="38">
    <mergeCell ref="A417:H417"/>
    <mergeCell ref="A8:H8"/>
    <mergeCell ref="A9:H9"/>
    <mergeCell ref="A457:A458"/>
    <mergeCell ref="B457:B458"/>
    <mergeCell ref="C457:C458"/>
    <mergeCell ref="D457:F457"/>
    <mergeCell ref="G457:G458"/>
    <mergeCell ref="H457:H458"/>
    <mergeCell ref="A6:K6"/>
    <mergeCell ref="A11:K11"/>
    <mergeCell ref="C13:C14"/>
    <mergeCell ref="A13:A14"/>
    <mergeCell ref="D13:F13"/>
    <mergeCell ref="G13:G14"/>
    <mergeCell ref="H13:H14"/>
    <mergeCell ref="B13:B14"/>
    <mergeCell ref="A1:K1"/>
    <mergeCell ref="A2:K2"/>
    <mergeCell ref="A3:K3"/>
    <mergeCell ref="A4:K4"/>
    <mergeCell ref="A5:K5"/>
    <mergeCell ref="I457:I458"/>
    <mergeCell ref="A15:H15"/>
    <mergeCell ref="Q14:R14"/>
    <mergeCell ref="S14:T14"/>
    <mergeCell ref="K13:K14"/>
    <mergeCell ref="I13:I14"/>
    <mergeCell ref="J13:J14"/>
    <mergeCell ref="A34:H34"/>
    <mergeCell ref="A50:H50"/>
    <mergeCell ref="A89:H89"/>
    <mergeCell ref="A121:H121"/>
    <mergeCell ref="A178:H178"/>
    <mergeCell ref="A234:H234"/>
    <mergeCell ref="A307:H307"/>
    <mergeCell ref="A355:H355"/>
    <mergeCell ref="A358:H358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8" fitToHeight="5" orientation="portrait" r:id="rId1"/>
  <headerFooter>
    <oddFooter>&amp;C&amp;8Rua Ferreira Pena, 1.109 – Centro – Manaus/AM – Cel: (0**92) 98415-0793, Fone: (0**92) 3306-0045 – e-mail: enge.ifam@ifam.edu.br 
DIRETORIA DE INFRAESTURURA - DINFRA&amp;R&amp;8Página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>
    <tabColor theme="9" tint="0.39997558519241921"/>
    <pageSetUpPr fitToPage="1"/>
  </sheetPr>
  <dimension ref="A1:U763"/>
  <sheetViews>
    <sheetView showGridLines="0" view="pageBreakPreview" topLeftCell="A10" zoomScale="80" zoomScaleNormal="100" zoomScaleSheetLayoutView="80" workbookViewId="0">
      <pane ySplit="5" topLeftCell="A732" activePane="bottomLeft" state="frozen"/>
      <selection activeCell="A10" sqref="A10"/>
      <selection pane="bottomLeft" activeCell="A748" sqref="A748"/>
    </sheetView>
  </sheetViews>
  <sheetFormatPr defaultRowHeight="14.4" x14ac:dyDescent="0.3"/>
  <cols>
    <col min="1" max="2" width="9.109375" style="1"/>
    <col min="3" max="3" width="11.5546875" style="1" bestFit="1" customWidth="1"/>
    <col min="4" max="6" width="9.109375" style="1"/>
    <col min="7" max="7" width="14.109375" style="1" customWidth="1"/>
    <col min="8" max="12" width="12.6640625" style="1" customWidth="1"/>
    <col min="13" max="14" width="12.6640625" customWidth="1"/>
    <col min="15" max="15" width="12.6640625" style="6" customWidth="1"/>
    <col min="16" max="16" width="18" style="1" customWidth="1"/>
    <col min="17" max="17" width="26.33203125" customWidth="1"/>
  </cols>
  <sheetData>
    <row r="1" spans="1:20" ht="12.9" customHeight="1" x14ac:dyDescent="0.3">
      <c r="A1" s="656" t="s">
        <v>36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</row>
    <row r="2" spans="1:20" ht="12.9" customHeight="1" x14ac:dyDescent="0.3">
      <c r="A2" s="656" t="s">
        <v>37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</row>
    <row r="3" spans="1:20" ht="12.9" customHeight="1" x14ac:dyDescent="0.3">
      <c r="A3" s="656" t="s">
        <v>39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</row>
    <row r="4" spans="1:20" ht="12.9" customHeight="1" x14ac:dyDescent="0.3">
      <c r="A4" s="656" t="s">
        <v>38</v>
      </c>
      <c r="B4" s="656"/>
      <c r="C4" s="656"/>
      <c r="D4" s="656"/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</row>
    <row r="5" spans="1:20" ht="12.9" customHeight="1" x14ac:dyDescent="0.3">
      <c r="A5" s="656" t="s">
        <v>162</v>
      </c>
      <c r="B5" s="656"/>
      <c r="C5" s="656"/>
      <c r="D5" s="656"/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</row>
    <row r="6" spans="1:20" ht="12.9" customHeight="1" x14ac:dyDescent="0.3">
      <c r="A6" s="656" t="s">
        <v>124</v>
      </c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</row>
    <row r="7" spans="1:20" s="62" customFormat="1" ht="5.0999999999999996" customHeight="1" x14ac:dyDescent="0.3">
      <c r="A7" s="75"/>
      <c r="B7" s="75"/>
      <c r="C7" s="75"/>
      <c r="D7" s="75"/>
      <c r="E7" s="75"/>
      <c r="F7" s="75"/>
      <c r="G7" s="201"/>
      <c r="H7" s="75"/>
      <c r="I7" s="211"/>
      <c r="J7" s="75"/>
      <c r="K7" s="75"/>
      <c r="L7" s="310"/>
      <c r="M7" s="75"/>
      <c r="N7" s="75"/>
      <c r="O7" s="152"/>
      <c r="P7" s="152"/>
    </row>
    <row r="8" spans="1:20" ht="18" x14ac:dyDescent="0.35">
      <c r="A8" s="696" t="s">
        <v>160</v>
      </c>
      <c r="B8" s="696"/>
      <c r="C8" s="696"/>
      <c r="D8" s="696"/>
      <c r="E8" s="696"/>
      <c r="F8" s="696"/>
      <c r="G8" s="696"/>
      <c r="H8" s="696"/>
      <c r="K8" s="12"/>
      <c r="L8" s="12"/>
      <c r="N8" s="12"/>
      <c r="O8" s="13"/>
      <c r="P8" s="14"/>
    </row>
    <row r="9" spans="1:20" s="62" customFormat="1" ht="14.25" customHeight="1" x14ac:dyDescent="0.35">
      <c r="A9" s="657" t="s">
        <v>161</v>
      </c>
      <c r="B9" s="657"/>
      <c r="C9" s="657"/>
      <c r="D9" s="657"/>
      <c r="E9" s="657"/>
      <c r="F9" s="657"/>
      <c r="G9" s="657"/>
      <c r="H9" s="657"/>
      <c r="I9" s="108"/>
      <c r="J9" s="76"/>
      <c r="K9" s="74"/>
      <c r="L9" s="74"/>
      <c r="N9" s="95"/>
      <c r="O9" s="13"/>
      <c r="P9" s="14"/>
    </row>
    <row r="10" spans="1:20" s="62" customFormat="1" ht="20.100000000000001" customHeight="1" x14ac:dyDescent="0.35">
      <c r="A10" s="712" t="s">
        <v>91</v>
      </c>
      <c r="B10" s="712"/>
      <c r="C10" s="712"/>
      <c r="D10" s="712"/>
      <c r="E10" s="712"/>
      <c r="F10" s="712"/>
      <c r="G10" s="712"/>
      <c r="H10" s="712"/>
      <c r="I10" s="108"/>
      <c r="J10" s="108"/>
      <c r="K10" s="12" t="s">
        <v>16</v>
      </c>
      <c r="L10" s="12"/>
      <c r="M10" s="15">
        <f>H377+H761</f>
        <v>3144.2464</v>
      </c>
      <c r="N10" s="14" t="s">
        <v>14</v>
      </c>
      <c r="O10" s="13"/>
      <c r="P10" s="14"/>
    </row>
    <row r="11" spans="1:20" s="62" customFormat="1" ht="20.100000000000001" customHeight="1" x14ac:dyDescent="0.35">
      <c r="A11" s="712"/>
      <c r="B11" s="712"/>
      <c r="C11" s="712"/>
      <c r="D11" s="712"/>
      <c r="E11" s="712"/>
      <c r="F11" s="712"/>
      <c r="G11" s="712"/>
      <c r="H11" s="712"/>
      <c r="I11" s="1"/>
      <c r="J11" s="1"/>
      <c r="K11" s="12" t="s">
        <v>48</v>
      </c>
      <c r="L11" s="12"/>
      <c r="M11" s="15">
        <f>J761+J377</f>
        <v>250.81797500000008</v>
      </c>
      <c r="N11" s="14" t="s">
        <v>15</v>
      </c>
      <c r="O11" s="13"/>
      <c r="P11" s="14"/>
    </row>
    <row r="12" spans="1:20" ht="18.600000000000001" thickBot="1" x14ac:dyDescent="0.4">
      <c r="A12" s="7" t="s">
        <v>81</v>
      </c>
      <c r="K12" s="12"/>
      <c r="L12" s="12"/>
      <c r="M12" s="15"/>
      <c r="N12" s="14"/>
    </row>
    <row r="13" spans="1:20" ht="15" customHeight="1" x14ac:dyDescent="0.3">
      <c r="A13" s="701" t="s">
        <v>1</v>
      </c>
      <c r="B13" s="669" t="s">
        <v>9</v>
      </c>
      <c r="C13" s="669" t="s">
        <v>5</v>
      </c>
      <c r="D13" s="663" t="s">
        <v>6</v>
      </c>
      <c r="E13" s="664"/>
      <c r="F13" s="665"/>
      <c r="G13" s="703" t="s">
        <v>89</v>
      </c>
      <c r="H13" s="669" t="s">
        <v>7</v>
      </c>
      <c r="I13" s="703" t="s">
        <v>90</v>
      </c>
      <c r="J13" s="706" t="s">
        <v>8</v>
      </c>
      <c r="K13" s="671" t="s">
        <v>53</v>
      </c>
      <c r="L13" s="671" t="s">
        <v>100</v>
      </c>
      <c r="M13" s="671" t="s">
        <v>51</v>
      </c>
      <c r="N13" s="671" t="s">
        <v>52</v>
      </c>
      <c r="O13" s="708" t="s">
        <v>80</v>
      </c>
      <c r="P13" s="710" t="s">
        <v>13</v>
      </c>
      <c r="Q13" s="710" t="s">
        <v>93</v>
      </c>
    </row>
    <row r="14" spans="1:20" ht="15" thickBot="1" x14ac:dyDescent="0.35">
      <c r="A14" s="702"/>
      <c r="B14" s="670"/>
      <c r="C14" s="670"/>
      <c r="D14" s="2" t="s">
        <v>2</v>
      </c>
      <c r="E14" s="2" t="s">
        <v>3</v>
      </c>
      <c r="F14" s="2" t="s">
        <v>4</v>
      </c>
      <c r="G14" s="704"/>
      <c r="H14" s="670"/>
      <c r="I14" s="704"/>
      <c r="J14" s="707"/>
      <c r="K14" s="672"/>
      <c r="L14" s="672"/>
      <c r="M14" s="672"/>
      <c r="N14" s="672"/>
      <c r="O14" s="709"/>
      <c r="P14" s="711"/>
      <c r="Q14" s="711"/>
    </row>
    <row r="15" spans="1:20" s="62" customFormat="1" ht="15" thickBot="1" x14ac:dyDescent="0.35">
      <c r="A15" s="685" t="s">
        <v>195</v>
      </c>
      <c r="B15" s="686"/>
      <c r="C15" s="686"/>
      <c r="D15" s="686"/>
      <c r="E15" s="686"/>
      <c r="F15" s="686"/>
      <c r="G15" s="686"/>
      <c r="H15" s="686"/>
      <c r="I15" s="686"/>
      <c r="J15" s="686"/>
      <c r="K15" s="686"/>
      <c r="L15" s="686"/>
      <c r="M15" s="686"/>
      <c r="N15" s="686"/>
      <c r="O15" s="687"/>
      <c r="P15" s="471"/>
      <c r="Q15" s="478"/>
    </row>
    <row r="16" spans="1:20" s="157" customFormat="1" ht="15" customHeight="1" x14ac:dyDescent="0.3">
      <c r="A16" s="611" t="s">
        <v>189</v>
      </c>
      <c r="B16" s="612">
        <v>1</v>
      </c>
      <c r="C16" s="612" t="s">
        <v>42</v>
      </c>
      <c r="D16" s="613">
        <v>8.25</v>
      </c>
      <c r="E16" s="614">
        <v>0.15</v>
      </c>
      <c r="F16" s="614">
        <v>0.4</v>
      </c>
      <c r="G16" s="614">
        <f>(-0.15*0.4+0.25*0.4+0.1*0.4)*2</f>
        <v>0.16000000000000003</v>
      </c>
      <c r="H16" s="614">
        <f>((2*F16)*D16)+G16</f>
        <v>6.7600000000000007</v>
      </c>
      <c r="I16" s="614">
        <f>0.1*0.5*0.4*2</f>
        <v>4.0000000000000008E-2</v>
      </c>
      <c r="J16" s="614">
        <f>((D16*E16*F16)*B16)+I16</f>
        <v>0.53500000000000003</v>
      </c>
      <c r="K16" s="614">
        <f>D16*E16*0.05</f>
        <v>6.1875000000000006E-2</v>
      </c>
      <c r="L16" s="614">
        <v>6.45</v>
      </c>
      <c r="M16" s="614">
        <f t="shared" ref="M16:M375" si="0">L16*(E16+0.3)*(F16+0.05)</f>
        <v>1.306125</v>
      </c>
      <c r="N16" s="614">
        <f t="shared" ref="N16:N33" si="1">M16-(L16*E16*(F16+0.05))</f>
        <v>0.87074999999999991</v>
      </c>
      <c r="O16" s="615">
        <f t="shared" ref="O16:O27" si="2">D16*(E16+(F16*2))</f>
        <v>7.8375000000000004</v>
      </c>
      <c r="P16" s="717" t="s">
        <v>56</v>
      </c>
      <c r="Q16" s="715"/>
      <c r="R16" s="209"/>
      <c r="S16" s="210"/>
      <c r="T16" s="209"/>
    </row>
    <row r="17" spans="1:20" s="157" customFormat="1" x14ac:dyDescent="0.3">
      <c r="A17" s="494" t="s">
        <v>190</v>
      </c>
      <c r="B17" s="495">
        <v>1</v>
      </c>
      <c r="C17" s="495" t="s">
        <v>42</v>
      </c>
      <c r="D17" s="510">
        <v>7.8</v>
      </c>
      <c r="E17" s="614">
        <v>0.15</v>
      </c>
      <c r="F17" s="614">
        <v>0.4</v>
      </c>
      <c r="G17" s="592"/>
      <c r="H17" s="592">
        <f t="shared" ref="H17:H375" si="3">((2*F17)*D17)+G17</f>
        <v>6.24</v>
      </c>
      <c r="I17" s="592"/>
      <c r="J17" s="592">
        <f>((D17*E17*F17)*B17)+I17</f>
        <v>0.46799999999999997</v>
      </c>
      <c r="K17" s="592">
        <f t="shared" ref="K17:K27" si="4">D17*E17*0.05</f>
        <v>5.8499999999999996E-2</v>
      </c>
      <c r="L17" s="592">
        <v>6.13</v>
      </c>
      <c r="M17" s="592">
        <f t="shared" si="0"/>
        <v>1.241325</v>
      </c>
      <c r="N17" s="592">
        <f t="shared" si="1"/>
        <v>0.82755000000000001</v>
      </c>
      <c r="O17" s="616">
        <f t="shared" si="2"/>
        <v>7.41</v>
      </c>
      <c r="P17" s="718"/>
      <c r="Q17" s="716"/>
      <c r="R17" s="209"/>
      <c r="S17" s="210"/>
      <c r="T17" s="209"/>
    </row>
    <row r="18" spans="1:20" s="157" customFormat="1" x14ac:dyDescent="0.3">
      <c r="A18" s="494" t="s">
        <v>191</v>
      </c>
      <c r="B18" s="495">
        <v>1</v>
      </c>
      <c r="C18" s="495" t="s">
        <v>42</v>
      </c>
      <c r="D18" s="510">
        <v>7.8</v>
      </c>
      <c r="E18" s="614">
        <v>0.15</v>
      </c>
      <c r="F18" s="614">
        <v>0.4</v>
      </c>
      <c r="G18" s="592"/>
      <c r="H18" s="592">
        <f t="shared" si="3"/>
        <v>6.24</v>
      </c>
      <c r="I18" s="592"/>
      <c r="J18" s="592">
        <f t="shared" ref="J18:J27" si="5">((D18*E18*F18)*B18)+I18</f>
        <v>0.46799999999999997</v>
      </c>
      <c r="K18" s="592">
        <f t="shared" si="4"/>
        <v>5.8499999999999996E-2</v>
      </c>
      <c r="L18" s="592">
        <v>6.13</v>
      </c>
      <c r="M18" s="592">
        <f t="shared" si="0"/>
        <v>1.241325</v>
      </c>
      <c r="N18" s="592">
        <f t="shared" si="1"/>
        <v>0.82755000000000001</v>
      </c>
      <c r="O18" s="616">
        <f t="shared" si="2"/>
        <v>7.41</v>
      </c>
      <c r="P18" s="718"/>
      <c r="Q18" s="716"/>
      <c r="R18" s="209"/>
      <c r="S18" s="210"/>
      <c r="T18" s="209"/>
    </row>
    <row r="19" spans="1:20" s="157" customFormat="1" x14ac:dyDescent="0.3">
      <c r="A19" s="494" t="s">
        <v>192</v>
      </c>
      <c r="B19" s="495">
        <v>1</v>
      </c>
      <c r="C19" s="495" t="s">
        <v>42</v>
      </c>
      <c r="D19" s="510">
        <v>8.25</v>
      </c>
      <c r="E19" s="614">
        <v>0.15</v>
      </c>
      <c r="F19" s="614">
        <v>0.4</v>
      </c>
      <c r="G19" s="592">
        <f>(-0.15*0.4+0.25*0.4+0.1*0.4)*2</f>
        <v>0.16000000000000003</v>
      </c>
      <c r="H19" s="592">
        <f t="shared" ref="H19" si="6">((2*F19)*D19)+G19</f>
        <v>6.7600000000000007</v>
      </c>
      <c r="I19" s="592">
        <f>0.1*0.5*0.4*2</f>
        <v>4.0000000000000008E-2</v>
      </c>
      <c r="J19" s="592">
        <f>((D19*E19*F19)*B19)+I19</f>
        <v>0.53500000000000003</v>
      </c>
      <c r="K19" s="592">
        <f t="shared" ref="K19" si="7">D19*E19*0.05</f>
        <v>6.1875000000000006E-2</v>
      </c>
      <c r="L19" s="592">
        <v>6.45</v>
      </c>
      <c r="M19" s="592">
        <f t="shared" ref="M19" si="8">L19*(E19+0.3)*(F19+0.05)</f>
        <v>1.306125</v>
      </c>
      <c r="N19" s="592">
        <f t="shared" si="1"/>
        <v>0.87074999999999991</v>
      </c>
      <c r="O19" s="616">
        <f t="shared" ref="O19" si="9">D19*(E19+(F19*2))</f>
        <v>7.8375000000000004</v>
      </c>
      <c r="P19" s="718"/>
      <c r="Q19" s="716"/>
      <c r="R19" s="209"/>
      <c r="S19" s="210"/>
      <c r="T19" s="209"/>
    </row>
    <row r="20" spans="1:20" s="157" customFormat="1" x14ac:dyDescent="0.3">
      <c r="A20" s="494" t="s">
        <v>193</v>
      </c>
      <c r="B20" s="495">
        <v>1</v>
      </c>
      <c r="C20" s="495" t="s">
        <v>42</v>
      </c>
      <c r="D20" s="510">
        <v>11.65</v>
      </c>
      <c r="E20" s="614">
        <v>0.15</v>
      </c>
      <c r="F20" s="614">
        <v>0.4</v>
      </c>
      <c r="G20" s="592">
        <f>0.05*0.4*4</f>
        <v>8.0000000000000016E-2</v>
      </c>
      <c r="H20" s="592">
        <f t="shared" si="3"/>
        <v>9.4</v>
      </c>
      <c r="I20" s="592">
        <f>0.05*0.4*4</f>
        <v>8.0000000000000016E-2</v>
      </c>
      <c r="J20" s="592">
        <f t="shared" si="5"/>
        <v>0.77900000000000014</v>
      </c>
      <c r="K20" s="592">
        <f t="shared" si="4"/>
        <v>8.7375000000000008E-2</v>
      </c>
      <c r="L20" s="592">
        <f>2.65+2.7+2.65</f>
        <v>8</v>
      </c>
      <c r="M20" s="592">
        <f t="shared" si="0"/>
        <v>1.6199999999999999</v>
      </c>
      <c r="N20" s="592">
        <f t="shared" si="1"/>
        <v>1.0799999999999998</v>
      </c>
      <c r="O20" s="616">
        <f t="shared" si="2"/>
        <v>11.067500000000001</v>
      </c>
      <c r="P20" s="718"/>
      <c r="Q20" s="716"/>
      <c r="R20" s="209"/>
      <c r="S20" s="210"/>
      <c r="T20" s="209"/>
    </row>
    <row r="21" spans="1:20" s="157" customFormat="1" ht="15" thickBot="1" x14ac:dyDescent="0.35">
      <c r="A21" s="494" t="s">
        <v>194</v>
      </c>
      <c r="B21" s="495">
        <v>1</v>
      </c>
      <c r="C21" s="495" t="s">
        <v>42</v>
      </c>
      <c r="D21" s="510">
        <v>11.65</v>
      </c>
      <c r="E21" s="614">
        <v>0.15</v>
      </c>
      <c r="F21" s="614">
        <v>0.4</v>
      </c>
      <c r="G21" s="592">
        <f>0.05*0.4*4</f>
        <v>8.0000000000000016E-2</v>
      </c>
      <c r="H21" s="592">
        <f t="shared" si="3"/>
        <v>9.4</v>
      </c>
      <c r="I21" s="592">
        <f>0.05*0.4*4</f>
        <v>8.0000000000000016E-2</v>
      </c>
      <c r="J21" s="592">
        <f t="shared" si="5"/>
        <v>0.77900000000000014</v>
      </c>
      <c r="K21" s="592">
        <f t="shared" si="4"/>
        <v>8.7375000000000008E-2</v>
      </c>
      <c r="L21" s="592">
        <f>2.65+2.7+2.65</f>
        <v>8</v>
      </c>
      <c r="M21" s="592">
        <f t="shared" si="0"/>
        <v>1.6199999999999999</v>
      </c>
      <c r="N21" s="592">
        <f t="shared" si="1"/>
        <v>1.0799999999999998</v>
      </c>
      <c r="O21" s="616">
        <f t="shared" si="2"/>
        <v>11.067500000000001</v>
      </c>
      <c r="P21" s="718"/>
      <c r="Q21" s="716"/>
      <c r="R21" s="209"/>
      <c r="S21" s="210"/>
      <c r="T21" s="209"/>
    </row>
    <row r="22" spans="1:20" s="62" customFormat="1" x14ac:dyDescent="0.3">
      <c r="A22" s="698" t="s">
        <v>196</v>
      </c>
      <c r="B22" s="699"/>
      <c r="C22" s="699"/>
      <c r="D22" s="699"/>
      <c r="E22" s="699"/>
      <c r="F22" s="699"/>
      <c r="G22" s="699"/>
      <c r="H22" s="699"/>
      <c r="I22" s="699"/>
      <c r="J22" s="699"/>
      <c r="K22" s="699"/>
      <c r="L22" s="699"/>
      <c r="M22" s="699"/>
      <c r="N22" s="699"/>
      <c r="O22" s="700"/>
      <c r="P22" s="718"/>
      <c r="Q22" s="716"/>
    </row>
    <row r="23" spans="1:20" s="157" customFormat="1" x14ac:dyDescent="0.3">
      <c r="A23" s="494" t="s">
        <v>197</v>
      </c>
      <c r="B23" s="495">
        <v>1</v>
      </c>
      <c r="C23" s="495" t="s">
        <v>42</v>
      </c>
      <c r="D23" s="510">
        <v>6.15</v>
      </c>
      <c r="E23" s="614">
        <v>0.15</v>
      </c>
      <c r="F23" s="614">
        <v>0.4</v>
      </c>
      <c r="G23" s="592">
        <f>-0.15*0.4*3+0.15*0.4*2+0.05*0.4*2</f>
        <v>-1.999999999999999E-2</v>
      </c>
      <c r="H23" s="592">
        <f t="shared" si="3"/>
        <v>4.9000000000000012</v>
      </c>
      <c r="I23" s="617">
        <f>0.05*0.4*0.4</f>
        <v>8.0000000000000019E-3</v>
      </c>
      <c r="J23" s="592">
        <f t="shared" si="5"/>
        <v>0.377</v>
      </c>
      <c r="K23" s="592">
        <f t="shared" si="4"/>
        <v>4.6124999999999999E-2</v>
      </c>
      <c r="L23" s="592">
        <f>2.48+0.68</f>
        <v>3.16</v>
      </c>
      <c r="M23" s="592">
        <f t="shared" si="0"/>
        <v>0.63990000000000002</v>
      </c>
      <c r="N23" s="592">
        <f t="shared" si="1"/>
        <v>0.42660000000000003</v>
      </c>
      <c r="O23" s="616">
        <f t="shared" si="2"/>
        <v>5.8425000000000011</v>
      </c>
      <c r="P23" s="718"/>
      <c r="Q23" s="716"/>
      <c r="R23" s="209"/>
      <c r="S23" s="210"/>
      <c r="T23" s="209"/>
    </row>
    <row r="24" spans="1:20" s="157" customFormat="1" x14ac:dyDescent="0.3">
      <c r="A24" s="494" t="s">
        <v>198</v>
      </c>
      <c r="B24" s="495">
        <v>1</v>
      </c>
      <c r="C24" s="495" t="s">
        <v>42</v>
      </c>
      <c r="D24" s="510">
        <v>5.85</v>
      </c>
      <c r="E24" s="614">
        <v>0.15</v>
      </c>
      <c r="F24" s="614">
        <v>0.4</v>
      </c>
      <c r="G24" s="592">
        <f>-0.15*0.4*2+0.05*0.4</f>
        <v>-9.9999999999999992E-2</v>
      </c>
      <c r="H24" s="592">
        <f t="shared" si="3"/>
        <v>4.58</v>
      </c>
      <c r="I24" s="617">
        <f>0.05*0.4*0.25</f>
        <v>5.000000000000001E-3</v>
      </c>
      <c r="J24" s="592">
        <f t="shared" si="5"/>
        <v>0.35599999999999998</v>
      </c>
      <c r="K24" s="592">
        <f t="shared" si="4"/>
        <v>4.3874999999999997E-2</v>
      </c>
      <c r="L24" s="592">
        <f>2.48+0.68</f>
        <v>3.16</v>
      </c>
      <c r="M24" s="592">
        <f t="shared" si="0"/>
        <v>0.63990000000000002</v>
      </c>
      <c r="N24" s="592">
        <f t="shared" si="1"/>
        <v>0.42660000000000003</v>
      </c>
      <c r="O24" s="616">
        <f t="shared" si="2"/>
        <v>5.5575000000000001</v>
      </c>
      <c r="P24" s="718"/>
      <c r="Q24" s="716"/>
      <c r="R24" s="209"/>
      <c r="S24" s="210"/>
      <c r="T24" s="209"/>
    </row>
    <row r="25" spans="1:20" s="157" customFormat="1" x14ac:dyDescent="0.3">
      <c r="A25" s="494" t="s">
        <v>199</v>
      </c>
      <c r="B25" s="495">
        <v>1</v>
      </c>
      <c r="C25" s="495" t="s">
        <v>42</v>
      </c>
      <c r="D25" s="510">
        <v>0.45</v>
      </c>
      <c r="E25" s="614">
        <v>0.15</v>
      </c>
      <c r="F25" s="614">
        <v>0.4</v>
      </c>
      <c r="G25" s="592"/>
      <c r="H25" s="592">
        <f t="shared" si="3"/>
        <v>0.36000000000000004</v>
      </c>
      <c r="I25" s="592"/>
      <c r="J25" s="592">
        <f>((D25*E25*F25)*B25)+I25</f>
        <v>2.7000000000000003E-2</v>
      </c>
      <c r="K25" s="592">
        <f t="shared" si="4"/>
        <v>3.3750000000000004E-3</v>
      </c>
      <c r="L25" s="592">
        <v>0.45</v>
      </c>
      <c r="M25" s="592">
        <f t="shared" si="0"/>
        <v>9.1124999999999998E-2</v>
      </c>
      <c r="N25" s="592">
        <f t="shared" si="1"/>
        <v>6.0749999999999998E-2</v>
      </c>
      <c r="O25" s="616">
        <f t="shared" si="2"/>
        <v>0.42750000000000005</v>
      </c>
      <c r="P25" s="718"/>
      <c r="Q25" s="716"/>
      <c r="R25" s="209"/>
      <c r="S25" s="210"/>
      <c r="T25" s="209"/>
    </row>
    <row r="26" spans="1:20" s="157" customFormat="1" x14ac:dyDescent="0.3">
      <c r="A26" s="494" t="s">
        <v>200</v>
      </c>
      <c r="B26" s="495">
        <v>1</v>
      </c>
      <c r="C26" s="495" t="s">
        <v>42</v>
      </c>
      <c r="D26" s="510">
        <v>5.25</v>
      </c>
      <c r="E26" s="614">
        <v>0.15</v>
      </c>
      <c r="F26" s="614">
        <v>0.4</v>
      </c>
      <c r="G26" s="592">
        <f>-0.15*0.4*2+0.05*0.4</f>
        <v>-9.9999999999999992E-2</v>
      </c>
      <c r="H26" s="592">
        <f t="shared" si="3"/>
        <v>4.1000000000000005</v>
      </c>
      <c r="I26" s="592">
        <f>0.05*0.4*0.25</f>
        <v>5.000000000000001E-3</v>
      </c>
      <c r="J26" s="592">
        <f t="shared" si="5"/>
        <v>0.32</v>
      </c>
      <c r="K26" s="592">
        <f t="shared" si="4"/>
        <v>3.9375E-2</v>
      </c>
      <c r="L26" s="592">
        <v>2.6</v>
      </c>
      <c r="M26" s="592">
        <f t="shared" si="0"/>
        <v>0.52649999999999997</v>
      </c>
      <c r="N26" s="592">
        <f t="shared" si="1"/>
        <v>0.35099999999999998</v>
      </c>
      <c r="O26" s="616">
        <f t="shared" si="2"/>
        <v>4.9875000000000007</v>
      </c>
      <c r="P26" s="718"/>
      <c r="Q26" s="716"/>
      <c r="R26" s="209"/>
      <c r="S26" s="210"/>
      <c r="T26" s="209"/>
    </row>
    <row r="27" spans="1:20" s="157" customFormat="1" x14ac:dyDescent="0.3">
      <c r="A27" s="494" t="s">
        <v>201</v>
      </c>
      <c r="B27" s="495">
        <v>1</v>
      </c>
      <c r="C27" s="495" t="s">
        <v>42</v>
      </c>
      <c r="D27" s="510">
        <v>0.45</v>
      </c>
      <c r="E27" s="614">
        <v>0.15</v>
      </c>
      <c r="F27" s="614">
        <v>0.4</v>
      </c>
      <c r="G27" s="592"/>
      <c r="H27" s="592">
        <f t="shared" si="3"/>
        <v>0.36000000000000004</v>
      </c>
      <c r="I27" s="592"/>
      <c r="J27" s="592">
        <f t="shared" si="5"/>
        <v>2.7000000000000003E-2</v>
      </c>
      <c r="K27" s="592">
        <f t="shared" si="4"/>
        <v>3.3750000000000004E-3</v>
      </c>
      <c r="L27" s="592">
        <v>0.45</v>
      </c>
      <c r="M27" s="592">
        <f t="shared" si="0"/>
        <v>9.1124999999999998E-2</v>
      </c>
      <c r="N27" s="592">
        <f t="shared" si="1"/>
        <v>6.0749999999999998E-2</v>
      </c>
      <c r="O27" s="616">
        <f t="shared" si="2"/>
        <v>0.42750000000000005</v>
      </c>
      <c r="P27" s="718"/>
      <c r="Q27" s="716"/>
      <c r="R27" s="209"/>
      <c r="S27" s="210"/>
      <c r="T27" s="209"/>
    </row>
    <row r="28" spans="1:20" s="157" customFormat="1" x14ac:dyDescent="0.3">
      <c r="A28" s="494" t="s">
        <v>202</v>
      </c>
      <c r="B28" s="495">
        <v>1</v>
      </c>
      <c r="C28" s="495" t="s">
        <v>42</v>
      </c>
      <c r="D28" s="510">
        <v>5.85</v>
      </c>
      <c r="E28" s="614">
        <v>0.15</v>
      </c>
      <c r="F28" s="614">
        <v>0.4</v>
      </c>
      <c r="G28" s="592">
        <f>-0.15*0.4*2+0.05*0.4</f>
        <v>-9.9999999999999992E-2</v>
      </c>
      <c r="H28" s="592">
        <f t="shared" ref="H28:H29" si="10">((2*F28)*D28)+G28</f>
        <v>4.58</v>
      </c>
      <c r="I28" s="617">
        <f>0.05*0.4*0.25</f>
        <v>5.000000000000001E-3</v>
      </c>
      <c r="J28" s="592">
        <f t="shared" ref="J28:J373" si="11">((D28*E28*F28)*B28)+I28</f>
        <v>0.35599999999999998</v>
      </c>
      <c r="K28" s="592">
        <f t="shared" ref="K28:K375" si="12">D28*E28*0.05</f>
        <v>4.3874999999999997E-2</v>
      </c>
      <c r="L28" s="592">
        <f>2.48+0.68</f>
        <v>3.16</v>
      </c>
      <c r="M28" s="592">
        <f t="shared" si="0"/>
        <v>0.63990000000000002</v>
      </c>
      <c r="N28" s="592">
        <f t="shared" si="1"/>
        <v>0.42660000000000003</v>
      </c>
      <c r="O28" s="616">
        <f t="shared" ref="O28:O375" si="13">D28*(E28+(F28*2))</f>
        <v>5.5575000000000001</v>
      </c>
      <c r="P28" s="718"/>
      <c r="Q28" s="716"/>
      <c r="R28" s="209"/>
      <c r="S28" s="210"/>
      <c r="T28" s="209"/>
    </row>
    <row r="29" spans="1:20" s="157" customFormat="1" x14ac:dyDescent="0.3">
      <c r="A29" s="494" t="s">
        <v>203</v>
      </c>
      <c r="B29" s="495">
        <v>1</v>
      </c>
      <c r="C29" s="495" t="s">
        <v>42</v>
      </c>
      <c r="D29" s="510">
        <v>6.15</v>
      </c>
      <c r="E29" s="614">
        <v>0.15</v>
      </c>
      <c r="F29" s="614">
        <v>0.4</v>
      </c>
      <c r="G29" s="592">
        <f>-0.15*0.4*3+0.15*0.4*2+0.05*0.4*2</f>
        <v>-1.999999999999999E-2</v>
      </c>
      <c r="H29" s="592">
        <f t="shared" si="10"/>
        <v>4.9000000000000012</v>
      </c>
      <c r="I29" s="617">
        <f>0.05*0.4*0.4</f>
        <v>8.0000000000000019E-3</v>
      </c>
      <c r="J29" s="592">
        <f t="shared" si="11"/>
        <v>0.377</v>
      </c>
      <c r="K29" s="592">
        <f t="shared" si="12"/>
        <v>4.6124999999999999E-2</v>
      </c>
      <c r="L29" s="592">
        <f>2.48+0.68</f>
        <v>3.16</v>
      </c>
      <c r="M29" s="592">
        <f t="shared" si="0"/>
        <v>0.63990000000000002</v>
      </c>
      <c r="N29" s="592">
        <f t="shared" si="1"/>
        <v>0.42660000000000003</v>
      </c>
      <c r="O29" s="616">
        <f t="shared" si="13"/>
        <v>5.8425000000000011</v>
      </c>
      <c r="P29" s="718"/>
      <c r="Q29" s="716"/>
      <c r="R29" s="209"/>
      <c r="S29" s="210"/>
      <c r="T29" s="209"/>
    </row>
    <row r="30" spans="1:20" s="157" customFormat="1" x14ac:dyDescent="0.3">
      <c r="A30" s="494" t="s">
        <v>204</v>
      </c>
      <c r="B30" s="495">
        <v>1</v>
      </c>
      <c r="C30" s="495" t="s">
        <v>42</v>
      </c>
      <c r="D30" s="510">
        <v>11.85</v>
      </c>
      <c r="E30" s="614">
        <v>0.15</v>
      </c>
      <c r="F30" s="614">
        <v>0.4</v>
      </c>
      <c r="G30" s="592">
        <f>-0.15*0.4*3</f>
        <v>-0.18</v>
      </c>
      <c r="H30" s="592">
        <f>((2*F30)*D30)+G30</f>
        <v>9.3000000000000007</v>
      </c>
      <c r="I30" s="592"/>
      <c r="J30" s="592">
        <f t="shared" si="11"/>
        <v>0.71099999999999997</v>
      </c>
      <c r="K30" s="592">
        <f t="shared" si="12"/>
        <v>8.8874999999999996E-2</v>
      </c>
      <c r="L30" s="592">
        <f>1.38+2.03+2.03+1.38</f>
        <v>6.8199999999999994</v>
      </c>
      <c r="M30" s="592">
        <f t="shared" ref="M30" si="14">L30*(E30+0.3)*(F30+0.05)</f>
        <v>1.3810499999999999</v>
      </c>
      <c r="N30" s="592">
        <f t="shared" si="1"/>
        <v>0.92069999999999985</v>
      </c>
      <c r="O30" s="616">
        <f t="shared" si="13"/>
        <v>11.2575</v>
      </c>
      <c r="P30" s="718"/>
      <c r="Q30" s="716"/>
      <c r="R30" s="209"/>
      <c r="S30" s="210"/>
      <c r="T30" s="209"/>
    </row>
    <row r="31" spans="1:20" s="157" customFormat="1" x14ac:dyDescent="0.3">
      <c r="A31" s="494" t="s">
        <v>205</v>
      </c>
      <c r="B31" s="495">
        <v>1</v>
      </c>
      <c r="C31" s="495" t="s">
        <v>42</v>
      </c>
      <c r="D31" s="510">
        <f>2.43+3.18+3.17+2.42</f>
        <v>11.200000000000001</v>
      </c>
      <c r="E31" s="614">
        <v>0.15</v>
      </c>
      <c r="F31" s="614">
        <v>0.4</v>
      </c>
      <c r="G31" s="592"/>
      <c r="H31" s="592">
        <f t="shared" si="3"/>
        <v>8.9600000000000009</v>
      </c>
      <c r="I31" s="592"/>
      <c r="J31" s="592">
        <f t="shared" si="11"/>
        <v>0.67200000000000015</v>
      </c>
      <c r="K31" s="592">
        <f t="shared" si="12"/>
        <v>8.4000000000000019E-2</v>
      </c>
      <c r="L31" s="592">
        <f>1.38+2.03+2.03+1.38</f>
        <v>6.8199999999999994</v>
      </c>
      <c r="M31" s="592">
        <f t="shared" si="0"/>
        <v>1.3810499999999999</v>
      </c>
      <c r="N31" s="592">
        <f t="shared" si="1"/>
        <v>0.92069999999999985</v>
      </c>
      <c r="O31" s="616">
        <f t="shared" si="13"/>
        <v>10.640000000000002</v>
      </c>
      <c r="P31" s="718"/>
      <c r="Q31" s="716"/>
      <c r="R31" s="209"/>
      <c r="S31" s="210"/>
      <c r="T31" s="209"/>
    </row>
    <row r="32" spans="1:20" s="157" customFormat="1" x14ac:dyDescent="0.3">
      <c r="A32" s="494" t="s">
        <v>206</v>
      </c>
      <c r="B32" s="495">
        <v>1</v>
      </c>
      <c r="C32" s="495" t="s">
        <v>42</v>
      </c>
      <c r="D32" s="510">
        <v>4.1500000000000004</v>
      </c>
      <c r="E32" s="614">
        <v>0.15</v>
      </c>
      <c r="F32" s="614">
        <v>0.4</v>
      </c>
      <c r="G32" s="592">
        <f>-0.2*0.4</f>
        <v>-8.0000000000000016E-2</v>
      </c>
      <c r="H32" s="592">
        <f t="shared" si="3"/>
        <v>3.24</v>
      </c>
      <c r="I32" s="592"/>
      <c r="J32" s="592">
        <f t="shared" si="11"/>
        <v>0.24900000000000003</v>
      </c>
      <c r="K32" s="592">
        <f t="shared" si="12"/>
        <v>3.1125000000000003E-2</v>
      </c>
      <c r="L32" s="592">
        <f>1.43+1.43</f>
        <v>2.86</v>
      </c>
      <c r="M32" s="592">
        <f t="shared" si="0"/>
        <v>0.57914999999999994</v>
      </c>
      <c r="N32" s="592">
        <f t="shared" si="1"/>
        <v>0.38609999999999994</v>
      </c>
      <c r="O32" s="616">
        <f t="shared" si="13"/>
        <v>3.9425000000000008</v>
      </c>
      <c r="P32" s="718"/>
      <c r="Q32" s="716"/>
      <c r="R32" s="209"/>
      <c r="S32" s="210"/>
      <c r="T32" s="209"/>
    </row>
    <row r="33" spans="1:20" s="157" customFormat="1" x14ac:dyDescent="0.3">
      <c r="A33" s="494" t="s">
        <v>207</v>
      </c>
      <c r="B33" s="495">
        <v>1</v>
      </c>
      <c r="C33" s="495" t="s">
        <v>42</v>
      </c>
      <c r="D33" s="510">
        <v>4.18</v>
      </c>
      <c r="E33" s="614">
        <v>0.15</v>
      </c>
      <c r="F33" s="614">
        <v>0.4</v>
      </c>
      <c r="G33" s="592">
        <f>0.15*0.4</f>
        <v>0.06</v>
      </c>
      <c r="H33" s="592">
        <f t="shared" si="3"/>
        <v>3.4039999999999999</v>
      </c>
      <c r="I33" s="592"/>
      <c r="J33" s="592">
        <f t="shared" si="11"/>
        <v>0.25079999999999997</v>
      </c>
      <c r="K33" s="592">
        <f t="shared" si="12"/>
        <v>3.1349999999999996E-2</v>
      </c>
      <c r="L33" s="592">
        <f>1.38+0.93</f>
        <v>2.31</v>
      </c>
      <c r="M33" s="592">
        <f t="shared" si="0"/>
        <v>0.46777499999999994</v>
      </c>
      <c r="N33" s="592">
        <f t="shared" si="1"/>
        <v>0.31184999999999996</v>
      </c>
      <c r="O33" s="616">
        <f t="shared" si="13"/>
        <v>3.9710000000000001</v>
      </c>
      <c r="P33" s="718"/>
      <c r="Q33" s="716"/>
      <c r="R33" s="209"/>
      <c r="S33" s="210"/>
      <c r="T33" s="209"/>
    </row>
    <row r="34" spans="1:20" s="157" customFormat="1" ht="15" thickBot="1" x14ac:dyDescent="0.35">
      <c r="A34" s="494" t="s">
        <v>208</v>
      </c>
      <c r="B34" s="495">
        <v>1</v>
      </c>
      <c r="C34" s="495" t="s">
        <v>42</v>
      </c>
      <c r="D34" s="510">
        <v>4.18</v>
      </c>
      <c r="E34" s="614">
        <v>0.15</v>
      </c>
      <c r="F34" s="614">
        <v>0.4</v>
      </c>
      <c r="G34" s="592">
        <f>0.15*0.4</f>
        <v>0.06</v>
      </c>
      <c r="H34" s="592">
        <f t="shared" si="3"/>
        <v>3.4039999999999999</v>
      </c>
      <c r="I34" s="592"/>
      <c r="J34" s="592">
        <f t="shared" si="11"/>
        <v>0.25079999999999997</v>
      </c>
      <c r="K34" s="592">
        <f t="shared" si="12"/>
        <v>3.1349999999999996E-2</v>
      </c>
      <c r="L34" s="592">
        <f>1.38+0.93</f>
        <v>2.31</v>
      </c>
      <c r="M34" s="592">
        <f t="shared" ref="M34" si="15">L34*(E34+0.3)*(F34+0.05)</f>
        <v>0.46777499999999994</v>
      </c>
      <c r="N34" s="592">
        <f>M34-(L34*E34*(F34+0.05))</f>
        <v>0.31184999999999996</v>
      </c>
      <c r="O34" s="616">
        <f t="shared" si="13"/>
        <v>3.9710000000000001</v>
      </c>
      <c r="P34" s="718"/>
      <c r="Q34" s="716"/>
      <c r="R34" s="209"/>
      <c r="S34" s="210"/>
      <c r="T34" s="209"/>
    </row>
    <row r="35" spans="1:20" s="62" customFormat="1" x14ac:dyDescent="0.3">
      <c r="A35" s="698" t="s">
        <v>281</v>
      </c>
      <c r="B35" s="699"/>
      <c r="C35" s="699"/>
      <c r="D35" s="699"/>
      <c r="E35" s="699"/>
      <c r="F35" s="699"/>
      <c r="G35" s="699"/>
      <c r="H35" s="699"/>
      <c r="I35" s="699"/>
      <c r="J35" s="699"/>
      <c r="K35" s="699"/>
      <c r="L35" s="699"/>
      <c r="M35" s="699"/>
      <c r="N35" s="699"/>
      <c r="O35" s="700"/>
      <c r="P35" s="718"/>
      <c r="Q35" s="716"/>
    </row>
    <row r="36" spans="1:20" s="157" customFormat="1" x14ac:dyDescent="0.3">
      <c r="A36" s="494" t="s">
        <v>232</v>
      </c>
      <c r="B36" s="495">
        <v>1</v>
      </c>
      <c r="C36" s="495" t="s">
        <v>42</v>
      </c>
      <c r="D36" s="510">
        <v>11.1</v>
      </c>
      <c r="E36" s="614">
        <v>0.15</v>
      </c>
      <c r="F36" s="614">
        <v>0.4</v>
      </c>
      <c r="G36" s="592">
        <f>0.15*0.4-0.15*0.4*9</f>
        <v>-0.48000000000000004</v>
      </c>
      <c r="H36" s="592">
        <f t="shared" ref="H36:H369" si="16">((2*F36)*D36)+G36</f>
        <v>8.4</v>
      </c>
      <c r="I36" s="592"/>
      <c r="J36" s="592">
        <f t="shared" ref="J36" si="17">((D36*E36*F36)*B36)+I36</f>
        <v>0.66599999999999993</v>
      </c>
      <c r="K36" s="592">
        <f t="shared" ref="K36:K369" si="18">D36*E36*0.05</f>
        <v>8.3249999999999991E-2</v>
      </c>
      <c r="L36" s="592">
        <f>0.19+5.24</f>
        <v>5.4300000000000006</v>
      </c>
      <c r="M36" s="592">
        <f t="shared" ref="M36:M369" si="19">L36*(E36+0.3)*(F36+0.05)</f>
        <v>1.0995750000000002</v>
      </c>
      <c r="N36" s="592">
        <f t="shared" ref="N36:N375" si="20">M36-(L36*E36*(F36+0.05))</f>
        <v>0.7330500000000002</v>
      </c>
      <c r="O36" s="616">
        <f t="shared" ref="O36:O369" si="21">D36*(E36+(F36*2))</f>
        <v>10.545</v>
      </c>
      <c r="P36" s="718"/>
      <c r="Q36" s="716"/>
      <c r="R36" s="209"/>
      <c r="S36" s="210"/>
      <c r="T36" s="209"/>
    </row>
    <row r="37" spans="1:20" s="157" customFormat="1" x14ac:dyDescent="0.3">
      <c r="A37" s="494" t="s">
        <v>233</v>
      </c>
      <c r="B37" s="495">
        <v>1</v>
      </c>
      <c r="C37" s="495" t="s">
        <v>42</v>
      </c>
      <c r="D37" s="510">
        <v>8</v>
      </c>
      <c r="E37" s="614">
        <v>0.15</v>
      </c>
      <c r="F37" s="614">
        <v>0.4</v>
      </c>
      <c r="G37" s="592">
        <f>-0.15*0.4*6</f>
        <v>-0.36</v>
      </c>
      <c r="H37" s="592">
        <f t="shared" si="16"/>
        <v>6.04</v>
      </c>
      <c r="I37" s="617"/>
      <c r="J37" s="592">
        <f>((D37*E37*F37)*B37)+I37</f>
        <v>0.48</v>
      </c>
      <c r="K37" s="592">
        <f t="shared" si="18"/>
        <v>0.06</v>
      </c>
      <c r="L37" s="592">
        <v>5.24</v>
      </c>
      <c r="M37" s="592">
        <f t="shared" si="19"/>
        <v>1.0610999999999999</v>
      </c>
      <c r="N37" s="592">
        <f t="shared" si="20"/>
        <v>0.70739999999999992</v>
      </c>
      <c r="O37" s="616">
        <f t="shared" si="21"/>
        <v>7.6000000000000005</v>
      </c>
      <c r="P37" s="718"/>
      <c r="Q37" s="716"/>
      <c r="R37" s="209"/>
      <c r="S37" s="210"/>
      <c r="T37" s="209"/>
    </row>
    <row r="38" spans="1:20" s="157" customFormat="1" x14ac:dyDescent="0.3">
      <c r="A38" s="494" t="s">
        <v>234</v>
      </c>
      <c r="B38" s="495">
        <v>1</v>
      </c>
      <c r="C38" s="495" t="s">
        <v>42</v>
      </c>
      <c r="D38" s="510">
        <v>9.0500000000000007</v>
      </c>
      <c r="E38" s="614">
        <v>0.15</v>
      </c>
      <c r="F38" s="614">
        <v>0.4</v>
      </c>
      <c r="G38" s="592">
        <f>-0.15*0.4*7+0.15*0.4</f>
        <v>-0.36</v>
      </c>
      <c r="H38" s="592">
        <f t="shared" si="16"/>
        <v>6.8800000000000008</v>
      </c>
      <c r="I38" s="592"/>
      <c r="J38" s="592">
        <f>((D38*E38*F38)*B38)+I38</f>
        <v>0.54300000000000004</v>
      </c>
      <c r="K38" s="592">
        <f t="shared" si="18"/>
        <v>6.7875000000000005E-2</v>
      </c>
      <c r="L38" s="592">
        <f>2.29+1.24</f>
        <v>3.5300000000000002</v>
      </c>
      <c r="M38" s="592">
        <f t="shared" si="19"/>
        <v>0.71482500000000004</v>
      </c>
      <c r="N38" s="592">
        <f t="shared" si="20"/>
        <v>0.47655000000000003</v>
      </c>
      <c r="O38" s="616">
        <f t="shared" si="21"/>
        <v>8.5975000000000019</v>
      </c>
      <c r="P38" s="718"/>
      <c r="Q38" s="716"/>
      <c r="R38" s="209"/>
      <c r="S38" s="210"/>
      <c r="T38" s="209"/>
    </row>
    <row r="39" spans="1:20" s="157" customFormat="1" x14ac:dyDescent="0.3">
      <c r="A39" s="494" t="s">
        <v>235</v>
      </c>
      <c r="B39" s="495">
        <v>1</v>
      </c>
      <c r="C39" s="495" t="s">
        <v>42</v>
      </c>
      <c r="D39" s="510">
        <v>11.1</v>
      </c>
      <c r="E39" s="614">
        <v>0.15</v>
      </c>
      <c r="F39" s="614">
        <v>0.4</v>
      </c>
      <c r="G39" s="592">
        <f>0.15*0.4-0.15*0.4*10</f>
        <v>-0.54</v>
      </c>
      <c r="H39" s="592">
        <f t="shared" si="16"/>
        <v>8.34</v>
      </c>
      <c r="I39" s="592"/>
      <c r="J39" s="592">
        <f t="shared" ref="J39" si="22">((D39*E39*F39)*B39)+I39</f>
        <v>0.66599999999999993</v>
      </c>
      <c r="K39" s="592">
        <f t="shared" si="18"/>
        <v>8.3249999999999991E-2</v>
      </c>
      <c r="L39" s="592">
        <f>0.19+0.32+0.45</f>
        <v>0.96</v>
      </c>
      <c r="M39" s="592">
        <f t="shared" si="19"/>
        <v>0.19439999999999999</v>
      </c>
      <c r="N39" s="592">
        <f t="shared" si="20"/>
        <v>0.12959999999999999</v>
      </c>
      <c r="O39" s="616">
        <f t="shared" si="21"/>
        <v>10.545</v>
      </c>
      <c r="P39" s="718"/>
      <c r="Q39" s="716"/>
      <c r="R39" s="209"/>
      <c r="S39" s="210"/>
      <c r="T39" s="209"/>
    </row>
    <row r="40" spans="1:20" s="157" customFormat="1" x14ac:dyDescent="0.3">
      <c r="A40" s="494" t="s">
        <v>236</v>
      </c>
      <c r="B40" s="495">
        <v>1</v>
      </c>
      <c r="C40" s="495" t="s">
        <v>42</v>
      </c>
      <c r="D40" s="510">
        <v>8</v>
      </c>
      <c r="E40" s="614">
        <v>0.15</v>
      </c>
      <c r="F40" s="614">
        <v>0.4</v>
      </c>
      <c r="G40" s="592">
        <f>-0.15*0.4*8</f>
        <v>-0.48</v>
      </c>
      <c r="H40" s="592">
        <f t="shared" ref="H40:H48" si="23">((2*F40)*D40)+G40</f>
        <v>5.92</v>
      </c>
      <c r="I40" s="617"/>
      <c r="J40" s="592">
        <f>((D40*E40*F40)*B40)+I40</f>
        <v>0.48</v>
      </c>
      <c r="K40" s="592">
        <f t="shared" ref="K40:K48" si="24">D40*E40*0.05</f>
        <v>0.06</v>
      </c>
      <c r="L40" s="592">
        <f>0.32+0.42</f>
        <v>0.74</v>
      </c>
      <c r="M40" s="592">
        <f t="shared" ref="M40:M48" si="25">L40*(E40+0.3)*(F40+0.05)</f>
        <v>0.14984999999999998</v>
      </c>
      <c r="N40" s="592">
        <f t="shared" si="20"/>
        <v>9.9899999999999989E-2</v>
      </c>
      <c r="O40" s="616">
        <f t="shared" ref="O40:O48" si="26">D40*(E40+(F40*2))</f>
        <v>7.6000000000000005</v>
      </c>
      <c r="P40" s="718"/>
      <c r="Q40" s="716"/>
      <c r="R40" s="209"/>
      <c r="S40" s="210"/>
      <c r="T40" s="209"/>
    </row>
    <row r="41" spans="1:20" s="157" customFormat="1" x14ac:dyDescent="0.3">
      <c r="A41" s="494" t="s">
        <v>237</v>
      </c>
      <c r="B41" s="495">
        <v>1</v>
      </c>
      <c r="C41" s="495" t="s">
        <v>42</v>
      </c>
      <c r="D41" s="510">
        <v>9.0500000000000007</v>
      </c>
      <c r="E41" s="614">
        <v>0.15</v>
      </c>
      <c r="F41" s="614">
        <v>0.4</v>
      </c>
      <c r="G41" s="592">
        <f>-0.15*0.4*9+0.15*0.4</f>
        <v>-0.48000000000000004</v>
      </c>
      <c r="H41" s="592">
        <f t="shared" si="23"/>
        <v>6.7600000000000007</v>
      </c>
      <c r="I41" s="592"/>
      <c r="J41" s="592">
        <f>((D41*E41*F41)*B41)+I41</f>
        <v>0.54300000000000004</v>
      </c>
      <c r="K41" s="592">
        <f t="shared" si="24"/>
        <v>6.7875000000000005E-2</v>
      </c>
      <c r="L41" s="592">
        <f>0.32+1.24</f>
        <v>1.56</v>
      </c>
      <c r="M41" s="592">
        <f t="shared" si="25"/>
        <v>0.31590000000000001</v>
      </c>
      <c r="N41" s="592">
        <f t="shared" si="20"/>
        <v>0.21060000000000001</v>
      </c>
      <c r="O41" s="616">
        <f t="shared" si="26"/>
        <v>8.5975000000000019</v>
      </c>
      <c r="P41" s="718"/>
      <c r="Q41" s="716"/>
      <c r="R41" s="209"/>
      <c r="S41" s="210"/>
      <c r="T41" s="209"/>
    </row>
    <row r="42" spans="1:20" s="157" customFormat="1" ht="43.2" x14ac:dyDescent="0.3">
      <c r="A42" s="496" t="s">
        <v>262</v>
      </c>
      <c r="B42" s="495">
        <v>6</v>
      </c>
      <c r="C42" s="495" t="s">
        <v>42</v>
      </c>
      <c r="D42" s="510">
        <v>0.65</v>
      </c>
      <c r="E42" s="614">
        <v>0.15</v>
      </c>
      <c r="F42" s="614">
        <v>0.4</v>
      </c>
      <c r="G42" s="592"/>
      <c r="H42" s="592">
        <f t="shared" ref="H42" si="27">((2*F42)*D42)+G42</f>
        <v>0.52</v>
      </c>
      <c r="I42" s="592"/>
      <c r="J42" s="592">
        <f t="shared" ref="J42" si="28">((D42*E42*F42)*B42)+I42</f>
        <v>0.23400000000000004</v>
      </c>
      <c r="K42" s="592">
        <f t="shared" ref="K42" si="29">D42*E42*0.05</f>
        <v>4.8750000000000009E-3</v>
      </c>
      <c r="L42" s="592">
        <v>0</v>
      </c>
      <c r="M42" s="592">
        <f t="shared" ref="M42" si="30">L42*(E42+0.3)*(F42+0.05)</f>
        <v>0</v>
      </c>
      <c r="N42" s="592">
        <f t="shared" si="20"/>
        <v>0</v>
      </c>
      <c r="O42" s="616">
        <f t="shared" ref="O42" si="31">D42*(E42+(F42*2))</f>
        <v>0.61750000000000005</v>
      </c>
      <c r="P42" s="718"/>
      <c r="Q42" s="716"/>
      <c r="R42" s="209"/>
      <c r="S42" s="210"/>
      <c r="T42" s="209"/>
    </row>
    <row r="43" spans="1:20" s="157" customFormat="1" x14ac:dyDescent="0.3">
      <c r="A43" s="494" t="s">
        <v>238</v>
      </c>
      <c r="B43" s="495">
        <v>1</v>
      </c>
      <c r="C43" s="495" t="s">
        <v>42</v>
      </c>
      <c r="D43" s="510">
        <v>8.15</v>
      </c>
      <c r="E43" s="614">
        <v>0.15</v>
      </c>
      <c r="F43" s="614">
        <v>0.4</v>
      </c>
      <c r="G43" s="592">
        <f>0.15*0.4*2-0.25*0.4*2-0.15*0.4*4</f>
        <v>-0.32</v>
      </c>
      <c r="H43" s="592">
        <f t="shared" si="23"/>
        <v>6.2</v>
      </c>
      <c r="I43" s="592"/>
      <c r="J43" s="592">
        <f t="shared" ref="J43" si="32">((D43*E43*F43)*B43)+I43</f>
        <v>0.48899999999999999</v>
      </c>
      <c r="K43" s="592">
        <f t="shared" si="24"/>
        <v>6.1124999999999999E-2</v>
      </c>
      <c r="L43" s="592">
        <v>7.38</v>
      </c>
      <c r="M43" s="592">
        <f t="shared" si="25"/>
        <v>1.4944499999999998</v>
      </c>
      <c r="N43" s="592">
        <f t="shared" si="20"/>
        <v>0.99629999999999985</v>
      </c>
      <c r="O43" s="616">
        <f t="shared" si="26"/>
        <v>7.7425000000000006</v>
      </c>
      <c r="P43" s="718"/>
      <c r="Q43" s="716"/>
      <c r="R43" s="209"/>
      <c r="S43" s="210"/>
      <c r="T43" s="209"/>
    </row>
    <row r="44" spans="1:20" s="157" customFormat="1" x14ac:dyDescent="0.3">
      <c r="A44" s="494" t="s">
        <v>239</v>
      </c>
      <c r="B44" s="495">
        <v>1</v>
      </c>
      <c r="C44" s="495" t="s">
        <v>42</v>
      </c>
      <c r="D44" s="510">
        <v>7.1</v>
      </c>
      <c r="E44" s="614">
        <v>0.15</v>
      </c>
      <c r="F44" s="614">
        <v>0.4</v>
      </c>
      <c r="G44" s="592">
        <f>0.15*0.4*2-0.2*0.4*4-0.15*0.4*2</f>
        <v>-0.32000000000000006</v>
      </c>
      <c r="H44" s="592">
        <f t="shared" si="23"/>
        <v>5.3599999999999994</v>
      </c>
      <c r="I44" s="617"/>
      <c r="J44" s="592">
        <f>((D44*E44*F44)*B44)+I44</f>
        <v>0.42599999999999999</v>
      </c>
      <c r="K44" s="592">
        <f t="shared" si="24"/>
        <v>5.3249999999999999E-2</v>
      </c>
      <c r="L44" s="592">
        <f>2.38+2.08</f>
        <v>4.46</v>
      </c>
      <c r="M44" s="592">
        <f t="shared" si="25"/>
        <v>0.9031499999999999</v>
      </c>
      <c r="N44" s="592">
        <f t="shared" si="20"/>
        <v>0.60209999999999986</v>
      </c>
      <c r="O44" s="616">
        <f t="shared" si="26"/>
        <v>6.7450000000000001</v>
      </c>
      <c r="P44" s="718"/>
      <c r="Q44" s="716"/>
      <c r="R44" s="209"/>
      <c r="S44" s="210"/>
      <c r="T44" s="209"/>
    </row>
    <row r="45" spans="1:20" s="157" customFormat="1" x14ac:dyDescent="0.3">
      <c r="A45" s="494" t="s">
        <v>240</v>
      </c>
      <c r="B45" s="495">
        <v>1</v>
      </c>
      <c r="C45" s="495" t="s">
        <v>42</v>
      </c>
      <c r="D45" s="510">
        <v>13.23</v>
      </c>
      <c r="E45" s="614">
        <v>0.15</v>
      </c>
      <c r="F45" s="614">
        <v>0.4</v>
      </c>
      <c r="G45" s="592">
        <f>0.15*0.4-0.2*0.4*4</f>
        <v>-0.26000000000000006</v>
      </c>
      <c r="H45" s="592">
        <f t="shared" si="23"/>
        <v>10.324000000000002</v>
      </c>
      <c r="I45" s="592"/>
      <c r="J45" s="592">
        <f>((D45*E45*F45)*B45)+I45</f>
        <v>0.79380000000000006</v>
      </c>
      <c r="K45" s="592">
        <f t="shared" si="24"/>
        <v>9.9225000000000008E-2</v>
      </c>
      <c r="L45" s="592">
        <f>2.53+0.45+2.55</f>
        <v>5.5299999999999994</v>
      </c>
      <c r="M45" s="592">
        <f t="shared" si="25"/>
        <v>1.1198249999999996</v>
      </c>
      <c r="N45" s="592">
        <f t="shared" si="20"/>
        <v>0.7465499999999996</v>
      </c>
      <c r="O45" s="616">
        <f t="shared" si="26"/>
        <v>12.568500000000002</v>
      </c>
      <c r="P45" s="718"/>
      <c r="Q45" s="716"/>
      <c r="R45" s="209"/>
      <c r="S45" s="210"/>
      <c r="T45" s="209"/>
    </row>
    <row r="46" spans="1:20" s="157" customFormat="1" x14ac:dyDescent="0.3">
      <c r="A46" s="494" t="s">
        <v>241</v>
      </c>
      <c r="B46" s="495">
        <v>1</v>
      </c>
      <c r="C46" s="495" t="s">
        <v>42</v>
      </c>
      <c r="D46" s="510">
        <v>8</v>
      </c>
      <c r="E46" s="614">
        <v>0.15</v>
      </c>
      <c r="F46" s="614">
        <v>0.4</v>
      </c>
      <c r="G46" s="592">
        <f>-0.15*0.4*2</f>
        <v>-0.12</v>
      </c>
      <c r="H46" s="592">
        <f t="shared" si="23"/>
        <v>6.28</v>
      </c>
      <c r="I46" s="592"/>
      <c r="J46" s="592">
        <f t="shared" ref="J46" si="33">((D46*E46*F46)*B46)+I46</f>
        <v>0.48</v>
      </c>
      <c r="K46" s="592">
        <f t="shared" si="24"/>
        <v>0.06</v>
      </c>
      <c r="L46" s="592">
        <f>0.55+2.55</f>
        <v>3.0999999999999996</v>
      </c>
      <c r="M46" s="592">
        <f t="shared" si="25"/>
        <v>0.62774999999999992</v>
      </c>
      <c r="N46" s="592">
        <f t="shared" si="20"/>
        <v>0.41849999999999998</v>
      </c>
      <c r="O46" s="616">
        <f t="shared" si="26"/>
        <v>7.6000000000000005</v>
      </c>
      <c r="P46" s="718"/>
      <c r="Q46" s="716"/>
      <c r="R46" s="209"/>
      <c r="S46" s="210"/>
      <c r="T46" s="209"/>
    </row>
    <row r="47" spans="1:20" s="157" customFormat="1" x14ac:dyDescent="0.3">
      <c r="A47" s="494" t="s">
        <v>242</v>
      </c>
      <c r="B47" s="495">
        <v>1</v>
      </c>
      <c r="C47" s="495" t="s">
        <v>42</v>
      </c>
      <c r="D47" s="510">
        <v>6.93</v>
      </c>
      <c r="E47" s="614">
        <v>0.15</v>
      </c>
      <c r="F47" s="614">
        <v>0.4</v>
      </c>
      <c r="G47" s="592">
        <f>0.15*0.4-0.2*0.4*2</f>
        <v>-0.10000000000000003</v>
      </c>
      <c r="H47" s="592">
        <f t="shared" si="23"/>
        <v>5.4440000000000008</v>
      </c>
      <c r="I47" s="617"/>
      <c r="J47" s="592">
        <f>((D47*E47*F47)*B47)+I47</f>
        <v>0.41579999999999995</v>
      </c>
      <c r="K47" s="592">
        <f t="shared" si="24"/>
        <v>5.1974999999999993E-2</v>
      </c>
      <c r="L47" s="592">
        <f>1.05+2.08</f>
        <v>3.13</v>
      </c>
      <c r="M47" s="592">
        <f t="shared" si="25"/>
        <v>0.63382499999999997</v>
      </c>
      <c r="N47" s="592">
        <f t="shared" si="20"/>
        <v>0.42254999999999998</v>
      </c>
      <c r="O47" s="616">
        <f t="shared" si="26"/>
        <v>6.5834999999999999</v>
      </c>
      <c r="P47" s="718"/>
      <c r="Q47" s="716"/>
      <c r="R47" s="209"/>
      <c r="S47" s="210"/>
      <c r="T47" s="209"/>
    </row>
    <row r="48" spans="1:20" s="157" customFormat="1" x14ac:dyDescent="0.3">
      <c r="A48" s="494" t="s">
        <v>243</v>
      </c>
      <c r="B48" s="495">
        <v>1</v>
      </c>
      <c r="C48" s="495" t="s">
        <v>42</v>
      </c>
      <c r="D48" s="510">
        <f>3.35+4.35</f>
        <v>7.6999999999999993</v>
      </c>
      <c r="E48" s="614">
        <v>0.15</v>
      </c>
      <c r="F48" s="614">
        <v>0.4</v>
      </c>
      <c r="G48" s="617">
        <f>0.1*0.4*2</f>
        <v>8.0000000000000016E-2</v>
      </c>
      <c r="H48" s="592">
        <f t="shared" si="23"/>
        <v>6.24</v>
      </c>
      <c r="I48" s="592">
        <f>0.1*0.125*0.4*2</f>
        <v>1.0000000000000002E-2</v>
      </c>
      <c r="J48" s="592">
        <f>((D48*E48*F48)*B48)+I48</f>
        <v>0.47199999999999998</v>
      </c>
      <c r="K48" s="592">
        <f t="shared" si="24"/>
        <v>5.7749999999999996E-2</v>
      </c>
      <c r="L48" s="592">
        <f>2.98+2.47</f>
        <v>5.45</v>
      </c>
      <c r="M48" s="592">
        <f t="shared" si="25"/>
        <v>1.1036249999999999</v>
      </c>
      <c r="N48" s="592">
        <f t="shared" si="20"/>
        <v>0.7357499999999999</v>
      </c>
      <c r="O48" s="616">
        <f t="shared" si="26"/>
        <v>7.3149999999999995</v>
      </c>
      <c r="P48" s="718"/>
      <c r="Q48" s="716"/>
      <c r="R48" s="209"/>
      <c r="S48" s="210"/>
      <c r="T48" s="209"/>
    </row>
    <row r="49" spans="1:20" s="157" customFormat="1" x14ac:dyDescent="0.3">
      <c r="A49" s="494" t="s">
        <v>244</v>
      </c>
      <c r="B49" s="495">
        <v>1</v>
      </c>
      <c r="C49" s="495" t="s">
        <v>42</v>
      </c>
      <c r="D49" s="510">
        <v>0.65</v>
      </c>
      <c r="E49" s="614">
        <v>0.15</v>
      </c>
      <c r="F49" s="614">
        <v>0.4</v>
      </c>
      <c r="G49" s="592"/>
      <c r="H49" s="592">
        <f t="shared" si="16"/>
        <v>0.52</v>
      </c>
      <c r="I49" s="617"/>
      <c r="J49" s="592">
        <f>((D49*E49*F49)*B49)+I49</f>
        <v>3.9000000000000007E-2</v>
      </c>
      <c r="K49" s="592">
        <f t="shared" si="18"/>
        <v>4.8750000000000009E-3</v>
      </c>
      <c r="L49" s="592">
        <v>0</v>
      </c>
      <c r="M49" s="592">
        <f t="shared" si="19"/>
        <v>0</v>
      </c>
      <c r="N49" s="592">
        <f t="shared" si="20"/>
        <v>0</v>
      </c>
      <c r="O49" s="616">
        <f t="shared" si="21"/>
        <v>0.61750000000000005</v>
      </c>
      <c r="P49" s="718"/>
      <c r="Q49" s="716"/>
      <c r="R49" s="209"/>
      <c r="S49" s="210"/>
      <c r="T49" s="209"/>
    </row>
    <row r="50" spans="1:20" s="157" customFormat="1" x14ac:dyDescent="0.3">
      <c r="A50" s="494" t="s">
        <v>245</v>
      </c>
      <c r="B50" s="495">
        <v>1</v>
      </c>
      <c r="C50" s="495" t="s">
        <v>42</v>
      </c>
      <c r="D50" s="510">
        <v>0.65</v>
      </c>
      <c r="E50" s="614">
        <v>0.15</v>
      </c>
      <c r="F50" s="614">
        <v>0.4</v>
      </c>
      <c r="G50" s="617"/>
      <c r="H50" s="592">
        <f t="shared" si="16"/>
        <v>0.52</v>
      </c>
      <c r="I50" s="592"/>
      <c r="J50" s="592">
        <f>((D50*E50*F50)*B50)+I50</f>
        <v>3.9000000000000007E-2</v>
      </c>
      <c r="K50" s="592">
        <f t="shared" si="18"/>
        <v>4.8750000000000009E-3</v>
      </c>
      <c r="L50" s="592">
        <v>0</v>
      </c>
      <c r="M50" s="592">
        <f t="shared" si="19"/>
        <v>0</v>
      </c>
      <c r="N50" s="592">
        <f t="shared" si="20"/>
        <v>0</v>
      </c>
      <c r="O50" s="616">
        <f t="shared" si="21"/>
        <v>0.61750000000000005</v>
      </c>
      <c r="P50" s="718"/>
      <c r="Q50" s="716"/>
      <c r="R50" s="209"/>
      <c r="S50" s="210"/>
      <c r="T50" s="209"/>
    </row>
    <row r="51" spans="1:20" s="157" customFormat="1" x14ac:dyDescent="0.3">
      <c r="A51" s="494" t="s">
        <v>246</v>
      </c>
      <c r="B51" s="495">
        <v>1</v>
      </c>
      <c r="C51" s="495" t="s">
        <v>42</v>
      </c>
      <c r="D51" s="510">
        <f>0.65+3.35+4.35</f>
        <v>8.35</v>
      </c>
      <c r="E51" s="614">
        <v>0.15</v>
      </c>
      <c r="F51" s="614">
        <v>0.4</v>
      </c>
      <c r="G51" s="592">
        <f>0.05*0.4</f>
        <v>2.0000000000000004E-2</v>
      </c>
      <c r="H51" s="592">
        <f t="shared" ref="H51:H62" si="34">((2*F51)*D51)+G51</f>
        <v>6.6999999999999993</v>
      </c>
      <c r="I51" s="592">
        <f>0.05*0.45*0.4</f>
        <v>9.0000000000000011E-3</v>
      </c>
      <c r="J51" s="592">
        <f t="shared" ref="J51" si="35">((D51*E51*F51)*B51)+I51</f>
        <v>0.51</v>
      </c>
      <c r="K51" s="592">
        <f t="shared" ref="K51:K62" si="36">D51*E51*0.05</f>
        <v>6.2625E-2</v>
      </c>
      <c r="L51" s="592">
        <f>3.4+2.48+0.08</f>
        <v>5.96</v>
      </c>
      <c r="M51" s="592">
        <f t="shared" ref="M51:M62" si="37">L51*(E51+0.3)*(F51+0.05)</f>
        <v>1.2069000000000001</v>
      </c>
      <c r="N51" s="592">
        <f t="shared" si="20"/>
        <v>0.80460000000000009</v>
      </c>
      <c r="O51" s="616">
        <f t="shared" ref="O51:O62" si="38">D51*(E51+(F51*2))</f>
        <v>7.9325000000000001</v>
      </c>
      <c r="P51" s="718"/>
      <c r="Q51" s="716"/>
      <c r="R51" s="209"/>
      <c r="S51" s="210"/>
      <c r="T51" s="209"/>
    </row>
    <row r="52" spans="1:20" s="157" customFormat="1" x14ac:dyDescent="0.3">
      <c r="A52" s="494" t="s">
        <v>247</v>
      </c>
      <c r="B52" s="495">
        <v>1</v>
      </c>
      <c r="C52" s="495" t="s">
        <v>42</v>
      </c>
      <c r="D52" s="510">
        <v>0.65</v>
      </c>
      <c r="E52" s="614">
        <v>0.15</v>
      </c>
      <c r="F52" s="614">
        <v>0.4</v>
      </c>
      <c r="G52" s="592"/>
      <c r="H52" s="592">
        <f t="shared" si="34"/>
        <v>0.52</v>
      </c>
      <c r="I52" s="617"/>
      <c r="J52" s="592">
        <f>((D52*E52*F52)*B52)+I52</f>
        <v>3.9000000000000007E-2</v>
      </c>
      <c r="K52" s="592">
        <f t="shared" si="36"/>
        <v>4.8750000000000009E-3</v>
      </c>
      <c r="L52" s="592">
        <v>0.08</v>
      </c>
      <c r="M52" s="592">
        <f t="shared" si="37"/>
        <v>1.6199999999999999E-2</v>
      </c>
      <c r="N52" s="592">
        <f t="shared" si="20"/>
        <v>1.0799999999999999E-2</v>
      </c>
      <c r="O52" s="616">
        <f t="shared" si="38"/>
        <v>0.61750000000000005</v>
      </c>
      <c r="P52" s="718"/>
      <c r="Q52" s="716"/>
      <c r="R52" s="209"/>
      <c r="S52" s="210"/>
      <c r="T52" s="209"/>
    </row>
    <row r="53" spans="1:20" s="157" customFormat="1" x14ac:dyDescent="0.3">
      <c r="A53" s="494" t="s">
        <v>248</v>
      </c>
      <c r="B53" s="495">
        <v>1</v>
      </c>
      <c r="C53" s="495" t="s">
        <v>42</v>
      </c>
      <c r="D53" s="510">
        <f>0.65+3.35+4.35</f>
        <v>8.35</v>
      </c>
      <c r="E53" s="614">
        <v>0.15</v>
      </c>
      <c r="F53" s="614">
        <v>0.4</v>
      </c>
      <c r="G53" s="592">
        <f>0.05*0.4</f>
        <v>2.0000000000000004E-2</v>
      </c>
      <c r="H53" s="592">
        <f t="shared" ref="H53" si="39">((2*F53)*D53)+G53</f>
        <v>6.6999999999999993</v>
      </c>
      <c r="I53" s="592">
        <f>0.05*0.45*0.4</f>
        <v>9.0000000000000011E-3</v>
      </c>
      <c r="J53" s="592">
        <f>((D53*E53*F53)*B53)+I53</f>
        <v>0.51</v>
      </c>
      <c r="K53" s="592">
        <f t="shared" si="36"/>
        <v>6.2625E-2</v>
      </c>
      <c r="L53" s="592">
        <f>3.4+2.48+0.08</f>
        <v>5.96</v>
      </c>
      <c r="M53" s="592">
        <f t="shared" si="37"/>
        <v>1.2069000000000001</v>
      </c>
      <c r="N53" s="592">
        <f t="shared" si="20"/>
        <v>0.80460000000000009</v>
      </c>
      <c r="O53" s="616">
        <f t="shared" si="38"/>
        <v>7.9325000000000001</v>
      </c>
      <c r="P53" s="718"/>
      <c r="Q53" s="716"/>
      <c r="R53" s="209"/>
      <c r="S53" s="210"/>
      <c r="T53" s="209"/>
    </row>
    <row r="54" spans="1:20" s="157" customFormat="1" x14ac:dyDescent="0.3">
      <c r="A54" s="494" t="s">
        <v>249</v>
      </c>
      <c r="B54" s="495">
        <v>1</v>
      </c>
      <c r="C54" s="495" t="s">
        <v>42</v>
      </c>
      <c r="D54" s="510">
        <v>0.65</v>
      </c>
      <c r="E54" s="614">
        <v>0.15</v>
      </c>
      <c r="F54" s="614">
        <v>0.4</v>
      </c>
      <c r="G54" s="592"/>
      <c r="H54" s="592">
        <f t="shared" si="34"/>
        <v>0.52</v>
      </c>
      <c r="I54" s="592"/>
      <c r="J54" s="592">
        <f t="shared" ref="J54" si="40">((D54*E54*F54)*B54)+I54</f>
        <v>3.9000000000000007E-2</v>
      </c>
      <c r="K54" s="592">
        <f t="shared" si="36"/>
        <v>4.8750000000000009E-3</v>
      </c>
      <c r="L54" s="592">
        <v>0</v>
      </c>
      <c r="M54" s="592">
        <f t="shared" si="37"/>
        <v>0</v>
      </c>
      <c r="N54" s="592">
        <f t="shared" si="20"/>
        <v>0</v>
      </c>
      <c r="O54" s="616">
        <f t="shared" si="38"/>
        <v>0.61750000000000005</v>
      </c>
      <c r="P54" s="718"/>
      <c r="Q54" s="716"/>
      <c r="R54" s="209"/>
      <c r="S54" s="210"/>
      <c r="T54" s="209"/>
    </row>
    <row r="55" spans="1:20" s="157" customFormat="1" x14ac:dyDescent="0.3">
      <c r="A55" s="494" t="s">
        <v>250</v>
      </c>
      <c r="B55" s="495">
        <v>1</v>
      </c>
      <c r="C55" s="495" t="s">
        <v>42</v>
      </c>
      <c r="D55" s="510">
        <v>0.65</v>
      </c>
      <c r="E55" s="614">
        <v>0.15</v>
      </c>
      <c r="F55" s="614">
        <v>0.4</v>
      </c>
      <c r="G55" s="592"/>
      <c r="H55" s="592">
        <f t="shared" si="34"/>
        <v>0.52</v>
      </c>
      <c r="I55" s="617"/>
      <c r="J55" s="592">
        <f>((D55*E55*F55)*B55)+I55</f>
        <v>3.9000000000000007E-2</v>
      </c>
      <c r="K55" s="592">
        <f t="shared" si="36"/>
        <v>4.8750000000000009E-3</v>
      </c>
      <c r="L55" s="592">
        <v>0</v>
      </c>
      <c r="M55" s="592">
        <f t="shared" si="37"/>
        <v>0</v>
      </c>
      <c r="N55" s="592">
        <f t="shared" si="20"/>
        <v>0</v>
      </c>
      <c r="O55" s="616">
        <f t="shared" si="38"/>
        <v>0.61750000000000005</v>
      </c>
      <c r="P55" s="718"/>
      <c r="Q55" s="716"/>
      <c r="R55" s="209"/>
      <c r="S55" s="210"/>
      <c r="T55" s="209"/>
    </row>
    <row r="56" spans="1:20" s="157" customFormat="1" x14ac:dyDescent="0.3">
      <c r="A56" s="494" t="s">
        <v>251</v>
      </c>
      <c r="B56" s="495">
        <v>1</v>
      </c>
      <c r="C56" s="495" t="s">
        <v>42</v>
      </c>
      <c r="D56" s="510">
        <f>7.85+0.65</f>
        <v>8.5</v>
      </c>
      <c r="E56" s="614">
        <v>0.15</v>
      </c>
      <c r="F56" s="614">
        <v>0.4</v>
      </c>
      <c r="G56" s="592">
        <f>0.05*0.4</f>
        <v>2.0000000000000004E-2</v>
      </c>
      <c r="H56" s="592">
        <f t="shared" si="34"/>
        <v>6.82</v>
      </c>
      <c r="I56" s="592">
        <f>0.05*0.45*0.4</f>
        <v>9.0000000000000011E-3</v>
      </c>
      <c r="J56" s="592">
        <f>((D56*E56*F56)*B56)+I56</f>
        <v>0.51900000000000002</v>
      </c>
      <c r="K56" s="592">
        <f t="shared" si="36"/>
        <v>6.3750000000000001E-2</v>
      </c>
      <c r="L56" s="592">
        <v>6.33</v>
      </c>
      <c r="M56" s="592">
        <f t="shared" si="37"/>
        <v>1.2818249999999998</v>
      </c>
      <c r="N56" s="592">
        <f t="shared" si="20"/>
        <v>0.8545499999999997</v>
      </c>
      <c r="O56" s="616">
        <f t="shared" si="38"/>
        <v>8.0750000000000011</v>
      </c>
      <c r="P56" s="718"/>
      <c r="Q56" s="716"/>
      <c r="R56" s="209"/>
      <c r="S56" s="210"/>
      <c r="T56" s="209"/>
    </row>
    <row r="57" spans="1:20" s="157" customFormat="1" x14ac:dyDescent="0.3">
      <c r="A57" s="494" t="s">
        <v>252</v>
      </c>
      <c r="B57" s="495">
        <v>1</v>
      </c>
      <c r="C57" s="495" t="s">
        <v>42</v>
      </c>
      <c r="D57" s="510">
        <v>0.65</v>
      </c>
      <c r="E57" s="614">
        <v>0.15</v>
      </c>
      <c r="F57" s="614">
        <v>0.4</v>
      </c>
      <c r="G57" s="592"/>
      <c r="H57" s="592">
        <f t="shared" si="34"/>
        <v>0.52</v>
      </c>
      <c r="I57" s="592"/>
      <c r="J57" s="592">
        <f t="shared" ref="J57" si="41">((D57*E57*F57)*B57)+I57</f>
        <v>3.9000000000000007E-2</v>
      </c>
      <c r="K57" s="592">
        <f t="shared" si="36"/>
        <v>4.8750000000000009E-3</v>
      </c>
      <c r="L57" s="592">
        <v>0.08</v>
      </c>
      <c r="M57" s="592">
        <f t="shared" si="37"/>
        <v>1.6199999999999999E-2</v>
      </c>
      <c r="N57" s="592">
        <f t="shared" si="20"/>
        <v>1.0799999999999999E-2</v>
      </c>
      <c r="O57" s="616">
        <f t="shared" si="38"/>
        <v>0.61750000000000005</v>
      </c>
      <c r="P57" s="718"/>
      <c r="Q57" s="716"/>
      <c r="R57" s="209"/>
      <c r="S57" s="210"/>
      <c r="T57" s="209"/>
    </row>
    <row r="58" spans="1:20" s="157" customFormat="1" x14ac:dyDescent="0.3">
      <c r="A58" s="494" t="s">
        <v>253</v>
      </c>
      <c r="B58" s="495">
        <v>1</v>
      </c>
      <c r="C58" s="495" t="s">
        <v>42</v>
      </c>
      <c r="D58" s="510">
        <f>7.85+0.65</f>
        <v>8.5</v>
      </c>
      <c r="E58" s="614">
        <v>0.15</v>
      </c>
      <c r="F58" s="614">
        <v>0.4</v>
      </c>
      <c r="G58" s="592">
        <f>0.05*0.4</f>
        <v>2.0000000000000004E-2</v>
      </c>
      <c r="H58" s="592">
        <f t="shared" ref="H58" si="42">((2*F58)*D58)+G58</f>
        <v>6.82</v>
      </c>
      <c r="I58" s="592">
        <f>0.05*0.45*0.4</f>
        <v>9.0000000000000011E-3</v>
      </c>
      <c r="J58" s="592">
        <f>((D58*E58*F58)*B58)+I58</f>
        <v>0.51900000000000002</v>
      </c>
      <c r="K58" s="592">
        <f t="shared" si="36"/>
        <v>6.3750000000000001E-2</v>
      </c>
      <c r="L58" s="592">
        <v>6.33</v>
      </c>
      <c r="M58" s="592">
        <f t="shared" si="37"/>
        <v>1.2818249999999998</v>
      </c>
      <c r="N58" s="592">
        <f t="shared" si="20"/>
        <v>0.8545499999999997</v>
      </c>
      <c r="O58" s="616">
        <f t="shared" si="38"/>
        <v>8.0750000000000011</v>
      </c>
      <c r="P58" s="718"/>
      <c r="Q58" s="716"/>
      <c r="R58" s="209"/>
      <c r="S58" s="210"/>
      <c r="T58" s="209"/>
    </row>
    <row r="59" spans="1:20" s="157" customFormat="1" x14ac:dyDescent="0.3">
      <c r="A59" s="494" t="s">
        <v>254</v>
      </c>
      <c r="B59" s="495">
        <v>1</v>
      </c>
      <c r="C59" s="495" t="s">
        <v>42</v>
      </c>
      <c r="D59" s="510">
        <v>0.65</v>
      </c>
      <c r="E59" s="614">
        <v>0.15</v>
      </c>
      <c r="F59" s="614">
        <v>0.4</v>
      </c>
      <c r="G59" s="617"/>
      <c r="H59" s="592">
        <f t="shared" si="34"/>
        <v>0.52</v>
      </c>
      <c r="I59" s="592"/>
      <c r="J59" s="592">
        <f>((D59*E59*F59)*B59)+I59</f>
        <v>3.9000000000000007E-2</v>
      </c>
      <c r="K59" s="592">
        <f t="shared" si="36"/>
        <v>4.8750000000000009E-3</v>
      </c>
      <c r="L59" s="592">
        <v>0</v>
      </c>
      <c r="M59" s="592">
        <f t="shared" si="37"/>
        <v>0</v>
      </c>
      <c r="N59" s="592">
        <f t="shared" si="20"/>
        <v>0</v>
      </c>
      <c r="O59" s="616">
        <f t="shared" si="38"/>
        <v>0.61750000000000005</v>
      </c>
      <c r="P59" s="718"/>
      <c r="Q59" s="716"/>
      <c r="R59" s="209"/>
      <c r="S59" s="210"/>
      <c r="T59" s="209"/>
    </row>
    <row r="60" spans="1:20" s="157" customFormat="1" x14ac:dyDescent="0.3">
      <c r="A60" s="494" t="s">
        <v>255</v>
      </c>
      <c r="B60" s="495">
        <v>1</v>
      </c>
      <c r="C60" s="495" t="s">
        <v>42</v>
      </c>
      <c r="D60" s="510">
        <v>0.65</v>
      </c>
      <c r="E60" s="614">
        <v>0.15</v>
      </c>
      <c r="F60" s="614">
        <v>0.4</v>
      </c>
      <c r="G60" s="592"/>
      <c r="H60" s="592">
        <f t="shared" si="34"/>
        <v>0.52</v>
      </c>
      <c r="I60" s="592"/>
      <c r="J60" s="592">
        <f t="shared" ref="J60" si="43">((D60*E60*F60)*B60)+I60</f>
        <v>3.9000000000000007E-2</v>
      </c>
      <c r="K60" s="592">
        <f t="shared" si="36"/>
        <v>4.8750000000000009E-3</v>
      </c>
      <c r="L60" s="592">
        <v>0</v>
      </c>
      <c r="M60" s="592">
        <f t="shared" si="37"/>
        <v>0</v>
      </c>
      <c r="N60" s="592">
        <f t="shared" si="20"/>
        <v>0</v>
      </c>
      <c r="O60" s="616">
        <f t="shared" si="38"/>
        <v>0.61750000000000005</v>
      </c>
      <c r="P60" s="718"/>
      <c r="Q60" s="716"/>
      <c r="R60" s="209"/>
      <c r="S60" s="210"/>
      <c r="T60" s="209"/>
    </row>
    <row r="61" spans="1:20" s="157" customFormat="1" x14ac:dyDescent="0.3">
      <c r="A61" s="494" t="s">
        <v>256</v>
      </c>
      <c r="B61" s="495">
        <v>1</v>
      </c>
      <c r="C61" s="495" t="s">
        <v>42</v>
      </c>
      <c r="D61" s="510">
        <f>0.65+3.35+4.35</f>
        <v>8.35</v>
      </c>
      <c r="E61" s="614">
        <v>0.15</v>
      </c>
      <c r="F61" s="614">
        <v>0.4</v>
      </c>
      <c r="G61" s="592">
        <f>0.05*0.4</f>
        <v>2.0000000000000004E-2</v>
      </c>
      <c r="H61" s="592">
        <f t="shared" ref="H61" si="44">((2*F61)*D61)+G61</f>
        <v>6.6999999999999993</v>
      </c>
      <c r="I61" s="592">
        <f>0.05*0.45*0.4</f>
        <v>9.0000000000000011E-3</v>
      </c>
      <c r="J61" s="592">
        <f>((D61*E61*F61)*B61)+I61</f>
        <v>0.51</v>
      </c>
      <c r="K61" s="592">
        <f t="shared" si="36"/>
        <v>6.2625E-2</v>
      </c>
      <c r="L61" s="592">
        <f>3.4+2.48+0.08</f>
        <v>5.96</v>
      </c>
      <c r="M61" s="592">
        <f t="shared" si="37"/>
        <v>1.2069000000000001</v>
      </c>
      <c r="N61" s="592">
        <f t="shared" si="20"/>
        <v>0.80460000000000009</v>
      </c>
      <c r="O61" s="616">
        <f t="shared" si="38"/>
        <v>7.9325000000000001</v>
      </c>
      <c r="P61" s="718"/>
      <c r="Q61" s="716"/>
      <c r="R61" s="209"/>
      <c r="S61" s="210"/>
      <c r="T61" s="209"/>
    </row>
    <row r="62" spans="1:20" s="157" customFormat="1" x14ac:dyDescent="0.3">
      <c r="A62" s="494" t="s">
        <v>257</v>
      </c>
      <c r="B62" s="495">
        <v>1</v>
      </c>
      <c r="C62" s="495" t="s">
        <v>42</v>
      </c>
      <c r="D62" s="510">
        <v>0.65</v>
      </c>
      <c r="E62" s="614">
        <v>0.15</v>
      </c>
      <c r="F62" s="614">
        <v>0.4</v>
      </c>
      <c r="G62" s="617"/>
      <c r="H62" s="592">
        <f t="shared" si="34"/>
        <v>0.52</v>
      </c>
      <c r="I62" s="592"/>
      <c r="J62" s="592">
        <f>((D62*E62*F62)*B62)+I62</f>
        <v>3.9000000000000007E-2</v>
      </c>
      <c r="K62" s="592">
        <f t="shared" si="36"/>
        <v>4.8750000000000009E-3</v>
      </c>
      <c r="L62" s="592">
        <v>0.08</v>
      </c>
      <c r="M62" s="592">
        <f t="shared" si="37"/>
        <v>1.6199999999999999E-2</v>
      </c>
      <c r="N62" s="592">
        <f t="shared" si="20"/>
        <v>1.0799999999999999E-2</v>
      </c>
      <c r="O62" s="616">
        <f t="shared" si="38"/>
        <v>0.61750000000000005</v>
      </c>
      <c r="P62" s="718"/>
      <c r="Q62" s="716"/>
      <c r="R62" s="209"/>
      <c r="S62" s="210"/>
      <c r="T62" s="209"/>
    </row>
    <row r="63" spans="1:20" s="157" customFormat="1" x14ac:dyDescent="0.3">
      <c r="A63" s="494" t="s">
        <v>258</v>
      </c>
      <c r="B63" s="495">
        <v>1</v>
      </c>
      <c r="C63" s="495" t="s">
        <v>42</v>
      </c>
      <c r="D63" s="510">
        <f>3.35+4.35</f>
        <v>7.6999999999999993</v>
      </c>
      <c r="E63" s="614">
        <v>0.15</v>
      </c>
      <c r="F63" s="614">
        <v>0.4</v>
      </c>
      <c r="G63" s="617">
        <f>0.05*0.4*2+0.05*0.4</f>
        <v>6.0000000000000012E-2</v>
      </c>
      <c r="H63" s="592">
        <f t="shared" si="16"/>
        <v>6.22</v>
      </c>
      <c r="I63" s="592">
        <f>0.05*0.125*0.4*2+0.05*0.25*0.4</f>
        <v>1.0000000000000002E-2</v>
      </c>
      <c r="J63" s="592">
        <f t="shared" ref="J63" si="45">((D63*E63*F63)*B63)+I63</f>
        <v>0.47199999999999998</v>
      </c>
      <c r="K63" s="592">
        <f t="shared" si="18"/>
        <v>5.7749999999999996E-2</v>
      </c>
      <c r="L63" s="592">
        <f>2.48+2.47</f>
        <v>4.95</v>
      </c>
      <c r="M63" s="592">
        <f t="shared" si="19"/>
        <v>1.002375</v>
      </c>
      <c r="N63" s="592">
        <f t="shared" si="20"/>
        <v>0.66825000000000001</v>
      </c>
      <c r="O63" s="616">
        <f t="shared" si="21"/>
        <v>7.3149999999999995</v>
      </c>
      <c r="P63" s="718"/>
      <c r="Q63" s="716"/>
      <c r="R63" s="209"/>
      <c r="S63" s="210"/>
      <c r="T63" s="209"/>
    </row>
    <row r="64" spans="1:20" s="157" customFormat="1" x14ac:dyDescent="0.3">
      <c r="A64" s="494" t="s">
        <v>259</v>
      </c>
      <c r="B64" s="495">
        <v>1</v>
      </c>
      <c r="C64" s="495" t="s">
        <v>42</v>
      </c>
      <c r="D64" s="510">
        <v>0.65</v>
      </c>
      <c r="E64" s="614">
        <v>0.15</v>
      </c>
      <c r="F64" s="614">
        <v>0.4</v>
      </c>
      <c r="G64" s="592"/>
      <c r="H64" s="592">
        <f t="shared" si="16"/>
        <v>0.52</v>
      </c>
      <c r="I64" s="617"/>
      <c r="J64" s="592">
        <f>((D64*E64*F64)*B64)+I64</f>
        <v>3.9000000000000007E-2</v>
      </c>
      <c r="K64" s="592">
        <f t="shared" si="18"/>
        <v>4.8750000000000009E-3</v>
      </c>
      <c r="L64" s="592">
        <v>0.35</v>
      </c>
      <c r="M64" s="592">
        <f t="shared" si="19"/>
        <v>7.0874999999999994E-2</v>
      </c>
      <c r="N64" s="592">
        <f t="shared" si="20"/>
        <v>4.7249999999999993E-2</v>
      </c>
      <c r="O64" s="616">
        <f t="shared" si="21"/>
        <v>0.61750000000000005</v>
      </c>
      <c r="P64" s="718"/>
      <c r="Q64" s="716"/>
      <c r="R64" s="209"/>
      <c r="S64" s="210"/>
      <c r="T64" s="209"/>
    </row>
    <row r="65" spans="1:20" s="157" customFormat="1" x14ac:dyDescent="0.3">
      <c r="A65" s="494" t="s">
        <v>260</v>
      </c>
      <c r="B65" s="495">
        <v>1</v>
      </c>
      <c r="C65" s="495" t="s">
        <v>42</v>
      </c>
      <c r="D65" s="510">
        <v>0.65</v>
      </c>
      <c r="E65" s="614">
        <v>0.15</v>
      </c>
      <c r="F65" s="614">
        <v>0.4</v>
      </c>
      <c r="G65" s="617"/>
      <c r="H65" s="592">
        <f t="shared" si="16"/>
        <v>0.52</v>
      </c>
      <c r="I65" s="592"/>
      <c r="J65" s="592">
        <f>((D65*E65*F65)*B65)+I65</f>
        <v>3.9000000000000007E-2</v>
      </c>
      <c r="K65" s="592">
        <f t="shared" si="18"/>
        <v>4.8750000000000009E-3</v>
      </c>
      <c r="L65" s="592">
        <v>0</v>
      </c>
      <c r="M65" s="592">
        <f t="shared" si="19"/>
        <v>0</v>
      </c>
      <c r="N65" s="592">
        <f t="shared" si="20"/>
        <v>0</v>
      </c>
      <c r="O65" s="616">
        <f t="shared" si="21"/>
        <v>0.61750000000000005</v>
      </c>
      <c r="P65" s="718"/>
      <c r="Q65" s="716"/>
      <c r="R65" s="209"/>
      <c r="S65" s="210"/>
      <c r="T65" s="209"/>
    </row>
    <row r="66" spans="1:20" s="157" customFormat="1" ht="15" thickBot="1" x14ac:dyDescent="0.35">
      <c r="A66" s="494" t="s">
        <v>261</v>
      </c>
      <c r="B66" s="495">
        <v>1</v>
      </c>
      <c r="C66" s="495" t="s">
        <v>42</v>
      </c>
      <c r="D66" s="510">
        <f>3.35+4.35</f>
        <v>7.6999999999999993</v>
      </c>
      <c r="E66" s="614">
        <v>0.15</v>
      </c>
      <c r="F66" s="614">
        <v>0.4</v>
      </c>
      <c r="G66" s="617">
        <f>0.05*0.4*2+0.05*0.4</f>
        <v>6.0000000000000012E-2</v>
      </c>
      <c r="H66" s="592">
        <f t="shared" si="16"/>
        <v>6.22</v>
      </c>
      <c r="I66" s="592">
        <f>0.05*0.125*0.4*2+0.05*0.45*0.4</f>
        <v>1.4000000000000002E-2</v>
      </c>
      <c r="J66" s="592">
        <f t="shared" ref="J66" si="46">((D66*E66*F66)*B66)+I66</f>
        <v>0.47599999999999998</v>
      </c>
      <c r="K66" s="592">
        <f t="shared" si="18"/>
        <v>5.7749999999999996E-2</v>
      </c>
      <c r="L66" s="592">
        <f>2.98+2.47</f>
        <v>5.45</v>
      </c>
      <c r="M66" s="592">
        <f t="shared" si="19"/>
        <v>1.1036249999999999</v>
      </c>
      <c r="N66" s="592">
        <f t="shared" si="20"/>
        <v>0.7357499999999999</v>
      </c>
      <c r="O66" s="616">
        <f t="shared" si="21"/>
        <v>7.3149999999999995</v>
      </c>
      <c r="P66" s="718"/>
      <c r="Q66" s="716"/>
      <c r="R66" s="209"/>
      <c r="S66" s="210"/>
      <c r="T66" s="209"/>
    </row>
    <row r="67" spans="1:20" s="62" customFormat="1" x14ac:dyDescent="0.3">
      <c r="A67" s="698" t="s">
        <v>323</v>
      </c>
      <c r="B67" s="699"/>
      <c r="C67" s="699"/>
      <c r="D67" s="699"/>
      <c r="E67" s="699"/>
      <c r="F67" s="699"/>
      <c r="G67" s="699"/>
      <c r="H67" s="699"/>
      <c r="I67" s="699"/>
      <c r="J67" s="699"/>
      <c r="K67" s="699"/>
      <c r="L67" s="699"/>
      <c r="M67" s="699"/>
      <c r="N67" s="699"/>
      <c r="O67" s="700"/>
      <c r="P67" s="718"/>
      <c r="Q67" s="716"/>
    </row>
    <row r="68" spans="1:20" s="157" customFormat="1" x14ac:dyDescent="0.3">
      <c r="A68" s="494" t="s">
        <v>324</v>
      </c>
      <c r="B68" s="495">
        <v>1</v>
      </c>
      <c r="C68" s="495" t="s">
        <v>42</v>
      </c>
      <c r="D68" s="510">
        <v>4.1500000000000004</v>
      </c>
      <c r="E68" s="614">
        <v>0.15</v>
      </c>
      <c r="F68" s="614">
        <v>0.4</v>
      </c>
      <c r="G68" s="617">
        <f>-0.2*0.4-0.15*0.4+0.15*0.4</f>
        <v>-8.0000000000000016E-2</v>
      </c>
      <c r="H68" s="592">
        <f t="shared" si="16"/>
        <v>3.24</v>
      </c>
      <c r="I68" s="592"/>
      <c r="J68" s="592">
        <f>((D68*E68*F68)*B68)+I68</f>
        <v>0.24900000000000003</v>
      </c>
      <c r="K68" s="592">
        <f t="shared" si="18"/>
        <v>3.1125000000000003E-2</v>
      </c>
      <c r="L68" s="592">
        <v>2.08</v>
      </c>
      <c r="M68" s="592">
        <f t="shared" si="19"/>
        <v>0.42119999999999996</v>
      </c>
      <c r="N68" s="592">
        <f t="shared" si="20"/>
        <v>0.28079999999999994</v>
      </c>
      <c r="O68" s="616">
        <f t="shared" si="21"/>
        <v>3.9425000000000008</v>
      </c>
      <c r="P68" s="718"/>
      <c r="Q68" s="716"/>
      <c r="R68" s="209"/>
      <c r="S68" s="210"/>
      <c r="T68" s="209"/>
    </row>
    <row r="69" spans="1:20" s="157" customFormat="1" x14ac:dyDescent="0.3">
      <c r="A69" s="494" t="s">
        <v>325</v>
      </c>
      <c r="B69" s="495">
        <v>1</v>
      </c>
      <c r="C69" s="495" t="s">
        <v>42</v>
      </c>
      <c r="D69" s="510">
        <v>8</v>
      </c>
      <c r="E69" s="614">
        <v>0.15</v>
      </c>
      <c r="F69" s="614">
        <v>0.4</v>
      </c>
      <c r="G69" s="592">
        <f>-0.15*0.4</f>
        <v>-0.06</v>
      </c>
      <c r="H69" s="592">
        <f t="shared" si="16"/>
        <v>6.3400000000000007</v>
      </c>
      <c r="I69" s="592"/>
      <c r="J69" s="592">
        <f t="shared" ref="J69" si="47">((D69*E69*F69)*B69)+I69</f>
        <v>0.48</v>
      </c>
      <c r="K69" s="592">
        <f t="shared" si="18"/>
        <v>0.06</v>
      </c>
      <c r="L69" s="592">
        <v>6.1</v>
      </c>
      <c r="M69" s="592">
        <f t="shared" si="19"/>
        <v>1.23525</v>
      </c>
      <c r="N69" s="592">
        <f t="shared" si="20"/>
        <v>0.82350000000000001</v>
      </c>
      <c r="O69" s="616">
        <f t="shared" si="21"/>
        <v>7.6000000000000005</v>
      </c>
      <c r="P69" s="718"/>
      <c r="Q69" s="716"/>
      <c r="R69" s="209"/>
      <c r="S69" s="210"/>
      <c r="T69" s="209"/>
    </row>
    <row r="70" spans="1:20" s="157" customFormat="1" x14ac:dyDescent="0.3">
      <c r="A70" s="494" t="s">
        <v>326</v>
      </c>
      <c r="B70" s="495">
        <v>1</v>
      </c>
      <c r="C70" s="495" t="s">
        <v>42</v>
      </c>
      <c r="D70" s="510">
        <v>4.0999999999999996</v>
      </c>
      <c r="E70" s="614">
        <v>0.15</v>
      </c>
      <c r="F70" s="614">
        <v>0.4</v>
      </c>
      <c r="G70" s="592">
        <f>-0.25*0.4+0.15*0.4</f>
        <v>-4.0000000000000008E-2</v>
      </c>
      <c r="H70" s="592">
        <f t="shared" si="16"/>
        <v>3.2399999999999998</v>
      </c>
      <c r="I70" s="617"/>
      <c r="J70" s="592">
        <f>((D70*E70*F70)*B70)+I70</f>
        <v>0.24599999999999997</v>
      </c>
      <c r="K70" s="592">
        <f t="shared" si="18"/>
        <v>3.0749999999999996E-2</v>
      </c>
      <c r="L70" s="592">
        <v>2.75</v>
      </c>
      <c r="M70" s="592">
        <f t="shared" si="19"/>
        <v>0.5568749999999999</v>
      </c>
      <c r="N70" s="592">
        <f t="shared" si="20"/>
        <v>0.37124999999999991</v>
      </c>
      <c r="O70" s="616">
        <f t="shared" si="21"/>
        <v>3.895</v>
      </c>
      <c r="P70" s="718"/>
      <c r="Q70" s="716"/>
      <c r="R70" s="209"/>
      <c r="S70" s="210"/>
      <c r="T70" s="209"/>
    </row>
    <row r="71" spans="1:20" s="157" customFormat="1" x14ac:dyDescent="0.3">
      <c r="A71" s="494" t="s">
        <v>327</v>
      </c>
      <c r="B71" s="495">
        <v>1</v>
      </c>
      <c r="C71" s="495" t="s">
        <v>42</v>
      </c>
      <c r="D71" s="510">
        <v>4.33</v>
      </c>
      <c r="E71" s="614">
        <v>0.15</v>
      </c>
      <c r="F71" s="614">
        <v>0.4</v>
      </c>
      <c r="G71" s="617">
        <f>0.15*0.4+0.05*0.4*2-0.15*0.4</f>
        <v>4.0000000000000008E-2</v>
      </c>
      <c r="H71" s="592">
        <f t="shared" si="16"/>
        <v>3.5040000000000004</v>
      </c>
      <c r="I71" s="592">
        <f>0.05*0.4*0.6</f>
        <v>1.2000000000000002E-2</v>
      </c>
      <c r="J71" s="592">
        <f>((D71*E71*F71)*B71)+I71</f>
        <v>0.27179999999999999</v>
      </c>
      <c r="K71" s="592">
        <f t="shared" si="18"/>
        <v>3.2474999999999997E-2</v>
      </c>
      <c r="L71" s="592">
        <v>2.5299999999999998</v>
      </c>
      <c r="M71" s="592">
        <f t="shared" si="19"/>
        <v>0.51232499999999992</v>
      </c>
      <c r="N71" s="592">
        <f t="shared" si="20"/>
        <v>0.34154999999999991</v>
      </c>
      <c r="O71" s="616">
        <f t="shared" si="21"/>
        <v>4.1135000000000002</v>
      </c>
      <c r="P71" s="718"/>
      <c r="Q71" s="716"/>
      <c r="R71" s="209"/>
      <c r="S71" s="210"/>
      <c r="T71" s="209"/>
    </row>
    <row r="72" spans="1:20" s="157" customFormat="1" x14ac:dyDescent="0.3">
      <c r="A72" s="494" t="s">
        <v>328</v>
      </c>
      <c r="B72" s="495">
        <v>1</v>
      </c>
      <c r="C72" s="495" t="s">
        <v>42</v>
      </c>
      <c r="D72" s="510">
        <v>3.83</v>
      </c>
      <c r="E72" s="614">
        <v>0.15</v>
      </c>
      <c r="F72" s="614">
        <v>0.4</v>
      </c>
      <c r="G72" s="592">
        <f>0.15*0.4-0.15*0.4*2</f>
        <v>-0.06</v>
      </c>
      <c r="H72" s="592">
        <f t="shared" si="16"/>
        <v>3.004</v>
      </c>
      <c r="I72" s="592"/>
      <c r="J72" s="592">
        <f t="shared" ref="J72:J73" si="48">((D72*E72*F72)*B72)+I72</f>
        <v>0.2298</v>
      </c>
      <c r="K72" s="592">
        <f t="shared" si="18"/>
        <v>2.8725000000000001E-2</v>
      </c>
      <c r="L72" s="592">
        <v>2.63</v>
      </c>
      <c r="M72" s="592">
        <f t="shared" si="19"/>
        <v>0.53257499999999991</v>
      </c>
      <c r="N72" s="592">
        <f t="shared" si="20"/>
        <v>0.35504999999999992</v>
      </c>
      <c r="O72" s="616">
        <f t="shared" si="21"/>
        <v>3.6385000000000005</v>
      </c>
      <c r="P72" s="718"/>
      <c r="Q72" s="716"/>
      <c r="R72" s="209"/>
      <c r="S72" s="210"/>
      <c r="T72" s="209"/>
    </row>
    <row r="73" spans="1:20" s="157" customFormat="1" x14ac:dyDescent="0.3">
      <c r="A73" s="494" t="s">
        <v>329</v>
      </c>
      <c r="B73" s="495">
        <v>1</v>
      </c>
      <c r="C73" s="495" t="s">
        <v>42</v>
      </c>
      <c r="D73" s="510">
        <v>8.43</v>
      </c>
      <c r="E73" s="614">
        <v>0.15</v>
      </c>
      <c r="F73" s="614">
        <v>0.4</v>
      </c>
      <c r="G73" s="592">
        <f>0.05*0.4*12-0.25*0.4*2-0.15*0.4*2</f>
        <v>-7.999999999999996E-2</v>
      </c>
      <c r="H73" s="592">
        <f t="shared" si="16"/>
        <v>6.6639999999999997</v>
      </c>
      <c r="I73" s="592">
        <f>0.05*0.25*0.4*2+0.05*0.7*0.4*2</f>
        <v>3.7999999999999999E-2</v>
      </c>
      <c r="J73" s="592">
        <f t="shared" si="48"/>
        <v>0.54380000000000006</v>
      </c>
      <c r="K73" s="592">
        <f t="shared" si="18"/>
        <v>6.3225000000000003E-2</v>
      </c>
      <c r="L73" s="592">
        <f>2.05+2.7</f>
        <v>4.75</v>
      </c>
      <c r="M73" s="592">
        <f t="shared" si="19"/>
        <v>0.96187499999999992</v>
      </c>
      <c r="N73" s="592">
        <f t="shared" si="20"/>
        <v>0.64124999999999988</v>
      </c>
      <c r="O73" s="616">
        <f t="shared" si="21"/>
        <v>8.0084999999999997</v>
      </c>
      <c r="P73" s="718"/>
      <c r="Q73" s="716"/>
      <c r="R73" s="209"/>
      <c r="S73" s="210"/>
      <c r="T73" s="209"/>
    </row>
    <row r="74" spans="1:20" s="157" customFormat="1" x14ac:dyDescent="0.3">
      <c r="A74" s="494" t="s">
        <v>330</v>
      </c>
      <c r="B74" s="495">
        <v>1</v>
      </c>
      <c r="C74" s="495" t="s">
        <v>42</v>
      </c>
      <c r="D74" s="510">
        <v>7.83</v>
      </c>
      <c r="E74" s="614">
        <v>0.15</v>
      </c>
      <c r="F74" s="614">
        <v>0.4</v>
      </c>
      <c r="G74" s="592">
        <f>0.05*0.4*8-0.25*0.4</f>
        <v>6.0000000000000026E-2</v>
      </c>
      <c r="H74" s="592">
        <f t="shared" si="16"/>
        <v>6.3239999999999998</v>
      </c>
      <c r="I74" s="617">
        <f>0.05*0.25*0.4*2</f>
        <v>1.0000000000000002E-2</v>
      </c>
      <c r="J74" s="592">
        <f>((D74*E74*F74)*B74)+I74</f>
        <v>0.4798</v>
      </c>
      <c r="K74" s="592">
        <f t="shared" si="18"/>
        <v>5.8724999999999999E-2</v>
      </c>
      <c r="L74" s="592">
        <f>2.15+2.7</f>
        <v>4.8499999999999996</v>
      </c>
      <c r="M74" s="592">
        <f t="shared" si="19"/>
        <v>0.98212499999999991</v>
      </c>
      <c r="N74" s="592">
        <f t="shared" si="20"/>
        <v>0.65474999999999994</v>
      </c>
      <c r="O74" s="616">
        <f t="shared" si="21"/>
        <v>7.4385000000000003</v>
      </c>
      <c r="P74" s="718"/>
      <c r="Q74" s="716"/>
      <c r="R74" s="209"/>
      <c r="S74" s="210"/>
      <c r="T74" s="209"/>
    </row>
    <row r="75" spans="1:20" s="157" customFormat="1" x14ac:dyDescent="0.3">
      <c r="A75" s="494" t="s">
        <v>331</v>
      </c>
      <c r="B75" s="495">
        <v>1</v>
      </c>
      <c r="C75" s="495" t="s">
        <v>42</v>
      </c>
      <c r="D75" s="510">
        <v>8.42</v>
      </c>
      <c r="E75" s="614">
        <v>0.15</v>
      </c>
      <c r="F75" s="614">
        <v>0.4</v>
      </c>
      <c r="G75" s="617">
        <f>-0.15*0.4*9+0.15*0.4+0.05*0.4*2</f>
        <v>-0.44000000000000006</v>
      </c>
      <c r="H75" s="592">
        <f t="shared" si="16"/>
        <v>6.2960000000000003</v>
      </c>
      <c r="I75" s="592">
        <f>0.05*0.4*0.6</f>
        <v>1.2000000000000002E-2</v>
      </c>
      <c r="J75" s="592">
        <f>((D75*E75*F75)*B75)+I75</f>
        <v>0.51719999999999999</v>
      </c>
      <c r="K75" s="592">
        <f t="shared" si="18"/>
        <v>6.3149999999999998E-2</v>
      </c>
      <c r="L75" s="592">
        <f>1.84+2.62</f>
        <v>4.46</v>
      </c>
      <c r="M75" s="592">
        <f t="shared" si="19"/>
        <v>0.9031499999999999</v>
      </c>
      <c r="N75" s="592">
        <f t="shared" si="20"/>
        <v>0.60209999999999986</v>
      </c>
      <c r="O75" s="616">
        <f t="shared" si="21"/>
        <v>7.9990000000000006</v>
      </c>
      <c r="P75" s="718"/>
      <c r="Q75" s="716"/>
      <c r="R75" s="209"/>
      <c r="S75" s="210"/>
      <c r="T75" s="209"/>
    </row>
    <row r="76" spans="1:20" s="157" customFormat="1" x14ac:dyDescent="0.3">
      <c r="A76" s="494" t="s">
        <v>332</v>
      </c>
      <c r="B76" s="495">
        <v>1</v>
      </c>
      <c r="C76" s="495" t="s">
        <v>42</v>
      </c>
      <c r="D76" s="510">
        <v>7.83</v>
      </c>
      <c r="E76" s="614">
        <v>0.15</v>
      </c>
      <c r="F76" s="614">
        <v>0.4</v>
      </c>
      <c r="G76" s="592">
        <f>-0.15*0.4*7-0.25*0.4+0.15*0.4</f>
        <v>-0.46</v>
      </c>
      <c r="H76" s="592">
        <f t="shared" si="16"/>
        <v>5.8040000000000003</v>
      </c>
      <c r="I76" s="592"/>
      <c r="J76" s="592">
        <f t="shared" ref="J76" si="49">((D76*E76*F76)*B76)+I76</f>
        <v>0.4698</v>
      </c>
      <c r="K76" s="592">
        <f t="shared" si="18"/>
        <v>5.8724999999999999E-2</v>
      </c>
      <c r="L76" s="592">
        <f>1.92+1.29</f>
        <v>3.21</v>
      </c>
      <c r="M76" s="592">
        <f t="shared" si="19"/>
        <v>0.65002499999999996</v>
      </c>
      <c r="N76" s="592">
        <f t="shared" si="20"/>
        <v>0.43334999999999996</v>
      </c>
      <c r="O76" s="616">
        <f t="shared" si="21"/>
        <v>7.4385000000000003</v>
      </c>
      <c r="P76" s="718"/>
      <c r="Q76" s="716"/>
      <c r="R76" s="209"/>
      <c r="S76" s="210"/>
      <c r="T76" s="209"/>
    </row>
    <row r="77" spans="1:20" s="157" customFormat="1" x14ac:dyDescent="0.3">
      <c r="A77" s="494" t="s">
        <v>333</v>
      </c>
      <c r="B77" s="495">
        <v>1</v>
      </c>
      <c r="C77" s="495" t="s">
        <v>42</v>
      </c>
      <c r="D77" s="510">
        <v>5.2</v>
      </c>
      <c r="E77" s="614">
        <v>0.15</v>
      </c>
      <c r="F77" s="614">
        <v>0.4</v>
      </c>
      <c r="G77" s="617">
        <f>-0.15*0.4*5+0.15*0.4</f>
        <v>-0.24</v>
      </c>
      <c r="H77" s="592">
        <f t="shared" ref="H77:H85" si="50">((2*F77)*D77)+G77</f>
        <v>3.92</v>
      </c>
      <c r="I77" s="592"/>
      <c r="J77" s="592">
        <f>((D77*E77*F77)*B77)+I77</f>
        <v>0.31200000000000006</v>
      </c>
      <c r="K77" s="592">
        <f t="shared" ref="K77:K85" si="51">D77*E77*0.05</f>
        <v>3.9000000000000007E-2</v>
      </c>
      <c r="L77" s="592">
        <f>1.84+0.35</f>
        <v>2.19</v>
      </c>
      <c r="M77" s="592">
        <f t="shared" ref="M77:M85" si="52">L77*(E77+0.3)*(F77+0.05)</f>
        <v>0.44347499999999995</v>
      </c>
      <c r="N77" s="592">
        <f t="shared" ref="N77:N85" si="53">M77-(L77*E77*(F77+0.05))</f>
        <v>0.29564999999999997</v>
      </c>
      <c r="O77" s="616">
        <f t="shared" ref="O77:O85" si="54">D77*(E77+(F77*2))</f>
        <v>4.9400000000000004</v>
      </c>
      <c r="P77" s="718"/>
      <c r="Q77" s="716"/>
      <c r="R77" s="209"/>
      <c r="S77" s="210"/>
      <c r="T77" s="209"/>
    </row>
    <row r="78" spans="1:20" s="157" customFormat="1" x14ac:dyDescent="0.3">
      <c r="A78" s="494" t="s">
        <v>334</v>
      </c>
      <c r="B78" s="495">
        <v>1</v>
      </c>
      <c r="C78" s="495" t="s">
        <v>42</v>
      </c>
      <c r="D78" s="510">
        <v>6.95</v>
      </c>
      <c r="E78" s="614">
        <v>0.15</v>
      </c>
      <c r="F78" s="614">
        <v>0.4</v>
      </c>
      <c r="G78" s="592">
        <f>-0.15*0.4*4</f>
        <v>-0.24</v>
      </c>
      <c r="H78" s="592">
        <f t="shared" si="50"/>
        <v>5.32</v>
      </c>
      <c r="I78" s="592"/>
      <c r="J78" s="592">
        <f t="shared" ref="J78" si="55">((D78*E78*F78)*B78)+I78</f>
        <v>0.41700000000000004</v>
      </c>
      <c r="K78" s="592">
        <f t="shared" si="51"/>
        <v>5.2125000000000005E-2</v>
      </c>
      <c r="L78" s="592">
        <v>5.5</v>
      </c>
      <c r="M78" s="592">
        <f t="shared" si="52"/>
        <v>1.1137499999999998</v>
      </c>
      <c r="N78" s="592">
        <f t="shared" si="53"/>
        <v>0.74249999999999983</v>
      </c>
      <c r="O78" s="616">
        <f t="shared" si="54"/>
        <v>6.6025000000000009</v>
      </c>
      <c r="P78" s="718"/>
      <c r="Q78" s="716"/>
      <c r="R78" s="209"/>
      <c r="S78" s="210"/>
      <c r="T78" s="209"/>
    </row>
    <row r="79" spans="1:20" s="157" customFormat="1" x14ac:dyDescent="0.3">
      <c r="A79" s="494" t="s">
        <v>335</v>
      </c>
      <c r="B79" s="495">
        <v>1</v>
      </c>
      <c r="C79" s="495" t="s">
        <v>42</v>
      </c>
      <c r="D79" s="510">
        <v>4.0999999999999996</v>
      </c>
      <c r="E79" s="614">
        <v>0.15</v>
      </c>
      <c r="F79" s="614">
        <v>0.4</v>
      </c>
      <c r="G79" s="592">
        <f>-0.15*0.4*2-0.25*0.4</f>
        <v>-0.22</v>
      </c>
      <c r="H79" s="592">
        <f t="shared" si="50"/>
        <v>3.0599999999999996</v>
      </c>
      <c r="I79" s="617"/>
      <c r="J79" s="592">
        <f>((D79*E79*F79)*B79)+I79</f>
        <v>0.24599999999999997</v>
      </c>
      <c r="K79" s="592">
        <f t="shared" si="51"/>
        <v>3.0749999999999996E-2</v>
      </c>
      <c r="L79" s="592">
        <v>1.29</v>
      </c>
      <c r="M79" s="592">
        <f t="shared" si="52"/>
        <v>0.26122499999999998</v>
      </c>
      <c r="N79" s="592">
        <f t="shared" si="53"/>
        <v>0.17414999999999997</v>
      </c>
      <c r="O79" s="616">
        <f t="shared" si="54"/>
        <v>3.895</v>
      </c>
      <c r="P79" s="718"/>
      <c r="Q79" s="716"/>
      <c r="R79" s="209"/>
      <c r="S79" s="210"/>
      <c r="T79" s="209"/>
    </row>
    <row r="80" spans="1:20" s="157" customFormat="1" x14ac:dyDescent="0.3">
      <c r="A80" s="494" t="s">
        <v>336</v>
      </c>
      <c r="B80" s="495">
        <v>1</v>
      </c>
      <c r="C80" s="495" t="s">
        <v>42</v>
      </c>
      <c r="D80" s="510">
        <f>5.85+3.85+0.65</f>
        <v>10.35</v>
      </c>
      <c r="E80" s="614">
        <v>0.15</v>
      </c>
      <c r="F80" s="614">
        <v>0.4</v>
      </c>
      <c r="G80" s="617">
        <f>0.05*0.4+0.1*0.4*2</f>
        <v>0.10000000000000002</v>
      </c>
      <c r="H80" s="592">
        <f t="shared" si="50"/>
        <v>8.379999999999999</v>
      </c>
      <c r="I80" s="592">
        <f>0.05*0.4*0.35+0.01*0.4*0.55</f>
        <v>9.2000000000000016E-3</v>
      </c>
      <c r="J80" s="592">
        <f>((D80*E80*F80)*B80)+I80</f>
        <v>0.63019999999999998</v>
      </c>
      <c r="K80" s="592">
        <f t="shared" si="51"/>
        <v>7.7625E-2</v>
      </c>
      <c r="L80" s="592">
        <f>2.97+4.53</f>
        <v>7.5</v>
      </c>
      <c r="M80" s="592">
        <f t="shared" si="52"/>
        <v>1.5187499999999998</v>
      </c>
      <c r="N80" s="592">
        <f t="shared" si="53"/>
        <v>1.0124999999999997</v>
      </c>
      <c r="O80" s="616">
        <f t="shared" si="54"/>
        <v>9.8324999999999996</v>
      </c>
      <c r="P80" s="718"/>
      <c r="Q80" s="716"/>
      <c r="R80" s="209"/>
      <c r="S80" s="210"/>
      <c r="T80" s="209"/>
    </row>
    <row r="81" spans="1:20" s="157" customFormat="1" x14ac:dyDescent="0.3">
      <c r="A81" s="494" t="s">
        <v>337</v>
      </c>
      <c r="B81" s="495">
        <v>1</v>
      </c>
      <c r="C81" s="495" t="s">
        <v>42</v>
      </c>
      <c r="D81" s="510">
        <v>0.65</v>
      </c>
      <c r="E81" s="614">
        <v>0.15</v>
      </c>
      <c r="F81" s="614">
        <v>0.4</v>
      </c>
      <c r="G81" s="592"/>
      <c r="H81" s="592">
        <f t="shared" si="50"/>
        <v>0.52</v>
      </c>
      <c r="I81" s="592"/>
      <c r="J81" s="592">
        <f t="shared" ref="J81:J82" si="56">((D81*E81*F81)*B81)+I81</f>
        <v>3.9000000000000007E-2</v>
      </c>
      <c r="K81" s="592">
        <f t="shared" si="51"/>
        <v>4.8750000000000009E-3</v>
      </c>
      <c r="L81" s="592">
        <v>0.35</v>
      </c>
      <c r="M81" s="592">
        <f t="shared" si="52"/>
        <v>7.0874999999999994E-2</v>
      </c>
      <c r="N81" s="592">
        <f t="shared" si="53"/>
        <v>4.7249999999999993E-2</v>
      </c>
      <c r="O81" s="616">
        <f t="shared" si="54"/>
        <v>0.61750000000000005</v>
      </c>
      <c r="P81" s="718"/>
      <c r="Q81" s="716"/>
      <c r="R81" s="209"/>
      <c r="S81" s="210"/>
      <c r="T81" s="209"/>
    </row>
    <row r="82" spans="1:20" s="157" customFormat="1" x14ac:dyDescent="0.3">
      <c r="A82" s="494" t="s">
        <v>338</v>
      </c>
      <c r="B82" s="495">
        <v>1</v>
      </c>
      <c r="C82" s="495" t="s">
        <v>42</v>
      </c>
      <c r="D82" s="510">
        <v>0.65</v>
      </c>
      <c r="E82" s="614">
        <v>0.15</v>
      </c>
      <c r="F82" s="614">
        <v>0.4</v>
      </c>
      <c r="G82" s="592"/>
      <c r="H82" s="592">
        <f t="shared" si="50"/>
        <v>0.52</v>
      </c>
      <c r="I82" s="592"/>
      <c r="J82" s="592">
        <f t="shared" si="56"/>
        <v>3.9000000000000007E-2</v>
      </c>
      <c r="K82" s="592">
        <f t="shared" si="51"/>
        <v>4.8750000000000009E-3</v>
      </c>
      <c r="L82" s="592">
        <v>0.35</v>
      </c>
      <c r="M82" s="592">
        <f t="shared" si="52"/>
        <v>7.0874999999999994E-2</v>
      </c>
      <c r="N82" s="592">
        <f t="shared" si="53"/>
        <v>4.7249999999999993E-2</v>
      </c>
      <c r="O82" s="616">
        <f t="shared" si="54"/>
        <v>0.61750000000000005</v>
      </c>
      <c r="P82" s="718"/>
      <c r="Q82" s="716"/>
      <c r="R82" s="209"/>
      <c r="S82" s="210"/>
      <c r="T82" s="209"/>
    </row>
    <row r="83" spans="1:20" s="157" customFormat="1" x14ac:dyDescent="0.3">
      <c r="A83" s="494" t="s">
        <v>339</v>
      </c>
      <c r="B83" s="495">
        <v>1</v>
      </c>
      <c r="C83" s="495" t="s">
        <v>42</v>
      </c>
      <c r="D83" s="510">
        <f>1.85+3.8+3.8+0.65</f>
        <v>10.1</v>
      </c>
      <c r="E83" s="614">
        <v>0.15</v>
      </c>
      <c r="F83" s="614">
        <v>0.4</v>
      </c>
      <c r="G83" s="592"/>
      <c r="H83" s="592">
        <f t="shared" si="50"/>
        <v>8.08</v>
      </c>
      <c r="I83" s="617"/>
      <c r="J83" s="592">
        <f>((D83*E83*F83)*B83)+I83</f>
        <v>0.60599999999999998</v>
      </c>
      <c r="K83" s="592">
        <f t="shared" si="51"/>
        <v>7.5749999999999998E-2</v>
      </c>
      <c r="L83" s="592">
        <f>0.58+2.7+2.97</f>
        <v>6.25</v>
      </c>
      <c r="M83" s="592">
        <f t="shared" si="52"/>
        <v>1.2656249999999998</v>
      </c>
      <c r="N83" s="592">
        <f t="shared" si="53"/>
        <v>0.84374999999999978</v>
      </c>
      <c r="O83" s="616">
        <f t="shared" si="54"/>
        <v>9.5950000000000006</v>
      </c>
      <c r="P83" s="718"/>
      <c r="Q83" s="716"/>
      <c r="R83" s="209"/>
      <c r="S83" s="210"/>
      <c r="T83" s="209"/>
    </row>
    <row r="84" spans="1:20" s="157" customFormat="1" x14ac:dyDescent="0.3">
      <c r="A84" s="494" t="s">
        <v>340</v>
      </c>
      <c r="B84" s="495">
        <v>1</v>
      </c>
      <c r="C84" s="495" t="s">
        <v>42</v>
      </c>
      <c r="D84" s="510">
        <v>0.65</v>
      </c>
      <c r="E84" s="614">
        <v>0.15</v>
      </c>
      <c r="F84" s="614">
        <v>0.4</v>
      </c>
      <c r="G84" s="617"/>
      <c r="H84" s="592">
        <f t="shared" si="50"/>
        <v>0.52</v>
      </c>
      <c r="I84" s="592"/>
      <c r="J84" s="592">
        <f>((D84*E84*F84)*B84)+I84</f>
        <v>3.9000000000000007E-2</v>
      </c>
      <c r="K84" s="592">
        <f t="shared" si="51"/>
        <v>4.8750000000000009E-3</v>
      </c>
      <c r="L84" s="592">
        <v>0.35</v>
      </c>
      <c r="M84" s="592">
        <f t="shared" si="52"/>
        <v>7.0874999999999994E-2</v>
      </c>
      <c r="N84" s="592">
        <f t="shared" si="53"/>
        <v>4.7249999999999993E-2</v>
      </c>
      <c r="O84" s="616">
        <f t="shared" si="54"/>
        <v>0.61750000000000005</v>
      </c>
      <c r="P84" s="718"/>
      <c r="Q84" s="716"/>
      <c r="R84" s="209"/>
      <c r="S84" s="210"/>
      <c r="T84" s="209"/>
    </row>
    <row r="85" spans="1:20" s="157" customFormat="1" x14ac:dyDescent="0.3">
      <c r="A85" s="494" t="s">
        <v>341</v>
      </c>
      <c r="B85" s="495">
        <v>1</v>
      </c>
      <c r="C85" s="495" t="s">
        <v>42</v>
      </c>
      <c r="D85" s="510">
        <v>0.65</v>
      </c>
      <c r="E85" s="614">
        <v>0.15</v>
      </c>
      <c r="F85" s="614">
        <v>0.4</v>
      </c>
      <c r="G85" s="592"/>
      <c r="H85" s="592">
        <f t="shared" si="50"/>
        <v>0.52</v>
      </c>
      <c r="I85" s="592"/>
      <c r="J85" s="592">
        <f t="shared" ref="J85" si="57">((D85*E85*F85)*B85)+I85</f>
        <v>3.9000000000000007E-2</v>
      </c>
      <c r="K85" s="592">
        <f t="shared" si="51"/>
        <v>4.8750000000000009E-3</v>
      </c>
      <c r="L85" s="592">
        <v>0.35</v>
      </c>
      <c r="M85" s="592">
        <f t="shared" si="52"/>
        <v>7.0874999999999994E-2</v>
      </c>
      <c r="N85" s="592">
        <f t="shared" si="53"/>
        <v>4.7249999999999993E-2</v>
      </c>
      <c r="O85" s="616">
        <f t="shared" si="54"/>
        <v>0.61750000000000005</v>
      </c>
      <c r="P85" s="718"/>
      <c r="Q85" s="716"/>
      <c r="R85" s="209"/>
      <c r="S85" s="210"/>
      <c r="T85" s="209"/>
    </row>
    <row r="86" spans="1:20" s="157" customFormat="1" x14ac:dyDescent="0.3">
      <c r="A86" s="494" t="s">
        <v>342</v>
      </c>
      <c r="B86" s="495">
        <v>1</v>
      </c>
      <c r="C86" s="495" t="s">
        <v>42</v>
      </c>
      <c r="D86" s="510">
        <v>3.75</v>
      </c>
      <c r="E86" s="614">
        <v>0.15</v>
      </c>
      <c r="F86" s="614">
        <v>0.4</v>
      </c>
      <c r="G86" s="617"/>
      <c r="H86" s="592">
        <f t="shared" ref="H86:H364" si="58">((2*F86)*D86)+G86</f>
        <v>3</v>
      </c>
      <c r="I86" s="592"/>
      <c r="J86" s="592">
        <f>((D86*E86*F86)*B86)+I86</f>
        <v>0.22500000000000001</v>
      </c>
      <c r="K86" s="592">
        <f t="shared" ref="K86:K364" si="59">D86*E86*0.05</f>
        <v>2.8125000000000001E-2</v>
      </c>
      <c r="L86" s="592">
        <v>2.08</v>
      </c>
      <c r="M86" s="592">
        <f t="shared" ref="M86:M364" si="60">L86*(E86+0.3)*(F86+0.05)</f>
        <v>0.42119999999999996</v>
      </c>
      <c r="N86" s="592">
        <f t="shared" ref="N86:N364" si="61">M86-(L86*E86*(F86+0.05))</f>
        <v>0.28079999999999994</v>
      </c>
      <c r="O86" s="616">
        <f t="shared" ref="O86:O364" si="62">D86*(E86+(F86*2))</f>
        <v>3.5625000000000004</v>
      </c>
      <c r="P86" s="718"/>
      <c r="Q86" s="716"/>
      <c r="R86" s="209"/>
      <c r="S86" s="210"/>
      <c r="T86" s="209"/>
    </row>
    <row r="87" spans="1:20" s="157" customFormat="1" x14ac:dyDescent="0.3">
      <c r="A87" s="494" t="s">
        <v>343</v>
      </c>
      <c r="B87" s="495">
        <v>1</v>
      </c>
      <c r="C87" s="495" t="s">
        <v>42</v>
      </c>
      <c r="D87" s="510">
        <v>3.8</v>
      </c>
      <c r="E87" s="614">
        <v>0.15</v>
      </c>
      <c r="F87" s="614">
        <v>0.4</v>
      </c>
      <c r="G87" s="592"/>
      <c r="H87" s="592">
        <f t="shared" si="58"/>
        <v>3.04</v>
      </c>
      <c r="I87" s="592"/>
      <c r="J87" s="592">
        <f t="shared" ref="J87" si="63">((D87*E87*F87)*B87)+I87</f>
        <v>0.22799999999999998</v>
      </c>
      <c r="K87" s="592">
        <f t="shared" si="59"/>
        <v>2.8499999999999998E-2</v>
      </c>
      <c r="L87" s="592">
        <v>2.13</v>
      </c>
      <c r="M87" s="592">
        <f t="shared" si="60"/>
        <v>0.43132499999999996</v>
      </c>
      <c r="N87" s="592">
        <f t="shared" si="61"/>
        <v>0.28754999999999997</v>
      </c>
      <c r="O87" s="616">
        <f t="shared" si="62"/>
        <v>3.61</v>
      </c>
      <c r="P87" s="718"/>
      <c r="Q87" s="716"/>
      <c r="R87" s="209"/>
      <c r="S87" s="210"/>
      <c r="T87" s="209"/>
    </row>
    <row r="88" spans="1:20" s="157" customFormat="1" x14ac:dyDescent="0.3">
      <c r="A88" s="494" t="s">
        <v>344</v>
      </c>
      <c r="B88" s="495">
        <v>1</v>
      </c>
      <c r="C88" s="495" t="s">
        <v>42</v>
      </c>
      <c r="D88" s="510">
        <v>0.65</v>
      </c>
      <c r="E88" s="614">
        <v>0.15</v>
      </c>
      <c r="F88" s="614">
        <v>0.4</v>
      </c>
      <c r="G88" s="592"/>
      <c r="H88" s="592">
        <f t="shared" si="58"/>
        <v>0.52</v>
      </c>
      <c r="I88" s="617"/>
      <c r="J88" s="592">
        <f>((D88*E88*F88)*B88)+I88</f>
        <v>3.9000000000000007E-2</v>
      </c>
      <c r="K88" s="592">
        <f t="shared" si="59"/>
        <v>4.8750000000000009E-3</v>
      </c>
      <c r="L88" s="592">
        <v>0.35</v>
      </c>
      <c r="M88" s="592">
        <f t="shared" si="60"/>
        <v>7.0874999999999994E-2</v>
      </c>
      <c r="N88" s="592">
        <f t="shared" si="61"/>
        <v>4.7249999999999993E-2</v>
      </c>
      <c r="O88" s="616">
        <f t="shared" si="62"/>
        <v>0.61750000000000005</v>
      </c>
      <c r="P88" s="718"/>
      <c r="Q88" s="716"/>
      <c r="R88" s="209"/>
      <c r="S88" s="210"/>
      <c r="T88" s="209"/>
    </row>
    <row r="89" spans="1:20" s="157" customFormat="1" x14ac:dyDescent="0.3">
      <c r="A89" s="494" t="s">
        <v>345</v>
      </c>
      <c r="B89" s="495">
        <v>1</v>
      </c>
      <c r="C89" s="495" t="s">
        <v>42</v>
      </c>
      <c r="D89" s="510">
        <v>0.65</v>
      </c>
      <c r="E89" s="614">
        <v>0.15</v>
      </c>
      <c r="F89" s="614">
        <v>0.4</v>
      </c>
      <c r="G89" s="617"/>
      <c r="H89" s="592">
        <f t="shared" si="58"/>
        <v>0.52</v>
      </c>
      <c r="I89" s="592"/>
      <c r="J89" s="592">
        <f>((D89*E89*F89)*B89)+I89</f>
        <v>3.9000000000000007E-2</v>
      </c>
      <c r="K89" s="592">
        <f t="shared" si="59"/>
        <v>4.8750000000000009E-3</v>
      </c>
      <c r="L89" s="592">
        <v>0</v>
      </c>
      <c r="M89" s="592">
        <f t="shared" si="60"/>
        <v>0</v>
      </c>
      <c r="N89" s="592">
        <f t="shared" si="61"/>
        <v>0</v>
      </c>
      <c r="O89" s="616">
        <f t="shared" si="62"/>
        <v>0.61750000000000005</v>
      </c>
      <c r="P89" s="718"/>
      <c r="Q89" s="716"/>
      <c r="R89" s="209"/>
      <c r="S89" s="210"/>
      <c r="T89" s="209"/>
    </row>
    <row r="90" spans="1:20" s="157" customFormat="1" x14ac:dyDescent="0.3">
      <c r="A90" s="494" t="s">
        <v>346</v>
      </c>
      <c r="B90" s="495">
        <v>1</v>
      </c>
      <c r="C90" s="495" t="s">
        <v>42</v>
      </c>
      <c r="D90" s="510">
        <f>1.85+3.8+3.8+0.65</f>
        <v>10.1</v>
      </c>
      <c r="E90" s="614">
        <v>0.15</v>
      </c>
      <c r="F90" s="614">
        <v>0.4</v>
      </c>
      <c r="G90" s="592"/>
      <c r="H90" s="592">
        <f t="shared" si="58"/>
        <v>8.08</v>
      </c>
      <c r="I90" s="592"/>
      <c r="J90" s="592">
        <f t="shared" ref="J90:J91" si="64">((D90*E90*F90)*B90)+I90</f>
        <v>0.60599999999999998</v>
      </c>
      <c r="K90" s="592">
        <f t="shared" si="59"/>
        <v>7.5749999999999998E-2</v>
      </c>
      <c r="L90" s="592">
        <f>0.58+2.7+2.97</f>
        <v>6.25</v>
      </c>
      <c r="M90" s="592">
        <f t="shared" si="60"/>
        <v>1.2656249999999998</v>
      </c>
      <c r="N90" s="592">
        <f t="shared" si="61"/>
        <v>0.84374999999999978</v>
      </c>
      <c r="O90" s="616">
        <f t="shared" si="62"/>
        <v>9.5950000000000006</v>
      </c>
      <c r="P90" s="718"/>
      <c r="Q90" s="716"/>
      <c r="R90" s="209"/>
      <c r="S90" s="210"/>
      <c r="T90" s="209"/>
    </row>
    <row r="91" spans="1:20" s="157" customFormat="1" x14ac:dyDescent="0.3">
      <c r="A91" s="494" t="s">
        <v>347</v>
      </c>
      <c r="B91" s="495">
        <v>1</v>
      </c>
      <c r="C91" s="495" t="s">
        <v>42</v>
      </c>
      <c r="D91" s="510">
        <v>0.65</v>
      </c>
      <c r="E91" s="614">
        <v>0.15</v>
      </c>
      <c r="F91" s="614">
        <v>0.4</v>
      </c>
      <c r="G91" s="592"/>
      <c r="H91" s="592">
        <f t="shared" si="58"/>
        <v>0.52</v>
      </c>
      <c r="I91" s="592"/>
      <c r="J91" s="592">
        <f t="shared" si="64"/>
        <v>3.9000000000000007E-2</v>
      </c>
      <c r="K91" s="592">
        <f t="shared" si="59"/>
        <v>4.8750000000000009E-3</v>
      </c>
      <c r="L91" s="592">
        <v>0</v>
      </c>
      <c r="M91" s="592">
        <f t="shared" si="60"/>
        <v>0</v>
      </c>
      <c r="N91" s="592">
        <f t="shared" si="61"/>
        <v>0</v>
      </c>
      <c r="O91" s="616">
        <f t="shared" si="62"/>
        <v>0.61750000000000005</v>
      </c>
      <c r="P91" s="718"/>
      <c r="Q91" s="716"/>
      <c r="R91" s="209"/>
      <c r="S91" s="210"/>
      <c r="T91" s="209"/>
    </row>
    <row r="92" spans="1:20" s="157" customFormat="1" x14ac:dyDescent="0.3">
      <c r="A92" s="494" t="s">
        <v>348</v>
      </c>
      <c r="B92" s="495">
        <v>1</v>
      </c>
      <c r="C92" s="495" t="s">
        <v>42</v>
      </c>
      <c r="D92" s="510">
        <v>0.65</v>
      </c>
      <c r="E92" s="614">
        <v>0.15</v>
      </c>
      <c r="F92" s="614">
        <v>0.4</v>
      </c>
      <c r="G92" s="592"/>
      <c r="H92" s="592">
        <f t="shared" si="58"/>
        <v>0.52</v>
      </c>
      <c r="I92" s="617"/>
      <c r="J92" s="592">
        <f>((D92*E92*F92)*B92)+I92</f>
        <v>3.9000000000000007E-2</v>
      </c>
      <c r="K92" s="592">
        <f t="shared" si="59"/>
        <v>4.8750000000000009E-3</v>
      </c>
      <c r="L92" s="592">
        <v>0.35</v>
      </c>
      <c r="M92" s="592">
        <f t="shared" si="60"/>
        <v>7.0874999999999994E-2</v>
      </c>
      <c r="N92" s="592">
        <f t="shared" si="61"/>
        <v>4.7249999999999993E-2</v>
      </c>
      <c r="O92" s="616">
        <f t="shared" si="62"/>
        <v>0.61750000000000005</v>
      </c>
      <c r="P92" s="718"/>
      <c r="Q92" s="716"/>
      <c r="R92" s="209"/>
      <c r="S92" s="210"/>
      <c r="T92" s="209"/>
    </row>
    <row r="93" spans="1:20" s="157" customFormat="1" ht="15" thickBot="1" x14ac:dyDescent="0.35">
      <c r="A93" s="494" t="s">
        <v>349</v>
      </c>
      <c r="B93" s="495">
        <v>1</v>
      </c>
      <c r="C93" s="495" t="s">
        <v>42</v>
      </c>
      <c r="D93" s="510">
        <f>5.85+3.85+0.65</f>
        <v>10.35</v>
      </c>
      <c r="E93" s="614">
        <v>0.15</v>
      </c>
      <c r="F93" s="614">
        <v>0.4</v>
      </c>
      <c r="G93" s="617">
        <f>0.1*0.4*3</f>
        <v>0.12000000000000002</v>
      </c>
      <c r="H93" s="592">
        <f t="shared" si="58"/>
        <v>8.3999999999999986</v>
      </c>
      <c r="I93" s="592">
        <f>0.01*0.4*0.35+0.01*0.4*0.55+0.01*0.4*0.65</f>
        <v>6.2000000000000006E-3</v>
      </c>
      <c r="J93" s="592">
        <f>((D93*E93*F93)*B93)+I93</f>
        <v>0.62719999999999998</v>
      </c>
      <c r="K93" s="592">
        <f t="shared" si="59"/>
        <v>7.7625E-2</v>
      </c>
      <c r="L93" s="592">
        <f>2.97+4.53</f>
        <v>7.5</v>
      </c>
      <c r="M93" s="592">
        <f t="shared" si="60"/>
        <v>1.5187499999999998</v>
      </c>
      <c r="N93" s="592">
        <f t="shared" si="61"/>
        <v>1.0124999999999997</v>
      </c>
      <c r="O93" s="616">
        <f t="shared" si="62"/>
        <v>9.8324999999999996</v>
      </c>
      <c r="P93" s="718"/>
      <c r="Q93" s="716"/>
      <c r="R93" s="209"/>
      <c r="S93" s="210"/>
      <c r="T93" s="209"/>
    </row>
    <row r="94" spans="1:20" s="62" customFormat="1" x14ac:dyDescent="0.3">
      <c r="A94" s="698" t="s">
        <v>422</v>
      </c>
      <c r="B94" s="699"/>
      <c r="C94" s="699"/>
      <c r="D94" s="699"/>
      <c r="E94" s="699"/>
      <c r="F94" s="699"/>
      <c r="G94" s="699"/>
      <c r="H94" s="699"/>
      <c r="I94" s="699"/>
      <c r="J94" s="699"/>
      <c r="K94" s="699"/>
      <c r="L94" s="699"/>
      <c r="M94" s="699"/>
      <c r="N94" s="699"/>
      <c r="O94" s="700"/>
      <c r="P94" s="718"/>
      <c r="Q94" s="716"/>
    </row>
    <row r="95" spans="1:20" s="157" customFormat="1" x14ac:dyDescent="0.3">
      <c r="A95" s="494" t="s">
        <v>423</v>
      </c>
      <c r="B95" s="495">
        <v>1</v>
      </c>
      <c r="C95" s="495" t="s">
        <v>42</v>
      </c>
      <c r="D95" s="510">
        <v>18.149999999999999</v>
      </c>
      <c r="E95" s="614">
        <v>0.15</v>
      </c>
      <c r="F95" s="614">
        <v>0.4</v>
      </c>
      <c r="G95" s="592">
        <f>-0.15*0.4*4+0.05*0.4*2</f>
        <v>-0.19999999999999998</v>
      </c>
      <c r="H95" s="592">
        <f t="shared" si="58"/>
        <v>14.32</v>
      </c>
      <c r="I95" s="592">
        <f>0.05*0.4*0.4</f>
        <v>8.0000000000000019E-3</v>
      </c>
      <c r="J95" s="592">
        <f t="shared" ref="J95" si="65">((D95*E95*F95)*B95)+I95</f>
        <v>1.097</v>
      </c>
      <c r="K95" s="592">
        <f t="shared" si="59"/>
        <v>0.136125</v>
      </c>
      <c r="L95" s="592">
        <f>0.75+1.95+2.05+2.7+2.7</f>
        <v>10.15</v>
      </c>
      <c r="M95" s="592">
        <f t="shared" si="60"/>
        <v>2.0553750000000002</v>
      </c>
      <c r="N95" s="592">
        <f t="shared" si="61"/>
        <v>1.3702500000000002</v>
      </c>
      <c r="O95" s="616">
        <f t="shared" si="62"/>
        <v>17.2425</v>
      </c>
      <c r="P95" s="718"/>
      <c r="Q95" s="716"/>
      <c r="R95" s="209"/>
      <c r="S95" s="210"/>
      <c r="T95" s="209"/>
    </row>
    <row r="96" spans="1:20" s="157" customFormat="1" x14ac:dyDescent="0.3">
      <c r="A96" s="494" t="s">
        <v>424</v>
      </c>
      <c r="B96" s="495">
        <v>1</v>
      </c>
      <c r="C96" s="495" t="s">
        <v>42</v>
      </c>
      <c r="D96" s="510">
        <v>12.05</v>
      </c>
      <c r="E96" s="614">
        <v>0.15</v>
      </c>
      <c r="F96" s="614">
        <v>0.4</v>
      </c>
      <c r="G96" s="617">
        <f>-0.15*0.4-0.2*0.4</f>
        <v>-0.14000000000000001</v>
      </c>
      <c r="H96" s="592">
        <f t="shared" si="58"/>
        <v>9.5</v>
      </c>
      <c r="I96" s="592"/>
      <c r="J96" s="592">
        <f>((D96*E96*F96)*B96)+I96</f>
        <v>0.72300000000000009</v>
      </c>
      <c r="K96" s="592">
        <f t="shared" si="59"/>
        <v>9.0375000000000011E-2</v>
      </c>
      <c r="L96" s="592">
        <f>6.7+2.73</f>
        <v>9.43</v>
      </c>
      <c r="M96" s="592">
        <f t="shared" si="60"/>
        <v>1.9095749999999996</v>
      </c>
      <c r="N96" s="592">
        <f t="shared" si="61"/>
        <v>1.2730499999999996</v>
      </c>
      <c r="O96" s="616">
        <f t="shared" si="62"/>
        <v>11.447500000000002</v>
      </c>
      <c r="P96" s="718"/>
      <c r="Q96" s="716"/>
      <c r="R96" s="209"/>
      <c r="S96" s="210"/>
      <c r="T96" s="209"/>
    </row>
    <row r="97" spans="1:20" s="157" customFormat="1" x14ac:dyDescent="0.3">
      <c r="A97" s="494" t="s">
        <v>425</v>
      </c>
      <c r="B97" s="495">
        <v>1</v>
      </c>
      <c r="C97" s="495" t="s">
        <v>42</v>
      </c>
      <c r="D97" s="510">
        <v>6.15</v>
      </c>
      <c r="E97" s="614">
        <v>0.15</v>
      </c>
      <c r="F97" s="614">
        <v>0.4</v>
      </c>
      <c r="G97" s="592">
        <f>-0.15*0.4*3+0.05*0.4*2</f>
        <v>-0.13999999999999999</v>
      </c>
      <c r="H97" s="592">
        <f t="shared" si="58"/>
        <v>4.7800000000000011</v>
      </c>
      <c r="I97" s="592">
        <f>0.05*0.4*0.4</f>
        <v>8.0000000000000019E-3</v>
      </c>
      <c r="J97" s="592">
        <f t="shared" ref="J97" si="66">((D97*E97*F97)*B97)+I97</f>
        <v>0.377</v>
      </c>
      <c r="K97" s="592">
        <f t="shared" si="59"/>
        <v>4.6124999999999999E-2</v>
      </c>
      <c r="L97" s="592">
        <f>0.75+1.95</f>
        <v>2.7</v>
      </c>
      <c r="M97" s="592">
        <f t="shared" si="60"/>
        <v>0.54674999999999996</v>
      </c>
      <c r="N97" s="592">
        <f t="shared" si="61"/>
        <v>0.36449999999999994</v>
      </c>
      <c r="O97" s="616">
        <f t="shared" si="62"/>
        <v>5.8425000000000011</v>
      </c>
      <c r="P97" s="718"/>
      <c r="Q97" s="716"/>
      <c r="R97" s="209"/>
      <c r="S97" s="210"/>
      <c r="T97" s="209"/>
    </row>
    <row r="98" spans="1:20" s="157" customFormat="1" x14ac:dyDescent="0.3">
      <c r="A98" s="494" t="s">
        <v>426</v>
      </c>
      <c r="B98" s="495">
        <v>1</v>
      </c>
      <c r="C98" s="495" t="s">
        <v>42</v>
      </c>
      <c r="D98" s="510">
        <v>4.1500000000000004</v>
      </c>
      <c r="E98" s="614">
        <v>0.15</v>
      </c>
      <c r="F98" s="614">
        <v>0.4</v>
      </c>
      <c r="G98" s="592">
        <f>-0.15*0.4*2+0.05*0.4*2</f>
        <v>-7.9999999999999988E-2</v>
      </c>
      <c r="H98" s="592">
        <f t="shared" si="58"/>
        <v>3.24</v>
      </c>
      <c r="I98" s="592">
        <f>0.05*0.4*0.4</f>
        <v>8.0000000000000019E-3</v>
      </c>
      <c r="J98" s="592">
        <f>((D98*E98*F98)*B98)+I98</f>
        <v>0.25700000000000001</v>
      </c>
      <c r="K98" s="592">
        <f t="shared" si="59"/>
        <v>3.1125000000000003E-2</v>
      </c>
      <c r="L98" s="592">
        <v>2.4500000000000002</v>
      </c>
      <c r="M98" s="592">
        <f t="shared" si="60"/>
        <v>0.49612500000000004</v>
      </c>
      <c r="N98" s="592">
        <f t="shared" si="61"/>
        <v>0.33075000000000004</v>
      </c>
      <c r="O98" s="616">
        <f t="shared" si="62"/>
        <v>3.9425000000000008</v>
      </c>
      <c r="P98" s="718"/>
      <c r="Q98" s="716"/>
      <c r="R98" s="209"/>
      <c r="S98" s="210"/>
      <c r="T98" s="209"/>
    </row>
    <row r="99" spans="1:20" s="157" customFormat="1" x14ac:dyDescent="0.3">
      <c r="A99" s="494" t="s">
        <v>427</v>
      </c>
      <c r="B99" s="495">
        <v>1</v>
      </c>
      <c r="C99" s="495" t="s">
        <v>42</v>
      </c>
      <c r="D99" s="510">
        <v>8.15</v>
      </c>
      <c r="E99" s="614">
        <v>0.15</v>
      </c>
      <c r="F99" s="614">
        <v>0.4</v>
      </c>
      <c r="G99" s="617">
        <f>-0.15*0.4*4+0.05*0.4*2</f>
        <v>-0.19999999999999998</v>
      </c>
      <c r="H99" s="592">
        <f t="shared" si="58"/>
        <v>6.32</v>
      </c>
      <c r="I99" s="592">
        <f>0.05*0.4*0.6</f>
        <v>1.2000000000000002E-2</v>
      </c>
      <c r="J99" s="592">
        <f>((D99*E99*F99)*B99)+I99</f>
        <v>0.501</v>
      </c>
      <c r="K99" s="592">
        <f t="shared" si="59"/>
        <v>6.1124999999999999E-2</v>
      </c>
      <c r="L99" s="592">
        <f>2.53+2.63</f>
        <v>5.16</v>
      </c>
      <c r="M99" s="592">
        <f t="shared" si="60"/>
        <v>1.0448999999999999</v>
      </c>
      <c r="N99" s="592">
        <f t="shared" si="61"/>
        <v>0.69659999999999989</v>
      </c>
      <c r="O99" s="616">
        <f t="shared" si="62"/>
        <v>7.7425000000000006</v>
      </c>
      <c r="P99" s="718"/>
      <c r="Q99" s="716"/>
      <c r="R99" s="209"/>
      <c r="S99" s="210"/>
      <c r="T99" s="209"/>
    </row>
    <row r="100" spans="1:20" s="157" customFormat="1" x14ac:dyDescent="0.3">
      <c r="A100" s="494" t="s">
        <v>428</v>
      </c>
      <c r="B100" s="495">
        <v>1</v>
      </c>
      <c r="C100" s="495" t="s">
        <v>42</v>
      </c>
      <c r="D100" s="510">
        <v>6</v>
      </c>
      <c r="E100" s="614">
        <v>0.15</v>
      </c>
      <c r="F100" s="614">
        <v>0.4</v>
      </c>
      <c r="G100" s="592">
        <f>-0.15*0.4*3</f>
        <v>-0.18</v>
      </c>
      <c r="H100" s="592">
        <f t="shared" si="58"/>
        <v>4.620000000000001</v>
      </c>
      <c r="I100" s="592"/>
      <c r="J100" s="592">
        <f t="shared" ref="J100:J101" si="67">((D100*E100*F100)*B100)+I100</f>
        <v>0.36</v>
      </c>
      <c r="K100" s="592">
        <f t="shared" si="59"/>
        <v>4.4999999999999998E-2</v>
      </c>
      <c r="L100" s="592">
        <f>0.68+2.85</f>
        <v>3.5300000000000002</v>
      </c>
      <c r="M100" s="592">
        <f t="shared" si="60"/>
        <v>0.71482500000000004</v>
      </c>
      <c r="N100" s="592">
        <f t="shared" si="61"/>
        <v>0.47655000000000003</v>
      </c>
      <c r="O100" s="616">
        <f t="shared" si="62"/>
        <v>5.7</v>
      </c>
      <c r="P100" s="718"/>
      <c r="Q100" s="716"/>
      <c r="R100" s="209"/>
      <c r="S100" s="210"/>
      <c r="T100" s="209"/>
    </row>
    <row r="101" spans="1:20" s="157" customFormat="1" x14ac:dyDescent="0.3">
      <c r="A101" s="494" t="s">
        <v>429</v>
      </c>
      <c r="B101" s="495">
        <v>1</v>
      </c>
      <c r="C101" s="495" t="s">
        <v>42</v>
      </c>
      <c r="D101" s="510">
        <v>3.88</v>
      </c>
      <c r="E101" s="614">
        <v>0.15</v>
      </c>
      <c r="F101" s="614">
        <v>0.4</v>
      </c>
      <c r="G101" s="592">
        <f>-0.15*0.4*2</f>
        <v>-0.12</v>
      </c>
      <c r="H101" s="592">
        <f t="shared" si="58"/>
        <v>2.984</v>
      </c>
      <c r="I101" s="592"/>
      <c r="J101" s="592">
        <f t="shared" si="67"/>
        <v>0.23280000000000001</v>
      </c>
      <c r="K101" s="592">
        <f t="shared" si="59"/>
        <v>2.9100000000000001E-2</v>
      </c>
      <c r="L101" s="592">
        <f>1.3+2.43</f>
        <v>3.7300000000000004</v>
      </c>
      <c r="M101" s="592">
        <f t="shared" si="60"/>
        <v>0.75532500000000002</v>
      </c>
      <c r="N101" s="592">
        <f t="shared" si="61"/>
        <v>0.50354999999999994</v>
      </c>
      <c r="O101" s="616">
        <f t="shared" si="62"/>
        <v>3.6859999999999999</v>
      </c>
      <c r="P101" s="718"/>
      <c r="Q101" s="716"/>
      <c r="R101" s="209"/>
      <c r="S101" s="210"/>
      <c r="T101" s="209"/>
    </row>
    <row r="102" spans="1:20" s="157" customFormat="1" x14ac:dyDescent="0.3">
      <c r="A102" s="494" t="s">
        <v>430</v>
      </c>
      <c r="B102" s="495">
        <v>1</v>
      </c>
      <c r="C102" s="495" t="s">
        <v>42</v>
      </c>
      <c r="D102" s="510">
        <v>8.1999999999999993</v>
      </c>
      <c r="E102" s="614">
        <v>0.15</v>
      </c>
      <c r="F102" s="614">
        <v>0.4</v>
      </c>
      <c r="G102" s="592">
        <f>-0.15*0.4*4+0.1*0.4*6</f>
        <v>0</v>
      </c>
      <c r="H102" s="592">
        <f t="shared" si="58"/>
        <v>6.56</v>
      </c>
      <c r="I102" s="617">
        <f>0.1*0.4*0.7+0.1*0.25*0.4</f>
        <v>3.8000000000000006E-2</v>
      </c>
      <c r="J102" s="592">
        <f>((D102*E102*F102)*B102)+I102</f>
        <v>0.52999999999999992</v>
      </c>
      <c r="K102" s="592">
        <f t="shared" si="59"/>
        <v>6.1499999999999992E-2</v>
      </c>
      <c r="L102" s="592">
        <f>1.83+2.1</f>
        <v>3.93</v>
      </c>
      <c r="M102" s="592">
        <f t="shared" si="60"/>
        <v>0.795825</v>
      </c>
      <c r="N102" s="592">
        <f t="shared" si="61"/>
        <v>0.53054999999999997</v>
      </c>
      <c r="O102" s="616">
        <f t="shared" si="62"/>
        <v>7.79</v>
      </c>
      <c r="P102" s="718"/>
      <c r="Q102" s="716"/>
      <c r="R102" s="209"/>
      <c r="S102" s="210"/>
      <c r="T102" s="209"/>
    </row>
    <row r="103" spans="1:20" s="157" customFormat="1" x14ac:dyDescent="0.3">
      <c r="A103" s="494" t="s">
        <v>431</v>
      </c>
      <c r="B103" s="495">
        <v>1</v>
      </c>
      <c r="C103" s="495" t="s">
        <v>42</v>
      </c>
      <c r="D103" s="510">
        <v>8.23</v>
      </c>
      <c r="E103" s="614">
        <v>0.15</v>
      </c>
      <c r="F103" s="614">
        <v>0.4</v>
      </c>
      <c r="G103" s="592">
        <f>-0.15*0.4*2+0.1*0.4*4</f>
        <v>4.0000000000000036E-2</v>
      </c>
      <c r="H103" s="592">
        <f t="shared" si="58"/>
        <v>6.6240000000000006</v>
      </c>
      <c r="I103" s="617">
        <f>0.1*0.4*0.7+0.1*0.25*0.4</f>
        <v>3.8000000000000006E-2</v>
      </c>
      <c r="J103" s="592">
        <f>((D103*E103*F103)*B103)+I103</f>
        <v>0.53180000000000005</v>
      </c>
      <c r="K103" s="592">
        <f t="shared" si="59"/>
        <v>6.1725000000000002E-2</v>
      </c>
      <c r="L103" s="592">
        <f>2.1+2.7</f>
        <v>4.8000000000000007</v>
      </c>
      <c r="M103" s="592">
        <f t="shared" si="60"/>
        <v>0.97200000000000009</v>
      </c>
      <c r="N103" s="592">
        <f t="shared" si="61"/>
        <v>0.64800000000000002</v>
      </c>
      <c r="O103" s="616">
        <f t="shared" si="62"/>
        <v>7.8185000000000011</v>
      </c>
      <c r="P103" s="718"/>
      <c r="Q103" s="716"/>
      <c r="R103" s="209"/>
      <c r="S103" s="210"/>
      <c r="T103" s="209"/>
    </row>
    <row r="104" spans="1:20" s="157" customFormat="1" x14ac:dyDescent="0.3">
      <c r="A104" s="494" t="s">
        <v>432</v>
      </c>
      <c r="B104" s="495">
        <v>1</v>
      </c>
      <c r="C104" s="495" t="s">
        <v>42</v>
      </c>
      <c r="D104" s="510">
        <v>7.78</v>
      </c>
      <c r="E104" s="614">
        <v>0.15</v>
      </c>
      <c r="F104" s="614">
        <v>0.4</v>
      </c>
      <c r="G104" s="592">
        <f>-0.15*0.4*4+0.1*0.4*2</f>
        <v>-0.15999999999999998</v>
      </c>
      <c r="H104" s="592">
        <f t="shared" si="58"/>
        <v>6.0640000000000001</v>
      </c>
      <c r="I104" s="617">
        <f>0.1*0.25*0.4</f>
        <v>1.0000000000000002E-2</v>
      </c>
      <c r="J104" s="592">
        <f t="shared" ref="J104" si="68">((D104*E104*F104)*B104)+I104</f>
        <v>0.47680000000000006</v>
      </c>
      <c r="K104" s="592">
        <f t="shared" si="59"/>
        <v>5.8350000000000006E-2</v>
      </c>
      <c r="L104" s="592">
        <f>2.1+2.7</f>
        <v>4.8000000000000007</v>
      </c>
      <c r="M104" s="592">
        <f t="shared" si="60"/>
        <v>0.97200000000000009</v>
      </c>
      <c r="N104" s="592">
        <f t="shared" si="61"/>
        <v>0.64800000000000002</v>
      </c>
      <c r="O104" s="616">
        <f t="shared" si="62"/>
        <v>7.3910000000000009</v>
      </c>
      <c r="P104" s="718"/>
      <c r="Q104" s="716"/>
      <c r="R104" s="209"/>
      <c r="S104" s="210"/>
      <c r="T104" s="209"/>
    </row>
    <row r="105" spans="1:20" s="157" customFormat="1" x14ac:dyDescent="0.3">
      <c r="A105" s="494" t="s">
        <v>433</v>
      </c>
      <c r="B105" s="495">
        <v>1</v>
      </c>
      <c r="C105" s="495" t="s">
        <v>42</v>
      </c>
      <c r="D105" s="510">
        <v>6.55</v>
      </c>
      <c r="E105" s="614">
        <v>0.15</v>
      </c>
      <c r="F105" s="614">
        <v>0.4</v>
      </c>
      <c r="G105" s="592">
        <f>-0.15*0.4*3</f>
        <v>-0.18</v>
      </c>
      <c r="H105" s="592">
        <f t="shared" si="58"/>
        <v>5.0600000000000005</v>
      </c>
      <c r="I105" s="617"/>
      <c r="J105" s="592">
        <f>((D105*E105*F105)*B105)+I105</f>
        <v>0.39300000000000002</v>
      </c>
      <c r="K105" s="592">
        <f t="shared" si="59"/>
        <v>4.9125000000000002E-2</v>
      </c>
      <c r="L105" s="592">
        <f>0.68+3.85</f>
        <v>4.53</v>
      </c>
      <c r="M105" s="592">
        <f t="shared" si="60"/>
        <v>0.91732500000000006</v>
      </c>
      <c r="N105" s="592">
        <f t="shared" si="61"/>
        <v>0.61155000000000004</v>
      </c>
      <c r="O105" s="616">
        <f t="shared" si="62"/>
        <v>6.2225000000000001</v>
      </c>
      <c r="P105" s="718"/>
      <c r="Q105" s="716"/>
      <c r="R105" s="209"/>
      <c r="S105" s="210"/>
      <c r="T105" s="209"/>
    </row>
    <row r="106" spans="1:20" s="157" customFormat="1" x14ac:dyDescent="0.3">
      <c r="A106" s="494" t="s">
        <v>434</v>
      </c>
      <c r="B106" s="495">
        <v>1</v>
      </c>
      <c r="C106" s="495" t="s">
        <v>42</v>
      </c>
      <c r="D106" s="510">
        <v>1.83</v>
      </c>
      <c r="E106" s="614">
        <v>0.15</v>
      </c>
      <c r="F106" s="614">
        <v>0.4</v>
      </c>
      <c r="G106" s="617"/>
      <c r="H106" s="592">
        <f t="shared" si="58"/>
        <v>1.4640000000000002</v>
      </c>
      <c r="I106" s="592"/>
      <c r="J106" s="592">
        <f>((D106*E106*F106)*B106)+I106</f>
        <v>0.10980000000000001</v>
      </c>
      <c r="K106" s="592">
        <f t="shared" si="59"/>
        <v>1.3725000000000001E-2</v>
      </c>
      <c r="L106" s="592">
        <v>0.62</v>
      </c>
      <c r="M106" s="592">
        <f t="shared" si="60"/>
        <v>0.12554999999999999</v>
      </c>
      <c r="N106" s="592">
        <f t="shared" si="61"/>
        <v>8.3699999999999997E-2</v>
      </c>
      <c r="O106" s="616">
        <f t="shared" si="62"/>
        <v>1.7385000000000002</v>
      </c>
      <c r="P106" s="718"/>
      <c r="Q106" s="716"/>
      <c r="R106" s="209"/>
      <c r="S106" s="210"/>
      <c r="T106" s="209"/>
    </row>
    <row r="107" spans="1:20" s="157" customFormat="1" x14ac:dyDescent="0.3">
      <c r="A107" s="494" t="s">
        <v>435</v>
      </c>
      <c r="B107" s="495">
        <v>1</v>
      </c>
      <c r="C107" s="495" t="s">
        <v>42</v>
      </c>
      <c r="D107" s="510">
        <v>6.15</v>
      </c>
      <c r="E107" s="614">
        <v>0.15</v>
      </c>
      <c r="F107" s="614">
        <v>0.4</v>
      </c>
      <c r="G107" s="617">
        <f>-0.15*0.4*3</f>
        <v>-0.18</v>
      </c>
      <c r="H107" s="592">
        <f t="shared" si="58"/>
        <v>4.7400000000000011</v>
      </c>
      <c r="I107" s="592"/>
      <c r="J107" s="592">
        <f>((D107*E107*F107)*B107)+I107</f>
        <v>0.36899999999999999</v>
      </c>
      <c r="K107" s="592">
        <f t="shared" si="59"/>
        <v>4.6124999999999999E-2</v>
      </c>
      <c r="L107" s="592">
        <f>0.62+1.97</f>
        <v>2.59</v>
      </c>
      <c r="M107" s="592">
        <f t="shared" si="60"/>
        <v>0.52447499999999991</v>
      </c>
      <c r="N107" s="592">
        <f t="shared" si="61"/>
        <v>0.34964999999999991</v>
      </c>
      <c r="O107" s="616">
        <f t="shared" si="62"/>
        <v>5.8425000000000011</v>
      </c>
      <c r="P107" s="718"/>
      <c r="Q107" s="716"/>
      <c r="R107" s="209"/>
      <c r="S107" s="210"/>
      <c r="T107" s="209"/>
    </row>
    <row r="108" spans="1:20" s="157" customFormat="1" x14ac:dyDescent="0.3">
      <c r="A108" s="494" t="s">
        <v>436</v>
      </c>
      <c r="B108" s="495">
        <v>1</v>
      </c>
      <c r="C108" s="495" t="s">
        <v>42</v>
      </c>
      <c r="D108" s="510">
        <v>8</v>
      </c>
      <c r="E108" s="614">
        <v>0.15</v>
      </c>
      <c r="F108" s="614">
        <v>0.4</v>
      </c>
      <c r="G108" s="592">
        <f>-0.15*0.4*9</f>
        <v>-0.54</v>
      </c>
      <c r="H108" s="592">
        <f t="shared" si="58"/>
        <v>5.86</v>
      </c>
      <c r="I108" s="592"/>
      <c r="J108" s="592">
        <f t="shared" ref="J108" si="69">((D108*E108*F108)*B108)+I108</f>
        <v>0.48</v>
      </c>
      <c r="K108" s="592">
        <f t="shared" si="59"/>
        <v>0.06</v>
      </c>
      <c r="L108" s="592">
        <f>1.24*2</f>
        <v>2.48</v>
      </c>
      <c r="M108" s="592">
        <f t="shared" si="60"/>
        <v>0.50219999999999998</v>
      </c>
      <c r="N108" s="592">
        <f t="shared" si="61"/>
        <v>0.33479999999999999</v>
      </c>
      <c r="O108" s="616">
        <f t="shared" si="62"/>
        <v>7.6000000000000005</v>
      </c>
      <c r="P108" s="718"/>
      <c r="Q108" s="716"/>
      <c r="R108" s="209"/>
      <c r="S108" s="210"/>
      <c r="T108" s="209"/>
    </row>
    <row r="109" spans="1:20" s="157" customFormat="1" x14ac:dyDescent="0.3">
      <c r="A109" s="494" t="s">
        <v>437</v>
      </c>
      <c r="B109" s="495">
        <v>1</v>
      </c>
      <c r="C109" s="495" t="s">
        <v>42</v>
      </c>
      <c r="D109" s="510">
        <v>8.2799999999999994</v>
      </c>
      <c r="E109" s="614">
        <v>0.15</v>
      </c>
      <c r="F109" s="614">
        <v>0.4</v>
      </c>
      <c r="G109" s="592">
        <f>-0.15*0.4*7+0.05*0.4*2</f>
        <v>-0.38</v>
      </c>
      <c r="H109" s="592">
        <f t="shared" si="58"/>
        <v>6.2439999999999998</v>
      </c>
      <c r="I109" s="617">
        <f>0.05*0.4*0.6</f>
        <v>1.2000000000000002E-2</v>
      </c>
      <c r="J109" s="592">
        <f>((D109*E109*F109)*B109)+I109</f>
        <v>0.50879999999999992</v>
      </c>
      <c r="K109" s="592">
        <f t="shared" si="59"/>
        <v>6.2099999999999989E-2</v>
      </c>
      <c r="L109" s="592">
        <f>1.24+2.02</f>
        <v>3.26</v>
      </c>
      <c r="M109" s="592">
        <f t="shared" si="60"/>
        <v>0.6601499999999999</v>
      </c>
      <c r="N109" s="592">
        <f t="shared" si="61"/>
        <v>0.44009999999999994</v>
      </c>
      <c r="O109" s="616">
        <f t="shared" si="62"/>
        <v>7.8659999999999997</v>
      </c>
      <c r="P109" s="718"/>
      <c r="Q109" s="716"/>
      <c r="R109" s="209"/>
      <c r="S109" s="210"/>
      <c r="T109" s="209"/>
    </row>
    <row r="110" spans="1:20" s="157" customFormat="1" x14ac:dyDescent="0.3">
      <c r="A110" s="494" t="s">
        <v>438</v>
      </c>
      <c r="B110" s="495">
        <v>1</v>
      </c>
      <c r="C110" s="495" t="s">
        <v>42</v>
      </c>
      <c r="D110" s="510">
        <v>7.78</v>
      </c>
      <c r="E110" s="614">
        <v>0.15</v>
      </c>
      <c r="F110" s="614">
        <v>0.4</v>
      </c>
      <c r="G110" s="617">
        <f>-0.15*0.4*5-0.2*0.4*2</f>
        <v>-0.46</v>
      </c>
      <c r="H110" s="592">
        <f t="shared" si="58"/>
        <v>5.7640000000000002</v>
      </c>
      <c r="I110" s="592"/>
      <c r="J110" s="592">
        <f>((D110*E110*F110)*B110)+I110</f>
        <v>0.46680000000000005</v>
      </c>
      <c r="K110" s="592">
        <f t="shared" si="59"/>
        <v>5.8350000000000006E-2</v>
      </c>
      <c r="L110" s="592">
        <f>1.92+1.27</f>
        <v>3.19</v>
      </c>
      <c r="M110" s="592">
        <f t="shared" si="60"/>
        <v>0.64597499999999997</v>
      </c>
      <c r="N110" s="592">
        <f t="shared" si="61"/>
        <v>0.43064999999999998</v>
      </c>
      <c r="O110" s="616">
        <f t="shared" si="62"/>
        <v>7.3910000000000009</v>
      </c>
      <c r="P110" s="718"/>
      <c r="Q110" s="716"/>
      <c r="R110" s="209"/>
      <c r="S110" s="210"/>
      <c r="T110" s="209"/>
    </row>
    <row r="111" spans="1:20" s="157" customFormat="1" x14ac:dyDescent="0.3">
      <c r="A111" s="494" t="s">
        <v>439</v>
      </c>
      <c r="B111" s="495">
        <v>1</v>
      </c>
      <c r="C111" s="495" t="s">
        <v>42</v>
      </c>
      <c r="D111" s="510">
        <v>12.15</v>
      </c>
      <c r="E111" s="614">
        <v>0.15</v>
      </c>
      <c r="F111" s="614">
        <v>0.4</v>
      </c>
      <c r="G111" s="592">
        <f>-0.15*0.4*9</f>
        <v>-0.54</v>
      </c>
      <c r="H111" s="592">
        <f t="shared" si="58"/>
        <v>9.18</v>
      </c>
      <c r="I111" s="592"/>
      <c r="J111" s="592">
        <f t="shared" ref="J111:J112" si="70">((D111*E111*F111)*B111)+I111</f>
        <v>0.72900000000000009</v>
      </c>
      <c r="K111" s="592">
        <f t="shared" si="59"/>
        <v>9.1125000000000012E-2</v>
      </c>
      <c r="L111" s="592">
        <f>1.24*3</f>
        <v>3.7199999999999998</v>
      </c>
      <c r="M111" s="592">
        <f t="shared" si="60"/>
        <v>0.75329999999999986</v>
      </c>
      <c r="N111" s="592">
        <f t="shared" si="61"/>
        <v>0.50219999999999987</v>
      </c>
      <c r="O111" s="616">
        <f t="shared" si="62"/>
        <v>11.5425</v>
      </c>
      <c r="P111" s="718"/>
      <c r="Q111" s="716"/>
      <c r="R111" s="209"/>
      <c r="S111" s="210"/>
      <c r="T111" s="209"/>
    </row>
    <row r="112" spans="1:20" s="157" customFormat="1" x14ac:dyDescent="0.3">
      <c r="A112" s="494" t="s">
        <v>440</v>
      </c>
      <c r="B112" s="495">
        <v>1</v>
      </c>
      <c r="C112" s="495" t="s">
        <v>42</v>
      </c>
      <c r="D112" s="510">
        <v>12.05</v>
      </c>
      <c r="E112" s="614">
        <v>0.15</v>
      </c>
      <c r="F112" s="614">
        <v>0.4</v>
      </c>
      <c r="G112" s="592">
        <f>-0.15*0.4*7</f>
        <v>-0.42</v>
      </c>
      <c r="H112" s="592">
        <f t="shared" si="58"/>
        <v>9.2200000000000006</v>
      </c>
      <c r="I112" s="592"/>
      <c r="J112" s="592">
        <f t="shared" si="70"/>
        <v>0.72300000000000009</v>
      </c>
      <c r="K112" s="592">
        <f t="shared" si="59"/>
        <v>9.0375000000000011E-2</v>
      </c>
      <c r="L112" s="592">
        <f>5.24+1.27</f>
        <v>6.51</v>
      </c>
      <c r="M112" s="592">
        <f t="shared" si="60"/>
        <v>1.3182749999999999</v>
      </c>
      <c r="N112" s="592">
        <f t="shared" si="61"/>
        <v>0.87884999999999991</v>
      </c>
      <c r="O112" s="616">
        <f t="shared" si="62"/>
        <v>11.447500000000002</v>
      </c>
      <c r="P112" s="718"/>
      <c r="Q112" s="716"/>
      <c r="R112" s="209"/>
      <c r="S112" s="210"/>
      <c r="T112" s="209"/>
    </row>
    <row r="113" spans="1:20" s="157" customFormat="1" x14ac:dyDescent="0.3">
      <c r="A113" s="494" t="s">
        <v>441</v>
      </c>
      <c r="B113" s="495">
        <v>1</v>
      </c>
      <c r="C113" s="495" t="s">
        <v>42</v>
      </c>
      <c r="D113" s="510">
        <v>2.66</v>
      </c>
      <c r="E113" s="614">
        <v>0.15</v>
      </c>
      <c r="F113" s="614">
        <v>0.4</v>
      </c>
      <c r="G113" s="592"/>
      <c r="H113" s="592">
        <f t="shared" si="58"/>
        <v>2.1280000000000001</v>
      </c>
      <c r="I113" s="617"/>
      <c r="J113" s="592">
        <f>((D113*E113*F113)*B113)+I113</f>
        <v>0.15960000000000002</v>
      </c>
      <c r="K113" s="592">
        <f t="shared" si="59"/>
        <v>1.9950000000000002E-2</v>
      </c>
      <c r="L113" s="592">
        <v>1.05</v>
      </c>
      <c r="M113" s="592">
        <f t="shared" si="60"/>
        <v>0.21262499999999998</v>
      </c>
      <c r="N113" s="592">
        <f t="shared" si="61"/>
        <v>0.14174999999999999</v>
      </c>
      <c r="O113" s="616">
        <f t="shared" si="62"/>
        <v>2.5270000000000001</v>
      </c>
      <c r="P113" s="718"/>
      <c r="Q113" s="716"/>
      <c r="R113" s="209"/>
      <c r="S113" s="210"/>
      <c r="T113" s="209"/>
    </row>
    <row r="114" spans="1:20" s="157" customFormat="1" x14ac:dyDescent="0.3">
      <c r="A114" s="494" t="s">
        <v>442</v>
      </c>
      <c r="B114" s="495">
        <v>1</v>
      </c>
      <c r="C114" s="495" t="s">
        <v>42</v>
      </c>
      <c r="D114" s="510">
        <f>2+0.45</f>
        <v>2.4500000000000002</v>
      </c>
      <c r="E114" s="614">
        <v>0.15</v>
      </c>
      <c r="F114" s="614">
        <v>0.4</v>
      </c>
      <c r="G114" s="617"/>
      <c r="H114" s="592">
        <f t="shared" si="58"/>
        <v>1.9600000000000002</v>
      </c>
      <c r="I114" s="592"/>
      <c r="J114" s="592">
        <f>((D114*E114*F114)*B114)+I114</f>
        <v>0.14699999999999999</v>
      </c>
      <c r="K114" s="592">
        <f t="shared" si="59"/>
        <v>1.8374999999999999E-2</v>
      </c>
      <c r="L114" s="592">
        <v>0.95</v>
      </c>
      <c r="M114" s="592">
        <f t="shared" si="60"/>
        <v>0.19237499999999996</v>
      </c>
      <c r="N114" s="592">
        <f t="shared" si="61"/>
        <v>0.12824999999999998</v>
      </c>
      <c r="O114" s="616">
        <f t="shared" si="62"/>
        <v>2.3275000000000001</v>
      </c>
      <c r="P114" s="718"/>
      <c r="Q114" s="716"/>
      <c r="R114" s="209"/>
      <c r="S114" s="210"/>
      <c r="T114" s="209"/>
    </row>
    <row r="115" spans="1:20" s="157" customFormat="1" x14ac:dyDescent="0.3">
      <c r="A115" s="494" t="s">
        <v>443</v>
      </c>
      <c r="B115" s="495">
        <v>1</v>
      </c>
      <c r="C115" s="495" t="s">
        <v>42</v>
      </c>
      <c r="D115" s="510">
        <f>2.63+2.25+0.03</f>
        <v>4.91</v>
      </c>
      <c r="E115" s="614">
        <v>0.15</v>
      </c>
      <c r="F115" s="614">
        <v>0.4</v>
      </c>
      <c r="G115" s="592"/>
      <c r="H115" s="592">
        <f t="shared" si="58"/>
        <v>3.9280000000000004</v>
      </c>
      <c r="I115" s="592"/>
      <c r="J115" s="592">
        <f t="shared" ref="J115" si="71">((D115*E115*F115)*B115)+I115</f>
        <v>0.29460000000000003</v>
      </c>
      <c r="K115" s="592">
        <f t="shared" si="59"/>
        <v>3.6825000000000004E-2</v>
      </c>
      <c r="L115" s="592">
        <f>1.3+1.5</f>
        <v>2.8</v>
      </c>
      <c r="M115" s="592">
        <f t="shared" si="60"/>
        <v>0.56699999999999995</v>
      </c>
      <c r="N115" s="592">
        <f t="shared" si="61"/>
        <v>0.37799999999999995</v>
      </c>
      <c r="O115" s="616">
        <f t="shared" si="62"/>
        <v>4.6645000000000003</v>
      </c>
      <c r="P115" s="718"/>
      <c r="Q115" s="716"/>
      <c r="R115" s="209"/>
      <c r="S115" s="210"/>
      <c r="T115" s="209"/>
    </row>
    <row r="116" spans="1:20" s="157" customFormat="1" x14ac:dyDescent="0.3">
      <c r="A116" s="494" t="s">
        <v>444</v>
      </c>
      <c r="B116" s="495">
        <v>1</v>
      </c>
      <c r="C116" s="495" t="s">
        <v>42</v>
      </c>
      <c r="D116" s="510">
        <f>1.95+2.1</f>
        <v>4.05</v>
      </c>
      <c r="E116" s="614">
        <v>0.15</v>
      </c>
      <c r="F116" s="614">
        <v>0.4</v>
      </c>
      <c r="G116" s="592"/>
      <c r="H116" s="592">
        <f t="shared" si="58"/>
        <v>3.24</v>
      </c>
      <c r="I116" s="617"/>
      <c r="J116" s="592">
        <f>((D116*E116*F116)*B116)+I116</f>
        <v>0.24299999999999999</v>
      </c>
      <c r="K116" s="592">
        <f t="shared" si="59"/>
        <v>3.0374999999999999E-2</v>
      </c>
      <c r="L116" s="592">
        <f>1.35+0.95</f>
        <v>2.2999999999999998</v>
      </c>
      <c r="M116" s="592">
        <f t="shared" si="60"/>
        <v>0.46575</v>
      </c>
      <c r="N116" s="592">
        <f t="shared" si="61"/>
        <v>0.3105</v>
      </c>
      <c r="O116" s="616">
        <f t="shared" si="62"/>
        <v>3.8475000000000001</v>
      </c>
      <c r="P116" s="718"/>
      <c r="Q116" s="716"/>
      <c r="R116" s="209"/>
      <c r="S116" s="210"/>
      <c r="T116" s="209"/>
    </row>
    <row r="117" spans="1:20" s="157" customFormat="1" x14ac:dyDescent="0.3">
      <c r="A117" s="494" t="s">
        <v>445</v>
      </c>
      <c r="B117" s="495">
        <v>1</v>
      </c>
      <c r="C117" s="495" t="s">
        <v>42</v>
      </c>
      <c r="D117" s="510">
        <f>2.1+2.1</f>
        <v>4.2</v>
      </c>
      <c r="E117" s="614">
        <v>0.15</v>
      </c>
      <c r="F117" s="614">
        <v>0.4</v>
      </c>
      <c r="G117" s="617"/>
      <c r="H117" s="592">
        <f t="shared" si="58"/>
        <v>3.3600000000000003</v>
      </c>
      <c r="I117" s="592"/>
      <c r="J117" s="592">
        <f>((D117*E117*F117)*B117)+I117</f>
        <v>0.252</v>
      </c>
      <c r="K117" s="592">
        <f t="shared" si="59"/>
        <v>3.15E-2</v>
      </c>
      <c r="L117" s="592">
        <f>1.8*2</f>
        <v>3.6</v>
      </c>
      <c r="M117" s="592">
        <f t="shared" si="60"/>
        <v>0.72899999999999998</v>
      </c>
      <c r="N117" s="592">
        <f t="shared" si="61"/>
        <v>0.48599999999999999</v>
      </c>
      <c r="O117" s="616">
        <f t="shared" si="62"/>
        <v>3.9900000000000007</v>
      </c>
      <c r="P117" s="718"/>
      <c r="Q117" s="716"/>
      <c r="R117" s="209"/>
      <c r="S117" s="210"/>
      <c r="T117" s="209"/>
    </row>
    <row r="118" spans="1:20" s="157" customFormat="1" x14ac:dyDescent="0.3">
      <c r="A118" s="494" t="s">
        <v>446</v>
      </c>
      <c r="B118" s="495">
        <v>1</v>
      </c>
      <c r="C118" s="495" t="s">
        <v>42</v>
      </c>
      <c r="D118" s="510">
        <v>3.75</v>
      </c>
      <c r="E118" s="614">
        <v>0.15</v>
      </c>
      <c r="F118" s="614">
        <v>0.4</v>
      </c>
      <c r="G118" s="617"/>
      <c r="H118" s="592">
        <f t="shared" ref="H118:H139" si="72">((2*F118)*D118)+G118</f>
        <v>3</v>
      </c>
      <c r="I118" s="592"/>
      <c r="J118" s="592">
        <f>((D118*E118*F118)*B118)+I118</f>
        <v>0.22500000000000001</v>
      </c>
      <c r="K118" s="592">
        <f t="shared" ref="K118:K139" si="73">D118*E118*0.05</f>
        <v>2.8125000000000001E-2</v>
      </c>
      <c r="L118" s="592">
        <v>2.2999999999999998</v>
      </c>
      <c r="M118" s="592">
        <f t="shared" ref="M118:M139" si="74">L118*(E118+0.3)*(F118+0.05)</f>
        <v>0.46575</v>
      </c>
      <c r="N118" s="592">
        <f t="shared" ref="N118:N139" si="75">M118-(L118*E118*(F118+0.05))</f>
        <v>0.3105</v>
      </c>
      <c r="O118" s="616">
        <f t="shared" ref="O118:O139" si="76">D118*(E118+(F118*2))</f>
        <v>3.5625000000000004</v>
      </c>
      <c r="P118" s="718"/>
      <c r="Q118" s="716"/>
      <c r="R118" s="209"/>
      <c r="S118" s="210"/>
      <c r="T118" s="209"/>
    </row>
    <row r="119" spans="1:20" s="157" customFormat="1" x14ac:dyDescent="0.3">
      <c r="A119" s="494" t="s">
        <v>447</v>
      </c>
      <c r="B119" s="495">
        <v>1</v>
      </c>
      <c r="C119" s="495" t="s">
        <v>42</v>
      </c>
      <c r="D119" s="510">
        <f>1.25+0.45</f>
        <v>1.7</v>
      </c>
      <c r="E119" s="614">
        <v>0.15</v>
      </c>
      <c r="F119" s="614">
        <v>0.4</v>
      </c>
      <c r="G119" s="592"/>
      <c r="H119" s="592">
        <f t="shared" si="72"/>
        <v>1.36</v>
      </c>
      <c r="I119" s="592"/>
      <c r="J119" s="592">
        <f t="shared" ref="J119" si="77">((D119*E119*F119)*B119)+I119</f>
        <v>0.10200000000000001</v>
      </c>
      <c r="K119" s="592">
        <f t="shared" si="73"/>
        <v>1.2750000000000001E-2</v>
      </c>
      <c r="L119" s="592">
        <v>0.35</v>
      </c>
      <c r="M119" s="592">
        <f t="shared" si="74"/>
        <v>7.0874999999999994E-2</v>
      </c>
      <c r="N119" s="592">
        <f t="shared" si="75"/>
        <v>4.7249999999999993E-2</v>
      </c>
      <c r="O119" s="616">
        <f t="shared" si="76"/>
        <v>1.615</v>
      </c>
      <c r="P119" s="718"/>
      <c r="Q119" s="716"/>
      <c r="R119" s="209"/>
      <c r="S119" s="210"/>
      <c r="T119" s="209"/>
    </row>
    <row r="120" spans="1:20" s="157" customFormat="1" x14ac:dyDescent="0.3">
      <c r="A120" s="494" t="s">
        <v>448</v>
      </c>
      <c r="B120" s="495">
        <v>1</v>
      </c>
      <c r="C120" s="495" t="s">
        <v>42</v>
      </c>
      <c r="D120" s="510">
        <f>3.8+0.65</f>
        <v>4.45</v>
      </c>
      <c r="E120" s="614">
        <v>0.15</v>
      </c>
      <c r="F120" s="614">
        <v>0.4</v>
      </c>
      <c r="G120" s="592"/>
      <c r="H120" s="592">
        <f t="shared" si="72"/>
        <v>3.5600000000000005</v>
      </c>
      <c r="I120" s="617"/>
      <c r="J120" s="592">
        <f>((D120*E120*F120)*B120)+I120</f>
        <v>0.26700000000000002</v>
      </c>
      <c r="K120" s="592">
        <f t="shared" si="73"/>
        <v>3.3375000000000002E-2</v>
      </c>
      <c r="L120" s="592">
        <v>2.9</v>
      </c>
      <c r="M120" s="592">
        <f t="shared" si="74"/>
        <v>0.58724999999999994</v>
      </c>
      <c r="N120" s="592">
        <f t="shared" si="75"/>
        <v>0.39149999999999996</v>
      </c>
      <c r="O120" s="616">
        <f t="shared" si="76"/>
        <v>4.2275</v>
      </c>
      <c r="P120" s="718"/>
      <c r="Q120" s="716"/>
      <c r="R120" s="209"/>
      <c r="S120" s="210"/>
      <c r="T120" s="209"/>
    </row>
    <row r="121" spans="1:20" s="157" customFormat="1" x14ac:dyDescent="0.3">
      <c r="A121" s="494" t="s">
        <v>449</v>
      </c>
      <c r="B121" s="495">
        <v>1</v>
      </c>
      <c r="C121" s="495" t="s">
        <v>42</v>
      </c>
      <c r="D121" s="510">
        <v>0.65</v>
      </c>
      <c r="E121" s="614">
        <v>0.15</v>
      </c>
      <c r="F121" s="614">
        <v>0.4</v>
      </c>
      <c r="G121" s="617"/>
      <c r="H121" s="592">
        <f t="shared" si="72"/>
        <v>0.52</v>
      </c>
      <c r="I121" s="592"/>
      <c r="J121" s="592">
        <f>((D121*E121*F121)*B121)+I121</f>
        <v>3.9000000000000007E-2</v>
      </c>
      <c r="K121" s="592">
        <f t="shared" si="73"/>
        <v>4.8750000000000009E-3</v>
      </c>
      <c r="L121" s="592">
        <v>0.35</v>
      </c>
      <c r="M121" s="592">
        <f t="shared" si="74"/>
        <v>7.0874999999999994E-2</v>
      </c>
      <c r="N121" s="592">
        <f t="shared" si="75"/>
        <v>4.7249999999999993E-2</v>
      </c>
      <c r="O121" s="616">
        <f t="shared" si="76"/>
        <v>0.61750000000000005</v>
      </c>
      <c r="P121" s="718"/>
      <c r="Q121" s="716"/>
      <c r="R121" s="209"/>
      <c r="S121" s="210"/>
      <c r="T121" s="209"/>
    </row>
    <row r="122" spans="1:20" s="157" customFormat="1" x14ac:dyDescent="0.3">
      <c r="A122" s="494" t="s">
        <v>450</v>
      </c>
      <c r="B122" s="495">
        <v>1</v>
      </c>
      <c r="C122" s="495" t="s">
        <v>42</v>
      </c>
      <c r="D122" s="510">
        <v>0.65</v>
      </c>
      <c r="E122" s="614">
        <v>0.15</v>
      </c>
      <c r="F122" s="614">
        <v>0.4</v>
      </c>
      <c r="G122" s="592"/>
      <c r="H122" s="592">
        <f t="shared" si="72"/>
        <v>0.52</v>
      </c>
      <c r="I122" s="592"/>
      <c r="J122" s="592">
        <f t="shared" ref="J122:J123" si="78">((D122*E122*F122)*B122)+I122</f>
        <v>3.9000000000000007E-2</v>
      </c>
      <c r="K122" s="592">
        <f t="shared" si="73"/>
        <v>4.8750000000000009E-3</v>
      </c>
      <c r="L122" s="592">
        <v>0</v>
      </c>
      <c r="M122" s="592">
        <f t="shared" si="74"/>
        <v>0</v>
      </c>
      <c r="N122" s="592">
        <f t="shared" si="75"/>
        <v>0</v>
      </c>
      <c r="O122" s="616">
        <f t="shared" si="76"/>
        <v>0.61750000000000005</v>
      </c>
      <c r="P122" s="718"/>
      <c r="Q122" s="716"/>
      <c r="R122" s="209"/>
      <c r="S122" s="210"/>
      <c r="T122" s="209"/>
    </row>
    <row r="123" spans="1:20" s="157" customFormat="1" x14ac:dyDescent="0.3">
      <c r="A123" s="494" t="s">
        <v>451</v>
      </c>
      <c r="B123" s="495">
        <v>1</v>
      </c>
      <c r="C123" s="495" t="s">
        <v>42</v>
      </c>
      <c r="D123" s="510">
        <f>3.8+3.8+1.85+0.65</f>
        <v>10.1</v>
      </c>
      <c r="E123" s="614">
        <v>0.15</v>
      </c>
      <c r="F123" s="614">
        <v>0.4</v>
      </c>
      <c r="G123" s="592"/>
      <c r="H123" s="592">
        <f t="shared" si="72"/>
        <v>8.08</v>
      </c>
      <c r="I123" s="592"/>
      <c r="J123" s="592">
        <f t="shared" si="78"/>
        <v>0.60599999999999998</v>
      </c>
      <c r="K123" s="592">
        <f t="shared" si="73"/>
        <v>7.5749999999999998E-2</v>
      </c>
      <c r="L123" s="592">
        <f>0.58+2.7+2.97</f>
        <v>6.25</v>
      </c>
      <c r="M123" s="592">
        <f t="shared" si="74"/>
        <v>1.2656249999999998</v>
      </c>
      <c r="N123" s="592">
        <f t="shared" si="75"/>
        <v>0.84374999999999978</v>
      </c>
      <c r="O123" s="616">
        <f t="shared" si="76"/>
        <v>9.5950000000000006</v>
      </c>
      <c r="P123" s="718"/>
      <c r="Q123" s="716"/>
      <c r="R123" s="209"/>
      <c r="S123" s="210"/>
      <c r="T123" s="209"/>
    </row>
    <row r="124" spans="1:20" s="157" customFormat="1" x14ac:dyDescent="0.3">
      <c r="A124" s="494" t="s">
        <v>452</v>
      </c>
      <c r="B124" s="495">
        <v>1</v>
      </c>
      <c r="C124" s="495" t="s">
        <v>42</v>
      </c>
      <c r="D124" s="510">
        <v>0.65</v>
      </c>
      <c r="E124" s="614">
        <v>0.15</v>
      </c>
      <c r="F124" s="614">
        <v>0.4</v>
      </c>
      <c r="G124" s="592"/>
      <c r="H124" s="592">
        <f t="shared" si="72"/>
        <v>0.52</v>
      </c>
      <c r="I124" s="617"/>
      <c r="J124" s="592">
        <f>((D124*E124*F124)*B124)+I124</f>
        <v>3.9000000000000007E-2</v>
      </c>
      <c r="K124" s="592">
        <f t="shared" si="73"/>
        <v>4.8750000000000009E-3</v>
      </c>
      <c r="L124" s="592">
        <v>0</v>
      </c>
      <c r="M124" s="592">
        <f t="shared" si="74"/>
        <v>0</v>
      </c>
      <c r="N124" s="592">
        <f t="shared" si="75"/>
        <v>0</v>
      </c>
      <c r="O124" s="616">
        <f t="shared" si="76"/>
        <v>0.61750000000000005</v>
      </c>
      <c r="P124" s="718"/>
      <c r="Q124" s="716"/>
      <c r="R124" s="209"/>
      <c r="S124" s="210"/>
      <c r="T124" s="209"/>
    </row>
    <row r="125" spans="1:20" s="157" customFormat="1" x14ac:dyDescent="0.3">
      <c r="A125" s="494" t="s">
        <v>453</v>
      </c>
      <c r="B125" s="495">
        <v>1</v>
      </c>
      <c r="C125" s="495" t="s">
        <v>42</v>
      </c>
      <c r="D125" s="510">
        <v>0.65</v>
      </c>
      <c r="E125" s="614">
        <v>0.15</v>
      </c>
      <c r="F125" s="614">
        <v>0.4</v>
      </c>
      <c r="G125" s="617"/>
      <c r="H125" s="592">
        <f t="shared" si="72"/>
        <v>0.52</v>
      </c>
      <c r="I125" s="592"/>
      <c r="J125" s="592">
        <f>((D125*E125*F125)*B125)+I125</f>
        <v>3.9000000000000007E-2</v>
      </c>
      <c r="K125" s="592">
        <f t="shared" si="73"/>
        <v>4.8750000000000009E-3</v>
      </c>
      <c r="L125" s="592">
        <v>0.35</v>
      </c>
      <c r="M125" s="592">
        <f t="shared" si="74"/>
        <v>7.0874999999999994E-2</v>
      </c>
      <c r="N125" s="592">
        <f t="shared" si="75"/>
        <v>4.7249999999999993E-2</v>
      </c>
      <c r="O125" s="616">
        <f t="shared" si="76"/>
        <v>0.61750000000000005</v>
      </c>
      <c r="P125" s="718"/>
      <c r="Q125" s="716"/>
      <c r="R125" s="209"/>
      <c r="S125" s="210"/>
      <c r="T125" s="209"/>
    </row>
    <row r="126" spans="1:20" s="157" customFormat="1" x14ac:dyDescent="0.3">
      <c r="A126" s="494" t="s">
        <v>454</v>
      </c>
      <c r="B126" s="495">
        <v>1</v>
      </c>
      <c r="C126" s="495" t="s">
        <v>42</v>
      </c>
      <c r="D126" s="510">
        <f>5.8+3.85+0.65</f>
        <v>10.3</v>
      </c>
      <c r="E126" s="614">
        <v>0.15</v>
      </c>
      <c r="F126" s="614">
        <v>0.4</v>
      </c>
      <c r="G126" s="592"/>
      <c r="H126" s="592">
        <f t="shared" si="72"/>
        <v>8.24</v>
      </c>
      <c r="I126" s="592">
        <f>0.1*0.55*0.4</f>
        <v>2.2000000000000006E-2</v>
      </c>
      <c r="J126" s="592">
        <f t="shared" ref="J126" si="79">((D126*E126*F126)*B126)+I126</f>
        <v>0.64000000000000012</v>
      </c>
      <c r="K126" s="592">
        <f t="shared" si="73"/>
        <v>7.7250000000000013E-2</v>
      </c>
      <c r="L126" s="592">
        <f>4.68+2.97</f>
        <v>7.65</v>
      </c>
      <c r="M126" s="592">
        <f t="shared" si="74"/>
        <v>1.5491250000000001</v>
      </c>
      <c r="N126" s="592">
        <f t="shared" si="75"/>
        <v>1.0327500000000001</v>
      </c>
      <c r="O126" s="616">
        <f t="shared" si="76"/>
        <v>9.7850000000000019</v>
      </c>
      <c r="P126" s="718"/>
      <c r="Q126" s="716"/>
      <c r="R126" s="209"/>
      <c r="S126" s="210"/>
      <c r="T126" s="209"/>
    </row>
    <row r="127" spans="1:20" s="157" customFormat="1" x14ac:dyDescent="0.3">
      <c r="A127" s="494" t="s">
        <v>455</v>
      </c>
      <c r="B127" s="495">
        <v>1</v>
      </c>
      <c r="C127" s="495" t="s">
        <v>42</v>
      </c>
      <c r="D127" s="510">
        <v>0.65</v>
      </c>
      <c r="E127" s="614">
        <v>0.15</v>
      </c>
      <c r="F127" s="614">
        <v>0.4</v>
      </c>
      <c r="G127" s="592"/>
      <c r="H127" s="592">
        <f t="shared" si="72"/>
        <v>0.52</v>
      </c>
      <c r="I127" s="617"/>
      <c r="J127" s="592">
        <f>((D127*E127*F127)*B127)+I127</f>
        <v>3.9000000000000007E-2</v>
      </c>
      <c r="K127" s="592">
        <f t="shared" si="73"/>
        <v>4.8750000000000009E-3</v>
      </c>
      <c r="L127" s="592">
        <v>0.35</v>
      </c>
      <c r="M127" s="592">
        <f t="shared" si="74"/>
        <v>7.0874999999999994E-2</v>
      </c>
      <c r="N127" s="592">
        <f t="shared" si="75"/>
        <v>4.7249999999999993E-2</v>
      </c>
      <c r="O127" s="616">
        <f t="shared" si="76"/>
        <v>0.61750000000000005</v>
      </c>
      <c r="P127" s="718"/>
      <c r="Q127" s="716"/>
      <c r="R127" s="209"/>
      <c r="S127" s="210"/>
      <c r="T127" s="209"/>
    </row>
    <row r="128" spans="1:20" s="157" customFormat="1" x14ac:dyDescent="0.3">
      <c r="A128" s="494" t="s">
        <v>456</v>
      </c>
      <c r="B128" s="495">
        <v>1</v>
      </c>
      <c r="C128" s="495" t="s">
        <v>42</v>
      </c>
      <c r="D128" s="510">
        <v>0.65</v>
      </c>
      <c r="E128" s="614">
        <v>0.15</v>
      </c>
      <c r="F128" s="614">
        <v>0.4</v>
      </c>
      <c r="G128" s="617"/>
      <c r="H128" s="592">
        <f t="shared" si="72"/>
        <v>0.52</v>
      </c>
      <c r="I128" s="592"/>
      <c r="J128" s="592">
        <f>((D128*E128*F128)*B128)+I128</f>
        <v>3.9000000000000007E-2</v>
      </c>
      <c r="K128" s="592">
        <f t="shared" si="73"/>
        <v>4.8750000000000009E-3</v>
      </c>
      <c r="L128" s="592">
        <v>0</v>
      </c>
      <c r="M128" s="592">
        <f t="shared" si="74"/>
        <v>0</v>
      </c>
      <c r="N128" s="592">
        <f t="shared" si="75"/>
        <v>0</v>
      </c>
      <c r="O128" s="616">
        <f t="shared" si="76"/>
        <v>0.61750000000000005</v>
      </c>
      <c r="P128" s="718"/>
      <c r="Q128" s="716"/>
      <c r="R128" s="209"/>
      <c r="S128" s="210"/>
      <c r="T128" s="209"/>
    </row>
    <row r="129" spans="1:20" s="157" customFormat="1" x14ac:dyDescent="0.3">
      <c r="A129" s="494" t="s">
        <v>457</v>
      </c>
      <c r="B129" s="495">
        <v>1</v>
      </c>
      <c r="C129" s="495" t="s">
        <v>42</v>
      </c>
      <c r="D129" s="510">
        <f>3.8+3.8+1.85</f>
        <v>9.4499999999999993</v>
      </c>
      <c r="E129" s="614">
        <v>0.15</v>
      </c>
      <c r="F129" s="614">
        <v>0.4</v>
      </c>
      <c r="G129" s="617"/>
      <c r="H129" s="592">
        <f t="shared" si="72"/>
        <v>7.56</v>
      </c>
      <c r="I129" s="592"/>
      <c r="J129" s="592">
        <f>((D129*E129*F129)*B129)+I129</f>
        <v>0.56699999999999995</v>
      </c>
      <c r="K129" s="592">
        <f t="shared" si="73"/>
        <v>7.0874999999999994E-2</v>
      </c>
      <c r="L129" s="592">
        <f>2.97+2.7+0.58</f>
        <v>6.25</v>
      </c>
      <c r="M129" s="592">
        <f t="shared" si="74"/>
        <v>1.2656249999999998</v>
      </c>
      <c r="N129" s="592">
        <f t="shared" si="75"/>
        <v>0.84374999999999978</v>
      </c>
      <c r="O129" s="616">
        <f t="shared" si="76"/>
        <v>8.9774999999999991</v>
      </c>
      <c r="P129" s="718"/>
      <c r="Q129" s="716"/>
      <c r="R129" s="209"/>
      <c r="S129" s="210"/>
      <c r="T129" s="209"/>
    </row>
    <row r="130" spans="1:20" s="157" customFormat="1" x14ac:dyDescent="0.3">
      <c r="A130" s="494" t="s">
        <v>458</v>
      </c>
      <c r="B130" s="495">
        <v>1</v>
      </c>
      <c r="C130" s="495" t="s">
        <v>42</v>
      </c>
      <c r="D130" s="510">
        <v>0.65</v>
      </c>
      <c r="E130" s="614">
        <v>0.15</v>
      </c>
      <c r="F130" s="614">
        <v>0.4</v>
      </c>
      <c r="G130" s="592"/>
      <c r="H130" s="592">
        <f t="shared" si="72"/>
        <v>0.52</v>
      </c>
      <c r="I130" s="592"/>
      <c r="J130" s="592">
        <f t="shared" ref="J130" si="80">((D130*E130*F130)*B130)+I130</f>
        <v>3.9000000000000007E-2</v>
      </c>
      <c r="K130" s="592">
        <f t="shared" si="73"/>
        <v>4.8750000000000009E-3</v>
      </c>
      <c r="L130" s="592">
        <v>0</v>
      </c>
      <c r="M130" s="592">
        <f t="shared" si="74"/>
        <v>0</v>
      </c>
      <c r="N130" s="592">
        <f t="shared" si="75"/>
        <v>0</v>
      </c>
      <c r="O130" s="616">
        <f t="shared" si="76"/>
        <v>0.61750000000000005</v>
      </c>
      <c r="P130" s="718"/>
      <c r="Q130" s="716"/>
      <c r="R130" s="209"/>
      <c r="S130" s="210"/>
      <c r="T130" s="209"/>
    </row>
    <row r="131" spans="1:20" s="157" customFormat="1" x14ac:dyDescent="0.3">
      <c r="A131" s="494" t="s">
        <v>459</v>
      </c>
      <c r="B131" s="495">
        <v>1</v>
      </c>
      <c r="C131" s="495" t="s">
        <v>42</v>
      </c>
      <c r="D131" s="510">
        <v>0.65</v>
      </c>
      <c r="E131" s="614">
        <v>0.15</v>
      </c>
      <c r="F131" s="614">
        <v>0.4</v>
      </c>
      <c r="G131" s="592"/>
      <c r="H131" s="592">
        <f t="shared" si="72"/>
        <v>0.52</v>
      </c>
      <c r="I131" s="617"/>
      <c r="J131" s="592">
        <f>((D131*E131*F131)*B131)+I131</f>
        <v>3.9000000000000007E-2</v>
      </c>
      <c r="K131" s="592">
        <f t="shared" si="73"/>
        <v>4.8750000000000009E-3</v>
      </c>
      <c r="L131" s="592">
        <v>0.35</v>
      </c>
      <c r="M131" s="592">
        <f t="shared" si="74"/>
        <v>7.0874999999999994E-2</v>
      </c>
      <c r="N131" s="592">
        <f t="shared" si="75"/>
        <v>4.7249999999999993E-2</v>
      </c>
      <c r="O131" s="616">
        <f t="shared" si="76"/>
        <v>0.61750000000000005</v>
      </c>
      <c r="P131" s="718"/>
      <c r="Q131" s="716"/>
      <c r="R131" s="209"/>
      <c r="S131" s="210"/>
      <c r="T131" s="209"/>
    </row>
    <row r="132" spans="1:20" s="157" customFormat="1" x14ac:dyDescent="0.3">
      <c r="A132" s="494" t="s">
        <v>460</v>
      </c>
      <c r="B132" s="495">
        <v>1</v>
      </c>
      <c r="C132" s="495" t="s">
        <v>42</v>
      </c>
      <c r="D132" s="510">
        <f>1.85+3.75</f>
        <v>5.6</v>
      </c>
      <c r="E132" s="614">
        <v>0.15</v>
      </c>
      <c r="F132" s="614">
        <v>0.4</v>
      </c>
      <c r="G132" s="617"/>
      <c r="H132" s="592">
        <f t="shared" si="72"/>
        <v>4.4799999999999995</v>
      </c>
      <c r="I132" s="592"/>
      <c r="J132" s="592">
        <f>((D132*E132*F132)*B132)+I132</f>
        <v>0.33600000000000002</v>
      </c>
      <c r="K132" s="592">
        <f t="shared" si="73"/>
        <v>4.2000000000000003E-2</v>
      </c>
      <c r="L132" s="592">
        <f>2.08+1.15</f>
        <v>3.23</v>
      </c>
      <c r="M132" s="592">
        <f t="shared" si="74"/>
        <v>0.65407499999999996</v>
      </c>
      <c r="N132" s="592">
        <f t="shared" si="75"/>
        <v>0.43604999999999994</v>
      </c>
      <c r="O132" s="616">
        <f t="shared" si="76"/>
        <v>5.32</v>
      </c>
      <c r="P132" s="718"/>
      <c r="Q132" s="716"/>
      <c r="R132" s="209"/>
      <c r="S132" s="210"/>
      <c r="T132" s="209"/>
    </row>
    <row r="133" spans="1:20" s="157" customFormat="1" x14ac:dyDescent="0.3">
      <c r="A133" s="494" t="s">
        <v>461</v>
      </c>
      <c r="B133" s="495">
        <v>1</v>
      </c>
      <c r="C133" s="495" t="s">
        <v>42</v>
      </c>
      <c r="D133" s="510">
        <v>3.8</v>
      </c>
      <c r="E133" s="614">
        <v>0.15</v>
      </c>
      <c r="F133" s="614">
        <v>0.4</v>
      </c>
      <c r="G133" s="592"/>
      <c r="H133" s="592">
        <f t="shared" si="72"/>
        <v>3.04</v>
      </c>
      <c r="I133" s="592"/>
      <c r="J133" s="592">
        <f t="shared" ref="J133:J134" si="81">((D133*E133*F133)*B133)+I133</f>
        <v>0.22799999999999998</v>
      </c>
      <c r="K133" s="592">
        <f t="shared" si="73"/>
        <v>2.8499999999999998E-2</v>
      </c>
      <c r="L133" s="592">
        <v>2.13</v>
      </c>
      <c r="M133" s="592">
        <f t="shared" si="74"/>
        <v>0.43132499999999996</v>
      </c>
      <c r="N133" s="592">
        <f t="shared" si="75"/>
        <v>0.28754999999999997</v>
      </c>
      <c r="O133" s="616">
        <f t="shared" si="76"/>
        <v>3.61</v>
      </c>
      <c r="P133" s="718"/>
      <c r="Q133" s="716"/>
      <c r="R133" s="209"/>
      <c r="S133" s="210"/>
      <c r="T133" s="209"/>
    </row>
    <row r="134" spans="1:20" s="157" customFormat="1" x14ac:dyDescent="0.3">
      <c r="A134" s="494" t="s">
        <v>462</v>
      </c>
      <c r="B134" s="495">
        <v>1</v>
      </c>
      <c r="C134" s="495" t="s">
        <v>42</v>
      </c>
      <c r="D134" s="510">
        <v>0.65</v>
      </c>
      <c r="E134" s="614">
        <v>0.15</v>
      </c>
      <c r="F134" s="614">
        <v>0.4</v>
      </c>
      <c r="G134" s="592"/>
      <c r="H134" s="592">
        <f t="shared" si="72"/>
        <v>0.52</v>
      </c>
      <c r="I134" s="592"/>
      <c r="J134" s="592">
        <f t="shared" si="81"/>
        <v>3.9000000000000007E-2</v>
      </c>
      <c r="K134" s="592">
        <f t="shared" si="73"/>
        <v>4.8750000000000009E-3</v>
      </c>
      <c r="L134" s="592">
        <v>0.35</v>
      </c>
      <c r="M134" s="592">
        <f t="shared" si="74"/>
        <v>7.0874999999999994E-2</v>
      </c>
      <c r="N134" s="592">
        <f t="shared" si="75"/>
        <v>4.7249999999999993E-2</v>
      </c>
      <c r="O134" s="616">
        <f t="shared" si="76"/>
        <v>0.61750000000000005</v>
      </c>
      <c r="P134" s="718"/>
      <c r="Q134" s="716"/>
      <c r="R134" s="209"/>
      <c r="S134" s="210"/>
      <c r="T134" s="209"/>
    </row>
    <row r="135" spans="1:20" s="157" customFormat="1" x14ac:dyDescent="0.3">
      <c r="A135" s="494" t="s">
        <v>463</v>
      </c>
      <c r="B135" s="495">
        <v>1</v>
      </c>
      <c r="C135" s="495" t="s">
        <v>42</v>
      </c>
      <c r="D135" s="510">
        <v>0.65</v>
      </c>
      <c r="E135" s="614">
        <v>0.15</v>
      </c>
      <c r="F135" s="614">
        <v>0.4</v>
      </c>
      <c r="G135" s="592"/>
      <c r="H135" s="592">
        <f t="shared" si="72"/>
        <v>0.52</v>
      </c>
      <c r="I135" s="617"/>
      <c r="J135" s="592">
        <f>((D135*E135*F135)*B135)+I135</f>
        <v>3.9000000000000007E-2</v>
      </c>
      <c r="K135" s="592">
        <f t="shared" si="73"/>
        <v>4.8750000000000009E-3</v>
      </c>
      <c r="L135" s="592">
        <v>0</v>
      </c>
      <c r="M135" s="592">
        <f t="shared" si="74"/>
        <v>0</v>
      </c>
      <c r="N135" s="592">
        <f t="shared" si="75"/>
        <v>0</v>
      </c>
      <c r="O135" s="616">
        <f t="shared" si="76"/>
        <v>0.61750000000000005</v>
      </c>
      <c r="P135" s="718"/>
      <c r="Q135" s="716"/>
      <c r="R135" s="209"/>
      <c r="S135" s="210"/>
      <c r="T135" s="209"/>
    </row>
    <row r="136" spans="1:20" s="157" customFormat="1" x14ac:dyDescent="0.3">
      <c r="A136" s="494" t="s">
        <v>464</v>
      </c>
      <c r="B136" s="495">
        <v>1</v>
      </c>
      <c r="C136" s="495" t="s">
        <v>42</v>
      </c>
      <c r="D136" s="510">
        <f>3.8+3.8+1.85+0.65</f>
        <v>10.1</v>
      </c>
      <c r="E136" s="614">
        <v>0.15</v>
      </c>
      <c r="F136" s="614">
        <v>0.4</v>
      </c>
      <c r="G136" s="617"/>
      <c r="H136" s="592">
        <f t="shared" si="72"/>
        <v>8.08</v>
      </c>
      <c r="I136" s="592"/>
      <c r="J136" s="592">
        <f>((D136*E136*F136)*B136)+I136</f>
        <v>0.60599999999999998</v>
      </c>
      <c r="K136" s="592">
        <f t="shared" si="73"/>
        <v>7.5749999999999998E-2</v>
      </c>
      <c r="L136" s="592">
        <f>0.58+2.7+2.97</f>
        <v>6.25</v>
      </c>
      <c r="M136" s="592">
        <f t="shared" si="74"/>
        <v>1.2656249999999998</v>
      </c>
      <c r="N136" s="592">
        <f t="shared" si="75"/>
        <v>0.84374999999999978</v>
      </c>
      <c r="O136" s="616">
        <f t="shared" si="76"/>
        <v>9.5950000000000006</v>
      </c>
      <c r="P136" s="718"/>
      <c r="Q136" s="716"/>
      <c r="R136" s="209"/>
      <c r="S136" s="210"/>
      <c r="T136" s="209"/>
    </row>
    <row r="137" spans="1:20" s="157" customFormat="1" x14ac:dyDescent="0.3">
      <c r="A137" s="494" t="s">
        <v>465</v>
      </c>
      <c r="B137" s="495">
        <v>1</v>
      </c>
      <c r="C137" s="495" t="s">
        <v>42</v>
      </c>
      <c r="D137" s="510">
        <v>0.65</v>
      </c>
      <c r="E137" s="614">
        <v>0.15</v>
      </c>
      <c r="F137" s="614">
        <v>0.4</v>
      </c>
      <c r="G137" s="592"/>
      <c r="H137" s="592">
        <f t="shared" si="72"/>
        <v>0.52</v>
      </c>
      <c r="I137" s="592"/>
      <c r="J137" s="592">
        <f t="shared" ref="J137" si="82">((D137*E137*F137)*B137)+I137</f>
        <v>3.9000000000000007E-2</v>
      </c>
      <c r="K137" s="592">
        <f t="shared" si="73"/>
        <v>4.8750000000000009E-3</v>
      </c>
      <c r="L137" s="592">
        <v>0</v>
      </c>
      <c r="M137" s="592">
        <f t="shared" si="74"/>
        <v>0</v>
      </c>
      <c r="N137" s="592">
        <f t="shared" si="75"/>
        <v>0</v>
      </c>
      <c r="O137" s="616">
        <f t="shared" si="76"/>
        <v>0.61750000000000005</v>
      </c>
      <c r="P137" s="718"/>
      <c r="Q137" s="716"/>
      <c r="R137" s="209"/>
      <c r="S137" s="210"/>
      <c r="T137" s="209"/>
    </row>
    <row r="138" spans="1:20" s="157" customFormat="1" x14ac:dyDescent="0.3">
      <c r="A138" s="494" t="s">
        <v>466</v>
      </c>
      <c r="B138" s="495">
        <v>1</v>
      </c>
      <c r="C138" s="495" t="s">
        <v>42</v>
      </c>
      <c r="D138" s="510">
        <v>0.65</v>
      </c>
      <c r="E138" s="614">
        <v>0.15</v>
      </c>
      <c r="F138" s="614">
        <v>0.4</v>
      </c>
      <c r="G138" s="592"/>
      <c r="H138" s="592">
        <f t="shared" si="72"/>
        <v>0.52</v>
      </c>
      <c r="I138" s="617"/>
      <c r="J138" s="592">
        <f>((D138*E138*F138)*B138)+I138</f>
        <v>3.9000000000000007E-2</v>
      </c>
      <c r="K138" s="592">
        <f t="shared" si="73"/>
        <v>4.8750000000000009E-3</v>
      </c>
      <c r="L138" s="592">
        <v>0.35</v>
      </c>
      <c r="M138" s="592">
        <f t="shared" si="74"/>
        <v>7.0874999999999994E-2</v>
      </c>
      <c r="N138" s="592">
        <f t="shared" si="75"/>
        <v>4.7249999999999993E-2</v>
      </c>
      <c r="O138" s="616">
        <f t="shared" si="76"/>
        <v>0.61750000000000005</v>
      </c>
      <c r="P138" s="718"/>
      <c r="Q138" s="716"/>
      <c r="R138" s="209"/>
      <c r="S138" s="210"/>
      <c r="T138" s="209"/>
    </row>
    <row r="139" spans="1:20" s="157" customFormat="1" ht="15" thickBot="1" x14ac:dyDescent="0.35">
      <c r="A139" s="494" t="s">
        <v>467</v>
      </c>
      <c r="B139" s="495">
        <v>1</v>
      </c>
      <c r="C139" s="495" t="s">
        <v>42</v>
      </c>
      <c r="D139" s="510">
        <f>0.65+3.85+5.85</f>
        <v>10.35</v>
      </c>
      <c r="E139" s="614">
        <v>0.15</v>
      </c>
      <c r="F139" s="614">
        <v>0.4</v>
      </c>
      <c r="G139" s="617"/>
      <c r="H139" s="592">
        <f t="shared" si="72"/>
        <v>8.2799999999999994</v>
      </c>
      <c r="I139" s="592">
        <f>0.1*0.4*0.55+0.05*0.4*0.3</f>
        <v>2.8000000000000008E-2</v>
      </c>
      <c r="J139" s="592">
        <f>((D139*E139*F139)*B139)+I139</f>
        <v>0.64900000000000002</v>
      </c>
      <c r="K139" s="592">
        <f t="shared" si="73"/>
        <v>7.7625E-2</v>
      </c>
      <c r="L139" s="592">
        <f>4.53+2.97</f>
        <v>7.5</v>
      </c>
      <c r="M139" s="592">
        <f t="shared" si="74"/>
        <v>1.5187499999999998</v>
      </c>
      <c r="N139" s="592">
        <f t="shared" si="75"/>
        <v>1.0124999999999997</v>
      </c>
      <c r="O139" s="616">
        <f t="shared" si="76"/>
        <v>9.8324999999999996</v>
      </c>
      <c r="P139" s="718"/>
      <c r="Q139" s="716"/>
      <c r="R139" s="209"/>
      <c r="S139" s="210"/>
      <c r="T139" s="209"/>
    </row>
    <row r="140" spans="1:20" s="62" customFormat="1" x14ac:dyDescent="0.3">
      <c r="A140" s="698" t="s">
        <v>583</v>
      </c>
      <c r="B140" s="699"/>
      <c r="C140" s="699"/>
      <c r="D140" s="699"/>
      <c r="E140" s="699"/>
      <c r="F140" s="699"/>
      <c r="G140" s="699"/>
      <c r="H140" s="699"/>
      <c r="I140" s="699"/>
      <c r="J140" s="699"/>
      <c r="K140" s="699"/>
      <c r="L140" s="699"/>
      <c r="M140" s="699"/>
      <c r="N140" s="699"/>
      <c r="O140" s="700"/>
      <c r="P140" s="718"/>
      <c r="Q140" s="716"/>
    </row>
    <row r="141" spans="1:20" s="157" customFormat="1" x14ac:dyDescent="0.3">
      <c r="A141" s="494" t="s">
        <v>584</v>
      </c>
      <c r="B141" s="495">
        <v>1</v>
      </c>
      <c r="C141" s="495" t="s">
        <v>42</v>
      </c>
      <c r="D141" s="510">
        <v>3.8</v>
      </c>
      <c r="E141" s="614">
        <v>0.15</v>
      </c>
      <c r="F141" s="614">
        <v>0.4</v>
      </c>
      <c r="G141" s="617"/>
      <c r="H141" s="592">
        <f t="shared" ref="H141:H353" si="83">((2*F141)*D141)+G141</f>
        <v>3.04</v>
      </c>
      <c r="I141" s="592"/>
      <c r="J141" s="592">
        <f>((D141*E141*F141)*B141)+I141</f>
        <v>0.22799999999999998</v>
      </c>
      <c r="K141" s="592">
        <f t="shared" ref="K141:K353" si="84">D141*E141*0.05</f>
        <v>2.8499999999999998E-2</v>
      </c>
      <c r="L141" s="592">
        <v>2.08</v>
      </c>
      <c r="M141" s="592">
        <f t="shared" ref="M141:M353" si="85">L141*(E141+0.3)*(F141+0.05)</f>
        <v>0.42119999999999996</v>
      </c>
      <c r="N141" s="592">
        <f t="shared" ref="N141:N353" si="86">M141-(L141*E141*(F141+0.05))</f>
        <v>0.28079999999999994</v>
      </c>
      <c r="O141" s="616">
        <f t="shared" ref="O141:O353" si="87">D141*(E141+(F141*2))</f>
        <v>3.61</v>
      </c>
      <c r="P141" s="718"/>
      <c r="Q141" s="716"/>
      <c r="R141" s="209"/>
      <c r="S141" s="210"/>
      <c r="T141" s="209"/>
    </row>
    <row r="142" spans="1:20" s="157" customFormat="1" x14ac:dyDescent="0.3">
      <c r="A142" s="494" t="s">
        <v>585</v>
      </c>
      <c r="B142" s="495">
        <v>1</v>
      </c>
      <c r="C142" s="495" t="s">
        <v>42</v>
      </c>
      <c r="D142" s="510">
        <v>7.85</v>
      </c>
      <c r="E142" s="614">
        <v>0.15</v>
      </c>
      <c r="F142" s="614">
        <v>0.4</v>
      </c>
      <c r="G142" s="592"/>
      <c r="H142" s="592">
        <f t="shared" si="83"/>
        <v>6.28</v>
      </c>
      <c r="I142" s="592"/>
      <c r="J142" s="592">
        <f t="shared" ref="J142" si="88">((D142*E142*F142)*B142)+I142</f>
        <v>0.47100000000000003</v>
      </c>
      <c r="K142" s="592">
        <f t="shared" si="84"/>
        <v>5.8875000000000004E-2</v>
      </c>
      <c r="L142" s="592">
        <v>6.1</v>
      </c>
      <c r="M142" s="592">
        <f t="shared" si="85"/>
        <v>1.23525</v>
      </c>
      <c r="N142" s="592">
        <f t="shared" si="86"/>
        <v>0.82350000000000001</v>
      </c>
      <c r="O142" s="616">
        <f t="shared" si="87"/>
        <v>7.4575000000000005</v>
      </c>
      <c r="P142" s="718"/>
      <c r="Q142" s="716"/>
      <c r="R142" s="209"/>
      <c r="S142" s="210"/>
      <c r="T142" s="209"/>
    </row>
    <row r="143" spans="1:20" s="157" customFormat="1" x14ac:dyDescent="0.3">
      <c r="A143" s="494" t="s">
        <v>586</v>
      </c>
      <c r="B143" s="495">
        <v>1</v>
      </c>
      <c r="C143" s="495" t="s">
        <v>42</v>
      </c>
      <c r="D143" s="510">
        <v>3.85</v>
      </c>
      <c r="E143" s="614">
        <v>0.15</v>
      </c>
      <c r="F143" s="614">
        <v>0.4</v>
      </c>
      <c r="G143" s="592"/>
      <c r="H143" s="592">
        <f t="shared" si="83"/>
        <v>3.08</v>
      </c>
      <c r="I143" s="617"/>
      <c r="J143" s="592">
        <f>((D143*E143*F143)*B143)+I143</f>
        <v>0.23100000000000001</v>
      </c>
      <c r="K143" s="592">
        <f t="shared" si="84"/>
        <v>2.8875000000000001E-2</v>
      </c>
      <c r="L143" s="592">
        <v>2.72</v>
      </c>
      <c r="M143" s="592">
        <f t="shared" si="85"/>
        <v>0.55079999999999996</v>
      </c>
      <c r="N143" s="592">
        <f t="shared" si="86"/>
        <v>0.36719999999999997</v>
      </c>
      <c r="O143" s="616">
        <f t="shared" si="87"/>
        <v>3.6575000000000002</v>
      </c>
      <c r="P143" s="718"/>
      <c r="Q143" s="716"/>
      <c r="R143" s="209"/>
      <c r="S143" s="210"/>
      <c r="T143" s="209"/>
    </row>
    <row r="144" spans="1:20" s="157" customFormat="1" x14ac:dyDescent="0.3">
      <c r="A144" s="494" t="s">
        <v>587</v>
      </c>
      <c r="B144" s="495">
        <v>1</v>
      </c>
      <c r="C144" s="495" t="s">
        <v>42</v>
      </c>
      <c r="D144" s="510">
        <v>3.8</v>
      </c>
      <c r="E144" s="614">
        <v>0.15</v>
      </c>
      <c r="F144" s="614">
        <v>0.4</v>
      </c>
      <c r="G144" s="617"/>
      <c r="H144" s="592">
        <f t="shared" si="83"/>
        <v>3.04</v>
      </c>
      <c r="I144" s="592"/>
      <c r="J144" s="592">
        <f>((D144*E144*F144)*B144)+I144</f>
        <v>0.22799999999999998</v>
      </c>
      <c r="K144" s="592">
        <f t="shared" si="84"/>
        <v>2.8499999999999998E-2</v>
      </c>
      <c r="L144" s="592">
        <v>2.08</v>
      </c>
      <c r="M144" s="592">
        <f t="shared" si="85"/>
        <v>0.42119999999999996</v>
      </c>
      <c r="N144" s="592">
        <f t="shared" si="86"/>
        <v>0.28079999999999994</v>
      </c>
      <c r="O144" s="616">
        <f t="shared" si="87"/>
        <v>3.61</v>
      </c>
      <c r="P144" s="718"/>
      <c r="Q144" s="716"/>
      <c r="R144" s="209"/>
      <c r="S144" s="210"/>
      <c r="T144" s="209"/>
    </row>
    <row r="145" spans="1:20" s="157" customFormat="1" x14ac:dyDescent="0.3">
      <c r="A145" s="494" t="s">
        <v>588</v>
      </c>
      <c r="B145" s="495">
        <v>1</v>
      </c>
      <c r="C145" s="495" t="s">
        <v>42</v>
      </c>
      <c r="D145" s="510">
        <v>7.85</v>
      </c>
      <c r="E145" s="614">
        <v>0.15</v>
      </c>
      <c r="F145" s="614">
        <v>0.4</v>
      </c>
      <c r="G145" s="592"/>
      <c r="H145" s="592">
        <f t="shared" si="83"/>
        <v>6.28</v>
      </c>
      <c r="I145" s="592"/>
      <c r="J145" s="592">
        <f t="shared" ref="J145:J146" si="89">((D145*E145*F145)*B145)+I145</f>
        <v>0.47100000000000003</v>
      </c>
      <c r="K145" s="592">
        <f t="shared" si="84"/>
        <v>5.8875000000000004E-2</v>
      </c>
      <c r="L145" s="592">
        <v>6.1</v>
      </c>
      <c r="M145" s="592">
        <f t="shared" si="85"/>
        <v>1.23525</v>
      </c>
      <c r="N145" s="592">
        <f t="shared" si="86"/>
        <v>0.82350000000000001</v>
      </c>
      <c r="O145" s="616">
        <f t="shared" si="87"/>
        <v>7.4575000000000005</v>
      </c>
      <c r="P145" s="718"/>
      <c r="Q145" s="716"/>
      <c r="R145" s="209"/>
      <c r="S145" s="210"/>
      <c r="T145" s="209"/>
    </row>
    <row r="146" spans="1:20" s="157" customFormat="1" x14ac:dyDescent="0.3">
      <c r="A146" s="494" t="s">
        <v>589</v>
      </c>
      <c r="B146" s="495">
        <v>1</v>
      </c>
      <c r="C146" s="495" t="s">
        <v>42</v>
      </c>
      <c r="D146" s="510">
        <v>3.85</v>
      </c>
      <c r="E146" s="614">
        <v>0.15</v>
      </c>
      <c r="F146" s="614">
        <v>0.4</v>
      </c>
      <c r="G146" s="592"/>
      <c r="H146" s="592">
        <f t="shared" si="83"/>
        <v>3.08</v>
      </c>
      <c r="I146" s="592"/>
      <c r="J146" s="592">
        <f t="shared" si="89"/>
        <v>0.23100000000000001</v>
      </c>
      <c r="K146" s="592">
        <f t="shared" si="84"/>
        <v>2.8875000000000001E-2</v>
      </c>
      <c r="L146" s="592">
        <v>2.75</v>
      </c>
      <c r="M146" s="592">
        <f t="shared" si="85"/>
        <v>0.5568749999999999</v>
      </c>
      <c r="N146" s="592">
        <f t="shared" si="86"/>
        <v>0.37124999999999991</v>
      </c>
      <c r="O146" s="616">
        <f t="shared" si="87"/>
        <v>3.6575000000000002</v>
      </c>
      <c r="P146" s="718"/>
      <c r="Q146" s="716"/>
      <c r="R146" s="209"/>
      <c r="S146" s="210"/>
      <c r="T146" s="209"/>
    </row>
    <row r="147" spans="1:20" s="157" customFormat="1" x14ac:dyDescent="0.3">
      <c r="A147" s="494" t="s">
        <v>590</v>
      </c>
      <c r="B147" s="495">
        <v>1</v>
      </c>
      <c r="C147" s="495" t="s">
        <v>42</v>
      </c>
      <c r="D147" s="510">
        <v>4.33</v>
      </c>
      <c r="E147" s="614">
        <v>0.15</v>
      </c>
      <c r="F147" s="614">
        <v>0.4</v>
      </c>
      <c r="G147" s="592">
        <f>0.05*0.4*2-0.15*0.4*2</f>
        <v>-7.9999999999999988E-2</v>
      </c>
      <c r="H147" s="592">
        <f t="shared" si="83"/>
        <v>3.3840000000000003</v>
      </c>
      <c r="I147" s="617">
        <f>0.05*0.4*0.6</f>
        <v>1.2000000000000002E-2</v>
      </c>
      <c r="J147" s="592">
        <f>((D147*E147*F147)*B147)+I147</f>
        <v>0.27179999999999999</v>
      </c>
      <c r="K147" s="592">
        <f t="shared" si="84"/>
        <v>3.2474999999999997E-2</v>
      </c>
      <c r="L147" s="592">
        <v>2.5299999999999998</v>
      </c>
      <c r="M147" s="592">
        <f t="shared" si="85"/>
        <v>0.51232499999999992</v>
      </c>
      <c r="N147" s="592">
        <f t="shared" si="86"/>
        <v>0.34154999999999991</v>
      </c>
      <c r="O147" s="616">
        <f t="shared" si="87"/>
        <v>4.1135000000000002</v>
      </c>
      <c r="P147" s="718"/>
      <c r="Q147" s="716"/>
      <c r="R147" s="209"/>
      <c r="S147" s="210"/>
      <c r="T147" s="209"/>
    </row>
    <row r="148" spans="1:20" s="157" customFormat="1" x14ac:dyDescent="0.3">
      <c r="A148" s="494" t="s">
        <v>591</v>
      </c>
      <c r="B148" s="495">
        <v>1</v>
      </c>
      <c r="C148" s="495" t="s">
        <v>42</v>
      </c>
      <c r="D148" s="510">
        <v>3.83</v>
      </c>
      <c r="E148" s="614">
        <v>0.15</v>
      </c>
      <c r="F148" s="614">
        <v>0.4</v>
      </c>
      <c r="G148" s="617">
        <f>-0.15*0.4</f>
        <v>-0.06</v>
      </c>
      <c r="H148" s="592">
        <f t="shared" si="83"/>
        <v>3.004</v>
      </c>
      <c r="I148" s="592"/>
      <c r="J148" s="592">
        <f>((D148*E148*F148)*B148)+I148</f>
        <v>0.2298</v>
      </c>
      <c r="K148" s="592">
        <f t="shared" si="84"/>
        <v>2.8725000000000001E-2</v>
      </c>
      <c r="L148" s="592">
        <v>2.63</v>
      </c>
      <c r="M148" s="592">
        <f t="shared" si="85"/>
        <v>0.53257499999999991</v>
      </c>
      <c r="N148" s="592">
        <f t="shared" si="86"/>
        <v>0.35504999999999992</v>
      </c>
      <c r="O148" s="616">
        <f t="shared" si="87"/>
        <v>3.6385000000000005</v>
      </c>
      <c r="P148" s="718"/>
      <c r="Q148" s="716"/>
      <c r="R148" s="209"/>
      <c r="S148" s="210"/>
      <c r="T148" s="209"/>
    </row>
    <row r="149" spans="1:20" s="157" customFormat="1" x14ac:dyDescent="0.3">
      <c r="A149" s="494" t="s">
        <v>592</v>
      </c>
      <c r="B149" s="495">
        <v>1</v>
      </c>
      <c r="C149" s="495" t="s">
        <v>42</v>
      </c>
      <c r="D149" s="510">
        <v>4.33</v>
      </c>
      <c r="E149" s="614">
        <v>0.15</v>
      </c>
      <c r="F149" s="614">
        <v>0.4</v>
      </c>
      <c r="G149" s="592">
        <f>0.05*0.4*2-0.15*0.4*2</f>
        <v>-7.9999999999999988E-2</v>
      </c>
      <c r="H149" s="592">
        <f t="shared" ref="H149:H150" si="90">((2*F149)*D149)+G149</f>
        <v>3.3840000000000003</v>
      </c>
      <c r="I149" s="617">
        <f>0.05*0.4*0.6</f>
        <v>1.2000000000000002E-2</v>
      </c>
      <c r="J149" s="592">
        <f t="shared" ref="J149" si="91">((D149*E149*F149)*B149)+I149</f>
        <v>0.27179999999999999</v>
      </c>
      <c r="K149" s="592">
        <f t="shared" si="84"/>
        <v>3.2474999999999997E-2</v>
      </c>
      <c r="L149" s="592">
        <v>2.5299999999999998</v>
      </c>
      <c r="M149" s="592">
        <f t="shared" si="85"/>
        <v>0.51232499999999992</v>
      </c>
      <c r="N149" s="592">
        <f t="shared" si="86"/>
        <v>0.34154999999999991</v>
      </c>
      <c r="O149" s="616">
        <f t="shared" si="87"/>
        <v>4.1135000000000002</v>
      </c>
      <c r="P149" s="718"/>
      <c r="Q149" s="716"/>
      <c r="R149" s="209"/>
      <c r="S149" s="210"/>
      <c r="T149" s="209"/>
    </row>
    <row r="150" spans="1:20" s="157" customFormat="1" x14ac:dyDescent="0.3">
      <c r="A150" s="494" t="s">
        <v>593</v>
      </c>
      <c r="B150" s="495">
        <v>1</v>
      </c>
      <c r="C150" s="495" t="s">
        <v>42</v>
      </c>
      <c r="D150" s="510">
        <v>3.83</v>
      </c>
      <c r="E150" s="614">
        <v>0.15</v>
      </c>
      <c r="F150" s="614">
        <v>0.4</v>
      </c>
      <c r="G150" s="617">
        <f>-0.15*0.4</f>
        <v>-0.06</v>
      </c>
      <c r="H150" s="592">
        <f t="shared" si="90"/>
        <v>3.004</v>
      </c>
      <c r="I150" s="592"/>
      <c r="J150" s="592">
        <f>((D150*E150*F150)*B150)+I150</f>
        <v>0.2298</v>
      </c>
      <c r="K150" s="592">
        <f t="shared" si="84"/>
        <v>2.8725000000000001E-2</v>
      </c>
      <c r="L150" s="592">
        <v>2.63</v>
      </c>
      <c r="M150" s="592">
        <f t="shared" si="85"/>
        <v>0.53257499999999991</v>
      </c>
      <c r="N150" s="592">
        <f t="shared" si="86"/>
        <v>0.35504999999999992</v>
      </c>
      <c r="O150" s="616">
        <f t="shared" si="87"/>
        <v>3.6385000000000005</v>
      </c>
      <c r="P150" s="718"/>
      <c r="Q150" s="716"/>
      <c r="R150" s="209"/>
      <c r="S150" s="210"/>
      <c r="T150" s="209"/>
    </row>
    <row r="151" spans="1:20" s="157" customFormat="1" x14ac:dyDescent="0.3">
      <c r="A151" s="494" t="s">
        <v>594</v>
      </c>
      <c r="B151" s="495">
        <v>1</v>
      </c>
      <c r="C151" s="495" t="s">
        <v>42</v>
      </c>
      <c r="D151" s="510">
        <v>8.18</v>
      </c>
      <c r="E151" s="614">
        <v>0.15</v>
      </c>
      <c r="F151" s="614">
        <v>0.4</v>
      </c>
      <c r="G151" s="617">
        <f>-0.15*0.4*4+0.1*0.4*4</f>
        <v>-7.999999999999996E-2</v>
      </c>
      <c r="H151" s="592">
        <f t="shared" si="83"/>
        <v>6.4640000000000004</v>
      </c>
      <c r="I151" s="592">
        <f>0.1*0.25*0.4+0.1*0.25*0.7</f>
        <v>2.75E-2</v>
      </c>
      <c r="J151" s="592">
        <f>((D151*E151*F151)*B151)+I151</f>
        <v>0.51829999999999998</v>
      </c>
      <c r="K151" s="592">
        <f t="shared" si="84"/>
        <v>6.1349999999999995E-2</v>
      </c>
      <c r="L151" s="592">
        <f>2.05+2.7</f>
        <v>4.75</v>
      </c>
      <c r="M151" s="592">
        <f t="shared" si="85"/>
        <v>0.96187499999999992</v>
      </c>
      <c r="N151" s="592">
        <f t="shared" si="86"/>
        <v>0.64124999999999988</v>
      </c>
      <c r="O151" s="616">
        <f t="shared" si="87"/>
        <v>7.7709999999999999</v>
      </c>
      <c r="P151" s="718"/>
      <c r="Q151" s="716"/>
      <c r="R151" s="209"/>
      <c r="S151" s="210"/>
      <c r="T151" s="209"/>
    </row>
    <row r="152" spans="1:20" s="157" customFormat="1" x14ac:dyDescent="0.3">
      <c r="A152" s="494" t="s">
        <v>595</v>
      </c>
      <c r="B152" s="495">
        <v>1</v>
      </c>
      <c r="C152" s="495" t="s">
        <v>42</v>
      </c>
      <c r="D152" s="510">
        <v>7.58</v>
      </c>
      <c r="E152" s="614">
        <v>0.15</v>
      </c>
      <c r="F152" s="614">
        <v>0.4</v>
      </c>
      <c r="G152" s="617">
        <f>-0.15*0.4+0.1*0.4*2</f>
        <v>2.0000000000000018E-2</v>
      </c>
      <c r="H152" s="592">
        <f t="shared" ref="H152:H184" si="92">((2*F152)*D152)+G152</f>
        <v>6.0839999999999996</v>
      </c>
      <c r="I152" s="592">
        <f>0.1*0.4*0.25</f>
        <v>1.0000000000000002E-2</v>
      </c>
      <c r="J152" s="592">
        <f>((D152*E152*F152)*B152)+I152</f>
        <v>0.46480000000000005</v>
      </c>
      <c r="K152" s="592">
        <f t="shared" ref="K152:K184" si="93">D152*E152*0.05</f>
        <v>5.6850000000000005E-2</v>
      </c>
      <c r="L152" s="592">
        <f>2.7+2.15</f>
        <v>4.8499999999999996</v>
      </c>
      <c r="M152" s="592">
        <f t="shared" ref="M152:M184" si="94">L152*(E152+0.3)*(F152+0.05)</f>
        <v>0.98212499999999991</v>
      </c>
      <c r="N152" s="592">
        <f t="shared" ref="N152:N184" si="95">M152-(L152*E152*(F152+0.05))</f>
        <v>0.65474999999999994</v>
      </c>
      <c r="O152" s="616">
        <f t="shared" ref="O152:O184" si="96">D152*(E152+(F152*2))</f>
        <v>7.2010000000000005</v>
      </c>
      <c r="P152" s="718"/>
      <c r="Q152" s="716"/>
      <c r="R152" s="209"/>
      <c r="S152" s="210"/>
      <c r="T152" s="209"/>
    </row>
    <row r="153" spans="1:20" s="157" customFormat="1" x14ac:dyDescent="0.3">
      <c r="A153" s="494" t="s">
        <v>596</v>
      </c>
      <c r="B153" s="495">
        <v>1</v>
      </c>
      <c r="C153" s="495" t="s">
        <v>42</v>
      </c>
      <c r="D153" s="510">
        <v>7.48</v>
      </c>
      <c r="E153" s="614">
        <v>0.15</v>
      </c>
      <c r="F153" s="614">
        <v>0.4</v>
      </c>
      <c r="G153" s="617">
        <f>-0.15*0.4+0.1*0.4*2</f>
        <v>2.0000000000000018E-2</v>
      </c>
      <c r="H153" s="592">
        <f t="shared" ref="H153:H154" si="97">((2*F153)*D153)+G153</f>
        <v>6.0040000000000013</v>
      </c>
      <c r="I153" s="592">
        <f>0.1*0.4*0.25</f>
        <v>1.0000000000000002E-2</v>
      </c>
      <c r="J153" s="592">
        <f t="shared" ref="J153" si="98">((D153*E153*F153)*B153)+I153</f>
        <v>0.4588000000000001</v>
      </c>
      <c r="K153" s="592">
        <f t="shared" si="93"/>
        <v>5.6100000000000011E-2</v>
      </c>
      <c r="L153" s="592">
        <f>2.05+2.7</f>
        <v>4.75</v>
      </c>
      <c r="M153" s="592">
        <f t="shared" si="94"/>
        <v>0.96187499999999992</v>
      </c>
      <c r="N153" s="592">
        <f t="shared" si="95"/>
        <v>0.64124999999999988</v>
      </c>
      <c r="O153" s="616">
        <f t="shared" si="96"/>
        <v>7.1060000000000008</v>
      </c>
      <c r="P153" s="718"/>
      <c r="Q153" s="716"/>
      <c r="R153" s="209"/>
      <c r="S153" s="210"/>
      <c r="T153" s="209"/>
    </row>
    <row r="154" spans="1:20" s="157" customFormat="1" x14ac:dyDescent="0.3">
      <c r="A154" s="494" t="s">
        <v>597</v>
      </c>
      <c r="B154" s="495">
        <v>1</v>
      </c>
      <c r="C154" s="495" t="s">
        <v>42</v>
      </c>
      <c r="D154" s="510">
        <v>8.2799999999999994</v>
      </c>
      <c r="E154" s="614">
        <v>0.15</v>
      </c>
      <c r="F154" s="614">
        <v>0.4</v>
      </c>
      <c r="G154" s="617">
        <f>-0.15*0.4*4+0.1*0.4*4</f>
        <v>-7.999999999999996E-2</v>
      </c>
      <c r="H154" s="592">
        <f t="shared" si="97"/>
        <v>6.5439999999999996</v>
      </c>
      <c r="I154" s="592">
        <f>0.1*0.25*0.4+0.1*0.25*0.7</f>
        <v>2.75E-2</v>
      </c>
      <c r="J154" s="592">
        <f>((D154*E154*F154)*B154)+I154</f>
        <v>0.52429999999999988</v>
      </c>
      <c r="K154" s="592">
        <f t="shared" si="93"/>
        <v>6.2099999999999989E-2</v>
      </c>
      <c r="L154" s="592">
        <f>2.7+2.15</f>
        <v>4.8499999999999996</v>
      </c>
      <c r="M154" s="592">
        <f t="shared" si="94"/>
        <v>0.98212499999999991</v>
      </c>
      <c r="N154" s="592">
        <f t="shared" si="95"/>
        <v>0.65474999999999994</v>
      </c>
      <c r="O154" s="616">
        <f t="shared" si="96"/>
        <v>7.8659999999999997</v>
      </c>
      <c r="P154" s="718"/>
      <c r="Q154" s="716"/>
      <c r="R154" s="209"/>
      <c r="S154" s="210"/>
      <c r="T154" s="209"/>
    </row>
    <row r="155" spans="1:20" s="157" customFormat="1" x14ac:dyDescent="0.3">
      <c r="A155" s="494" t="s">
        <v>598</v>
      </c>
      <c r="B155" s="495">
        <v>1</v>
      </c>
      <c r="C155" s="495" t="s">
        <v>42</v>
      </c>
      <c r="D155" s="510">
        <f>3.85+4.28</f>
        <v>8.1300000000000008</v>
      </c>
      <c r="E155" s="614">
        <v>0.15</v>
      </c>
      <c r="F155" s="614">
        <v>0.4</v>
      </c>
      <c r="G155" s="617">
        <f>-0.15*0.4*5</f>
        <v>-0.3</v>
      </c>
      <c r="H155" s="592">
        <f t="shared" si="92"/>
        <v>6.2040000000000015</v>
      </c>
      <c r="I155" s="592">
        <f>0.05*0.4*0.6</f>
        <v>1.2000000000000002E-2</v>
      </c>
      <c r="J155" s="592">
        <f>((D155*E155*F155)*B155)+I155</f>
        <v>0.49980000000000002</v>
      </c>
      <c r="K155" s="592">
        <f t="shared" si="93"/>
        <v>6.0975000000000001E-2</v>
      </c>
      <c r="L155" s="592">
        <f>1.34+2.02</f>
        <v>3.3600000000000003</v>
      </c>
      <c r="M155" s="592">
        <f t="shared" si="94"/>
        <v>0.6804</v>
      </c>
      <c r="N155" s="592">
        <f t="shared" si="95"/>
        <v>0.4536</v>
      </c>
      <c r="O155" s="616">
        <f t="shared" si="96"/>
        <v>7.7235000000000014</v>
      </c>
      <c r="P155" s="718"/>
      <c r="Q155" s="716"/>
      <c r="R155" s="209"/>
      <c r="S155" s="210"/>
      <c r="T155" s="209"/>
    </row>
    <row r="156" spans="1:20" s="157" customFormat="1" x14ac:dyDescent="0.3">
      <c r="A156" s="494" t="s">
        <v>599</v>
      </c>
      <c r="B156" s="495">
        <v>1</v>
      </c>
      <c r="C156" s="495" t="s">
        <v>42</v>
      </c>
      <c r="D156" s="510">
        <f>3.58+3.85</f>
        <v>7.43</v>
      </c>
      <c r="E156" s="614">
        <v>0.15</v>
      </c>
      <c r="F156" s="614">
        <v>0.4</v>
      </c>
      <c r="G156" s="592">
        <f>-0.15*0.4*4</f>
        <v>-0.24</v>
      </c>
      <c r="H156" s="592">
        <f t="shared" si="92"/>
        <v>5.7039999999999997</v>
      </c>
      <c r="I156" s="592"/>
      <c r="J156" s="592">
        <f t="shared" ref="J156:J157" si="99">((D156*E156*F156)*B156)+I156</f>
        <v>0.44579999999999997</v>
      </c>
      <c r="K156" s="592">
        <f t="shared" si="93"/>
        <v>5.5724999999999997E-2</v>
      </c>
      <c r="L156" s="592">
        <f>1.96+1.95</f>
        <v>3.91</v>
      </c>
      <c r="M156" s="592">
        <f t="shared" si="94"/>
        <v>0.7917749999999999</v>
      </c>
      <c r="N156" s="592">
        <f t="shared" si="95"/>
        <v>0.52784999999999993</v>
      </c>
      <c r="O156" s="616">
        <f t="shared" si="96"/>
        <v>7.0585000000000004</v>
      </c>
      <c r="P156" s="718"/>
      <c r="Q156" s="716"/>
      <c r="R156" s="209"/>
      <c r="S156" s="210"/>
      <c r="T156" s="209"/>
    </row>
    <row r="157" spans="1:20" s="157" customFormat="1" x14ac:dyDescent="0.3">
      <c r="A157" s="494" t="s">
        <v>600</v>
      </c>
      <c r="B157" s="495">
        <v>1</v>
      </c>
      <c r="C157" s="495" t="s">
        <v>42</v>
      </c>
      <c r="D157" s="510">
        <f>3.85+4.28</f>
        <v>8.1300000000000008</v>
      </c>
      <c r="E157" s="614">
        <v>0.15</v>
      </c>
      <c r="F157" s="614">
        <v>0.4</v>
      </c>
      <c r="G157" s="592">
        <f>-0.15*0.4*5+0.05*0.4*2</f>
        <v>-0.26</v>
      </c>
      <c r="H157" s="592">
        <f t="shared" si="92"/>
        <v>6.2440000000000015</v>
      </c>
      <c r="I157" s="592">
        <f>0.05*0.4*0.6</f>
        <v>1.2000000000000002E-2</v>
      </c>
      <c r="J157" s="592">
        <f t="shared" si="99"/>
        <v>0.49980000000000002</v>
      </c>
      <c r="K157" s="592">
        <f t="shared" si="93"/>
        <v>6.0975000000000001E-2</v>
      </c>
      <c r="L157" s="592">
        <f>1.84+2.02</f>
        <v>3.8600000000000003</v>
      </c>
      <c r="M157" s="592">
        <f t="shared" si="94"/>
        <v>0.78164999999999996</v>
      </c>
      <c r="N157" s="592">
        <f t="shared" si="95"/>
        <v>0.5210999999999999</v>
      </c>
      <c r="O157" s="616">
        <f t="shared" si="96"/>
        <v>7.7235000000000014</v>
      </c>
      <c r="P157" s="718"/>
      <c r="Q157" s="716"/>
      <c r="R157" s="209"/>
      <c r="S157" s="210"/>
      <c r="T157" s="209"/>
    </row>
    <row r="158" spans="1:20" s="157" customFormat="1" x14ac:dyDescent="0.3">
      <c r="A158" s="494" t="s">
        <v>601</v>
      </c>
      <c r="B158" s="495">
        <v>1</v>
      </c>
      <c r="C158" s="495" t="s">
        <v>42</v>
      </c>
      <c r="D158" s="510">
        <f>3.58+3.85</f>
        <v>7.43</v>
      </c>
      <c r="E158" s="614">
        <v>0.15</v>
      </c>
      <c r="F158" s="614">
        <v>0.4</v>
      </c>
      <c r="G158" s="592">
        <f>-0.15*0.4*5</f>
        <v>-0.3</v>
      </c>
      <c r="H158" s="592">
        <f t="shared" si="92"/>
        <v>5.6440000000000001</v>
      </c>
      <c r="I158" s="617"/>
      <c r="J158" s="592">
        <f>((D158*E158*F158)*B158)+I158</f>
        <v>0.44579999999999997</v>
      </c>
      <c r="K158" s="592">
        <f t="shared" si="93"/>
        <v>5.5724999999999997E-2</v>
      </c>
      <c r="L158" s="592">
        <f>2.02+1.9</f>
        <v>3.92</v>
      </c>
      <c r="M158" s="592">
        <f t="shared" si="94"/>
        <v>0.79379999999999995</v>
      </c>
      <c r="N158" s="592">
        <f t="shared" si="95"/>
        <v>0.52919999999999989</v>
      </c>
      <c r="O158" s="616">
        <f t="shared" si="96"/>
        <v>7.0585000000000004</v>
      </c>
      <c r="P158" s="718"/>
      <c r="Q158" s="716"/>
      <c r="R158" s="209"/>
      <c r="S158" s="210"/>
      <c r="T158" s="209"/>
    </row>
    <row r="159" spans="1:20" s="157" customFormat="1" x14ac:dyDescent="0.3">
      <c r="A159" s="494" t="s">
        <v>602</v>
      </c>
      <c r="B159" s="495">
        <v>1</v>
      </c>
      <c r="C159" s="495" t="s">
        <v>42</v>
      </c>
      <c r="D159" s="510">
        <f>3.85+1.05</f>
        <v>4.9000000000000004</v>
      </c>
      <c r="E159" s="614">
        <v>0.15</v>
      </c>
      <c r="F159" s="614">
        <v>0.4</v>
      </c>
      <c r="G159" s="617">
        <f>-0.15*0.4*3</f>
        <v>-0.18</v>
      </c>
      <c r="H159" s="592">
        <f t="shared" si="92"/>
        <v>3.74</v>
      </c>
      <c r="I159" s="592"/>
      <c r="J159" s="592">
        <f>((D159*E159*F159)*B159)+I159</f>
        <v>0.29399999999999998</v>
      </c>
      <c r="K159" s="592">
        <f t="shared" si="93"/>
        <v>3.6749999999999998E-2</v>
      </c>
      <c r="L159" s="592">
        <v>1.74</v>
      </c>
      <c r="M159" s="592">
        <f t="shared" si="94"/>
        <v>0.35235</v>
      </c>
      <c r="N159" s="592">
        <f t="shared" si="95"/>
        <v>0.2349</v>
      </c>
      <c r="O159" s="616">
        <f t="shared" si="96"/>
        <v>4.6550000000000002</v>
      </c>
      <c r="P159" s="718"/>
      <c r="Q159" s="716"/>
      <c r="R159" s="209"/>
      <c r="S159" s="210"/>
      <c r="T159" s="209"/>
    </row>
    <row r="160" spans="1:20" s="157" customFormat="1" x14ac:dyDescent="0.3">
      <c r="A160" s="494" t="s">
        <v>603</v>
      </c>
      <c r="B160" s="495">
        <v>1</v>
      </c>
      <c r="C160" s="495" t="s">
        <v>42</v>
      </c>
      <c r="D160" s="510">
        <v>6.8</v>
      </c>
      <c r="E160" s="614">
        <v>0.15</v>
      </c>
      <c r="F160" s="614">
        <v>0.4</v>
      </c>
      <c r="G160" s="617">
        <f>-0.15*0.4*3</f>
        <v>-0.18</v>
      </c>
      <c r="H160" s="592">
        <f t="shared" si="92"/>
        <v>5.2600000000000007</v>
      </c>
      <c r="I160" s="592"/>
      <c r="J160" s="592">
        <f t="shared" ref="J160" si="100">((D160*E160*F160)*B160)+I160</f>
        <v>0.40800000000000003</v>
      </c>
      <c r="K160" s="592">
        <f t="shared" si="93"/>
        <v>5.1000000000000004E-2</v>
      </c>
      <c r="L160" s="592">
        <v>5.66</v>
      </c>
      <c r="M160" s="592">
        <f t="shared" si="94"/>
        <v>1.14615</v>
      </c>
      <c r="N160" s="592">
        <f t="shared" si="95"/>
        <v>0.7641</v>
      </c>
      <c r="O160" s="616">
        <f t="shared" si="96"/>
        <v>6.46</v>
      </c>
      <c r="P160" s="718"/>
      <c r="Q160" s="716"/>
      <c r="R160" s="209"/>
      <c r="S160" s="210"/>
      <c r="T160" s="209"/>
    </row>
    <row r="161" spans="1:20" s="157" customFormat="1" x14ac:dyDescent="0.3">
      <c r="A161" s="494" t="s">
        <v>604</v>
      </c>
      <c r="B161" s="495">
        <v>1</v>
      </c>
      <c r="C161" s="495" t="s">
        <v>42</v>
      </c>
      <c r="D161" s="510">
        <v>3.85</v>
      </c>
      <c r="E161" s="614">
        <v>0.15</v>
      </c>
      <c r="F161" s="614">
        <v>0.4</v>
      </c>
      <c r="G161" s="617">
        <f>-0.15*0.4*2</f>
        <v>-0.12</v>
      </c>
      <c r="H161" s="592">
        <f t="shared" si="92"/>
        <v>2.96</v>
      </c>
      <c r="I161" s="617"/>
      <c r="J161" s="592">
        <f>((D161*E161*F161)*B161)+I161</f>
        <v>0.23100000000000001</v>
      </c>
      <c r="K161" s="592">
        <f t="shared" si="93"/>
        <v>2.8875000000000001E-2</v>
      </c>
      <c r="L161" s="592">
        <v>2.34</v>
      </c>
      <c r="M161" s="592">
        <f t="shared" si="94"/>
        <v>0.47384999999999999</v>
      </c>
      <c r="N161" s="592">
        <f t="shared" si="95"/>
        <v>0.31589999999999996</v>
      </c>
      <c r="O161" s="616">
        <f t="shared" si="96"/>
        <v>3.6575000000000002</v>
      </c>
      <c r="P161" s="718"/>
      <c r="Q161" s="716"/>
      <c r="R161" s="209"/>
      <c r="S161" s="210"/>
      <c r="T161" s="209"/>
    </row>
    <row r="162" spans="1:20" s="157" customFormat="1" x14ac:dyDescent="0.3">
      <c r="A162" s="494" t="s">
        <v>605</v>
      </c>
      <c r="B162" s="495">
        <v>1</v>
      </c>
      <c r="C162" s="495" t="s">
        <v>42</v>
      </c>
      <c r="D162" s="510">
        <f>3.85+1.05</f>
        <v>4.9000000000000004</v>
      </c>
      <c r="E162" s="614">
        <v>0.15</v>
      </c>
      <c r="F162" s="614">
        <v>0.4</v>
      </c>
      <c r="G162" s="617">
        <f>-0.15*0.4*3</f>
        <v>-0.18</v>
      </c>
      <c r="H162" s="592">
        <f t="shared" si="92"/>
        <v>3.74</v>
      </c>
      <c r="I162" s="592"/>
      <c r="J162" s="592">
        <f>((D162*E162*F162)*B162)+I162</f>
        <v>0.29399999999999998</v>
      </c>
      <c r="K162" s="592">
        <f t="shared" si="93"/>
        <v>3.6749999999999998E-2</v>
      </c>
      <c r="L162" s="592">
        <v>1.84</v>
      </c>
      <c r="M162" s="592">
        <f t="shared" si="94"/>
        <v>0.37259999999999999</v>
      </c>
      <c r="N162" s="592">
        <f t="shared" si="95"/>
        <v>0.24839999999999995</v>
      </c>
      <c r="O162" s="616">
        <f t="shared" si="96"/>
        <v>4.6550000000000002</v>
      </c>
      <c r="P162" s="718"/>
      <c r="Q162" s="716"/>
      <c r="R162" s="209"/>
      <c r="S162" s="210"/>
      <c r="T162" s="209"/>
    </row>
    <row r="163" spans="1:20" s="157" customFormat="1" x14ac:dyDescent="0.3">
      <c r="A163" s="494" t="s">
        <v>606</v>
      </c>
      <c r="B163" s="495">
        <v>1</v>
      </c>
      <c r="C163" s="495" t="s">
        <v>42</v>
      </c>
      <c r="D163" s="510">
        <v>6.8</v>
      </c>
      <c r="E163" s="614">
        <v>0.15</v>
      </c>
      <c r="F163" s="614">
        <v>0.4</v>
      </c>
      <c r="G163" s="617">
        <f>-0.15*0.4*3</f>
        <v>-0.18</v>
      </c>
      <c r="H163" s="592">
        <f t="shared" si="92"/>
        <v>5.2600000000000007</v>
      </c>
      <c r="I163" s="592"/>
      <c r="J163" s="592">
        <f>((D163*E163*F163)*B163)+I163</f>
        <v>0.40800000000000003</v>
      </c>
      <c r="K163" s="592">
        <f t="shared" si="93"/>
        <v>5.1000000000000004E-2</v>
      </c>
      <c r="L163" s="592">
        <v>5.66</v>
      </c>
      <c r="M163" s="592">
        <f t="shared" si="94"/>
        <v>1.14615</v>
      </c>
      <c r="N163" s="592">
        <f t="shared" si="95"/>
        <v>0.7641</v>
      </c>
      <c r="O163" s="616">
        <f t="shared" si="96"/>
        <v>6.46</v>
      </c>
      <c r="P163" s="718"/>
      <c r="Q163" s="716"/>
      <c r="R163" s="209"/>
      <c r="S163" s="210"/>
      <c r="T163" s="209"/>
    </row>
    <row r="164" spans="1:20" s="157" customFormat="1" x14ac:dyDescent="0.3">
      <c r="A164" s="494" t="s">
        <v>607</v>
      </c>
      <c r="B164" s="495">
        <v>1</v>
      </c>
      <c r="C164" s="495" t="s">
        <v>42</v>
      </c>
      <c r="D164" s="510">
        <v>3.85</v>
      </c>
      <c r="E164" s="614">
        <v>0.15</v>
      </c>
      <c r="F164" s="614">
        <v>0.4</v>
      </c>
      <c r="G164" s="592">
        <f>-0.15*0.4*2</f>
        <v>-0.12</v>
      </c>
      <c r="H164" s="592">
        <f t="shared" si="92"/>
        <v>2.96</v>
      </c>
      <c r="I164" s="592"/>
      <c r="J164" s="592">
        <f t="shared" ref="J164" si="101">((D164*E164*F164)*B164)+I164</f>
        <v>0.23100000000000001</v>
      </c>
      <c r="K164" s="592">
        <f t="shared" si="93"/>
        <v>2.8875000000000001E-2</v>
      </c>
      <c r="L164" s="592">
        <v>1.9</v>
      </c>
      <c r="M164" s="592">
        <f t="shared" si="94"/>
        <v>0.38474999999999993</v>
      </c>
      <c r="N164" s="592">
        <f t="shared" si="95"/>
        <v>0.25649999999999995</v>
      </c>
      <c r="O164" s="616">
        <f t="shared" si="96"/>
        <v>3.6575000000000002</v>
      </c>
      <c r="P164" s="718"/>
      <c r="Q164" s="716"/>
      <c r="R164" s="209"/>
      <c r="S164" s="210"/>
      <c r="T164" s="209"/>
    </row>
    <row r="165" spans="1:20" s="157" customFormat="1" x14ac:dyDescent="0.3">
      <c r="A165" s="494" t="s">
        <v>608</v>
      </c>
      <c r="B165" s="495">
        <v>1</v>
      </c>
      <c r="C165" s="495" t="s">
        <v>42</v>
      </c>
      <c r="D165" s="510">
        <v>10.95</v>
      </c>
      <c r="E165" s="614">
        <v>0.15</v>
      </c>
      <c r="F165" s="614">
        <v>0.4</v>
      </c>
      <c r="G165" s="592">
        <f>-0.15*0.4*2+0.1*0.4*2+0.05*0.4*2</f>
        <v>0</v>
      </c>
      <c r="H165" s="592">
        <f t="shared" si="92"/>
        <v>8.76</v>
      </c>
      <c r="I165" s="592">
        <f>0.1*0.4*0.7+0.05*0.4*0.5</f>
        <v>3.8000000000000006E-2</v>
      </c>
      <c r="J165" s="592">
        <f>((D165*E165*F165)*B165)+I165</f>
        <v>0.69500000000000006</v>
      </c>
      <c r="K165" s="592">
        <f t="shared" si="93"/>
        <v>8.2125000000000004E-2</v>
      </c>
      <c r="L165" s="592">
        <f>2.75+4.53</f>
        <v>7.28</v>
      </c>
      <c r="M165" s="592">
        <f t="shared" si="94"/>
        <v>1.4742</v>
      </c>
      <c r="N165" s="592">
        <f t="shared" si="95"/>
        <v>0.9827999999999999</v>
      </c>
      <c r="O165" s="616">
        <f t="shared" si="96"/>
        <v>10.4025</v>
      </c>
      <c r="P165" s="718"/>
      <c r="Q165" s="716"/>
      <c r="R165" s="209"/>
      <c r="S165" s="210"/>
      <c r="T165" s="209"/>
    </row>
    <row r="166" spans="1:20" s="157" customFormat="1" x14ac:dyDescent="0.3">
      <c r="A166" s="494" t="s">
        <v>609</v>
      </c>
      <c r="B166" s="495">
        <v>1</v>
      </c>
      <c r="C166" s="495" t="s">
        <v>42</v>
      </c>
      <c r="D166" s="510">
        <v>0.65</v>
      </c>
      <c r="E166" s="614">
        <v>0.15</v>
      </c>
      <c r="F166" s="614">
        <v>0.4</v>
      </c>
      <c r="G166" s="617"/>
      <c r="H166" s="592">
        <f t="shared" si="92"/>
        <v>0.52</v>
      </c>
      <c r="I166" s="592"/>
      <c r="J166" s="592">
        <f>((D166*E166*F166)*B166)+I166</f>
        <v>3.9000000000000007E-2</v>
      </c>
      <c r="K166" s="592">
        <f t="shared" si="93"/>
        <v>4.8750000000000009E-3</v>
      </c>
      <c r="L166" s="592">
        <v>0.35</v>
      </c>
      <c r="M166" s="592">
        <f t="shared" si="94"/>
        <v>7.0874999999999994E-2</v>
      </c>
      <c r="N166" s="592">
        <f t="shared" si="95"/>
        <v>4.7249999999999993E-2</v>
      </c>
      <c r="O166" s="616">
        <f t="shared" si="96"/>
        <v>0.61750000000000005</v>
      </c>
      <c r="P166" s="718"/>
      <c r="Q166" s="716"/>
      <c r="R166" s="209"/>
      <c r="S166" s="210"/>
      <c r="T166" s="209"/>
    </row>
    <row r="167" spans="1:20" s="157" customFormat="1" x14ac:dyDescent="0.3">
      <c r="A167" s="494" t="s">
        <v>610</v>
      </c>
      <c r="B167" s="495">
        <v>1</v>
      </c>
      <c r="C167" s="495" t="s">
        <v>42</v>
      </c>
      <c r="D167" s="510">
        <v>0.65</v>
      </c>
      <c r="E167" s="614">
        <v>0.15</v>
      </c>
      <c r="F167" s="614">
        <v>0.4</v>
      </c>
      <c r="G167" s="592"/>
      <c r="H167" s="592">
        <f t="shared" si="92"/>
        <v>0.52</v>
      </c>
      <c r="I167" s="592"/>
      <c r="J167" s="592">
        <f t="shared" ref="J167:J168" si="102">((D167*E167*F167)*B167)+I167</f>
        <v>3.9000000000000007E-2</v>
      </c>
      <c r="K167" s="592">
        <f t="shared" si="93"/>
        <v>4.8750000000000009E-3</v>
      </c>
      <c r="L167" s="592">
        <v>0</v>
      </c>
      <c r="M167" s="592">
        <f t="shared" si="94"/>
        <v>0</v>
      </c>
      <c r="N167" s="592">
        <f t="shared" si="95"/>
        <v>0</v>
      </c>
      <c r="O167" s="616">
        <f t="shared" si="96"/>
        <v>0.61750000000000005</v>
      </c>
      <c r="P167" s="718"/>
      <c r="Q167" s="716"/>
      <c r="R167" s="209"/>
      <c r="S167" s="210"/>
      <c r="T167" s="209"/>
    </row>
    <row r="168" spans="1:20" s="157" customFormat="1" x14ac:dyDescent="0.3">
      <c r="A168" s="494" t="s">
        <v>611</v>
      </c>
      <c r="B168" s="495">
        <v>1</v>
      </c>
      <c r="C168" s="495" t="s">
        <v>42</v>
      </c>
      <c r="D168" s="510">
        <f>2+3.8+4.75</f>
        <v>10.55</v>
      </c>
      <c r="E168" s="614">
        <v>0.15</v>
      </c>
      <c r="F168" s="614">
        <v>0.4</v>
      </c>
      <c r="G168" s="592">
        <f>-0.15*0.4*4</f>
        <v>-0.24</v>
      </c>
      <c r="H168" s="592">
        <f t="shared" si="92"/>
        <v>8.2000000000000011</v>
      </c>
      <c r="I168" s="592"/>
      <c r="J168" s="592">
        <f t="shared" si="102"/>
        <v>0.63300000000000001</v>
      </c>
      <c r="K168" s="592">
        <f t="shared" si="93"/>
        <v>7.9125000000000001E-2</v>
      </c>
      <c r="L168" s="592">
        <f>0.58+2.7+2.97</f>
        <v>6.25</v>
      </c>
      <c r="M168" s="592">
        <f t="shared" si="94"/>
        <v>1.2656249999999998</v>
      </c>
      <c r="N168" s="592">
        <f t="shared" si="95"/>
        <v>0.84374999999999978</v>
      </c>
      <c r="O168" s="616">
        <f t="shared" si="96"/>
        <v>10.022500000000001</v>
      </c>
      <c r="P168" s="718"/>
      <c r="Q168" s="716"/>
      <c r="R168" s="209"/>
      <c r="S168" s="210"/>
      <c r="T168" s="209"/>
    </row>
    <row r="169" spans="1:20" s="157" customFormat="1" x14ac:dyDescent="0.3">
      <c r="A169" s="494" t="s">
        <v>612</v>
      </c>
      <c r="B169" s="495">
        <v>1</v>
      </c>
      <c r="C169" s="495" t="s">
        <v>42</v>
      </c>
      <c r="D169" s="510">
        <v>0.65</v>
      </c>
      <c r="E169" s="614">
        <v>0.15</v>
      </c>
      <c r="F169" s="614">
        <v>0.4</v>
      </c>
      <c r="G169" s="592"/>
      <c r="H169" s="592">
        <f t="shared" si="92"/>
        <v>0.52</v>
      </c>
      <c r="I169" s="617"/>
      <c r="J169" s="592">
        <f>((D169*E169*F169)*B169)+I169</f>
        <v>3.9000000000000007E-2</v>
      </c>
      <c r="K169" s="592">
        <f t="shared" si="93"/>
        <v>4.8750000000000009E-3</v>
      </c>
      <c r="L169" s="592">
        <v>0</v>
      </c>
      <c r="M169" s="592">
        <f t="shared" si="94"/>
        <v>0</v>
      </c>
      <c r="N169" s="592">
        <f t="shared" si="95"/>
        <v>0</v>
      </c>
      <c r="O169" s="616">
        <f t="shared" si="96"/>
        <v>0.61750000000000005</v>
      </c>
      <c r="P169" s="718"/>
      <c r="Q169" s="716"/>
      <c r="R169" s="209"/>
      <c r="S169" s="210"/>
      <c r="T169" s="209"/>
    </row>
    <row r="170" spans="1:20" s="157" customFormat="1" x14ac:dyDescent="0.3">
      <c r="A170" s="494" t="s">
        <v>613</v>
      </c>
      <c r="B170" s="495">
        <v>1</v>
      </c>
      <c r="C170" s="495" t="s">
        <v>42</v>
      </c>
      <c r="D170" s="510">
        <v>0.65</v>
      </c>
      <c r="E170" s="614">
        <v>0.15</v>
      </c>
      <c r="F170" s="614">
        <v>0.4</v>
      </c>
      <c r="G170" s="617"/>
      <c r="H170" s="592">
        <f t="shared" si="92"/>
        <v>0.52</v>
      </c>
      <c r="I170" s="592"/>
      <c r="J170" s="592">
        <f>((D170*E170*F170)*B170)+I170</f>
        <v>3.9000000000000007E-2</v>
      </c>
      <c r="K170" s="592">
        <f t="shared" si="93"/>
        <v>4.8750000000000009E-3</v>
      </c>
      <c r="L170" s="592">
        <v>0.35</v>
      </c>
      <c r="M170" s="592">
        <f t="shared" si="94"/>
        <v>7.0874999999999994E-2</v>
      </c>
      <c r="N170" s="592">
        <f t="shared" si="95"/>
        <v>4.7249999999999993E-2</v>
      </c>
      <c r="O170" s="616">
        <f t="shared" si="96"/>
        <v>0.61750000000000005</v>
      </c>
      <c r="P170" s="718"/>
      <c r="Q170" s="716"/>
      <c r="R170" s="209"/>
      <c r="S170" s="210"/>
      <c r="T170" s="209"/>
    </row>
    <row r="171" spans="1:20" s="157" customFormat="1" x14ac:dyDescent="0.3">
      <c r="A171" s="494" t="s">
        <v>614</v>
      </c>
      <c r="B171" s="495">
        <v>1</v>
      </c>
      <c r="C171" s="495" t="s">
        <v>42</v>
      </c>
      <c r="D171" s="510">
        <v>3.75</v>
      </c>
      <c r="E171" s="614">
        <v>0.15</v>
      </c>
      <c r="F171" s="614">
        <v>0.4</v>
      </c>
      <c r="G171" s="592"/>
      <c r="H171" s="592">
        <f t="shared" si="92"/>
        <v>3</v>
      </c>
      <c r="I171" s="592"/>
      <c r="J171" s="592">
        <f t="shared" ref="J171" si="103">((D171*E171*F171)*B171)+I171</f>
        <v>0.22500000000000001</v>
      </c>
      <c r="K171" s="592">
        <f t="shared" si="93"/>
        <v>2.8125000000000001E-2</v>
      </c>
      <c r="L171" s="592">
        <v>2.08</v>
      </c>
      <c r="M171" s="592">
        <f t="shared" si="94"/>
        <v>0.42119999999999996</v>
      </c>
      <c r="N171" s="592">
        <f t="shared" si="95"/>
        <v>0.28079999999999994</v>
      </c>
      <c r="O171" s="616">
        <f t="shared" si="96"/>
        <v>3.5625000000000004</v>
      </c>
      <c r="P171" s="718"/>
      <c r="Q171" s="716"/>
      <c r="R171" s="209"/>
      <c r="S171" s="210"/>
      <c r="T171" s="209"/>
    </row>
    <row r="172" spans="1:20" s="157" customFormat="1" x14ac:dyDescent="0.3">
      <c r="A172" s="494" t="s">
        <v>615</v>
      </c>
      <c r="B172" s="495">
        <v>1</v>
      </c>
      <c r="C172" s="495" t="s">
        <v>42</v>
      </c>
      <c r="D172" s="510">
        <v>3.8</v>
      </c>
      <c r="E172" s="614">
        <v>0.15</v>
      </c>
      <c r="F172" s="614">
        <v>0.4</v>
      </c>
      <c r="G172" s="592"/>
      <c r="H172" s="592">
        <f t="shared" si="92"/>
        <v>3.04</v>
      </c>
      <c r="I172" s="617"/>
      <c r="J172" s="592">
        <f>((D172*E172*F172)*B172)+I172</f>
        <v>0.22799999999999998</v>
      </c>
      <c r="K172" s="592">
        <f t="shared" si="93"/>
        <v>2.8499999999999998E-2</v>
      </c>
      <c r="L172" s="592">
        <v>2.13</v>
      </c>
      <c r="M172" s="592">
        <f t="shared" si="94"/>
        <v>0.43132499999999996</v>
      </c>
      <c r="N172" s="592">
        <f t="shared" si="95"/>
        <v>0.28754999999999997</v>
      </c>
      <c r="O172" s="616">
        <f t="shared" si="96"/>
        <v>3.61</v>
      </c>
      <c r="P172" s="718"/>
      <c r="Q172" s="716"/>
      <c r="R172" s="209"/>
      <c r="S172" s="210"/>
      <c r="T172" s="209"/>
    </row>
    <row r="173" spans="1:20" s="157" customFormat="1" x14ac:dyDescent="0.3">
      <c r="A173" s="494" t="s">
        <v>616</v>
      </c>
      <c r="B173" s="495">
        <v>1</v>
      </c>
      <c r="C173" s="495" t="s">
        <v>42</v>
      </c>
      <c r="D173" s="510">
        <v>0.65</v>
      </c>
      <c r="E173" s="614">
        <v>0.15</v>
      </c>
      <c r="F173" s="614">
        <v>0.4</v>
      </c>
      <c r="G173" s="617"/>
      <c r="H173" s="592">
        <f t="shared" si="92"/>
        <v>0.52</v>
      </c>
      <c r="I173" s="592"/>
      <c r="J173" s="592">
        <f>((D173*E173*F173)*B173)+I173</f>
        <v>3.9000000000000007E-2</v>
      </c>
      <c r="K173" s="592">
        <f t="shared" si="93"/>
        <v>4.8750000000000009E-3</v>
      </c>
      <c r="L173" s="592">
        <v>0.35</v>
      </c>
      <c r="M173" s="592">
        <f t="shared" si="94"/>
        <v>7.0874999999999994E-2</v>
      </c>
      <c r="N173" s="592">
        <f t="shared" si="95"/>
        <v>4.7249999999999993E-2</v>
      </c>
      <c r="O173" s="616">
        <f t="shared" si="96"/>
        <v>0.61750000000000005</v>
      </c>
      <c r="P173" s="718"/>
      <c r="Q173" s="716"/>
      <c r="R173" s="209"/>
      <c r="S173" s="210"/>
      <c r="T173" s="209"/>
    </row>
    <row r="174" spans="1:20" s="157" customFormat="1" x14ac:dyDescent="0.3">
      <c r="A174" s="494" t="s">
        <v>617</v>
      </c>
      <c r="B174" s="495">
        <v>1</v>
      </c>
      <c r="C174" s="495" t="s">
        <v>42</v>
      </c>
      <c r="D174" s="510">
        <v>0.65</v>
      </c>
      <c r="E174" s="614">
        <v>0.15</v>
      </c>
      <c r="F174" s="614">
        <v>0.4</v>
      </c>
      <c r="G174" s="617"/>
      <c r="H174" s="592">
        <f t="shared" si="92"/>
        <v>0.52</v>
      </c>
      <c r="I174" s="592"/>
      <c r="J174" s="592">
        <f>((D174*E174*F174)*B174)+I174</f>
        <v>3.9000000000000007E-2</v>
      </c>
      <c r="K174" s="592">
        <f t="shared" si="93"/>
        <v>4.8750000000000009E-3</v>
      </c>
      <c r="L174" s="592">
        <v>0</v>
      </c>
      <c r="M174" s="592">
        <f t="shared" si="94"/>
        <v>0</v>
      </c>
      <c r="N174" s="592">
        <f t="shared" si="95"/>
        <v>0</v>
      </c>
      <c r="O174" s="616">
        <f t="shared" si="96"/>
        <v>0.61750000000000005</v>
      </c>
      <c r="P174" s="718"/>
      <c r="Q174" s="716"/>
      <c r="R174" s="209"/>
      <c r="S174" s="210"/>
      <c r="T174" s="209"/>
    </row>
    <row r="175" spans="1:20" s="157" customFormat="1" x14ac:dyDescent="0.3">
      <c r="A175" s="494" t="s">
        <v>618</v>
      </c>
      <c r="B175" s="495">
        <v>1</v>
      </c>
      <c r="C175" s="495" t="s">
        <v>42</v>
      </c>
      <c r="D175" s="510">
        <f>2+3.8+4.75</f>
        <v>10.55</v>
      </c>
      <c r="E175" s="614">
        <v>0.15</v>
      </c>
      <c r="F175" s="614">
        <v>0.4</v>
      </c>
      <c r="G175" s="592">
        <f>-0.15*0.4*4</f>
        <v>-0.24</v>
      </c>
      <c r="H175" s="592">
        <f t="shared" si="92"/>
        <v>8.2000000000000011</v>
      </c>
      <c r="I175" s="592"/>
      <c r="J175" s="592">
        <f t="shared" ref="J175" si="104">((D175*E175*F175)*B175)+I175</f>
        <v>0.63300000000000001</v>
      </c>
      <c r="K175" s="592">
        <f t="shared" si="93"/>
        <v>7.9125000000000001E-2</v>
      </c>
      <c r="L175" s="592">
        <f>2.75+2.7+0.58</f>
        <v>6.03</v>
      </c>
      <c r="M175" s="592">
        <f t="shared" si="94"/>
        <v>1.2210749999999999</v>
      </c>
      <c r="N175" s="592">
        <f t="shared" si="95"/>
        <v>0.81404999999999994</v>
      </c>
      <c r="O175" s="616">
        <f t="shared" si="96"/>
        <v>10.022500000000001</v>
      </c>
      <c r="P175" s="718"/>
      <c r="Q175" s="716"/>
      <c r="R175" s="209"/>
      <c r="S175" s="210"/>
      <c r="T175" s="209"/>
    </row>
    <row r="176" spans="1:20" s="157" customFormat="1" x14ac:dyDescent="0.3">
      <c r="A176" s="494" t="s">
        <v>619</v>
      </c>
      <c r="B176" s="495">
        <v>1</v>
      </c>
      <c r="C176" s="495" t="s">
        <v>42</v>
      </c>
      <c r="D176" s="510">
        <v>0.65</v>
      </c>
      <c r="E176" s="614">
        <v>0.15</v>
      </c>
      <c r="F176" s="614">
        <v>0.4</v>
      </c>
      <c r="G176" s="592"/>
      <c r="H176" s="592">
        <f t="shared" si="92"/>
        <v>0.52</v>
      </c>
      <c r="I176" s="617"/>
      <c r="J176" s="592">
        <f>((D176*E176*F176)*B176)+I176</f>
        <v>3.9000000000000007E-2</v>
      </c>
      <c r="K176" s="592">
        <f t="shared" si="93"/>
        <v>4.8750000000000009E-3</v>
      </c>
      <c r="L176" s="592">
        <v>0</v>
      </c>
      <c r="M176" s="592">
        <f t="shared" si="94"/>
        <v>0</v>
      </c>
      <c r="N176" s="592">
        <f t="shared" si="95"/>
        <v>0</v>
      </c>
      <c r="O176" s="616">
        <f t="shared" si="96"/>
        <v>0.61750000000000005</v>
      </c>
      <c r="P176" s="718"/>
      <c r="Q176" s="716"/>
      <c r="R176" s="209"/>
      <c r="S176" s="210"/>
      <c r="T176" s="209"/>
    </row>
    <row r="177" spans="1:20" s="157" customFormat="1" x14ac:dyDescent="0.3">
      <c r="A177" s="494" t="s">
        <v>620</v>
      </c>
      <c r="B177" s="495">
        <v>1</v>
      </c>
      <c r="C177" s="495" t="s">
        <v>42</v>
      </c>
      <c r="D177" s="510">
        <v>0.65</v>
      </c>
      <c r="E177" s="614">
        <v>0.15</v>
      </c>
      <c r="F177" s="614">
        <v>0.4</v>
      </c>
      <c r="G177" s="617"/>
      <c r="H177" s="592">
        <f t="shared" si="92"/>
        <v>0.52</v>
      </c>
      <c r="I177" s="592"/>
      <c r="J177" s="592">
        <f>((D177*E177*F177)*B177)+I177</f>
        <v>3.9000000000000007E-2</v>
      </c>
      <c r="K177" s="592">
        <f t="shared" si="93"/>
        <v>4.8750000000000009E-3</v>
      </c>
      <c r="L177" s="592">
        <v>0.35</v>
      </c>
      <c r="M177" s="592">
        <f t="shared" si="94"/>
        <v>7.0874999999999994E-2</v>
      </c>
      <c r="N177" s="592">
        <f t="shared" si="95"/>
        <v>4.7249999999999993E-2</v>
      </c>
      <c r="O177" s="616">
        <f t="shared" si="96"/>
        <v>0.61750000000000005</v>
      </c>
      <c r="P177" s="718"/>
      <c r="Q177" s="716"/>
      <c r="R177" s="209"/>
      <c r="S177" s="210"/>
      <c r="T177" s="209"/>
    </row>
    <row r="178" spans="1:20" s="157" customFormat="1" x14ac:dyDescent="0.3">
      <c r="A178" s="494" t="s">
        <v>621</v>
      </c>
      <c r="B178" s="495">
        <v>1</v>
      </c>
      <c r="C178" s="495" t="s">
        <v>42</v>
      </c>
      <c r="D178" s="510">
        <v>10.95</v>
      </c>
      <c r="E178" s="614">
        <v>0.15</v>
      </c>
      <c r="F178" s="614">
        <v>0.4</v>
      </c>
      <c r="G178" s="592">
        <f>-0.15*0.4*7-0.2*0.4+0.05*0.4*2+0.1*0.4*2</f>
        <v>-0.37999999999999995</v>
      </c>
      <c r="H178" s="592">
        <f t="shared" si="92"/>
        <v>8.379999999999999</v>
      </c>
      <c r="I178" s="592">
        <f>0.05*0.4*0.5+0.1*0.4*0.7</f>
        <v>3.8000000000000006E-2</v>
      </c>
      <c r="J178" s="592">
        <f t="shared" ref="J178:J179" si="105">((D178*E178*F178)*B178)+I178</f>
        <v>0.69500000000000006</v>
      </c>
      <c r="K178" s="592">
        <f t="shared" si="93"/>
        <v>8.2125000000000004E-2</v>
      </c>
      <c r="L178" s="592">
        <f>4.53+2.97</f>
        <v>7.5</v>
      </c>
      <c r="M178" s="592">
        <f t="shared" si="94"/>
        <v>1.5187499999999998</v>
      </c>
      <c r="N178" s="592">
        <f t="shared" si="95"/>
        <v>1.0124999999999997</v>
      </c>
      <c r="O178" s="616">
        <f t="shared" si="96"/>
        <v>10.4025</v>
      </c>
      <c r="P178" s="718"/>
      <c r="Q178" s="716"/>
      <c r="R178" s="209"/>
      <c r="S178" s="210"/>
      <c r="T178" s="209"/>
    </row>
    <row r="179" spans="1:20" s="157" customFormat="1" x14ac:dyDescent="0.3">
      <c r="A179" s="494" t="s">
        <v>622</v>
      </c>
      <c r="B179" s="495">
        <v>1</v>
      </c>
      <c r="C179" s="495" t="s">
        <v>42</v>
      </c>
      <c r="D179" s="510">
        <v>0.65</v>
      </c>
      <c r="E179" s="614">
        <v>0.15</v>
      </c>
      <c r="F179" s="614">
        <v>0.4</v>
      </c>
      <c r="G179" s="592"/>
      <c r="H179" s="592">
        <f t="shared" si="92"/>
        <v>0.52</v>
      </c>
      <c r="I179" s="592"/>
      <c r="J179" s="592">
        <f t="shared" si="105"/>
        <v>3.9000000000000007E-2</v>
      </c>
      <c r="K179" s="592">
        <f t="shared" si="93"/>
        <v>4.8750000000000009E-3</v>
      </c>
      <c r="L179" s="592">
        <v>0.35</v>
      </c>
      <c r="M179" s="592">
        <f t="shared" si="94"/>
        <v>7.0874999999999994E-2</v>
      </c>
      <c r="N179" s="592">
        <f t="shared" si="95"/>
        <v>4.7249999999999993E-2</v>
      </c>
      <c r="O179" s="616">
        <f t="shared" si="96"/>
        <v>0.61750000000000005</v>
      </c>
      <c r="P179" s="718"/>
      <c r="Q179" s="716"/>
      <c r="R179" s="209"/>
      <c r="S179" s="210"/>
      <c r="T179" s="209"/>
    </row>
    <row r="180" spans="1:20" s="157" customFormat="1" x14ac:dyDescent="0.3">
      <c r="A180" s="494" t="s">
        <v>623</v>
      </c>
      <c r="B180" s="495">
        <v>1</v>
      </c>
      <c r="C180" s="495" t="s">
        <v>42</v>
      </c>
      <c r="D180" s="510">
        <v>0.65</v>
      </c>
      <c r="E180" s="614">
        <v>0.15</v>
      </c>
      <c r="F180" s="614">
        <v>0.4</v>
      </c>
      <c r="G180" s="592"/>
      <c r="H180" s="592">
        <f t="shared" si="92"/>
        <v>0.52</v>
      </c>
      <c r="I180" s="617"/>
      <c r="J180" s="592">
        <f>((D180*E180*F180)*B180)+I180</f>
        <v>3.9000000000000007E-2</v>
      </c>
      <c r="K180" s="592">
        <f t="shared" si="93"/>
        <v>4.8750000000000009E-3</v>
      </c>
      <c r="L180" s="592">
        <v>0</v>
      </c>
      <c r="M180" s="592">
        <f t="shared" si="94"/>
        <v>0</v>
      </c>
      <c r="N180" s="592">
        <f t="shared" si="95"/>
        <v>0</v>
      </c>
      <c r="O180" s="616">
        <f t="shared" si="96"/>
        <v>0.61750000000000005</v>
      </c>
      <c r="P180" s="718"/>
      <c r="Q180" s="716"/>
      <c r="R180" s="209"/>
      <c r="S180" s="210"/>
      <c r="T180" s="209"/>
    </row>
    <row r="181" spans="1:20" s="157" customFormat="1" x14ac:dyDescent="0.3">
      <c r="A181" s="494" t="s">
        <v>624</v>
      </c>
      <c r="B181" s="495">
        <v>1</v>
      </c>
      <c r="C181" s="495" t="s">
        <v>42</v>
      </c>
      <c r="D181" s="510">
        <f>4.75+3.8+2</f>
        <v>10.55</v>
      </c>
      <c r="E181" s="614">
        <v>0.15</v>
      </c>
      <c r="F181" s="614">
        <v>0.4</v>
      </c>
      <c r="G181" s="617">
        <f>-0.15*0.4*4</f>
        <v>-0.24</v>
      </c>
      <c r="H181" s="592">
        <f t="shared" si="92"/>
        <v>8.2000000000000011</v>
      </c>
      <c r="I181" s="592"/>
      <c r="J181" s="592">
        <f>((D181*E181*F181)*B181)+I181</f>
        <v>0.63300000000000001</v>
      </c>
      <c r="K181" s="592">
        <f t="shared" si="93"/>
        <v>7.9125000000000001E-2</v>
      </c>
      <c r="L181" s="592">
        <f>2.75+2.7+0.58</f>
        <v>6.03</v>
      </c>
      <c r="M181" s="592">
        <f t="shared" si="94"/>
        <v>1.2210749999999999</v>
      </c>
      <c r="N181" s="592">
        <f t="shared" si="95"/>
        <v>0.81404999999999994</v>
      </c>
      <c r="O181" s="616">
        <f t="shared" si="96"/>
        <v>10.022500000000001</v>
      </c>
      <c r="P181" s="718"/>
      <c r="Q181" s="716"/>
      <c r="R181" s="209"/>
      <c r="S181" s="210"/>
      <c r="T181" s="209"/>
    </row>
    <row r="182" spans="1:20" s="157" customFormat="1" x14ac:dyDescent="0.3">
      <c r="A182" s="494" t="s">
        <v>625</v>
      </c>
      <c r="B182" s="495">
        <v>1</v>
      </c>
      <c r="C182" s="495" t="s">
        <v>42</v>
      </c>
      <c r="D182" s="510">
        <v>0.65</v>
      </c>
      <c r="E182" s="614">
        <v>0.15</v>
      </c>
      <c r="F182" s="614">
        <v>0.4</v>
      </c>
      <c r="G182" s="592"/>
      <c r="H182" s="592">
        <f t="shared" si="92"/>
        <v>0.52</v>
      </c>
      <c r="I182" s="592"/>
      <c r="J182" s="592">
        <f t="shared" ref="J182" si="106">((D182*E182*F182)*B182)+I182</f>
        <v>3.9000000000000007E-2</v>
      </c>
      <c r="K182" s="592">
        <f t="shared" si="93"/>
        <v>4.8750000000000009E-3</v>
      </c>
      <c r="L182" s="592">
        <v>0</v>
      </c>
      <c r="M182" s="592">
        <f t="shared" si="94"/>
        <v>0</v>
      </c>
      <c r="N182" s="592">
        <f t="shared" si="95"/>
        <v>0</v>
      </c>
      <c r="O182" s="616">
        <f t="shared" si="96"/>
        <v>0.61750000000000005</v>
      </c>
      <c r="P182" s="718"/>
      <c r="Q182" s="716"/>
      <c r="R182" s="209"/>
      <c r="S182" s="210"/>
      <c r="T182" s="209"/>
    </row>
    <row r="183" spans="1:20" s="157" customFormat="1" x14ac:dyDescent="0.3">
      <c r="A183" s="494" t="s">
        <v>626</v>
      </c>
      <c r="B183" s="495">
        <v>1</v>
      </c>
      <c r="C183" s="495" t="s">
        <v>42</v>
      </c>
      <c r="D183" s="510">
        <v>0.65</v>
      </c>
      <c r="E183" s="614">
        <v>0.15</v>
      </c>
      <c r="F183" s="614">
        <v>0.4</v>
      </c>
      <c r="G183" s="592"/>
      <c r="H183" s="592">
        <f t="shared" si="92"/>
        <v>0.52</v>
      </c>
      <c r="I183" s="617"/>
      <c r="J183" s="592">
        <f>((D183*E183*F183)*B183)+I183</f>
        <v>3.9000000000000007E-2</v>
      </c>
      <c r="K183" s="592">
        <f t="shared" si="93"/>
        <v>4.8750000000000009E-3</v>
      </c>
      <c r="L183" s="592">
        <v>0.35</v>
      </c>
      <c r="M183" s="592">
        <f t="shared" si="94"/>
        <v>7.0874999999999994E-2</v>
      </c>
      <c r="N183" s="592">
        <f t="shared" si="95"/>
        <v>4.7249999999999993E-2</v>
      </c>
      <c r="O183" s="616">
        <f t="shared" si="96"/>
        <v>0.61750000000000005</v>
      </c>
      <c r="P183" s="718"/>
      <c r="Q183" s="716"/>
      <c r="R183" s="209"/>
      <c r="S183" s="210"/>
      <c r="T183" s="209"/>
    </row>
    <row r="184" spans="1:20" s="157" customFormat="1" x14ac:dyDescent="0.3">
      <c r="A184" s="494" t="s">
        <v>627</v>
      </c>
      <c r="B184" s="495">
        <v>1</v>
      </c>
      <c r="C184" s="495" t="s">
        <v>42</v>
      </c>
      <c r="D184" s="510">
        <v>3.75</v>
      </c>
      <c r="E184" s="614">
        <v>0.15</v>
      </c>
      <c r="F184" s="614">
        <v>0.4</v>
      </c>
      <c r="G184" s="617"/>
      <c r="H184" s="592">
        <f t="shared" si="92"/>
        <v>3</v>
      </c>
      <c r="I184" s="592"/>
      <c r="J184" s="592">
        <f>((D184*E184*F184)*B184)+I184</f>
        <v>0.22500000000000001</v>
      </c>
      <c r="K184" s="592">
        <f t="shared" si="93"/>
        <v>2.8125000000000001E-2</v>
      </c>
      <c r="L184" s="592">
        <v>2.08</v>
      </c>
      <c r="M184" s="592">
        <f t="shared" si="94"/>
        <v>0.42119999999999996</v>
      </c>
      <c r="N184" s="592">
        <f t="shared" si="95"/>
        <v>0.28079999999999994</v>
      </c>
      <c r="O184" s="616">
        <f t="shared" si="96"/>
        <v>3.5625000000000004</v>
      </c>
      <c r="P184" s="718"/>
      <c r="Q184" s="716"/>
      <c r="R184" s="209"/>
      <c r="S184" s="210"/>
      <c r="T184" s="209"/>
    </row>
    <row r="185" spans="1:20" s="157" customFormat="1" x14ac:dyDescent="0.3">
      <c r="A185" s="494" t="s">
        <v>628</v>
      </c>
      <c r="B185" s="495">
        <v>1</v>
      </c>
      <c r="C185" s="495" t="s">
        <v>42</v>
      </c>
      <c r="D185" s="510">
        <v>3.8</v>
      </c>
      <c r="E185" s="614">
        <v>0.15</v>
      </c>
      <c r="F185" s="614">
        <v>0.4</v>
      </c>
      <c r="G185" s="617"/>
      <c r="H185" s="592">
        <f t="shared" si="83"/>
        <v>3.04</v>
      </c>
      <c r="I185" s="592"/>
      <c r="J185" s="592">
        <f>((D185*E185*F185)*B185)+I185</f>
        <v>0.22799999999999998</v>
      </c>
      <c r="K185" s="592">
        <f t="shared" si="84"/>
        <v>2.8499999999999998E-2</v>
      </c>
      <c r="L185" s="592">
        <v>2.13</v>
      </c>
      <c r="M185" s="592">
        <f t="shared" si="85"/>
        <v>0.43132499999999996</v>
      </c>
      <c r="N185" s="592">
        <f t="shared" si="86"/>
        <v>0.28754999999999997</v>
      </c>
      <c r="O185" s="616">
        <f t="shared" si="87"/>
        <v>3.61</v>
      </c>
      <c r="P185" s="718"/>
      <c r="Q185" s="716"/>
      <c r="R185" s="209"/>
      <c r="S185" s="210"/>
      <c r="T185" s="209"/>
    </row>
    <row r="186" spans="1:20" s="157" customFormat="1" x14ac:dyDescent="0.3">
      <c r="A186" s="494" t="s">
        <v>629</v>
      </c>
      <c r="B186" s="495">
        <v>1</v>
      </c>
      <c r="C186" s="495" t="s">
        <v>42</v>
      </c>
      <c r="D186" s="510">
        <v>0.65</v>
      </c>
      <c r="E186" s="614">
        <v>0.15</v>
      </c>
      <c r="F186" s="614">
        <v>0.4</v>
      </c>
      <c r="G186" s="592"/>
      <c r="H186" s="592">
        <f t="shared" si="83"/>
        <v>0.52</v>
      </c>
      <c r="I186" s="592"/>
      <c r="J186" s="592">
        <f t="shared" ref="J186" si="107">((D186*E186*F186)*B186)+I186</f>
        <v>3.9000000000000007E-2</v>
      </c>
      <c r="K186" s="592">
        <f t="shared" si="84"/>
        <v>4.8750000000000009E-3</v>
      </c>
      <c r="L186" s="592">
        <v>0.35</v>
      </c>
      <c r="M186" s="592">
        <f t="shared" si="85"/>
        <v>7.0874999999999994E-2</v>
      </c>
      <c r="N186" s="592">
        <f t="shared" si="86"/>
        <v>4.7249999999999993E-2</v>
      </c>
      <c r="O186" s="616">
        <f t="shared" si="87"/>
        <v>0.61750000000000005</v>
      </c>
      <c r="P186" s="718"/>
      <c r="Q186" s="716"/>
      <c r="R186" s="209"/>
      <c r="S186" s="210"/>
      <c r="T186" s="209"/>
    </row>
    <row r="187" spans="1:20" s="157" customFormat="1" x14ac:dyDescent="0.3">
      <c r="A187" s="494" t="s">
        <v>630</v>
      </c>
      <c r="B187" s="495">
        <v>1</v>
      </c>
      <c r="C187" s="495" t="s">
        <v>42</v>
      </c>
      <c r="D187" s="510">
        <v>0.65</v>
      </c>
      <c r="E187" s="614">
        <v>0.15</v>
      </c>
      <c r="F187" s="614">
        <v>0.4</v>
      </c>
      <c r="G187" s="592"/>
      <c r="H187" s="592">
        <f t="shared" si="83"/>
        <v>0.52</v>
      </c>
      <c r="I187" s="617"/>
      <c r="J187" s="592">
        <f>((D187*E187*F187)*B187)+I187</f>
        <v>3.9000000000000007E-2</v>
      </c>
      <c r="K187" s="592">
        <f t="shared" si="84"/>
        <v>4.8750000000000009E-3</v>
      </c>
      <c r="L187" s="592">
        <v>0</v>
      </c>
      <c r="M187" s="592">
        <f t="shared" si="85"/>
        <v>0</v>
      </c>
      <c r="N187" s="592">
        <f t="shared" si="86"/>
        <v>0</v>
      </c>
      <c r="O187" s="616">
        <f t="shared" si="87"/>
        <v>0.61750000000000005</v>
      </c>
      <c r="P187" s="718"/>
      <c r="Q187" s="716"/>
      <c r="R187" s="209"/>
      <c r="S187" s="210"/>
      <c r="T187" s="209"/>
    </row>
    <row r="188" spans="1:20" s="157" customFormat="1" x14ac:dyDescent="0.3">
      <c r="A188" s="494" t="s">
        <v>631</v>
      </c>
      <c r="B188" s="495">
        <v>1</v>
      </c>
      <c r="C188" s="495" t="s">
        <v>42</v>
      </c>
      <c r="D188" s="510">
        <f>4.75+3.8+2</f>
        <v>10.55</v>
      </c>
      <c r="E188" s="614">
        <v>0.15</v>
      </c>
      <c r="F188" s="614">
        <v>0.4</v>
      </c>
      <c r="G188" s="617">
        <f>-0.15*0.4*4</f>
        <v>-0.24</v>
      </c>
      <c r="H188" s="592">
        <f t="shared" si="83"/>
        <v>8.2000000000000011</v>
      </c>
      <c r="I188" s="592"/>
      <c r="J188" s="592">
        <f>((D188*E188*F188)*B188)+I188</f>
        <v>0.63300000000000001</v>
      </c>
      <c r="K188" s="592">
        <f t="shared" si="84"/>
        <v>7.9125000000000001E-2</v>
      </c>
      <c r="L188" s="592">
        <f>0.58+2.7+2.97</f>
        <v>6.25</v>
      </c>
      <c r="M188" s="592">
        <f t="shared" si="85"/>
        <v>1.2656249999999998</v>
      </c>
      <c r="N188" s="592">
        <f t="shared" si="86"/>
        <v>0.84374999999999978</v>
      </c>
      <c r="O188" s="616">
        <f t="shared" si="87"/>
        <v>10.022500000000001</v>
      </c>
      <c r="P188" s="718"/>
      <c r="Q188" s="716"/>
      <c r="R188" s="209"/>
      <c r="S188" s="210"/>
      <c r="T188" s="209"/>
    </row>
    <row r="189" spans="1:20" s="157" customFormat="1" x14ac:dyDescent="0.3">
      <c r="A189" s="494" t="s">
        <v>632</v>
      </c>
      <c r="B189" s="495">
        <v>1</v>
      </c>
      <c r="C189" s="495" t="s">
        <v>42</v>
      </c>
      <c r="D189" s="510">
        <v>0.65</v>
      </c>
      <c r="E189" s="614">
        <v>0.15</v>
      </c>
      <c r="F189" s="614">
        <v>0.4</v>
      </c>
      <c r="G189" s="592"/>
      <c r="H189" s="592">
        <f t="shared" si="83"/>
        <v>0.52</v>
      </c>
      <c r="I189" s="592"/>
      <c r="J189" s="592">
        <f t="shared" ref="J189:J190" si="108">((D189*E189*F189)*B189)+I189</f>
        <v>3.9000000000000007E-2</v>
      </c>
      <c r="K189" s="592">
        <f t="shared" si="84"/>
        <v>4.8750000000000009E-3</v>
      </c>
      <c r="L189" s="592">
        <v>0</v>
      </c>
      <c r="M189" s="592">
        <f t="shared" si="85"/>
        <v>0</v>
      </c>
      <c r="N189" s="592">
        <f t="shared" si="86"/>
        <v>0</v>
      </c>
      <c r="O189" s="616">
        <f t="shared" si="87"/>
        <v>0.61750000000000005</v>
      </c>
      <c r="P189" s="718"/>
      <c r="Q189" s="716"/>
      <c r="R189" s="209"/>
      <c r="S189" s="210"/>
      <c r="T189" s="209"/>
    </row>
    <row r="190" spans="1:20" s="157" customFormat="1" x14ac:dyDescent="0.3">
      <c r="A190" s="494" t="s">
        <v>633</v>
      </c>
      <c r="B190" s="495">
        <v>1</v>
      </c>
      <c r="C190" s="495" t="s">
        <v>42</v>
      </c>
      <c r="D190" s="510">
        <v>0.65</v>
      </c>
      <c r="E190" s="614">
        <v>0.15</v>
      </c>
      <c r="F190" s="614">
        <v>0.4</v>
      </c>
      <c r="G190" s="592"/>
      <c r="H190" s="592">
        <f t="shared" si="83"/>
        <v>0.52</v>
      </c>
      <c r="I190" s="592"/>
      <c r="J190" s="592">
        <f t="shared" si="108"/>
        <v>3.9000000000000007E-2</v>
      </c>
      <c r="K190" s="592">
        <f t="shared" si="84"/>
        <v>4.8750000000000009E-3</v>
      </c>
      <c r="L190" s="592">
        <v>0.35</v>
      </c>
      <c r="M190" s="592">
        <f t="shared" si="85"/>
        <v>7.0874999999999994E-2</v>
      </c>
      <c r="N190" s="592">
        <f t="shared" si="86"/>
        <v>4.7249999999999993E-2</v>
      </c>
      <c r="O190" s="616">
        <f t="shared" si="87"/>
        <v>0.61750000000000005</v>
      </c>
      <c r="P190" s="718"/>
      <c r="Q190" s="716"/>
      <c r="R190" s="209"/>
      <c r="S190" s="210"/>
      <c r="T190" s="209"/>
    </row>
    <row r="191" spans="1:20" s="157" customFormat="1" ht="15" thickBot="1" x14ac:dyDescent="0.35">
      <c r="A191" s="494" t="s">
        <v>634</v>
      </c>
      <c r="B191" s="495">
        <v>1</v>
      </c>
      <c r="C191" s="495" t="s">
        <v>42</v>
      </c>
      <c r="D191" s="510">
        <v>10.95</v>
      </c>
      <c r="E191" s="614">
        <v>0.15</v>
      </c>
      <c r="F191" s="614">
        <v>0.4</v>
      </c>
      <c r="G191" s="592">
        <f>-0.15*0.4*2+0.1*0.4*3</f>
        <v>0</v>
      </c>
      <c r="H191" s="592">
        <f t="shared" si="83"/>
        <v>8.76</v>
      </c>
      <c r="I191" s="592">
        <f>0.1*0.4*0.7+0.1*0.4*0.5+0.1*0.4*0.95</f>
        <v>8.6000000000000021E-2</v>
      </c>
      <c r="J191" s="592">
        <f>((D191*E191*F191)*B191)+I191</f>
        <v>0.7430000000000001</v>
      </c>
      <c r="K191" s="592">
        <f t="shared" si="84"/>
        <v>8.2125000000000004E-2</v>
      </c>
      <c r="L191" s="592">
        <f>2.41+4.53</f>
        <v>6.94</v>
      </c>
      <c r="M191" s="592">
        <f t="shared" si="85"/>
        <v>1.4053499999999999</v>
      </c>
      <c r="N191" s="592">
        <f t="shared" si="86"/>
        <v>0.93689999999999984</v>
      </c>
      <c r="O191" s="616">
        <f t="shared" si="87"/>
        <v>10.4025</v>
      </c>
      <c r="P191" s="718"/>
      <c r="Q191" s="716"/>
      <c r="R191" s="209"/>
      <c r="S191" s="210"/>
      <c r="T191" s="209"/>
    </row>
    <row r="192" spans="1:20" s="62" customFormat="1" x14ac:dyDescent="0.3">
      <c r="A192" s="698" t="s">
        <v>740</v>
      </c>
      <c r="B192" s="699"/>
      <c r="C192" s="699"/>
      <c r="D192" s="699"/>
      <c r="E192" s="699"/>
      <c r="F192" s="699"/>
      <c r="G192" s="699"/>
      <c r="H192" s="699"/>
      <c r="I192" s="699"/>
      <c r="J192" s="699"/>
      <c r="K192" s="699"/>
      <c r="L192" s="699"/>
      <c r="M192" s="699"/>
      <c r="N192" s="699"/>
      <c r="O192" s="700"/>
      <c r="P192" s="718"/>
      <c r="Q192" s="716"/>
    </row>
    <row r="193" spans="1:20" s="157" customFormat="1" x14ac:dyDescent="0.3">
      <c r="A193" s="494" t="s">
        <v>741</v>
      </c>
      <c r="B193" s="495">
        <v>1</v>
      </c>
      <c r="C193" s="495" t="s">
        <v>42</v>
      </c>
      <c r="D193" s="510">
        <v>5.85</v>
      </c>
      <c r="E193" s="614">
        <v>0.15</v>
      </c>
      <c r="F193" s="614">
        <v>0.4</v>
      </c>
      <c r="G193" s="617"/>
      <c r="H193" s="592">
        <f t="shared" si="83"/>
        <v>4.68</v>
      </c>
      <c r="I193" s="592"/>
      <c r="J193" s="592">
        <f>((D193*E193*F193)*B193)+I193</f>
        <v>0.35099999999999998</v>
      </c>
      <c r="K193" s="592">
        <f t="shared" si="84"/>
        <v>4.3874999999999997E-2</v>
      </c>
      <c r="L193" s="592">
        <f>2.03+0.21</f>
        <v>2.2399999999999998</v>
      </c>
      <c r="M193" s="592">
        <f t="shared" si="85"/>
        <v>0.45359999999999989</v>
      </c>
      <c r="N193" s="592">
        <f t="shared" si="86"/>
        <v>0.30239999999999989</v>
      </c>
      <c r="O193" s="616">
        <f t="shared" si="87"/>
        <v>5.5575000000000001</v>
      </c>
      <c r="P193" s="718"/>
      <c r="Q193" s="716"/>
      <c r="R193" s="209"/>
      <c r="S193" s="210"/>
      <c r="T193" s="209"/>
    </row>
    <row r="194" spans="1:20" s="157" customFormat="1" x14ac:dyDescent="0.3">
      <c r="A194" s="494" t="s">
        <v>742</v>
      </c>
      <c r="B194" s="495">
        <v>1</v>
      </c>
      <c r="C194" s="495" t="s">
        <v>42</v>
      </c>
      <c r="D194" s="510">
        <v>3.8</v>
      </c>
      <c r="E194" s="614">
        <v>0.15</v>
      </c>
      <c r="F194" s="614">
        <v>0.4</v>
      </c>
      <c r="G194" s="592"/>
      <c r="H194" s="592">
        <f t="shared" ref="H194:H350" si="109">((2*F194)*D194)+G194</f>
        <v>3.04</v>
      </c>
      <c r="I194" s="592"/>
      <c r="J194" s="592">
        <f t="shared" ref="J194" si="110">((D194*E194*F194)*B194)+I194</f>
        <v>0.22799999999999998</v>
      </c>
      <c r="K194" s="592">
        <f t="shared" ref="K194:K350" si="111">D194*E194*0.05</f>
        <v>2.8499999999999998E-2</v>
      </c>
      <c r="L194" s="592">
        <v>1.43</v>
      </c>
      <c r="M194" s="592">
        <f t="shared" ref="M194:M350" si="112">L194*(E194+0.3)*(F194+0.05)</f>
        <v>0.28957499999999997</v>
      </c>
      <c r="N194" s="592">
        <f t="shared" ref="N194:N350" si="113">M194-(L194*E194*(F194+0.05))</f>
        <v>0.19304999999999997</v>
      </c>
      <c r="O194" s="616">
        <f t="shared" ref="O194:O350" si="114">D194*(E194+(F194*2))</f>
        <v>3.61</v>
      </c>
      <c r="P194" s="718"/>
      <c r="Q194" s="716"/>
      <c r="R194" s="209"/>
      <c r="S194" s="210"/>
      <c r="T194" s="209"/>
    </row>
    <row r="195" spans="1:20" s="157" customFormat="1" x14ac:dyDescent="0.3">
      <c r="A195" s="494" t="s">
        <v>743</v>
      </c>
      <c r="B195" s="495">
        <v>1</v>
      </c>
      <c r="C195" s="495" t="s">
        <v>42</v>
      </c>
      <c r="D195" s="510">
        <v>7.85</v>
      </c>
      <c r="E195" s="614">
        <v>0.15</v>
      </c>
      <c r="F195" s="614">
        <v>0.4</v>
      </c>
      <c r="G195" s="592"/>
      <c r="H195" s="592">
        <f t="shared" ref="H195:H285" si="115">((2*F195)*D195)+G195</f>
        <v>6.28</v>
      </c>
      <c r="I195" s="617"/>
      <c r="J195" s="592">
        <f>((D195*E195*F195)*B195)+I195</f>
        <v>0.47100000000000003</v>
      </c>
      <c r="K195" s="592">
        <f t="shared" ref="K195:K285" si="116">D195*E195*0.05</f>
        <v>5.8875000000000004E-2</v>
      </c>
      <c r="L195" s="592">
        <v>6.1</v>
      </c>
      <c r="M195" s="592">
        <f t="shared" ref="M195:M285" si="117">L195*(E195+0.3)*(F195+0.05)</f>
        <v>1.23525</v>
      </c>
      <c r="N195" s="592">
        <f t="shared" ref="N195:N285" si="118">M195-(L195*E195*(F195+0.05))</f>
        <v>0.82350000000000001</v>
      </c>
      <c r="O195" s="616">
        <f t="shared" ref="O195:O285" si="119">D195*(E195+(F195*2))</f>
        <v>7.4575000000000005</v>
      </c>
      <c r="P195" s="718"/>
      <c r="Q195" s="716"/>
      <c r="R195" s="209"/>
      <c r="S195" s="210"/>
      <c r="T195" s="209"/>
    </row>
    <row r="196" spans="1:20" s="157" customFormat="1" x14ac:dyDescent="0.3">
      <c r="A196" s="494" t="s">
        <v>744</v>
      </c>
      <c r="B196" s="495">
        <v>1</v>
      </c>
      <c r="C196" s="495" t="s">
        <v>42</v>
      </c>
      <c r="D196" s="510">
        <v>3.85</v>
      </c>
      <c r="E196" s="614">
        <v>0.15</v>
      </c>
      <c r="F196" s="614">
        <v>0.4</v>
      </c>
      <c r="G196" s="617"/>
      <c r="H196" s="592">
        <f t="shared" si="115"/>
        <v>3.08</v>
      </c>
      <c r="I196" s="592"/>
      <c r="J196" s="592">
        <f>((D196*E196*F196)*B196)+I196</f>
        <v>0.23100000000000001</v>
      </c>
      <c r="K196" s="592">
        <f t="shared" si="116"/>
        <v>2.8875000000000001E-2</v>
      </c>
      <c r="L196" s="592">
        <v>2.73</v>
      </c>
      <c r="M196" s="592">
        <f t="shared" si="117"/>
        <v>0.55282500000000001</v>
      </c>
      <c r="N196" s="592">
        <f t="shared" si="118"/>
        <v>0.36855000000000004</v>
      </c>
      <c r="O196" s="616">
        <f t="shared" si="119"/>
        <v>3.6575000000000002</v>
      </c>
      <c r="P196" s="718"/>
      <c r="Q196" s="716"/>
      <c r="R196" s="209"/>
      <c r="S196" s="210"/>
      <c r="T196" s="209"/>
    </row>
    <row r="197" spans="1:20" s="157" customFormat="1" x14ac:dyDescent="0.3">
      <c r="A197" s="494" t="s">
        <v>745</v>
      </c>
      <c r="B197" s="495">
        <v>1</v>
      </c>
      <c r="C197" s="495" t="s">
        <v>42</v>
      </c>
      <c r="D197" s="510">
        <v>3.8</v>
      </c>
      <c r="E197" s="614">
        <v>0.15</v>
      </c>
      <c r="F197" s="614">
        <v>0.4</v>
      </c>
      <c r="G197" s="617"/>
      <c r="H197" s="592">
        <f t="shared" si="115"/>
        <v>3.04</v>
      </c>
      <c r="I197" s="592"/>
      <c r="J197" s="592">
        <f>((D197*E197*F197)*B197)+I197</f>
        <v>0.22799999999999998</v>
      </c>
      <c r="K197" s="592">
        <f t="shared" si="116"/>
        <v>2.8499999999999998E-2</v>
      </c>
      <c r="L197" s="592">
        <v>2.08</v>
      </c>
      <c r="M197" s="592">
        <f t="shared" si="117"/>
        <v>0.42119999999999996</v>
      </c>
      <c r="N197" s="592">
        <f t="shared" si="118"/>
        <v>0.28079999999999994</v>
      </c>
      <c r="O197" s="616">
        <f t="shared" si="119"/>
        <v>3.61</v>
      </c>
      <c r="P197" s="718"/>
      <c r="Q197" s="716"/>
      <c r="R197" s="209"/>
      <c r="S197" s="210"/>
      <c r="T197" s="209"/>
    </row>
    <row r="198" spans="1:20" s="157" customFormat="1" x14ac:dyDescent="0.3">
      <c r="A198" s="494" t="s">
        <v>746</v>
      </c>
      <c r="B198" s="495">
        <v>1</v>
      </c>
      <c r="C198" s="495" t="s">
        <v>42</v>
      </c>
      <c r="D198" s="510">
        <v>7.85</v>
      </c>
      <c r="E198" s="614">
        <v>0.15</v>
      </c>
      <c r="F198" s="614">
        <v>0.4</v>
      </c>
      <c r="G198" s="592"/>
      <c r="H198" s="592">
        <f t="shared" si="115"/>
        <v>6.28</v>
      </c>
      <c r="I198" s="592"/>
      <c r="J198" s="592">
        <f t="shared" ref="J198" si="120">((D198*E198*F198)*B198)+I198</f>
        <v>0.47100000000000003</v>
      </c>
      <c r="K198" s="592">
        <f t="shared" si="116"/>
        <v>5.8875000000000004E-2</v>
      </c>
      <c r="L198" s="592">
        <v>6.1</v>
      </c>
      <c r="M198" s="592">
        <f t="shared" si="117"/>
        <v>1.23525</v>
      </c>
      <c r="N198" s="592">
        <f t="shared" si="118"/>
        <v>0.82350000000000001</v>
      </c>
      <c r="O198" s="616">
        <f t="shared" si="119"/>
        <v>7.4575000000000005</v>
      </c>
      <c r="P198" s="718"/>
      <c r="Q198" s="716"/>
      <c r="R198" s="209"/>
      <c r="S198" s="210"/>
      <c r="T198" s="209"/>
    </row>
    <row r="199" spans="1:20" s="157" customFormat="1" x14ac:dyDescent="0.3">
      <c r="A199" s="494" t="s">
        <v>747</v>
      </c>
      <c r="B199" s="495">
        <v>1</v>
      </c>
      <c r="C199" s="495" t="s">
        <v>42</v>
      </c>
      <c r="D199" s="510">
        <v>3.85</v>
      </c>
      <c r="E199" s="614">
        <v>0.15</v>
      </c>
      <c r="F199" s="614">
        <v>0.4</v>
      </c>
      <c r="G199" s="592"/>
      <c r="H199" s="592">
        <f t="shared" si="115"/>
        <v>3.08</v>
      </c>
      <c r="I199" s="617"/>
      <c r="J199" s="592">
        <f>((D199*E199*F199)*B199)+I199</f>
        <v>0.23100000000000001</v>
      </c>
      <c r="K199" s="592">
        <f t="shared" si="116"/>
        <v>2.8875000000000001E-2</v>
      </c>
      <c r="L199" s="592">
        <v>2.75</v>
      </c>
      <c r="M199" s="592">
        <f t="shared" si="117"/>
        <v>0.5568749999999999</v>
      </c>
      <c r="N199" s="592">
        <f t="shared" si="118"/>
        <v>0.37124999999999991</v>
      </c>
      <c r="O199" s="616">
        <f t="shared" si="119"/>
        <v>3.6575000000000002</v>
      </c>
      <c r="P199" s="718"/>
      <c r="Q199" s="716"/>
      <c r="R199" s="209"/>
      <c r="S199" s="210"/>
      <c r="T199" s="209"/>
    </row>
    <row r="200" spans="1:20" s="157" customFormat="1" x14ac:dyDescent="0.3">
      <c r="A200" s="494" t="s">
        <v>748</v>
      </c>
      <c r="B200" s="495">
        <v>1</v>
      </c>
      <c r="C200" s="495" t="s">
        <v>42</v>
      </c>
      <c r="D200" s="510">
        <v>5.85</v>
      </c>
      <c r="E200" s="614">
        <v>0.15</v>
      </c>
      <c r="F200" s="614">
        <v>0.4</v>
      </c>
      <c r="G200" s="617">
        <f>0.05*0.4*2-0.15*0.4</f>
        <v>-1.999999999999999E-2</v>
      </c>
      <c r="H200" s="592">
        <f t="shared" si="115"/>
        <v>4.66</v>
      </c>
      <c r="I200" s="592">
        <f>0.05*0.4*0.4</f>
        <v>8.0000000000000019E-3</v>
      </c>
      <c r="J200" s="592">
        <f>((D200*E200*F200)*B200)+I200</f>
        <v>0.35899999999999999</v>
      </c>
      <c r="K200" s="592">
        <f t="shared" si="116"/>
        <v>4.3874999999999997E-2</v>
      </c>
      <c r="L200" s="592">
        <f>2.03+0.55</f>
        <v>2.58</v>
      </c>
      <c r="M200" s="592">
        <f t="shared" si="117"/>
        <v>0.52244999999999997</v>
      </c>
      <c r="N200" s="592">
        <f t="shared" si="118"/>
        <v>0.34829999999999994</v>
      </c>
      <c r="O200" s="616">
        <f t="shared" si="119"/>
        <v>5.5575000000000001</v>
      </c>
      <c r="P200" s="718"/>
      <c r="Q200" s="716"/>
      <c r="R200" s="209"/>
      <c r="S200" s="210"/>
      <c r="T200" s="209"/>
    </row>
    <row r="201" spans="1:20" s="157" customFormat="1" x14ac:dyDescent="0.3">
      <c r="A201" s="494" t="s">
        <v>749</v>
      </c>
      <c r="B201" s="495">
        <v>1</v>
      </c>
      <c r="C201" s="495" t="s">
        <v>42</v>
      </c>
      <c r="D201" s="510">
        <v>4.33</v>
      </c>
      <c r="E201" s="614">
        <v>0.15</v>
      </c>
      <c r="F201" s="614">
        <v>0.4</v>
      </c>
      <c r="G201" s="592">
        <f>-0.15*0.4*2+0.05*0.4*2</f>
        <v>-7.9999999999999988E-2</v>
      </c>
      <c r="H201" s="592">
        <f t="shared" si="115"/>
        <v>3.3840000000000003</v>
      </c>
      <c r="I201" s="592">
        <f>0.05*0.4*0.6</f>
        <v>1.2000000000000002E-2</v>
      </c>
      <c r="J201" s="592">
        <f t="shared" ref="J201:J202" si="121">((D201*E201*F201)*B201)+I201</f>
        <v>0.27179999999999999</v>
      </c>
      <c r="K201" s="592">
        <f t="shared" si="116"/>
        <v>3.2474999999999997E-2</v>
      </c>
      <c r="L201" s="592">
        <v>2.5299999999999998</v>
      </c>
      <c r="M201" s="592">
        <f t="shared" si="117"/>
        <v>0.51232499999999992</v>
      </c>
      <c r="N201" s="592">
        <f t="shared" si="118"/>
        <v>0.34154999999999991</v>
      </c>
      <c r="O201" s="616">
        <f t="shared" si="119"/>
        <v>4.1135000000000002</v>
      </c>
      <c r="P201" s="718"/>
      <c r="Q201" s="716"/>
      <c r="R201" s="209"/>
      <c r="S201" s="210"/>
      <c r="T201" s="209"/>
    </row>
    <row r="202" spans="1:20" s="157" customFormat="1" x14ac:dyDescent="0.3">
      <c r="A202" s="494" t="s">
        <v>750</v>
      </c>
      <c r="B202" s="495">
        <v>1</v>
      </c>
      <c r="C202" s="495" t="s">
        <v>42</v>
      </c>
      <c r="D202" s="510">
        <v>3.83</v>
      </c>
      <c r="E202" s="614">
        <v>0.15</v>
      </c>
      <c r="F202" s="614">
        <v>0.4</v>
      </c>
      <c r="G202" s="592">
        <f>-0.15*0.4</f>
        <v>-0.06</v>
      </c>
      <c r="H202" s="592">
        <f t="shared" ref="H202:H203" si="122">((2*F202)*D202)+G202</f>
        <v>3.004</v>
      </c>
      <c r="I202" s="592"/>
      <c r="J202" s="592">
        <f t="shared" si="121"/>
        <v>0.2298</v>
      </c>
      <c r="K202" s="592">
        <f t="shared" si="116"/>
        <v>2.8725000000000001E-2</v>
      </c>
      <c r="L202" s="592">
        <v>2.62</v>
      </c>
      <c r="M202" s="592">
        <f t="shared" si="117"/>
        <v>0.53054999999999997</v>
      </c>
      <c r="N202" s="592">
        <f t="shared" si="118"/>
        <v>0.35369999999999996</v>
      </c>
      <c r="O202" s="616">
        <f t="shared" si="119"/>
        <v>3.6385000000000005</v>
      </c>
      <c r="P202" s="718"/>
      <c r="Q202" s="716"/>
      <c r="R202" s="209"/>
      <c r="S202" s="210"/>
      <c r="T202" s="209"/>
    </row>
    <row r="203" spans="1:20" s="157" customFormat="1" x14ac:dyDescent="0.3">
      <c r="A203" s="494" t="s">
        <v>751</v>
      </c>
      <c r="B203" s="495">
        <v>1</v>
      </c>
      <c r="C203" s="495" t="s">
        <v>42</v>
      </c>
      <c r="D203" s="510">
        <v>4.33</v>
      </c>
      <c r="E203" s="614">
        <v>0.15</v>
      </c>
      <c r="F203" s="614">
        <v>0.4</v>
      </c>
      <c r="G203" s="592">
        <f>-0.15*0.4*2+0.05*0.4*2</f>
        <v>-7.9999999999999988E-2</v>
      </c>
      <c r="H203" s="592">
        <f t="shared" si="122"/>
        <v>3.3840000000000003</v>
      </c>
      <c r="I203" s="592">
        <f>0.05*0.4*0.6</f>
        <v>1.2000000000000002E-2</v>
      </c>
      <c r="J203" s="592">
        <f>((D203*E203*F203)*B203)+I203</f>
        <v>0.27179999999999999</v>
      </c>
      <c r="K203" s="592">
        <f t="shared" si="116"/>
        <v>3.2474999999999997E-2</v>
      </c>
      <c r="L203" s="592">
        <v>2.5299999999999998</v>
      </c>
      <c r="M203" s="592">
        <f t="shared" si="117"/>
        <v>0.51232499999999992</v>
      </c>
      <c r="N203" s="592">
        <f t="shared" si="118"/>
        <v>0.34154999999999991</v>
      </c>
      <c r="O203" s="616">
        <f t="shared" si="119"/>
        <v>4.1135000000000002</v>
      </c>
      <c r="P203" s="718"/>
      <c r="Q203" s="716"/>
      <c r="R203" s="209"/>
      <c r="S203" s="210"/>
      <c r="T203" s="209"/>
    </row>
    <row r="204" spans="1:20" s="157" customFormat="1" x14ac:dyDescent="0.3">
      <c r="A204" s="494" t="s">
        <v>752</v>
      </c>
      <c r="B204" s="495">
        <v>1</v>
      </c>
      <c r="C204" s="495" t="s">
        <v>42</v>
      </c>
      <c r="D204" s="510">
        <v>3.83</v>
      </c>
      <c r="E204" s="614">
        <v>0.15</v>
      </c>
      <c r="F204" s="614">
        <v>0.4</v>
      </c>
      <c r="G204" s="592">
        <f>-0.15*0.4</f>
        <v>-0.06</v>
      </c>
      <c r="H204" s="592">
        <f t="shared" ref="H204" si="123">((2*F204)*D204)+G204</f>
        <v>3.004</v>
      </c>
      <c r="I204" s="592"/>
      <c r="J204" s="592">
        <f>((D204*E204*F204)*B204)+I204</f>
        <v>0.2298</v>
      </c>
      <c r="K204" s="592">
        <f t="shared" si="116"/>
        <v>2.8725000000000001E-2</v>
      </c>
      <c r="L204" s="592">
        <v>2.63</v>
      </c>
      <c r="M204" s="592">
        <f t="shared" si="117"/>
        <v>0.53257499999999991</v>
      </c>
      <c r="N204" s="592">
        <f t="shared" si="118"/>
        <v>0.35504999999999992</v>
      </c>
      <c r="O204" s="616">
        <f t="shared" si="119"/>
        <v>3.6385000000000005</v>
      </c>
      <c r="P204" s="718"/>
      <c r="Q204" s="716"/>
      <c r="R204" s="209"/>
      <c r="S204" s="210"/>
      <c r="T204" s="209"/>
    </row>
    <row r="205" spans="1:20" s="157" customFormat="1" x14ac:dyDescent="0.3">
      <c r="A205" s="494" t="s">
        <v>753</v>
      </c>
      <c r="B205" s="495">
        <v>1</v>
      </c>
      <c r="C205" s="495" t="s">
        <v>42</v>
      </c>
      <c r="D205" s="510">
        <f>1.83+3.88</f>
        <v>5.71</v>
      </c>
      <c r="E205" s="614">
        <v>0.15</v>
      </c>
      <c r="F205" s="614">
        <v>0.4</v>
      </c>
      <c r="G205" s="592"/>
      <c r="H205" s="592">
        <f t="shared" si="115"/>
        <v>4.5680000000000005</v>
      </c>
      <c r="I205" s="592"/>
      <c r="J205" s="592">
        <f t="shared" ref="J205" si="124">((D205*E205*F205)*B205)+I205</f>
        <v>0.34260000000000002</v>
      </c>
      <c r="K205" s="592">
        <f t="shared" si="116"/>
        <v>4.2825000000000002E-2</v>
      </c>
      <c r="L205" s="592">
        <f>0.68+2.73</f>
        <v>3.41</v>
      </c>
      <c r="M205" s="592">
        <f t="shared" si="117"/>
        <v>0.69052500000000006</v>
      </c>
      <c r="N205" s="592">
        <f t="shared" si="118"/>
        <v>0.46035000000000004</v>
      </c>
      <c r="O205" s="616">
        <f t="shared" si="119"/>
        <v>5.4245000000000001</v>
      </c>
      <c r="P205" s="718"/>
      <c r="Q205" s="716"/>
      <c r="R205" s="209"/>
      <c r="S205" s="210"/>
      <c r="T205" s="209"/>
    </row>
    <row r="206" spans="1:20" s="157" customFormat="1" x14ac:dyDescent="0.3">
      <c r="A206" s="494" t="s">
        <v>754</v>
      </c>
      <c r="B206" s="495">
        <v>1</v>
      </c>
      <c r="C206" s="495" t="s">
        <v>42</v>
      </c>
      <c r="D206" s="510">
        <v>4.0199999999999996</v>
      </c>
      <c r="E206" s="614">
        <v>0.15</v>
      </c>
      <c r="F206" s="614">
        <v>0.4</v>
      </c>
      <c r="G206" s="592">
        <f>-0.15*0.4</f>
        <v>-0.06</v>
      </c>
      <c r="H206" s="592">
        <f t="shared" si="115"/>
        <v>3.1559999999999997</v>
      </c>
      <c r="I206" s="617"/>
      <c r="J206" s="592">
        <f>((D206*E206*F206)*B206)+I206</f>
        <v>0.24119999999999997</v>
      </c>
      <c r="K206" s="592">
        <f t="shared" si="116"/>
        <v>3.0149999999999996E-2</v>
      </c>
      <c r="L206" s="592">
        <v>2.0499999999999998</v>
      </c>
      <c r="M206" s="592">
        <f t="shared" si="117"/>
        <v>0.41512499999999997</v>
      </c>
      <c r="N206" s="592">
        <f t="shared" si="118"/>
        <v>0.27675</v>
      </c>
      <c r="O206" s="616">
        <f t="shared" si="119"/>
        <v>3.819</v>
      </c>
      <c r="P206" s="718"/>
      <c r="Q206" s="716"/>
      <c r="R206" s="209"/>
      <c r="S206" s="210"/>
      <c r="T206" s="209"/>
    </row>
    <row r="207" spans="1:20" s="157" customFormat="1" x14ac:dyDescent="0.3">
      <c r="A207" s="494" t="s">
        <v>755</v>
      </c>
      <c r="B207" s="495">
        <v>1</v>
      </c>
      <c r="C207" s="495" t="s">
        <v>42</v>
      </c>
      <c r="D207" s="510">
        <v>8.18</v>
      </c>
      <c r="E207" s="614">
        <v>0.15</v>
      </c>
      <c r="F207" s="614">
        <v>0.4</v>
      </c>
      <c r="G207" s="617">
        <f>-0.15*0.4*4+0.1*0.4*4</f>
        <v>-7.999999999999996E-2</v>
      </c>
      <c r="H207" s="592">
        <f t="shared" si="115"/>
        <v>6.4640000000000004</v>
      </c>
      <c r="I207" s="592">
        <f>0.1*0.4*0.25+0.1*0.4*0.7</f>
        <v>3.8000000000000006E-2</v>
      </c>
      <c r="J207" s="592">
        <f>((D207*E207*F207)*B207)+I207</f>
        <v>0.52879999999999994</v>
      </c>
      <c r="K207" s="592">
        <f t="shared" si="116"/>
        <v>6.1349999999999995E-2</v>
      </c>
      <c r="L207" s="592">
        <f>2.05+2.7</f>
        <v>4.75</v>
      </c>
      <c r="M207" s="592">
        <f t="shared" si="117"/>
        <v>0.96187499999999992</v>
      </c>
      <c r="N207" s="592">
        <f t="shared" si="118"/>
        <v>0.64124999999999988</v>
      </c>
      <c r="O207" s="616">
        <f t="shared" si="119"/>
        <v>7.7709999999999999</v>
      </c>
      <c r="P207" s="718"/>
      <c r="Q207" s="716"/>
      <c r="R207" s="209"/>
      <c r="S207" s="210"/>
      <c r="T207" s="209"/>
    </row>
    <row r="208" spans="1:20" s="157" customFormat="1" x14ac:dyDescent="0.3">
      <c r="A208" s="494" t="s">
        <v>756</v>
      </c>
      <c r="B208" s="495">
        <v>1</v>
      </c>
      <c r="C208" s="495" t="s">
        <v>42</v>
      </c>
      <c r="D208" s="510">
        <v>7.58</v>
      </c>
      <c r="E208" s="614">
        <v>0.15</v>
      </c>
      <c r="F208" s="614">
        <v>0.4</v>
      </c>
      <c r="G208" s="617">
        <f>-0.15*0.4*2+0.1*0.4*2</f>
        <v>-3.999999999999998E-2</v>
      </c>
      <c r="H208" s="592">
        <f t="shared" si="115"/>
        <v>6.024</v>
      </c>
      <c r="I208" s="592">
        <f>0.1*0.4*0.25</f>
        <v>1.0000000000000002E-2</v>
      </c>
      <c r="J208" s="592">
        <f>((D208*E208*F208)*B208)+I208</f>
        <v>0.46480000000000005</v>
      </c>
      <c r="K208" s="592">
        <f t="shared" si="116"/>
        <v>5.6850000000000005E-2</v>
      </c>
      <c r="L208" s="592">
        <f>2.7+2.15</f>
        <v>4.8499999999999996</v>
      </c>
      <c r="M208" s="592">
        <f t="shared" si="117"/>
        <v>0.98212499999999991</v>
      </c>
      <c r="N208" s="592">
        <f t="shared" si="118"/>
        <v>0.65474999999999994</v>
      </c>
      <c r="O208" s="616">
        <f t="shared" si="119"/>
        <v>7.2010000000000005</v>
      </c>
      <c r="P208" s="718"/>
      <c r="Q208" s="716"/>
      <c r="R208" s="209"/>
      <c r="S208" s="210"/>
      <c r="T208" s="209"/>
    </row>
    <row r="209" spans="1:20" s="157" customFormat="1" x14ac:dyDescent="0.3">
      <c r="A209" s="494" t="s">
        <v>757</v>
      </c>
      <c r="B209" s="495">
        <v>1</v>
      </c>
      <c r="C209" s="495" t="s">
        <v>42</v>
      </c>
      <c r="D209" s="510">
        <v>8.18</v>
      </c>
      <c r="E209" s="614">
        <v>0.15</v>
      </c>
      <c r="F209" s="614">
        <v>0.4</v>
      </c>
      <c r="G209" s="617">
        <f>-0.15*0.4*4+0.1*0.4*4</f>
        <v>-7.999999999999996E-2</v>
      </c>
      <c r="H209" s="592">
        <f t="shared" ref="H209:H210" si="125">((2*F209)*D209)+G209</f>
        <v>6.4640000000000004</v>
      </c>
      <c r="I209" s="592">
        <f>0.1*0.4*0.25+0.1*0.4*0.7</f>
        <v>3.8000000000000006E-2</v>
      </c>
      <c r="J209" s="592">
        <f t="shared" ref="J209" si="126">((D209*E209*F209)*B209)+I209</f>
        <v>0.52879999999999994</v>
      </c>
      <c r="K209" s="592">
        <f t="shared" si="116"/>
        <v>6.1349999999999995E-2</v>
      </c>
      <c r="L209" s="592">
        <f>2.05+2.7</f>
        <v>4.75</v>
      </c>
      <c r="M209" s="592">
        <f t="shared" si="117"/>
        <v>0.96187499999999992</v>
      </c>
      <c r="N209" s="592">
        <f t="shared" si="118"/>
        <v>0.64124999999999988</v>
      </c>
      <c r="O209" s="616">
        <f t="shared" si="119"/>
        <v>7.7709999999999999</v>
      </c>
      <c r="P209" s="718"/>
      <c r="Q209" s="716"/>
      <c r="R209" s="209"/>
      <c r="S209" s="210"/>
      <c r="T209" s="209"/>
    </row>
    <row r="210" spans="1:20" s="157" customFormat="1" x14ac:dyDescent="0.3">
      <c r="A210" s="494" t="s">
        <v>758</v>
      </c>
      <c r="B210" s="495">
        <v>1</v>
      </c>
      <c r="C210" s="495" t="s">
        <v>42</v>
      </c>
      <c r="D210" s="510">
        <v>7.58</v>
      </c>
      <c r="E210" s="614">
        <v>0.15</v>
      </c>
      <c r="F210" s="614">
        <v>0.4</v>
      </c>
      <c r="G210" s="617">
        <f>-0.15*0.4*2+0.1*0.4*2</f>
        <v>-3.999999999999998E-2</v>
      </c>
      <c r="H210" s="592">
        <f t="shared" si="125"/>
        <v>6.024</v>
      </c>
      <c r="I210" s="592">
        <f>0.1*0.4*0.25</f>
        <v>1.0000000000000002E-2</v>
      </c>
      <c r="J210" s="592">
        <f>((D210*E210*F210)*B210)+I210</f>
        <v>0.46480000000000005</v>
      </c>
      <c r="K210" s="592">
        <f t="shared" si="116"/>
        <v>5.6850000000000005E-2</v>
      </c>
      <c r="L210" s="592">
        <f>2.7+2.15</f>
        <v>4.8499999999999996</v>
      </c>
      <c r="M210" s="592">
        <f t="shared" si="117"/>
        <v>0.98212499999999991</v>
      </c>
      <c r="N210" s="592">
        <f t="shared" si="118"/>
        <v>0.65474999999999994</v>
      </c>
      <c r="O210" s="616">
        <f t="shared" si="119"/>
        <v>7.2010000000000005</v>
      </c>
      <c r="P210" s="718"/>
      <c r="Q210" s="716"/>
      <c r="R210" s="209"/>
      <c r="S210" s="210"/>
      <c r="T210" s="209"/>
    </row>
    <row r="211" spans="1:20" s="157" customFormat="1" x14ac:dyDescent="0.3">
      <c r="A211" s="494" t="s">
        <v>759</v>
      </c>
      <c r="B211" s="495">
        <v>1</v>
      </c>
      <c r="C211" s="495" t="s">
        <v>42</v>
      </c>
      <c r="D211" s="510">
        <f>1.83+3.88</f>
        <v>5.71</v>
      </c>
      <c r="E211" s="614">
        <v>0.15</v>
      </c>
      <c r="F211" s="614">
        <v>0.4</v>
      </c>
      <c r="G211" s="617"/>
      <c r="H211" s="592">
        <f t="shared" si="115"/>
        <v>4.5680000000000005</v>
      </c>
      <c r="I211" s="592"/>
      <c r="J211" s="592">
        <f>((D211*E211*F211)*B211)+I211</f>
        <v>0.34260000000000002</v>
      </c>
      <c r="K211" s="592">
        <f t="shared" si="116"/>
        <v>4.2825000000000002E-2</v>
      </c>
      <c r="L211" s="592">
        <f>0.68+2.73</f>
        <v>3.41</v>
      </c>
      <c r="M211" s="592">
        <f t="shared" si="117"/>
        <v>0.69052500000000006</v>
      </c>
      <c r="N211" s="592">
        <f t="shared" si="118"/>
        <v>0.46035000000000004</v>
      </c>
      <c r="O211" s="616">
        <f t="shared" si="119"/>
        <v>5.4245000000000001</v>
      </c>
      <c r="P211" s="718"/>
      <c r="Q211" s="716"/>
      <c r="R211" s="209"/>
      <c r="S211" s="210"/>
      <c r="T211" s="209"/>
    </row>
    <row r="212" spans="1:20" s="157" customFormat="1" x14ac:dyDescent="0.3">
      <c r="A212" s="494" t="s">
        <v>760</v>
      </c>
      <c r="B212" s="495">
        <v>1</v>
      </c>
      <c r="C212" s="495" t="s">
        <v>42</v>
      </c>
      <c r="D212" s="510">
        <f>1.83+3.88</f>
        <v>5.71</v>
      </c>
      <c r="E212" s="614">
        <v>0.15</v>
      </c>
      <c r="F212" s="614">
        <v>0.4</v>
      </c>
      <c r="G212" s="592"/>
      <c r="H212" s="592">
        <f t="shared" si="115"/>
        <v>4.5680000000000005</v>
      </c>
      <c r="I212" s="592"/>
      <c r="J212" s="592">
        <f t="shared" ref="J212:J213" si="127">((D212*E212*F212)*B212)+I212</f>
        <v>0.34260000000000002</v>
      </c>
      <c r="K212" s="592">
        <f t="shared" si="116"/>
        <v>4.2825000000000002E-2</v>
      </c>
      <c r="L212" s="592">
        <f>0.68+2</f>
        <v>2.68</v>
      </c>
      <c r="M212" s="592">
        <f t="shared" si="117"/>
        <v>0.54269999999999996</v>
      </c>
      <c r="N212" s="592">
        <f t="shared" si="118"/>
        <v>0.36179999999999995</v>
      </c>
      <c r="O212" s="616">
        <f t="shared" si="119"/>
        <v>5.4245000000000001</v>
      </c>
      <c r="P212" s="718"/>
      <c r="Q212" s="716"/>
      <c r="R212" s="209"/>
      <c r="S212" s="210"/>
      <c r="T212" s="209"/>
    </row>
    <row r="213" spans="1:20" s="157" customFormat="1" x14ac:dyDescent="0.3">
      <c r="A213" s="494" t="s">
        <v>761</v>
      </c>
      <c r="B213" s="495">
        <v>1</v>
      </c>
      <c r="C213" s="495" t="s">
        <v>42</v>
      </c>
      <c r="D213" s="510">
        <f>3.85+4.28</f>
        <v>8.1300000000000008</v>
      </c>
      <c r="E213" s="614">
        <v>0.15</v>
      </c>
      <c r="F213" s="614">
        <v>0.4</v>
      </c>
      <c r="G213" s="592">
        <f>-0.15*0.4*5+0.05*0.4*2</f>
        <v>-0.26</v>
      </c>
      <c r="H213" s="592">
        <f t="shared" si="115"/>
        <v>6.2440000000000015</v>
      </c>
      <c r="I213" s="592">
        <f>0.05*0.4*0.6</f>
        <v>1.2000000000000002E-2</v>
      </c>
      <c r="J213" s="592">
        <f t="shared" si="127"/>
        <v>0.49980000000000002</v>
      </c>
      <c r="K213" s="592">
        <f t="shared" si="116"/>
        <v>6.0975000000000001E-2</v>
      </c>
      <c r="L213" s="592">
        <f>1.24+2.02</f>
        <v>3.26</v>
      </c>
      <c r="M213" s="592">
        <f t="shared" si="117"/>
        <v>0.6601499999999999</v>
      </c>
      <c r="N213" s="592">
        <f t="shared" si="118"/>
        <v>0.44009999999999994</v>
      </c>
      <c r="O213" s="616">
        <f t="shared" si="119"/>
        <v>7.7235000000000014</v>
      </c>
      <c r="P213" s="718"/>
      <c r="Q213" s="716"/>
      <c r="R213" s="209"/>
      <c r="S213" s="210"/>
      <c r="T213" s="209"/>
    </row>
    <row r="214" spans="1:20" s="157" customFormat="1" x14ac:dyDescent="0.3">
      <c r="A214" s="494" t="s">
        <v>762</v>
      </c>
      <c r="B214" s="495">
        <v>1</v>
      </c>
      <c r="C214" s="495" t="s">
        <v>42</v>
      </c>
      <c r="D214" s="510">
        <f>3.58+3.85</f>
        <v>7.43</v>
      </c>
      <c r="E214" s="614">
        <v>0.15</v>
      </c>
      <c r="F214" s="614">
        <v>0.4</v>
      </c>
      <c r="G214" s="592">
        <f>-0.15*0.4*4</f>
        <v>-0.24</v>
      </c>
      <c r="H214" s="592">
        <f t="shared" si="115"/>
        <v>5.7039999999999997</v>
      </c>
      <c r="I214" s="617"/>
      <c r="J214" s="592">
        <f>((D214*E214*F214)*B214)+I214</f>
        <v>0.44579999999999997</v>
      </c>
      <c r="K214" s="592">
        <f t="shared" si="116"/>
        <v>5.5724999999999997E-2</v>
      </c>
      <c r="L214" s="592">
        <f>2.02+1.94</f>
        <v>3.96</v>
      </c>
      <c r="M214" s="592">
        <f t="shared" si="117"/>
        <v>0.80189999999999995</v>
      </c>
      <c r="N214" s="592">
        <f t="shared" si="118"/>
        <v>0.53459999999999996</v>
      </c>
      <c r="O214" s="616">
        <f t="shared" si="119"/>
        <v>7.0585000000000004</v>
      </c>
      <c r="P214" s="718"/>
      <c r="Q214" s="716"/>
      <c r="R214" s="209"/>
      <c r="S214" s="210"/>
      <c r="T214" s="209"/>
    </row>
    <row r="215" spans="1:20" s="157" customFormat="1" x14ac:dyDescent="0.3">
      <c r="A215" s="494" t="s">
        <v>763</v>
      </c>
      <c r="B215" s="495">
        <v>1</v>
      </c>
      <c r="C215" s="495" t="s">
        <v>42</v>
      </c>
      <c r="D215" s="510">
        <f>3.85+4.28</f>
        <v>8.1300000000000008</v>
      </c>
      <c r="E215" s="614">
        <v>0.15</v>
      </c>
      <c r="F215" s="614">
        <v>0.4</v>
      </c>
      <c r="G215" s="592">
        <f>-0.15*0.4*5+0.05*0.4*2</f>
        <v>-0.26</v>
      </c>
      <c r="H215" s="592">
        <f t="shared" ref="H215" si="128">((2*F215)*D215)+G215</f>
        <v>6.2440000000000015</v>
      </c>
      <c r="I215" s="592">
        <f>0.05*0.4*0.6</f>
        <v>1.2000000000000002E-2</v>
      </c>
      <c r="J215" s="592">
        <f>((D215*E215*F215)*B215)+I215</f>
        <v>0.49980000000000002</v>
      </c>
      <c r="K215" s="592">
        <f t="shared" si="116"/>
        <v>6.0975000000000001E-2</v>
      </c>
      <c r="L215" s="592">
        <f>1.84+2.02</f>
        <v>3.8600000000000003</v>
      </c>
      <c r="M215" s="592">
        <f t="shared" si="117"/>
        <v>0.78164999999999996</v>
      </c>
      <c r="N215" s="592">
        <f t="shared" si="118"/>
        <v>0.5210999999999999</v>
      </c>
      <c r="O215" s="616">
        <f t="shared" si="119"/>
        <v>7.7235000000000014</v>
      </c>
      <c r="P215" s="718"/>
      <c r="Q215" s="716"/>
      <c r="R215" s="209"/>
      <c r="S215" s="210"/>
      <c r="T215" s="209"/>
    </row>
    <row r="216" spans="1:20" s="157" customFormat="1" x14ac:dyDescent="0.3">
      <c r="A216" s="494" t="s">
        <v>764</v>
      </c>
      <c r="B216" s="495">
        <v>1</v>
      </c>
      <c r="C216" s="495" t="s">
        <v>42</v>
      </c>
      <c r="D216" s="510">
        <f>3.58+3.85</f>
        <v>7.43</v>
      </c>
      <c r="E216" s="614">
        <v>0.15</v>
      </c>
      <c r="F216" s="614">
        <v>0.4</v>
      </c>
      <c r="G216" s="592">
        <f>-0.15*0.4*4</f>
        <v>-0.24</v>
      </c>
      <c r="H216" s="592">
        <f t="shared" si="115"/>
        <v>5.7039999999999997</v>
      </c>
      <c r="I216" s="592"/>
      <c r="J216" s="592">
        <f t="shared" ref="J216" si="129">((D216*E216*F216)*B216)+I216</f>
        <v>0.44579999999999997</v>
      </c>
      <c r="K216" s="592">
        <f t="shared" si="116"/>
        <v>5.5724999999999997E-2</v>
      </c>
      <c r="L216" s="592">
        <f>2.02+1.9</f>
        <v>3.92</v>
      </c>
      <c r="M216" s="592">
        <f t="shared" si="117"/>
        <v>0.79379999999999995</v>
      </c>
      <c r="N216" s="592">
        <f t="shared" si="118"/>
        <v>0.52919999999999989</v>
      </c>
      <c r="O216" s="616">
        <f t="shared" si="119"/>
        <v>7.0585000000000004</v>
      </c>
      <c r="P216" s="718"/>
      <c r="Q216" s="716"/>
      <c r="R216" s="209"/>
      <c r="S216" s="210"/>
      <c r="T216" s="209"/>
    </row>
    <row r="217" spans="1:20" s="157" customFormat="1" x14ac:dyDescent="0.3">
      <c r="A217" s="494" t="s">
        <v>765</v>
      </c>
      <c r="B217" s="495">
        <v>1</v>
      </c>
      <c r="C217" s="495" t="s">
        <v>42</v>
      </c>
      <c r="D217" s="510">
        <f>3.85+0.9</f>
        <v>4.75</v>
      </c>
      <c r="E217" s="614">
        <v>0.15</v>
      </c>
      <c r="F217" s="614">
        <v>0.4</v>
      </c>
      <c r="G217" s="592">
        <f>-0.15*0.4*2</f>
        <v>-0.12</v>
      </c>
      <c r="H217" s="592">
        <f t="shared" si="115"/>
        <v>3.68</v>
      </c>
      <c r="I217" s="617"/>
      <c r="J217" s="592">
        <f>((D217*E217*F217)*B217)+I217</f>
        <v>0.28500000000000003</v>
      </c>
      <c r="K217" s="592">
        <f t="shared" si="116"/>
        <v>3.5625000000000004E-2</v>
      </c>
      <c r="L217" s="592">
        <v>1.24</v>
      </c>
      <c r="M217" s="592">
        <f t="shared" si="117"/>
        <v>0.25109999999999999</v>
      </c>
      <c r="N217" s="592">
        <f t="shared" si="118"/>
        <v>0.16739999999999999</v>
      </c>
      <c r="O217" s="616">
        <f t="shared" si="119"/>
        <v>4.5125000000000002</v>
      </c>
      <c r="P217" s="718"/>
      <c r="Q217" s="716"/>
      <c r="R217" s="209"/>
      <c r="S217" s="210"/>
      <c r="T217" s="209"/>
    </row>
    <row r="218" spans="1:20" s="157" customFormat="1" x14ac:dyDescent="0.3">
      <c r="A218" s="494" t="s">
        <v>766</v>
      </c>
      <c r="B218" s="495">
        <v>1</v>
      </c>
      <c r="C218" s="495" t="s">
        <v>42</v>
      </c>
      <c r="D218" s="510">
        <v>6.95</v>
      </c>
      <c r="E218" s="614">
        <v>0.15</v>
      </c>
      <c r="F218" s="614">
        <v>0.4</v>
      </c>
      <c r="G218" s="592">
        <f>-0.15*0.4*4</f>
        <v>-0.24</v>
      </c>
      <c r="H218" s="592">
        <f t="shared" si="115"/>
        <v>5.32</v>
      </c>
      <c r="I218" s="592"/>
      <c r="J218" s="592">
        <f t="shared" ref="J218" si="130">((D218*E218*F218)*B218)+I218</f>
        <v>0.41700000000000004</v>
      </c>
      <c r="K218" s="592">
        <f t="shared" si="116"/>
        <v>5.2125000000000005E-2</v>
      </c>
      <c r="L218" s="592">
        <v>5.74</v>
      </c>
      <c r="M218" s="592">
        <f t="shared" si="117"/>
        <v>1.16235</v>
      </c>
      <c r="N218" s="592">
        <f t="shared" si="118"/>
        <v>0.77489999999999992</v>
      </c>
      <c r="O218" s="616">
        <f t="shared" si="119"/>
        <v>6.6025000000000009</v>
      </c>
      <c r="P218" s="718"/>
      <c r="Q218" s="716"/>
      <c r="R218" s="209"/>
      <c r="S218" s="210"/>
      <c r="T218" s="209"/>
    </row>
    <row r="219" spans="1:20" s="157" customFormat="1" x14ac:dyDescent="0.3">
      <c r="A219" s="494" t="s">
        <v>767</v>
      </c>
      <c r="B219" s="495">
        <v>1</v>
      </c>
      <c r="C219" s="495" t="s">
        <v>42</v>
      </c>
      <c r="D219" s="510">
        <v>3.85</v>
      </c>
      <c r="E219" s="614">
        <v>0.15</v>
      </c>
      <c r="F219" s="614">
        <v>0.4</v>
      </c>
      <c r="G219" s="592">
        <f>-0.15*0.4*2</f>
        <v>-0.12</v>
      </c>
      <c r="H219" s="592">
        <f t="shared" si="115"/>
        <v>2.96</v>
      </c>
      <c r="I219" s="617"/>
      <c r="J219" s="592">
        <f>((D219*E219*F219)*B219)+I219</f>
        <v>0.23100000000000001</v>
      </c>
      <c r="K219" s="592">
        <f t="shared" si="116"/>
        <v>2.8875000000000001E-2</v>
      </c>
      <c r="L219" s="592">
        <v>2.34</v>
      </c>
      <c r="M219" s="592">
        <f t="shared" si="117"/>
        <v>0.47384999999999999</v>
      </c>
      <c r="N219" s="592">
        <f t="shared" si="118"/>
        <v>0.31589999999999996</v>
      </c>
      <c r="O219" s="616">
        <f t="shared" si="119"/>
        <v>3.6575000000000002</v>
      </c>
      <c r="P219" s="718"/>
      <c r="Q219" s="716"/>
      <c r="R219" s="209"/>
      <c r="S219" s="210"/>
      <c r="T219" s="209"/>
    </row>
    <row r="220" spans="1:20" s="157" customFormat="1" x14ac:dyDescent="0.3">
      <c r="A220" s="494" t="s">
        <v>768</v>
      </c>
      <c r="B220" s="495">
        <v>1</v>
      </c>
      <c r="C220" s="495" t="s">
        <v>42</v>
      </c>
      <c r="D220" s="510">
        <f>3.85+0.9</f>
        <v>4.75</v>
      </c>
      <c r="E220" s="614">
        <v>0.15</v>
      </c>
      <c r="F220" s="614">
        <v>0.4</v>
      </c>
      <c r="G220" s="592">
        <f>-0.15*0.4*2</f>
        <v>-0.12</v>
      </c>
      <c r="H220" s="592">
        <f t="shared" si="115"/>
        <v>3.68</v>
      </c>
      <c r="I220" s="592"/>
      <c r="J220" s="592">
        <f>((D220*E220*F220)*B220)+I220</f>
        <v>0.28500000000000003</v>
      </c>
      <c r="K220" s="592">
        <f t="shared" si="116"/>
        <v>3.5625000000000004E-2</v>
      </c>
      <c r="L220" s="592">
        <v>1.84</v>
      </c>
      <c r="M220" s="592">
        <f t="shared" si="117"/>
        <v>0.37259999999999999</v>
      </c>
      <c r="N220" s="592">
        <f t="shared" si="118"/>
        <v>0.24839999999999995</v>
      </c>
      <c r="O220" s="616">
        <f t="shared" si="119"/>
        <v>4.5125000000000002</v>
      </c>
      <c r="P220" s="718"/>
      <c r="Q220" s="716"/>
      <c r="R220" s="209"/>
      <c r="S220" s="210"/>
      <c r="T220" s="209"/>
    </row>
    <row r="221" spans="1:20" s="157" customFormat="1" x14ac:dyDescent="0.3">
      <c r="A221" s="494" t="s">
        <v>769</v>
      </c>
      <c r="B221" s="495">
        <v>1</v>
      </c>
      <c r="C221" s="495" t="s">
        <v>42</v>
      </c>
      <c r="D221" s="510">
        <v>6.95</v>
      </c>
      <c r="E221" s="614">
        <v>0.15</v>
      </c>
      <c r="F221" s="614">
        <v>0.4</v>
      </c>
      <c r="G221" s="592">
        <f>-0.15*0.4*4</f>
        <v>-0.24</v>
      </c>
      <c r="H221" s="592">
        <f t="shared" si="115"/>
        <v>5.32</v>
      </c>
      <c r="I221" s="592"/>
      <c r="J221" s="592">
        <f>((D221*E221*F221)*B221)+I221</f>
        <v>0.41700000000000004</v>
      </c>
      <c r="K221" s="592">
        <f t="shared" si="116"/>
        <v>5.2125000000000005E-2</v>
      </c>
      <c r="L221" s="592">
        <v>5.74</v>
      </c>
      <c r="M221" s="592">
        <f t="shared" si="117"/>
        <v>1.16235</v>
      </c>
      <c r="N221" s="592">
        <f t="shared" si="118"/>
        <v>0.77489999999999992</v>
      </c>
      <c r="O221" s="616">
        <f t="shared" si="119"/>
        <v>6.6025000000000009</v>
      </c>
      <c r="P221" s="718"/>
      <c r="Q221" s="716"/>
      <c r="R221" s="209"/>
      <c r="S221" s="210"/>
      <c r="T221" s="209"/>
    </row>
    <row r="222" spans="1:20" s="157" customFormat="1" x14ac:dyDescent="0.3">
      <c r="A222" s="494" t="s">
        <v>770</v>
      </c>
      <c r="B222" s="495">
        <v>1</v>
      </c>
      <c r="C222" s="495" t="s">
        <v>42</v>
      </c>
      <c r="D222" s="510">
        <v>3.85</v>
      </c>
      <c r="E222" s="614">
        <v>0.15</v>
      </c>
      <c r="F222" s="614">
        <v>0.4</v>
      </c>
      <c r="G222" s="592">
        <f>-0.15*0.4*2</f>
        <v>-0.12</v>
      </c>
      <c r="H222" s="592">
        <f t="shared" si="115"/>
        <v>2.96</v>
      </c>
      <c r="I222" s="592"/>
      <c r="J222" s="592">
        <f t="shared" ref="J222" si="131">((D222*E222*F222)*B222)+I222</f>
        <v>0.23100000000000001</v>
      </c>
      <c r="K222" s="592">
        <f t="shared" si="116"/>
        <v>2.8875000000000001E-2</v>
      </c>
      <c r="L222" s="592">
        <v>1.9</v>
      </c>
      <c r="M222" s="592">
        <f t="shared" si="117"/>
        <v>0.38474999999999993</v>
      </c>
      <c r="N222" s="592">
        <f t="shared" si="118"/>
        <v>0.25649999999999995</v>
      </c>
      <c r="O222" s="616">
        <f t="shared" si="119"/>
        <v>3.6575000000000002</v>
      </c>
      <c r="P222" s="718"/>
      <c r="Q222" s="716"/>
      <c r="R222" s="209"/>
      <c r="S222" s="210"/>
      <c r="T222" s="209"/>
    </row>
    <row r="223" spans="1:20" s="157" customFormat="1" x14ac:dyDescent="0.3">
      <c r="A223" s="494" t="s">
        <v>771</v>
      </c>
      <c r="B223" s="495">
        <v>1</v>
      </c>
      <c r="C223" s="495" t="s">
        <v>42</v>
      </c>
      <c r="D223" s="510">
        <v>2.65</v>
      </c>
      <c r="E223" s="614">
        <v>0.15</v>
      </c>
      <c r="F223" s="614">
        <v>0.4</v>
      </c>
      <c r="G223" s="592"/>
      <c r="H223" s="592">
        <f t="shared" si="115"/>
        <v>2.12</v>
      </c>
      <c r="I223" s="617"/>
      <c r="J223" s="592">
        <f>((D223*E223*F223)*B223)+I223</f>
        <v>0.159</v>
      </c>
      <c r="K223" s="592">
        <f t="shared" si="116"/>
        <v>1.9875E-2</v>
      </c>
      <c r="L223" s="592">
        <v>0.95</v>
      </c>
      <c r="M223" s="592">
        <f t="shared" si="117"/>
        <v>0.19237499999999996</v>
      </c>
      <c r="N223" s="592">
        <f t="shared" si="118"/>
        <v>0.12824999999999998</v>
      </c>
      <c r="O223" s="616">
        <f t="shared" si="119"/>
        <v>2.5175000000000001</v>
      </c>
      <c r="P223" s="718"/>
      <c r="Q223" s="716"/>
      <c r="R223" s="209"/>
      <c r="S223" s="210"/>
      <c r="T223" s="209"/>
    </row>
    <row r="224" spans="1:20" s="157" customFormat="1" x14ac:dyDescent="0.3">
      <c r="A224" s="494" t="s">
        <v>772</v>
      </c>
      <c r="B224" s="495">
        <v>1</v>
      </c>
      <c r="C224" s="495" t="s">
        <v>42</v>
      </c>
      <c r="D224" s="510">
        <v>3.2</v>
      </c>
      <c r="E224" s="614">
        <v>0.15</v>
      </c>
      <c r="F224" s="614">
        <v>0.4</v>
      </c>
      <c r="G224" s="617">
        <f>-0.15*0.4</f>
        <v>-0.06</v>
      </c>
      <c r="H224" s="592">
        <f t="shared" si="115"/>
        <v>2.5000000000000004</v>
      </c>
      <c r="I224" s="592"/>
      <c r="J224" s="592">
        <f>((D224*E224*F224)*B224)+I224</f>
        <v>0.192</v>
      </c>
      <c r="K224" s="592">
        <f t="shared" si="116"/>
        <v>2.4E-2</v>
      </c>
      <c r="L224" s="592">
        <v>0.61</v>
      </c>
      <c r="M224" s="592">
        <f t="shared" si="117"/>
        <v>0.12352499999999998</v>
      </c>
      <c r="N224" s="592">
        <f t="shared" si="118"/>
        <v>8.2349999999999979E-2</v>
      </c>
      <c r="O224" s="616">
        <f t="shared" si="119"/>
        <v>3.0400000000000005</v>
      </c>
      <c r="P224" s="718"/>
      <c r="Q224" s="716"/>
      <c r="R224" s="209"/>
      <c r="S224" s="210"/>
      <c r="T224" s="209"/>
    </row>
    <row r="225" spans="1:20" s="157" customFormat="1" x14ac:dyDescent="0.3">
      <c r="A225" s="494" t="s">
        <v>773</v>
      </c>
      <c r="B225" s="495">
        <v>1</v>
      </c>
      <c r="C225" s="495" t="s">
        <v>42</v>
      </c>
      <c r="D225" s="510">
        <v>4.75</v>
      </c>
      <c r="E225" s="614">
        <v>0.15</v>
      </c>
      <c r="F225" s="614">
        <v>0.4</v>
      </c>
      <c r="G225" s="592">
        <f>-0.15*0.4*3</f>
        <v>-0.18</v>
      </c>
      <c r="H225" s="592">
        <f t="shared" si="115"/>
        <v>3.62</v>
      </c>
      <c r="I225" s="592"/>
      <c r="J225" s="592">
        <f t="shared" ref="J225:J226" si="132">((D225*E225*F225)*B225)+I225</f>
        <v>0.28500000000000003</v>
      </c>
      <c r="K225" s="592">
        <f t="shared" si="116"/>
        <v>3.5625000000000004E-2</v>
      </c>
      <c r="L225" s="592">
        <f>1.2+0.83</f>
        <v>2.0299999999999998</v>
      </c>
      <c r="M225" s="592">
        <f t="shared" si="117"/>
        <v>0.41107499999999997</v>
      </c>
      <c r="N225" s="592">
        <f t="shared" si="118"/>
        <v>0.27405000000000002</v>
      </c>
      <c r="O225" s="616">
        <f t="shared" si="119"/>
        <v>4.5125000000000002</v>
      </c>
      <c r="P225" s="718"/>
      <c r="Q225" s="716"/>
      <c r="R225" s="209"/>
      <c r="S225" s="210"/>
      <c r="T225" s="209"/>
    </row>
    <row r="226" spans="1:20" s="157" customFormat="1" x14ac:dyDescent="0.3">
      <c r="A226" s="494" t="s">
        <v>774</v>
      </c>
      <c r="B226" s="495">
        <v>1</v>
      </c>
      <c r="C226" s="495" t="s">
        <v>42</v>
      </c>
      <c r="D226" s="510">
        <v>4.5</v>
      </c>
      <c r="E226" s="614">
        <v>0.15</v>
      </c>
      <c r="F226" s="614">
        <v>0.4</v>
      </c>
      <c r="G226" s="592">
        <f>-0.15*0.4*2</f>
        <v>-0.12</v>
      </c>
      <c r="H226" s="592">
        <f t="shared" si="115"/>
        <v>3.48</v>
      </c>
      <c r="I226" s="592"/>
      <c r="J226" s="592">
        <f t="shared" si="132"/>
        <v>0.26999999999999996</v>
      </c>
      <c r="K226" s="592">
        <f t="shared" si="116"/>
        <v>3.3749999999999995E-2</v>
      </c>
      <c r="L226" s="592">
        <f>0.85+0.83</f>
        <v>1.68</v>
      </c>
      <c r="M226" s="592">
        <f t="shared" si="117"/>
        <v>0.34019999999999995</v>
      </c>
      <c r="N226" s="592">
        <f t="shared" si="118"/>
        <v>0.22679999999999995</v>
      </c>
      <c r="O226" s="616">
        <f t="shared" si="119"/>
        <v>4.2750000000000004</v>
      </c>
      <c r="P226" s="718"/>
      <c r="Q226" s="716"/>
      <c r="R226" s="209"/>
      <c r="S226" s="210"/>
      <c r="T226" s="209"/>
    </row>
    <row r="227" spans="1:20" s="157" customFormat="1" x14ac:dyDescent="0.3">
      <c r="A227" s="494" t="s">
        <v>775</v>
      </c>
      <c r="B227" s="495">
        <v>1</v>
      </c>
      <c r="C227" s="495" t="s">
        <v>42</v>
      </c>
      <c r="D227" s="510">
        <v>10.95</v>
      </c>
      <c r="E227" s="614">
        <v>0.15</v>
      </c>
      <c r="F227" s="614">
        <v>0.4</v>
      </c>
      <c r="G227" s="592">
        <f>0.05*0.4*2+0.1*0.4*2-0.15*0.4*7</f>
        <v>-0.29999999999999993</v>
      </c>
      <c r="H227" s="592">
        <f t="shared" si="115"/>
        <v>8.4599999999999991</v>
      </c>
      <c r="I227" s="617">
        <f>0.05*0.15*0.8+0.1*0.15*0.7</f>
        <v>1.6500000000000001E-2</v>
      </c>
      <c r="J227" s="592">
        <f>((D227*E227*F227)*B227)+I227</f>
        <v>0.67349999999999999</v>
      </c>
      <c r="K227" s="592">
        <f t="shared" si="116"/>
        <v>8.2125000000000004E-2</v>
      </c>
      <c r="L227" s="592">
        <f>1.42+0.25+1.4+1.35</f>
        <v>4.42</v>
      </c>
      <c r="M227" s="592">
        <f t="shared" si="117"/>
        <v>0.89505000000000001</v>
      </c>
      <c r="N227" s="592">
        <f t="shared" si="118"/>
        <v>0.59670000000000001</v>
      </c>
      <c r="O227" s="616">
        <f t="shared" si="119"/>
        <v>10.4025</v>
      </c>
      <c r="P227" s="718"/>
      <c r="Q227" s="716"/>
      <c r="R227" s="209"/>
      <c r="S227" s="210"/>
      <c r="T227" s="209"/>
    </row>
    <row r="228" spans="1:20" s="157" customFormat="1" x14ac:dyDescent="0.3">
      <c r="A228" s="494" t="s">
        <v>776</v>
      </c>
      <c r="B228" s="495">
        <v>1</v>
      </c>
      <c r="C228" s="495" t="s">
        <v>42</v>
      </c>
      <c r="D228" s="510">
        <v>0.65</v>
      </c>
      <c r="E228" s="614">
        <v>0.15</v>
      </c>
      <c r="F228" s="614">
        <v>0.4</v>
      </c>
      <c r="G228" s="617"/>
      <c r="H228" s="592">
        <f t="shared" si="115"/>
        <v>0.52</v>
      </c>
      <c r="I228" s="592"/>
      <c r="J228" s="592">
        <f>((D228*E228*F228)*B228)+I228</f>
        <v>3.9000000000000007E-2</v>
      </c>
      <c r="K228" s="592">
        <f t="shared" si="116"/>
        <v>4.8750000000000009E-3</v>
      </c>
      <c r="L228" s="592">
        <v>0.35</v>
      </c>
      <c r="M228" s="592">
        <f t="shared" si="117"/>
        <v>7.0874999999999994E-2</v>
      </c>
      <c r="N228" s="592">
        <f t="shared" si="118"/>
        <v>4.7249999999999993E-2</v>
      </c>
      <c r="O228" s="616">
        <f t="shared" si="119"/>
        <v>0.61750000000000005</v>
      </c>
      <c r="P228" s="718"/>
      <c r="Q228" s="716"/>
      <c r="R228" s="209"/>
      <c r="S228" s="210"/>
      <c r="T228" s="209"/>
    </row>
    <row r="229" spans="1:20" s="157" customFormat="1" x14ac:dyDescent="0.3">
      <c r="A229" s="494" t="s">
        <v>777</v>
      </c>
      <c r="B229" s="495">
        <v>1</v>
      </c>
      <c r="C229" s="495" t="s">
        <v>42</v>
      </c>
      <c r="D229" s="510">
        <v>0.65</v>
      </c>
      <c r="E229" s="614">
        <v>0.15</v>
      </c>
      <c r="F229" s="614">
        <v>0.4</v>
      </c>
      <c r="G229" s="592"/>
      <c r="H229" s="592">
        <f t="shared" si="115"/>
        <v>0.52</v>
      </c>
      <c r="I229" s="592"/>
      <c r="J229" s="592">
        <f t="shared" ref="J229" si="133">((D229*E229*F229)*B229)+I229</f>
        <v>3.9000000000000007E-2</v>
      </c>
      <c r="K229" s="592">
        <f t="shared" si="116"/>
        <v>4.8750000000000009E-3</v>
      </c>
      <c r="L229" s="592">
        <v>0</v>
      </c>
      <c r="M229" s="592">
        <f t="shared" si="117"/>
        <v>0</v>
      </c>
      <c r="N229" s="592">
        <f t="shared" si="118"/>
        <v>0</v>
      </c>
      <c r="O229" s="616">
        <f t="shared" si="119"/>
        <v>0.61750000000000005</v>
      </c>
      <c r="P229" s="718"/>
      <c r="Q229" s="716"/>
      <c r="R229" s="209"/>
      <c r="S229" s="210"/>
      <c r="T229" s="209"/>
    </row>
    <row r="230" spans="1:20" s="157" customFormat="1" x14ac:dyDescent="0.3">
      <c r="A230" s="494" t="s">
        <v>778</v>
      </c>
      <c r="B230" s="495">
        <v>1</v>
      </c>
      <c r="C230" s="495" t="s">
        <v>42</v>
      </c>
      <c r="D230" s="510">
        <f>4.75+3.8+2</f>
        <v>10.55</v>
      </c>
      <c r="E230" s="614">
        <v>0.15</v>
      </c>
      <c r="F230" s="614">
        <v>0.4</v>
      </c>
      <c r="G230" s="592">
        <f>-0.15*0.4*4</f>
        <v>-0.24</v>
      </c>
      <c r="H230" s="592">
        <f t="shared" si="115"/>
        <v>8.2000000000000011</v>
      </c>
      <c r="I230" s="617"/>
      <c r="J230" s="592">
        <f>((D230*E230*F230)*B230)+I230</f>
        <v>0.63300000000000001</v>
      </c>
      <c r="K230" s="592">
        <f t="shared" si="116"/>
        <v>7.9125000000000001E-2</v>
      </c>
      <c r="L230" s="592">
        <f>0.58+2.7+2.97</f>
        <v>6.25</v>
      </c>
      <c r="M230" s="592">
        <f t="shared" si="117"/>
        <v>1.2656249999999998</v>
      </c>
      <c r="N230" s="592">
        <f t="shared" si="118"/>
        <v>0.84374999999999978</v>
      </c>
      <c r="O230" s="616">
        <f t="shared" si="119"/>
        <v>10.022500000000001</v>
      </c>
      <c r="P230" s="718"/>
      <c r="Q230" s="716"/>
      <c r="R230" s="209"/>
      <c r="S230" s="210"/>
      <c r="T230" s="209"/>
    </row>
    <row r="231" spans="1:20" s="157" customFormat="1" x14ac:dyDescent="0.3">
      <c r="A231" s="494" t="s">
        <v>779</v>
      </c>
      <c r="B231" s="495">
        <v>1</v>
      </c>
      <c r="C231" s="495" t="s">
        <v>42</v>
      </c>
      <c r="D231" s="510">
        <v>0.65</v>
      </c>
      <c r="E231" s="614">
        <v>0.15</v>
      </c>
      <c r="F231" s="614">
        <v>0.4</v>
      </c>
      <c r="G231" s="617"/>
      <c r="H231" s="592">
        <f t="shared" si="115"/>
        <v>0.52</v>
      </c>
      <c r="I231" s="592"/>
      <c r="J231" s="592">
        <f>((D231*E231*F231)*B231)+I231</f>
        <v>3.9000000000000007E-2</v>
      </c>
      <c r="K231" s="592">
        <f t="shared" si="116"/>
        <v>4.8750000000000009E-3</v>
      </c>
      <c r="L231" s="592">
        <v>0</v>
      </c>
      <c r="M231" s="592">
        <f t="shared" si="117"/>
        <v>0</v>
      </c>
      <c r="N231" s="592">
        <f t="shared" si="118"/>
        <v>0</v>
      </c>
      <c r="O231" s="616">
        <f t="shared" si="119"/>
        <v>0.61750000000000005</v>
      </c>
      <c r="P231" s="718"/>
      <c r="Q231" s="716"/>
      <c r="R231" s="209"/>
      <c r="S231" s="210"/>
      <c r="T231" s="209"/>
    </row>
    <row r="232" spans="1:20" s="157" customFormat="1" x14ac:dyDescent="0.3">
      <c r="A232" s="494" t="s">
        <v>780</v>
      </c>
      <c r="B232" s="495">
        <v>1</v>
      </c>
      <c r="C232" s="495" t="s">
        <v>42</v>
      </c>
      <c r="D232" s="510">
        <v>0.65</v>
      </c>
      <c r="E232" s="614">
        <v>0.15</v>
      </c>
      <c r="F232" s="614">
        <v>0.4</v>
      </c>
      <c r="G232" s="617"/>
      <c r="H232" s="592">
        <f t="shared" si="115"/>
        <v>0.52</v>
      </c>
      <c r="I232" s="592"/>
      <c r="J232" s="592">
        <f>((D232*E232*F232)*B232)+I232</f>
        <v>3.9000000000000007E-2</v>
      </c>
      <c r="K232" s="592">
        <f t="shared" si="116"/>
        <v>4.8750000000000009E-3</v>
      </c>
      <c r="L232" s="592">
        <v>0.35</v>
      </c>
      <c r="M232" s="592">
        <f t="shared" si="117"/>
        <v>7.0874999999999994E-2</v>
      </c>
      <c r="N232" s="592">
        <f t="shared" si="118"/>
        <v>4.7249999999999993E-2</v>
      </c>
      <c r="O232" s="616">
        <f t="shared" si="119"/>
        <v>0.61750000000000005</v>
      </c>
      <c r="P232" s="718"/>
      <c r="Q232" s="716"/>
      <c r="R232" s="209"/>
      <c r="S232" s="210"/>
      <c r="T232" s="209"/>
    </row>
    <row r="233" spans="1:20" s="157" customFormat="1" x14ac:dyDescent="0.3">
      <c r="A233" s="494" t="s">
        <v>781</v>
      </c>
      <c r="B233" s="495">
        <v>1</v>
      </c>
      <c r="C233" s="495" t="s">
        <v>42</v>
      </c>
      <c r="D233" s="510">
        <v>3.75</v>
      </c>
      <c r="E233" s="614">
        <v>0.15</v>
      </c>
      <c r="F233" s="614">
        <v>0.4</v>
      </c>
      <c r="G233" s="592"/>
      <c r="H233" s="592">
        <f t="shared" si="115"/>
        <v>3</v>
      </c>
      <c r="I233" s="592"/>
      <c r="J233" s="592">
        <f t="shared" ref="J233" si="134">((D233*E233*F233)*B233)+I233</f>
        <v>0.22500000000000001</v>
      </c>
      <c r="K233" s="592">
        <f t="shared" si="116"/>
        <v>2.8125000000000001E-2</v>
      </c>
      <c r="L233" s="592">
        <v>2.08</v>
      </c>
      <c r="M233" s="592">
        <f t="shared" si="117"/>
        <v>0.42119999999999996</v>
      </c>
      <c r="N233" s="592">
        <f t="shared" si="118"/>
        <v>0.28079999999999994</v>
      </c>
      <c r="O233" s="616">
        <f t="shared" si="119"/>
        <v>3.5625000000000004</v>
      </c>
      <c r="P233" s="718"/>
      <c r="Q233" s="716"/>
      <c r="R233" s="209"/>
      <c r="S233" s="210"/>
      <c r="T233" s="209"/>
    </row>
    <row r="234" spans="1:20" s="157" customFormat="1" x14ac:dyDescent="0.3">
      <c r="A234" s="494" t="s">
        <v>782</v>
      </c>
      <c r="B234" s="495">
        <v>1</v>
      </c>
      <c r="C234" s="495" t="s">
        <v>42</v>
      </c>
      <c r="D234" s="510">
        <v>3.8</v>
      </c>
      <c r="E234" s="614">
        <v>0.15</v>
      </c>
      <c r="F234" s="614">
        <v>0.4</v>
      </c>
      <c r="G234" s="592"/>
      <c r="H234" s="592">
        <f t="shared" si="115"/>
        <v>3.04</v>
      </c>
      <c r="I234" s="617"/>
      <c r="J234" s="592">
        <f>((D234*E234*F234)*B234)+I234</f>
        <v>0.22799999999999998</v>
      </c>
      <c r="K234" s="592">
        <f t="shared" si="116"/>
        <v>2.8499999999999998E-2</v>
      </c>
      <c r="L234" s="592">
        <v>2.13</v>
      </c>
      <c r="M234" s="592">
        <f t="shared" si="117"/>
        <v>0.43132499999999996</v>
      </c>
      <c r="N234" s="592">
        <f t="shared" si="118"/>
        <v>0.28754999999999997</v>
      </c>
      <c r="O234" s="616">
        <f t="shared" si="119"/>
        <v>3.61</v>
      </c>
      <c r="P234" s="718"/>
      <c r="Q234" s="716"/>
      <c r="R234" s="209"/>
      <c r="S234" s="210"/>
      <c r="T234" s="209"/>
    </row>
    <row r="235" spans="1:20" s="157" customFormat="1" x14ac:dyDescent="0.3">
      <c r="A235" s="494" t="s">
        <v>783</v>
      </c>
      <c r="B235" s="495">
        <v>1</v>
      </c>
      <c r="C235" s="495" t="s">
        <v>42</v>
      </c>
      <c r="D235" s="510">
        <v>0.65</v>
      </c>
      <c r="E235" s="614">
        <v>0.15</v>
      </c>
      <c r="F235" s="614">
        <v>0.4</v>
      </c>
      <c r="G235" s="617"/>
      <c r="H235" s="592">
        <f t="shared" si="115"/>
        <v>0.52</v>
      </c>
      <c r="I235" s="592"/>
      <c r="J235" s="592">
        <f>((D235*E235*F235)*B235)+I235</f>
        <v>3.9000000000000007E-2</v>
      </c>
      <c r="K235" s="592">
        <f t="shared" si="116"/>
        <v>4.8750000000000009E-3</v>
      </c>
      <c r="L235" s="592">
        <v>0.35</v>
      </c>
      <c r="M235" s="592">
        <f t="shared" si="117"/>
        <v>7.0874999999999994E-2</v>
      </c>
      <c r="N235" s="592">
        <f t="shared" si="118"/>
        <v>4.7249999999999993E-2</v>
      </c>
      <c r="O235" s="616">
        <f t="shared" si="119"/>
        <v>0.61750000000000005</v>
      </c>
      <c r="P235" s="718"/>
      <c r="Q235" s="716"/>
      <c r="R235" s="209"/>
      <c r="S235" s="210"/>
      <c r="T235" s="209"/>
    </row>
    <row r="236" spans="1:20" s="157" customFormat="1" x14ac:dyDescent="0.3">
      <c r="A236" s="494" t="s">
        <v>784</v>
      </c>
      <c r="B236" s="495">
        <v>1</v>
      </c>
      <c r="C236" s="495" t="s">
        <v>42</v>
      </c>
      <c r="D236" s="510">
        <v>0.65</v>
      </c>
      <c r="E236" s="614">
        <v>0.15</v>
      </c>
      <c r="F236" s="614">
        <v>0.4</v>
      </c>
      <c r="G236" s="592"/>
      <c r="H236" s="592">
        <f t="shared" si="115"/>
        <v>0.52</v>
      </c>
      <c r="I236" s="592"/>
      <c r="J236" s="592">
        <f t="shared" ref="J236:J237" si="135">((D236*E236*F236)*B236)+I236</f>
        <v>3.9000000000000007E-2</v>
      </c>
      <c r="K236" s="592">
        <f t="shared" si="116"/>
        <v>4.8750000000000009E-3</v>
      </c>
      <c r="L236" s="592">
        <v>0.13</v>
      </c>
      <c r="M236" s="592">
        <f t="shared" si="117"/>
        <v>2.6324999999999998E-2</v>
      </c>
      <c r="N236" s="592">
        <f t="shared" si="118"/>
        <v>1.7549999999999996E-2</v>
      </c>
      <c r="O236" s="616">
        <f t="shared" si="119"/>
        <v>0.61750000000000005</v>
      </c>
      <c r="P236" s="718"/>
      <c r="Q236" s="716"/>
      <c r="R236" s="209"/>
      <c r="S236" s="210"/>
      <c r="T236" s="209"/>
    </row>
    <row r="237" spans="1:20" s="157" customFormat="1" x14ac:dyDescent="0.3">
      <c r="A237" s="494" t="s">
        <v>785</v>
      </c>
      <c r="B237" s="495">
        <v>1</v>
      </c>
      <c r="C237" s="495" t="s">
        <v>42</v>
      </c>
      <c r="D237" s="510">
        <f>3.8+3.8+2</f>
        <v>9.6</v>
      </c>
      <c r="E237" s="614">
        <v>0.15</v>
      </c>
      <c r="F237" s="614">
        <v>0.4</v>
      </c>
      <c r="G237" s="592">
        <f>-0.15*0.4*4</f>
        <v>-0.24</v>
      </c>
      <c r="H237" s="592">
        <f t="shared" si="115"/>
        <v>7.4399999999999995</v>
      </c>
      <c r="I237" s="592"/>
      <c r="J237" s="592">
        <f t="shared" si="135"/>
        <v>0.57599999999999996</v>
      </c>
      <c r="K237" s="592">
        <f t="shared" si="116"/>
        <v>7.1999999999999995E-2</v>
      </c>
      <c r="L237" s="592">
        <f>2.75+2.7+0.58</f>
        <v>6.03</v>
      </c>
      <c r="M237" s="592">
        <f t="shared" si="117"/>
        <v>1.2210749999999999</v>
      </c>
      <c r="N237" s="592">
        <f t="shared" si="118"/>
        <v>0.81404999999999994</v>
      </c>
      <c r="O237" s="616">
        <f t="shared" si="119"/>
        <v>9.120000000000001</v>
      </c>
      <c r="P237" s="718"/>
      <c r="Q237" s="716"/>
      <c r="R237" s="209"/>
      <c r="S237" s="210"/>
      <c r="T237" s="209"/>
    </row>
    <row r="238" spans="1:20" s="157" customFormat="1" x14ac:dyDescent="0.3">
      <c r="A238" s="494" t="s">
        <v>786</v>
      </c>
      <c r="B238" s="495">
        <v>1</v>
      </c>
      <c r="C238" s="495" t="s">
        <v>42</v>
      </c>
      <c r="D238" s="510">
        <v>0.65</v>
      </c>
      <c r="E238" s="614">
        <v>0.15</v>
      </c>
      <c r="F238" s="614">
        <v>0.4</v>
      </c>
      <c r="G238" s="592"/>
      <c r="H238" s="592">
        <f t="shared" si="115"/>
        <v>0.52</v>
      </c>
      <c r="I238" s="617"/>
      <c r="J238" s="592">
        <f>((D238*E238*F238)*B238)+I238</f>
        <v>3.9000000000000007E-2</v>
      </c>
      <c r="K238" s="592">
        <f t="shared" si="116"/>
        <v>4.8750000000000009E-3</v>
      </c>
      <c r="L238" s="592">
        <v>0.13</v>
      </c>
      <c r="M238" s="592">
        <f t="shared" si="117"/>
        <v>2.6324999999999998E-2</v>
      </c>
      <c r="N238" s="592">
        <f t="shared" si="118"/>
        <v>1.7549999999999996E-2</v>
      </c>
      <c r="O238" s="616">
        <f t="shared" si="119"/>
        <v>0.61750000000000005</v>
      </c>
      <c r="P238" s="718"/>
      <c r="Q238" s="716"/>
      <c r="R238" s="209"/>
      <c r="S238" s="210"/>
      <c r="T238" s="209"/>
    </row>
    <row r="239" spans="1:20" s="157" customFormat="1" x14ac:dyDescent="0.3">
      <c r="A239" s="494" t="s">
        <v>787</v>
      </c>
      <c r="B239" s="495">
        <v>1</v>
      </c>
      <c r="C239" s="495" t="s">
        <v>42</v>
      </c>
      <c r="D239" s="510">
        <v>0.65</v>
      </c>
      <c r="E239" s="614">
        <v>0.15</v>
      </c>
      <c r="F239" s="614">
        <v>0.4</v>
      </c>
      <c r="G239" s="617"/>
      <c r="H239" s="592">
        <f t="shared" si="115"/>
        <v>0.52</v>
      </c>
      <c r="I239" s="592"/>
      <c r="J239" s="592">
        <f>((D239*E239*F239)*B239)+I239</f>
        <v>3.9000000000000007E-2</v>
      </c>
      <c r="K239" s="592">
        <f t="shared" si="116"/>
        <v>4.8750000000000009E-3</v>
      </c>
      <c r="L239" s="592">
        <v>0.35</v>
      </c>
      <c r="M239" s="592">
        <f t="shared" si="117"/>
        <v>7.0874999999999994E-2</v>
      </c>
      <c r="N239" s="592">
        <f t="shared" si="118"/>
        <v>4.7249999999999993E-2</v>
      </c>
      <c r="O239" s="616">
        <f t="shared" si="119"/>
        <v>0.61750000000000005</v>
      </c>
      <c r="P239" s="718"/>
      <c r="Q239" s="716"/>
      <c r="R239" s="209"/>
      <c r="S239" s="210"/>
      <c r="T239" s="209"/>
    </row>
    <row r="240" spans="1:20" s="157" customFormat="1" x14ac:dyDescent="0.3">
      <c r="A240" s="494" t="s">
        <v>788</v>
      </c>
      <c r="B240" s="495">
        <v>1</v>
      </c>
      <c r="C240" s="495" t="s">
        <v>42</v>
      </c>
      <c r="D240" s="510">
        <v>10.95</v>
      </c>
      <c r="E240" s="614">
        <v>0.15</v>
      </c>
      <c r="F240" s="614">
        <v>0.4</v>
      </c>
      <c r="G240" s="592">
        <f>-0.15*0.4*6+0.1*0.4*0.7+0.05*0.4*0.5</f>
        <v>-0.32199999999999995</v>
      </c>
      <c r="H240" s="592">
        <f t="shared" si="115"/>
        <v>8.4380000000000006</v>
      </c>
      <c r="I240" s="617">
        <f>0.05*0.15*0.8+0.1*0.15*0.7</f>
        <v>1.6500000000000001E-2</v>
      </c>
      <c r="J240" s="592">
        <f t="shared" ref="J240" si="136">((D240*E240*F240)*B240)+I240</f>
        <v>0.67349999999999999</v>
      </c>
      <c r="K240" s="592">
        <f t="shared" si="116"/>
        <v>8.2125000000000004E-2</v>
      </c>
      <c r="L240" s="592">
        <f>2.97+4.53</f>
        <v>7.5</v>
      </c>
      <c r="M240" s="592">
        <f t="shared" si="117"/>
        <v>1.5187499999999998</v>
      </c>
      <c r="N240" s="592">
        <f t="shared" si="118"/>
        <v>1.0124999999999997</v>
      </c>
      <c r="O240" s="616">
        <f t="shared" si="119"/>
        <v>10.4025</v>
      </c>
      <c r="P240" s="718"/>
      <c r="Q240" s="716"/>
      <c r="R240" s="209"/>
      <c r="S240" s="210"/>
      <c r="T240" s="209"/>
    </row>
    <row r="241" spans="1:20" s="157" customFormat="1" x14ac:dyDescent="0.3">
      <c r="A241" s="494" t="s">
        <v>789</v>
      </c>
      <c r="B241" s="495">
        <v>1</v>
      </c>
      <c r="C241" s="495" t="s">
        <v>42</v>
      </c>
      <c r="D241" s="510">
        <v>0.65</v>
      </c>
      <c r="E241" s="614">
        <v>0.15</v>
      </c>
      <c r="F241" s="614">
        <v>0.4</v>
      </c>
      <c r="G241" s="592"/>
      <c r="H241" s="592">
        <f t="shared" si="115"/>
        <v>0.52</v>
      </c>
      <c r="I241" s="617"/>
      <c r="J241" s="592">
        <f>((D241*E241*F241)*B241)+I241</f>
        <v>3.9000000000000007E-2</v>
      </c>
      <c r="K241" s="592">
        <f t="shared" si="116"/>
        <v>4.8750000000000009E-3</v>
      </c>
      <c r="L241" s="592">
        <v>0.35</v>
      </c>
      <c r="M241" s="592">
        <f t="shared" si="117"/>
        <v>7.0874999999999994E-2</v>
      </c>
      <c r="N241" s="592">
        <f t="shared" si="118"/>
        <v>4.7249999999999993E-2</v>
      </c>
      <c r="O241" s="616">
        <f t="shared" si="119"/>
        <v>0.61750000000000005</v>
      </c>
      <c r="P241" s="718"/>
      <c r="Q241" s="716"/>
      <c r="R241" s="209"/>
      <c r="S241" s="210"/>
      <c r="T241" s="209"/>
    </row>
    <row r="242" spans="1:20" s="157" customFormat="1" x14ac:dyDescent="0.3">
      <c r="A242" s="494" t="s">
        <v>790</v>
      </c>
      <c r="B242" s="495">
        <v>1</v>
      </c>
      <c r="C242" s="495" t="s">
        <v>42</v>
      </c>
      <c r="D242" s="510">
        <v>0.65</v>
      </c>
      <c r="E242" s="614">
        <v>0.15</v>
      </c>
      <c r="F242" s="614">
        <v>0.4</v>
      </c>
      <c r="G242" s="592"/>
      <c r="H242" s="592">
        <f t="shared" si="115"/>
        <v>0.52</v>
      </c>
      <c r="I242" s="592"/>
      <c r="J242" s="592">
        <f t="shared" ref="J242:J243" si="137">((D242*E242*F242)*B242)+I242</f>
        <v>3.9000000000000007E-2</v>
      </c>
      <c r="K242" s="592">
        <f t="shared" si="116"/>
        <v>4.8750000000000009E-3</v>
      </c>
      <c r="L242" s="592">
        <v>0</v>
      </c>
      <c r="M242" s="592">
        <f t="shared" si="117"/>
        <v>0</v>
      </c>
      <c r="N242" s="592">
        <f t="shared" si="118"/>
        <v>0</v>
      </c>
      <c r="O242" s="616">
        <f t="shared" si="119"/>
        <v>0.61750000000000005</v>
      </c>
      <c r="P242" s="718"/>
      <c r="Q242" s="716"/>
      <c r="R242" s="209"/>
      <c r="S242" s="210"/>
      <c r="T242" s="209"/>
    </row>
    <row r="243" spans="1:20" s="157" customFormat="1" x14ac:dyDescent="0.3">
      <c r="A243" s="494" t="s">
        <v>791</v>
      </c>
      <c r="B243" s="495">
        <v>1</v>
      </c>
      <c r="C243" s="495" t="s">
        <v>42</v>
      </c>
      <c r="D243" s="510">
        <f>3.8+3.8+2</f>
        <v>9.6</v>
      </c>
      <c r="E243" s="614">
        <v>0.15</v>
      </c>
      <c r="F243" s="614">
        <v>0.4</v>
      </c>
      <c r="G243" s="592">
        <f>-0.15*0.4*4</f>
        <v>-0.24</v>
      </c>
      <c r="H243" s="592">
        <f t="shared" si="115"/>
        <v>7.4399999999999995</v>
      </c>
      <c r="I243" s="592"/>
      <c r="J243" s="592">
        <f t="shared" si="137"/>
        <v>0.57599999999999996</v>
      </c>
      <c r="K243" s="592">
        <f t="shared" si="116"/>
        <v>7.1999999999999995E-2</v>
      </c>
      <c r="L243" s="592">
        <f>0.58+2.7+2.97</f>
        <v>6.25</v>
      </c>
      <c r="M243" s="592">
        <f t="shared" si="117"/>
        <v>1.2656249999999998</v>
      </c>
      <c r="N243" s="592">
        <f t="shared" si="118"/>
        <v>0.84374999999999978</v>
      </c>
      <c r="O243" s="616">
        <f t="shared" si="119"/>
        <v>9.120000000000001</v>
      </c>
      <c r="P243" s="718"/>
      <c r="Q243" s="716"/>
      <c r="R243" s="209"/>
      <c r="S243" s="210"/>
      <c r="T243" s="209"/>
    </row>
    <row r="244" spans="1:20" s="157" customFormat="1" x14ac:dyDescent="0.3">
      <c r="A244" s="494" t="s">
        <v>792</v>
      </c>
      <c r="B244" s="495">
        <v>1</v>
      </c>
      <c r="C244" s="495" t="s">
        <v>42</v>
      </c>
      <c r="D244" s="510">
        <v>0.65</v>
      </c>
      <c r="E244" s="614">
        <v>0.15</v>
      </c>
      <c r="F244" s="614">
        <v>0.4</v>
      </c>
      <c r="G244" s="592"/>
      <c r="H244" s="592">
        <f t="shared" si="115"/>
        <v>0.52</v>
      </c>
      <c r="I244" s="617"/>
      <c r="J244" s="592">
        <f>((D244*E244*F244)*B244)+I244</f>
        <v>3.9000000000000007E-2</v>
      </c>
      <c r="K244" s="592">
        <f t="shared" si="116"/>
        <v>4.8750000000000009E-3</v>
      </c>
      <c r="L244" s="592">
        <v>0</v>
      </c>
      <c r="M244" s="592">
        <f t="shared" si="117"/>
        <v>0</v>
      </c>
      <c r="N244" s="592">
        <f t="shared" si="118"/>
        <v>0</v>
      </c>
      <c r="O244" s="616">
        <f t="shared" si="119"/>
        <v>0.61750000000000005</v>
      </c>
      <c r="P244" s="718"/>
      <c r="Q244" s="716"/>
      <c r="R244" s="209"/>
      <c r="S244" s="210"/>
      <c r="T244" s="209"/>
    </row>
    <row r="245" spans="1:20" s="157" customFormat="1" x14ac:dyDescent="0.3">
      <c r="A245" s="494" t="s">
        <v>793</v>
      </c>
      <c r="B245" s="495">
        <v>1</v>
      </c>
      <c r="C245" s="495" t="s">
        <v>42</v>
      </c>
      <c r="D245" s="510">
        <v>0.65</v>
      </c>
      <c r="E245" s="614">
        <v>0.15</v>
      </c>
      <c r="F245" s="614">
        <v>0.4</v>
      </c>
      <c r="G245" s="617"/>
      <c r="H245" s="592">
        <f t="shared" si="115"/>
        <v>0.52</v>
      </c>
      <c r="I245" s="592"/>
      <c r="J245" s="592">
        <f>((D245*E245*F245)*B245)+I245</f>
        <v>3.9000000000000007E-2</v>
      </c>
      <c r="K245" s="592">
        <f t="shared" si="116"/>
        <v>4.8750000000000009E-3</v>
      </c>
      <c r="L245" s="592">
        <v>0.35</v>
      </c>
      <c r="M245" s="592">
        <f t="shared" si="117"/>
        <v>7.0874999999999994E-2</v>
      </c>
      <c r="N245" s="592">
        <f t="shared" si="118"/>
        <v>4.7249999999999993E-2</v>
      </c>
      <c r="O245" s="616">
        <f t="shared" si="119"/>
        <v>0.61750000000000005</v>
      </c>
      <c r="P245" s="718"/>
      <c r="Q245" s="716"/>
      <c r="R245" s="209"/>
      <c r="S245" s="210"/>
      <c r="T245" s="209"/>
    </row>
    <row r="246" spans="1:20" s="157" customFormat="1" x14ac:dyDescent="0.3">
      <c r="A246" s="494" t="s">
        <v>794</v>
      </c>
      <c r="B246" s="495">
        <v>1</v>
      </c>
      <c r="C246" s="495" t="s">
        <v>42</v>
      </c>
      <c r="D246" s="510">
        <v>3.75</v>
      </c>
      <c r="E246" s="614">
        <v>0.15</v>
      </c>
      <c r="F246" s="614">
        <v>0.4</v>
      </c>
      <c r="G246" s="592"/>
      <c r="H246" s="592">
        <f t="shared" si="115"/>
        <v>3</v>
      </c>
      <c r="I246" s="592"/>
      <c r="J246" s="592">
        <f t="shared" ref="J246" si="138">((D246*E246*F246)*B246)+I246</f>
        <v>0.22500000000000001</v>
      </c>
      <c r="K246" s="592">
        <f t="shared" si="116"/>
        <v>2.8125000000000001E-2</v>
      </c>
      <c r="L246" s="592">
        <v>2.08</v>
      </c>
      <c r="M246" s="592">
        <f t="shared" si="117"/>
        <v>0.42119999999999996</v>
      </c>
      <c r="N246" s="592">
        <f t="shared" si="118"/>
        <v>0.28079999999999994</v>
      </c>
      <c r="O246" s="616">
        <f t="shared" si="119"/>
        <v>3.5625000000000004</v>
      </c>
      <c r="P246" s="718"/>
      <c r="Q246" s="716"/>
      <c r="R246" s="209"/>
      <c r="S246" s="210"/>
      <c r="T246" s="209"/>
    </row>
    <row r="247" spans="1:20" s="157" customFormat="1" x14ac:dyDescent="0.3">
      <c r="A247" s="494" t="s">
        <v>795</v>
      </c>
      <c r="B247" s="495">
        <v>1</v>
      </c>
      <c r="C247" s="495" t="s">
        <v>42</v>
      </c>
      <c r="D247" s="510">
        <v>3.8</v>
      </c>
      <c r="E247" s="614">
        <v>0.15</v>
      </c>
      <c r="F247" s="614">
        <v>0.4</v>
      </c>
      <c r="G247" s="592"/>
      <c r="H247" s="592">
        <f t="shared" si="115"/>
        <v>3.04</v>
      </c>
      <c r="I247" s="617"/>
      <c r="J247" s="592">
        <f>((D247*E247*F247)*B247)+I247</f>
        <v>0.22799999999999998</v>
      </c>
      <c r="K247" s="592">
        <f t="shared" si="116"/>
        <v>2.8499999999999998E-2</v>
      </c>
      <c r="L247" s="592">
        <v>2.13</v>
      </c>
      <c r="M247" s="592">
        <f t="shared" si="117"/>
        <v>0.43132499999999996</v>
      </c>
      <c r="N247" s="592">
        <f t="shared" si="118"/>
        <v>0.28754999999999997</v>
      </c>
      <c r="O247" s="616">
        <f t="shared" si="119"/>
        <v>3.61</v>
      </c>
      <c r="P247" s="718"/>
      <c r="Q247" s="716"/>
      <c r="R247" s="209"/>
      <c r="S247" s="210"/>
      <c r="T247" s="209"/>
    </row>
    <row r="248" spans="1:20" s="157" customFormat="1" x14ac:dyDescent="0.3">
      <c r="A248" s="494" t="s">
        <v>796</v>
      </c>
      <c r="B248" s="495">
        <v>1</v>
      </c>
      <c r="C248" s="495" t="s">
        <v>42</v>
      </c>
      <c r="D248" s="510">
        <v>0.65</v>
      </c>
      <c r="E248" s="614">
        <v>0.15</v>
      </c>
      <c r="F248" s="614">
        <v>0.4</v>
      </c>
      <c r="G248" s="617"/>
      <c r="H248" s="592">
        <f t="shared" si="115"/>
        <v>0.52</v>
      </c>
      <c r="I248" s="592"/>
      <c r="J248" s="592">
        <f>((D248*E248*F248)*B248)+I248</f>
        <v>3.9000000000000007E-2</v>
      </c>
      <c r="K248" s="592">
        <f t="shared" si="116"/>
        <v>4.8750000000000009E-3</v>
      </c>
      <c r="L248" s="592">
        <v>0.35</v>
      </c>
      <c r="M248" s="592">
        <f t="shared" si="117"/>
        <v>7.0874999999999994E-2</v>
      </c>
      <c r="N248" s="592">
        <f t="shared" si="118"/>
        <v>4.7249999999999993E-2</v>
      </c>
      <c r="O248" s="616">
        <f t="shared" si="119"/>
        <v>0.61750000000000005</v>
      </c>
      <c r="P248" s="718"/>
      <c r="Q248" s="716"/>
      <c r="R248" s="209"/>
      <c r="S248" s="210"/>
      <c r="T248" s="209"/>
    </row>
    <row r="249" spans="1:20" s="157" customFormat="1" x14ac:dyDescent="0.3">
      <c r="A249" s="494" t="s">
        <v>797</v>
      </c>
      <c r="B249" s="495">
        <v>1</v>
      </c>
      <c r="C249" s="495" t="s">
        <v>42</v>
      </c>
      <c r="D249" s="510">
        <v>0.65</v>
      </c>
      <c r="E249" s="614">
        <v>0.15</v>
      </c>
      <c r="F249" s="614">
        <v>0.4</v>
      </c>
      <c r="G249" s="617"/>
      <c r="H249" s="592">
        <f t="shared" si="115"/>
        <v>0.52</v>
      </c>
      <c r="I249" s="592"/>
      <c r="J249" s="592">
        <f>((D249*E249*F249)*B249)+I249</f>
        <v>3.9000000000000007E-2</v>
      </c>
      <c r="K249" s="592">
        <f t="shared" si="116"/>
        <v>4.8750000000000009E-3</v>
      </c>
      <c r="L249" s="592">
        <v>0.13</v>
      </c>
      <c r="M249" s="592">
        <f t="shared" si="117"/>
        <v>2.6324999999999998E-2</v>
      </c>
      <c r="N249" s="592">
        <f t="shared" si="118"/>
        <v>1.7549999999999996E-2</v>
      </c>
      <c r="O249" s="616">
        <f t="shared" si="119"/>
        <v>0.61750000000000005</v>
      </c>
      <c r="P249" s="718"/>
      <c r="Q249" s="716"/>
      <c r="R249" s="209"/>
      <c r="S249" s="210"/>
      <c r="T249" s="209"/>
    </row>
    <row r="250" spans="1:20" s="157" customFormat="1" x14ac:dyDescent="0.3">
      <c r="A250" s="494" t="s">
        <v>798</v>
      </c>
      <c r="B250" s="495">
        <v>1</v>
      </c>
      <c r="C250" s="495" t="s">
        <v>42</v>
      </c>
      <c r="D250" s="510">
        <f>4.75+3.8+2</f>
        <v>10.55</v>
      </c>
      <c r="E250" s="614">
        <v>0.15</v>
      </c>
      <c r="F250" s="614">
        <v>0.4</v>
      </c>
      <c r="G250" s="592">
        <f>-0.15*0.4*4</f>
        <v>-0.24</v>
      </c>
      <c r="H250" s="592">
        <f t="shared" si="115"/>
        <v>8.2000000000000011</v>
      </c>
      <c r="I250" s="592"/>
      <c r="J250" s="592">
        <f t="shared" ref="J250" si="139">((D250*E250*F250)*B250)+I250</f>
        <v>0.63300000000000001</v>
      </c>
      <c r="K250" s="592">
        <f t="shared" si="116"/>
        <v>7.9125000000000001E-2</v>
      </c>
      <c r="L250" s="592">
        <f>2.75+2.7+0.58</f>
        <v>6.03</v>
      </c>
      <c r="M250" s="592">
        <f t="shared" si="117"/>
        <v>1.2210749999999999</v>
      </c>
      <c r="N250" s="592">
        <f t="shared" si="118"/>
        <v>0.81404999999999994</v>
      </c>
      <c r="O250" s="616">
        <f t="shared" si="119"/>
        <v>10.022500000000001</v>
      </c>
      <c r="P250" s="718"/>
      <c r="Q250" s="716"/>
      <c r="R250" s="209"/>
      <c r="S250" s="210"/>
      <c r="T250" s="209"/>
    </row>
    <row r="251" spans="1:20" s="157" customFormat="1" x14ac:dyDescent="0.3">
      <c r="A251" s="494" t="s">
        <v>799</v>
      </c>
      <c r="B251" s="495">
        <v>1</v>
      </c>
      <c r="C251" s="495" t="s">
        <v>42</v>
      </c>
      <c r="D251" s="510">
        <v>0.65</v>
      </c>
      <c r="E251" s="614">
        <v>0.15</v>
      </c>
      <c r="F251" s="614">
        <v>0.4</v>
      </c>
      <c r="G251" s="592"/>
      <c r="H251" s="592">
        <f t="shared" si="115"/>
        <v>0.52</v>
      </c>
      <c r="I251" s="617"/>
      <c r="J251" s="592">
        <f>((D251*E251*F251)*B251)+I251</f>
        <v>3.9000000000000007E-2</v>
      </c>
      <c r="K251" s="592">
        <f t="shared" si="116"/>
        <v>4.8750000000000009E-3</v>
      </c>
      <c r="L251" s="592">
        <v>0.13</v>
      </c>
      <c r="M251" s="592">
        <f t="shared" si="117"/>
        <v>2.6324999999999998E-2</v>
      </c>
      <c r="N251" s="592">
        <f t="shared" si="118"/>
        <v>1.7549999999999996E-2</v>
      </c>
      <c r="O251" s="616">
        <f t="shared" si="119"/>
        <v>0.61750000000000005</v>
      </c>
      <c r="P251" s="718"/>
      <c r="Q251" s="716"/>
      <c r="R251" s="209"/>
      <c r="S251" s="210"/>
      <c r="T251" s="209"/>
    </row>
    <row r="252" spans="1:20" s="157" customFormat="1" x14ac:dyDescent="0.3">
      <c r="A252" s="494" t="s">
        <v>800</v>
      </c>
      <c r="B252" s="495">
        <v>1</v>
      </c>
      <c r="C252" s="495" t="s">
        <v>42</v>
      </c>
      <c r="D252" s="510">
        <v>0.65</v>
      </c>
      <c r="E252" s="614">
        <v>0.15</v>
      </c>
      <c r="F252" s="614">
        <v>0.4</v>
      </c>
      <c r="G252" s="617"/>
      <c r="H252" s="592">
        <f t="shared" si="115"/>
        <v>0.52</v>
      </c>
      <c r="I252" s="592"/>
      <c r="J252" s="592">
        <f>((D252*E252*F252)*B252)+I252</f>
        <v>3.9000000000000007E-2</v>
      </c>
      <c r="K252" s="592">
        <f t="shared" si="116"/>
        <v>4.8750000000000009E-3</v>
      </c>
      <c r="L252" s="592">
        <v>0.35</v>
      </c>
      <c r="M252" s="592">
        <f t="shared" si="117"/>
        <v>7.0874999999999994E-2</v>
      </c>
      <c r="N252" s="592">
        <f t="shared" si="118"/>
        <v>4.7249999999999993E-2</v>
      </c>
      <c r="O252" s="616">
        <f t="shared" si="119"/>
        <v>0.61750000000000005</v>
      </c>
      <c r="P252" s="718"/>
      <c r="Q252" s="716"/>
      <c r="R252" s="209"/>
      <c r="S252" s="210"/>
      <c r="T252" s="209"/>
    </row>
    <row r="253" spans="1:20" s="157" customFormat="1" ht="15" thickBot="1" x14ac:dyDescent="0.35">
      <c r="A253" s="494" t="s">
        <v>801</v>
      </c>
      <c r="B253" s="495">
        <v>1</v>
      </c>
      <c r="C253" s="495" t="s">
        <v>42</v>
      </c>
      <c r="D253" s="510">
        <v>10.95</v>
      </c>
      <c r="E253" s="614">
        <v>0.15</v>
      </c>
      <c r="F253" s="614">
        <v>0.4</v>
      </c>
      <c r="G253" s="592">
        <f>-0.15*0.4*2+0.1*0.4*6</f>
        <v>0.12000000000000005</v>
      </c>
      <c r="H253" s="592">
        <f t="shared" si="115"/>
        <v>8.879999999999999</v>
      </c>
      <c r="I253" s="592">
        <f>0.1*0.4*0.95+0.1*0.4*0.7+0.1*0.4*0.5</f>
        <v>8.6000000000000007E-2</v>
      </c>
      <c r="J253" s="592">
        <f t="shared" ref="J253:J255" si="140">((D253*E253*F253)*B253)+I253</f>
        <v>0.74299999999999999</v>
      </c>
      <c r="K253" s="592">
        <f t="shared" si="116"/>
        <v>8.2125000000000004E-2</v>
      </c>
      <c r="L253" s="592">
        <f>2.41+4.53</f>
        <v>6.94</v>
      </c>
      <c r="M253" s="592">
        <f t="shared" si="117"/>
        <v>1.4053499999999999</v>
      </c>
      <c r="N253" s="592">
        <f t="shared" si="118"/>
        <v>0.93689999999999984</v>
      </c>
      <c r="O253" s="616">
        <f t="shared" si="119"/>
        <v>10.4025</v>
      </c>
      <c r="P253" s="718"/>
      <c r="Q253" s="716"/>
      <c r="R253" s="209"/>
      <c r="S253" s="210"/>
      <c r="T253" s="209"/>
    </row>
    <row r="254" spans="1:20" s="62" customFormat="1" x14ac:dyDescent="0.3">
      <c r="A254" s="698" t="s">
        <v>951</v>
      </c>
      <c r="B254" s="699"/>
      <c r="C254" s="699"/>
      <c r="D254" s="699"/>
      <c r="E254" s="699"/>
      <c r="F254" s="699"/>
      <c r="G254" s="699"/>
      <c r="H254" s="699"/>
      <c r="I254" s="699"/>
      <c r="J254" s="699"/>
      <c r="K254" s="699"/>
      <c r="L254" s="699"/>
      <c r="M254" s="699"/>
      <c r="N254" s="699"/>
      <c r="O254" s="700"/>
      <c r="P254" s="718"/>
      <c r="Q254" s="716"/>
    </row>
    <row r="255" spans="1:20" s="157" customFormat="1" x14ac:dyDescent="0.3">
      <c r="A255" s="494" t="s">
        <v>931</v>
      </c>
      <c r="B255" s="495">
        <v>1</v>
      </c>
      <c r="C255" s="495" t="s">
        <v>42</v>
      </c>
      <c r="D255" s="510">
        <f>10.05</f>
        <v>10.050000000000001</v>
      </c>
      <c r="E255" s="614">
        <v>0.15</v>
      </c>
      <c r="F255" s="614">
        <v>0.4</v>
      </c>
      <c r="G255" s="592">
        <f>-0.3*0.4+0.15*0.4-0.15*0.4*3+0.05*0.4*6</f>
        <v>-0.11999999999999997</v>
      </c>
      <c r="H255" s="592">
        <f t="shared" si="115"/>
        <v>7.9200000000000008</v>
      </c>
      <c r="I255" s="592">
        <f>0.05*0.4*0.4*3</f>
        <v>2.4000000000000007E-2</v>
      </c>
      <c r="J255" s="592">
        <f t="shared" si="140"/>
        <v>0.62700000000000011</v>
      </c>
      <c r="K255" s="592">
        <f t="shared" si="116"/>
        <v>7.5375000000000011E-2</v>
      </c>
      <c r="L255" s="592">
        <f>0.68+0.7+2.73+1.5</f>
        <v>5.6099999999999994</v>
      </c>
      <c r="M255" s="592">
        <f t="shared" si="117"/>
        <v>1.1360249999999996</v>
      </c>
      <c r="N255" s="592">
        <f t="shared" si="118"/>
        <v>0.75734999999999963</v>
      </c>
      <c r="O255" s="616">
        <f t="shared" si="119"/>
        <v>9.5475000000000012</v>
      </c>
      <c r="P255" s="718"/>
      <c r="Q255" s="716"/>
      <c r="R255" s="209"/>
      <c r="S255" s="210"/>
      <c r="T255" s="209"/>
    </row>
    <row r="256" spans="1:20" s="157" customFormat="1" x14ac:dyDescent="0.3">
      <c r="A256" s="494" t="s">
        <v>932</v>
      </c>
      <c r="B256" s="495">
        <v>1</v>
      </c>
      <c r="C256" s="495" t="s">
        <v>42</v>
      </c>
      <c r="D256" s="510">
        <v>1.78</v>
      </c>
      <c r="E256" s="614">
        <v>0.15</v>
      </c>
      <c r="F256" s="614">
        <v>0.4</v>
      </c>
      <c r="G256" s="592"/>
      <c r="H256" s="592">
        <f t="shared" si="115"/>
        <v>1.4240000000000002</v>
      </c>
      <c r="I256" s="617"/>
      <c r="J256" s="592">
        <f>((D256*E256*F256)*B256)+I256</f>
        <v>0.10680000000000001</v>
      </c>
      <c r="K256" s="592">
        <f t="shared" si="116"/>
        <v>1.3350000000000001E-2</v>
      </c>
      <c r="L256" s="592">
        <v>1.1299999999999999</v>
      </c>
      <c r="M256" s="592">
        <f t="shared" si="117"/>
        <v>0.22882499999999997</v>
      </c>
      <c r="N256" s="592">
        <f t="shared" si="118"/>
        <v>0.15254999999999996</v>
      </c>
      <c r="O256" s="616">
        <f t="shared" si="119"/>
        <v>1.6910000000000001</v>
      </c>
      <c r="P256" s="718"/>
      <c r="Q256" s="716"/>
      <c r="R256" s="209"/>
      <c r="S256" s="210"/>
      <c r="T256" s="209"/>
    </row>
    <row r="257" spans="1:20" s="157" customFormat="1" x14ac:dyDescent="0.3">
      <c r="A257" s="494" t="s">
        <v>933</v>
      </c>
      <c r="B257" s="495">
        <v>1</v>
      </c>
      <c r="C257" s="495" t="s">
        <v>42</v>
      </c>
      <c r="D257" s="510">
        <f>1.78+0.8+6.83</f>
        <v>9.41</v>
      </c>
      <c r="E257" s="614">
        <v>0.15</v>
      </c>
      <c r="F257" s="614">
        <v>0.4</v>
      </c>
      <c r="G257" s="617">
        <f>-0.15*0.4*3+0.05*0.4*2</f>
        <v>-0.13999999999999999</v>
      </c>
      <c r="H257" s="592">
        <f t="shared" si="115"/>
        <v>7.3880000000000008</v>
      </c>
      <c r="I257" s="592">
        <f>0.05*0.4*0.4</f>
        <v>8.0000000000000019E-3</v>
      </c>
      <c r="J257" s="592">
        <f>((D257*E257*F257)*B257)+I257</f>
        <v>0.5726</v>
      </c>
      <c r="K257" s="592">
        <f t="shared" si="116"/>
        <v>7.0574999999999999E-2</v>
      </c>
      <c r="L257" s="592">
        <f>0.8+0.37+1.93+0.73</f>
        <v>3.8299999999999996</v>
      </c>
      <c r="M257" s="592">
        <f t="shared" si="117"/>
        <v>0.77557499999999979</v>
      </c>
      <c r="N257" s="592">
        <f t="shared" si="118"/>
        <v>0.51704999999999979</v>
      </c>
      <c r="O257" s="616">
        <f t="shared" si="119"/>
        <v>8.9395000000000007</v>
      </c>
      <c r="P257" s="718"/>
      <c r="Q257" s="716"/>
      <c r="R257" s="209"/>
      <c r="S257" s="210"/>
      <c r="T257" s="209"/>
    </row>
    <row r="258" spans="1:20" s="157" customFormat="1" x14ac:dyDescent="0.3">
      <c r="A258" s="494" t="s">
        <v>934</v>
      </c>
      <c r="B258" s="495">
        <v>1</v>
      </c>
      <c r="C258" s="495" t="s">
        <v>42</v>
      </c>
      <c r="D258" s="510">
        <f>2.68+4</f>
        <v>6.68</v>
      </c>
      <c r="E258" s="614">
        <v>0.15</v>
      </c>
      <c r="F258" s="614">
        <v>0.4</v>
      </c>
      <c r="G258" s="592">
        <f>-0.15*0.4*2</f>
        <v>-0.12</v>
      </c>
      <c r="H258" s="592">
        <f t="shared" si="115"/>
        <v>5.2240000000000002</v>
      </c>
      <c r="I258" s="592"/>
      <c r="J258" s="592">
        <f t="shared" ref="J258" si="141">((D258*E258*F258)*B258)+I258</f>
        <v>0.40080000000000005</v>
      </c>
      <c r="K258" s="592">
        <f t="shared" si="116"/>
        <v>5.0100000000000006E-2</v>
      </c>
      <c r="L258" s="592">
        <f>1.95+2.88</f>
        <v>4.83</v>
      </c>
      <c r="M258" s="592">
        <f t="shared" si="117"/>
        <v>0.97807499999999992</v>
      </c>
      <c r="N258" s="592">
        <f t="shared" si="118"/>
        <v>0.65204999999999991</v>
      </c>
      <c r="O258" s="616">
        <f t="shared" si="119"/>
        <v>6.3460000000000001</v>
      </c>
      <c r="P258" s="718"/>
      <c r="Q258" s="716"/>
      <c r="R258" s="209"/>
      <c r="S258" s="210"/>
      <c r="T258" s="209"/>
    </row>
    <row r="259" spans="1:20" s="157" customFormat="1" x14ac:dyDescent="0.3">
      <c r="A259" s="494" t="s">
        <v>935</v>
      </c>
      <c r="B259" s="495">
        <v>1</v>
      </c>
      <c r="C259" s="495" t="s">
        <v>42</v>
      </c>
      <c r="D259" s="510">
        <v>9.75</v>
      </c>
      <c r="E259" s="614">
        <v>0.15</v>
      </c>
      <c r="F259" s="614">
        <v>0.4</v>
      </c>
      <c r="G259" s="592">
        <f>-0.15*0.4*6</f>
        <v>-0.36</v>
      </c>
      <c r="H259" s="592">
        <f t="shared" si="115"/>
        <v>7.44</v>
      </c>
      <c r="I259" s="617"/>
      <c r="J259" s="592">
        <f>((D259*E259*F259)*B259)+I259</f>
        <v>0.58499999999999996</v>
      </c>
      <c r="K259" s="592">
        <f t="shared" si="116"/>
        <v>7.3124999999999996E-2</v>
      </c>
      <c r="L259" s="592">
        <f>1.58+3.73+0.8</f>
        <v>6.11</v>
      </c>
      <c r="M259" s="592">
        <f t="shared" si="117"/>
        <v>1.2372749999999999</v>
      </c>
      <c r="N259" s="592">
        <f t="shared" si="118"/>
        <v>0.82484999999999986</v>
      </c>
      <c r="O259" s="616">
        <f t="shared" si="119"/>
        <v>9.2625000000000011</v>
      </c>
      <c r="P259" s="718"/>
      <c r="Q259" s="716"/>
      <c r="R259" s="209"/>
      <c r="S259" s="210"/>
      <c r="T259" s="209"/>
    </row>
    <row r="260" spans="1:20" s="157" customFormat="1" x14ac:dyDescent="0.3">
      <c r="A260" s="494" t="s">
        <v>936</v>
      </c>
      <c r="B260" s="495">
        <v>1</v>
      </c>
      <c r="C260" s="495" t="s">
        <v>42</v>
      </c>
      <c r="D260" s="510">
        <v>9.75</v>
      </c>
      <c r="E260" s="614">
        <v>0.15</v>
      </c>
      <c r="F260" s="614">
        <v>0.4</v>
      </c>
      <c r="G260" s="592">
        <f>-0.15*0.4*4+0.05*0.4*4</f>
        <v>-0.15999999999999998</v>
      </c>
      <c r="H260" s="592">
        <f t="shared" si="115"/>
        <v>7.6400000000000006</v>
      </c>
      <c r="I260" s="592">
        <f>0.05*0.4*0.6*2</f>
        <v>2.4000000000000004E-2</v>
      </c>
      <c r="J260" s="592">
        <f t="shared" ref="J260" si="142">((D260*E260*F260)*B260)+I260</f>
        <v>0.60899999999999999</v>
      </c>
      <c r="K260" s="592">
        <f t="shared" si="116"/>
        <v>7.3124999999999996E-2</v>
      </c>
      <c r="L260" s="592">
        <f>0.2+0.93+2.3+2.87</f>
        <v>6.3</v>
      </c>
      <c r="M260" s="592">
        <f t="shared" si="117"/>
        <v>1.2757499999999997</v>
      </c>
      <c r="N260" s="592">
        <f t="shared" si="118"/>
        <v>0.85049999999999981</v>
      </c>
      <c r="O260" s="616">
        <f t="shared" si="119"/>
        <v>9.2625000000000011</v>
      </c>
      <c r="P260" s="718"/>
      <c r="Q260" s="716"/>
      <c r="R260" s="209"/>
      <c r="S260" s="210"/>
      <c r="T260" s="209"/>
    </row>
    <row r="261" spans="1:20" s="157" customFormat="1" x14ac:dyDescent="0.3">
      <c r="A261" s="494" t="s">
        <v>937</v>
      </c>
      <c r="B261" s="495">
        <v>1</v>
      </c>
      <c r="C261" s="495" t="s">
        <v>42</v>
      </c>
      <c r="D261" s="510">
        <v>9.9499999999999993</v>
      </c>
      <c r="E261" s="614">
        <v>0.15</v>
      </c>
      <c r="F261" s="614">
        <v>0.4</v>
      </c>
      <c r="G261" s="592">
        <f>-0.15*0.4*3+0.05*0.4*4</f>
        <v>-9.9999999999999978E-2</v>
      </c>
      <c r="H261" s="592">
        <f t="shared" si="115"/>
        <v>7.86</v>
      </c>
      <c r="I261" s="592">
        <f>0.05*0.4*0.6*2</f>
        <v>2.4000000000000004E-2</v>
      </c>
      <c r="J261" s="592">
        <f>((D261*E261*F261)*B261)+I261</f>
        <v>0.621</v>
      </c>
      <c r="K261" s="592">
        <f t="shared" si="116"/>
        <v>7.4624999999999997E-2</v>
      </c>
      <c r="L261" s="592">
        <f>2.67+4.48</f>
        <v>7.15</v>
      </c>
      <c r="M261" s="592">
        <f t="shared" si="117"/>
        <v>1.447875</v>
      </c>
      <c r="N261" s="592">
        <f t="shared" si="118"/>
        <v>0.96524999999999994</v>
      </c>
      <c r="O261" s="616">
        <f t="shared" si="119"/>
        <v>9.4525000000000006</v>
      </c>
      <c r="P261" s="718"/>
      <c r="Q261" s="716"/>
      <c r="R261" s="209"/>
      <c r="S261" s="210"/>
      <c r="T261" s="209"/>
    </row>
    <row r="262" spans="1:20" s="157" customFormat="1" x14ac:dyDescent="0.3">
      <c r="A262" s="494" t="s">
        <v>938</v>
      </c>
      <c r="B262" s="495">
        <v>1</v>
      </c>
      <c r="C262" s="495" t="s">
        <v>42</v>
      </c>
      <c r="D262" s="510">
        <v>10.25</v>
      </c>
      <c r="E262" s="614">
        <v>0.15</v>
      </c>
      <c r="F262" s="614">
        <v>0.4</v>
      </c>
      <c r="G262" s="617">
        <f>-0.15*0.4*2+0.05*0.4*6</f>
        <v>0</v>
      </c>
      <c r="H262" s="592">
        <f t="shared" si="115"/>
        <v>8.2000000000000011</v>
      </c>
      <c r="I262" s="592">
        <f>0.05*0.4*0.6+0.05*0.4*0.5*2</f>
        <v>3.2000000000000008E-2</v>
      </c>
      <c r="J262" s="592">
        <f>((D262*E262*F262)*B262)+I262</f>
        <v>0.64700000000000002</v>
      </c>
      <c r="K262" s="592">
        <f t="shared" si="116"/>
        <v>7.6874999999999999E-2</v>
      </c>
      <c r="L262" s="592">
        <f>2.75+4.3</f>
        <v>7.05</v>
      </c>
      <c r="M262" s="592">
        <f t="shared" si="117"/>
        <v>1.4276249999999997</v>
      </c>
      <c r="N262" s="592">
        <f t="shared" si="118"/>
        <v>0.95174999999999976</v>
      </c>
      <c r="O262" s="616">
        <f t="shared" si="119"/>
        <v>9.7375000000000007</v>
      </c>
      <c r="P262" s="718"/>
      <c r="Q262" s="716"/>
      <c r="R262" s="209"/>
      <c r="S262" s="210"/>
      <c r="T262" s="209"/>
    </row>
    <row r="263" spans="1:20" s="157" customFormat="1" x14ac:dyDescent="0.3">
      <c r="A263" s="494" t="s">
        <v>939</v>
      </c>
      <c r="B263" s="495">
        <v>1</v>
      </c>
      <c r="C263" s="495" t="s">
        <v>42</v>
      </c>
      <c r="D263" s="510">
        <v>7.58</v>
      </c>
      <c r="E263" s="614">
        <v>0.15</v>
      </c>
      <c r="F263" s="614">
        <v>0.4</v>
      </c>
      <c r="G263" s="617">
        <f>-0.15*0.4+0.05*0.4*2</f>
        <v>-1.999999999999999E-2</v>
      </c>
      <c r="H263" s="592">
        <f t="shared" si="115"/>
        <v>6.0440000000000005</v>
      </c>
      <c r="I263" s="592"/>
      <c r="J263" s="592">
        <f>((D263*E263*F263)*B263)+I263</f>
        <v>0.45480000000000004</v>
      </c>
      <c r="K263" s="592">
        <f t="shared" si="116"/>
        <v>5.6850000000000005E-2</v>
      </c>
      <c r="L263" s="592">
        <f>2.78+2.5</f>
        <v>5.2799999999999994</v>
      </c>
      <c r="M263" s="592">
        <f t="shared" si="117"/>
        <v>1.0691999999999997</v>
      </c>
      <c r="N263" s="592">
        <f t="shared" si="118"/>
        <v>0.71279999999999966</v>
      </c>
      <c r="O263" s="616">
        <f t="shared" si="119"/>
        <v>7.2010000000000005</v>
      </c>
      <c r="P263" s="718"/>
      <c r="Q263" s="716"/>
      <c r="R263" s="209"/>
      <c r="S263" s="210"/>
      <c r="T263" s="209"/>
    </row>
    <row r="264" spans="1:20" s="157" customFormat="1" x14ac:dyDescent="0.3">
      <c r="A264" s="494" t="s">
        <v>940</v>
      </c>
      <c r="B264" s="495">
        <v>1</v>
      </c>
      <c r="C264" s="495" t="s">
        <v>42</v>
      </c>
      <c r="D264" s="510">
        <v>12.24</v>
      </c>
      <c r="E264" s="614">
        <v>0.3</v>
      </c>
      <c r="F264" s="614">
        <v>0.4</v>
      </c>
      <c r="G264" s="592">
        <f>-0.15*0.4*4+0.15*0.4</f>
        <v>-0.18</v>
      </c>
      <c r="H264" s="592">
        <f t="shared" si="115"/>
        <v>9.6120000000000019</v>
      </c>
      <c r="I264" s="592"/>
      <c r="J264" s="592">
        <f t="shared" ref="J264" si="143">((D264*E264*F264)*B264)+I264</f>
        <v>1.4687999999999999</v>
      </c>
      <c r="K264" s="592">
        <f t="shared" si="116"/>
        <v>0.18359999999999999</v>
      </c>
      <c r="L264" s="592">
        <f>0.06+3.15+3.32+0.8</f>
        <v>7.3299999999999992</v>
      </c>
      <c r="M264" s="592">
        <f t="shared" si="117"/>
        <v>1.9790999999999999</v>
      </c>
      <c r="N264" s="592">
        <f t="shared" si="118"/>
        <v>0.98954999999999993</v>
      </c>
      <c r="O264" s="616">
        <f t="shared" si="119"/>
        <v>13.464000000000002</v>
      </c>
      <c r="P264" s="718"/>
      <c r="Q264" s="716"/>
      <c r="R264" s="209"/>
      <c r="S264" s="210"/>
      <c r="T264" s="209"/>
    </row>
    <row r="265" spans="1:20" s="157" customFormat="1" x14ac:dyDescent="0.3">
      <c r="A265" s="494" t="s">
        <v>941</v>
      </c>
      <c r="B265" s="495">
        <v>1</v>
      </c>
      <c r="C265" s="495" t="s">
        <v>42</v>
      </c>
      <c r="D265" s="510">
        <v>1.83</v>
      </c>
      <c r="E265" s="614">
        <v>0.15</v>
      </c>
      <c r="F265" s="614">
        <v>0.4</v>
      </c>
      <c r="G265" s="592"/>
      <c r="H265" s="592">
        <f t="shared" si="115"/>
        <v>1.4640000000000002</v>
      </c>
      <c r="I265" s="617"/>
      <c r="J265" s="592">
        <f>((D265*E265*F265)*B265)+I265</f>
        <v>0.10980000000000001</v>
      </c>
      <c r="K265" s="592">
        <f t="shared" si="116"/>
        <v>1.3725000000000001E-2</v>
      </c>
      <c r="L265" s="592">
        <v>1.1299999999999999</v>
      </c>
      <c r="M265" s="592">
        <f t="shared" si="117"/>
        <v>0.22882499999999997</v>
      </c>
      <c r="N265" s="592">
        <f t="shared" si="118"/>
        <v>0.15254999999999996</v>
      </c>
      <c r="O265" s="616">
        <f t="shared" si="119"/>
        <v>1.7385000000000002</v>
      </c>
      <c r="P265" s="718"/>
      <c r="Q265" s="716"/>
      <c r="R265" s="209"/>
      <c r="S265" s="210"/>
      <c r="T265" s="209"/>
    </row>
    <row r="266" spans="1:20" s="157" customFormat="1" x14ac:dyDescent="0.3">
      <c r="A266" s="494" t="s">
        <v>942</v>
      </c>
      <c r="B266" s="495">
        <v>1</v>
      </c>
      <c r="C266" s="495" t="s">
        <v>42</v>
      </c>
      <c r="D266" s="510">
        <v>5.34</v>
      </c>
      <c r="E266" s="614">
        <v>0.15</v>
      </c>
      <c r="F266" s="614">
        <v>0.4</v>
      </c>
      <c r="G266" s="617">
        <f>-0.15*0.4*2+0.05*0.4*2</f>
        <v>-7.9999999999999988E-2</v>
      </c>
      <c r="H266" s="592">
        <f t="shared" si="115"/>
        <v>4.1920000000000002</v>
      </c>
      <c r="I266" s="592">
        <f>0.05*0.4*0.4</f>
        <v>8.0000000000000019E-3</v>
      </c>
      <c r="J266" s="592">
        <f>((D266*E266*F266)*B266)+I266</f>
        <v>0.32840000000000003</v>
      </c>
      <c r="K266" s="592">
        <f t="shared" si="116"/>
        <v>4.0050000000000002E-2</v>
      </c>
      <c r="L266" s="592">
        <v>3.94</v>
      </c>
      <c r="M266" s="592">
        <f t="shared" si="117"/>
        <v>0.79784999999999995</v>
      </c>
      <c r="N266" s="592">
        <f t="shared" si="118"/>
        <v>0.53189999999999993</v>
      </c>
      <c r="O266" s="616">
        <f t="shared" si="119"/>
        <v>5.0730000000000004</v>
      </c>
      <c r="P266" s="718"/>
      <c r="Q266" s="716"/>
      <c r="R266" s="209"/>
      <c r="S266" s="210"/>
      <c r="T266" s="209"/>
    </row>
    <row r="267" spans="1:20" s="157" customFormat="1" x14ac:dyDescent="0.3">
      <c r="A267" s="494" t="s">
        <v>943</v>
      </c>
      <c r="B267" s="495">
        <v>1</v>
      </c>
      <c r="C267" s="495" t="s">
        <v>42</v>
      </c>
      <c r="D267" s="510">
        <v>4.63</v>
      </c>
      <c r="E267" s="614">
        <v>0.15</v>
      </c>
      <c r="F267" s="614">
        <v>0.4</v>
      </c>
      <c r="G267" s="592">
        <f>-0.15*0.4*2</f>
        <v>-0.12</v>
      </c>
      <c r="H267" s="592">
        <f t="shared" si="115"/>
        <v>3.5840000000000001</v>
      </c>
      <c r="I267" s="592"/>
      <c r="J267" s="592">
        <f t="shared" ref="J267:J268" si="144">((D267*E267*F267)*B267)+I267</f>
        <v>0.27779999999999999</v>
      </c>
      <c r="K267" s="592">
        <f t="shared" si="116"/>
        <v>3.4724999999999999E-2</v>
      </c>
      <c r="L267" s="592">
        <v>3.2</v>
      </c>
      <c r="M267" s="592">
        <f t="shared" si="117"/>
        <v>0.64800000000000002</v>
      </c>
      <c r="N267" s="592">
        <f t="shared" si="118"/>
        <v>0.43200000000000005</v>
      </c>
      <c r="O267" s="616">
        <f t="shared" si="119"/>
        <v>4.3985000000000003</v>
      </c>
      <c r="P267" s="718"/>
      <c r="Q267" s="716"/>
      <c r="R267" s="209"/>
      <c r="S267" s="210"/>
      <c r="T267" s="209"/>
    </row>
    <row r="268" spans="1:20" s="157" customFormat="1" x14ac:dyDescent="0.3">
      <c r="A268" s="494" t="s">
        <v>944</v>
      </c>
      <c r="B268" s="495">
        <v>1</v>
      </c>
      <c r="C268" s="495" t="s">
        <v>42</v>
      </c>
      <c r="D268" s="510">
        <f>3.78+3.83</f>
        <v>7.6099999999999994</v>
      </c>
      <c r="E268" s="614">
        <v>0.15</v>
      </c>
      <c r="F268" s="614">
        <v>0.4</v>
      </c>
      <c r="G268" s="592"/>
      <c r="H268" s="592">
        <f t="shared" si="115"/>
        <v>6.0880000000000001</v>
      </c>
      <c r="I268" s="592"/>
      <c r="J268" s="592">
        <f t="shared" si="144"/>
        <v>0.45660000000000001</v>
      </c>
      <c r="K268" s="592">
        <f t="shared" si="116"/>
        <v>5.7075000000000001E-2</v>
      </c>
      <c r="L268" s="592">
        <f>2.68+3.13</f>
        <v>5.8100000000000005</v>
      </c>
      <c r="M268" s="592">
        <f t="shared" si="117"/>
        <v>1.176525</v>
      </c>
      <c r="N268" s="592">
        <f t="shared" si="118"/>
        <v>0.78434999999999999</v>
      </c>
      <c r="O268" s="616">
        <f t="shared" si="119"/>
        <v>7.2294999999999998</v>
      </c>
      <c r="P268" s="718"/>
      <c r="Q268" s="716"/>
      <c r="R268" s="209"/>
      <c r="S268" s="210"/>
      <c r="T268" s="209"/>
    </row>
    <row r="269" spans="1:20" s="157" customFormat="1" x14ac:dyDescent="0.3">
      <c r="A269" s="494" t="s">
        <v>945</v>
      </c>
      <c r="B269" s="495">
        <v>1</v>
      </c>
      <c r="C269" s="495" t="s">
        <v>42</v>
      </c>
      <c r="D269" s="510">
        <f>1.83+2</f>
        <v>3.83</v>
      </c>
      <c r="E269" s="614">
        <v>0.15</v>
      </c>
      <c r="F269" s="614">
        <v>0.4</v>
      </c>
      <c r="G269" s="592">
        <f>0.15*0.4</f>
        <v>0.06</v>
      </c>
      <c r="H269" s="592">
        <f t="shared" si="115"/>
        <v>3.1240000000000001</v>
      </c>
      <c r="I269" s="617"/>
      <c r="J269" s="592">
        <f>((D269*E269*F269)*B269)+I269</f>
        <v>0.2298</v>
      </c>
      <c r="K269" s="592">
        <f t="shared" si="116"/>
        <v>2.8725000000000001E-2</v>
      </c>
      <c r="L269" s="592">
        <f>1+1.13</f>
        <v>2.13</v>
      </c>
      <c r="M269" s="592">
        <f t="shared" si="117"/>
        <v>0.43132499999999996</v>
      </c>
      <c r="N269" s="592">
        <f t="shared" si="118"/>
        <v>0.28754999999999997</v>
      </c>
      <c r="O269" s="616">
        <f t="shared" si="119"/>
        <v>3.6385000000000005</v>
      </c>
      <c r="P269" s="718"/>
      <c r="Q269" s="716"/>
      <c r="R269" s="209"/>
      <c r="S269" s="210"/>
      <c r="T269" s="209"/>
    </row>
    <row r="270" spans="1:20" s="157" customFormat="1" x14ac:dyDescent="0.3">
      <c r="A270" s="494" t="s">
        <v>946</v>
      </c>
      <c r="B270" s="495">
        <v>1</v>
      </c>
      <c r="C270" s="495" t="s">
        <v>42</v>
      </c>
      <c r="D270" s="510">
        <v>5.19</v>
      </c>
      <c r="E270" s="614">
        <v>0.15</v>
      </c>
      <c r="F270" s="614">
        <v>0.4</v>
      </c>
      <c r="G270" s="617"/>
      <c r="H270" s="592">
        <f t="shared" si="115"/>
        <v>4.1520000000000001</v>
      </c>
      <c r="I270" s="592"/>
      <c r="J270" s="592">
        <f>((D270*E270*F270)*B270)+I270</f>
        <v>0.31140000000000007</v>
      </c>
      <c r="K270" s="592">
        <f t="shared" si="116"/>
        <v>3.8925000000000008E-2</v>
      </c>
      <c r="L270" s="592">
        <v>4.09</v>
      </c>
      <c r="M270" s="592">
        <f t="shared" si="117"/>
        <v>0.82822499999999988</v>
      </c>
      <c r="N270" s="592">
        <f t="shared" si="118"/>
        <v>0.55214999999999992</v>
      </c>
      <c r="O270" s="616">
        <f t="shared" si="119"/>
        <v>4.9305000000000003</v>
      </c>
      <c r="P270" s="718"/>
      <c r="Q270" s="716"/>
      <c r="R270" s="209"/>
      <c r="S270" s="210"/>
      <c r="T270" s="209"/>
    </row>
    <row r="271" spans="1:20" s="157" customFormat="1" x14ac:dyDescent="0.3">
      <c r="A271" s="494" t="s">
        <v>947</v>
      </c>
      <c r="B271" s="495">
        <v>1</v>
      </c>
      <c r="C271" s="495" t="s">
        <v>42</v>
      </c>
      <c r="D271" s="510">
        <f>2.48+1.85+1.85</f>
        <v>6.18</v>
      </c>
      <c r="E271" s="614">
        <v>0.15</v>
      </c>
      <c r="F271" s="614">
        <v>0.4</v>
      </c>
      <c r="G271" s="592"/>
      <c r="H271" s="592">
        <f t="shared" si="115"/>
        <v>4.944</v>
      </c>
      <c r="I271" s="592"/>
      <c r="J271" s="592">
        <f t="shared" ref="J271" si="145">((D271*E271*F271)*B271)+I271</f>
        <v>0.37080000000000002</v>
      </c>
      <c r="K271" s="592">
        <f t="shared" si="116"/>
        <v>4.6350000000000002E-2</v>
      </c>
      <c r="L271" s="592">
        <f>1.13+1.13+1.75</f>
        <v>4.01</v>
      </c>
      <c r="M271" s="592">
        <f t="shared" si="117"/>
        <v>0.81202499999999989</v>
      </c>
      <c r="N271" s="592">
        <f t="shared" si="118"/>
        <v>0.54134999999999989</v>
      </c>
      <c r="O271" s="616">
        <f t="shared" si="119"/>
        <v>5.8710000000000004</v>
      </c>
      <c r="P271" s="718"/>
      <c r="Q271" s="716"/>
      <c r="R271" s="209"/>
      <c r="S271" s="210"/>
      <c r="T271" s="209"/>
    </row>
    <row r="272" spans="1:20" s="157" customFormat="1" x14ac:dyDescent="0.3">
      <c r="A272" s="494" t="s">
        <v>948</v>
      </c>
      <c r="B272" s="495">
        <v>1</v>
      </c>
      <c r="C272" s="495" t="s">
        <v>42</v>
      </c>
      <c r="D272" s="510">
        <v>5.19</v>
      </c>
      <c r="E272" s="614">
        <v>0.15</v>
      </c>
      <c r="F272" s="614">
        <v>0.4</v>
      </c>
      <c r="G272" s="592"/>
      <c r="H272" s="592">
        <f t="shared" si="115"/>
        <v>4.1520000000000001</v>
      </c>
      <c r="I272" s="617"/>
      <c r="J272" s="592">
        <f>((D272*E272*F272)*B272)+I272</f>
        <v>0.31140000000000007</v>
      </c>
      <c r="K272" s="592">
        <f t="shared" si="116"/>
        <v>3.8925000000000008E-2</v>
      </c>
      <c r="L272" s="592">
        <v>4.0599999999999996</v>
      </c>
      <c r="M272" s="592">
        <f t="shared" si="117"/>
        <v>0.82214999999999994</v>
      </c>
      <c r="N272" s="592">
        <f t="shared" si="118"/>
        <v>0.54810000000000003</v>
      </c>
      <c r="O272" s="616">
        <f t="shared" si="119"/>
        <v>4.9305000000000003</v>
      </c>
      <c r="P272" s="718"/>
      <c r="Q272" s="716"/>
      <c r="R272" s="209"/>
      <c r="S272" s="210"/>
      <c r="T272" s="209"/>
    </row>
    <row r="273" spans="1:20" s="157" customFormat="1" x14ac:dyDescent="0.3">
      <c r="A273" s="494" t="s">
        <v>949</v>
      </c>
      <c r="B273" s="495">
        <v>1</v>
      </c>
      <c r="C273" s="495" t="s">
        <v>42</v>
      </c>
      <c r="D273" s="510">
        <f>3.8+3.78+0.83</f>
        <v>8.41</v>
      </c>
      <c r="E273" s="614">
        <v>0.15</v>
      </c>
      <c r="F273" s="614">
        <v>0.4</v>
      </c>
      <c r="G273" s="617"/>
      <c r="H273" s="592">
        <f t="shared" si="115"/>
        <v>6.7280000000000006</v>
      </c>
      <c r="I273" s="592"/>
      <c r="J273" s="592">
        <f>((D273*E273*F273)*B273)+I273</f>
        <v>0.50460000000000005</v>
      </c>
      <c r="K273" s="592">
        <f t="shared" si="116"/>
        <v>6.3075000000000006E-2</v>
      </c>
      <c r="L273" s="592">
        <f>2.85+2.68</f>
        <v>5.53</v>
      </c>
      <c r="M273" s="592">
        <f t="shared" si="117"/>
        <v>1.1198249999999998</v>
      </c>
      <c r="N273" s="592">
        <f t="shared" si="118"/>
        <v>0.74654999999999982</v>
      </c>
      <c r="O273" s="616">
        <f t="shared" si="119"/>
        <v>7.9895000000000005</v>
      </c>
      <c r="P273" s="718"/>
      <c r="Q273" s="716"/>
      <c r="R273" s="209"/>
      <c r="S273" s="210"/>
      <c r="T273" s="209"/>
    </row>
    <row r="274" spans="1:20" s="157" customFormat="1" ht="15" thickBot="1" x14ac:dyDescent="0.35">
      <c r="A274" s="494" t="s">
        <v>950</v>
      </c>
      <c r="B274" s="495">
        <v>1</v>
      </c>
      <c r="C274" s="495" t="s">
        <v>42</v>
      </c>
      <c r="D274" s="510">
        <v>12.19</v>
      </c>
      <c r="E274" s="614">
        <v>0.15</v>
      </c>
      <c r="F274" s="614">
        <v>0.4</v>
      </c>
      <c r="G274" s="617">
        <f>-0.15*0.4*4+0.05*0.4*10</f>
        <v>-3.9999999999999952E-2</v>
      </c>
      <c r="H274" s="592">
        <f t="shared" si="115"/>
        <v>9.7120000000000015</v>
      </c>
      <c r="I274" s="592">
        <f>0.05*0.4*0.4*4+0.05*0.4*0.5</f>
        <v>4.200000000000001E-2</v>
      </c>
      <c r="J274" s="592">
        <f>((D274*E274*F274)*B274)+I274</f>
        <v>0.77339999999999998</v>
      </c>
      <c r="K274" s="592">
        <f t="shared" si="116"/>
        <v>9.1424999999999992E-2</v>
      </c>
      <c r="L274" s="592">
        <f>0.55+0.7+1.33+3.96</f>
        <v>6.54</v>
      </c>
      <c r="M274" s="592">
        <f t="shared" si="117"/>
        <v>1.3243499999999999</v>
      </c>
      <c r="N274" s="592">
        <f t="shared" si="118"/>
        <v>0.88289999999999991</v>
      </c>
      <c r="O274" s="616">
        <f t="shared" si="119"/>
        <v>11.580500000000001</v>
      </c>
      <c r="P274" s="718"/>
      <c r="Q274" s="716"/>
      <c r="R274" s="209"/>
      <c r="S274" s="210"/>
      <c r="T274" s="209"/>
    </row>
    <row r="275" spans="1:20" s="62" customFormat="1" x14ac:dyDescent="0.3">
      <c r="A275" s="698" t="s">
        <v>1008</v>
      </c>
      <c r="B275" s="699"/>
      <c r="C275" s="699"/>
      <c r="D275" s="699"/>
      <c r="E275" s="699"/>
      <c r="F275" s="699"/>
      <c r="G275" s="699"/>
      <c r="H275" s="699"/>
      <c r="I275" s="699"/>
      <c r="J275" s="699"/>
      <c r="K275" s="699"/>
      <c r="L275" s="699"/>
      <c r="M275" s="699"/>
      <c r="N275" s="699"/>
      <c r="O275" s="700"/>
      <c r="P275" s="718"/>
      <c r="Q275" s="716"/>
    </row>
    <row r="276" spans="1:20" s="157" customFormat="1" x14ac:dyDescent="0.3">
      <c r="A276" s="494" t="s">
        <v>1009</v>
      </c>
      <c r="B276" s="495">
        <v>1</v>
      </c>
      <c r="C276" s="495" t="s">
        <v>42</v>
      </c>
      <c r="D276" s="510">
        <v>4.1500000000000004</v>
      </c>
      <c r="E276" s="614">
        <v>0.15</v>
      </c>
      <c r="F276" s="614">
        <v>0.4</v>
      </c>
      <c r="G276" s="592"/>
      <c r="H276" s="592">
        <f t="shared" si="115"/>
        <v>3.3200000000000003</v>
      </c>
      <c r="I276" s="592"/>
      <c r="J276" s="592">
        <f t="shared" ref="J276" si="146">((D276*E276*F276)*B276)+I276</f>
        <v>0.24900000000000003</v>
      </c>
      <c r="K276" s="592">
        <f t="shared" si="116"/>
        <v>3.1125000000000003E-2</v>
      </c>
      <c r="L276" s="592">
        <v>3.1</v>
      </c>
      <c r="M276" s="592">
        <f t="shared" si="117"/>
        <v>0.62774999999999992</v>
      </c>
      <c r="N276" s="592">
        <f t="shared" si="118"/>
        <v>0.41849999999999993</v>
      </c>
      <c r="O276" s="616">
        <f t="shared" si="119"/>
        <v>3.9425000000000008</v>
      </c>
      <c r="P276" s="718"/>
      <c r="Q276" s="716"/>
      <c r="R276" s="209"/>
      <c r="S276" s="210"/>
      <c r="T276" s="209"/>
    </row>
    <row r="277" spans="1:20" s="157" customFormat="1" x14ac:dyDescent="0.3">
      <c r="A277" s="494" t="s">
        <v>1010</v>
      </c>
      <c r="B277" s="495">
        <v>1</v>
      </c>
      <c r="C277" s="495" t="s">
        <v>42</v>
      </c>
      <c r="D277" s="510">
        <v>4.1500000000000004</v>
      </c>
      <c r="E277" s="614">
        <v>0.15</v>
      </c>
      <c r="F277" s="614">
        <v>0.4</v>
      </c>
      <c r="G277" s="592">
        <f>-0.15*0.4*2</f>
        <v>-0.12</v>
      </c>
      <c r="H277" s="592">
        <f t="shared" si="115"/>
        <v>3.2</v>
      </c>
      <c r="I277" s="617"/>
      <c r="J277" s="592">
        <f>((D277*E277*F277)*B277)+I277</f>
        <v>0.24900000000000003</v>
      </c>
      <c r="K277" s="592">
        <f t="shared" si="116"/>
        <v>3.1125000000000003E-2</v>
      </c>
      <c r="L277" s="592">
        <v>3.1</v>
      </c>
      <c r="M277" s="592">
        <f t="shared" si="117"/>
        <v>0.62774999999999992</v>
      </c>
      <c r="N277" s="592">
        <f t="shared" si="118"/>
        <v>0.41849999999999993</v>
      </c>
      <c r="O277" s="616">
        <f t="shared" si="119"/>
        <v>3.9425000000000008</v>
      </c>
      <c r="P277" s="718"/>
      <c r="Q277" s="716"/>
      <c r="R277" s="209"/>
      <c r="S277" s="210"/>
      <c r="T277" s="209"/>
    </row>
    <row r="278" spans="1:20" s="157" customFormat="1" x14ac:dyDescent="0.3">
      <c r="A278" s="494" t="s">
        <v>1011</v>
      </c>
      <c r="B278" s="495">
        <v>1</v>
      </c>
      <c r="C278" s="495" t="s">
        <v>42</v>
      </c>
      <c r="D278" s="510">
        <v>4.1500000000000004</v>
      </c>
      <c r="E278" s="614">
        <v>0.15</v>
      </c>
      <c r="F278" s="614">
        <v>0.4</v>
      </c>
      <c r="G278" s="617"/>
      <c r="H278" s="592">
        <f t="shared" si="115"/>
        <v>3.3200000000000003</v>
      </c>
      <c r="I278" s="592"/>
      <c r="J278" s="592">
        <f>((D278*E278*F278)*B278)+I278</f>
        <v>0.24900000000000003</v>
      </c>
      <c r="K278" s="592">
        <f t="shared" si="116"/>
        <v>3.1125000000000003E-2</v>
      </c>
      <c r="L278" s="592">
        <v>3.1</v>
      </c>
      <c r="M278" s="592">
        <f t="shared" si="117"/>
        <v>0.62774999999999992</v>
      </c>
      <c r="N278" s="592">
        <f t="shared" si="118"/>
        <v>0.41849999999999993</v>
      </c>
      <c r="O278" s="616">
        <f t="shared" si="119"/>
        <v>3.9425000000000008</v>
      </c>
      <c r="P278" s="718"/>
      <c r="Q278" s="716"/>
      <c r="R278" s="209"/>
      <c r="S278" s="210"/>
      <c r="T278" s="209"/>
    </row>
    <row r="279" spans="1:20" s="157" customFormat="1" x14ac:dyDescent="0.3">
      <c r="A279" s="494" t="s">
        <v>1012</v>
      </c>
      <c r="B279" s="495">
        <v>1</v>
      </c>
      <c r="C279" s="495" t="s">
        <v>42</v>
      </c>
      <c r="D279" s="510">
        <f>0.65+0.65</f>
        <v>1.3</v>
      </c>
      <c r="E279" s="614">
        <v>0.15</v>
      </c>
      <c r="F279" s="614">
        <v>0.4</v>
      </c>
      <c r="G279" s="592"/>
      <c r="H279" s="592">
        <f t="shared" si="115"/>
        <v>1.04</v>
      </c>
      <c r="I279" s="592"/>
      <c r="J279" s="592">
        <f t="shared" ref="J279:J280" si="147">((D279*E279*F279)*B279)+I279</f>
        <v>7.8000000000000014E-2</v>
      </c>
      <c r="K279" s="592">
        <f t="shared" si="116"/>
        <v>9.7500000000000017E-3</v>
      </c>
      <c r="L279" s="592">
        <v>0</v>
      </c>
      <c r="M279" s="592">
        <f t="shared" si="117"/>
        <v>0</v>
      </c>
      <c r="N279" s="592">
        <f t="shared" si="118"/>
        <v>0</v>
      </c>
      <c r="O279" s="616">
        <f t="shared" si="119"/>
        <v>1.2350000000000001</v>
      </c>
      <c r="P279" s="718"/>
      <c r="Q279" s="716"/>
      <c r="R279" s="209"/>
      <c r="S279" s="210"/>
      <c r="T279" s="209"/>
    </row>
    <row r="280" spans="1:20" s="157" customFormat="1" ht="15" thickBot="1" x14ac:dyDescent="0.35">
      <c r="A280" s="494" t="s">
        <v>1013</v>
      </c>
      <c r="B280" s="495">
        <v>1</v>
      </c>
      <c r="C280" s="495" t="s">
        <v>42</v>
      </c>
      <c r="D280" s="510">
        <f>0.65+0.65</f>
        <v>1.3</v>
      </c>
      <c r="E280" s="614">
        <v>0.15</v>
      </c>
      <c r="F280" s="614">
        <v>0.4</v>
      </c>
      <c r="G280" s="592"/>
      <c r="H280" s="592">
        <f t="shared" si="115"/>
        <v>1.04</v>
      </c>
      <c r="I280" s="592"/>
      <c r="J280" s="592">
        <f t="shared" si="147"/>
        <v>7.8000000000000014E-2</v>
      </c>
      <c r="K280" s="592">
        <f t="shared" si="116"/>
        <v>9.7500000000000017E-3</v>
      </c>
      <c r="L280" s="592">
        <v>0</v>
      </c>
      <c r="M280" s="592">
        <f t="shared" si="117"/>
        <v>0</v>
      </c>
      <c r="N280" s="592">
        <f t="shared" si="118"/>
        <v>0</v>
      </c>
      <c r="O280" s="616">
        <f t="shared" si="119"/>
        <v>1.2350000000000001</v>
      </c>
      <c r="P280" s="718"/>
      <c r="Q280" s="716"/>
      <c r="R280" s="209"/>
      <c r="S280" s="210"/>
      <c r="T280" s="209"/>
    </row>
    <row r="281" spans="1:20" s="62" customFormat="1" x14ac:dyDescent="0.3">
      <c r="A281" s="698" t="s">
        <v>1845</v>
      </c>
      <c r="B281" s="699"/>
      <c r="C281" s="699"/>
      <c r="D281" s="699"/>
      <c r="E281" s="699"/>
      <c r="F281" s="699"/>
      <c r="G281" s="699"/>
      <c r="H281" s="699"/>
      <c r="I281" s="699"/>
      <c r="J281" s="699"/>
      <c r="K281" s="699"/>
      <c r="L281" s="699"/>
      <c r="M281" s="699"/>
      <c r="N281" s="699"/>
      <c r="O281" s="700"/>
      <c r="P281" s="718"/>
      <c r="Q281" s="716"/>
    </row>
    <row r="282" spans="1:20" s="157" customFormat="1" x14ac:dyDescent="0.3">
      <c r="A282" s="494" t="s">
        <v>1879</v>
      </c>
      <c r="B282" s="495">
        <v>1</v>
      </c>
      <c r="C282" s="495" t="s">
        <v>42</v>
      </c>
      <c r="D282" s="510">
        <v>4.5999999999999996</v>
      </c>
      <c r="E282" s="614">
        <v>0.15</v>
      </c>
      <c r="F282" s="614">
        <v>0.4</v>
      </c>
      <c r="G282" s="592"/>
      <c r="H282" s="592">
        <f t="shared" si="115"/>
        <v>3.6799999999999997</v>
      </c>
      <c r="I282" s="617"/>
      <c r="J282" s="592">
        <f>((D282*E282*F282)*B282)+I282</f>
        <v>0.27599999999999997</v>
      </c>
      <c r="K282" s="592">
        <f t="shared" si="116"/>
        <v>3.4499999999999996E-2</v>
      </c>
      <c r="L282" s="592">
        <v>3.55</v>
      </c>
      <c r="M282" s="592">
        <f t="shared" si="117"/>
        <v>0.71887499999999993</v>
      </c>
      <c r="N282" s="592">
        <f t="shared" si="118"/>
        <v>0.47924999999999995</v>
      </c>
      <c r="O282" s="616">
        <f t="shared" si="119"/>
        <v>4.37</v>
      </c>
      <c r="P282" s="718"/>
      <c r="Q282" s="716"/>
      <c r="R282" s="209"/>
      <c r="S282" s="210"/>
      <c r="T282" s="209"/>
    </row>
    <row r="283" spans="1:20" s="157" customFormat="1" x14ac:dyDescent="0.3">
      <c r="A283" s="494" t="s">
        <v>1880</v>
      </c>
      <c r="B283" s="495">
        <v>1</v>
      </c>
      <c r="C283" s="495" t="s">
        <v>42</v>
      </c>
      <c r="D283" s="510">
        <v>4.68</v>
      </c>
      <c r="E283" s="614">
        <v>0.15</v>
      </c>
      <c r="F283" s="614">
        <v>0.4</v>
      </c>
      <c r="G283" s="617"/>
      <c r="H283" s="592">
        <f t="shared" si="115"/>
        <v>3.7439999999999998</v>
      </c>
      <c r="I283" s="592"/>
      <c r="J283" s="592">
        <f>((D283*E283*F283)*B283)+I283</f>
        <v>0.28079999999999999</v>
      </c>
      <c r="K283" s="592">
        <f t="shared" si="116"/>
        <v>3.5099999999999999E-2</v>
      </c>
      <c r="L283" s="592">
        <v>3.6</v>
      </c>
      <c r="M283" s="592">
        <f t="shared" si="117"/>
        <v>0.72899999999999998</v>
      </c>
      <c r="N283" s="592">
        <f t="shared" si="118"/>
        <v>0.48599999999999999</v>
      </c>
      <c r="O283" s="616">
        <f t="shared" si="119"/>
        <v>4.4459999999999997</v>
      </c>
      <c r="P283" s="718"/>
      <c r="Q283" s="716"/>
      <c r="R283" s="209"/>
      <c r="S283" s="210"/>
      <c r="T283" s="209"/>
    </row>
    <row r="284" spans="1:20" s="157" customFormat="1" x14ac:dyDescent="0.3">
      <c r="A284" s="494" t="s">
        <v>1881</v>
      </c>
      <c r="B284" s="495">
        <v>1</v>
      </c>
      <c r="C284" s="495" t="s">
        <v>42</v>
      </c>
      <c r="D284" s="510">
        <f>3.75+3.85+3.75</f>
        <v>11.35</v>
      </c>
      <c r="E284" s="614">
        <v>0.15</v>
      </c>
      <c r="F284" s="614">
        <v>0.4</v>
      </c>
      <c r="G284" s="592"/>
      <c r="H284" s="592">
        <f t="shared" si="115"/>
        <v>9.08</v>
      </c>
      <c r="I284" s="592"/>
      <c r="J284" s="592">
        <f t="shared" ref="J284" si="148">((D284*E284*F284)*B284)+I284</f>
        <v>0.68100000000000005</v>
      </c>
      <c r="K284" s="592">
        <f t="shared" si="116"/>
        <v>8.5125000000000006E-2</v>
      </c>
      <c r="L284" s="592">
        <f>2.65+2.75+2.65</f>
        <v>8.0500000000000007</v>
      </c>
      <c r="M284" s="592">
        <f t="shared" si="117"/>
        <v>1.630125</v>
      </c>
      <c r="N284" s="592">
        <f t="shared" si="118"/>
        <v>1.0867499999999999</v>
      </c>
      <c r="O284" s="616">
        <f t="shared" si="119"/>
        <v>10.782500000000001</v>
      </c>
      <c r="P284" s="718"/>
      <c r="Q284" s="716"/>
      <c r="R284" s="209"/>
      <c r="S284" s="210"/>
      <c r="T284" s="209"/>
    </row>
    <row r="285" spans="1:20" s="157" customFormat="1" x14ac:dyDescent="0.3">
      <c r="A285" s="494" t="s">
        <v>1882</v>
      </c>
      <c r="B285" s="495">
        <v>1</v>
      </c>
      <c r="C285" s="495" t="s">
        <v>42</v>
      </c>
      <c r="D285" s="510">
        <v>4.93</v>
      </c>
      <c r="E285" s="614">
        <v>0.15</v>
      </c>
      <c r="F285" s="614">
        <v>0.4</v>
      </c>
      <c r="G285" s="592">
        <f>(0.1*2)*0.4+(0.1*2*0.4)-0.15*0.4</f>
        <v>0.10000000000000003</v>
      </c>
      <c r="H285" s="592">
        <f t="shared" si="115"/>
        <v>4.0439999999999996</v>
      </c>
      <c r="I285" s="617">
        <f>0.1*0.5*0.4*2</f>
        <v>4.0000000000000008E-2</v>
      </c>
      <c r="J285" s="592">
        <f>((D285*E285*F285)*B285)+I285</f>
        <v>0.33579999999999999</v>
      </c>
      <c r="K285" s="592">
        <f t="shared" si="116"/>
        <v>3.6975000000000001E-2</v>
      </c>
      <c r="L285" s="592">
        <v>2.7</v>
      </c>
      <c r="M285" s="592">
        <f t="shared" si="117"/>
        <v>0.54674999999999996</v>
      </c>
      <c r="N285" s="592">
        <f t="shared" si="118"/>
        <v>0.36449999999999994</v>
      </c>
      <c r="O285" s="616">
        <f t="shared" si="119"/>
        <v>4.6835000000000004</v>
      </c>
      <c r="P285" s="718"/>
      <c r="Q285" s="716"/>
      <c r="R285" s="209"/>
      <c r="S285" s="210"/>
      <c r="T285" s="209"/>
    </row>
    <row r="286" spans="1:20" s="157" customFormat="1" x14ac:dyDescent="0.3">
      <c r="A286" s="494" t="s">
        <v>1883</v>
      </c>
      <c r="B286" s="495">
        <v>1</v>
      </c>
      <c r="C286" s="495" t="s">
        <v>42</v>
      </c>
      <c r="D286" s="510">
        <f>3.75+3.85+3.75</f>
        <v>11.35</v>
      </c>
      <c r="E286" s="614">
        <v>0.15</v>
      </c>
      <c r="F286" s="614">
        <v>0.4</v>
      </c>
      <c r="G286" s="592">
        <f>-0.15*0.4</f>
        <v>-0.06</v>
      </c>
      <c r="H286" s="592">
        <f t="shared" si="109"/>
        <v>9.02</v>
      </c>
      <c r="I286" s="617"/>
      <c r="J286" s="592">
        <f>((D286*E286*F286)*B286)+I286</f>
        <v>0.68100000000000005</v>
      </c>
      <c r="K286" s="592">
        <f t="shared" si="111"/>
        <v>8.5125000000000006E-2</v>
      </c>
      <c r="L286" s="592">
        <f>2.65+2.75+2.65</f>
        <v>8.0500000000000007</v>
      </c>
      <c r="M286" s="592">
        <f t="shared" si="112"/>
        <v>1.630125</v>
      </c>
      <c r="N286" s="592">
        <f t="shared" si="113"/>
        <v>1.0867499999999999</v>
      </c>
      <c r="O286" s="616">
        <f t="shared" si="114"/>
        <v>10.782500000000001</v>
      </c>
      <c r="P286" s="718"/>
      <c r="Q286" s="716"/>
      <c r="R286" s="209"/>
      <c r="S286" s="210"/>
      <c r="T286" s="209"/>
    </row>
    <row r="287" spans="1:20" s="157" customFormat="1" x14ac:dyDescent="0.3">
      <c r="A287" s="494" t="s">
        <v>1884</v>
      </c>
      <c r="B287" s="495">
        <v>1</v>
      </c>
      <c r="C287" s="495" t="s">
        <v>42</v>
      </c>
      <c r="D287" s="510">
        <v>1.9</v>
      </c>
      <c r="E287" s="614">
        <v>0.15</v>
      </c>
      <c r="F287" s="614">
        <v>0.4</v>
      </c>
      <c r="G287" s="617"/>
      <c r="H287" s="592">
        <f t="shared" si="109"/>
        <v>1.52</v>
      </c>
      <c r="I287" s="592"/>
      <c r="J287" s="592">
        <f>((D287*E287*F287)*B287)+I287</f>
        <v>0.11399999999999999</v>
      </c>
      <c r="K287" s="592">
        <f t="shared" si="111"/>
        <v>1.4249999999999999E-2</v>
      </c>
      <c r="L287" s="592">
        <v>1.18</v>
      </c>
      <c r="M287" s="592">
        <f t="shared" si="112"/>
        <v>0.23894999999999997</v>
      </c>
      <c r="N287" s="592">
        <f t="shared" si="113"/>
        <v>0.15929999999999997</v>
      </c>
      <c r="O287" s="616">
        <f t="shared" si="114"/>
        <v>1.8049999999999999</v>
      </c>
      <c r="P287" s="718"/>
      <c r="Q287" s="716"/>
      <c r="R287" s="209"/>
      <c r="S287" s="210"/>
      <c r="T287" s="209"/>
    </row>
    <row r="288" spans="1:20" s="157" customFormat="1" x14ac:dyDescent="0.3">
      <c r="A288" s="494" t="s">
        <v>1885</v>
      </c>
      <c r="B288" s="495">
        <v>1</v>
      </c>
      <c r="C288" s="495" t="s">
        <v>42</v>
      </c>
      <c r="D288" s="510">
        <f>3.75+4</f>
        <v>7.75</v>
      </c>
      <c r="E288" s="614">
        <v>0.15</v>
      </c>
      <c r="F288" s="614">
        <v>0.4</v>
      </c>
      <c r="G288" s="617">
        <f>-0.15*0.4*2</f>
        <v>-0.12</v>
      </c>
      <c r="H288" s="592">
        <f t="shared" si="109"/>
        <v>6.08</v>
      </c>
      <c r="I288" s="592"/>
      <c r="J288" s="592">
        <f>((D288*E288*F288)*B288)+I288</f>
        <v>0.46499999999999997</v>
      </c>
      <c r="K288" s="592">
        <f t="shared" si="111"/>
        <v>5.8124999999999996E-2</v>
      </c>
      <c r="L288" s="592">
        <f>2.65+2.55</f>
        <v>5.1999999999999993</v>
      </c>
      <c r="M288" s="592">
        <f t="shared" si="112"/>
        <v>1.0529999999999997</v>
      </c>
      <c r="N288" s="592">
        <f t="shared" si="113"/>
        <v>0.70199999999999974</v>
      </c>
      <c r="O288" s="616">
        <f t="shared" si="114"/>
        <v>7.3625000000000007</v>
      </c>
      <c r="P288" s="718"/>
      <c r="Q288" s="716"/>
      <c r="R288" s="209"/>
      <c r="S288" s="210"/>
      <c r="T288" s="209"/>
    </row>
    <row r="289" spans="1:20" s="157" customFormat="1" x14ac:dyDescent="0.3">
      <c r="A289" s="494" t="s">
        <v>1886</v>
      </c>
      <c r="B289" s="495">
        <v>1</v>
      </c>
      <c r="C289" s="495" t="s">
        <v>42</v>
      </c>
      <c r="D289" s="510">
        <v>1.8</v>
      </c>
      <c r="E289" s="614">
        <v>0.15</v>
      </c>
      <c r="F289" s="614">
        <v>0.4</v>
      </c>
      <c r="G289" s="592"/>
      <c r="H289" s="592">
        <f t="shared" si="109"/>
        <v>1.4400000000000002</v>
      </c>
      <c r="I289" s="592"/>
      <c r="J289" s="592">
        <f t="shared" ref="J289" si="149">((D289*E289*F289)*B289)+I289</f>
        <v>0.10800000000000001</v>
      </c>
      <c r="K289" s="592">
        <f t="shared" si="111"/>
        <v>1.3500000000000002E-2</v>
      </c>
      <c r="L289" s="592">
        <v>1.25</v>
      </c>
      <c r="M289" s="592">
        <f t="shared" si="112"/>
        <v>0.25312499999999999</v>
      </c>
      <c r="N289" s="592">
        <f t="shared" si="113"/>
        <v>0.16874999999999998</v>
      </c>
      <c r="O289" s="616">
        <f t="shared" si="114"/>
        <v>1.7100000000000002</v>
      </c>
      <c r="P289" s="718"/>
      <c r="Q289" s="716"/>
      <c r="R289" s="209"/>
      <c r="S289" s="210"/>
      <c r="T289" s="209"/>
    </row>
    <row r="290" spans="1:20" s="157" customFormat="1" x14ac:dyDescent="0.3">
      <c r="A290" s="494" t="s">
        <v>1887</v>
      </c>
      <c r="B290" s="495">
        <v>1</v>
      </c>
      <c r="C290" s="495" t="s">
        <v>42</v>
      </c>
      <c r="D290" s="510">
        <v>2.0499999999999998</v>
      </c>
      <c r="E290" s="614">
        <v>0.15</v>
      </c>
      <c r="F290" s="614">
        <v>0.4</v>
      </c>
      <c r="G290" s="592">
        <f>-0.15*0.4</f>
        <v>-0.06</v>
      </c>
      <c r="H290" s="592">
        <f t="shared" si="109"/>
        <v>1.5799999999999998</v>
      </c>
      <c r="I290" s="617"/>
      <c r="J290" s="592">
        <f>((D290*E290*F290)*B290)+I290</f>
        <v>0.12299999999999998</v>
      </c>
      <c r="K290" s="592">
        <f t="shared" si="111"/>
        <v>1.5374999999999998E-2</v>
      </c>
      <c r="L290" s="592">
        <v>1.05</v>
      </c>
      <c r="M290" s="592">
        <f t="shared" si="112"/>
        <v>0.21262499999999998</v>
      </c>
      <c r="N290" s="592">
        <f t="shared" si="113"/>
        <v>0.14174999999999999</v>
      </c>
      <c r="O290" s="616">
        <f t="shared" si="114"/>
        <v>1.9475</v>
      </c>
      <c r="P290" s="718"/>
      <c r="Q290" s="716"/>
      <c r="R290" s="209"/>
      <c r="S290" s="210"/>
      <c r="T290" s="209"/>
    </row>
    <row r="291" spans="1:20" s="157" customFormat="1" x14ac:dyDescent="0.3">
      <c r="A291" s="494" t="s">
        <v>1888</v>
      </c>
      <c r="B291" s="495">
        <v>1</v>
      </c>
      <c r="C291" s="495" t="s">
        <v>42</v>
      </c>
      <c r="D291" s="510">
        <v>1.9</v>
      </c>
      <c r="E291" s="614">
        <v>0.15</v>
      </c>
      <c r="F291" s="614">
        <v>0.4</v>
      </c>
      <c r="G291" s="617"/>
      <c r="H291" s="592">
        <f t="shared" si="109"/>
        <v>1.52</v>
      </c>
      <c r="I291" s="592"/>
      <c r="J291" s="592">
        <f>((D291*E291*F291)*B291)+I291</f>
        <v>0.11399999999999999</v>
      </c>
      <c r="K291" s="592">
        <f t="shared" si="111"/>
        <v>1.4249999999999999E-2</v>
      </c>
      <c r="L291" s="592">
        <v>1.25</v>
      </c>
      <c r="M291" s="592">
        <f t="shared" si="112"/>
        <v>0.25312499999999999</v>
      </c>
      <c r="N291" s="592">
        <f t="shared" si="113"/>
        <v>0.16874999999999998</v>
      </c>
      <c r="O291" s="616">
        <f t="shared" si="114"/>
        <v>1.8049999999999999</v>
      </c>
      <c r="P291" s="718"/>
      <c r="Q291" s="716"/>
      <c r="R291" s="209"/>
      <c r="S291" s="210"/>
      <c r="T291" s="209"/>
    </row>
    <row r="292" spans="1:20" s="157" customFormat="1" x14ac:dyDescent="0.3">
      <c r="A292" s="494" t="s">
        <v>1889</v>
      </c>
      <c r="B292" s="495">
        <v>1</v>
      </c>
      <c r="C292" s="495" t="s">
        <v>42</v>
      </c>
      <c r="D292" s="510">
        <v>5.8</v>
      </c>
      <c r="E292" s="614">
        <v>0.15</v>
      </c>
      <c r="F292" s="614">
        <v>0.4</v>
      </c>
      <c r="G292" s="592">
        <f>-0.15*0.4*2</f>
        <v>-0.12</v>
      </c>
      <c r="H292" s="592">
        <f t="shared" ref="H292:H333" si="150">((2*F292)*D292)+G292</f>
        <v>4.5199999999999996</v>
      </c>
      <c r="I292" s="592"/>
      <c r="J292" s="592">
        <f t="shared" ref="J292:J293" si="151">((D292*E292*F292)*B292)+I292</f>
        <v>0.34800000000000003</v>
      </c>
      <c r="K292" s="592">
        <f t="shared" ref="K292:K333" si="152">D292*E292*0.05</f>
        <v>4.3500000000000004E-2</v>
      </c>
      <c r="L292" s="592">
        <f>2.95+1.18</f>
        <v>4.13</v>
      </c>
      <c r="M292" s="592">
        <f t="shared" ref="M292:M333" si="153">L292*(E292+0.3)*(F292+0.05)</f>
        <v>0.83632499999999999</v>
      </c>
      <c r="N292" s="592">
        <f t="shared" ref="N292:N333" si="154">M292-(L292*E292*(F292+0.05))</f>
        <v>0.55754999999999999</v>
      </c>
      <c r="O292" s="616">
        <f t="shared" ref="O292:O333" si="155">D292*(E292+(F292*2))</f>
        <v>5.51</v>
      </c>
      <c r="P292" s="718"/>
      <c r="Q292" s="716"/>
      <c r="R292" s="209"/>
      <c r="S292" s="210"/>
      <c r="T292" s="209"/>
    </row>
    <row r="293" spans="1:20" s="157" customFormat="1" x14ac:dyDescent="0.3">
      <c r="A293" s="494" t="s">
        <v>1890</v>
      </c>
      <c r="B293" s="495">
        <v>1</v>
      </c>
      <c r="C293" s="495" t="s">
        <v>42</v>
      </c>
      <c r="D293" s="510">
        <v>11.75</v>
      </c>
      <c r="E293" s="614">
        <v>0.15</v>
      </c>
      <c r="F293" s="614">
        <v>0.4</v>
      </c>
      <c r="G293" s="592">
        <f>-0.15*0.4*5+0.05*0.4*4</f>
        <v>-0.21999999999999997</v>
      </c>
      <c r="H293" s="592">
        <f t="shared" si="150"/>
        <v>9.18</v>
      </c>
      <c r="I293" s="592">
        <f>0.05*0.4*0.4*2</f>
        <v>1.6000000000000004E-2</v>
      </c>
      <c r="J293" s="592">
        <f t="shared" si="151"/>
        <v>0.72100000000000009</v>
      </c>
      <c r="K293" s="592">
        <f t="shared" si="152"/>
        <v>8.8125000000000009E-2</v>
      </c>
      <c r="L293" s="592">
        <f>2.55+2.93+2.58</f>
        <v>8.06</v>
      </c>
      <c r="M293" s="592">
        <f t="shared" si="153"/>
        <v>1.63215</v>
      </c>
      <c r="N293" s="592">
        <f t="shared" si="154"/>
        <v>1.0880999999999998</v>
      </c>
      <c r="O293" s="616">
        <f t="shared" si="155"/>
        <v>11.162500000000001</v>
      </c>
      <c r="P293" s="718"/>
      <c r="Q293" s="716"/>
      <c r="R293" s="209"/>
      <c r="S293" s="210"/>
      <c r="T293" s="209"/>
    </row>
    <row r="294" spans="1:20" s="157" customFormat="1" x14ac:dyDescent="0.3">
      <c r="A294" s="494" t="s">
        <v>1891</v>
      </c>
      <c r="B294" s="495">
        <v>1</v>
      </c>
      <c r="C294" s="495" t="s">
        <v>42</v>
      </c>
      <c r="D294" s="510">
        <v>3.85</v>
      </c>
      <c r="E294" s="614">
        <v>0.15</v>
      </c>
      <c r="F294" s="614">
        <v>0.4</v>
      </c>
      <c r="G294" s="592"/>
      <c r="H294" s="592">
        <f t="shared" si="150"/>
        <v>3.08</v>
      </c>
      <c r="I294" s="617"/>
      <c r="J294" s="592">
        <f>((D294*E294*F294)*B294)+I294</f>
        <v>0.23100000000000001</v>
      </c>
      <c r="K294" s="592">
        <f t="shared" si="152"/>
        <v>2.8875000000000001E-2</v>
      </c>
      <c r="L294" s="592">
        <v>3.55</v>
      </c>
      <c r="M294" s="592">
        <f t="shared" si="153"/>
        <v>0.71887499999999993</v>
      </c>
      <c r="N294" s="592">
        <f t="shared" si="154"/>
        <v>0.47924999999999995</v>
      </c>
      <c r="O294" s="616">
        <f t="shared" si="155"/>
        <v>3.6575000000000002</v>
      </c>
      <c r="P294" s="718"/>
      <c r="Q294" s="716"/>
      <c r="R294" s="209"/>
      <c r="S294" s="210"/>
      <c r="T294" s="209"/>
    </row>
    <row r="295" spans="1:20" s="157" customFormat="1" x14ac:dyDescent="0.3">
      <c r="A295" s="494" t="s">
        <v>1892</v>
      </c>
      <c r="B295" s="495">
        <v>1</v>
      </c>
      <c r="C295" s="495" t="s">
        <v>42</v>
      </c>
      <c r="D295" s="510">
        <f>7.78+3.78</f>
        <v>11.56</v>
      </c>
      <c r="E295" s="614">
        <v>0.15</v>
      </c>
      <c r="F295" s="614">
        <v>0.4</v>
      </c>
      <c r="G295" s="617">
        <f>-0.15*0.4*2+0.05*0.4*2</f>
        <v>-7.9999999999999988E-2</v>
      </c>
      <c r="H295" s="592">
        <f t="shared" si="150"/>
        <v>9.168000000000001</v>
      </c>
      <c r="I295" s="592">
        <f>0.05*0.4*0.4</f>
        <v>8.0000000000000019E-3</v>
      </c>
      <c r="J295" s="592">
        <f>((D295*E295*F295)*B295)+I295</f>
        <v>0.7016</v>
      </c>
      <c r="K295" s="592">
        <f t="shared" si="152"/>
        <v>8.6699999999999999E-2</v>
      </c>
      <c r="L295" s="592">
        <f>2.55+2.83+2.68</f>
        <v>8.06</v>
      </c>
      <c r="M295" s="592">
        <f t="shared" si="153"/>
        <v>1.63215</v>
      </c>
      <c r="N295" s="592">
        <f t="shared" si="154"/>
        <v>1.0880999999999998</v>
      </c>
      <c r="O295" s="616">
        <f t="shared" si="155"/>
        <v>10.982000000000001</v>
      </c>
      <c r="P295" s="718"/>
      <c r="Q295" s="716"/>
      <c r="R295" s="209"/>
      <c r="S295" s="210"/>
      <c r="T295" s="209"/>
    </row>
    <row r="296" spans="1:20" s="157" customFormat="1" x14ac:dyDescent="0.3">
      <c r="A296" s="494" t="s">
        <v>1893</v>
      </c>
      <c r="B296" s="495">
        <v>1</v>
      </c>
      <c r="C296" s="495" t="s">
        <v>42</v>
      </c>
      <c r="D296" s="510">
        <v>11.75</v>
      </c>
      <c r="E296" s="614">
        <v>0.15</v>
      </c>
      <c r="F296" s="614">
        <v>0.4</v>
      </c>
      <c r="G296" s="592">
        <f>-0.15*0.4*2</f>
        <v>-0.12</v>
      </c>
      <c r="H296" s="592">
        <f t="shared" si="150"/>
        <v>9.2800000000000011</v>
      </c>
      <c r="I296" s="592">
        <f>0.05*0.5*0.4*2</f>
        <v>2.0000000000000004E-2</v>
      </c>
      <c r="J296" s="592">
        <f t="shared" ref="J296" si="156">((D296*E296*F296)*B296)+I296</f>
        <v>0.72500000000000009</v>
      </c>
      <c r="K296" s="592">
        <f t="shared" si="152"/>
        <v>8.8125000000000009E-2</v>
      </c>
      <c r="L296" s="592">
        <f>2.68+2.7+2.68</f>
        <v>8.06</v>
      </c>
      <c r="M296" s="592">
        <f t="shared" si="153"/>
        <v>1.63215</v>
      </c>
      <c r="N296" s="592">
        <f t="shared" si="154"/>
        <v>1.0880999999999998</v>
      </c>
      <c r="O296" s="616">
        <f t="shared" si="155"/>
        <v>11.162500000000001</v>
      </c>
      <c r="P296" s="718"/>
      <c r="Q296" s="716"/>
      <c r="R296" s="209"/>
      <c r="S296" s="210"/>
      <c r="T296" s="209"/>
    </row>
    <row r="297" spans="1:20" s="157" customFormat="1" x14ac:dyDescent="0.3">
      <c r="A297" s="494" t="s">
        <v>1894</v>
      </c>
      <c r="B297" s="495">
        <v>1</v>
      </c>
      <c r="C297" s="495" t="s">
        <v>42</v>
      </c>
      <c r="D297" s="510">
        <v>7.42</v>
      </c>
      <c r="E297" s="614">
        <v>0.15</v>
      </c>
      <c r="F297" s="614">
        <v>0.4</v>
      </c>
      <c r="G297" s="592">
        <f>0.1*0.4*2</f>
        <v>8.0000000000000016E-2</v>
      </c>
      <c r="H297" s="592">
        <f t="shared" si="150"/>
        <v>6.016</v>
      </c>
      <c r="I297" s="617">
        <f>0.1*0.5*0.4</f>
        <v>2.0000000000000004E-2</v>
      </c>
      <c r="J297" s="592">
        <f>((D297*E297*F297)*B297)+I297</f>
        <v>0.46520000000000006</v>
      </c>
      <c r="K297" s="592">
        <f t="shared" si="152"/>
        <v>5.5650000000000005E-2</v>
      </c>
      <c r="L297" s="592">
        <f>2.65+2.54</f>
        <v>5.1899999999999995</v>
      </c>
      <c r="M297" s="592">
        <f t="shared" si="153"/>
        <v>1.050975</v>
      </c>
      <c r="N297" s="592">
        <f t="shared" si="154"/>
        <v>0.70065</v>
      </c>
      <c r="O297" s="616">
        <f t="shared" si="155"/>
        <v>7.0490000000000004</v>
      </c>
      <c r="P297" s="718"/>
      <c r="Q297" s="716"/>
      <c r="R297" s="209"/>
      <c r="S297" s="210"/>
      <c r="T297" s="209"/>
    </row>
    <row r="298" spans="1:20" s="157" customFormat="1" x14ac:dyDescent="0.3">
      <c r="A298" s="494" t="s">
        <v>1895</v>
      </c>
      <c r="B298" s="495">
        <v>1</v>
      </c>
      <c r="C298" s="495" t="s">
        <v>42</v>
      </c>
      <c r="D298" s="510">
        <v>3.85</v>
      </c>
      <c r="E298" s="614">
        <v>0.15</v>
      </c>
      <c r="F298" s="614">
        <v>0.4</v>
      </c>
      <c r="G298" s="617">
        <f>-0.15*0.4+0.1*0.4</f>
        <v>-1.999999999999999E-2</v>
      </c>
      <c r="H298" s="592">
        <f t="shared" si="150"/>
        <v>3.06</v>
      </c>
      <c r="I298" s="592"/>
      <c r="J298" s="592">
        <f>((D298*E298*F298)*B298)+I298</f>
        <v>0.23100000000000001</v>
      </c>
      <c r="K298" s="592">
        <f t="shared" si="152"/>
        <v>2.8875000000000001E-2</v>
      </c>
      <c r="L298" s="592">
        <v>2.65</v>
      </c>
      <c r="M298" s="592">
        <f t="shared" si="153"/>
        <v>0.53662500000000002</v>
      </c>
      <c r="N298" s="592">
        <f t="shared" si="154"/>
        <v>0.35775000000000001</v>
      </c>
      <c r="O298" s="616">
        <f t="shared" si="155"/>
        <v>3.6575000000000002</v>
      </c>
      <c r="P298" s="718"/>
      <c r="Q298" s="716"/>
      <c r="R298" s="209"/>
      <c r="S298" s="210"/>
      <c r="T298" s="209"/>
    </row>
    <row r="299" spans="1:20" s="157" customFormat="1" x14ac:dyDescent="0.3">
      <c r="A299" s="494" t="s">
        <v>1896</v>
      </c>
      <c r="B299" s="495">
        <v>1</v>
      </c>
      <c r="C299" s="495" t="s">
        <v>42</v>
      </c>
      <c r="D299" s="510">
        <v>8.9499999999999993</v>
      </c>
      <c r="E299" s="614">
        <v>0.15</v>
      </c>
      <c r="F299" s="614">
        <v>0.4</v>
      </c>
      <c r="G299" s="617">
        <f>-0.15*0.4*2+0.05*0.4*6</f>
        <v>0</v>
      </c>
      <c r="H299" s="592">
        <f t="shared" si="150"/>
        <v>7.16</v>
      </c>
      <c r="I299" s="592">
        <f>0.05*0.4*0.4*3</f>
        <v>2.4000000000000007E-2</v>
      </c>
      <c r="J299" s="592">
        <f>((D299*E299*F299)*B299)+I299</f>
        <v>0.56099999999999994</v>
      </c>
      <c r="K299" s="592">
        <f t="shared" si="152"/>
        <v>6.712499999999999E-2</v>
      </c>
      <c r="L299" s="592">
        <f>0.38+2.58+2.55</f>
        <v>5.51</v>
      </c>
      <c r="M299" s="592">
        <f t="shared" si="153"/>
        <v>1.115775</v>
      </c>
      <c r="N299" s="592">
        <f t="shared" si="154"/>
        <v>0.74385000000000001</v>
      </c>
      <c r="O299" s="616">
        <f t="shared" si="155"/>
        <v>8.5024999999999995</v>
      </c>
      <c r="P299" s="718"/>
      <c r="Q299" s="716"/>
      <c r="R299" s="209"/>
      <c r="S299" s="210"/>
      <c r="T299" s="209"/>
    </row>
    <row r="300" spans="1:20" s="157" customFormat="1" x14ac:dyDescent="0.3">
      <c r="A300" s="494" t="s">
        <v>1897</v>
      </c>
      <c r="B300" s="495">
        <v>1</v>
      </c>
      <c r="C300" s="495" t="s">
        <v>42</v>
      </c>
      <c r="D300" s="510">
        <v>12.03</v>
      </c>
      <c r="E300" s="614">
        <v>0.15</v>
      </c>
      <c r="F300" s="614">
        <v>0.4</v>
      </c>
      <c r="G300" s="592">
        <f>-0.15*0.4*5+0.05*0.4*6</f>
        <v>-0.17999999999999997</v>
      </c>
      <c r="H300" s="592">
        <f t="shared" si="150"/>
        <v>9.4440000000000008</v>
      </c>
      <c r="I300" s="592">
        <f>0.05*0.4*0.4*2+0.05*0.5*0.4</f>
        <v>2.6000000000000006E-2</v>
      </c>
      <c r="J300" s="592">
        <f t="shared" ref="J300" si="157">((D300*E300*F300)*B300)+I300</f>
        <v>0.74780000000000002</v>
      </c>
      <c r="K300" s="592">
        <f t="shared" si="152"/>
        <v>9.0225E-2</v>
      </c>
      <c r="L300" s="592"/>
      <c r="M300" s="592">
        <f t="shared" si="153"/>
        <v>0</v>
      </c>
      <c r="N300" s="592">
        <f t="shared" si="154"/>
        <v>0</v>
      </c>
      <c r="O300" s="616">
        <f t="shared" si="155"/>
        <v>11.4285</v>
      </c>
      <c r="P300" s="718"/>
      <c r="Q300" s="716"/>
      <c r="R300" s="209"/>
      <c r="S300" s="210"/>
      <c r="T300" s="209"/>
    </row>
    <row r="301" spans="1:20" s="157" customFormat="1" x14ac:dyDescent="0.3">
      <c r="A301" s="494" t="s">
        <v>1898</v>
      </c>
      <c r="B301" s="495">
        <v>1</v>
      </c>
      <c r="C301" s="495" t="s">
        <v>42</v>
      </c>
      <c r="D301" s="510">
        <v>3.84</v>
      </c>
      <c r="E301" s="614">
        <v>0.15</v>
      </c>
      <c r="F301" s="614">
        <v>0.4</v>
      </c>
      <c r="G301" s="592">
        <f>0.1*0.4*2</f>
        <v>8.0000000000000016E-2</v>
      </c>
      <c r="H301" s="592">
        <f t="shared" si="150"/>
        <v>3.1520000000000001</v>
      </c>
      <c r="I301" s="617">
        <f>0.1*0.25*0.4</f>
        <v>1.0000000000000002E-2</v>
      </c>
      <c r="J301" s="592">
        <f>((D301*E301*F301)*B301)+I301</f>
        <v>0.2404</v>
      </c>
      <c r="K301" s="592">
        <f t="shared" si="152"/>
        <v>2.8799999999999999E-2</v>
      </c>
      <c r="L301" s="592">
        <v>2.62</v>
      </c>
      <c r="M301" s="592">
        <f t="shared" si="153"/>
        <v>0.53054999999999997</v>
      </c>
      <c r="N301" s="592">
        <f t="shared" si="154"/>
        <v>0.35369999999999996</v>
      </c>
      <c r="O301" s="616">
        <f t="shared" si="155"/>
        <v>3.6480000000000001</v>
      </c>
      <c r="P301" s="718"/>
      <c r="Q301" s="716"/>
      <c r="R301" s="209"/>
      <c r="S301" s="210"/>
      <c r="T301" s="209"/>
    </row>
    <row r="302" spans="1:20" s="157" customFormat="1" x14ac:dyDescent="0.3">
      <c r="A302" s="494" t="s">
        <v>1899</v>
      </c>
      <c r="B302" s="495">
        <v>1</v>
      </c>
      <c r="C302" s="495" t="s">
        <v>42</v>
      </c>
      <c r="D302" s="510">
        <f>3.75+3.78</f>
        <v>7.5299999999999994</v>
      </c>
      <c r="E302" s="614">
        <v>0.15</v>
      </c>
      <c r="F302" s="614">
        <v>0.4</v>
      </c>
      <c r="G302" s="617">
        <f>-0.15*0.4</f>
        <v>-0.06</v>
      </c>
      <c r="H302" s="592">
        <f t="shared" si="150"/>
        <v>5.9640000000000004</v>
      </c>
      <c r="I302" s="592"/>
      <c r="J302" s="592">
        <f>((D302*E302*F302)*B302)+I302</f>
        <v>0.45179999999999998</v>
      </c>
      <c r="K302" s="592">
        <f t="shared" si="152"/>
        <v>5.6474999999999997E-2</v>
      </c>
      <c r="L302" s="592">
        <f>2.68+2.65</f>
        <v>5.33</v>
      </c>
      <c r="M302" s="592">
        <f t="shared" si="153"/>
        <v>1.0793249999999999</v>
      </c>
      <c r="N302" s="592">
        <f t="shared" si="154"/>
        <v>0.71954999999999991</v>
      </c>
      <c r="O302" s="616">
        <f t="shared" si="155"/>
        <v>7.1535000000000002</v>
      </c>
      <c r="P302" s="718"/>
      <c r="Q302" s="716"/>
      <c r="R302" s="209"/>
      <c r="S302" s="210"/>
      <c r="T302" s="209"/>
    </row>
    <row r="303" spans="1:20" s="157" customFormat="1" x14ac:dyDescent="0.3">
      <c r="A303" s="494" t="s">
        <v>1900</v>
      </c>
      <c r="B303" s="495">
        <v>1</v>
      </c>
      <c r="C303" s="495" t="s">
        <v>42</v>
      </c>
      <c r="D303" s="510">
        <v>8.2799999999999994</v>
      </c>
      <c r="E303" s="614">
        <v>0.15</v>
      </c>
      <c r="F303" s="614">
        <v>0.4</v>
      </c>
      <c r="G303" s="592">
        <f>-0.15*0.4*5+0.05*0.4*4</f>
        <v>-0.21999999999999997</v>
      </c>
      <c r="H303" s="592">
        <f t="shared" si="150"/>
        <v>6.4039999999999999</v>
      </c>
      <c r="I303" s="592">
        <f>0.05*0.4*0.4*2</f>
        <v>1.6000000000000004E-2</v>
      </c>
      <c r="J303" s="592">
        <f t="shared" ref="J303:J304" si="158">((D303*E303*F303)*B303)+I303</f>
        <v>0.51279999999999992</v>
      </c>
      <c r="K303" s="592">
        <f t="shared" si="152"/>
        <v>6.2099999999999989E-2</v>
      </c>
      <c r="L303" s="592">
        <f>2.36+3.22</f>
        <v>5.58</v>
      </c>
      <c r="M303" s="592">
        <f t="shared" si="153"/>
        <v>1.1299499999999998</v>
      </c>
      <c r="N303" s="592">
        <f t="shared" si="154"/>
        <v>0.75329999999999986</v>
      </c>
      <c r="O303" s="616">
        <f t="shared" si="155"/>
        <v>7.8659999999999997</v>
      </c>
      <c r="P303" s="718"/>
      <c r="Q303" s="716"/>
      <c r="R303" s="209"/>
      <c r="S303" s="210"/>
      <c r="T303" s="209"/>
    </row>
    <row r="304" spans="1:20" s="157" customFormat="1" x14ac:dyDescent="0.3">
      <c r="A304" s="494" t="s">
        <v>1901</v>
      </c>
      <c r="B304" s="495">
        <v>1</v>
      </c>
      <c r="C304" s="495" t="s">
        <v>42</v>
      </c>
      <c r="D304" s="510">
        <v>3.75</v>
      </c>
      <c r="E304" s="614">
        <v>0.15</v>
      </c>
      <c r="F304" s="614">
        <v>0.4</v>
      </c>
      <c r="G304" s="592">
        <f>-0.15*0.4+0.05*0.4*2</f>
        <v>-1.999999999999999E-2</v>
      </c>
      <c r="H304" s="592">
        <f t="shared" si="150"/>
        <v>2.98</v>
      </c>
      <c r="I304" s="592">
        <f>0.05*0.4*0.4</f>
        <v>8.0000000000000019E-3</v>
      </c>
      <c r="J304" s="592">
        <f t="shared" si="158"/>
        <v>0.23300000000000001</v>
      </c>
      <c r="K304" s="592">
        <f t="shared" si="152"/>
        <v>2.8125000000000001E-2</v>
      </c>
      <c r="L304" s="592">
        <v>2.4500000000000002</v>
      </c>
      <c r="M304" s="592">
        <f t="shared" si="153"/>
        <v>0.49612500000000004</v>
      </c>
      <c r="N304" s="592">
        <f t="shared" si="154"/>
        <v>0.33075000000000004</v>
      </c>
      <c r="O304" s="616">
        <f t="shared" si="155"/>
        <v>3.5625000000000004</v>
      </c>
      <c r="P304" s="718"/>
      <c r="Q304" s="716"/>
      <c r="R304" s="209"/>
      <c r="S304" s="210"/>
      <c r="T304" s="209"/>
    </row>
    <row r="305" spans="1:20" s="157" customFormat="1" x14ac:dyDescent="0.3">
      <c r="A305" s="494" t="s">
        <v>1902</v>
      </c>
      <c r="B305" s="495">
        <v>1</v>
      </c>
      <c r="C305" s="495" t="s">
        <v>42</v>
      </c>
      <c r="D305" s="510">
        <v>7.73</v>
      </c>
      <c r="E305" s="614">
        <v>0.15</v>
      </c>
      <c r="F305" s="614">
        <v>0.4</v>
      </c>
      <c r="G305" s="592">
        <f>-0.15*0.4+0.05*0.4*2</f>
        <v>-1.999999999999999E-2</v>
      </c>
      <c r="H305" s="592">
        <f t="shared" si="150"/>
        <v>6.1640000000000015</v>
      </c>
      <c r="I305" s="617">
        <f>0.05*0.4*0.4</f>
        <v>8.0000000000000019E-3</v>
      </c>
      <c r="J305" s="592">
        <f>((D305*E305*F305)*B305)+I305</f>
        <v>0.4718</v>
      </c>
      <c r="K305" s="592">
        <f t="shared" si="152"/>
        <v>5.7974999999999999E-2</v>
      </c>
      <c r="L305" s="592">
        <f>2.65+2.68</f>
        <v>5.33</v>
      </c>
      <c r="M305" s="592">
        <f t="shared" si="153"/>
        <v>1.0793249999999999</v>
      </c>
      <c r="N305" s="592">
        <f t="shared" si="154"/>
        <v>0.71954999999999991</v>
      </c>
      <c r="O305" s="616">
        <f t="shared" si="155"/>
        <v>7.3435000000000006</v>
      </c>
      <c r="P305" s="718"/>
      <c r="Q305" s="716"/>
      <c r="R305" s="209"/>
      <c r="S305" s="210"/>
      <c r="T305" s="209"/>
    </row>
    <row r="306" spans="1:20" s="157" customFormat="1" x14ac:dyDescent="0.3">
      <c r="A306" s="494" t="s">
        <v>1903</v>
      </c>
      <c r="B306" s="495">
        <v>1</v>
      </c>
      <c r="C306" s="495" t="s">
        <v>42</v>
      </c>
      <c r="D306" s="510">
        <f>3.91+2.41+1.66</f>
        <v>7.98</v>
      </c>
      <c r="E306" s="614">
        <v>0.15</v>
      </c>
      <c r="F306" s="614">
        <v>0.4</v>
      </c>
      <c r="G306" s="617">
        <f>-0.15*0.4*2+0.05*0.4*2</f>
        <v>-7.9999999999999988E-2</v>
      </c>
      <c r="H306" s="592">
        <f t="shared" si="150"/>
        <v>6.3040000000000003</v>
      </c>
      <c r="I306" s="592">
        <f>0.05*0.4*0.4</f>
        <v>8.0000000000000019E-3</v>
      </c>
      <c r="J306" s="592">
        <f>((D306*E306*F306)*B306)+I306</f>
        <v>0.48680000000000007</v>
      </c>
      <c r="K306" s="592">
        <f t="shared" si="152"/>
        <v>5.9850000000000007E-2</v>
      </c>
      <c r="L306" s="592">
        <f>0.54+1.26+2.48</f>
        <v>4.28</v>
      </c>
      <c r="M306" s="592">
        <f t="shared" si="153"/>
        <v>0.86670000000000003</v>
      </c>
      <c r="N306" s="592">
        <f t="shared" si="154"/>
        <v>0.57780000000000009</v>
      </c>
      <c r="O306" s="616">
        <f t="shared" si="155"/>
        <v>7.5810000000000013</v>
      </c>
      <c r="P306" s="718"/>
      <c r="Q306" s="716"/>
      <c r="R306" s="209"/>
      <c r="S306" s="210"/>
      <c r="T306" s="209"/>
    </row>
    <row r="307" spans="1:20" s="157" customFormat="1" x14ac:dyDescent="0.3">
      <c r="A307" s="494" t="s">
        <v>1904</v>
      </c>
      <c r="B307" s="495">
        <v>1</v>
      </c>
      <c r="C307" s="495" t="s">
        <v>42</v>
      </c>
      <c r="D307" s="510">
        <v>3.75</v>
      </c>
      <c r="E307" s="614">
        <v>0.15</v>
      </c>
      <c r="F307" s="614">
        <v>0.4</v>
      </c>
      <c r="G307" s="592">
        <f>-0.15*0.4+0.05*0.4*2</f>
        <v>-1.999999999999999E-2</v>
      </c>
      <c r="H307" s="592">
        <f t="shared" si="150"/>
        <v>2.98</v>
      </c>
      <c r="I307" s="592">
        <f>0.05*0.4*0.4</f>
        <v>8.0000000000000019E-3</v>
      </c>
      <c r="J307" s="592">
        <f t="shared" ref="J307" si="159">((D307*E307*F307)*B307)+I307</f>
        <v>0.23300000000000001</v>
      </c>
      <c r="K307" s="592">
        <f t="shared" si="152"/>
        <v>2.8125000000000001E-2</v>
      </c>
      <c r="L307" s="592">
        <v>2.4500000000000002</v>
      </c>
      <c r="M307" s="592">
        <f t="shared" si="153"/>
        <v>0.49612500000000004</v>
      </c>
      <c r="N307" s="592">
        <f t="shared" si="154"/>
        <v>0.33075000000000004</v>
      </c>
      <c r="O307" s="616">
        <f t="shared" si="155"/>
        <v>3.5625000000000004</v>
      </c>
      <c r="P307" s="718"/>
      <c r="Q307" s="716"/>
      <c r="R307" s="209"/>
      <c r="S307" s="210"/>
      <c r="T307" s="209"/>
    </row>
    <row r="308" spans="1:20" s="157" customFormat="1" x14ac:dyDescent="0.3">
      <c r="A308" s="494" t="s">
        <v>1905</v>
      </c>
      <c r="B308" s="495">
        <v>1</v>
      </c>
      <c r="C308" s="495" t="s">
        <v>42</v>
      </c>
      <c r="D308" s="510">
        <v>7.88</v>
      </c>
      <c r="E308" s="614">
        <v>0.15</v>
      </c>
      <c r="F308" s="614">
        <v>0.4</v>
      </c>
      <c r="G308" s="592">
        <f>-0.15*0.4*5</f>
        <v>-0.3</v>
      </c>
      <c r="H308" s="592">
        <f t="shared" si="150"/>
        <v>6.0040000000000004</v>
      </c>
      <c r="I308" s="617"/>
      <c r="J308" s="592">
        <f>((D308*E308*F308)*B308)+I308</f>
        <v>0.4728</v>
      </c>
      <c r="K308" s="592">
        <f t="shared" si="152"/>
        <v>5.91E-2</v>
      </c>
      <c r="L308" s="592">
        <f>1.63+1.75+1.6</f>
        <v>4.9800000000000004</v>
      </c>
      <c r="M308" s="592">
        <f t="shared" si="153"/>
        <v>1.0084500000000001</v>
      </c>
      <c r="N308" s="592">
        <f t="shared" si="154"/>
        <v>0.67230000000000012</v>
      </c>
      <c r="O308" s="616">
        <f t="shared" si="155"/>
        <v>7.4860000000000007</v>
      </c>
      <c r="P308" s="718"/>
      <c r="Q308" s="716"/>
      <c r="R308" s="209"/>
      <c r="S308" s="210"/>
      <c r="T308" s="209"/>
    </row>
    <row r="309" spans="1:20" s="157" customFormat="1" x14ac:dyDescent="0.3">
      <c r="A309" s="494" t="s">
        <v>1906</v>
      </c>
      <c r="B309" s="495">
        <v>1</v>
      </c>
      <c r="C309" s="495" t="s">
        <v>42</v>
      </c>
      <c r="D309" s="510">
        <v>8.9600000000000009</v>
      </c>
      <c r="E309" s="614">
        <v>0.15</v>
      </c>
      <c r="F309" s="614">
        <v>0.4</v>
      </c>
      <c r="G309" s="592">
        <f>-0.15*0.4*2+0.05*0.4*6</f>
        <v>0</v>
      </c>
      <c r="H309" s="592">
        <f t="shared" si="150"/>
        <v>7.168000000000001</v>
      </c>
      <c r="I309" s="592">
        <f>0.05*0.4*0.4*3</f>
        <v>2.4000000000000007E-2</v>
      </c>
      <c r="J309" s="592">
        <f t="shared" ref="J309" si="160">((D309*E309*F309)*B309)+I309</f>
        <v>0.5616000000000001</v>
      </c>
      <c r="K309" s="592">
        <f t="shared" si="152"/>
        <v>6.720000000000001E-2</v>
      </c>
      <c r="L309" s="592">
        <f>0.38+2.58+2.55</f>
        <v>5.51</v>
      </c>
      <c r="M309" s="592">
        <f t="shared" si="153"/>
        <v>1.115775</v>
      </c>
      <c r="N309" s="592">
        <f t="shared" si="154"/>
        <v>0.74385000000000001</v>
      </c>
      <c r="O309" s="616">
        <f t="shared" si="155"/>
        <v>8.5120000000000022</v>
      </c>
      <c r="P309" s="718"/>
      <c r="Q309" s="716"/>
      <c r="R309" s="209"/>
      <c r="S309" s="210"/>
      <c r="T309" s="209"/>
    </row>
    <row r="310" spans="1:20" s="157" customFormat="1" ht="15" thickBot="1" x14ac:dyDescent="0.35">
      <c r="A310" s="494" t="s">
        <v>1907</v>
      </c>
      <c r="B310" s="495">
        <v>1</v>
      </c>
      <c r="C310" s="495" t="s">
        <v>42</v>
      </c>
      <c r="D310" s="510">
        <f>3.88+8</f>
        <v>11.879999999999999</v>
      </c>
      <c r="E310" s="614">
        <v>0.15</v>
      </c>
      <c r="F310" s="614">
        <v>0.4</v>
      </c>
      <c r="G310" s="592">
        <f>-0.15*0.4*3+0.05*0.4*4</f>
        <v>-9.9999999999999978E-2</v>
      </c>
      <c r="H310" s="592">
        <f t="shared" si="150"/>
        <v>9.4039999999999999</v>
      </c>
      <c r="I310" s="617">
        <f>0.05*0.4*4</f>
        <v>8.0000000000000016E-2</v>
      </c>
      <c r="J310" s="592">
        <f>((D310*E310*F310)*B310)+I310</f>
        <v>0.79279999999999995</v>
      </c>
      <c r="K310" s="592">
        <f t="shared" si="152"/>
        <v>8.9099999999999999E-2</v>
      </c>
      <c r="L310" s="592">
        <f>2.85+2.83+2.45</f>
        <v>8.129999999999999</v>
      </c>
      <c r="M310" s="592">
        <f t="shared" si="153"/>
        <v>1.6463249999999996</v>
      </c>
      <c r="N310" s="592">
        <f t="shared" si="154"/>
        <v>1.0975499999999996</v>
      </c>
      <c r="O310" s="616">
        <f t="shared" si="155"/>
        <v>11.286</v>
      </c>
      <c r="P310" s="718"/>
      <c r="Q310" s="716"/>
      <c r="R310" s="209"/>
      <c r="S310" s="210"/>
      <c r="T310" s="209"/>
    </row>
    <row r="311" spans="1:20" s="62" customFormat="1" x14ac:dyDescent="0.3">
      <c r="A311" s="698" t="s">
        <v>2115</v>
      </c>
      <c r="B311" s="699"/>
      <c r="C311" s="699"/>
      <c r="D311" s="699"/>
      <c r="E311" s="699"/>
      <c r="F311" s="699"/>
      <c r="G311" s="699"/>
      <c r="H311" s="699"/>
      <c r="I311" s="699"/>
      <c r="J311" s="699"/>
      <c r="K311" s="699"/>
      <c r="L311" s="699"/>
      <c r="M311" s="699"/>
      <c r="N311" s="699"/>
      <c r="O311" s="700"/>
      <c r="P311" s="718"/>
      <c r="Q311" s="716"/>
    </row>
    <row r="312" spans="1:20" s="157" customFormat="1" x14ac:dyDescent="0.3">
      <c r="A312" s="158" t="s">
        <v>2167</v>
      </c>
      <c r="B312" s="159">
        <v>1</v>
      </c>
      <c r="C312" s="159" t="s">
        <v>42</v>
      </c>
      <c r="D312" s="162">
        <f>5.05+2.5+9.23</f>
        <v>16.78</v>
      </c>
      <c r="E312" s="345">
        <v>0.15</v>
      </c>
      <c r="F312" s="345">
        <v>0.3</v>
      </c>
      <c r="G312" s="212"/>
      <c r="H312" s="160">
        <f t="shared" si="150"/>
        <v>10.068</v>
      </c>
      <c r="I312" s="160"/>
      <c r="J312" s="160">
        <f>((D312*E312*F312)*B312)+I312</f>
        <v>0.75509999999999999</v>
      </c>
      <c r="K312" s="160">
        <f t="shared" si="152"/>
        <v>0.12584999999999999</v>
      </c>
      <c r="L312" s="160">
        <f>3.63+1.35+3.93+2.65</f>
        <v>11.56</v>
      </c>
      <c r="M312" s="160">
        <f t="shared" si="153"/>
        <v>1.8206999999999998</v>
      </c>
      <c r="N312" s="160">
        <f t="shared" si="154"/>
        <v>1.2137999999999998</v>
      </c>
      <c r="O312" s="161">
        <f t="shared" si="155"/>
        <v>12.585000000000001</v>
      </c>
      <c r="P312" s="718"/>
      <c r="Q312" s="716"/>
      <c r="R312" s="209"/>
      <c r="S312" s="210"/>
      <c r="T312" s="209"/>
    </row>
    <row r="313" spans="1:20" s="157" customFormat="1" x14ac:dyDescent="0.3">
      <c r="A313" s="158" t="s">
        <v>2168</v>
      </c>
      <c r="B313" s="159">
        <v>1</v>
      </c>
      <c r="C313" s="159" t="s">
        <v>42</v>
      </c>
      <c r="D313" s="162">
        <v>7.55</v>
      </c>
      <c r="E313" s="345">
        <v>0.15</v>
      </c>
      <c r="F313" s="345">
        <v>0.3</v>
      </c>
      <c r="G313" s="212">
        <f>-0.15*0.3*2</f>
        <v>-0.09</v>
      </c>
      <c r="H313" s="160">
        <f t="shared" si="150"/>
        <v>4.4399999999999995</v>
      </c>
      <c r="I313" s="160"/>
      <c r="J313" s="160">
        <f>((D313*E313*F313)*B313)+I313</f>
        <v>0.33974999999999994</v>
      </c>
      <c r="K313" s="160">
        <f t="shared" si="152"/>
        <v>5.6624999999999995E-2</v>
      </c>
      <c r="L313" s="160">
        <f>7.55-0.3</f>
        <v>7.25</v>
      </c>
      <c r="M313" s="160">
        <f t="shared" si="153"/>
        <v>1.1418749999999998</v>
      </c>
      <c r="N313" s="160">
        <f t="shared" si="154"/>
        <v>0.76124999999999976</v>
      </c>
      <c r="O313" s="161">
        <f t="shared" si="155"/>
        <v>5.6624999999999996</v>
      </c>
      <c r="P313" s="718"/>
      <c r="Q313" s="716"/>
      <c r="R313" s="209"/>
      <c r="S313" s="210"/>
      <c r="T313" s="209"/>
    </row>
    <row r="314" spans="1:20" s="157" customFormat="1" x14ac:dyDescent="0.3">
      <c r="A314" s="158" t="s">
        <v>2169</v>
      </c>
      <c r="B314" s="159">
        <v>1</v>
      </c>
      <c r="C314" s="159" t="s">
        <v>42</v>
      </c>
      <c r="D314" s="162">
        <v>0.7</v>
      </c>
      <c r="E314" s="345">
        <v>0.15</v>
      </c>
      <c r="F314" s="345">
        <v>0.3</v>
      </c>
      <c r="G314" s="160"/>
      <c r="H314" s="160">
        <f t="shared" si="150"/>
        <v>0.42</v>
      </c>
      <c r="I314" s="160"/>
      <c r="J314" s="160">
        <f t="shared" ref="J314" si="161">((D314*E314*F314)*B314)+I314</f>
        <v>3.15E-2</v>
      </c>
      <c r="K314" s="160">
        <f t="shared" si="152"/>
        <v>5.2500000000000003E-3</v>
      </c>
      <c r="L314" s="160"/>
      <c r="M314" s="160">
        <f t="shared" si="153"/>
        <v>0</v>
      </c>
      <c r="N314" s="160">
        <f t="shared" si="154"/>
        <v>0</v>
      </c>
      <c r="O314" s="161">
        <f t="shared" si="155"/>
        <v>0.52499999999999991</v>
      </c>
      <c r="P314" s="718"/>
      <c r="Q314" s="716"/>
      <c r="R314" s="209"/>
      <c r="S314" s="210"/>
      <c r="T314" s="209"/>
    </row>
    <row r="315" spans="1:20" s="157" customFormat="1" x14ac:dyDescent="0.3">
      <c r="A315" s="158" t="s">
        <v>2170</v>
      </c>
      <c r="B315" s="159">
        <v>1</v>
      </c>
      <c r="C315" s="159" t="s">
        <v>42</v>
      </c>
      <c r="D315" s="162">
        <v>3.96</v>
      </c>
      <c r="E315" s="345">
        <v>0.15</v>
      </c>
      <c r="F315" s="345">
        <v>0.3</v>
      </c>
      <c r="G315" s="160"/>
      <c r="H315" s="160">
        <f t="shared" si="150"/>
        <v>2.3759999999999999</v>
      </c>
      <c r="I315" s="212"/>
      <c r="J315" s="160">
        <f>((D315*E315*F315)*B315)+I315</f>
        <v>0.1782</v>
      </c>
      <c r="K315" s="160">
        <f t="shared" si="152"/>
        <v>2.9700000000000001E-2</v>
      </c>
      <c r="L315" s="160">
        <v>3.09</v>
      </c>
      <c r="M315" s="160">
        <f t="shared" si="153"/>
        <v>0.48667499999999991</v>
      </c>
      <c r="N315" s="160">
        <f t="shared" si="154"/>
        <v>0.32444999999999991</v>
      </c>
      <c r="O315" s="161">
        <f t="shared" si="155"/>
        <v>2.9699999999999998</v>
      </c>
      <c r="P315" s="718"/>
      <c r="Q315" s="716"/>
      <c r="R315" s="209"/>
      <c r="S315" s="210"/>
      <c r="T315" s="209"/>
    </row>
    <row r="316" spans="1:20" s="157" customFormat="1" x14ac:dyDescent="0.3">
      <c r="A316" s="158" t="s">
        <v>2171</v>
      </c>
      <c r="B316" s="159">
        <v>1</v>
      </c>
      <c r="C316" s="159" t="s">
        <v>42</v>
      </c>
      <c r="D316" s="162">
        <v>1.41</v>
      </c>
      <c r="E316" s="345">
        <v>0.15</v>
      </c>
      <c r="F316" s="345">
        <v>0.3</v>
      </c>
      <c r="G316" s="212"/>
      <c r="H316" s="160">
        <f t="shared" si="150"/>
        <v>0.84599999999999997</v>
      </c>
      <c r="I316" s="160"/>
      <c r="J316" s="160">
        <f>((D316*E316*F316)*B316)+I316</f>
        <v>6.3449999999999993E-2</v>
      </c>
      <c r="K316" s="160">
        <f t="shared" si="152"/>
        <v>1.0575000000000001E-2</v>
      </c>
      <c r="L316" s="160">
        <v>0.86</v>
      </c>
      <c r="M316" s="160">
        <f t="shared" si="153"/>
        <v>0.13544999999999999</v>
      </c>
      <c r="N316" s="160">
        <f t="shared" si="154"/>
        <v>9.0299999999999991E-2</v>
      </c>
      <c r="O316" s="161">
        <f t="shared" si="155"/>
        <v>1.0574999999999999</v>
      </c>
      <c r="P316" s="718"/>
      <c r="Q316" s="716"/>
      <c r="R316" s="209"/>
      <c r="S316" s="210"/>
      <c r="T316" s="209"/>
    </row>
    <row r="317" spans="1:20" s="157" customFormat="1" x14ac:dyDescent="0.3">
      <c r="A317" s="158" t="s">
        <v>2172</v>
      </c>
      <c r="B317" s="159">
        <v>1</v>
      </c>
      <c r="C317" s="159" t="s">
        <v>42</v>
      </c>
      <c r="D317" s="162">
        <v>4.04</v>
      </c>
      <c r="E317" s="345">
        <v>0.15</v>
      </c>
      <c r="F317" s="345">
        <v>0.3</v>
      </c>
      <c r="G317" s="160"/>
      <c r="H317" s="160">
        <f t="shared" si="150"/>
        <v>2.4239999999999999</v>
      </c>
      <c r="I317" s="160"/>
      <c r="J317" s="160">
        <f t="shared" ref="J317:J318" si="162">((D317*E317*F317)*B317)+I317</f>
        <v>0.18179999999999999</v>
      </c>
      <c r="K317" s="160">
        <f t="shared" si="152"/>
        <v>3.0300000000000001E-2</v>
      </c>
      <c r="L317" s="160">
        <v>3.17</v>
      </c>
      <c r="M317" s="160">
        <f t="shared" si="153"/>
        <v>0.49927499999999991</v>
      </c>
      <c r="N317" s="160">
        <f t="shared" si="154"/>
        <v>0.33284999999999992</v>
      </c>
      <c r="O317" s="161">
        <f t="shared" si="155"/>
        <v>3.0300000000000002</v>
      </c>
      <c r="P317" s="718"/>
      <c r="Q317" s="716"/>
      <c r="R317" s="209"/>
      <c r="S317" s="210"/>
      <c r="T317" s="209"/>
    </row>
    <row r="318" spans="1:20" s="157" customFormat="1" x14ac:dyDescent="0.3">
      <c r="A318" s="158" t="s">
        <v>2173</v>
      </c>
      <c r="B318" s="159">
        <v>1</v>
      </c>
      <c r="C318" s="159" t="s">
        <v>42</v>
      </c>
      <c r="D318" s="162">
        <v>21.1</v>
      </c>
      <c r="E318" s="345">
        <v>0.15</v>
      </c>
      <c r="F318" s="345">
        <v>0.3</v>
      </c>
      <c r="G318" s="160"/>
      <c r="H318" s="160">
        <f t="shared" si="150"/>
        <v>12.66</v>
      </c>
      <c r="I318" s="160"/>
      <c r="J318" s="160">
        <f t="shared" si="162"/>
        <v>0.94950000000000001</v>
      </c>
      <c r="K318" s="160">
        <f t="shared" si="152"/>
        <v>0.15825</v>
      </c>
      <c r="L318" s="160">
        <f>3.43+3.95+3.95+4.08</f>
        <v>15.410000000000002</v>
      </c>
      <c r="M318" s="160">
        <f t="shared" si="153"/>
        <v>2.4270749999999999</v>
      </c>
      <c r="N318" s="160">
        <f t="shared" si="154"/>
        <v>1.6180499999999998</v>
      </c>
      <c r="O318" s="161">
        <f t="shared" si="155"/>
        <v>15.825000000000001</v>
      </c>
      <c r="P318" s="718"/>
      <c r="Q318" s="716"/>
      <c r="R318" s="209"/>
      <c r="S318" s="210"/>
      <c r="T318" s="209"/>
    </row>
    <row r="319" spans="1:20" s="157" customFormat="1" x14ac:dyDescent="0.3">
      <c r="A319" s="158" t="s">
        <v>2174</v>
      </c>
      <c r="B319" s="159">
        <v>1</v>
      </c>
      <c r="C319" s="159" t="s">
        <v>42</v>
      </c>
      <c r="D319" s="162">
        <v>19.399999999999999</v>
      </c>
      <c r="E319" s="345">
        <v>0.15</v>
      </c>
      <c r="F319" s="345">
        <v>0.3</v>
      </c>
      <c r="G319" s="160"/>
      <c r="H319" s="160">
        <f t="shared" si="150"/>
        <v>11.639999999999999</v>
      </c>
      <c r="I319" s="212"/>
      <c r="J319" s="160">
        <f>((D319*E319*F319)*B319)+I319</f>
        <v>0.87299999999999989</v>
      </c>
      <c r="K319" s="160">
        <f t="shared" si="152"/>
        <v>0.14549999999999999</v>
      </c>
      <c r="L319" s="160">
        <f>3.11+3.15+3.14+5.33</f>
        <v>14.73</v>
      </c>
      <c r="M319" s="160">
        <f t="shared" si="153"/>
        <v>2.3199749999999999</v>
      </c>
      <c r="N319" s="160">
        <f t="shared" si="154"/>
        <v>1.5466500000000001</v>
      </c>
      <c r="O319" s="161">
        <f t="shared" si="155"/>
        <v>14.549999999999999</v>
      </c>
      <c r="P319" s="718"/>
      <c r="Q319" s="716"/>
      <c r="R319" s="209"/>
      <c r="S319" s="210"/>
      <c r="T319" s="209"/>
    </row>
    <row r="320" spans="1:20" s="157" customFormat="1" x14ac:dyDescent="0.3">
      <c r="A320" s="158" t="s">
        <v>2175</v>
      </c>
      <c r="B320" s="159">
        <v>1</v>
      </c>
      <c r="C320" s="159" t="s">
        <v>42</v>
      </c>
      <c r="D320" s="162">
        <v>4.3499999999999996</v>
      </c>
      <c r="E320" s="345">
        <v>0.15</v>
      </c>
      <c r="F320" s="345">
        <v>0.3</v>
      </c>
      <c r="G320" s="212"/>
      <c r="H320" s="160">
        <f t="shared" si="150"/>
        <v>2.61</v>
      </c>
      <c r="I320" s="160"/>
      <c r="J320" s="160">
        <f>((D320*E320*F320)*B320)+I320</f>
        <v>0.19574999999999998</v>
      </c>
      <c r="K320" s="160">
        <f t="shared" si="152"/>
        <v>3.2625000000000001E-2</v>
      </c>
      <c r="L320" s="160">
        <v>3.05</v>
      </c>
      <c r="M320" s="160">
        <f t="shared" si="153"/>
        <v>0.48037499999999989</v>
      </c>
      <c r="N320" s="160">
        <f t="shared" si="154"/>
        <v>0.32024999999999992</v>
      </c>
      <c r="O320" s="161">
        <f t="shared" si="155"/>
        <v>3.2624999999999997</v>
      </c>
      <c r="P320" s="718"/>
      <c r="Q320" s="716"/>
      <c r="R320" s="209"/>
      <c r="S320" s="210"/>
      <c r="T320" s="209"/>
    </row>
    <row r="321" spans="1:20" s="157" customFormat="1" x14ac:dyDescent="0.3">
      <c r="A321" s="158" t="s">
        <v>2176</v>
      </c>
      <c r="B321" s="159">
        <v>1</v>
      </c>
      <c r="C321" s="159" t="s">
        <v>42</v>
      </c>
      <c r="D321" s="162">
        <v>3.8</v>
      </c>
      <c r="E321" s="345">
        <v>0.15</v>
      </c>
      <c r="F321" s="345">
        <v>0.3</v>
      </c>
      <c r="G321" s="160">
        <f>-0.15*0.3</f>
        <v>-4.4999999999999998E-2</v>
      </c>
      <c r="H321" s="160">
        <f t="shared" si="150"/>
        <v>2.2349999999999999</v>
      </c>
      <c r="I321" s="160"/>
      <c r="J321" s="160">
        <f t="shared" ref="J321" si="163">((D321*E321*F321)*B321)+I321</f>
        <v>0.17099999999999999</v>
      </c>
      <c r="K321" s="160">
        <f t="shared" si="152"/>
        <v>2.8499999999999998E-2</v>
      </c>
      <c r="L321" s="160">
        <v>2.4300000000000002</v>
      </c>
      <c r="M321" s="160">
        <f t="shared" si="153"/>
        <v>0.38272499999999993</v>
      </c>
      <c r="N321" s="160">
        <f t="shared" si="154"/>
        <v>0.25514999999999993</v>
      </c>
      <c r="O321" s="161">
        <f t="shared" si="155"/>
        <v>2.8499999999999996</v>
      </c>
      <c r="P321" s="718"/>
      <c r="Q321" s="716"/>
      <c r="R321" s="209"/>
      <c r="S321" s="210"/>
      <c r="T321" s="209"/>
    </row>
    <row r="322" spans="1:20" s="157" customFormat="1" x14ac:dyDescent="0.3">
      <c r="A322" s="158" t="s">
        <v>2177</v>
      </c>
      <c r="B322" s="159">
        <v>1</v>
      </c>
      <c r="C322" s="159" t="s">
        <v>42</v>
      </c>
      <c r="D322" s="162">
        <v>2.4500000000000002</v>
      </c>
      <c r="E322" s="345">
        <v>0.15</v>
      </c>
      <c r="F322" s="345">
        <v>0.3</v>
      </c>
      <c r="G322" s="160">
        <f>-0.15*0.3</f>
        <v>-4.4999999999999998E-2</v>
      </c>
      <c r="H322" s="160">
        <f t="shared" si="150"/>
        <v>1.425</v>
      </c>
      <c r="I322" s="212"/>
      <c r="J322" s="160">
        <f>((D322*E322*F322)*B322)+I322</f>
        <v>0.11025</v>
      </c>
      <c r="K322" s="160">
        <f t="shared" si="152"/>
        <v>1.8374999999999999E-2</v>
      </c>
      <c r="L322" s="160">
        <v>1.43</v>
      </c>
      <c r="M322" s="160">
        <f t="shared" si="153"/>
        <v>0.22522499999999998</v>
      </c>
      <c r="N322" s="160">
        <f t="shared" si="154"/>
        <v>0.15015000000000001</v>
      </c>
      <c r="O322" s="161">
        <f t="shared" si="155"/>
        <v>1.8375000000000001</v>
      </c>
      <c r="P322" s="718"/>
      <c r="Q322" s="716"/>
      <c r="R322" s="209"/>
      <c r="S322" s="210"/>
      <c r="T322" s="209"/>
    </row>
    <row r="323" spans="1:20" s="157" customFormat="1" x14ac:dyDescent="0.3">
      <c r="A323" s="158" t="s">
        <v>2178</v>
      </c>
      <c r="B323" s="159">
        <v>1</v>
      </c>
      <c r="C323" s="159" t="s">
        <v>42</v>
      </c>
      <c r="D323" s="162">
        <v>1.64</v>
      </c>
      <c r="E323" s="345">
        <v>0.15</v>
      </c>
      <c r="F323" s="345">
        <v>0.3</v>
      </c>
      <c r="G323" s="212"/>
      <c r="H323" s="160">
        <f t="shared" si="150"/>
        <v>0.98399999999999987</v>
      </c>
      <c r="I323" s="160"/>
      <c r="J323" s="160">
        <f>((D323*E323*F323)*B323)+I323</f>
        <v>7.3799999999999991E-2</v>
      </c>
      <c r="K323" s="160">
        <f t="shared" si="152"/>
        <v>1.2299999999999998E-2</v>
      </c>
      <c r="L323" s="160">
        <f>1.64-0.15</f>
        <v>1.49</v>
      </c>
      <c r="M323" s="160">
        <f t="shared" si="153"/>
        <v>0.23467499999999997</v>
      </c>
      <c r="N323" s="160">
        <f t="shared" si="154"/>
        <v>0.15644999999999998</v>
      </c>
      <c r="O323" s="161">
        <f t="shared" si="155"/>
        <v>1.23</v>
      </c>
      <c r="P323" s="718"/>
      <c r="Q323" s="716"/>
      <c r="R323" s="209"/>
      <c r="S323" s="210"/>
      <c r="T323" s="209"/>
    </row>
    <row r="324" spans="1:20" s="157" customFormat="1" x14ac:dyDescent="0.3">
      <c r="A324" s="158" t="s">
        <v>2179</v>
      </c>
      <c r="B324" s="159">
        <v>1</v>
      </c>
      <c r="C324" s="159" t="s">
        <v>42</v>
      </c>
      <c r="D324" s="162">
        <v>1.1100000000000001</v>
      </c>
      <c r="E324" s="345">
        <v>0.15</v>
      </c>
      <c r="F324" s="345">
        <v>0.3</v>
      </c>
      <c r="G324" s="160">
        <f>-0.15*0.3</f>
        <v>-4.4999999999999998E-2</v>
      </c>
      <c r="H324" s="160">
        <f t="shared" si="150"/>
        <v>0.621</v>
      </c>
      <c r="I324" s="160"/>
      <c r="J324" s="160">
        <f>((D324*E324*F324)*B324)+I324</f>
        <v>4.9950000000000001E-2</v>
      </c>
      <c r="K324" s="160">
        <f t="shared" si="152"/>
        <v>8.3250000000000008E-3</v>
      </c>
      <c r="L324" s="160">
        <f>0.26-0.15</f>
        <v>0.11000000000000001</v>
      </c>
      <c r="M324" s="160">
        <f t="shared" si="153"/>
        <v>1.7325E-2</v>
      </c>
      <c r="N324" s="160">
        <f t="shared" si="154"/>
        <v>1.1550000000000001E-2</v>
      </c>
      <c r="O324" s="161">
        <f t="shared" si="155"/>
        <v>0.83250000000000002</v>
      </c>
      <c r="P324" s="718"/>
      <c r="Q324" s="716"/>
      <c r="R324" s="209"/>
      <c r="S324" s="210"/>
      <c r="T324" s="209"/>
    </row>
    <row r="325" spans="1:20" s="157" customFormat="1" x14ac:dyDescent="0.3">
      <c r="A325" s="158" t="s">
        <v>2180</v>
      </c>
      <c r="B325" s="159">
        <v>1</v>
      </c>
      <c r="C325" s="159" t="s">
        <v>42</v>
      </c>
      <c r="D325" s="162">
        <v>1.26</v>
      </c>
      <c r="E325" s="345">
        <v>0.15</v>
      </c>
      <c r="F325" s="345">
        <v>0.3</v>
      </c>
      <c r="G325" s="160">
        <f>-0.15*0.3</f>
        <v>-4.4999999999999998E-2</v>
      </c>
      <c r="H325" s="160">
        <f t="shared" si="150"/>
        <v>0.71099999999999997</v>
      </c>
      <c r="I325" s="160"/>
      <c r="J325" s="160">
        <f t="shared" ref="J325" si="164">((D325*E325*F325)*B325)+I325</f>
        <v>5.67E-2</v>
      </c>
      <c r="K325" s="160">
        <f t="shared" si="152"/>
        <v>9.4500000000000001E-3</v>
      </c>
      <c r="L325" s="160">
        <f>0.43-0.15</f>
        <v>0.28000000000000003</v>
      </c>
      <c r="M325" s="160">
        <f t="shared" si="153"/>
        <v>4.41E-2</v>
      </c>
      <c r="N325" s="160">
        <f t="shared" si="154"/>
        <v>2.9400000000000003E-2</v>
      </c>
      <c r="O325" s="161">
        <f t="shared" si="155"/>
        <v>0.94500000000000006</v>
      </c>
      <c r="P325" s="718"/>
      <c r="Q325" s="716"/>
      <c r="R325" s="209"/>
      <c r="S325" s="210"/>
      <c r="T325" s="209"/>
    </row>
    <row r="326" spans="1:20" s="157" customFormat="1" x14ac:dyDescent="0.3">
      <c r="A326" s="158" t="s">
        <v>2181</v>
      </c>
      <c r="B326" s="159">
        <v>1</v>
      </c>
      <c r="C326" s="159" t="s">
        <v>42</v>
      </c>
      <c r="D326" s="162">
        <v>18.75</v>
      </c>
      <c r="E326" s="345">
        <v>0.15</v>
      </c>
      <c r="F326" s="345">
        <v>0.3</v>
      </c>
      <c r="G326" s="160">
        <f>0.05*2*5</f>
        <v>0.5</v>
      </c>
      <c r="H326" s="160">
        <f t="shared" si="150"/>
        <v>11.75</v>
      </c>
      <c r="I326" s="212">
        <f>0.05*0.2*0.3*5</f>
        <v>1.5000000000000003E-2</v>
      </c>
      <c r="J326" s="160">
        <f>((D326*E326*F326)*B326)+I326</f>
        <v>0.85875000000000001</v>
      </c>
      <c r="K326" s="160">
        <f t="shared" si="152"/>
        <v>0.140625</v>
      </c>
      <c r="L326" s="160">
        <f>1.43+2.7*4</f>
        <v>12.23</v>
      </c>
      <c r="M326" s="160">
        <f t="shared" si="153"/>
        <v>1.9262249999999999</v>
      </c>
      <c r="N326" s="160">
        <f t="shared" si="154"/>
        <v>1.2841499999999999</v>
      </c>
      <c r="O326" s="161">
        <f t="shared" si="155"/>
        <v>14.0625</v>
      </c>
      <c r="P326" s="718"/>
      <c r="Q326" s="716"/>
      <c r="R326" s="209"/>
      <c r="S326" s="210"/>
      <c r="T326" s="209"/>
    </row>
    <row r="327" spans="1:20" s="157" customFormat="1" x14ac:dyDescent="0.3">
      <c r="A327" s="158"/>
      <c r="B327" s="159"/>
      <c r="C327" s="159" t="s">
        <v>42</v>
      </c>
      <c r="D327" s="162"/>
      <c r="E327" s="345"/>
      <c r="F327" s="345"/>
      <c r="G327" s="212"/>
      <c r="H327" s="160">
        <f t="shared" si="150"/>
        <v>0</v>
      </c>
      <c r="I327" s="160"/>
      <c r="J327" s="160">
        <f>((D327*E327*F327)*B327)+I327</f>
        <v>0</v>
      </c>
      <c r="K327" s="160">
        <f t="shared" si="152"/>
        <v>0</v>
      </c>
      <c r="L327" s="160"/>
      <c r="M327" s="160">
        <f t="shared" si="153"/>
        <v>0</v>
      </c>
      <c r="N327" s="160">
        <f t="shared" si="154"/>
        <v>0</v>
      </c>
      <c r="O327" s="161">
        <f t="shared" si="155"/>
        <v>0</v>
      </c>
      <c r="P327" s="718"/>
      <c r="Q327" s="716"/>
      <c r="R327" s="209"/>
      <c r="S327" s="210"/>
      <c r="T327" s="209"/>
    </row>
    <row r="328" spans="1:20" s="157" customFormat="1" x14ac:dyDescent="0.3">
      <c r="A328" s="158"/>
      <c r="B328" s="159"/>
      <c r="C328" s="159" t="s">
        <v>42</v>
      </c>
      <c r="D328" s="162"/>
      <c r="E328" s="345"/>
      <c r="F328" s="345"/>
      <c r="G328" s="160"/>
      <c r="H328" s="160">
        <f t="shared" si="150"/>
        <v>0</v>
      </c>
      <c r="I328" s="160"/>
      <c r="J328" s="160">
        <f t="shared" ref="J328:J329" si="165">((D328*E328*F328)*B328)+I328</f>
        <v>0</v>
      </c>
      <c r="K328" s="160">
        <f t="shared" si="152"/>
        <v>0</v>
      </c>
      <c r="L328" s="160"/>
      <c r="M328" s="160">
        <f t="shared" si="153"/>
        <v>0</v>
      </c>
      <c r="N328" s="160">
        <f t="shared" si="154"/>
        <v>0</v>
      </c>
      <c r="O328" s="161">
        <f t="shared" si="155"/>
        <v>0</v>
      </c>
      <c r="P328" s="718"/>
      <c r="Q328" s="716"/>
      <c r="R328" s="209"/>
      <c r="S328" s="210"/>
      <c r="T328" s="209"/>
    </row>
    <row r="329" spans="1:20" s="157" customFormat="1" x14ac:dyDescent="0.3">
      <c r="A329" s="158"/>
      <c r="B329" s="159"/>
      <c r="C329" s="159" t="s">
        <v>42</v>
      </c>
      <c r="D329" s="162"/>
      <c r="E329" s="345"/>
      <c r="F329" s="345"/>
      <c r="G329" s="160"/>
      <c r="H329" s="160">
        <f t="shared" si="150"/>
        <v>0</v>
      </c>
      <c r="I329" s="160"/>
      <c r="J329" s="160">
        <f t="shared" si="165"/>
        <v>0</v>
      </c>
      <c r="K329" s="160">
        <f t="shared" si="152"/>
        <v>0</v>
      </c>
      <c r="L329" s="160"/>
      <c r="M329" s="160">
        <f t="shared" si="153"/>
        <v>0</v>
      </c>
      <c r="N329" s="160">
        <f t="shared" si="154"/>
        <v>0</v>
      </c>
      <c r="O329" s="161">
        <f t="shared" si="155"/>
        <v>0</v>
      </c>
      <c r="P329" s="718"/>
      <c r="Q329" s="716"/>
      <c r="R329" s="209"/>
      <c r="S329" s="210"/>
      <c r="T329" s="209"/>
    </row>
    <row r="330" spans="1:20" s="157" customFormat="1" x14ac:dyDescent="0.3">
      <c r="A330" s="158"/>
      <c r="B330" s="159"/>
      <c r="C330" s="159" t="s">
        <v>42</v>
      </c>
      <c r="D330" s="162"/>
      <c r="E330" s="345"/>
      <c r="F330" s="345"/>
      <c r="G330" s="160"/>
      <c r="H330" s="160">
        <f t="shared" si="150"/>
        <v>0</v>
      </c>
      <c r="I330" s="212"/>
      <c r="J330" s="160">
        <f>((D330*E330*F330)*B330)+I330</f>
        <v>0</v>
      </c>
      <c r="K330" s="160">
        <f t="shared" si="152"/>
        <v>0</v>
      </c>
      <c r="L330" s="160"/>
      <c r="M330" s="160">
        <f t="shared" si="153"/>
        <v>0</v>
      </c>
      <c r="N330" s="160">
        <f t="shared" si="154"/>
        <v>0</v>
      </c>
      <c r="O330" s="161">
        <f t="shared" si="155"/>
        <v>0</v>
      </c>
      <c r="P330" s="718"/>
      <c r="Q330" s="716"/>
      <c r="R330" s="209"/>
      <c r="S330" s="210"/>
      <c r="T330" s="209"/>
    </row>
    <row r="331" spans="1:20" s="157" customFormat="1" x14ac:dyDescent="0.3">
      <c r="A331" s="158"/>
      <c r="B331" s="159"/>
      <c r="C331" s="159" t="s">
        <v>42</v>
      </c>
      <c r="D331" s="162"/>
      <c r="E331" s="345"/>
      <c r="F331" s="345"/>
      <c r="G331" s="212"/>
      <c r="H331" s="160">
        <f t="shared" si="150"/>
        <v>0</v>
      </c>
      <c r="I331" s="160"/>
      <c r="J331" s="160">
        <f>((D331*E331*F331)*B331)+I331</f>
        <v>0</v>
      </c>
      <c r="K331" s="160">
        <f t="shared" si="152"/>
        <v>0</v>
      </c>
      <c r="L331" s="160"/>
      <c r="M331" s="160">
        <f t="shared" si="153"/>
        <v>0</v>
      </c>
      <c r="N331" s="160">
        <f t="shared" si="154"/>
        <v>0</v>
      </c>
      <c r="O331" s="161">
        <f t="shared" si="155"/>
        <v>0</v>
      </c>
      <c r="P331" s="718"/>
      <c r="Q331" s="716"/>
      <c r="R331" s="209"/>
      <c r="S331" s="210"/>
      <c r="T331" s="209"/>
    </row>
    <row r="332" spans="1:20" s="157" customFormat="1" x14ac:dyDescent="0.3">
      <c r="A332" s="158"/>
      <c r="B332" s="159"/>
      <c r="C332" s="159" t="s">
        <v>42</v>
      </c>
      <c r="D332" s="162"/>
      <c r="E332" s="345"/>
      <c r="F332" s="345"/>
      <c r="G332" s="160"/>
      <c r="H332" s="160">
        <f t="shared" si="150"/>
        <v>0</v>
      </c>
      <c r="I332" s="160"/>
      <c r="J332" s="160">
        <f t="shared" ref="J332" si="166">((D332*E332*F332)*B332)+I332</f>
        <v>0</v>
      </c>
      <c r="K332" s="160">
        <f t="shared" si="152"/>
        <v>0</v>
      </c>
      <c r="L332" s="160"/>
      <c r="M332" s="160">
        <f t="shared" si="153"/>
        <v>0</v>
      </c>
      <c r="N332" s="160">
        <f t="shared" si="154"/>
        <v>0</v>
      </c>
      <c r="O332" s="161">
        <f t="shared" si="155"/>
        <v>0</v>
      </c>
      <c r="P332" s="718"/>
      <c r="Q332" s="716"/>
      <c r="R332" s="209"/>
      <c r="S332" s="210"/>
      <c r="T332" s="209"/>
    </row>
    <row r="333" spans="1:20" s="157" customFormat="1" x14ac:dyDescent="0.3">
      <c r="A333" s="158"/>
      <c r="B333" s="159"/>
      <c r="C333" s="159" t="s">
        <v>42</v>
      </c>
      <c r="D333" s="162"/>
      <c r="E333" s="345"/>
      <c r="F333" s="345"/>
      <c r="G333" s="160"/>
      <c r="H333" s="160">
        <f t="shared" si="150"/>
        <v>0</v>
      </c>
      <c r="I333" s="212"/>
      <c r="J333" s="160">
        <f>((D333*E333*F333)*B333)+I333</f>
        <v>0</v>
      </c>
      <c r="K333" s="160">
        <f t="shared" si="152"/>
        <v>0</v>
      </c>
      <c r="L333" s="160"/>
      <c r="M333" s="160">
        <f t="shared" si="153"/>
        <v>0</v>
      </c>
      <c r="N333" s="160">
        <f t="shared" si="154"/>
        <v>0</v>
      </c>
      <c r="O333" s="161">
        <f t="shared" si="155"/>
        <v>0</v>
      </c>
      <c r="P333" s="718"/>
      <c r="Q333" s="716"/>
      <c r="R333" s="209"/>
      <c r="S333" s="210"/>
      <c r="T333" s="209"/>
    </row>
    <row r="334" spans="1:20" s="157" customFormat="1" x14ac:dyDescent="0.3">
      <c r="A334" s="158"/>
      <c r="B334" s="159"/>
      <c r="C334" s="159" t="s">
        <v>42</v>
      </c>
      <c r="D334" s="162"/>
      <c r="E334" s="345"/>
      <c r="F334" s="345"/>
      <c r="G334" s="160"/>
      <c r="H334" s="160">
        <f t="shared" si="109"/>
        <v>0</v>
      </c>
      <c r="I334" s="160"/>
      <c r="J334" s="160">
        <f t="shared" ref="J334:J335" si="167">((D334*E334*F334)*B334)+I334</f>
        <v>0</v>
      </c>
      <c r="K334" s="160">
        <f t="shared" si="111"/>
        <v>0</v>
      </c>
      <c r="L334" s="160"/>
      <c r="M334" s="160">
        <f t="shared" si="112"/>
        <v>0</v>
      </c>
      <c r="N334" s="160">
        <f t="shared" si="113"/>
        <v>0</v>
      </c>
      <c r="O334" s="161">
        <f t="shared" si="114"/>
        <v>0</v>
      </c>
      <c r="P334" s="718"/>
      <c r="Q334" s="716"/>
      <c r="R334" s="209"/>
      <c r="S334" s="210"/>
      <c r="T334" s="209"/>
    </row>
    <row r="335" spans="1:20" s="157" customFormat="1" x14ac:dyDescent="0.3">
      <c r="A335" s="158"/>
      <c r="B335" s="159"/>
      <c r="C335" s="159" t="s">
        <v>42</v>
      </c>
      <c r="D335" s="162"/>
      <c r="E335" s="345"/>
      <c r="F335" s="345"/>
      <c r="G335" s="160"/>
      <c r="H335" s="160">
        <f t="shared" si="109"/>
        <v>0</v>
      </c>
      <c r="I335" s="160"/>
      <c r="J335" s="160">
        <f t="shared" si="167"/>
        <v>0</v>
      </c>
      <c r="K335" s="160">
        <f t="shared" si="111"/>
        <v>0</v>
      </c>
      <c r="L335" s="160"/>
      <c r="M335" s="160">
        <f t="shared" si="112"/>
        <v>0</v>
      </c>
      <c r="N335" s="160">
        <f t="shared" si="113"/>
        <v>0</v>
      </c>
      <c r="O335" s="161">
        <f t="shared" si="114"/>
        <v>0</v>
      </c>
      <c r="P335" s="718"/>
      <c r="Q335" s="716"/>
      <c r="R335" s="209"/>
      <c r="S335" s="210"/>
      <c r="T335" s="209"/>
    </row>
    <row r="336" spans="1:20" s="157" customFormat="1" x14ac:dyDescent="0.3">
      <c r="A336" s="158"/>
      <c r="B336" s="159"/>
      <c r="C336" s="159" t="s">
        <v>42</v>
      </c>
      <c r="D336" s="162"/>
      <c r="E336" s="345"/>
      <c r="F336" s="345"/>
      <c r="G336" s="160"/>
      <c r="H336" s="160">
        <f t="shared" si="109"/>
        <v>0</v>
      </c>
      <c r="I336" s="212"/>
      <c r="J336" s="160">
        <f>((D336*E336*F336)*B336)+I336</f>
        <v>0</v>
      </c>
      <c r="K336" s="160">
        <f t="shared" si="111"/>
        <v>0</v>
      </c>
      <c r="L336" s="160"/>
      <c r="M336" s="160">
        <f t="shared" si="112"/>
        <v>0</v>
      </c>
      <c r="N336" s="160">
        <f t="shared" si="113"/>
        <v>0</v>
      </c>
      <c r="O336" s="161">
        <f t="shared" si="114"/>
        <v>0</v>
      </c>
      <c r="P336" s="718"/>
      <c r="Q336" s="716"/>
      <c r="R336" s="209"/>
      <c r="S336" s="210"/>
      <c r="T336" s="209"/>
    </row>
    <row r="337" spans="1:20" s="157" customFormat="1" x14ac:dyDescent="0.3">
      <c r="A337" s="158"/>
      <c r="B337" s="159"/>
      <c r="C337" s="159" t="s">
        <v>42</v>
      </c>
      <c r="D337" s="162"/>
      <c r="E337" s="345"/>
      <c r="F337" s="345"/>
      <c r="G337" s="212"/>
      <c r="H337" s="160">
        <f t="shared" si="109"/>
        <v>0</v>
      </c>
      <c r="I337" s="160"/>
      <c r="J337" s="160">
        <f>((D337*E337*F337)*B337)+I337</f>
        <v>0</v>
      </c>
      <c r="K337" s="160">
        <f t="shared" si="111"/>
        <v>0</v>
      </c>
      <c r="L337" s="160"/>
      <c r="M337" s="160">
        <f t="shared" si="112"/>
        <v>0</v>
      </c>
      <c r="N337" s="160">
        <f t="shared" si="113"/>
        <v>0</v>
      </c>
      <c r="O337" s="161">
        <f t="shared" si="114"/>
        <v>0</v>
      </c>
      <c r="P337" s="718"/>
      <c r="Q337" s="716"/>
      <c r="R337" s="209"/>
      <c r="S337" s="210"/>
      <c r="T337" s="209"/>
    </row>
    <row r="338" spans="1:20" s="157" customFormat="1" x14ac:dyDescent="0.3">
      <c r="A338" s="158"/>
      <c r="B338" s="159"/>
      <c r="C338" s="159" t="s">
        <v>42</v>
      </c>
      <c r="D338" s="162"/>
      <c r="E338" s="345"/>
      <c r="F338" s="345"/>
      <c r="G338" s="160"/>
      <c r="H338" s="160">
        <f t="shared" si="109"/>
        <v>0</v>
      </c>
      <c r="I338" s="160"/>
      <c r="J338" s="160">
        <f t="shared" ref="J338" si="168">((D338*E338*F338)*B338)+I338</f>
        <v>0</v>
      </c>
      <c r="K338" s="160">
        <f t="shared" si="111"/>
        <v>0</v>
      </c>
      <c r="L338" s="160"/>
      <c r="M338" s="160">
        <f t="shared" si="112"/>
        <v>0</v>
      </c>
      <c r="N338" s="160">
        <f t="shared" si="113"/>
        <v>0</v>
      </c>
      <c r="O338" s="161">
        <f t="shared" si="114"/>
        <v>0</v>
      </c>
      <c r="P338" s="718"/>
      <c r="Q338" s="716"/>
      <c r="R338" s="209"/>
      <c r="S338" s="210"/>
      <c r="T338" s="209"/>
    </row>
    <row r="339" spans="1:20" s="157" customFormat="1" x14ac:dyDescent="0.3">
      <c r="A339" s="158"/>
      <c r="B339" s="159"/>
      <c r="C339" s="159" t="s">
        <v>42</v>
      </c>
      <c r="D339" s="162"/>
      <c r="E339" s="345"/>
      <c r="F339" s="345"/>
      <c r="G339" s="160"/>
      <c r="H339" s="160">
        <f t="shared" si="109"/>
        <v>0</v>
      </c>
      <c r="I339" s="212"/>
      <c r="J339" s="160">
        <f>((D339*E339*F339)*B339)+I339</f>
        <v>0</v>
      </c>
      <c r="K339" s="160">
        <f t="shared" si="111"/>
        <v>0</v>
      </c>
      <c r="L339" s="160"/>
      <c r="M339" s="160">
        <f t="shared" si="112"/>
        <v>0</v>
      </c>
      <c r="N339" s="160">
        <f t="shared" si="113"/>
        <v>0</v>
      </c>
      <c r="O339" s="161">
        <f t="shared" si="114"/>
        <v>0</v>
      </c>
      <c r="P339" s="718"/>
      <c r="Q339" s="716"/>
      <c r="R339" s="209"/>
      <c r="S339" s="210"/>
      <c r="T339" s="209"/>
    </row>
    <row r="340" spans="1:20" s="157" customFormat="1" x14ac:dyDescent="0.3">
      <c r="A340" s="158"/>
      <c r="B340" s="159"/>
      <c r="C340" s="159" t="s">
        <v>42</v>
      </c>
      <c r="D340" s="162"/>
      <c r="E340" s="345"/>
      <c r="F340" s="345"/>
      <c r="G340" s="212"/>
      <c r="H340" s="160">
        <f t="shared" si="109"/>
        <v>0</v>
      </c>
      <c r="I340" s="160"/>
      <c r="J340" s="160">
        <f>((D340*E340*F340)*B340)+I340</f>
        <v>0</v>
      </c>
      <c r="K340" s="160">
        <f t="shared" si="111"/>
        <v>0</v>
      </c>
      <c r="L340" s="160"/>
      <c r="M340" s="160">
        <f t="shared" si="112"/>
        <v>0</v>
      </c>
      <c r="N340" s="160">
        <f t="shared" si="113"/>
        <v>0</v>
      </c>
      <c r="O340" s="161">
        <f t="shared" si="114"/>
        <v>0</v>
      </c>
      <c r="P340" s="718"/>
      <c r="Q340" s="716"/>
      <c r="R340" s="209"/>
      <c r="S340" s="210"/>
      <c r="T340" s="209"/>
    </row>
    <row r="341" spans="1:20" s="157" customFormat="1" x14ac:dyDescent="0.3">
      <c r="A341" s="158"/>
      <c r="B341" s="159"/>
      <c r="C341" s="159" t="s">
        <v>42</v>
      </c>
      <c r="D341" s="162"/>
      <c r="E341" s="345"/>
      <c r="F341" s="345"/>
      <c r="G341" s="212"/>
      <c r="H341" s="160">
        <f t="shared" si="109"/>
        <v>0</v>
      </c>
      <c r="I341" s="160"/>
      <c r="J341" s="160">
        <f>((D341*E341*F341)*B341)+I341</f>
        <v>0</v>
      </c>
      <c r="K341" s="160">
        <f t="shared" si="111"/>
        <v>0</v>
      </c>
      <c r="L341" s="160"/>
      <c r="M341" s="160">
        <f t="shared" si="112"/>
        <v>0</v>
      </c>
      <c r="N341" s="160">
        <f t="shared" si="113"/>
        <v>0</v>
      </c>
      <c r="O341" s="161">
        <f t="shared" si="114"/>
        <v>0</v>
      </c>
      <c r="P341" s="718"/>
      <c r="Q341" s="716"/>
      <c r="R341" s="209"/>
      <c r="S341" s="210"/>
      <c r="T341" s="209"/>
    </row>
    <row r="342" spans="1:20" s="157" customFormat="1" x14ac:dyDescent="0.3">
      <c r="A342" s="158"/>
      <c r="B342" s="159"/>
      <c r="C342" s="159" t="s">
        <v>42</v>
      </c>
      <c r="D342" s="162"/>
      <c r="E342" s="345"/>
      <c r="F342" s="345"/>
      <c r="G342" s="160"/>
      <c r="H342" s="160">
        <f t="shared" si="109"/>
        <v>0</v>
      </c>
      <c r="I342" s="160"/>
      <c r="J342" s="160">
        <f t="shared" ref="J342" si="169">((D342*E342*F342)*B342)+I342</f>
        <v>0</v>
      </c>
      <c r="K342" s="160">
        <f t="shared" si="111"/>
        <v>0</v>
      </c>
      <c r="L342" s="160"/>
      <c r="M342" s="160">
        <f t="shared" si="112"/>
        <v>0</v>
      </c>
      <c r="N342" s="160">
        <f t="shared" si="113"/>
        <v>0</v>
      </c>
      <c r="O342" s="161">
        <f t="shared" si="114"/>
        <v>0</v>
      </c>
      <c r="P342" s="718"/>
      <c r="Q342" s="716"/>
      <c r="R342" s="209"/>
      <c r="S342" s="210"/>
      <c r="T342" s="209"/>
    </row>
    <row r="343" spans="1:20" s="157" customFormat="1" x14ac:dyDescent="0.3">
      <c r="A343" s="158"/>
      <c r="B343" s="159"/>
      <c r="C343" s="159" t="s">
        <v>42</v>
      </c>
      <c r="D343" s="162"/>
      <c r="E343" s="345"/>
      <c r="F343" s="345"/>
      <c r="G343" s="160"/>
      <c r="H343" s="160">
        <f t="shared" si="109"/>
        <v>0</v>
      </c>
      <c r="I343" s="212"/>
      <c r="J343" s="160">
        <f>((D343*E343*F343)*B343)+I343</f>
        <v>0</v>
      </c>
      <c r="K343" s="160">
        <f t="shared" si="111"/>
        <v>0</v>
      </c>
      <c r="L343" s="160"/>
      <c r="M343" s="160">
        <f t="shared" si="112"/>
        <v>0</v>
      </c>
      <c r="N343" s="160">
        <f t="shared" si="113"/>
        <v>0</v>
      </c>
      <c r="O343" s="161">
        <f t="shared" si="114"/>
        <v>0</v>
      </c>
      <c r="P343" s="718"/>
      <c r="Q343" s="716"/>
      <c r="R343" s="209"/>
      <c r="S343" s="210"/>
      <c r="T343" s="209"/>
    </row>
    <row r="344" spans="1:20" s="157" customFormat="1" x14ac:dyDescent="0.3">
      <c r="A344" s="158"/>
      <c r="B344" s="159"/>
      <c r="C344" s="159" t="s">
        <v>42</v>
      </c>
      <c r="D344" s="162"/>
      <c r="E344" s="345"/>
      <c r="F344" s="345"/>
      <c r="G344" s="212"/>
      <c r="H344" s="160">
        <f t="shared" si="109"/>
        <v>0</v>
      </c>
      <c r="I344" s="160"/>
      <c r="J344" s="160">
        <f>((D344*E344*F344)*B344)+I344</f>
        <v>0</v>
      </c>
      <c r="K344" s="160">
        <f t="shared" si="111"/>
        <v>0</v>
      </c>
      <c r="L344" s="160"/>
      <c r="M344" s="160">
        <f t="shared" si="112"/>
        <v>0</v>
      </c>
      <c r="N344" s="160">
        <f t="shared" si="113"/>
        <v>0</v>
      </c>
      <c r="O344" s="161">
        <f t="shared" si="114"/>
        <v>0</v>
      </c>
      <c r="P344" s="718"/>
      <c r="Q344" s="716"/>
      <c r="R344" s="209"/>
      <c r="S344" s="210"/>
      <c r="T344" s="209"/>
    </row>
    <row r="345" spans="1:20" s="157" customFormat="1" x14ac:dyDescent="0.3">
      <c r="A345" s="158"/>
      <c r="B345" s="159"/>
      <c r="C345" s="159" t="s">
        <v>42</v>
      </c>
      <c r="D345" s="162"/>
      <c r="E345" s="345"/>
      <c r="F345" s="345"/>
      <c r="G345" s="160"/>
      <c r="H345" s="160">
        <f t="shared" si="109"/>
        <v>0</v>
      </c>
      <c r="I345" s="160"/>
      <c r="J345" s="160">
        <f t="shared" ref="J345:J346" si="170">((D345*E345*F345)*B345)+I345</f>
        <v>0</v>
      </c>
      <c r="K345" s="160">
        <f t="shared" si="111"/>
        <v>0</v>
      </c>
      <c r="L345" s="160"/>
      <c r="M345" s="160">
        <f t="shared" si="112"/>
        <v>0</v>
      </c>
      <c r="N345" s="160">
        <f t="shared" si="113"/>
        <v>0</v>
      </c>
      <c r="O345" s="161">
        <f t="shared" si="114"/>
        <v>0</v>
      </c>
      <c r="P345" s="718"/>
      <c r="Q345" s="716"/>
      <c r="R345" s="209"/>
      <c r="S345" s="210"/>
      <c r="T345" s="209"/>
    </row>
    <row r="346" spans="1:20" s="157" customFormat="1" x14ac:dyDescent="0.3">
      <c r="A346" s="158"/>
      <c r="B346" s="159"/>
      <c r="C346" s="159" t="s">
        <v>42</v>
      </c>
      <c r="D346" s="162"/>
      <c r="E346" s="345"/>
      <c r="F346" s="345"/>
      <c r="G346" s="160"/>
      <c r="H346" s="160">
        <f t="shared" si="109"/>
        <v>0</v>
      </c>
      <c r="I346" s="160"/>
      <c r="J346" s="160">
        <f t="shared" si="170"/>
        <v>0</v>
      </c>
      <c r="K346" s="160">
        <f t="shared" si="111"/>
        <v>0</v>
      </c>
      <c r="L346" s="160"/>
      <c r="M346" s="160">
        <f t="shared" si="112"/>
        <v>0</v>
      </c>
      <c r="N346" s="160">
        <f t="shared" si="113"/>
        <v>0</v>
      </c>
      <c r="O346" s="161">
        <f t="shared" si="114"/>
        <v>0</v>
      </c>
      <c r="P346" s="718"/>
      <c r="Q346" s="716"/>
      <c r="R346" s="209"/>
      <c r="S346" s="210"/>
      <c r="T346" s="209"/>
    </row>
    <row r="347" spans="1:20" s="157" customFormat="1" x14ac:dyDescent="0.3">
      <c r="A347" s="158"/>
      <c r="B347" s="159"/>
      <c r="C347" s="159" t="s">
        <v>42</v>
      </c>
      <c r="D347" s="162"/>
      <c r="E347" s="345"/>
      <c r="F347" s="345"/>
      <c r="G347" s="160"/>
      <c r="H347" s="160">
        <f t="shared" si="109"/>
        <v>0</v>
      </c>
      <c r="I347" s="212"/>
      <c r="J347" s="160">
        <f>((D347*E347*F347)*B347)+I347</f>
        <v>0</v>
      </c>
      <c r="K347" s="160">
        <f t="shared" si="111"/>
        <v>0</v>
      </c>
      <c r="L347" s="160"/>
      <c r="M347" s="160">
        <f t="shared" si="112"/>
        <v>0</v>
      </c>
      <c r="N347" s="160">
        <f t="shared" si="113"/>
        <v>0</v>
      </c>
      <c r="O347" s="161">
        <f t="shared" si="114"/>
        <v>0</v>
      </c>
      <c r="P347" s="718"/>
      <c r="Q347" s="716"/>
      <c r="R347" s="209"/>
      <c r="S347" s="210"/>
      <c r="T347" s="209"/>
    </row>
    <row r="348" spans="1:20" s="157" customFormat="1" x14ac:dyDescent="0.3">
      <c r="A348" s="158"/>
      <c r="B348" s="159"/>
      <c r="C348" s="159" t="s">
        <v>42</v>
      </c>
      <c r="D348" s="162"/>
      <c r="E348" s="345"/>
      <c r="F348" s="345"/>
      <c r="G348" s="212"/>
      <c r="H348" s="160">
        <f t="shared" si="109"/>
        <v>0</v>
      </c>
      <c r="I348" s="160"/>
      <c r="J348" s="160">
        <f>((D348*E348*F348)*B348)+I348</f>
        <v>0</v>
      </c>
      <c r="K348" s="160">
        <f t="shared" si="111"/>
        <v>0</v>
      </c>
      <c r="L348" s="160"/>
      <c r="M348" s="160">
        <f t="shared" si="112"/>
        <v>0</v>
      </c>
      <c r="N348" s="160">
        <f t="shared" si="113"/>
        <v>0</v>
      </c>
      <c r="O348" s="161">
        <f t="shared" si="114"/>
        <v>0</v>
      </c>
      <c r="P348" s="718"/>
      <c r="Q348" s="716"/>
      <c r="R348" s="209"/>
      <c r="S348" s="210"/>
      <c r="T348" s="209"/>
    </row>
    <row r="349" spans="1:20" s="157" customFormat="1" x14ac:dyDescent="0.3">
      <c r="A349" s="158"/>
      <c r="B349" s="159"/>
      <c r="C349" s="159" t="s">
        <v>42</v>
      </c>
      <c r="D349" s="162"/>
      <c r="E349" s="345"/>
      <c r="F349" s="345"/>
      <c r="G349" s="160"/>
      <c r="H349" s="160">
        <f t="shared" si="109"/>
        <v>0</v>
      </c>
      <c r="I349" s="160"/>
      <c r="J349" s="160">
        <f t="shared" ref="J349" si="171">((D349*E349*F349)*B349)+I349</f>
        <v>0</v>
      </c>
      <c r="K349" s="160">
        <f t="shared" si="111"/>
        <v>0</v>
      </c>
      <c r="L349" s="160"/>
      <c r="M349" s="160">
        <f t="shared" si="112"/>
        <v>0</v>
      </c>
      <c r="N349" s="160">
        <f t="shared" si="113"/>
        <v>0</v>
      </c>
      <c r="O349" s="161">
        <f t="shared" si="114"/>
        <v>0</v>
      </c>
      <c r="P349" s="718"/>
      <c r="Q349" s="716"/>
      <c r="R349" s="209"/>
      <c r="S349" s="210"/>
      <c r="T349" s="209"/>
    </row>
    <row r="350" spans="1:20" s="157" customFormat="1" x14ac:dyDescent="0.3">
      <c r="A350" s="158"/>
      <c r="B350" s="159"/>
      <c r="C350" s="159" t="s">
        <v>42</v>
      </c>
      <c r="D350" s="162"/>
      <c r="E350" s="345"/>
      <c r="F350" s="345"/>
      <c r="G350" s="160"/>
      <c r="H350" s="160">
        <f t="shared" si="109"/>
        <v>0</v>
      </c>
      <c r="I350" s="212"/>
      <c r="J350" s="160">
        <f>((D350*E350*F350)*B350)+I350</f>
        <v>0</v>
      </c>
      <c r="K350" s="160">
        <f t="shared" si="111"/>
        <v>0</v>
      </c>
      <c r="L350" s="160"/>
      <c r="M350" s="160">
        <f t="shared" si="112"/>
        <v>0</v>
      </c>
      <c r="N350" s="160">
        <f t="shared" si="113"/>
        <v>0</v>
      </c>
      <c r="O350" s="161">
        <f t="shared" si="114"/>
        <v>0</v>
      </c>
      <c r="P350" s="718"/>
      <c r="Q350" s="716"/>
      <c r="R350" s="209"/>
      <c r="S350" s="210"/>
      <c r="T350" s="209"/>
    </row>
    <row r="351" spans="1:20" s="157" customFormat="1" x14ac:dyDescent="0.3">
      <c r="A351" s="158"/>
      <c r="B351" s="159"/>
      <c r="C351" s="159" t="s">
        <v>42</v>
      </c>
      <c r="D351" s="162"/>
      <c r="E351" s="345"/>
      <c r="F351" s="345"/>
      <c r="G351" s="160"/>
      <c r="H351" s="160">
        <f t="shared" si="83"/>
        <v>0</v>
      </c>
      <c r="I351" s="160"/>
      <c r="J351" s="160">
        <f t="shared" ref="J351" si="172">((D351*E351*F351)*B351)+I351</f>
        <v>0</v>
      </c>
      <c r="K351" s="160">
        <f t="shared" si="84"/>
        <v>0</v>
      </c>
      <c r="L351" s="160"/>
      <c r="M351" s="160">
        <f t="shared" si="85"/>
        <v>0</v>
      </c>
      <c r="N351" s="160">
        <f t="shared" si="86"/>
        <v>0</v>
      </c>
      <c r="O351" s="161">
        <f t="shared" si="87"/>
        <v>0</v>
      </c>
      <c r="P351" s="718"/>
      <c r="Q351" s="716"/>
      <c r="R351" s="209"/>
      <c r="S351" s="210"/>
      <c r="T351" s="209"/>
    </row>
    <row r="352" spans="1:20" s="157" customFormat="1" x14ac:dyDescent="0.3">
      <c r="A352" s="158"/>
      <c r="B352" s="159"/>
      <c r="C352" s="159" t="s">
        <v>42</v>
      </c>
      <c r="D352" s="162"/>
      <c r="E352" s="345"/>
      <c r="F352" s="345"/>
      <c r="G352" s="160"/>
      <c r="H352" s="160">
        <f t="shared" si="83"/>
        <v>0</v>
      </c>
      <c r="I352" s="212"/>
      <c r="J352" s="160">
        <f>((D352*E352*F352)*B352)+I352</f>
        <v>0</v>
      </c>
      <c r="K352" s="160">
        <f t="shared" si="84"/>
        <v>0</v>
      </c>
      <c r="L352" s="160"/>
      <c r="M352" s="160">
        <f t="shared" si="85"/>
        <v>0</v>
      </c>
      <c r="N352" s="160">
        <f t="shared" si="86"/>
        <v>0</v>
      </c>
      <c r="O352" s="161">
        <f t="shared" si="87"/>
        <v>0</v>
      </c>
      <c r="P352" s="718"/>
      <c r="Q352" s="716"/>
      <c r="R352" s="209"/>
      <c r="S352" s="210"/>
      <c r="T352" s="209"/>
    </row>
    <row r="353" spans="1:20" s="157" customFormat="1" x14ac:dyDescent="0.3">
      <c r="A353" s="158"/>
      <c r="B353" s="159"/>
      <c r="C353" s="159" t="s">
        <v>42</v>
      </c>
      <c r="D353" s="162"/>
      <c r="E353" s="345"/>
      <c r="F353" s="345"/>
      <c r="G353" s="212"/>
      <c r="H353" s="160">
        <f t="shared" si="83"/>
        <v>0</v>
      </c>
      <c r="I353" s="160"/>
      <c r="J353" s="160">
        <f>((D353*E353*F353)*B353)+I353</f>
        <v>0</v>
      </c>
      <c r="K353" s="160">
        <f t="shared" si="84"/>
        <v>0</v>
      </c>
      <c r="L353" s="160"/>
      <c r="M353" s="160">
        <f t="shared" si="85"/>
        <v>0</v>
      </c>
      <c r="N353" s="160">
        <f t="shared" si="86"/>
        <v>0</v>
      </c>
      <c r="O353" s="161">
        <f t="shared" si="87"/>
        <v>0</v>
      </c>
      <c r="P353" s="718"/>
      <c r="Q353" s="716"/>
      <c r="R353" s="209"/>
      <c r="S353" s="210"/>
      <c r="T353" s="209"/>
    </row>
    <row r="354" spans="1:20" s="157" customFormat="1" x14ac:dyDescent="0.3">
      <c r="A354" s="158"/>
      <c r="B354" s="159"/>
      <c r="C354" s="159" t="s">
        <v>42</v>
      </c>
      <c r="D354" s="162"/>
      <c r="E354" s="345"/>
      <c r="F354" s="345"/>
      <c r="G354" s="212"/>
      <c r="H354" s="160">
        <f t="shared" si="58"/>
        <v>0</v>
      </c>
      <c r="I354" s="160"/>
      <c r="J354" s="160">
        <f>((D354*E354*F354)*B354)+I354</f>
        <v>0</v>
      </c>
      <c r="K354" s="160">
        <f t="shared" si="59"/>
        <v>0</v>
      </c>
      <c r="L354" s="160"/>
      <c r="M354" s="160">
        <f t="shared" si="60"/>
        <v>0</v>
      </c>
      <c r="N354" s="160">
        <f t="shared" si="61"/>
        <v>0</v>
      </c>
      <c r="O354" s="161">
        <f t="shared" si="62"/>
        <v>0</v>
      </c>
      <c r="P354" s="718"/>
      <c r="Q354" s="716"/>
      <c r="R354" s="209"/>
      <c r="S354" s="210"/>
      <c r="T354" s="209"/>
    </row>
    <row r="355" spans="1:20" s="157" customFormat="1" x14ac:dyDescent="0.3">
      <c r="A355" s="158"/>
      <c r="B355" s="159"/>
      <c r="C355" s="159" t="s">
        <v>42</v>
      </c>
      <c r="D355" s="162"/>
      <c r="E355" s="345"/>
      <c r="F355" s="345"/>
      <c r="G355" s="160"/>
      <c r="H355" s="160">
        <f t="shared" si="58"/>
        <v>0</v>
      </c>
      <c r="I355" s="160"/>
      <c r="J355" s="160">
        <f t="shared" ref="J355" si="173">((D355*E355*F355)*B355)+I355</f>
        <v>0</v>
      </c>
      <c r="K355" s="160">
        <f t="shared" si="59"/>
        <v>0</v>
      </c>
      <c r="L355" s="160"/>
      <c r="M355" s="160">
        <f t="shared" si="60"/>
        <v>0</v>
      </c>
      <c r="N355" s="160">
        <f t="shared" si="61"/>
        <v>0</v>
      </c>
      <c r="O355" s="161">
        <f t="shared" si="62"/>
        <v>0</v>
      </c>
      <c r="P355" s="718"/>
      <c r="Q355" s="716"/>
      <c r="R355" s="209"/>
      <c r="S355" s="210"/>
      <c r="T355" s="209"/>
    </row>
    <row r="356" spans="1:20" s="157" customFormat="1" x14ac:dyDescent="0.3">
      <c r="A356" s="158"/>
      <c r="B356" s="159"/>
      <c r="C356" s="159" t="s">
        <v>42</v>
      </c>
      <c r="D356" s="162"/>
      <c r="E356" s="345"/>
      <c r="F356" s="345"/>
      <c r="G356" s="160"/>
      <c r="H356" s="160">
        <f t="shared" si="58"/>
        <v>0</v>
      </c>
      <c r="I356" s="212"/>
      <c r="J356" s="160">
        <f>((D356*E356*F356)*B356)+I356</f>
        <v>0</v>
      </c>
      <c r="K356" s="160">
        <f t="shared" si="59"/>
        <v>0</v>
      </c>
      <c r="L356" s="160"/>
      <c r="M356" s="160">
        <f t="shared" si="60"/>
        <v>0</v>
      </c>
      <c r="N356" s="160">
        <f t="shared" si="61"/>
        <v>0</v>
      </c>
      <c r="O356" s="161">
        <f t="shared" si="62"/>
        <v>0</v>
      </c>
      <c r="P356" s="718"/>
      <c r="Q356" s="716"/>
      <c r="R356" s="209"/>
      <c r="S356" s="210"/>
      <c r="T356" s="209"/>
    </row>
    <row r="357" spans="1:20" s="157" customFormat="1" x14ac:dyDescent="0.3">
      <c r="A357" s="158"/>
      <c r="B357" s="159"/>
      <c r="C357" s="159" t="s">
        <v>42</v>
      </c>
      <c r="D357" s="162"/>
      <c r="E357" s="345"/>
      <c r="F357" s="345"/>
      <c r="G357" s="212"/>
      <c r="H357" s="160">
        <f t="shared" si="58"/>
        <v>0</v>
      </c>
      <c r="I357" s="160"/>
      <c r="J357" s="160">
        <f>((D357*E357*F357)*B357)+I357</f>
        <v>0</v>
      </c>
      <c r="K357" s="160">
        <f t="shared" si="59"/>
        <v>0</v>
      </c>
      <c r="L357" s="160"/>
      <c r="M357" s="160">
        <f t="shared" si="60"/>
        <v>0</v>
      </c>
      <c r="N357" s="160">
        <f t="shared" si="61"/>
        <v>0</v>
      </c>
      <c r="O357" s="161">
        <f t="shared" si="62"/>
        <v>0</v>
      </c>
      <c r="P357" s="718"/>
      <c r="Q357" s="716"/>
      <c r="R357" s="209"/>
      <c r="S357" s="210"/>
      <c r="T357" s="209"/>
    </row>
    <row r="358" spans="1:20" s="157" customFormat="1" x14ac:dyDescent="0.3">
      <c r="A358" s="158"/>
      <c r="B358" s="159"/>
      <c r="C358" s="159" t="s">
        <v>42</v>
      </c>
      <c r="D358" s="162"/>
      <c r="E358" s="345"/>
      <c r="F358" s="345"/>
      <c r="G358" s="160"/>
      <c r="H358" s="160">
        <f t="shared" si="58"/>
        <v>0</v>
      </c>
      <c r="I358" s="160"/>
      <c r="J358" s="160">
        <f t="shared" ref="J358:J359" si="174">((D358*E358*F358)*B358)+I358</f>
        <v>0</v>
      </c>
      <c r="K358" s="160">
        <f t="shared" si="59"/>
        <v>0</v>
      </c>
      <c r="L358" s="160"/>
      <c r="M358" s="160">
        <f t="shared" si="60"/>
        <v>0</v>
      </c>
      <c r="N358" s="160">
        <f t="shared" si="61"/>
        <v>0</v>
      </c>
      <c r="O358" s="161">
        <f t="shared" si="62"/>
        <v>0</v>
      </c>
      <c r="P358" s="718"/>
      <c r="Q358" s="716"/>
      <c r="R358" s="209"/>
      <c r="S358" s="210"/>
      <c r="T358" s="209"/>
    </row>
    <row r="359" spans="1:20" s="157" customFormat="1" x14ac:dyDescent="0.3">
      <c r="A359" s="158"/>
      <c r="B359" s="159"/>
      <c r="C359" s="159" t="s">
        <v>42</v>
      </c>
      <c r="D359" s="162"/>
      <c r="E359" s="345"/>
      <c r="F359" s="345"/>
      <c r="G359" s="160"/>
      <c r="H359" s="160">
        <f t="shared" si="58"/>
        <v>0</v>
      </c>
      <c r="I359" s="160"/>
      <c r="J359" s="160">
        <f t="shared" si="174"/>
        <v>0</v>
      </c>
      <c r="K359" s="160">
        <f t="shared" si="59"/>
        <v>0</v>
      </c>
      <c r="L359" s="160"/>
      <c r="M359" s="160">
        <f t="shared" si="60"/>
        <v>0</v>
      </c>
      <c r="N359" s="160">
        <f t="shared" si="61"/>
        <v>0</v>
      </c>
      <c r="O359" s="161">
        <f t="shared" si="62"/>
        <v>0</v>
      </c>
      <c r="P359" s="718"/>
      <c r="Q359" s="716"/>
      <c r="R359" s="209"/>
      <c r="S359" s="210"/>
      <c r="T359" s="209"/>
    </row>
    <row r="360" spans="1:20" s="157" customFormat="1" x14ac:dyDescent="0.3">
      <c r="A360" s="158"/>
      <c r="B360" s="159"/>
      <c r="C360" s="159" t="s">
        <v>42</v>
      </c>
      <c r="D360" s="162"/>
      <c r="E360" s="345"/>
      <c r="F360" s="345"/>
      <c r="G360" s="160"/>
      <c r="H360" s="160">
        <f t="shared" si="58"/>
        <v>0</v>
      </c>
      <c r="I360" s="212"/>
      <c r="J360" s="160">
        <f>((D360*E360*F360)*B360)+I360</f>
        <v>0</v>
      </c>
      <c r="K360" s="160">
        <f t="shared" si="59"/>
        <v>0</v>
      </c>
      <c r="L360" s="160"/>
      <c r="M360" s="160">
        <f t="shared" si="60"/>
        <v>0</v>
      </c>
      <c r="N360" s="160">
        <f t="shared" si="61"/>
        <v>0</v>
      </c>
      <c r="O360" s="161">
        <f t="shared" si="62"/>
        <v>0</v>
      </c>
      <c r="P360" s="718"/>
      <c r="Q360" s="716"/>
      <c r="R360" s="209"/>
      <c r="S360" s="210"/>
      <c r="T360" s="209"/>
    </row>
    <row r="361" spans="1:20" s="157" customFormat="1" x14ac:dyDescent="0.3">
      <c r="A361" s="158"/>
      <c r="B361" s="159"/>
      <c r="C361" s="159" t="s">
        <v>42</v>
      </c>
      <c r="D361" s="162"/>
      <c r="E361" s="345"/>
      <c r="F361" s="345"/>
      <c r="G361" s="212"/>
      <c r="H361" s="160">
        <f t="shared" si="58"/>
        <v>0</v>
      </c>
      <c r="I361" s="160"/>
      <c r="J361" s="160">
        <f>((D361*E361*F361)*B361)+I361</f>
        <v>0</v>
      </c>
      <c r="K361" s="160">
        <f t="shared" si="59"/>
        <v>0</v>
      </c>
      <c r="L361" s="160"/>
      <c r="M361" s="160">
        <f t="shared" si="60"/>
        <v>0</v>
      </c>
      <c r="N361" s="160">
        <f t="shared" si="61"/>
        <v>0</v>
      </c>
      <c r="O361" s="161">
        <f t="shared" si="62"/>
        <v>0</v>
      </c>
      <c r="P361" s="718"/>
      <c r="Q361" s="716"/>
      <c r="R361" s="209"/>
      <c r="S361" s="210"/>
      <c r="T361" s="209"/>
    </row>
    <row r="362" spans="1:20" s="157" customFormat="1" x14ac:dyDescent="0.3">
      <c r="A362" s="158"/>
      <c r="B362" s="159"/>
      <c r="C362" s="159" t="s">
        <v>42</v>
      </c>
      <c r="D362" s="162"/>
      <c r="E362" s="345"/>
      <c r="F362" s="345"/>
      <c r="G362" s="160"/>
      <c r="H362" s="160">
        <f t="shared" si="58"/>
        <v>0</v>
      </c>
      <c r="I362" s="160"/>
      <c r="J362" s="160">
        <f t="shared" ref="J362" si="175">((D362*E362*F362)*B362)+I362</f>
        <v>0</v>
      </c>
      <c r="K362" s="160">
        <f t="shared" si="59"/>
        <v>0</v>
      </c>
      <c r="L362" s="160"/>
      <c r="M362" s="160">
        <f t="shared" si="60"/>
        <v>0</v>
      </c>
      <c r="N362" s="160">
        <f t="shared" si="61"/>
        <v>0</v>
      </c>
      <c r="O362" s="161">
        <f t="shared" si="62"/>
        <v>0</v>
      </c>
      <c r="P362" s="718"/>
      <c r="Q362" s="716"/>
      <c r="R362" s="209"/>
      <c r="S362" s="210"/>
      <c r="T362" s="209"/>
    </row>
    <row r="363" spans="1:20" s="157" customFormat="1" x14ac:dyDescent="0.3">
      <c r="A363" s="158"/>
      <c r="B363" s="159"/>
      <c r="C363" s="159" t="s">
        <v>42</v>
      </c>
      <c r="D363" s="162"/>
      <c r="E363" s="345"/>
      <c r="F363" s="345"/>
      <c r="G363" s="160"/>
      <c r="H363" s="160">
        <f t="shared" si="58"/>
        <v>0</v>
      </c>
      <c r="I363" s="212"/>
      <c r="J363" s="160">
        <f>((D363*E363*F363)*B363)+I363</f>
        <v>0</v>
      </c>
      <c r="K363" s="160">
        <f t="shared" si="59"/>
        <v>0</v>
      </c>
      <c r="L363" s="160"/>
      <c r="M363" s="160">
        <f t="shared" si="60"/>
        <v>0</v>
      </c>
      <c r="N363" s="160">
        <f t="shared" si="61"/>
        <v>0</v>
      </c>
      <c r="O363" s="161">
        <f t="shared" si="62"/>
        <v>0</v>
      </c>
      <c r="P363" s="718"/>
      <c r="Q363" s="716"/>
      <c r="R363" s="209"/>
      <c r="S363" s="210"/>
      <c r="T363" s="209"/>
    </row>
    <row r="364" spans="1:20" s="157" customFormat="1" x14ac:dyDescent="0.3">
      <c r="A364" s="158"/>
      <c r="B364" s="159"/>
      <c r="C364" s="159" t="s">
        <v>42</v>
      </c>
      <c r="D364" s="162"/>
      <c r="E364" s="345"/>
      <c r="F364" s="345"/>
      <c r="G364" s="212"/>
      <c r="H364" s="160">
        <f t="shared" si="58"/>
        <v>0</v>
      </c>
      <c r="I364" s="160"/>
      <c r="J364" s="160">
        <f>((D364*E364*F364)*B364)+I364</f>
        <v>0</v>
      </c>
      <c r="K364" s="160">
        <f t="shared" si="59"/>
        <v>0</v>
      </c>
      <c r="L364" s="160"/>
      <c r="M364" s="160">
        <f t="shared" si="60"/>
        <v>0</v>
      </c>
      <c r="N364" s="160">
        <f t="shared" si="61"/>
        <v>0</v>
      </c>
      <c r="O364" s="161">
        <f t="shared" si="62"/>
        <v>0</v>
      </c>
      <c r="P364" s="718"/>
      <c r="Q364" s="716"/>
      <c r="R364" s="209"/>
      <c r="S364" s="210"/>
      <c r="T364" s="209"/>
    </row>
    <row r="365" spans="1:20" s="157" customFormat="1" x14ac:dyDescent="0.3">
      <c r="A365" s="158"/>
      <c r="B365" s="159"/>
      <c r="C365" s="159" t="s">
        <v>42</v>
      </c>
      <c r="D365" s="162"/>
      <c r="E365" s="345"/>
      <c r="F365" s="345"/>
      <c r="G365" s="212"/>
      <c r="H365" s="160">
        <f t="shared" si="16"/>
        <v>0</v>
      </c>
      <c r="I365" s="160"/>
      <c r="J365" s="160">
        <f>((D365*E365*F365)*B365)+I365</f>
        <v>0</v>
      </c>
      <c r="K365" s="160">
        <f t="shared" si="18"/>
        <v>0</v>
      </c>
      <c r="L365" s="160"/>
      <c r="M365" s="160">
        <f t="shared" si="19"/>
        <v>0</v>
      </c>
      <c r="N365" s="160">
        <f t="shared" si="20"/>
        <v>0</v>
      </c>
      <c r="O365" s="161">
        <f t="shared" si="21"/>
        <v>0</v>
      </c>
      <c r="P365" s="718"/>
      <c r="Q365" s="716"/>
      <c r="R365" s="209"/>
      <c r="S365" s="210"/>
      <c r="T365" s="209"/>
    </row>
    <row r="366" spans="1:20" s="157" customFormat="1" x14ac:dyDescent="0.3">
      <c r="A366" s="158"/>
      <c r="B366" s="159"/>
      <c r="C366" s="159" t="s">
        <v>42</v>
      </c>
      <c r="D366" s="162"/>
      <c r="E366" s="345"/>
      <c r="F366" s="345"/>
      <c r="G366" s="160"/>
      <c r="H366" s="160">
        <f t="shared" si="16"/>
        <v>0</v>
      </c>
      <c r="I366" s="160"/>
      <c r="J366" s="160">
        <f t="shared" ref="J366" si="176">((D366*E366*F366)*B366)+I366</f>
        <v>0</v>
      </c>
      <c r="K366" s="160">
        <f t="shared" si="18"/>
        <v>0</v>
      </c>
      <c r="L366" s="160"/>
      <c r="M366" s="160">
        <f t="shared" si="19"/>
        <v>0</v>
      </c>
      <c r="N366" s="160">
        <f t="shared" ref="N366:N369" si="177">M366-(L366*E366*(F366+0.05))</f>
        <v>0</v>
      </c>
      <c r="O366" s="161">
        <f t="shared" si="21"/>
        <v>0</v>
      </c>
      <c r="P366" s="718"/>
      <c r="Q366" s="716"/>
      <c r="R366" s="209"/>
      <c r="S366" s="210"/>
      <c r="T366" s="209"/>
    </row>
    <row r="367" spans="1:20" s="157" customFormat="1" x14ac:dyDescent="0.3">
      <c r="A367" s="158"/>
      <c r="B367" s="159"/>
      <c r="C367" s="159" t="s">
        <v>42</v>
      </c>
      <c r="D367" s="162"/>
      <c r="E367" s="345"/>
      <c r="F367" s="345"/>
      <c r="G367" s="160"/>
      <c r="H367" s="160">
        <f t="shared" si="16"/>
        <v>0</v>
      </c>
      <c r="I367" s="212"/>
      <c r="J367" s="160">
        <f>((D367*E367*F367)*B367)+I367</f>
        <v>0</v>
      </c>
      <c r="K367" s="160">
        <f t="shared" si="18"/>
        <v>0</v>
      </c>
      <c r="L367" s="160"/>
      <c r="M367" s="160">
        <f t="shared" si="19"/>
        <v>0</v>
      </c>
      <c r="N367" s="160">
        <f t="shared" si="177"/>
        <v>0</v>
      </c>
      <c r="O367" s="161">
        <f t="shared" si="21"/>
        <v>0</v>
      </c>
      <c r="P367" s="718"/>
      <c r="Q367" s="716"/>
      <c r="R367" s="209"/>
      <c r="S367" s="210"/>
      <c r="T367" s="209"/>
    </row>
    <row r="368" spans="1:20" s="157" customFormat="1" x14ac:dyDescent="0.3">
      <c r="A368" s="158"/>
      <c r="B368" s="159"/>
      <c r="C368" s="159" t="s">
        <v>42</v>
      </c>
      <c r="D368" s="162"/>
      <c r="E368" s="345"/>
      <c r="F368" s="345"/>
      <c r="G368" s="212"/>
      <c r="H368" s="160">
        <f t="shared" si="16"/>
        <v>0</v>
      </c>
      <c r="I368" s="160"/>
      <c r="J368" s="160">
        <f>((D368*E368*F368)*B368)+I368</f>
        <v>0</v>
      </c>
      <c r="K368" s="160">
        <f t="shared" si="18"/>
        <v>0</v>
      </c>
      <c r="L368" s="160"/>
      <c r="M368" s="160">
        <f t="shared" si="19"/>
        <v>0</v>
      </c>
      <c r="N368" s="160">
        <f t="shared" si="177"/>
        <v>0</v>
      </c>
      <c r="O368" s="161">
        <f t="shared" si="21"/>
        <v>0</v>
      </c>
      <c r="P368" s="718"/>
      <c r="Q368" s="716"/>
      <c r="R368" s="209"/>
      <c r="S368" s="210"/>
      <c r="T368" s="209"/>
    </row>
    <row r="369" spans="1:20" s="157" customFormat="1" x14ac:dyDescent="0.3">
      <c r="A369" s="158"/>
      <c r="B369" s="159"/>
      <c r="C369" s="159" t="s">
        <v>42</v>
      </c>
      <c r="D369" s="162"/>
      <c r="E369" s="345"/>
      <c r="F369" s="345"/>
      <c r="G369" s="160"/>
      <c r="H369" s="160">
        <f t="shared" si="16"/>
        <v>0</v>
      </c>
      <c r="I369" s="160"/>
      <c r="J369" s="160">
        <f t="shared" ref="J369" si="178">((D369*E369*F369)*B369)+I369</f>
        <v>0</v>
      </c>
      <c r="K369" s="160">
        <f t="shared" si="18"/>
        <v>0</v>
      </c>
      <c r="L369" s="160"/>
      <c r="M369" s="160">
        <f t="shared" si="19"/>
        <v>0</v>
      </c>
      <c r="N369" s="160">
        <f t="shared" si="177"/>
        <v>0</v>
      </c>
      <c r="O369" s="161">
        <f t="shared" si="21"/>
        <v>0</v>
      </c>
      <c r="P369" s="718"/>
      <c r="Q369" s="716"/>
      <c r="R369" s="209"/>
      <c r="S369" s="210"/>
      <c r="T369" s="209"/>
    </row>
    <row r="370" spans="1:20" s="157" customFormat="1" x14ac:dyDescent="0.3">
      <c r="A370" s="158"/>
      <c r="B370" s="159"/>
      <c r="C370" s="159" t="s">
        <v>42</v>
      </c>
      <c r="D370" s="162"/>
      <c r="E370" s="345"/>
      <c r="F370" s="345"/>
      <c r="G370" s="160"/>
      <c r="H370" s="160">
        <f t="shared" ref="H370:H372" si="179">((2*F370)*D370)+G370</f>
        <v>0</v>
      </c>
      <c r="I370" s="160"/>
      <c r="J370" s="160">
        <f t="shared" ref="J370" si="180">((D370*E370*F370)*B370)+I370</f>
        <v>0</v>
      </c>
      <c r="K370" s="160">
        <f t="shared" ref="K370:K372" si="181">D370*E370*0.05</f>
        <v>0</v>
      </c>
      <c r="L370" s="160"/>
      <c r="M370" s="160">
        <f t="shared" ref="M370:M372" si="182">L370*(E370+0.3)*(F370+0.05)</f>
        <v>0</v>
      </c>
      <c r="N370" s="160">
        <f t="shared" si="20"/>
        <v>0</v>
      </c>
      <c r="O370" s="161">
        <f t="shared" ref="O370:O372" si="183">D370*(E370+(F370*2))</f>
        <v>0</v>
      </c>
      <c r="P370" s="718"/>
      <c r="Q370" s="716"/>
      <c r="R370" s="209"/>
      <c r="S370" s="210"/>
      <c r="T370" s="209"/>
    </row>
    <row r="371" spans="1:20" s="157" customFormat="1" x14ac:dyDescent="0.3">
      <c r="A371" s="158"/>
      <c r="B371" s="159"/>
      <c r="C371" s="159" t="s">
        <v>42</v>
      </c>
      <c r="D371" s="162"/>
      <c r="E371" s="345"/>
      <c r="F371" s="345"/>
      <c r="G371" s="160"/>
      <c r="H371" s="160">
        <f t="shared" si="179"/>
        <v>0</v>
      </c>
      <c r="I371" s="212"/>
      <c r="J371" s="160">
        <f>((D371*E371*F371)*B371)+I371</f>
        <v>0</v>
      </c>
      <c r="K371" s="160">
        <f t="shared" si="181"/>
        <v>0</v>
      </c>
      <c r="L371" s="160"/>
      <c r="M371" s="160">
        <f t="shared" si="182"/>
        <v>0</v>
      </c>
      <c r="N371" s="160">
        <f t="shared" si="20"/>
        <v>0</v>
      </c>
      <c r="O371" s="161">
        <f t="shared" si="183"/>
        <v>0</v>
      </c>
      <c r="P371" s="718"/>
      <c r="Q371" s="716"/>
      <c r="R371" s="209"/>
      <c r="S371" s="210"/>
      <c r="T371" s="209"/>
    </row>
    <row r="372" spans="1:20" s="157" customFormat="1" x14ac:dyDescent="0.3">
      <c r="A372" s="158"/>
      <c r="B372" s="159"/>
      <c r="C372" s="159" t="s">
        <v>42</v>
      </c>
      <c r="D372" s="162"/>
      <c r="E372" s="345"/>
      <c r="F372" s="345"/>
      <c r="G372" s="212"/>
      <c r="H372" s="160">
        <f t="shared" si="179"/>
        <v>0</v>
      </c>
      <c r="I372" s="160"/>
      <c r="J372" s="160">
        <f>((D372*E372*F372)*B372)+I372</f>
        <v>0</v>
      </c>
      <c r="K372" s="160">
        <f t="shared" si="181"/>
        <v>0</v>
      </c>
      <c r="L372" s="160"/>
      <c r="M372" s="160">
        <f t="shared" si="182"/>
        <v>0</v>
      </c>
      <c r="N372" s="160">
        <f t="shared" si="20"/>
        <v>0</v>
      </c>
      <c r="O372" s="161">
        <f t="shared" si="183"/>
        <v>0</v>
      </c>
      <c r="P372" s="718"/>
      <c r="Q372" s="716"/>
      <c r="R372" s="209"/>
      <c r="S372" s="210"/>
      <c r="T372" s="209"/>
    </row>
    <row r="373" spans="1:20" s="157" customFormat="1" x14ac:dyDescent="0.3">
      <c r="A373" s="158"/>
      <c r="B373" s="159"/>
      <c r="C373" s="159" t="s">
        <v>42</v>
      </c>
      <c r="D373" s="162"/>
      <c r="E373" s="345"/>
      <c r="F373" s="345"/>
      <c r="G373" s="160"/>
      <c r="H373" s="160">
        <f t="shared" si="3"/>
        <v>0</v>
      </c>
      <c r="I373" s="160"/>
      <c r="J373" s="160">
        <f t="shared" si="11"/>
        <v>0</v>
      </c>
      <c r="K373" s="160">
        <f t="shared" si="12"/>
        <v>0</v>
      </c>
      <c r="L373" s="160"/>
      <c r="M373" s="160">
        <f t="shared" si="0"/>
        <v>0</v>
      </c>
      <c r="N373" s="160">
        <f t="shared" si="20"/>
        <v>0</v>
      </c>
      <c r="O373" s="161">
        <f t="shared" si="13"/>
        <v>0</v>
      </c>
      <c r="P373" s="718"/>
      <c r="Q373" s="716"/>
      <c r="R373" s="209"/>
      <c r="S373" s="210"/>
      <c r="T373" s="209"/>
    </row>
    <row r="374" spans="1:20" s="157" customFormat="1" x14ac:dyDescent="0.3">
      <c r="A374" s="158"/>
      <c r="B374" s="159"/>
      <c r="C374" s="159" t="s">
        <v>42</v>
      </c>
      <c r="D374" s="162"/>
      <c r="E374" s="345"/>
      <c r="F374" s="345"/>
      <c r="G374" s="160"/>
      <c r="H374" s="160">
        <f t="shared" si="3"/>
        <v>0</v>
      </c>
      <c r="I374" s="212"/>
      <c r="J374" s="160">
        <f>((D374*E374*F374)*B374)+I374</f>
        <v>0</v>
      </c>
      <c r="K374" s="160">
        <f t="shared" si="12"/>
        <v>0</v>
      </c>
      <c r="L374" s="160"/>
      <c r="M374" s="160">
        <f t="shared" si="0"/>
        <v>0</v>
      </c>
      <c r="N374" s="160">
        <f t="shared" si="20"/>
        <v>0</v>
      </c>
      <c r="O374" s="161">
        <f t="shared" si="13"/>
        <v>0</v>
      </c>
      <c r="P374" s="718"/>
      <c r="Q374" s="716"/>
      <c r="R374" s="209"/>
      <c r="S374" s="210"/>
      <c r="T374" s="209"/>
    </row>
    <row r="375" spans="1:20" s="157" customFormat="1" x14ac:dyDescent="0.3">
      <c r="A375" s="158"/>
      <c r="B375" s="159"/>
      <c r="C375" s="159" t="s">
        <v>42</v>
      </c>
      <c r="D375" s="162"/>
      <c r="E375" s="345"/>
      <c r="F375" s="345"/>
      <c r="G375" s="212"/>
      <c r="H375" s="160">
        <f t="shared" si="3"/>
        <v>0</v>
      </c>
      <c r="I375" s="160"/>
      <c r="J375" s="160">
        <f>((D375*E375*F375)*B375)+I375</f>
        <v>0</v>
      </c>
      <c r="K375" s="160">
        <f t="shared" si="12"/>
        <v>0</v>
      </c>
      <c r="L375" s="160"/>
      <c r="M375" s="160">
        <f t="shared" si="0"/>
        <v>0</v>
      </c>
      <c r="N375" s="160">
        <f t="shared" si="20"/>
        <v>0</v>
      </c>
      <c r="O375" s="161">
        <f t="shared" si="13"/>
        <v>0</v>
      </c>
      <c r="P375" s="718"/>
      <c r="Q375" s="716"/>
      <c r="R375" s="209"/>
      <c r="S375" s="210"/>
      <c r="T375" s="209"/>
    </row>
    <row r="376" spans="1:20" s="157" customFormat="1" ht="15" thickBot="1" x14ac:dyDescent="0.35">
      <c r="A376" s="158"/>
      <c r="B376" s="159"/>
      <c r="C376" s="159"/>
      <c r="D376" s="162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1"/>
      <c r="P376" s="189"/>
    </row>
    <row r="377" spans="1:20" ht="18.600000000000001" thickBot="1" x14ac:dyDescent="0.35">
      <c r="A377" s="618"/>
      <c r="B377" s="474">
        <f>SUM(B16:B376)</f>
        <v>306</v>
      </c>
      <c r="C377" s="619"/>
      <c r="D377" s="619"/>
      <c r="E377" s="619"/>
      <c r="F377" s="620"/>
      <c r="G377" s="202"/>
      <c r="H377" s="474">
        <f>SUM(H16:H376)</f>
        <v>1288.8279999999991</v>
      </c>
      <c r="I377" s="474"/>
      <c r="J377" s="474">
        <f>SUM(J16:J376)</f>
        <v>100.76130000000001</v>
      </c>
      <c r="K377" s="474">
        <f>SUM(K16:K376)</f>
        <v>12.565049999999998</v>
      </c>
      <c r="L377" s="474"/>
      <c r="M377" s="474">
        <f>SUM(M16:M376)</f>
        <v>197.77207500000006</v>
      </c>
      <c r="N377" s="474">
        <f>SUM(N16:N376)</f>
        <v>131.51819999999998</v>
      </c>
      <c r="O377" s="474">
        <f>SUM(O16:O376)</f>
        <v>1560.1209999999992</v>
      </c>
      <c r="P377" s="151"/>
    </row>
    <row r="379" spans="1:20" s="62" customFormat="1" ht="15" thickBot="1" x14ac:dyDescent="0.35">
      <c r="A379" s="7" t="s">
        <v>82</v>
      </c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O379" s="6"/>
      <c r="P379" s="1"/>
    </row>
    <row r="380" spans="1:20" s="62" customFormat="1" ht="15" customHeight="1" x14ac:dyDescent="0.3">
      <c r="A380" s="701" t="s">
        <v>1</v>
      </c>
      <c r="B380" s="669" t="s">
        <v>9</v>
      </c>
      <c r="C380" s="669" t="s">
        <v>5</v>
      </c>
      <c r="D380" s="663" t="s">
        <v>6</v>
      </c>
      <c r="E380" s="664"/>
      <c r="F380" s="665"/>
      <c r="G380" s="703" t="s">
        <v>89</v>
      </c>
      <c r="H380" s="669" t="s">
        <v>7</v>
      </c>
      <c r="I380" s="703" t="s">
        <v>90</v>
      </c>
      <c r="J380" s="706" t="s">
        <v>8</v>
      </c>
      <c r="K380" s="671"/>
      <c r="L380" s="311"/>
      <c r="M380" s="671"/>
      <c r="N380" s="671"/>
      <c r="O380" s="671" t="s">
        <v>11</v>
      </c>
      <c r="P380" s="710" t="s">
        <v>13</v>
      </c>
    </row>
    <row r="381" spans="1:20" s="62" customFormat="1" ht="15" thickBot="1" x14ac:dyDescent="0.35">
      <c r="A381" s="702"/>
      <c r="B381" s="670"/>
      <c r="C381" s="670"/>
      <c r="D381" s="119" t="s">
        <v>2</v>
      </c>
      <c r="E381" s="119" t="s">
        <v>3</v>
      </c>
      <c r="F381" s="119" t="s">
        <v>4</v>
      </c>
      <c r="G381" s="704"/>
      <c r="H381" s="670"/>
      <c r="I381" s="704"/>
      <c r="J381" s="707"/>
      <c r="K381" s="672"/>
      <c r="L381" s="312"/>
      <c r="M381" s="672"/>
      <c r="N381" s="672"/>
      <c r="O381" s="672"/>
      <c r="P381" s="711"/>
    </row>
    <row r="382" spans="1:20" s="62" customFormat="1" ht="15" thickBot="1" x14ac:dyDescent="0.35">
      <c r="A382" s="685" t="s">
        <v>195</v>
      </c>
      <c r="B382" s="686"/>
      <c r="C382" s="686"/>
      <c r="D382" s="686"/>
      <c r="E382" s="686"/>
      <c r="F382" s="686"/>
      <c r="G382" s="686"/>
      <c r="H382" s="686"/>
      <c r="I382" s="686"/>
      <c r="J382" s="686"/>
      <c r="K382" s="686"/>
      <c r="L382" s="686"/>
      <c r="M382" s="686"/>
      <c r="N382" s="686"/>
      <c r="O382" s="686"/>
      <c r="P382" s="705"/>
    </row>
    <row r="383" spans="1:20" s="62" customFormat="1" ht="15" customHeight="1" x14ac:dyDescent="0.3">
      <c r="A383" s="244" t="s">
        <v>178</v>
      </c>
      <c r="B383" s="156">
        <v>1</v>
      </c>
      <c r="C383" s="156" t="s">
        <v>50</v>
      </c>
      <c r="D383" s="339">
        <v>8.25</v>
      </c>
      <c r="E383" s="475">
        <v>0.25</v>
      </c>
      <c r="F383" s="475">
        <v>0.5</v>
      </c>
      <c r="G383" s="475">
        <f>(0.25*0.5-0.2*0.5)*2</f>
        <v>4.9999999999999989E-2</v>
      </c>
      <c r="H383" s="475">
        <f>(((2*D383*F383+D383*E383))*B383)+G383</f>
        <v>10.362500000000001</v>
      </c>
      <c r="I383" s="475"/>
      <c r="J383" s="475">
        <f>(D383*E383*F383)*B383+I383</f>
        <v>1.03125</v>
      </c>
      <c r="K383" s="9"/>
      <c r="L383" s="9"/>
      <c r="M383" s="9"/>
      <c r="N383" s="9"/>
      <c r="O383" s="11"/>
      <c r="P383" s="154"/>
      <c r="R383" s="208"/>
    </row>
    <row r="384" spans="1:20" s="62" customFormat="1" x14ac:dyDescent="0.3">
      <c r="A384" s="158" t="s">
        <v>179</v>
      </c>
      <c r="B384" s="159">
        <v>1</v>
      </c>
      <c r="C384" s="159" t="s">
        <v>50</v>
      </c>
      <c r="D384" s="476">
        <v>7.8</v>
      </c>
      <c r="E384" s="477">
        <v>0.2</v>
      </c>
      <c r="F384" s="477">
        <v>0.5</v>
      </c>
      <c r="G384" s="477"/>
      <c r="H384" s="477">
        <f>(((2*D384*F384+D384*E384))*B384)+G384</f>
        <v>9.36</v>
      </c>
      <c r="I384" s="477"/>
      <c r="J384" s="477">
        <f>(D384*E384*F384)*B384+I384</f>
        <v>0.78</v>
      </c>
      <c r="K384" s="10"/>
      <c r="L384" s="10"/>
      <c r="M384" s="10"/>
      <c r="N384" s="10"/>
      <c r="O384" s="71"/>
      <c r="P384" s="155"/>
    </row>
    <row r="385" spans="1:16" s="62" customFormat="1" x14ac:dyDescent="0.3">
      <c r="A385" s="158" t="s">
        <v>180</v>
      </c>
      <c r="B385" s="159">
        <v>1</v>
      </c>
      <c r="C385" s="159" t="s">
        <v>50</v>
      </c>
      <c r="D385" s="476">
        <v>7.8</v>
      </c>
      <c r="E385" s="477">
        <v>0.2</v>
      </c>
      <c r="F385" s="477">
        <v>0.5</v>
      </c>
      <c r="G385" s="477"/>
      <c r="H385" s="477">
        <f t="shared" ref="H385:H760" si="184">(((2*D385*F385+D385*E385))*B385)+G385</f>
        <v>9.36</v>
      </c>
      <c r="I385" s="477"/>
      <c r="J385" s="477">
        <f t="shared" ref="J385:J760" si="185">(D385*E385*F385)*B385+I385</f>
        <v>0.78</v>
      </c>
      <c r="K385" s="10"/>
      <c r="L385" s="10"/>
      <c r="M385" s="10"/>
      <c r="N385" s="10"/>
      <c r="O385" s="71"/>
      <c r="P385" s="155"/>
    </row>
    <row r="386" spans="1:16" s="62" customFormat="1" x14ac:dyDescent="0.3">
      <c r="A386" s="158" t="s">
        <v>181</v>
      </c>
      <c r="B386" s="159">
        <v>1</v>
      </c>
      <c r="C386" s="159" t="s">
        <v>50</v>
      </c>
      <c r="D386" s="476">
        <v>8.25</v>
      </c>
      <c r="E386" s="477">
        <v>0.25</v>
      </c>
      <c r="F386" s="477">
        <v>0.5</v>
      </c>
      <c r="G386" s="477">
        <f>(0.25*0.5-0.2*0.5)*2</f>
        <v>4.9999999999999989E-2</v>
      </c>
      <c r="H386" s="477">
        <f t="shared" si="184"/>
        <v>10.362500000000001</v>
      </c>
      <c r="I386" s="477"/>
      <c r="J386" s="477">
        <f t="shared" si="185"/>
        <v>1.03125</v>
      </c>
      <c r="K386" s="10"/>
      <c r="L386" s="10"/>
      <c r="M386" s="10"/>
      <c r="N386" s="10"/>
      <c r="O386" s="71"/>
      <c r="P386" s="155"/>
    </row>
    <row r="387" spans="1:16" s="62" customFormat="1" x14ac:dyDescent="0.3">
      <c r="A387" s="158" t="s">
        <v>182</v>
      </c>
      <c r="B387" s="159">
        <v>1</v>
      </c>
      <c r="C387" s="159" t="s">
        <v>50</v>
      </c>
      <c r="D387" s="476">
        <v>11.65</v>
      </c>
      <c r="E387" s="477">
        <v>0.2</v>
      </c>
      <c r="F387" s="477">
        <v>0.5</v>
      </c>
      <c r="G387" s="477">
        <f>-0.2*0.5*2</f>
        <v>-0.2</v>
      </c>
      <c r="H387" s="477">
        <f t="shared" si="184"/>
        <v>13.780000000000001</v>
      </c>
      <c r="I387" s="477"/>
      <c r="J387" s="477">
        <f t="shared" si="185"/>
        <v>1.165</v>
      </c>
      <c r="K387" s="10"/>
      <c r="L387" s="10"/>
      <c r="M387" s="10"/>
      <c r="N387" s="10"/>
      <c r="O387" s="71"/>
      <c r="P387" s="155"/>
    </row>
    <row r="388" spans="1:16" s="62" customFormat="1" x14ac:dyDescent="0.3">
      <c r="A388" s="158" t="s">
        <v>183</v>
      </c>
      <c r="B388" s="159">
        <v>1</v>
      </c>
      <c r="C388" s="159" t="s">
        <v>50</v>
      </c>
      <c r="D388" s="476">
        <v>11.65</v>
      </c>
      <c r="E388" s="477">
        <v>0.25</v>
      </c>
      <c r="F388" s="477">
        <v>0.5</v>
      </c>
      <c r="G388" s="477">
        <f>-0.2*0.5*2</f>
        <v>-0.2</v>
      </c>
      <c r="H388" s="477">
        <f t="shared" si="184"/>
        <v>14.362500000000001</v>
      </c>
      <c r="I388" s="477"/>
      <c r="J388" s="477">
        <f t="shared" si="185"/>
        <v>1.45625</v>
      </c>
      <c r="K388" s="10"/>
      <c r="L388" s="10"/>
      <c r="M388" s="10"/>
      <c r="N388" s="10"/>
      <c r="O388" s="71"/>
      <c r="P388" s="155"/>
    </row>
    <row r="389" spans="1:16" s="62" customFormat="1" x14ac:dyDescent="0.3">
      <c r="A389" s="158" t="s">
        <v>374</v>
      </c>
      <c r="B389" s="159">
        <v>4</v>
      </c>
      <c r="C389" s="159" t="s">
        <v>50</v>
      </c>
      <c r="D389" s="476">
        <v>0.25</v>
      </c>
      <c r="E389" s="477">
        <v>0.5</v>
      </c>
      <c r="F389" s="477"/>
      <c r="G389" s="477">
        <f>-D389*E389</f>
        <v>-0.125</v>
      </c>
      <c r="H389" s="477">
        <f>G389*B389</f>
        <v>-0.5</v>
      </c>
      <c r="I389" s="477"/>
      <c r="J389" s="477"/>
      <c r="K389" s="10"/>
      <c r="L389" s="10"/>
      <c r="M389" s="10"/>
      <c r="N389" s="10"/>
      <c r="O389" s="71"/>
      <c r="P389" s="155"/>
    </row>
    <row r="390" spans="1:16" s="62" customFormat="1" x14ac:dyDescent="0.3">
      <c r="A390" s="158" t="s">
        <v>375</v>
      </c>
      <c r="B390" s="159">
        <v>2</v>
      </c>
      <c r="C390" s="159" t="s">
        <v>50</v>
      </c>
      <c r="D390" s="476">
        <v>0.2</v>
      </c>
      <c r="E390" s="477">
        <v>0.4</v>
      </c>
      <c r="F390" s="477"/>
      <c r="G390" s="477">
        <f t="shared" ref="G390:G391" si="186">-D390*E390</f>
        <v>-8.0000000000000016E-2</v>
      </c>
      <c r="H390" s="477">
        <f t="shared" ref="H390:H391" si="187">G390*B390</f>
        <v>-0.16000000000000003</v>
      </c>
      <c r="I390" s="477"/>
      <c r="J390" s="477"/>
      <c r="K390" s="10"/>
      <c r="L390" s="10"/>
      <c r="M390" s="10"/>
      <c r="N390" s="10"/>
      <c r="O390" s="71"/>
      <c r="P390" s="155"/>
    </row>
    <row r="391" spans="1:16" s="62" customFormat="1" x14ac:dyDescent="0.3">
      <c r="A391" s="158" t="s">
        <v>376</v>
      </c>
      <c r="B391" s="159">
        <v>2</v>
      </c>
      <c r="C391" s="159" t="s">
        <v>50</v>
      </c>
      <c r="D391" s="476">
        <v>0.25</v>
      </c>
      <c r="E391" s="477">
        <v>0.4</v>
      </c>
      <c r="F391" s="477"/>
      <c r="G391" s="477">
        <f t="shared" si="186"/>
        <v>-0.1</v>
      </c>
      <c r="H391" s="477">
        <f t="shared" si="187"/>
        <v>-0.2</v>
      </c>
      <c r="I391" s="477"/>
      <c r="J391" s="477"/>
      <c r="K391" s="10"/>
      <c r="L391" s="10"/>
      <c r="M391" s="10"/>
      <c r="N391" s="10"/>
      <c r="O391" s="71"/>
      <c r="P391" s="155"/>
    </row>
    <row r="392" spans="1:16" s="62" customFormat="1" x14ac:dyDescent="0.3">
      <c r="A392" s="158" t="s">
        <v>185</v>
      </c>
      <c r="B392" s="159">
        <v>1</v>
      </c>
      <c r="C392" s="159" t="s">
        <v>184</v>
      </c>
      <c r="D392" s="476">
        <v>8.25</v>
      </c>
      <c r="E392" s="477">
        <v>0.15</v>
      </c>
      <c r="F392" s="477">
        <v>0.15</v>
      </c>
      <c r="G392" s="477">
        <f>-0.15*0.15*2+0.25*0.15*2+0.1*0.15*4</f>
        <v>0.09</v>
      </c>
      <c r="H392" s="477">
        <f>(((2*D392*F392))*B392)+G392</f>
        <v>2.5649999999999999</v>
      </c>
      <c r="I392" s="477">
        <f>0.1*0.15*0.5*2+0.1*0.25*0.15</f>
        <v>1.8749999999999999E-2</v>
      </c>
      <c r="J392" s="477">
        <f t="shared" si="185"/>
        <v>0.204375</v>
      </c>
      <c r="K392" s="10"/>
      <c r="L392" s="10"/>
      <c r="M392" s="10"/>
      <c r="N392" s="10"/>
      <c r="O392" s="71"/>
      <c r="P392" s="155"/>
    </row>
    <row r="393" spans="1:16" s="62" customFormat="1" x14ac:dyDescent="0.3">
      <c r="A393" s="158" t="s">
        <v>186</v>
      </c>
      <c r="B393" s="159">
        <v>1</v>
      </c>
      <c r="C393" s="159" t="s">
        <v>184</v>
      </c>
      <c r="D393" s="476">
        <v>8.25</v>
      </c>
      <c r="E393" s="477">
        <v>0.15</v>
      </c>
      <c r="F393" s="477">
        <v>0.15</v>
      </c>
      <c r="G393" s="477">
        <f>-0.15*0.15*2+0.25*0.15*2+0.1*0.15*4</f>
        <v>0.09</v>
      </c>
      <c r="H393" s="477">
        <f t="shared" ref="H393:H395" si="188">(((2*D393*F393))*B393)+G393</f>
        <v>2.5649999999999999</v>
      </c>
      <c r="I393" s="477">
        <f>0.1*0.15*0.5*2+0.1*0.25*0.15</f>
        <v>1.8749999999999999E-2</v>
      </c>
      <c r="J393" s="477">
        <f t="shared" si="185"/>
        <v>0.204375</v>
      </c>
      <c r="K393" s="10"/>
      <c r="L393" s="10"/>
      <c r="M393" s="10"/>
      <c r="N393" s="10"/>
      <c r="O393" s="71"/>
      <c r="P393" s="155"/>
    </row>
    <row r="394" spans="1:16" s="62" customFormat="1" x14ac:dyDescent="0.3">
      <c r="A394" s="158" t="s">
        <v>187</v>
      </c>
      <c r="B394" s="159">
        <v>1</v>
      </c>
      <c r="C394" s="159" t="s">
        <v>184</v>
      </c>
      <c r="D394" s="476">
        <v>11.65</v>
      </c>
      <c r="E394" s="477">
        <v>0.15</v>
      </c>
      <c r="F394" s="477">
        <v>0.15</v>
      </c>
      <c r="G394" s="477">
        <f>0.05*0.15*4</f>
        <v>0.03</v>
      </c>
      <c r="H394" s="477">
        <f t="shared" si="188"/>
        <v>3.5249999999999999</v>
      </c>
      <c r="I394" s="477">
        <f>0.05*0.4*0.15*2</f>
        <v>6.000000000000001E-3</v>
      </c>
      <c r="J394" s="477">
        <f t="shared" si="185"/>
        <v>0.268125</v>
      </c>
      <c r="K394" s="10"/>
      <c r="L394" s="10"/>
      <c r="M394" s="10"/>
      <c r="N394" s="10"/>
      <c r="O394" s="71"/>
      <c r="P394" s="155"/>
    </row>
    <row r="395" spans="1:16" s="62" customFormat="1" ht="15" thickBot="1" x14ac:dyDescent="0.35">
      <c r="A395" s="158" t="s">
        <v>188</v>
      </c>
      <c r="B395" s="159">
        <v>1</v>
      </c>
      <c r="C395" s="159" t="s">
        <v>184</v>
      </c>
      <c r="D395" s="476">
        <v>11.65</v>
      </c>
      <c r="E395" s="477">
        <v>0.15</v>
      </c>
      <c r="F395" s="477">
        <v>0.15</v>
      </c>
      <c r="G395" s="477">
        <f>0.05*0.15*4</f>
        <v>0.03</v>
      </c>
      <c r="H395" s="477">
        <f t="shared" si="188"/>
        <v>3.5249999999999999</v>
      </c>
      <c r="I395" s="477">
        <f>0.05*0.4*0.15*2</f>
        <v>6.000000000000001E-3</v>
      </c>
      <c r="J395" s="477">
        <f t="shared" si="185"/>
        <v>0.268125</v>
      </c>
      <c r="K395" s="10"/>
      <c r="L395" s="10"/>
      <c r="M395" s="10"/>
      <c r="N395" s="10"/>
      <c r="O395" s="71"/>
      <c r="P395" s="155"/>
    </row>
    <row r="396" spans="1:16" s="62" customFormat="1" ht="15" thickBot="1" x14ac:dyDescent="0.35">
      <c r="A396" s="685" t="s">
        <v>196</v>
      </c>
      <c r="B396" s="686"/>
      <c r="C396" s="686"/>
      <c r="D396" s="686"/>
      <c r="E396" s="686"/>
      <c r="F396" s="686"/>
      <c r="G396" s="686"/>
      <c r="H396" s="686"/>
      <c r="I396" s="686"/>
      <c r="J396" s="686"/>
      <c r="K396" s="686"/>
      <c r="L396" s="686"/>
      <c r="M396" s="686"/>
      <c r="N396" s="686"/>
      <c r="O396" s="686"/>
      <c r="P396" s="705"/>
    </row>
    <row r="397" spans="1:16" s="62" customFormat="1" x14ac:dyDescent="0.3">
      <c r="A397" s="158" t="s">
        <v>209</v>
      </c>
      <c r="B397" s="159">
        <v>1</v>
      </c>
      <c r="C397" s="159" t="s">
        <v>50</v>
      </c>
      <c r="D397" s="476">
        <v>6.15</v>
      </c>
      <c r="E397" s="477">
        <v>0.15</v>
      </c>
      <c r="F397" s="477">
        <v>0.5</v>
      </c>
      <c r="G397" s="477">
        <f>0.15*0.5*2-0.25*0.5*2-0.15*0.5</f>
        <v>-0.17499999999999999</v>
      </c>
      <c r="H397" s="477">
        <f t="shared" si="184"/>
        <v>6.8975000000000009</v>
      </c>
      <c r="I397" s="477">
        <f>0.05*0.25*0.5</f>
        <v>6.2500000000000003E-3</v>
      </c>
      <c r="J397" s="477">
        <f t="shared" si="185"/>
        <v>0.46749999999999997</v>
      </c>
      <c r="K397" s="10"/>
      <c r="L397" s="10"/>
      <c r="M397" s="10"/>
      <c r="N397" s="10"/>
      <c r="O397" s="71"/>
      <c r="P397" s="155"/>
    </row>
    <row r="398" spans="1:16" s="62" customFormat="1" x14ac:dyDescent="0.3">
      <c r="A398" s="158" t="s">
        <v>210</v>
      </c>
      <c r="B398" s="159">
        <v>1</v>
      </c>
      <c r="C398" s="159" t="s">
        <v>50</v>
      </c>
      <c r="D398" s="476">
        <v>6.15</v>
      </c>
      <c r="E398" s="477">
        <v>0.15</v>
      </c>
      <c r="F398" s="477">
        <v>0.5</v>
      </c>
      <c r="G398" s="477">
        <f>0.15*0.5*2-0.25*0.5*4-0.15*0.5*2</f>
        <v>-0.5</v>
      </c>
      <c r="H398" s="477">
        <f t="shared" si="184"/>
        <v>6.5725000000000007</v>
      </c>
      <c r="I398" s="477">
        <f>0.05*0.25*0.5</f>
        <v>6.2500000000000003E-3</v>
      </c>
      <c r="J398" s="477">
        <f t="shared" si="185"/>
        <v>0.46749999999999997</v>
      </c>
      <c r="K398" s="10"/>
      <c r="L398" s="10"/>
      <c r="M398" s="10"/>
      <c r="N398" s="10"/>
      <c r="O398" s="71"/>
      <c r="P398" s="155"/>
    </row>
    <row r="399" spans="1:16" s="62" customFormat="1" x14ac:dyDescent="0.3">
      <c r="A399" s="158" t="s">
        <v>211</v>
      </c>
      <c r="B399" s="159">
        <v>1</v>
      </c>
      <c r="C399" s="159" t="s">
        <v>50</v>
      </c>
      <c r="D399" s="476">
        <v>6.15</v>
      </c>
      <c r="E399" s="477">
        <v>0.15</v>
      </c>
      <c r="F399" s="477">
        <v>0.5</v>
      </c>
      <c r="G399" s="477">
        <f>0.15*0.5*2-0.25*0.5*4-0.15*0.5*2+0.05*0.5*2</f>
        <v>-0.45</v>
      </c>
      <c r="H399" s="477">
        <f t="shared" si="184"/>
        <v>6.6225000000000005</v>
      </c>
      <c r="I399" s="477">
        <f>0.05*0.4*0.5</f>
        <v>1.0000000000000002E-2</v>
      </c>
      <c r="J399" s="477">
        <f t="shared" si="185"/>
        <v>0.47125</v>
      </c>
      <c r="K399" s="10"/>
      <c r="L399" s="10"/>
      <c r="M399" s="10"/>
      <c r="N399" s="10"/>
      <c r="O399" s="71"/>
      <c r="P399" s="155"/>
    </row>
    <row r="400" spans="1:16" s="62" customFormat="1" x14ac:dyDescent="0.3">
      <c r="A400" s="158" t="s">
        <v>212</v>
      </c>
      <c r="B400" s="159">
        <v>1</v>
      </c>
      <c r="C400" s="159" t="s">
        <v>50</v>
      </c>
      <c r="D400" s="476">
        <v>6.15</v>
      </c>
      <c r="E400" s="477">
        <v>0.15</v>
      </c>
      <c r="F400" s="477">
        <v>0.5</v>
      </c>
      <c r="G400" s="477">
        <f>0.15*0.5*2-0.25*0.5*4-0.15*0.5*2</f>
        <v>-0.5</v>
      </c>
      <c r="H400" s="477">
        <f t="shared" si="184"/>
        <v>6.5725000000000007</v>
      </c>
      <c r="I400" s="477">
        <f>0.05*0.25*0.5</f>
        <v>6.2500000000000003E-3</v>
      </c>
      <c r="J400" s="477">
        <f t="shared" si="185"/>
        <v>0.46749999999999997</v>
      </c>
      <c r="K400" s="10"/>
      <c r="L400" s="10"/>
      <c r="M400" s="10"/>
      <c r="N400" s="10"/>
      <c r="O400" s="71"/>
      <c r="P400" s="153"/>
    </row>
    <row r="401" spans="1:16" s="62" customFormat="1" x14ac:dyDescent="0.3">
      <c r="A401" s="158" t="s">
        <v>213</v>
      </c>
      <c r="B401" s="159">
        <v>1</v>
      </c>
      <c r="C401" s="159" t="s">
        <v>50</v>
      </c>
      <c r="D401" s="476">
        <v>6.15</v>
      </c>
      <c r="E401" s="477">
        <v>0.15</v>
      </c>
      <c r="F401" s="477">
        <v>0.5</v>
      </c>
      <c r="G401" s="477">
        <f>0.15*0.5*2-0.25*0.5*2-0.15*0.5</f>
        <v>-0.17499999999999999</v>
      </c>
      <c r="H401" s="477">
        <f t="shared" si="184"/>
        <v>6.8975000000000009</v>
      </c>
      <c r="I401" s="477">
        <f>0.05*0.25*0.5</f>
        <v>6.2500000000000003E-3</v>
      </c>
      <c r="J401" s="477">
        <f t="shared" si="185"/>
        <v>0.46749999999999997</v>
      </c>
      <c r="K401" s="10"/>
      <c r="L401" s="10"/>
      <c r="M401" s="10"/>
      <c r="N401" s="10"/>
      <c r="O401" s="71"/>
      <c r="P401" s="153"/>
    </row>
    <row r="402" spans="1:16" s="62" customFormat="1" x14ac:dyDescent="0.3">
      <c r="A402" s="158" t="s">
        <v>214</v>
      </c>
      <c r="B402" s="159">
        <v>1</v>
      </c>
      <c r="C402" s="159" t="s">
        <v>50</v>
      </c>
      <c r="D402" s="476">
        <f>2.53+3.18+3.18+2.53</f>
        <v>11.42</v>
      </c>
      <c r="E402" s="477">
        <v>0.25</v>
      </c>
      <c r="F402" s="477">
        <v>0.5</v>
      </c>
      <c r="G402" s="477"/>
      <c r="H402" s="477">
        <f t="shared" si="184"/>
        <v>14.275</v>
      </c>
      <c r="I402" s="477"/>
      <c r="J402" s="477">
        <f t="shared" si="185"/>
        <v>1.4275</v>
      </c>
      <c r="K402" s="10"/>
      <c r="L402" s="10"/>
      <c r="M402" s="10"/>
      <c r="N402" s="10"/>
      <c r="O402" s="71"/>
      <c r="P402" s="153"/>
    </row>
    <row r="403" spans="1:16" s="62" customFormat="1" x14ac:dyDescent="0.3">
      <c r="A403" s="158" t="s">
        <v>215</v>
      </c>
      <c r="B403" s="159">
        <v>1</v>
      </c>
      <c r="C403" s="159" t="s">
        <v>50</v>
      </c>
      <c r="D403" s="476">
        <f>2.53+3.18+3.18+2.53</f>
        <v>11.42</v>
      </c>
      <c r="E403" s="477">
        <v>0.15</v>
      </c>
      <c r="F403" s="477">
        <v>0.5</v>
      </c>
      <c r="G403" s="477"/>
      <c r="H403" s="477">
        <f t="shared" si="184"/>
        <v>13.132999999999999</v>
      </c>
      <c r="I403" s="477"/>
      <c r="J403" s="477">
        <f t="shared" si="185"/>
        <v>0.85649999999999993</v>
      </c>
      <c r="K403" s="10"/>
      <c r="L403" s="10"/>
      <c r="M403" s="10"/>
      <c r="N403" s="10"/>
      <c r="O403" s="71"/>
      <c r="P403" s="153"/>
    </row>
    <row r="404" spans="1:16" s="62" customFormat="1" x14ac:dyDescent="0.3">
      <c r="A404" s="158" t="s">
        <v>216</v>
      </c>
      <c r="B404" s="159">
        <v>1</v>
      </c>
      <c r="C404" s="159" t="s">
        <v>50</v>
      </c>
      <c r="D404" s="476">
        <f>2.53+3.18+3.18+2.53</f>
        <v>11.42</v>
      </c>
      <c r="E404" s="477">
        <v>0.25</v>
      </c>
      <c r="F404" s="477">
        <v>0.5</v>
      </c>
      <c r="G404" s="477"/>
      <c r="H404" s="477">
        <f t="shared" si="184"/>
        <v>14.275</v>
      </c>
      <c r="I404" s="477"/>
      <c r="J404" s="477">
        <f t="shared" si="185"/>
        <v>1.4275</v>
      </c>
      <c r="K404" s="10"/>
      <c r="L404" s="10"/>
      <c r="M404" s="10"/>
      <c r="N404" s="10"/>
      <c r="O404" s="71"/>
      <c r="P404" s="153"/>
    </row>
    <row r="405" spans="1:16" s="62" customFormat="1" ht="43.2" x14ac:dyDescent="0.3">
      <c r="A405" s="485" t="s">
        <v>377</v>
      </c>
      <c r="B405" s="159">
        <v>9</v>
      </c>
      <c r="C405" s="159" t="s">
        <v>50</v>
      </c>
      <c r="D405" s="476">
        <v>0.2</v>
      </c>
      <c r="E405" s="477">
        <v>0.5</v>
      </c>
      <c r="F405" s="477"/>
      <c r="G405" s="477">
        <f>-D405*E405</f>
        <v>-0.1</v>
      </c>
      <c r="H405" s="477">
        <f>G405*B405</f>
        <v>-0.9</v>
      </c>
      <c r="I405" s="477"/>
      <c r="J405" s="477"/>
      <c r="K405" s="492"/>
      <c r="L405" s="492"/>
      <c r="M405" s="492"/>
      <c r="N405" s="492"/>
      <c r="O405" s="337"/>
      <c r="P405" s="493"/>
    </row>
    <row r="406" spans="1:16" s="62" customFormat="1" ht="28.8" x14ac:dyDescent="0.3">
      <c r="A406" s="485" t="s">
        <v>378</v>
      </c>
      <c r="B406" s="159">
        <v>5</v>
      </c>
      <c r="C406" s="159" t="s">
        <v>50</v>
      </c>
      <c r="D406" s="476">
        <v>0.2</v>
      </c>
      <c r="E406" s="477">
        <v>0.4</v>
      </c>
      <c r="F406" s="477"/>
      <c r="G406" s="477">
        <f t="shared" ref="G406:G407" si="189">-D406*E406</f>
        <v>-8.0000000000000016E-2</v>
      </c>
      <c r="H406" s="477">
        <f t="shared" ref="H406:H407" si="190">G406*B406</f>
        <v>-0.40000000000000008</v>
      </c>
      <c r="I406" s="477"/>
      <c r="J406" s="477"/>
      <c r="K406" s="492"/>
      <c r="L406" s="492"/>
      <c r="M406" s="492"/>
      <c r="N406" s="492"/>
      <c r="O406" s="337"/>
      <c r="P406" s="493"/>
    </row>
    <row r="407" spans="1:16" s="62" customFormat="1" ht="15" thickBot="1" x14ac:dyDescent="0.35">
      <c r="A407" s="158" t="s">
        <v>379</v>
      </c>
      <c r="B407" s="159">
        <v>1</v>
      </c>
      <c r="C407" s="159" t="s">
        <v>50</v>
      </c>
      <c r="D407" s="476">
        <v>0.15</v>
      </c>
      <c r="E407" s="477">
        <v>0.5</v>
      </c>
      <c r="F407" s="477"/>
      <c r="G407" s="477">
        <f t="shared" si="189"/>
        <v>-7.4999999999999997E-2</v>
      </c>
      <c r="H407" s="477">
        <f t="shared" si="190"/>
        <v>-7.4999999999999997E-2</v>
      </c>
      <c r="I407" s="477"/>
      <c r="J407" s="477"/>
      <c r="K407" s="492"/>
      <c r="L407" s="492"/>
      <c r="M407" s="492"/>
      <c r="N407" s="492"/>
      <c r="O407" s="337"/>
      <c r="P407" s="493"/>
    </row>
    <row r="408" spans="1:16" s="62" customFormat="1" ht="15" thickBot="1" x14ac:dyDescent="0.35">
      <c r="A408" s="685" t="s">
        <v>281</v>
      </c>
      <c r="B408" s="686"/>
      <c r="C408" s="686"/>
      <c r="D408" s="686"/>
      <c r="E408" s="686"/>
      <c r="F408" s="686"/>
      <c r="G408" s="686"/>
      <c r="H408" s="686"/>
      <c r="I408" s="686"/>
      <c r="J408" s="686"/>
      <c r="K408" s="686"/>
      <c r="L408" s="686"/>
      <c r="M408" s="686"/>
      <c r="N408" s="686"/>
      <c r="O408" s="686"/>
      <c r="P408" s="705"/>
    </row>
    <row r="409" spans="1:16" s="62" customFormat="1" x14ac:dyDescent="0.3">
      <c r="A409" s="158" t="s">
        <v>263</v>
      </c>
      <c r="B409" s="159">
        <v>1</v>
      </c>
      <c r="C409" s="159" t="s">
        <v>50</v>
      </c>
      <c r="D409" s="476">
        <v>11.1</v>
      </c>
      <c r="E409" s="477">
        <v>0.2</v>
      </c>
      <c r="F409" s="477">
        <v>0.5</v>
      </c>
      <c r="G409" s="477">
        <f>-0.15*0.5*8+0.2*0.5-((11.1-0.15*5)*0.1)</f>
        <v>-1.5349999999999999</v>
      </c>
      <c r="H409" s="477">
        <f t="shared" ref="H409:H477" si="191">(((2*D409*F409+D409*E409))*B409)+G409</f>
        <v>11.785</v>
      </c>
      <c r="I409" s="477"/>
      <c r="J409" s="477">
        <f t="shared" ref="J409:J477" si="192">(D409*E409*F409)*B409+I409</f>
        <v>1.1100000000000001</v>
      </c>
      <c r="K409" s="10"/>
      <c r="L409" s="10"/>
      <c r="M409" s="10"/>
      <c r="N409" s="10"/>
      <c r="O409" s="71"/>
      <c r="P409" s="153"/>
    </row>
    <row r="410" spans="1:16" s="62" customFormat="1" x14ac:dyDescent="0.3">
      <c r="A410" s="158" t="s">
        <v>264</v>
      </c>
      <c r="B410" s="159">
        <v>1</v>
      </c>
      <c r="C410" s="159" t="s">
        <v>50</v>
      </c>
      <c r="D410" s="476">
        <v>8</v>
      </c>
      <c r="E410" s="477">
        <v>0.2</v>
      </c>
      <c r="F410" s="477">
        <v>0.5</v>
      </c>
      <c r="G410" s="477">
        <f>-0.15*0.5*4-((8-0.15*3)*0.1)</f>
        <v>-1.0549999999999999</v>
      </c>
      <c r="H410" s="477">
        <f t="shared" si="191"/>
        <v>8.5449999999999999</v>
      </c>
      <c r="I410" s="477"/>
      <c r="J410" s="477">
        <f t="shared" si="192"/>
        <v>0.8</v>
      </c>
      <c r="K410" s="10"/>
      <c r="L410" s="10"/>
      <c r="M410" s="10"/>
      <c r="N410" s="10"/>
      <c r="O410" s="71"/>
      <c r="P410" s="153"/>
    </row>
    <row r="411" spans="1:16" s="62" customFormat="1" x14ac:dyDescent="0.3">
      <c r="A411" s="158" t="s">
        <v>265</v>
      </c>
      <c r="B411" s="159">
        <v>1</v>
      </c>
      <c r="C411" s="159" t="s">
        <v>50</v>
      </c>
      <c r="D411" s="476">
        <v>9.0500000000000007</v>
      </c>
      <c r="E411" s="477">
        <v>0.2</v>
      </c>
      <c r="F411" s="477">
        <v>0.5</v>
      </c>
      <c r="G411" s="477">
        <f>-0.15*0.5*5+0.2*0.5-((9.05-0.15*3)*0.1)</f>
        <v>-1.1350000000000002</v>
      </c>
      <c r="H411" s="477">
        <f t="shared" si="191"/>
        <v>9.7250000000000014</v>
      </c>
      <c r="I411" s="477"/>
      <c r="J411" s="477">
        <f t="shared" si="192"/>
        <v>0.90500000000000014</v>
      </c>
      <c r="K411" s="10"/>
      <c r="L411" s="10"/>
      <c r="M411" s="10"/>
      <c r="N411" s="10"/>
      <c r="O411" s="71"/>
      <c r="P411" s="153"/>
    </row>
    <row r="412" spans="1:16" s="62" customFormat="1" x14ac:dyDescent="0.3">
      <c r="A412" s="158" t="s">
        <v>266</v>
      </c>
      <c r="B412" s="159">
        <v>1</v>
      </c>
      <c r="C412" s="159" t="s">
        <v>50</v>
      </c>
      <c r="D412" s="476">
        <v>11.1</v>
      </c>
      <c r="E412" s="477">
        <v>0.25</v>
      </c>
      <c r="F412" s="477">
        <v>0.5</v>
      </c>
      <c r="G412" s="477">
        <f>-0.15*0.5*8+0.25*0.5-((11.1-0.15*5)*0.1)</f>
        <v>-1.5099999999999998</v>
      </c>
      <c r="H412" s="477">
        <f t="shared" si="191"/>
        <v>12.365</v>
      </c>
      <c r="I412" s="477"/>
      <c r="J412" s="477">
        <f t="shared" si="192"/>
        <v>1.3875</v>
      </c>
      <c r="K412" s="10"/>
      <c r="L412" s="10"/>
      <c r="M412" s="10"/>
      <c r="N412" s="10"/>
      <c r="O412" s="71"/>
      <c r="P412" s="153"/>
    </row>
    <row r="413" spans="1:16" s="62" customFormat="1" x14ac:dyDescent="0.3">
      <c r="A413" s="158" t="s">
        <v>267</v>
      </c>
      <c r="B413" s="159">
        <v>1</v>
      </c>
      <c r="C413" s="159" t="s">
        <v>50</v>
      </c>
      <c r="D413" s="476">
        <v>8</v>
      </c>
      <c r="E413" s="477">
        <v>0.25</v>
      </c>
      <c r="F413" s="477">
        <v>0.5</v>
      </c>
      <c r="G413" s="477">
        <f>-0.15*0.5*5-((8-0.15*3)*0.1)</f>
        <v>-1.1299999999999999</v>
      </c>
      <c r="H413" s="477">
        <f t="shared" si="191"/>
        <v>8.870000000000001</v>
      </c>
      <c r="I413" s="477"/>
      <c r="J413" s="477">
        <f t="shared" si="192"/>
        <v>1</v>
      </c>
      <c r="K413" s="10"/>
      <c r="L413" s="10"/>
      <c r="M413" s="10"/>
      <c r="N413" s="10"/>
      <c r="O413" s="71"/>
      <c r="P413" s="153"/>
    </row>
    <row r="414" spans="1:16" s="62" customFormat="1" x14ac:dyDescent="0.3">
      <c r="A414" s="158" t="s">
        <v>268</v>
      </c>
      <c r="B414" s="159">
        <v>1</v>
      </c>
      <c r="C414" s="159" t="s">
        <v>50</v>
      </c>
      <c r="D414" s="476">
        <v>9.0500000000000007</v>
      </c>
      <c r="E414" s="477">
        <v>0.25</v>
      </c>
      <c r="F414" s="477">
        <v>0.5</v>
      </c>
      <c r="G414" s="477">
        <f>-0.15*0.5*6+0.25*0.5-((9.05-0.15*3)*0.1)</f>
        <v>-1.1850000000000001</v>
      </c>
      <c r="H414" s="477">
        <f t="shared" si="191"/>
        <v>10.1275</v>
      </c>
      <c r="I414" s="477"/>
      <c r="J414" s="477">
        <f t="shared" si="192"/>
        <v>1.1312500000000001</v>
      </c>
      <c r="K414" s="10"/>
      <c r="L414" s="10"/>
      <c r="M414" s="10"/>
      <c r="N414" s="10"/>
      <c r="O414" s="71"/>
      <c r="P414" s="153"/>
    </row>
    <row r="415" spans="1:16" s="62" customFormat="1" x14ac:dyDescent="0.3">
      <c r="A415" s="158" t="s">
        <v>269</v>
      </c>
      <c r="B415" s="159">
        <v>1</v>
      </c>
      <c r="C415" s="159" t="s">
        <v>50</v>
      </c>
      <c r="D415" s="476">
        <v>4.18</v>
      </c>
      <c r="E415" s="477">
        <v>0.15</v>
      </c>
      <c r="F415" s="477">
        <v>0.5</v>
      </c>
      <c r="G415" s="477">
        <f>-0.2*0.5*4+0.15*0.5</f>
        <v>-0.32500000000000001</v>
      </c>
      <c r="H415" s="477">
        <f t="shared" ref="H415:H444" si="193">(((2*D415*F415+D415*E415))*B415)+G415</f>
        <v>4.4819999999999993</v>
      </c>
      <c r="I415" s="477"/>
      <c r="J415" s="477">
        <f t="shared" ref="J415:J475" si="194">(D415*E415*F415)*B415+I415</f>
        <v>0.31349999999999995</v>
      </c>
      <c r="K415" s="10"/>
      <c r="L415" s="10"/>
      <c r="M415" s="10"/>
      <c r="N415" s="10"/>
      <c r="O415" s="71"/>
      <c r="P415" s="153"/>
    </row>
    <row r="416" spans="1:16" s="62" customFormat="1" x14ac:dyDescent="0.3">
      <c r="A416" s="158" t="s">
        <v>270</v>
      </c>
      <c r="B416" s="159">
        <v>1</v>
      </c>
      <c r="C416" s="159" t="s">
        <v>50</v>
      </c>
      <c r="D416" s="476">
        <v>13.23</v>
      </c>
      <c r="E416" s="477">
        <v>0.25</v>
      </c>
      <c r="F416" s="477">
        <v>0.5</v>
      </c>
      <c r="G416" s="477">
        <f>-0.2*0.5*4+0.25*0.5</f>
        <v>-0.27500000000000002</v>
      </c>
      <c r="H416" s="477">
        <f t="shared" si="193"/>
        <v>16.262500000000003</v>
      </c>
      <c r="I416" s="477"/>
      <c r="J416" s="477">
        <f t="shared" si="194"/>
        <v>1.6537500000000001</v>
      </c>
      <c r="K416" s="10"/>
      <c r="L416" s="10"/>
      <c r="M416" s="10"/>
      <c r="N416" s="10"/>
      <c r="O416" s="71"/>
      <c r="P416" s="153"/>
    </row>
    <row r="417" spans="1:16" s="62" customFormat="1" x14ac:dyDescent="0.3">
      <c r="A417" s="158" t="s">
        <v>271</v>
      </c>
      <c r="B417" s="159">
        <v>1</v>
      </c>
      <c r="C417" s="159" t="s">
        <v>50</v>
      </c>
      <c r="D417" s="476">
        <v>14.93</v>
      </c>
      <c r="E417" s="477">
        <v>0.25</v>
      </c>
      <c r="F417" s="477">
        <v>0.5</v>
      </c>
      <c r="G417" s="477">
        <f>-0.2*0.5*4+0.25*0.5</f>
        <v>-0.27500000000000002</v>
      </c>
      <c r="H417" s="477">
        <f t="shared" si="193"/>
        <v>18.387500000000003</v>
      </c>
      <c r="I417" s="477"/>
      <c r="J417" s="477">
        <f t="shared" si="194"/>
        <v>1.86625</v>
      </c>
      <c r="K417" s="10"/>
      <c r="L417" s="10"/>
      <c r="M417" s="10"/>
      <c r="N417" s="10"/>
      <c r="O417" s="71"/>
      <c r="P417" s="153"/>
    </row>
    <row r="418" spans="1:16" s="62" customFormat="1" x14ac:dyDescent="0.3">
      <c r="A418" s="158" t="s">
        <v>272</v>
      </c>
      <c r="B418" s="159">
        <v>1</v>
      </c>
      <c r="C418" s="159" t="s">
        <v>50</v>
      </c>
      <c r="D418" s="476">
        <f>0.2+0.3+7.75</f>
        <v>8.25</v>
      </c>
      <c r="E418" s="477">
        <v>0.15</v>
      </c>
      <c r="F418" s="477">
        <v>0.5</v>
      </c>
      <c r="G418" s="477">
        <f>0.1*0.5*2+0.05*0.5+0.15*0.5</f>
        <v>0.2</v>
      </c>
      <c r="H418" s="477">
        <f t="shared" ref="H418:H424" si="195">(((2*D418*F418+D418*E418))*B418)+G418</f>
        <v>9.6875</v>
      </c>
      <c r="I418" s="477">
        <f>0.1*0.5*0.4+0.05*0.5*0.35</f>
        <v>2.8750000000000005E-2</v>
      </c>
      <c r="J418" s="477">
        <f t="shared" ref="J418:J438" si="196">(D418*E418*F418)*B418+I418</f>
        <v>0.64750000000000008</v>
      </c>
      <c r="K418" s="10"/>
      <c r="L418" s="10"/>
      <c r="M418" s="10"/>
      <c r="N418" s="10"/>
      <c r="O418" s="71"/>
      <c r="P418" s="153"/>
    </row>
    <row r="419" spans="1:16" s="62" customFormat="1" x14ac:dyDescent="0.3">
      <c r="A419" s="158" t="s">
        <v>273</v>
      </c>
      <c r="B419" s="159">
        <v>1</v>
      </c>
      <c r="C419" s="159" t="s">
        <v>50</v>
      </c>
      <c r="D419" s="476">
        <f>0.3+7.75</f>
        <v>8.0500000000000007</v>
      </c>
      <c r="E419" s="477">
        <v>0.15</v>
      </c>
      <c r="F419" s="477">
        <v>0.5</v>
      </c>
      <c r="G419" s="477">
        <f>0.05*0.5</f>
        <v>2.5000000000000001E-2</v>
      </c>
      <c r="H419" s="477">
        <f t="shared" si="195"/>
        <v>9.2825000000000006</v>
      </c>
      <c r="I419" s="477">
        <f>0.05*0.5*0.35</f>
        <v>8.7499999999999991E-3</v>
      </c>
      <c r="J419" s="477">
        <f t="shared" si="196"/>
        <v>0.61250000000000004</v>
      </c>
      <c r="K419" s="10"/>
      <c r="L419" s="10"/>
      <c r="M419" s="10"/>
      <c r="N419" s="10"/>
      <c r="O419" s="71"/>
      <c r="P419" s="153"/>
    </row>
    <row r="420" spans="1:16" s="62" customFormat="1" x14ac:dyDescent="0.3">
      <c r="A420" s="158" t="s">
        <v>274</v>
      </c>
      <c r="B420" s="159">
        <v>1</v>
      </c>
      <c r="C420" s="159" t="s">
        <v>50</v>
      </c>
      <c r="D420" s="476">
        <f>0.3+7.75</f>
        <v>8.0500000000000007</v>
      </c>
      <c r="E420" s="477">
        <v>0.15</v>
      </c>
      <c r="F420" s="477">
        <v>0.5</v>
      </c>
      <c r="G420" s="477">
        <f>0.05*0.5</f>
        <v>2.5000000000000001E-2</v>
      </c>
      <c r="H420" s="477">
        <f t="shared" ref="H420" si="197">(((2*D420*F420+D420*E420))*B420)+G420</f>
        <v>9.2825000000000006</v>
      </c>
      <c r="I420" s="477">
        <f>0.05*0.5*0.35</f>
        <v>8.7499999999999991E-3</v>
      </c>
      <c r="J420" s="477">
        <f t="shared" si="196"/>
        <v>0.61250000000000004</v>
      </c>
      <c r="K420" s="10"/>
      <c r="L420" s="10"/>
      <c r="M420" s="10"/>
      <c r="N420" s="10"/>
      <c r="O420" s="71"/>
      <c r="P420" s="153"/>
    </row>
    <row r="421" spans="1:16" s="62" customFormat="1" x14ac:dyDescent="0.3">
      <c r="A421" s="158" t="s">
        <v>275</v>
      </c>
      <c r="B421" s="159">
        <v>1</v>
      </c>
      <c r="C421" s="159" t="s">
        <v>50</v>
      </c>
      <c r="D421" s="476">
        <f>0.3+7.75</f>
        <v>8.0500000000000007</v>
      </c>
      <c r="E421" s="477">
        <v>0.15</v>
      </c>
      <c r="F421" s="477">
        <v>0.5</v>
      </c>
      <c r="G421" s="477">
        <f>0.05*0.5</f>
        <v>2.5000000000000001E-2</v>
      </c>
      <c r="H421" s="477">
        <f t="shared" ref="H421:H422" si="198">(((2*D421*F421+D421*E421))*B421)+G421</f>
        <v>9.2825000000000006</v>
      </c>
      <c r="I421" s="477">
        <f>0.05*0.5*0.35</f>
        <v>8.7499999999999991E-3</v>
      </c>
      <c r="J421" s="477">
        <f t="shared" si="196"/>
        <v>0.61250000000000004</v>
      </c>
      <c r="K421" s="10"/>
      <c r="L421" s="10"/>
      <c r="M421" s="10"/>
      <c r="N421" s="10"/>
      <c r="O421" s="71"/>
      <c r="P421" s="153"/>
    </row>
    <row r="422" spans="1:16" s="62" customFormat="1" x14ac:dyDescent="0.3">
      <c r="A422" s="158" t="s">
        <v>276</v>
      </c>
      <c r="B422" s="159">
        <v>1</v>
      </c>
      <c r="C422" s="159" t="s">
        <v>50</v>
      </c>
      <c r="D422" s="476">
        <f>0.3+7.75</f>
        <v>8.0500000000000007</v>
      </c>
      <c r="E422" s="477">
        <v>0.15</v>
      </c>
      <c r="F422" s="477">
        <v>0.5</v>
      </c>
      <c r="G422" s="477">
        <f>0.05*0.5</f>
        <v>2.5000000000000001E-2</v>
      </c>
      <c r="H422" s="477">
        <f t="shared" si="198"/>
        <v>9.2825000000000006</v>
      </c>
      <c r="I422" s="477">
        <f>0.05*0.5*0.35</f>
        <v>8.7499999999999991E-3</v>
      </c>
      <c r="J422" s="477">
        <f t="shared" si="196"/>
        <v>0.61250000000000004</v>
      </c>
      <c r="K422" s="10"/>
      <c r="L422" s="10"/>
      <c r="M422" s="10"/>
      <c r="N422" s="10"/>
      <c r="O422" s="71"/>
      <c r="P422" s="153"/>
    </row>
    <row r="423" spans="1:16" s="62" customFormat="1" x14ac:dyDescent="0.3">
      <c r="A423" s="158" t="s">
        <v>277</v>
      </c>
      <c r="B423" s="159">
        <v>1</v>
      </c>
      <c r="C423" s="159" t="s">
        <v>50</v>
      </c>
      <c r="D423" s="476">
        <f>0.3+7.75</f>
        <v>8.0500000000000007</v>
      </c>
      <c r="E423" s="477">
        <v>0.15</v>
      </c>
      <c r="F423" s="477">
        <v>0.5</v>
      </c>
      <c r="G423" s="477">
        <f>0.05*0.5</f>
        <v>2.5000000000000001E-2</v>
      </c>
      <c r="H423" s="477">
        <f t="shared" ref="H423" si="199">(((2*D423*F423+D423*E423))*B423)+G423</f>
        <v>9.2825000000000006</v>
      </c>
      <c r="I423" s="477">
        <f>0.05*0.5*0.35</f>
        <v>8.7499999999999991E-3</v>
      </c>
      <c r="J423" s="477">
        <f t="shared" si="196"/>
        <v>0.61250000000000004</v>
      </c>
      <c r="K423" s="10"/>
      <c r="L423" s="10"/>
      <c r="M423" s="10"/>
      <c r="N423" s="10"/>
      <c r="O423" s="71"/>
      <c r="P423" s="153"/>
    </row>
    <row r="424" spans="1:16" s="62" customFormat="1" x14ac:dyDescent="0.3">
      <c r="A424" s="158" t="s">
        <v>278</v>
      </c>
      <c r="B424" s="159">
        <v>1</v>
      </c>
      <c r="C424" s="159" t="s">
        <v>50</v>
      </c>
      <c r="D424" s="476">
        <f>0.2+0.3+3.37+4.23</f>
        <v>8.1000000000000014</v>
      </c>
      <c r="E424" s="477">
        <v>0.15</v>
      </c>
      <c r="F424" s="477">
        <v>0.5</v>
      </c>
      <c r="G424" s="477">
        <f>0.05*0.5*2+0.05*0.5</f>
        <v>7.5000000000000011E-2</v>
      </c>
      <c r="H424" s="477">
        <f t="shared" si="195"/>
        <v>9.39</v>
      </c>
      <c r="I424" s="477">
        <f>0.05*0.125*0.5*2+0.05*0.5*0.15</f>
        <v>0.01</v>
      </c>
      <c r="J424" s="477">
        <f t="shared" si="196"/>
        <v>0.61750000000000005</v>
      </c>
      <c r="K424" s="10"/>
      <c r="L424" s="10"/>
      <c r="M424" s="10"/>
      <c r="N424" s="10"/>
      <c r="O424" s="71"/>
      <c r="P424" s="153"/>
    </row>
    <row r="425" spans="1:16" s="62" customFormat="1" x14ac:dyDescent="0.3">
      <c r="A425" s="158" t="s">
        <v>279</v>
      </c>
      <c r="B425" s="159">
        <v>1</v>
      </c>
      <c r="C425" s="159" t="s">
        <v>50</v>
      </c>
      <c r="D425" s="476">
        <f>0.2+0.3+3.37+4.23</f>
        <v>8.1000000000000014</v>
      </c>
      <c r="E425" s="477">
        <v>0.15</v>
      </c>
      <c r="F425" s="477">
        <v>0.5</v>
      </c>
      <c r="G425" s="477">
        <f>0.05*0.5*2+0.05*0.5</f>
        <v>7.5000000000000011E-2</v>
      </c>
      <c r="H425" s="477">
        <f t="shared" ref="H425" si="200">(((2*D425*F425+D425*E425))*B425)+G425</f>
        <v>9.39</v>
      </c>
      <c r="I425" s="477">
        <f>0.05*0.125*0.5*2+0.05*0.5*0.35</f>
        <v>1.4999999999999999E-2</v>
      </c>
      <c r="J425" s="477">
        <f t="shared" si="196"/>
        <v>0.62250000000000005</v>
      </c>
      <c r="K425" s="10"/>
      <c r="L425" s="10"/>
      <c r="M425" s="10"/>
      <c r="N425" s="10"/>
      <c r="O425" s="71"/>
      <c r="P425" s="153"/>
    </row>
    <row r="426" spans="1:16" s="62" customFormat="1" ht="72" x14ac:dyDescent="0.3">
      <c r="A426" s="485" t="s">
        <v>413</v>
      </c>
      <c r="B426" s="159">
        <v>20</v>
      </c>
      <c r="C426" s="159" t="s">
        <v>50</v>
      </c>
      <c r="D426" s="476">
        <v>0.3</v>
      </c>
      <c r="E426" s="477"/>
      <c r="F426" s="477">
        <v>0.1</v>
      </c>
      <c r="G426" s="477">
        <f>-D426*F426</f>
        <v>-0.03</v>
      </c>
      <c r="H426" s="477">
        <f>G426*B426</f>
        <v>-0.6</v>
      </c>
      <c r="I426" s="477"/>
      <c r="J426" s="477"/>
      <c r="K426" s="10"/>
      <c r="L426" s="10"/>
      <c r="M426" s="10"/>
      <c r="N426" s="10"/>
      <c r="O426" s="71"/>
      <c r="P426" s="153"/>
    </row>
    <row r="427" spans="1:16" s="62" customFormat="1" ht="28.8" x14ac:dyDescent="0.3">
      <c r="A427" s="485" t="s">
        <v>380</v>
      </c>
      <c r="B427" s="159">
        <v>6</v>
      </c>
      <c r="C427" s="159" t="s">
        <v>50</v>
      </c>
      <c r="D427" s="476">
        <v>0.2</v>
      </c>
      <c r="E427" s="477">
        <v>0.5</v>
      </c>
      <c r="F427" s="477"/>
      <c r="G427" s="477">
        <f>-D427*E427</f>
        <v>-0.1</v>
      </c>
      <c r="H427" s="477">
        <f>G427*B427</f>
        <v>-0.60000000000000009</v>
      </c>
      <c r="I427" s="477"/>
      <c r="J427" s="477"/>
      <c r="K427" s="10"/>
      <c r="L427" s="10"/>
      <c r="M427" s="10"/>
      <c r="N427" s="10"/>
      <c r="O427" s="71"/>
      <c r="P427" s="153"/>
    </row>
    <row r="428" spans="1:16" s="62" customFormat="1" ht="28.8" x14ac:dyDescent="0.3">
      <c r="A428" s="485" t="s">
        <v>381</v>
      </c>
      <c r="B428" s="159">
        <v>5</v>
      </c>
      <c r="C428" s="159" t="s">
        <v>50</v>
      </c>
      <c r="D428" s="476">
        <v>0.15</v>
      </c>
      <c r="E428" s="477">
        <v>0.65</v>
      </c>
      <c r="F428" s="477"/>
      <c r="G428" s="477">
        <f t="shared" ref="G428:G431" si="201">-D428*E428</f>
        <v>-9.7500000000000003E-2</v>
      </c>
      <c r="H428" s="477">
        <f t="shared" ref="H428:H431" si="202">G428*B428</f>
        <v>-0.48750000000000004</v>
      </c>
      <c r="I428" s="477"/>
      <c r="J428" s="477"/>
      <c r="K428" s="10"/>
      <c r="L428" s="10"/>
      <c r="M428" s="10"/>
      <c r="N428" s="10"/>
      <c r="O428" s="71"/>
      <c r="P428" s="153"/>
    </row>
    <row r="429" spans="1:16" s="62" customFormat="1" x14ac:dyDescent="0.3">
      <c r="A429" s="485" t="s">
        <v>382</v>
      </c>
      <c r="B429" s="159">
        <v>1</v>
      </c>
      <c r="C429" s="159" t="s">
        <v>50</v>
      </c>
      <c r="D429" s="476">
        <v>0.25</v>
      </c>
      <c r="E429" s="477">
        <v>0.4</v>
      </c>
      <c r="F429" s="477"/>
      <c r="G429" s="477">
        <f t="shared" si="201"/>
        <v>-0.1</v>
      </c>
      <c r="H429" s="477">
        <f t="shared" si="202"/>
        <v>-0.1</v>
      </c>
      <c r="I429" s="477"/>
      <c r="J429" s="477"/>
      <c r="K429" s="10"/>
      <c r="L429" s="10"/>
      <c r="M429" s="10"/>
      <c r="N429" s="10"/>
      <c r="O429" s="71"/>
      <c r="P429" s="153"/>
    </row>
    <row r="430" spans="1:16" s="62" customFormat="1" ht="28.8" x14ac:dyDescent="0.3">
      <c r="A430" s="485" t="s">
        <v>383</v>
      </c>
      <c r="B430" s="159">
        <v>3</v>
      </c>
      <c r="C430" s="159" t="s">
        <v>50</v>
      </c>
      <c r="D430" s="476">
        <v>0.2</v>
      </c>
      <c r="E430" s="477">
        <v>0.4</v>
      </c>
      <c r="F430" s="477"/>
      <c r="G430" s="477">
        <f t="shared" si="201"/>
        <v>-8.0000000000000016E-2</v>
      </c>
      <c r="H430" s="477">
        <f t="shared" si="202"/>
        <v>-0.24000000000000005</v>
      </c>
      <c r="I430" s="477"/>
      <c r="J430" s="477"/>
      <c r="K430" s="10"/>
      <c r="L430" s="10"/>
      <c r="M430" s="10"/>
      <c r="N430" s="10"/>
      <c r="O430" s="71"/>
      <c r="P430" s="153"/>
    </row>
    <row r="431" spans="1:16" s="62" customFormat="1" ht="43.2" x14ac:dyDescent="0.3">
      <c r="A431" s="485" t="s">
        <v>384</v>
      </c>
      <c r="B431" s="159">
        <v>7</v>
      </c>
      <c r="C431" s="159" t="s">
        <v>50</v>
      </c>
      <c r="D431" s="476">
        <v>0.2</v>
      </c>
      <c r="E431" s="477">
        <v>0.6</v>
      </c>
      <c r="F431" s="477"/>
      <c r="G431" s="477">
        <f t="shared" si="201"/>
        <v>-0.12</v>
      </c>
      <c r="H431" s="477">
        <f t="shared" si="202"/>
        <v>-0.84</v>
      </c>
      <c r="I431" s="477"/>
      <c r="J431" s="477"/>
      <c r="K431" s="10"/>
      <c r="L431" s="10"/>
      <c r="M431" s="10"/>
      <c r="N431" s="10"/>
      <c r="O431" s="71"/>
      <c r="P431" s="153"/>
    </row>
    <row r="432" spans="1:16" s="62" customFormat="1" x14ac:dyDescent="0.3">
      <c r="A432" s="158" t="s">
        <v>280</v>
      </c>
      <c r="B432" s="159">
        <v>1</v>
      </c>
      <c r="C432" s="159" t="s">
        <v>184</v>
      </c>
      <c r="D432" s="476">
        <v>11.1</v>
      </c>
      <c r="E432" s="477">
        <v>0.15</v>
      </c>
      <c r="F432" s="477">
        <v>0.15</v>
      </c>
      <c r="G432" s="477">
        <f>0.15*0.15-0.15*0.15*4</f>
        <v>-6.7500000000000004E-2</v>
      </c>
      <c r="H432" s="477">
        <f>(((2*D432*F432))*B432)+G432</f>
        <v>3.2624999999999997</v>
      </c>
      <c r="I432" s="477"/>
      <c r="J432" s="477">
        <f t="shared" si="196"/>
        <v>0.24974999999999997</v>
      </c>
      <c r="K432" s="10"/>
      <c r="L432" s="10"/>
      <c r="M432" s="10"/>
      <c r="N432" s="10"/>
      <c r="O432" s="71"/>
      <c r="P432" s="153"/>
    </row>
    <row r="433" spans="1:16" s="62" customFormat="1" x14ac:dyDescent="0.3">
      <c r="A433" s="158" t="s">
        <v>282</v>
      </c>
      <c r="B433" s="159">
        <v>1</v>
      </c>
      <c r="C433" s="159" t="s">
        <v>184</v>
      </c>
      <c r="D433" s="476">
        <v>8</v>
      </c>
      <c r="E433" s="477">
        <v>0.15</v>
      </c>
      <c r="F433" s="477">
        <v>0.15</v>
      </c>
      <c r="G433" s="477">
        <f>-0.15*0.15*2</f>
        <v>-4.4999999999999998E-2</v>
      </c>
      <c r="H433" s="477">
        <f t="shared" ref="H433:H438" si="203">(((2*D433*F433))*B433)+G433</f>
        <v>2.355</v>
      </c>
      <c r="I433" s="477"/>
      <c r="J433" s="477">
        <f t="shared" si="196"/>
        <v>0.18</v>
      </c>
      <c r="K433" s="10"/>
      <c r="L433" s="10"/>
      <c r="M433" s="10"/>
      <c r="N433" s="10"/>
      <c r="O433" s="71"/>
      <c r="P433" s="153"/>
    </row>
    <row r="434" spans="1:16" s="62" customFormat="1" x14ac:dyDescent="0.3">
      <c r="A434" s="158" t="s">
        <v>283</v>
      </c>
      <c r="B434" s="159">
        <v>1</v>
      </c>
      <c r="C434" s="159" t="s">
        <v>184</v>
      </c>
      <c r="D434" s="476">
        <v>9.0500000000000007</v>
      </c>
      <c r="E434" s="477">
        <v>0.15</v>
      </c>
      <c r="F434" s="477">
        <v>0.15</v>
      </c>
      <c r="G434" s="477">
        <f>-0.15*0.15*4+0.15*0.15</f>
        <v>-6.7500000000000004E-2</v>
      </c>
      <c r="H434" s="477">
        <f t="shared" si="203"/>
        <v>2.6475000000000004</v>
      </c>
      <c r="I434" s="477"/>
      <c r="J434" s="477">
        <f t="shared" si="196"/>
        <v>0.20362500000000003</v>
      </c>
      <c r="K434" s="10"/>
      <c r="L434" s="10"/>
      <c r="M434" s="10"/>
      <c r="N434" s="10"/>
      <c r="O434" s="71"/>
      <c r="P434" s="153"/>
    </row>
    <row r="435" spans="1:16" s="62" customFormat="1" x14ac:dyDescent="0.3">
      <c r="A435" s="158" t="s">
        <v>284</v>
      </c>
      <c r="B435" s="159">
        <v>1</v>
      </c>
      <c r="C435" s="159" t="s">
        <v>184</v>
      </c>
      <c r="D435" s="476">
        <v>8.18</v>
      </c>
      <c r="E435" s="477">
        <v>0.15</v>
      </c>
      <c r="F435" s="477">
        <v>0.15</v>
      </c>
      <c r="G435" s="477">
        <f>-0.15*0.2*3+0.15*0.15</f>
        <v>-6.7500000000000004E-2</v>
      </c>
      <c r="H435" s="477">
        <f t="shared" si="203"/>
        <v>2.3864999999999998</v>
      </c>
      <c r="I435" s="477"/>
      <c r="J435" s="477">
        <f t="shared" si="196"/>
        <v>0.18404999999999996</v>
      </c>
      <c r="K435" s="10"/>
      <c r="L435" s="10"/>
      <c r="M435" s="10"/>
      <c r="N435" s="10"/>
      <c r="O435" s="71"/>
      <c r="P435" s="153"/>
    </row>
    <row r="436" spans="1:16" s="62" customFormat="1" x14ac:dyDescent="0.3">
      <c r="A436" s="158" t="s">
        <v>285</v>
      </c>
      <c r="B436" s="159">
        <v>1</v>
      </c>
      <c r="C436" s="159" t="s">
        <v>184</v>
      </c>
      <c r="D436" s="476">
        <v>13.05</v>
      </c>
      <c r="E436" s="477">
        <v>0.15</v>
      </c>
      <c r="F436" s="477">
        <v>0.15</v>
      </c>
      <c r="G436" s="477">
        <f>-0.15*0.2*3</f>
        <v>-0.09</v>
      </c>
      <c r="H436" s="477">
        <f t="shared" si="203"/>
        <v>3.8250000000000002</v>
      </c>
      <c r="I436" s="477"/>
      <c r="J436" s="477">
        <f t="shared" si="196"/>
        <v>0.29362499999999997</v>
      </c>
      <c r="K436" s="10"/>
      <c r="L436" s="10"/>
      <c r="M436" s="10"/>
      <c r="N436" s="10"/>
      <c r="O436" s="71"/>
      <c r="P436" s="153"/>
    </row>
    <row r="437" spans="1:16" s="62" customFormat="1" x14ac:dyDescent="0.3">
      <c r="A437" s="158" t="s">
        <v>286</v>
      </c>
      <c r="B437" s="159">
        <v>1</v>
      </c>
      <c r="C437" s="159" t="s">
        <v>184</v>
      </c>
      <c r="D437" s="476">
        <v>6.93</v>
      </c>
      <c r="E437" s="477">
        <v>0.15</v>
      </c>
      <c r="F437" s="477">
        <v>0.15</v>
      </c>
      <c r="G437" s="477">
        <f>-0.15*0.2*2+0.15*0.15</f>
        <v>-3.7499999999999999E-2</v>
      </c>
      <c r="H437" s="477">
        <f t="shared" si="203"/>
        <v>2.0414999999999996</v>
      </c>
      <c r="I437" s="477"/>
      <c r="J437" s="477">
        <f t="shared" si="196"/>
        <v>0.15592499999999998</v>
      </c>
      <c r="K437" s="10"/>
      <c r="L437" s="10"/>
      <c r="M437" s="10"/>
      <c r="N437" s="10"/>
      <c r="O437" s="71"/>
      <c r="P437" s="153"/>
    </row>
    <row r="438" spans="1:16" s="62" customFormat="1" x14ac:dyDescent="0.3">
      <c r="A438" s="158" t="s">
        <v>287</v>
      </c>
      <c r="B438" s="159">
        <v>1</v>
      </c>
      <c r="C438" s="159" t="s">
        <v>184</v>
      </c>
      <c r="D438" s="476">
        <f>8.45+0.2</f>
        <v>8.6499999999999986</v>
      </c>
      <c r="E438" s="477">
        <v>0.15</v>
      </c>
      <c r="F438" s="477">
        <v>0.15</v>
      </c>
      <c r="G438" s="477">
        <f>0.1*0.15*2+0.05*0.15</f>
        <v>3.7499999999999999E-2</v>
      </c>
      <c r="H438" s="477">
        <f t="shared" si="203"/>
        <v>2.6324999999999994</v>
      </c>
      <c r="I438" s="477">
        <f>0.15*0.15*0.4+0.05*0.15*0.45</f>
        <v>1.2374999999999999E-2</v>
      </c>
      <c r="J438" s="477">
        <f t="shared" si="196"/>
        <v>0.20699999999999993</v>
      </c>
      <c r="K438" s="10"/>
      <c r="L438" s="10"/>
      <c r="M438" s="10"/>
      <c r="N438" s="10"/>
      <c r="O438" s="71"/>
      <c r="P438" s="153"/>
    </row>
    <row r="439" spans="1:16" s="62" customFormat="1" x14ac:dyDescent="0.3">
      <c r="A439" s="158" t="s">
        <v>288</v>
      </c>
      <c r="B439" s="159">
        <v>1</v>
      </c>
      <c r="C439" s="159" t="s">
        <v>184</v>
      </c>
      <c r="D439" s="476">
        <f>8.45+0.2</f>
        <v>8.6499999999999986</v>
      </c>
      <c r="E439" s="477">
        <v>0.15</v>
      </c>
      <c r="F439" s="477">
        <v>0.15</v>
      </c>
      <c r="G439" s="477">
        <f>0.1*0.15*2+0.05*0.15</f>
        <v>3.7499999999999999E-2</v>
      </c>
      <c r="H439" s="477">
        <f t="shared" si="193"/>
        <v>3.9299999999999993</v>
      </c>
      <c r="I439" s="477"/>
      <c r="J439" s="477">
        <f t="shared" si="194"/>
        <v>0.19462499999999994</v>
      </c>
      <c r="K439" s="10"/>
      <c r="L439" s="10"/>
      <c r="M439" s="10"/>
      <c r="N439" s="10"/>
      <c r="O439" s="71"/>
      <c r="P439" s="153"/>
    </row>
    <row r="440" spans="1:16" s="62" customFormat="1" ht="28.8" x14ac:dyDescent="0.3">
      <c r="A440" s="485" t="s">
        <v>289</v>
      </c>
      <c r="B440" s="159">
        <v>4</v>
      </c>
      <c r="C440" s="159" t="s">
        <v>184</v>
      </c>
      <c r="D440" s="476">
        <v>0.25</v>
      </c>
      <c r="E440" s="477">
        <v>0.15</v>
      </c>
      <c r="F440" s="477">
        <v>0.15</v>
      </c>
      <c r="G440" s="477">
        <f>0.15*0.15*2</f>
        <v>4.4999999999999998E-2</v>
      </c>
      <c r="H440" s="477">
        <f t="shared" si="193"/>
        <v>0.49499999999999994</v>
      </c>
      <c r="I440" s="477"/>
      <c r="J440" s="477">
        <f t="shared" si="194"/>
        <v>2.2499999999999999E-2</v>
      </c>
      <c r="K440" s="10"/>
      <c r="L440" s="10"/>
      <c r="M440" s="10"/>
      <c r="N440" s="10"/>
      <c r="O440" s="71"/>
      <c r="P440" s="153"/>
    </row>
    <row r="441" spans="1:16" s="62" customFormat="1" ht="58.2" thickBot="1" x14ac:dyDescent="0.35">
      <c r="A441" s="485" t="s">
        <v>290</v>
      </c>
      <c r="B441" s="159">
        <v>6</v>
      </c>
      <c r="C441" s="159" t="s">
        <v>184</v>
      </c>
      <c r="D441" s="476">
        <v>0.25</v>
      </c>
      <c r="E441" s="477">
        <v>0.15</v>
      </c>
      <c r="F441" s="477">
        <v>0.15</v>
      </c>
      <c r="G441" s="477">
        <f>0.15*0.2</f>
        <v>0.03</v>
      </c>
      <c r="H441" s="477">
        <f t="shared" si="193"/>
        <v>0.70499999999999996</v>
      </c>
      <c r="I441" s="477"/>
      <c r="J441" s="477">
        <f t="shared" si="194"/>
        <v>3.3750000000000002E-2</v>
      </c>
      <c r="K441" s="10"/>
      <c r="L441" s="10"/>
      <c r="M441" s="10"/>
      <c r="N441" s="10"/>
      <c r="O441" s="71"/>
      <c r="P441" s="153"/>
    </row>
    <row r="442" spans="1:16" s="62" customFormat="1" ht="15" thickBot="1" x14ac:dyDescent="0.35">
      <c r="A442" s="685" t="s">
        <v>323</v>
      </c>
      <c r="B442" s="686"/>
      <c r="C442" s="686"/>
      <c r="D442" s="686"/>
      <c r="E442" s="686"/>
      <c r="F442" s="686"/>
      <c r="G442" s="686"/>
      <c r="H442" s="686"/>
      <c r="I442" s="686"/>
      <c r="J442" s="686"/>
      <c r="K442" s="686"/>
      <c r="L442" s="686"/>
      <c r="M442" s="686"/>
      <c r="N442" s="686"/>
      <c r="O442" s="686"/>
      <c r="P442" s="705"/>
    </row>
    <row r="443" spans="1:16" s="62" customFormat="1" x14ac:dyDescent="0.3">
      <c r="A443" s="494" t="s">
        <v>350</v>
      </c>
      <c r="B443" s="495">
        <v>1</v>
      </c>
      <c r="C443" s="495" t="s">
        <v>50</v>
      </c>
      <c r="D443" s="476">
        <v>4.1500000000000004</v>
      </c>
      <c r="E443" s="477">
        <v>0.2</v>
      </c>
      <c r="F443" s="477">
        <v>0.5</v>
      </c>
      <c r="G443" s="477"/>
      <c r="H443" s="477">
        <f t="shared" si="193"/>
        <v>4.9800000000000004</v>
      </c>
      <c r="I443" s="477"/>
      <c r="J443" s="477">
        <f t="shared" si="194"/>
        <v>0.41500000000000004</v>
      </c>
      <c r="K443" s="10"/>
      <c r="L443" s="10"/>
      <c r="M443" s="10"/>
      <c r="N443" s="10"/>
      <c r="O443" s="71"/>
      <c r="P443" s="153"/>
    </row>
    <row r="444" spans="1:16" s="62" customFormat="1" x14ac:dyDescent="0.3">
      <c r="A444" s="494" t="s">
        <v>351</v>
      </c>
      <c r="B444" s="495">
        <v>1</v>
      </c>
      <c r="C444" s="495" t="s">
        <v>50</v>
      </c>
      <c r="D444" s="476">
        <v>8.15</v>
      </c>
      <c r="E444" s="477">
        <v>0.15</v>
      </c>
      <c r="F444" s="477">
        <v>0.5</v>
      </c>
      <c r="G444" s="477">
        <f>-0.15*0.5*2-0.25*0.5+0.1*0.5+0.05*0.5*2-3.58*0.1-4.1*0.1</f>
        <v>-0.94300000000000006</v>
      </c>
      <c r="H444" s="477">
        <f t="shared" si="193"/>
        <v>8.4295000000000009</v>
      </c>
      <c r="I444" s="477">
        <f>0.05*0.5*0.25</f>
        <v>6.2500000000000003E-3</v>
      </c>
      <c r="J444" s="477">
        <f t="shared" si="194"/>
        <v>0.61749999999999994</v>
      </c>
      <c r="K444" s="10"/>
      <c r="L444" s="10"/>
      <c r="M444" s="10"/>
      <c r="N444" s="10"/>
      <c r="O444" s="71"/>
      <c r="P444" s="153"/>
    </row>
    <row r="445" spans="1:16" s="62" customFormat="1" x14ac:dyDescent="0.3">
      <c r="A445" s="494" t="s">
        <v>352</v>
      </c>
      <c r="B445" s="495">
        <v>1</v>
      </c>
      <c r="C445" s="495" t="s">
        <v>50</v>
      </c>
      <c r="D445" s="476">
        <v>4.0999999999999996</v>
      </c>
      <c r="E445" s="477">
        <v>0.2</v>
      </c>
      <c r="F445" s="477">
        <v>0.5</v>
      </c>
      <c r="G445" s="477">
        <f>0.2*0.5-0.25*0.5</f>
        <v>-2.4999999999999994E-2</v>
      </c>
      <c r="H445" s="477">
        <f t="shared" ref="H445:H459" si="204">(((2*D445*F445+D445*E445))*B445)+G445</f>
        <v>4.8949999999999996</v>
      </c>
      <c r="I445" s="477"/>
      <c r="J445" s="477">
        <f t="shared" ref="J445:J459" si="205">(D445*E445*F445)*B445+I445</f>
        <v>0.41</v>
      </c>
      <c r="K445" s="10"/>
      <c r="L445" s="10"/>
      <c r="M445" s="10"/>
      <c r="N445" s="10"/>
      <c r="O445" s="71"/>
      <c r="P445" s="153"/>
    </row>
    <row r="446" spans="1:16" s="62" customFormat="1" x14ac:dyDescent="0.3">
      <c r="A446" s="494" t="s">
        <v>353</v>
      </c>
      <c r="B446" s="495">
        <v>1</v>
      </c>
      <c r="C446" s="495" t="s">
        <v>50</v>
      </c>
      <c r="D446" s="476">
        <v>8.15</v>
      </c>
      <c r="E446" s="477">
        <v>0.15</v>
      </c>
      <c r="F446" s="477">
        <v>0.5</v>
      </c>
      <c r="G446" s="477">
        <f>-0.15*0.5*2+0.05*0.5*2-3.58*0.1-4.1*0.1</f>
        <v>-0.86799999999999999</v>
      </c>
      <c r="H446" s="477">
        <f t="shared" si="204"/>
        <v>8.5045000000000002</v>
      </c>
      <c r="I446" s="477">
        <f>0.05*0.5*0.6</f>
        <v>1.4999999999999999E-2</v>
      </c>
      <c r="J446" s="477">
        <f t="shared" si="205"/>
        <v>0.62624999999999997</v>
      </c>
      <c r="K446" s="10"/>
      <c r="L446" s="10"/>
      <c r="M446" s="10"/>
      <c r="N446" s="10"/>
      <c r="O446" s="71"/>
      <c r="P446" s="153"/>
    </row>
    <row r="447" spans="1:16" s="62" customFormat="1" x14ac:dyDescent="0.3">
      <c r="A447" s="494" t="s">
        <v>354</v>
      </c>
      <c r="B447" s="495">
        <v>1</v>
      </c>
      <c r="C447" s="495" t="s">
        <v>50</v>
      </c>
      <c r="D447" s="476">
        <v>8.43</v>
      </c>
      <c r="E447" s="477">
        <v>0.25</v>
      </c>
      <c r="F447" s="477">
        <v>0.5</v>
      </c>
      <c r="G447" s="477">
        <f>-0.15*0.5*2-0.25*0.5*2+0.25*0.5</f>
        <v>-0.27500000000000002</v>
      </c>
      <c r="H447" s="477">
        <f t="shared" si="204"/>
        <v>10.262499999999999</v>
      </c>
      <c r="I447" s="477"/>
      <c r="J447" s="477">
        <f t="shared" si="205"/>
        <v>1.05375</v>
      </c>
      <c r="K447" s="10"/>
      <c r="L447" s="10"/>
      <c r="M447" s="10"/>
      <c r="N447" s="10"/>
      <c r="O447" s="71"/>
      <c r="P447" s="153"/>
    </row>
    <row r="448" spans="1:16" s="62" customFormat="1" x14ac:dyDescent="0.3">
      <c r="A448" s="494" t="s">
        <v>355</v>
      </c>
      <c r="B448" s="495">
        <v>1</v>
      </c>
      <c r="C448" s="495" t="s">
        <v>50</v>
      </c>
      <c r="D448" s="476">
        <v>7.83</v>
      </c>
      <c r="E448" s="477">
        <v>0.25</v>
      </c>
      <c r="F448" s="477">
        <v>0.5</v>
      </c>
      <c r="G448" s="477">
        <f>-0.25*0.5</f>
        <v>-0.125</v>
      </c>
      <c r="H448" s="477">
        <f t="shared" si="204"/>
        <v>9.6624999999999996</v>
      </c>
      <c r="I448" s="477"/>
      <c r="J448" s="477">
        <f t="shared" si="205"/>
        <v>0.97875000000000001</v>
      </c>
      <c r="K448" s="10"/>
      <c r="L448" s="10"/>
      <c r="M448" s="10"/>
      <c r="N448" s="10"/>
      <c r="O448" s="71"/>
      <c r="P448" s="153"/>
    </row>
    <row r="449" spans="1:16" s="62" customFormat="1" x14ac:dyDescent="0.3">
      <c r="A449" s="494" t="s">
        <v>356</v>
      </c>
      <c r="B449" s="495">
        <v>1</v>
      </c>
      <c r="C449" s="495" t="s">
        <v>50</v>
      </c>
      <c r="D449" s="476">
        <v>8.43</v>
      </c>
      <c r="E449" s="477">
        <v>0.2</v>
      </c>
      <c r="F449" s="477">
        <v>0.5</v>
      </c>
      <c r="G449" s="477">
        <f>-0.15*0.5*6+0.2*0.5-((8.43-0.15*3)*0.1)</f>
        <v>-1.1480000000000001</v>
      </c>
      <c r="H449" s="477">
        <f t="shared" si="204"/>
        <v>8.968</v>
      </c>
      <c r="I449" s="477"/>
      <c r="J449" s="477">
        <f t="shared" si="205"/>
        <v>0.84299999999999997</v>
      </c>
      <c r="K449" s="10"/>
      <c r="L449" s="10"/>
      <c r="M449" s="10"/>
      <c r="N449" s="10"/>
      <c r="O449" s="71"/>
      <c r="P449" s="153"/>
    </row>
    <row r="450" spans="1:16" s="62" customFormat="1" x14ac:dyDescent="0.3">
      <c r="A450" s="494" t="s">
        <v>357</v>
      </c>
      <c r="B450" s="495">
        <v>1</v>
      </c>
      <c r="C450" s="495" t="s">
        <v>50</v>
      </c>
      <c r="D450" s="476">
        <v>7.83</v>
      </c>
      <c r="E450" s="477">
        <v>0.2</v>
      </c>
      <c r="F450" s="477">
        <v>0.5</v>
      </c>
      <c r="G450" s="477">
        <f>-0.15*0.5*2-0.25*0.5+0.2*0.5</f>
        <v>-0.17500000000000002</v>
      </c>
      <c r="H450" s="477">
        <f t="shared" si="204"/>
        <v>9.2210000000000001</v>
      </c>
      <c r="I450" s="477"/>
      <c r="J450" s="477">
        <f t="shared" si="205"/>
        <v>0.78300000000000003</v>
      </c>
      <c r="K450" s="10"/>
      <c r="L450" s="10"/>
      <c r="M450" s="10"/>
      <c r="N450" s="10"/>
      <c r="O450" s="71"/>
      <c r="P450" s="153"/>
    </row>
    <row r="451" spans="1:16" s="62" customFormat="1" x14ac:dyDescent="0.3">
      <c r="A451" s="494" t="s">
        <v>358</v>
      </c>
      <c r="B451" s="495">
        <v>1</v>
      </c>
      <c r="C451" s="495" t="s">
        <v>50</v>
      </c>
      <c r="D451" s="476">
        <v>16.25</v>
      </c>
      <c r="E451" s="477">
        <v>0.15</v>
      </c>
      <c r="F451" s="477">
        <v>0.5</v>
      </c>
      <c r="G451" s="477">
        <f>-0.15*0.5*8-0.25*0.5*2+0.15*0.5*2-((16.25-0.15*5-0.25)*0.1)</f>
        <v>-2.2250000000000001</v>
      </c>
      <c r="H451" s="477">
        <f t="shared" si="204"/>
        <v>16.462499999999999</v>
      </c>
      <c r="I451" s="477"/>
      <c r="J451" s="477">
        <f t="shared" si="205"/>
        <v>1.21875</v>
      </c>
      <c r="K451" s="10"/>
      <c r="L451" s="10"/>
      <c r="M451" s="10"/>
      <c r="N451" s="10"/>
      <c r="O451" s="71"/>
      <c r="P451" s="153"/>
    </row>
    <row r="452" spans="1:16" s="62" customFormat="1" x14ac:dyDescent="0.3">
      <c r="A452" s="494" t="s">
        <v>359</v>
      </c>
      <c r="B452" s="495">
        <v>1</v>
      </c>
      <c r="C452" s="495" t="s">
        <v>50</v>
      </c>
      <c r="D452" s="476">
        <f>5.75+4+0.4+0.2</f>
        <v>10.35</v>
      </c>
      <c r="E452" s="477">
        <v>0.15</v>
      </c>
      <c r="F452" s="477">
        <v>0.5</v>
      </c>
      <c r="G452" s="477">
        <f>0.05*0.5+0.1*0.45</f>
        <v>7.0000000000000007E-2</v>
      </c>
      <c r="H452" s="477">
        <f t="shared" si="204"/>
        <v>11.9725</v>
      </c>
      <c r="I452" s="477">
        <f>0.05*0.3*0.5+0.1*0.45*0.5</f>
        <v>3.0000000000000002E-2</v>
      </c>
      <c r="J452" s="477">
        <f t="shared" si="205"/>
        <v>0.80625000000000002</v>
      </c>
      <c r="K452" s="10"/>
      <c r="L452" s="10"/>
      <c r="M452" s="10"/>
      <c r="N452" s="10"/>
      <c r="O452" s="71"/>
      <c r="P452" s="153"/>
    </row>
    <row r="453" spans="1:16" s="62" customFormat="1" x14ac:dyDescent="0.3">
      <c r="A453" s="494" t="s">
        <v>360</v>
      </c>
      <c r="B453" s="495">
        <v>1</v>
      </c>
      <c r="C453" s="495" t="s">
        <v>50</v>
      </c>
      <c r="D453" s="476">
        <v>1.85</v>
      </c>
      <c r="E453" s="477">
        <v>0.15</v>
      </c>
      <c r="F453" s="477">
        <v>0.5</v>
      </c>
      <c r="G453" s="477">
        <f>-1.85*0.1</f>
        <v>-0.18500000000000003</v>
      </c>
      <c r="H453" s="477">
        <f t="shared" si="204"/>
        <v>1.9424999999999999</v>
      </c>
      <c r="I453" s="477"/>
      <c r="J453" s="477">
        <f t="shared" si="205"/>
        <v>0.13875000000000001</v>
      </c>
      <c r="K453" s="10"/>
      <c r="L453" s="10"/>
      <c r="M453" s="10"/>
      <c r="N453" s="10"/>
      <c r="O453" s="71"/>
      <c r="P453" s="153"/>
    </row>
    <row r="454" spans="1:16" s="62" customFormat="1" x14ac:dyDescent="0.3">
      <c r="A454" s="494" t="s">
        <v>361</v>
      </c>
      <c r="B454" s="495">
        <v>1</v>
      </c>
      <c r="C454" s="495" t="s">
        <v>50</v>
      </c>
      <c r="D454" s="476">
        <v>0.4</v>
      </c>
      <c r="E454" s="477">
        <v>0.15</v>
      </c>
      <c r="F454" s="477">
        <v>0.5</v>
      </c>
      <c r="G454" s="477"/>
      <c r="H454" s="477">
        <f t="shared" si="204"/>
        <v>0.46</v>
      </c>
      <c r="I454" s="477"/>
      <c r="J454" s="477">
        <f t="shared" si="205"/>
        <v>0.03</v>
      </c>
      <c r="K454" s="10"/>
      <c r="L454" s="10"/>
      <c r="M454" s="10"/>
      <c r="N454" s="10"/>
      <c r="O454" s="71"/>
      <c r="P454" s="153"/>
    </row>
    <row r="455" spans="1:16" s="62" customFormat="1" x14ac:dyDescent="0.3">
      <c r="A455" s="494" t="s">
        <v>362</v>
      </c>
      <c r="B455" s="495">
        <v>1</v>
      </c>
      <c r="C455" s="495" t="s">
        <v>50</v>
      </c>
      <c r="D455" s="476">
        <f>1.85+3.75</f>
        <v>5.6</v>
      </c>
      <c r="E455" s="477">
        <v>0.15</v>
      </c>
      <c r="F455" s="477">
        <v>0.5</v>
      </c>
      <c r="G455" s="477">
        <f>0.1*0.5-1.85*0.1*2</f>
        <v>-0.32000000000000006</v>
      </c>
      <c r="H455" s="477">
        <f t="shared" si="204"/>
        <v>6.1199999999999992</v>
      </c>
      <c r="I455" s="477">
        <f>0.1*0.5*0.05</f>
        <v>2.5000000000000005E-3</v>
      </c>
      <c r="J455" s="477">
        <f t="shared" si="205"/>
        <v>0.42249999999999999</v>
      </c>
      <c r="K455" s="10"/>
      <c r="L455" s="10"/>
      <c r="M455" s="10"/>
      <c r="N455" s="10"/>
      <c r="O455" s="71"/>
      <c r="P455" s="153"/>
    </row>
    <row r="456" spans="1:16" s="62" customFormat="1" x14ac:dyDescent="0.3">
      <c r="A456" s="494" t="s">
        <v>363</v>
      </c>
      <c r="B456" s="495">
        <v>1</v>
      </c>
      <c r="C456" s="495" t="s">
        <v>50</v>
      </c>
      <c r="D456" s="476">
        <v>3.8</v>
      </c>
      <c r="E456" s="477">
        <v>0.15</v>
      </c>
      <c r="F456" s="477">
        <v>0.5</v>
      </c>
      <c r="G456" s="477"/>
      <c r="H456" s="477">
        <f t="shared" si="204"/>
        <v>4.37</v>
      </c>
      <c r="I456" s="477"/>
      <c r="J456" s="477">
        <f t="shared" si="205"/>
        <v>0.28499999999999998</v>
      </c>
      <c r="K456" s="10"/>
      <c r="L456" s="10"/>
      <c r="M456" s="10"/>
      <c r="N456" s="10"/>
      <c r="O456" s="71"/>
      <c r="P456" s="153"/>
    </row>
    <row r="457" spans="1:16" s="62" customFormat="1" x14ac:dyDescent="0.3">
      <c r="A457" s="494" t="s">
        <v>364</v>
      </c>
      <c r="B457" s="495">
        <v>1</v>
      </c>
      <c r="C457" s="495" t="s">
        <v>50</v>
      </c>
      <c r="D457" s="476">
        <v>0.4</v>
      </c>
      <c r="E457" s="477">
        <v>0.15</v>
      </c>
      <c r="F457" s="477">
        <v>0.5</v>
      </c>
      <c r="G457" s="477"/>
      <c r="H457" s="477">
        <f t="shared" si="204"/>
        <v>0.46</v>
      </c>
      <c r="I457" s="477"/>
      <c r="J457" s="477">
        <f t="shared" si="205"/>
        <v>0.03</v>
      </c>
      <c r="K457" s="10"/>
      <c r="L457" s="10"/>
      <c r="M457" s="10"/>
      <c r="N457" s="10"/>
      <c r="O457" s="71"/>
      <c r="P457" s="153"/>
    </row>
    <row r="458" spans="1:16" s="62" customFormat="1" x14ac:dyDescent="0.3">
      <c r="A458" s="494" t="s">
        <v>365</v>
      </c>
      <c r="B458" s="495">
        <v>1</v>
      </c>
      <c r="C458" s="495" t="s">
        <v>50</v>
      </c>
      <c r="D458" s="476">
        <v>1.85</v>
      </c>
      <c r="E458" s="477">
        <v>0.15</v>
      </c>
      <c r="F458" s="477">
        <v>0.5</v>
      </c>
      <c r="G458" s="477">
        <f>-1.85*0.1</f>
        <v>-0.18500000000000003</v>
      </c>
      <c r="H458" s="477">
        <f t="shared" si="204"/>
        <v>1.9424999999999999</v>
      </c>
      <c r="I458" s="477"/>
      <c r="J458" s="477">
        <f t="shared" si="205"/>
        <v>0.13875000000000001</v>
      </c>
      <c r="K458" s="10"/>
      <c r="L458" s="10"/>
      <c r="M458" s="10"/>
      <c r="N458" s="10"/>
      <c r="O458" s="71"/>
      <c r="P458" s="153"/>
    </row>
    <row r="459" spans="1:16" s="62" customFormat="1" x14ac:dyDescent="0.3">
      <c r="A459" s="494" t="s">
        <v>366</v>
      </c>
      <c r="B459" s="495">
        <v>1</v>
      </c>
      <c r="C459" s="495" t="s">
        <v>50</v>
      </c>
      <c r="D459" s="476">
        <f>5.75+3.8+0.4+0.2</f>
        <v>10.15</v>
      </c>
      <c r="E459" s="477">
        <v>0.25</v>
      </c>
      <c r="F459" s="477">
        <v>0.5</v>
      </c>
      <c r="G459" s="477">
        <f>0.25*0.5</f>
        <v>0.125</v>
      </c>
      <c r="H459" s="477">
        <f t="shared" si="204"/>
        <v>12.8125</v>
      </c>
      <c r="I459" s="477"/>
      <c r="J459" s="477">
        <f t="shared" si="205"/>
        <v>1.26875</v>
      </c>
      <c r="K459" s="10"/>
      <c r="L459" s="10"/>
      <c r="M459" s="10"/>
      <c r="N459" s="10"/>
      <c r="O459" s="71"/>
      <c r="P459" s="153"/>
    </row>
    <row r="460" spans="1:16" s="62" customFormat="1" x14ac:dyDescent="0.3">
      <c r="A460" s="494" t="s">
        <v>367</v>
      </c>
      <c r="B460" s="495">
        <v>1</v>
      </c>
      <c r="C460" s="495" t="s">
        <v>50</v>
      </c>
      <c r="D460" s="476">
        <v>0.2</v>
      </c>
      <c r="E460" s="477">
        <v>0.5</v>
      </c>
      <c r="F460" s="477"/>
      <c r="G460" s="477">
        <f>-D460*E460</f>
        <v>-0.1</v>
      </c>
      <c r="H460" s="477">
        <f>G460*B460</f>
        <v>-0.1</v>
      </c>
      <c r="I460" s="477"/>
      <c r="J460" s="477"/>
      <c r="K460" s="10"/>
      <c r="L460" s="10"/>
      <c r="M460" s="10"/>
      <c r="N460" s="10"/>
      <c r="O460" s="71"/>
      <c r="P460" s="153"/>
    </row>
    <row r="461" spans="1:16" s="62" customFormat="1" ht="28.8" x14ac:dyDescent="0.3">
      <c r="A461" s="496" t="s">
        <v>368</v>
      </c>
      <c r="B461" s="495">
        <v>4</v>
      </c>
      <c r="C461" s="495" t="s">
        <v>50</v>
      </c>
      <c r="D461" s="476">
        <v>0.15</v>
      </c>
      <c r="E461" s="477">
        <v>0.4</v>
      </c>
      <c r="F461" s="477"/>
      <c r="G461" s="477">
        <f t="shared" ref="G461:G466" si="206">-D461*E461</f>
        <v>-0.06</v>
      </c>
      <c r="H461" s="477">
        <f t="shared" ref="H461:H466" si="207">G461*B461</f>
        <v>-0.24</v>
      </c>
      <c r="I461" s="477"/>
      <c r="J461" s="477"/>
      <c r="K461" s="10"/>
      <c r="L461" s="10"/>
      <c r="M461" s="10"/>
      <c r="N461" s="10"/>
      <c r="O461" s="71"/>
      <c r="P461" s="153"/>
    </row>
    <row r="462" spans="1:16" s="62" customFormat="1" x14ac:dyDescent="0.3">
      <c r="A462" s="496" t="s">
        <v>369</v>
      </c>
      <c r="B462" s="495">
        <v>1</v>
      </c>
      <c r="C462" s="495" t="s">
        <v>50</v>
      </c>
      <c r="D462" s="476">
        <v>0.25</v>
      </c>
      <c r="E462" s="477">
        <v>0.5</v>
      </c>
      <c r="F462" s="477"/>
      <c r="G462" s="477">
        <f t="shared" si="206"/>
        <v>-0.125</v>
      </c>
      <c r="H462" s="477">
        <f t="shared" si="207"/>
        <v>-0.125</v>
      </c>
      <c r="I462" s="477"/>
      <c r="J462" s="477"/>
      <c r="K462" s="10"/>
      <c r="L462" s="10"/>
      <c r="M462" s="10"/>
      <c r="N462" s="10"/>
      <c r="O462" s="71"/>
      <c r="P462" s="153"/>
    </row>
    <row r="463" spans="1:16" s="62" customFormat="1" x14ac:dyDescent="0.3">
      <c r="A463" s="496" t="s">
        <v>370</v>
      </c>
      <c r="B463" s="495">
        <v>2</v>
      </c>
      <c r="C463" s="495" t="s">
        <v>50</v>
      </c>
      <c r="D463" s="476">
        <v>0.2</v>
      </c>
      <c r="E463" s="477">
        <v>0.6</v>
      </c>
      <c r="F463" s="477"/>
      <c r="G463" s="477">
        <f t="shared" si="206"/>
        <v>-0.12</v>
      </c>
      <c r="H463" s="477">
        <f t="shared" si="207"/>
        <v>-0.24</v>
      </c>
      <c r="I463" s="477"/>
      <c r="J463" s="477"/>
      <c r="K463" s="10"/>
      <c r="L463" s="10"/>
      <c r="M463" s="10"/>
      <c r="N463" s="10"/>
      <c r="O463" s="71"/>
      <c r="P463" s="153"/>
    </row>
    <row r="464" spans="1:16" s="62" customFormat="1" ht="28.8" x14ac:dyDescent="0.3">
      <c r="A464" s="496" t="s">
        <v>371</v>
      </c>
      <c r="B464" s="495">
        <v>3</v>
      </c>
      <c r="C464" s="495" t="s">
        <v>50</v>
      </c>
      <c r="D464" s="476">
        <v>0.25</v>
      </c>
      <c r="E464" s="477">
        <v>0.7</v>
      </c>
      <c r="F464" s="477"/>
      <c r="G464" s="477">
        <f t="shared" si="206"/>
        <v>-0.17499999999999999</v>
      </c>
      <c r="H464" s="477">
        <f t="shared" si="207"/>
        <v>-0.52499999999999991</v>
      </c>
      <c r="I464" s="477"/>
      <c r="J464" s="477"/>
      <c r="K464" s="10"/>
      <c r="L464" s="10"/>
      <c r="M464" s="10"/>
      <c r="N464" s="10"/>
      <c r="O464" s="71"/>
      <c r="P464" s="153"/>
    </row>
    <row r="465" spans="1:16" s="62" customFormat="1" ht="28.8" x14ac:dyDescent="0.3">
      <c r="A465" s="496" t="s">
        <v>372</v>
      </c>
      <c r="B465" s="495">
        <v>3</v>
      </c>
      <c r="C465" s="495" t="s">
        <v>50</v>
      </c>
      <c r="D465" s="476">
        <v>0.15</v>
      </c>
      <c r="E465" s="477">
        <v>0.95</v>
      </c>
      <c r="F465" s="477"/>
      <c r="G465" s="477">
        <f t="shared" si="206"/>
        <v>-0.14249999999999999</v>
      </c>
      <c r="H465" s="477">
        <f t="shared" si="207"/>
        <v>-0.42749999999999999</v>
      </c>
      <c r="I465" s="477"/>
      <c r="J465" s="477"/>
      <c r="K465" s="10"/>
      <c r="L465" s="10"/>
      <c r="M465" s="10"/>
      <c r="N465" s="10"/>
      <c r="O465" s="71"/>
      <c r="P465" s="153"/>
    </row>
    <row r="466" spans="1:16" s="62" customFormat="1" x14ac:dyDescent="0.3">
      <c r="A466" s="496" t="s">
        <v>373</v>
      </c>
      <c r="B466" s="495">
        <v>1</v>
      </c>
      <c r="C466" s="495" t="s">
        <v>50</v>
      </c>
      <c r="D466" s="476">
        <v>0.25</v>
      </c>
      <c r="E466" s="477">
        <v>0.95</v>
      </c>
      <c r="F466" s="477"/>
      <c r="G466" s="477">
        <f t="shared" si="206"/>
        <v>-0.23749999999999999</v>
      </c>
      <c r="H466" s="477">
        <f t="shared" si="207"/>
        <v>-0.23749999999999999</v>
      </c>
      <c r="I466" s="477"/>
      <c r="J466" s="477"/>
      <c r="K466" s="10"/>
      <c r="L466" s="10"/>
      <c r="M466" s="10"/>
      <c r="N466" s="10"/>
      <c r="O466" s="71"/>
      <c r="P466" s="153"/>
    </row>
    <row r="467" spans="1:16" s="62" customFormat="1" ht="86.4" x14ac:dyDescent="0.3">
      <c r="A467" s="496" t="s">
        <v>414</v>
      </c>
      <c r="B467" s="495">
        <v>10</v>
      </c>
      <c r="C467" s="495" t="s">
        <v>50</v>
      </c>
      <c r="D467" s="476">
        <v>0.4</v>
      </c>
      <c r="E467" s="477"/>
      <c r="F467" s="477">
        <v>0.1</v>
      </c>
      <c r="G467" s="477">
        <f>-D467*F467</f>
        <v>-4.0000000000000008E-2</v>
      </c>
      <c r="H467" s="477">
        <f>G467*B467</f>
        <v>-0.40000000000000008</v>
      </c>
      <c r="I467" s="477"/>
      <c r="J467" s="477"/>
      <c r="K467" s="10"/>
      <c r="L467" s="10"/>
      <c r="M467" s="10"/>
      <c r="N467" s="10"/>
      <c r="O467" s="71"/>
      <c r="P467" s="153"/>
    </row>
    <row r="468" spans="1:16" s="62" customFormat="1" x14ac:dyDescent="0.3">
      <c r="A468" s="494" t="s">
        <v>385</v>
      </c>
      <c r="B468" s="495">
        <v>1</v>
      </c>
      <c r="C468" s="495" t="s">
        <v>184</v>
      </c>
      <c r="D468" s="476">
        <v>4.1500000000000004</v>
      </c>
      <c r="E468" s="477">
        <v>0.15</v>
      </c>
      <c r="F468" s="477">
        <v>0.15</v>
      </c>
      <c r="G468" s="477">
        <f>-0.2*0.15</f>
        <v>-0.03</v>
      </c>
      <c r="H468" s="477">
        <f>(((2*D468*F468))*B468)+G468</f>
        <v>1.2150000000000001</v>
      </c>
      <c r="I468" s="477"/>
      <c r="J468" s="477">
        <f t="shared" si="194"/>
        <v>9.3375E-2</v>
      </c>
      <c r="K468" s="10"/>
      <c r="L468" s="10"/>
      <c r="M468" s="10"/>
      <c r="N468" s="10"/>
      <c r="O468" s="71"/>
      <c r="P468" s="153"/>
    </row>
    <row r="469" spans="1:16" s="62" customFormat="1" x14ac:dyDescent="0.3">
      <c r="A469" s="494" t="s">
        <v>386</v>
      </c>
      <c r="B469" s="495">
        <v>1</v>
      </c>
      <c r="C469" s="495" t="s">
        <v>184</v>
      </c>
      <c r="D469" s="476">
        <v>8</v>
      </c>
      <c r="E469" s="477">
        <v>0.15</v>
      </c>
      <c r="F469" s="477">
        <v>0.15</v>
      </c>
      <c r="G469" s="477">
        <f>-0.15*0.15+0.05*0.15</f>
        <v>-1.4999999999999999E-2</v>
      </c>
      <c r="H469" s="477">
        <f t="shared" ref="H469:H476" si="208">(((2*D469*F469))*B469)+G469</f>
        <v>2.3849999999999998</v>
      </c>
      <c r="I469" s="477">
        <f>0.05*0.15*0.25</f>
        <v>1.8749999999999999E-3</v>
      </c>
      <c r="J469" s="477">
        <f t="shared" si="194"/>
        <v>0.18187499999999998</v>
      </c>
      <c r="K469" s="10"/>
      <c r="L469" s="10"/>
      <c r="M469" s="10"/>
      <c r="N469" s="10"/>
      <c r="O469" s="71"/>
      <c r="P469" s="153"/>
    </row>
    <row r="470" spans="1:16" s="62" customFormat="1" x14ac:dyDescent="0.3">
      <c r="A470" s="494" t="s">
        <v>387</v>
      </c>
      <c r="B470" s="495">
        <v>1</v>
      </c>
      <c r="C470" s="495" t="s">
        <v>184</v>
      </c>
      <c r="D470" s="476">
        <v>4.0999999999999996</v>
      </c>
      <c r="E470" s="477">
        <v>0.15</v>
      </c>
      <c r="F470" s="477">
        <v>0.15</v>
      </c>
      <c r="G470" s="477">
        <f>-0.25*0.15+0.15*0.15</f>
        <v>-1.4999999999999999E-2</v>
      </c>
      <c r="H470" s="477">
        <f t="shared" si="208"/>
        <v>1.2149999999999999</v>
      </c>
      <c r="I470" s="477"/>
      <c r="J470" s="477">
        <f t="shared" si="194"/>
        <v>9.2249999999999985E-2</v>
      </c>
      <c r="K470" s="10"/>
      <c r="L470" s="10"/>
      <c r="M470" s="10"/>
      <c r="N470" s="10"/>
      <c r="O470" s="71"/>
      <c r="P470" s="153"/>
    </row>
    <row r="471" spans="1:16" s="62" customFormat="1" x14ac:dyDescent="0.3">
      <c r="A471" s="494" t="s">
        <v>388</v>
      </c>
      <c r="B471" s="495">
        <v>1</v>
      </c>
      <c r="C471" s="495" t="s">
        <v>184</v>
      </c>
      <c r="D471" s="476">
        <v>8.15</v>
      </c>
      <c r="E471" s="477">
        <v>0.15</v>
      </c>
      <c r="F471" s="477">
        <v>0.15</v>
      </c>
      <c r="G471" s="477">
        <f>0.05*0.15*2</f>
        <v>1.4999999999999999E-2</v>
      </c>
      <c r="H471" s="477">
        <f t="shared" si="208"/>
        <v>2.46</v>
      </c>
      <c r="I471" s="477"/>
      <c r="J471" s="477">
        <f t="shared" si="194"/>
        <v>0.18337499999999998</v>
      </c>
      <c r="K471" s="10"/>
      <c r="L471" s="10"/>
      <c r="M471" s="10"/>
      <c r="N471" s="10"/>
      <c r="O471" s="71"/>
      <c r="P471" s="153"/>
    </row>
    <row r="472" spans="1:16" s="62" customFormat="1" x14ac:dyDescent="0.3">
      <c r="A472" s="494" t="s">
        <v>389</v>
      </c>
      <c r="B472" s="495">
        <v>1</v>
      </c>
      <c r="C472" s="495" t="s">
        <v>184</v>
      </c>
      <c r="D472" s="476">
        <v>16.25</v>
      </c>
      <c r="E472" s="477">
        <v>0.15</v>
      </c>
      <c r="F472" s="477">
        <v>0.15</v>
      </c>
      <c r="G472" s="477">
        <f>-0.15*0.15*6-0.25*0.15*2+0.15*0.15*2</f>
        <v>-0.16500000000000004</v>
      </c>
      <c r="H472" s="477">
        <f t="shared" si="208"/>
        <v>4.71</v>
      </c>
      <c r="I472" s="477"/>
      <c r="J472" s="477">
        <f t="shared" si="194"/>
        <v>0.36562499999999998</v>
      </c>
      <c r="K472" s="10"/>
      <c r="L472" s="10"/>
      <c r="M472" s="10"/>
      <c r="N472" s="10"/>
      <c r="O472" s="71"/>
      <c r="P472" s="153"/>
    </row>
    <row r="473" spans="1:16" s="62" customFormat="1" x14ac:dyDescent="0.3">
      <c r="A473" s="494" t="s">
        <v>390</v>
      </c>
      <c r="B473" s="495">
        <v>1</v>
      </c>
      <c r="C473" s="495" t="s">
        <v>184</v>
      </c>
      <c r="D473" s="476">
        <f>10.45+0.2</f>
        <v>10.649999999999999</v>
      </c>
      <c r="E473" s="477">
        <v>0.15</v>
      </c>
      <c r="F473" s="477">
        <v>0.15</v>
      </c>
      <c r="G473" s="477">
        <f>0.05*0.15+0.1*0.15*2+0.15*0.15</f>
        <v>0.06</v>
      </c>
      <c r="H473" s="477">
        <f t="shared" si="208"/>
        <v>3.2549999999999994</v>
      </c>
      <c r="I473" s="477">
        <f>0.05*0.15*0.35+0.1*0.15*0.7</f>
        <v>1.3124999999999998E-2</v>
      </c>
      <c r="J473" s="477">
        <f t="shared" si="194"/>
        <v>0.25274999999999992</v>
      </c>
      <c r="K473" s="10"/>
      <c r="L473" s="10"/>
      <c r="M473" s="10"/>
      <c r="N473" s="10"/>
      <c r="O473" s="71"/>
      <c r="P473" s="153"/>
    </row>
    <row r="474" spans="1:16" s="62" customFormat="1" x14ac:dyDescent="0.3">
      <c r="A474" s="494" t="s">
        <v>391</v>
      </c>
      <c r="B474" s="495">
        <v>1</v>
      </c>
      <c r="C474" s="495" t="s">
        <v>184</v>
      </c>
      <c r="D474" s="476">
        <v>1.85</v>
      </c>
      <c r="E474" s="477">
        <v>0.15</v>
      </c>
      <c r="F474" s="477">
        <v>0.15</v>
      </c>
      <c r="G474" s="477"/>
      <c r="H474" s="477">
        <f t="shared" si="208"/>
        <v>0.55500000000000005</v>
      </c>
      <c r="I474" s="477"/>
      <c r="J474" s="477">
        <f t="shared" si="194"/>
        <v>4.1625000000000002E-2</v>
      </c>
      <c r="K474" s="10"/>
      <c r="L474" s="10"/>
      <c r="M474" s="10"/>
      <c r="N474" s="10"/>
      <c r="O474" s="71"/>
      <c r="P474" s="153"/>
    </row>
    <row r="475" spans="1:16" s="62" customFormat="1" x14ac:dyDescent="0.3">
      <c r="A475" s="494" t="s">
        <v>392</v>
      </c>
      <c r="B475" s="495">
        <v>1</v>
      </c>
      <c r="C475" s="495" t="s">
        <v>184</v>
      </c>
      <c r="D475" s="476">
        <v>1.85</v>
      </c>
      <c r="E475" s="477">
        <v>0.15</v>
      </c>
      <c r="F475" s="477">
        <v>0.15</v>
      </c>
      <c r="G475" s="477"/>
      <c r="H475" s="477">
        <f t="shared" si="208"/>
        <v>0.55500000000000005</v>
      </c>
      <c r="I475" s="477"/>
      <c r="J475" s="477">
        <f t="shared" si="194"/>
        <v>4.1625000000000002E-2</v>
      </c>
      <c r="K475" s="10"/>
      <c r="L475" s="10"/>
      <c r="M475" s="10"/>
      <c r="N475" s="10"/>
      <c r="O475" s="71"/>
      <c r="P475" s="153"/>
    </row>
    <row r="476" spans="1:16" s="62" customFormat="1" x14ac:dyDescent="0.3">
      <c r="A476" s="494" t="s">
        <v>393</v>
      </c>
      <c r="B476" s="495">
        <v>1</v>
      </c>
      <c r="C476" s="495" t="s">
        <v>184</v>
      </c>
      <c r="D476" s="476">
        <f>10.45+0.2</f>
        <v>10.649999999999999</v>
      </c>
      <c r="E476" s="477">
        <v>0.15</v>
      </c>
      <c r="F476" s="477">
        <v>0.15</v>
      </c>
      <c r="G476" s="477">
        <f>0.1*0.15+0.1*0.15*3+0.15*0.15</f>
        <v>8.249999999999999E-2</v>
      </c>
      <c r="H476" s="477">
        <f t="shared" si="208"/>
        <v>3.2774999999999994</v>
      </c>
      <c r="I476" s="477">
        <f>0.1*0.6*0.15+0.1*0.15*0.7+0.1*0.15*0.35</f>
        <v>2.4749999999999994E-2</v>
      </c>
      <c r="J476" s="477">
        <f t="shared" si="192"/>
        <v>0.26437499999999992</v>
      </c>
      <c r="K476" s="10"/>
      <c r="L476" s="10"/>
      <c r="M476" s="10"/>
      <c r="N476" s="10"/>
      <c r="O476" s="71"/>
      <c r="P476" s="153"/>
    </row>
    <row r="477" spans="1:16" s="62" customFormat="1" ht="29.4" thickBot="1" x14ac:dyDescent="0.35">
      <c r="A477" s="496" t="s">
        <v>394</v>
      </c>
      <c r="B477" s="495">
        <v>2</v>
      </c>
      <c r="C477" s="495" t="s">
        <v>184</v>
      </c>
      <c r="D477" s="476">
        <v>0.25</v>
      </c>
      <c r="E477" s="477">
        <v>0.15</v>
      </c>
      <c r="F477" s="477">
        <v>0.15</v>
      </c>
      <c r="G477" s="477">
        <f>0.15*0.15*2</f>
        <v>4.4999999999999998E-2</v>
      </c>
      <c r="H477" s="477">
        <f t="shared" si="191"/>
        <v>0.26999999999999996</v>
      </c>
      <c r="I477" s="477"/>
      <c r="J477" s="477">
        <f t="shared" si="192"/>
        <v>1.125E-2</v>
      </c>
      <c r="K477" s="10"/>
      <c r="L477" s="10"/>
      <c r="M477" s="10"/>
      <c r="N477" s="10"/>
      <c r="O477" s="71"/>
      <c r="P477" s="153"/>
    </row>
    <row r="478" spans="1:16" s="62" customFormat="1" ht="15" thickBot="1" x14ac:dyDescent="0.35">
      <c r="A478" s="685" t="s">
        <v>422</v>
      </c>
      <c r="B478" s="686"/>
      <c r="C478" s="686"/>
      <c r="D478" s="686"/>
      <c r="E478" s="686"/>
      <c r="F478" s="686"/>
      <c r="G478" s="686"/>
      <c r="H478" s="686"/>
      <c r="I478" s="686"/>
      <c r="J478" s="686"/>
      <c r="K478" s="686"/>
      <c r="L478" s="686"/>
      <c r="M478" s="686"/>
      <c r="N478" s="686"/>
      <c r="O478" s="686"/>
      <c r="P478" s="705"/>
    </row>
    <row r="479" spans="1:16" s="62" customFormat="1" x14ac:dyDescent="0.3">
      <c r="A479" s="158" t="s">
        <v>468</v>
      </c>
      <c r="B479" s="159">
        <v>1</v>
      </c>
      <c r="C479" s="159" t="s">
        <v>50</v>
      </c>
      <c r="D479" s="476">
        <v>5.85</v>
      </c>
      <c r="E479" s="477">
        <v>0.25</v>
      </c>
      <c r="F479" s="477">
        <v>0.5</v>
      </c>
      <c r="G479" s="477">
        <f>-0.15*0.5</f>
        <v>-7.4999999999999997E-2</v>
      </c>
      <c r="H479" s="477">
        <f t="shared" si="184"/>
        <v>7.2374999999999998</v>
      </c>
      <c r="I479" s="477"/>
      <c r="J479" s="477">
        <f t="shared" si="185"/>
        <v>0.73124999999999996</v>
      </c>
      <c r="K479" s="10"/>
      <c r="L479" s="10"/>
      <c r="M479" s="10"/>
      <c r="N479" s="10"/>
      <c r="O479" s="71"/>
      <c r="P479" s="153"/>
    </row>
    <row r="480" spans="1:16" s="62" customFormat="1" x14ac:dyDescent="0.3">
      <c r="A480" s="158" t="s">
        <v>469</v>
      </c>
      <c r="B480" s="159">
        <v>1</v>
      </c>
      <c r="C480" s="159" t="s">
        <v>50</v>
      </c>
      <c r="D480" s="476">
        <v>3.85</v>
      </c>
      <c r="E480" s="477">
        <v>0.2</v>
      </c>
      <c r="F480" s="477">
        <v>0.5</v>
      </c>
      <c r="G480" s="477">
        <f>-3.85*0.1</f>
        <v>-0.38500000000000001</v>
      </c>
      <c r="H480" s="477">
        <f t="shared" si="184"/>
        <v>4.2350000000000003</v>
      </c>
      <c r="I480" s="477"/>
      <c r="J480" s="477">
        <f t="shared" si="185"/>
        <v>0.38500000000000001</v>
      </c>
      <c r="K480" s="10"/>
      <c r="L480" s="10"/>
      <c r="M480" s="10"/>
      <c r="N480" s="10"/>
      <c r="O480" s="71"/>
      <c r="P480" s="153"/>
    </row>
    <row r="481" spans="1:16" s="62" customFormat="1" x14ac:dyDescent="0.3">
      <c r="A481" s="158" t="s">
        <v>470</v>
      </c>
      <c r="B481" s="159">
        <v>1</v>
      </c>
      <c r="C481" s="159" t="s">
        <v>50</v>
      </c>
      <c r="D481" s="476">
        <v>7.85</v>
      </c>
      <c r="E481" s="477">
        <v>0.2</v>
      </c>
      <c r="F481" s="477">
        <v>0.5</v>
      </c>
      <c r="G481" s="477">
        <f>-0.15*0.5-0.2*0.4</f>
        <v>-0.15500000000000003</v>
      </c>
      <c r="H481" s="477">
        <f t="shared" ref="H481:H507" si="209">(((2*D481*F481+D481*E481))*B481)+G481</f>
        <v>9.2650000000000006</v>
      </c>
      <c r="I481" s="477"/>
      <c r="J481" s="477">
        <f t="shared" ref="J481:J507" si="210">(D481*E481*F481)*B481+I481</f>
        <v>0.78500000000000003</v>
      </c>
      <c r="K481" s="10"/>
      <c r="L481" s="10"/>
      <c r="M481" s="10"/>
      <c r="N481" s="10"/>
      <c r="O481" s="71"/>
      <c r="P481" s="153"/>
    </row>
    <row r="482" spans="1:16" s="62" customFormat="1" x14ac:dyDescent="0.3">
      <c r="A482" s="158" t="s">
        <v>471</v>
      </c>
      <c r="B482" s="159">
        <v>1</v>
      </c>
      <c r="C482" s="159" t="s">
        <v>50</v>
      </c>
      <c r="D482" s="476">
        <v>7.85</v>
      </c>
      <c r="E482" s="477">
        <v>0.2</v>
      </c>
      <c r="F482" s="477">
        <v>0.5</v>
      </c>
      <c r="G482" s="477">
        <f>-0.15*0.5-0.2*0.25-(3.58+4.13)*0.1</f>
        <v>-0.89600000000000002</v>
      </c>
      <c r="H482" s="477">
        <f t="shared" si="209"/>
        <v>8.5239999999999991</v>
      </c>
      <c r="I482" s="477"/>
      <c r="J482" s="477">
        <f t="shared" si="210"/>
        <v>0.78500000000000003</v>
      </c>
      <c r="K482" s="10"/>
      <c r="L482" s="10"/>
      <c r="M482" s="10"/>
      <c r="N482" s="10"/>
      <c r="O482" s="71"/>
      <c r="P482" s="153"/>
    </row>
    <row r="483" spans="1:16" s="62" customFormat="1" x14ac:dyDescent="0.3">
      <c r="A483" s="158" t="s">
        <v>472</v>
      </c>
      <c r="B483" s="159">
        <v>1</v>
      </c>
      <c r="C483" s="159" t="s">
        <v>50</v>
      </c>
      <c r="D483" s="476">
        <v>3.85</v>
      </c>
      <c r="E483" s="477">
        <v>0.2</v>
      </c>
      <c r="F483" s="477">
        <v>0.5</v>
      </c>
      <c r="G483" s="477"/>
      <c r="H483" s="477">
        <f t="shared" si="209"/>
        <v>4.62</v>
      </c>
      <c r="I483" s="477"/>
      <c r="J483" s="477">
        <f t="shared" si="210"/>
        <v>0.38500000000000001</v>
      </c>
      <c r="K483" s="10"/>
      <c r="L483" s="10"/>
      <c r="M483" s="10"/>
      <c r="N483" s="10"/>
      <c r="O483" s="71"/>
      <c r="P483" s="153"/>
    </row>
    <row r="484" spans="1:16" s="62" customFormat="1" x14ac:dyDescent="0.3">
      <c r="A484" s="158" t="s">
        <v>473</v>
      </c>
      <c r="B484" s="159">
        <v>1</v>
      </c>
      <c r="C484" s="159" t="s">
        <v>50</v>
      </c>
      <c r="D484" s="476">
        <v>5.85</v>
      </c>
      <c r="E484" s="477">
        <v>0.2</v>
      </c>
      <c r="F484" s="477">
        <v>0.5</v>
      </c>
      <c r="G484" s="477">
        <f>-0.15*0.5*2-0.2*0.4</f>
        <v>-0.23</v>
      </c>
      <c r="H484" s="477">
        <f t="shared" si="209"/>
        <v>6.7899999999999991</v>
      </c>
      <c r="I484" s="477"/>
      <c r="J484" s="477">
        <f t="shared" si="210"/>
        <v>0.58499999999999996</v>
      </c>
      <c r="K484" s="10"/>
      <c r="L484" s="10"/>
      <c r="M484" s="10"/>
      <c r="N484" s="10"/>
      <c r="O484" s="71"/>
      <c r="P484" s="153"/>
    </row>
    <row r="485" spans="1:16" s="62" customFormat="1" x14ac:dyDescent="0.3">
      <c r="A485" s="158" t="s">
        <v>474</v>
      </c>
      <c r="B485" s="159">
        <v>1</v>
      </c>
      <c r="C485" s="159" t="s">
        <v>50</v>
      </c>
      <c r="D485" s="476">
        <v>4.1500000000000004</v>
      </c>
      <c r="E485" s="477">
        <v>0.15</v>
      </c>
      <c r="F485" s="477">
        <v>0.5</v>
      </c>
      <c r="G485" s="477">
        <f>-0.15*0.5*4-0.2*0.4-0.15*0.4-3.85*0.1</f>
        <v>-0.82499999999999996</v>
      </c>
      <c r="H485" s="477">
        <f t="shared" si="209"/>
        <v>3.9475000000000007</v>
      </c>
      <c r="I485" s="477">
        <f>0.05*0.25*0.5</f>
        <v>6.2500000000000003E-3</v>
      </c>
      <c r="J485" s="477">
        <f t="shared" si="210"/>
        <v>0.3175</v>
      </c>
      <c r="K485" s="10"/>
      <c r="L485" s="10"/>
      <c r="M485" s="10"/>
      <c r="N485" s="10"/>
      <c r="O485" s="71"/>
      <c r="P485" s="153"/>
    </row>
    <row r="486" spans="1:16" s="62" customFormat="1" x14ac:dyDescent="0.3">
      <c r="A486" s="158" t="s">
        <v>475</v>
      </c>
      <c r="B486" s="159">
        <v>1</v>
      </c>
      <c r="C486" s="159" t="s">
        <v>50</v>
      </c>
      <c r="D486" s="476">
        <v>8.15</v>
      </c>
      <c r="E486" s="477">
        <v>0.15</v>
      </c>
      <c r="F486" s="477">
        <v>0.5</v>
      </c>
      <c r="G486" s="477">
        <f>-0.15*0.5*2-0.15*0.4*2-0.2*0.6-(3.58+4.13)*0.1+0.05*0.5*2</f>
        <v>-1.111</v>
      </c>
      <c r="H486" s="477">
        <f t="shared" si="209"/>
        <v>8.2614999999999998</v>
      </c>
      <c r="I486" s="477">
        <f>0.05*0.6*0.5</f>
        <v>1.4999999999999999E-2</v>
      </c>
      <c r="J486" s="477">
        <f t="shared" si="210"/>
        <v>0.62624999999999997</v>
      </c>
      <c r="K486" s="10"/>
      <c r="L486" s="10"/>
      <c r="M486" s="10"/>
      <c r="N486" s="10"/>
      <c r="O486" s="71"/>
      <c r="P486" s="153"/>
    </row>
    <row r="487" spans="1:16" s="62" customFormat="1" x14ac:dyDescent="0.3">
      <c r="A487" s="158" t="s">
        <v>476</v>
      </c>
      <c r="B487" s="159">
        <v>1</v>
      </c>
      <c r="C487" s="159" t="s">
        <v>50</v>
      </c>
      <c r="D487" s="476">
        <f>3.88+1.83</f>
        <v>5.71</v>
      </c>
      <c r="E487" s="477">
        <v>0.15</v>
      </c>
      <c r="F487" s="477">
        <v>0.5</v>
      </c>
      <c r="G487" s="477"/>
      <c r="H487" s="477">
        <f t="shared" si="209"/>
        <v>6.5664999999999996</v>
      </c>
      <c r="I487" s="477"/>
      <c r="J487" s="477">
        <f t="shared" si="210"/>
        <v>0.42824999999999996</v>
      </c>
      <c r="K487" s="10"/>
      <c r="L487" s="10"/>
      <c r="M487" s="10"/>
      <c r="N487" s="10"/>
      <c r="O487" s="71"/>
      <c r="P487" s="153"/>
    </row>
    <row r="488" spans="1:16" s="62" customFormat="1" x14ac:dyDescent="0.3">
      <c r="A488" s="158" t="s">
        <v>477</v>
      </c>
      <c r="B488" s="159">
        <v>1</v>
      </c>
      <c r="C488" s="159" t="s">
        <v>50</v>
      </c>
      <c r="D488" s="476">
        <v>3.88</v>
      </c>
      <c r="E488" s="477">
        <v>0.15</v>
      </c>
      <c r="F488" s="477">
        <v>0.5</v>
      </c>
      <c r="G488" s="477"/>
      <c r="H488" s="477">
        <f t="shared" si="209"/>
        <v>4.4619999999999997</v>
      </c>
      <c r="I488" s="477"/>
      <c r="J488" s="477">
        <f t="shared" si="210"/>
        <v>0.29099999999999998</v>
      </c>
      <c r="K488" s="10"/>
      <c r="L488" s="10"/>
      <c r="M488" s="10"/>
      <c r="N488" s="10"/>
      <c r="O488" s="71"/>
      <c r="P488" s="153"/>
    </row>
    <row r="489" spans="1:16" s="62" customFormat="1" x14ac:dyDescent="0.3">
      <c r="A489" s="158" t="s">
        <v>478</v>
      </c>
      <c r="B489" s="159">
        <v>1</v>
      </c>
      <c r="C489" s="159" t="s">
        <v>50</v>
      </c>
      <c r="D489" s="476">
        <v>7.95</v>
      </c>
      <c r="E489" s="477">
        <v>0.25</v>
      </c>
      <c r="F489" s="477">
        <v>0.5</v>
      </c>
      <c r="G489" s="477">
        <f>-0.15*0.5-0.25*0.7</f>
        <v>-0.25</v>
      </c>
      <c r="H489" s="477">
        <f t="shared" si="209"/>
        <v>9.6875</v>
      </c>
      <c r="I489" s="477"/>
      <c r="J489" s="477">
        <f t="shared" si="210"/>
        <v>0.99375000000000002</v>
      </c>
      <c r="K489" s="10"/>
      <c r="L489" s="10"/>
      <c r="M489" s="10"/>
      <c r="N489" s="10"/>
      <c r="O489" s="71"/>
      <c r="P489" s="153"/>
    </row>
    <row r="490" spans="1:16" s="62" customFormat="1" x14ac:dyDescent="0.3">
      <c r="A490" s="158" t="s">
        <v>479</v>
      </c>
      <c r="B490" s="159">
        <v>1</v>
      </c>
      <c r="C490" s="159" t="s">
        <v>50</v>
      </c>
      <c r="D490" s="476">
        <v>8.23</v>
      </c>
      <c r="E490" s="477">
        <v>0.25</v>
      </c>
      <c r="F490" s="477">
        <v>0.5</v>
      </c>
      <c r="G490" s="477">
        <f>-0.15*0.5*2-0.25*0.7</f>
        <v>-0.32499999999999996</v>
      </c>
      <c r="H490" s="477">
        <f t="shared" si="209"/>
        <v>9.9625000000000021</v>
      </c>
      <c r="I490" s="477"/>
      <c r="J490" s="477">
        <f t="shared" si="210"/>
        <v>1.0287500000000001</v>
      </c>
      <c r="K490" s="10"/>
      <c r="L490" s="10"/>
      <c r="M490" s="10"/>
      <c r="N490" s="10"/>
      <c r="O490" s="71"/>
      <c r="P490" s="153"/>
    </row>
    <row r="491" spans="1:16" s="62" customFormat="1" x14ac:dyDescent="0.3">
      <c r="A491" s="158" t="s">
        <v>480</v>
      </c>
      <c r="B491" s="159">
        <v>1</v>
      </c>
      <c r="C491" s="159" t="s">
        <v>50</v>
      </c>
      <c r="D491" s="476">
        <v>7.53</v>
      </c>
      <c r="E491" s="477">
        <v>0.25</v>
      </c>
      <c r="F491" s="477">
        <v>0.5</v>
      </c>
      <c r="G491" s="477"/>
      <c r="H491" s="477">
        <f t="shared" si="209"/>
        <v>9.4124999999999996</v>
      </c>
      <c r="I491" s="477"/>
      <c r="J491" s="477">
        <f t="shared" si="210"/>
        <v>0.94125000000000003</v>
      </c>
      <c r="K491" s="10"/>
      <c r="L491" s="10"/>
      <c r="M491" s="10"/>
      <c r="N491" s="10"/>
      <c r="O491" s="71"/>
      <c r="P491" s="153"/>
    </row>
    <row r="492" spans="1:16" s="62" customFormat="1" x14ac:dyDescent="0.3">
      <c r="A492" s="158" t="s">
        <v>481</v>
      </c>
      <c r="B492" s="159">
        <v>1</v>
      </c>
      <c r="C492" s="159" t="s">
        <v>50</v>
      </c>
      <c r="D492" s="476">
        <f>3.88+1.83</f>
        <v>5.71</v>
      </c>
      <c r="E492" s="477">
        <v>0.15</v>
      </c>
      <c r="F492" s="477">
        <v>0.5</v>
      </c>
      <c r="G492" s="477"/>
      <c r="H492" s="477">
        <f t="shared" si="209"/>
        <v>6.5664999999999996</v>
      </c>
      <c r="I492" s="477"/>
      <c r="J492" s="477">
        <f t="shared" si="210"/>
        <v>0.42824999999999996</v>
      </c>
      <c r="K492" s="10"/>
      <c r="L492" s="10"/>
      <c r="M492" s="10"/>
      <c r="N492" s="10"/>
      <c r="O492" s="71"/>
      <c r="P492" s="153"/>
    </row>
    <row r="493" spans="1:16" s="62" customFormat="1" x14ac:dyDescent="0.3">
      <c r="A493" s="158" t="s">
        <v>482</v>
      </c>
      <c r="B493" s="159">
        <v>1</v>
      </c>
      <c r="C493" s="159" t="s">
        <v>50</v>
      </c>
      <c r="D493" s="476">
        <f>3.88+1.83</f>
        <v>5.71</v>
      </c>
      <c r="E493" s="477">
        <v>0.2</v>
      </c>
      <c r="F493" s="477">
        <v>0.5</v>
      </c>
      <c r="G493" s="477"/>
      <c r="H493" s="477">
        <f t="shared" si="209"/>
        <v>6.8520000000000003</v>
      </c>
      <c r="I493" s="477"/>
      <c r="J493" s="477">
        <f t="shared" si="210"/>
        <v>0.57100000000000006</v>
      </c>
      <c r="K493" s="10"/>
      <c r="L493" s="10"/>
      <c r="M493" s="10"/>
      <c r="N493" s="10"/>
      <c r="O493" s="71"/>
      <c r="P493" s="153"/>
    </row>
    <row r="494" spans="1:16" s="62" customFormat="1" x14ac:dyDescent="0.3">
      <c r="A494" s="158" t="s">
        <v>483</v>
      </c>
      <c r="B494" s="159">
        <v>1</v>
      </c>
      <c r="C494" s="159" t="s">
        <v>50</v>
      </c>
      <c r="D494" s="476">
        <f>3.85*2</f>
        <v>7.7</v>
      </c>
      <c r="E494" s="477">
        <v>0.2</v>
      </c>
      <c r="F494" s="477">
        <v>0.5</v>
      </c>
      <c r="G494" s="477">
        <f>-0.15*0.5*4-((7.7-0.15*4)*0.1)</f>
        <v>-1.01</v>
      </c>
      <c r="H494" s="477">
        <f t="shared" si="209"/>
        <v>8.23</v>
      </c>
      <c r="I494" s="477"/>
      <c r="J494" s="477">
        <f t="shared" si="210"/>
        <v>0.77</v>
      </c>
      <c r="K494" s="10"/>
      <c r="L494" s="10"/>
      <c r="M494" s="10"/>
      <c r="N494" s="10"/>
      <c r="O494" s="71"/>
      <c r="P494" s="153"/>
    </row>
    <row r="495" spans="1:16" s="62" customFormat="1" x14ac:dyDescent="0.3">
      <c r="A495" s="158" t="s">
        <v>484</v>
      </c>
      <c r="B495" s="159">
        <v>1</v>
      </c>
      <c r="C495" s="159" t="s">
        <v>50</v>
      </c>
      <c r="D495" s="476">
        <f>3.85+4.28</f>
        <v>8.1300000000000008</v>
      </c>
      <c r="E495" s="477">
        <v>0.2</v>
      </c>
      <c r="F495" s="477">
        <v>0.5</v>
      </c>
      <c r="G495" s="477">
        <f>-0.15*0.5*6-0.2*0.6-((8.13-0.15*5)*0.1)</f>
        <v>-1.3080000000000001</v>
      </c>
      <c r="H495" s="477">
        <f t="shared" si="209"/>
        <v>8.4480000000000004</v>
      </c>
      <c r="I495" s="477"/>
      <c r="J495" s="477">
        <f t="shared" si="210"/>
        <v>0.81300000000000017</v>
      </c>
      <c r="K495" s="10"/>
      <c r="L495" s="10"/>
      <c r="M495" s="10"/>
      <c r="N495" s="10"/>
      <c r="O495" s="71"/>
      <c r="P495" s="153"/>
    </row>
    <row r="496" spans="1:16" s="62" customFormat="1" x14ac:dyDescent="0.3">
      <c r="A496" s="158" t="s">
        <v>485</v>
      </c>
      <c r="B496" s="159">
        <v>1</v>
      </c>
      <c r="C496" s="159" t="s">
        <v>50</v>
      </c>
      <c r="D496" s="476">
        <f>3.57+3.85</f>
        <v>7.42</v>
      </c>
      <c r="E496" s="477">
        <v>0.2</v>
      </c>
      <c r="F496" s="477">
        <v>0.5</v>
      </c>
      <c r="G496" s="477">
        <f>-0.15*0.5*4-((7.42-0.15*4)*0.1)</f>
        <v>-0.98199999999999998</v>
      </c>
      <c r="H496" s="477">
        <f t="shared" si="209"/>
        <v>7.9219999999999997</v>
      </c>
      <c r="I496" s="477"/>
      <c r="J496" s="477">
        <f t="shared" si="210"/>
        <v>0.74199999999999999</v>
      </c>
      <c r="K496" s="10"/>
      <c r="L496" s="10"/>
      <c r="M496" s="10"/>
      <c r="N496" s="10"/>
      <c r="O496" s="71"/>
      <c r="P496" s="153"/>
    </row>
    <row r="497" spans="1:16" s="62" customFormat="1" x14ac:dyDescent="0.3">
      <c r="A497" s="158" t="s">
        <v>486</v>
      </c>
      <c r="B497" s="159">
        <v>1</v>
      </c>
      <c r="C497" s="159" t="s">
        <v>50</v>
      </c>
      <c r="D497" s="476">
        <f>3.85*2</f>
        <v>7.7</v>
      </c>
      <c r="E497" s="477">
        <v>0.15</v>
      </c>
      <c r="F497" s="477">
        <v>0.5</v>
      </c>
      <c r="G497" s="477">
        <f>-0.15*0.5*4-((7.7-0.15*4)*0.1)</f>
        <v>-1.01</v>
      </c>
      <c r="H497" s="477">
        <f t="shared" si="209"/>
        <v>7.8450000000000006</v>
      </c>
      <c r="I497" s="477"/>
      <c r="J497" s="477">
        <f t="shared" si="210"/>
        <v>0.57750000000000001</v>
      </c>
      <c r="K497" s="10"/>
      <c r="L497" s="10"/>
      <c r="M497" s="10"/>
      <c r="N497" s="10"/>
      <c r="O497" s="71"/>
      <c r="P497" s="153"/>
    </row>
    <row r="498" spans="1:16" s="62" customFormat="1" x14ac:dyDescent="0.3">
      <c r="A498" s="158" t="s">
        <v>487</v>
      </c>
      <c r="B498" s="159">
        <v>1</v>
      </c>
      <c r="C498" s="159" t="s">
        <v>50</v>
      </c>
      <c r="D498" s="476">
        <f>3.85+2.15</f>
        <v>6</v>
      </c>
      <c r="E498" s="477">
        <v>0.15</v>
      </c>
      <c r="F498" s="477">
        <v>0.5</v>
      </c>
      <c r="G498" s="477">
        <f>-0.15*0.5*4-((6-0.15*4)*0.1)</f>
        <v>-0.84000000000000008</v>
      </c>
      <c r="H498" s="477">
        <f t="shared" si="209"/>
        <v>6.0600000000000005</v>
      </c>
      <c r="I498" s="477"/>
      <c r="J498" s="477">
        <f t="shared" si="210"/>
        <v>0.44999999999999996</v>
      </c>
      <c r="K498" s="10"/>
      <c r="L498" s="10"/>
      <c r="M498" s="10"/>
      <c r="N498" s="10"/>
      <c r="O498" s="71"/>
      <c r="P498" s="153"/>
    </row>
    <row r="499" spans="1:16" s="62" customFormat="1" x14ac:dyDescent="0.3">
      <c r="A499" s="158" t="s">
        <v>488</v>
      </c>
      <c r="B499" s="159">
        <v>1</v>
      </c>
      <c r="C499" s="159" t="s">
        <v>50</v>
      </c>
      <c r="D499" s="476">
        <f>5.7+3.85</f>
        <v>9.5500000000000007</v>
      </c>
      <c r="E499" s="477">
        <v>0.15</v>
      </c>
      <c r="F499" s="477">
        <v>0.5</v>
      </c>
      <c r="G499" s="477">
        <f>-0.15*0.5*5-((9.55-0.15*5)*0.1)</f>
        <v>-1.2550000000000001</v>
      </c>
      <c r="H499" s="477">
        <f t="shared" si="209"/>
        <v>9.7275000000000009</v>
      </c>
      <c r="I499" s="477"/>
      <c r="J499" s="477">
        <f t="shared" si="210"/>
        <v>0.71625000000000005</v>
      </c>
      <c r="K499" s="10"/>
      <c r="L499" s="10"/>
      <c r="M499" s="10"/>
      <c r="N499" s="10"/>
      <c r="O499" s="71"/>
      <c r="P499" s="153"/>
    </row>
    <row r="500" spans="1:16" s="62" customFormat="1" x14ac:dyDescent="0.3">
      <c r="A500" s="158" t="s">
        <v>489</v>
      </c>
      <c r="B500" s="159">
        <v>1</v>
      </c>
      <c r="C500" s="159" t="s">
        <v>50</v>
      </c>
      <c r="D500" s="476">
        <v>2.95</v>
      </c>
      <c r="E500" s="477">
        <v>0.15</v>
      </c>
      <c r="F500" s="477">
        <v>0.5</v>
      </c>
      <c r="G500" s="477">
        <f>-0.15*0.75-0.15*0.4+0.2*0.5</f>
        <v>-7.2499999999999981E-2</v>
      </c>
      <c r="H500" s="477">
        <f t="shared" si="209"/>
        <v>3.3200000000000003</v>
      </c>
      <c r="I500" s="477"/>
      <c r="J500" s="477">
        <f t="shared" si="210"/>
        <v>0.22125</v>
      </c>
      <c r="K500" s="10"/>
      <c r="L500" s="10"/>
      <c r="M500" s="10"/>
      <c r="N500" s="10"/>
      <c r="O500" s="71"/>
      <c r="P500" s="153"/>
    </row>
    <row r="501" spans="1:16" s="62" customFormat="1" x14ac:dyDescent="0.3">
      <c r="A501" s="158" t="s">
        <v>490</v>
      </c>
      <c r="B501" s="159">
        <v>1</v>
      </c>
      <c r="C501" s="159" t="s">
        <v>50</v>
      </c>
      <c r="D501" s="476">
        <v>4.75</v>
      </c>
      <c r="E501" s="477">
        <v>0.15</v>
      </c>
      <c r="F501" s="477">
        <v>0.5</v>
      </c>
      <c r="G501" s="477">
        <f>-0.15*0.4-0.15*0.5</f>
        <v>-0.13500000000000001</v>
      </c>
      <c r="H501" s="477">
        <f t="shared" si="209"/>
        <v>5.3275000000000006</v>
      </c>
      <c r="I501" s="477"/>
      <c r="J501" s="477">
        <f t="shared" si="210"/>
        <v>0.35625000000000001</v>
      </c>
      <c r="K501" s="10"/>
      <c r="L501" s="10"/>
      <c r="M501" s="10"/>
      <c r="N501" s="10"/>
      <c r="O501" s="71"/>
      <c r="P501" s="153"/>
    </row>
    <row r="502" spans="1:16" s="62" customFormat="1" x14ac:dyDescent="0.3">
      <c r="A502" s="158" t="s">
        <v>491</v>
      </c>
      <c r="B502" s="159">
        <v>1</v>
      </c>
      <c r="C502" s="159" t="s">
        <v>50</v>
      </c>
      <c r="D502" s="476">
        <v>2.5</v>
      </c>
      <c r="E502" s="477">
        <v>0.15</v>
      </c>
      <c r="F502" s="477">
        <v>0.5</v>
      </c>
      <c r="G502" s="477">
        <f>-0.15*0.8-0.5*0.5-0.2*0.5+0.15*0.5</f>
        <v>-0.39499999999999996</v>
      </c>
      <c r="H502" s="477">
        <f t="shared" si="209"/>
        <v>2.48</v>
      </c>
      <c r="I502" s="477"/>
      <c r="J502" s="477">
        <f t="shared" si="210"/>
        <v>0.1875</v>
      </c>
      <c r="K502" s="10"/>
      <c r="L502" s="10"/>
      <c r="M502" s="10"/>
      <c r="N502" s="10"/>
      <c r="O502" s="71"/>
      <c r="P502" s="153"/>
    </row>
    <row r="503" spans="1:16" s="62" customFormat="1" x14ac:dyDescent="0.3">
      <c r="A503" s="158" t="s">
        <v>492</v>
      </c>
      <c r="B503" s="159">
        <v>1</v>
      </c>
      <c r="C503" s="159" t="s">
        <v>50</v>
      </c>
      <c r="D503" s="476">
        <f>9.4+0.35</f>
        <v>9.75</v>
      </c>
      <c r="E503" s="477">
        <v>0.15</v>
      </c>
      <c r="F503" s="477">
        <v>0.5</v>
      </c>
      <c r="G503" s="477">
        <f>-0.2*0.5*2-0.15*0.5*5-0.15*0.75-0.15*0.4-0.15*0.4+0.15*0.5</f>
        <v>-0.73250000000000015</v>
      </c>
      <c r="H503" s="477">
        <f t="shared" si="209"/>
        <v>10.48</v>
      </c>
      <c r="I503" s="477"/>
      <c r="J503" s="477">
        <f t="shared" si="210"/>
        <v>0.73124999999999996</v>
      </c>
      <c r="K503" s="10"/>
      <c r="L503" s="10"/>
      <c r="M503" s="10"/>
      <c r="N503" s="10"/>
      <c r="O503" s="71"/>
      <c r="P503" s="153"/>
    </row>
    <row r="504" spans="1:16" s="62" customFormat="1" x14ac:dyDescent="0.3">
      <c r="A504" s="158" t="s">
        <v>493</v>
      </c>
      <c r="B504" s="159">
        <v>1</v>
      </c>
      <c r="C504" s="159" t="s">
        <v>50</v>
      </c>
      <c r="D504" s="476">
        <v>4.75</v>
      </c>
      <c r="E504" s="477">
        <v>0.15</v>
      </c>
      <c r="F504" s="477">
        <v>0.5</v>
      </c>
      <c r="G504" s="477">
        <f>-0.2*0.5*2-0.15*0.5-0.6*0.1</f>
        <v>-0.33500000000000002</v>
      </c>
      <c r="H504" s="477">
        <f t="shared" si="209"/>
        <v>5.1275000000000004</v>
      </c>
      <c r="I504" s="477"/>
      <c r="J504" s="477">
        <f t="shared" si="210"/>
        <v>0.35625000000000001</v>
      </c>
      <c r="K504" s="10"/>
      <c r="L504" s="10"/>
      <c r="M504" s="10"/>
      <c r="N504" s="10"/>
      <c r="O504" s="71"/>
      <c r="P504" s="153"/>
    </row>
    <row r="505" spans="1:16" s="62" customFormat="1" x14ac:dyDescent="0.3">
      <c r="A505" s="158" t="s">
        <v>494</v>
      </c>
      <c r="B505" s="159">
        <v>1</v>
      </c>
      <c r="C505" s="159" t="s">
        <v>50</v>
      </c>
      <c r="D505" s="476">
        <f>2+3.8</f>
        <v>5.8</v>
      </c>
      <c r="E505" s="477">
        <v>0.15</v>
      </c>
      <c r="F505" s="477">
        <v>0.5</v>
      </c>
      <c r="G505" s="477">
        <f>-0.15*0.5*2-0.2*0.5*2-0.25*0.5+0.15*0.5-1.8*0.1</f>
        <v>-0.57999999999999996</v>
      </c>
      <c r="H505" s="477">
        <f t="shared" si="209"/>
        <v>6.09</v>
      </c>
      <c r="I505" s="477"/>
      <c r="J505" s="477">
        <f t="shared" si="210"/>
        <v>0.435</v>
      </c>
      <c r="K505" s="10"/>
      <c r="L505" s="10"/>
      <c r="M505" s="10"/>
      <c r="N505" s="10"/>
      <c r="O505" s="71"/>
      <c r="P505" s="153"/>
    </row>
    <row r="506" spans="1:16" s="62" customFormat="1" x14ac:dyDescent="0.3">
      <c r="A506" s="158" t="s">
        <v>495</v>
      </c>
      <c r="B506" s="159">
        <v>1</v>
      </c>
      <c r="C506" s="159" t="s">
        <v>50</v>
      </c>
      <c r="D506" s="476">
        <v>0.6</v>
      </c>
      <c r="E506" s="477">
        <v>0.15</v>
      </c>
      <c r="F506" s="477">
        <v>0.5</v>
      </c>
      <c r="G506" s="477">
        <f>-0.6*0.1*2</f>
        <v>-0.12</v>
      </c>
      <c r="H506" s="477">
        <f t="shared" si="209"/>
        <v>0.56999999999999995</v>
      </c>
      <c r="I506" s="477"/>
      <c r="J506" s="477">
        <f t="shared" si="210"/>
        <v>4.4999999999999998E-2</v>
      </c>
      <c r="K506" s="10"/>
      <c r="L506" s="10"/>
      <c r="M506" s="10"/>
      <c r="N506" s="10"/>
      <c r="O506" s="71"/>
      <c r="P506" s="153"/>
    </row>
    <row r="507" spans="1:16" s="62" customFormat="1" x14ac:dyDescent="0.3">
      <c r="A507" s="158" t="s">
        <v>496</v>
      </c>
      <c r="B507" s="159">
        <v>1</v>
      </c>
      <c r="C507" s="159" t="s">
        <v>50</v>
      </c>
      <c r="D507" s="476">
        <v>0.6</v>
      </c>
      <c r="E507" s="477">
        <v>0.15</v>
      </c>
      <c r="F507" s="477">
        <v>0.5</v>
      </c>
      <c r="G507" s="477">
        <f>-0.6*0.1*2</f>
        <v>-0.12</v>
      </c>
      <c r="H507" s="477">
        <f t="shared" si="209"/>
        <v>0.56999999999999995</v>
      </c>
      <c r="I507" s="477"/>
      <c r="J507" s="477">
        <f t="shared" si="210"/>
        <v>4.4999999999999998E-2</v>
      </c>
      <c r="K507" s="10"/>
      <c r="L507" s="10"/>
      <c r="M507" s="10"/>
      <c r="N507" s="10"/>
      <c r="O507" s="71"/>
      <c r="P507" s="153"/>
    </row>
    <row r="508" spans="1:16" s="62" customFormat="1" x14ac:dyDescent="0.3">
      <c r="A508" s="158" t="s">
        <v>497</v>
      </c>
      <c r="B508" s="159">
        <v>1</v>
      </c>
      <c r="C508" s="159" t="s">
        <v>50</v>
      </c>
      <c r="D508" s="476">
        <v>2</v>
      </c>
      <c r="E508" s="477">
        <v>0.15</v>
      </c>
      <c r="F508" s="477">
        <v>0.5</v>
      </c>
      <c r="G508" s="477">
        <f>-0.2*0.5*2+0.15*0.5</f>
        <v>-0.125</v>
      </c>
      <c r="H508" s="477">
        <f t="shared" si="184"/>
        <v>2.1749999999999998</v>
      </c>
      <c r="I508" s="477"/>
      <c r="J508" s="477">
        <f t="shared" si="185"/>
        <v>0.15</v>
      </c>
      <c r="K508" s="10"/>
      <c r="L508" s="10"/>
      <c r="M508" s="10"/>
      <c r="N508" s="10"/>
      <c r="O508" s="71"/>
      <c r="P508" s="153"/>
    </row>
    <row r="509" spans="1:16" s="62" customFormat="1" x14ac:dyDescent="0.3">
      <c r="A509" s="158" t="s">
        <v>498</v>
      </c>
      <c r="B509" s="159">
        <v>1</v>
      </c>
      <c r="C509" s="159" t="s">
        <v>50</v>
      </c>
      <c r="D509" s="476">
        <v>0.6</v>
      </c>
      <c r="E509" s="477">
        <v>0.15</v>
      </c>
      <c r="F509" s="477">
        <v>0.5</v>
      </c>
      <c r="G509" s="477">
        <f>-0.6*0.1*2</f>
        <v>-0.12</v>
      </c>
      <c r="H509" s="477">
        <f t="shared" si="184"/>
        <v>0.56999999999999995</v>
      </c>
      <c r="I509" s="477"/>
      <c r="J509" s="477">
        <f t="shared" si="185"/>
        <v>4.4999999999999998E-2</v>
      </c>
      <c r="K509" s="10"/>
      <c r="L509" s="10"/>
      <c r="M509" s="10"/>
      <c r="N509" s="10"/>
      <c r="O509" s="71"/>
      <c r="P509" s="153"/>
    </row>
    <row r="510" spans="1:16" s="62" customFormat="1" x14ac:dyDescent="0.3">
      <c r="A510" s="158" t="s">
        <v>499</v>
      </c>
      <c r="B510" s="159">
        <v>1</v>
      </c>
      <c r="C510" s="159" t="s">
        <v>50</v>
      </c>
      <c r="D510" s="476">
        <v>0.6</v>
      </c>
      <c r="E510" s="477">
        <v>0.15</v>
      </c>
      <c r="F510" s="477">
        <v>0.5</v>
      </c>
      <c r="G510" s="477">
        <f>-0.6*0.1*2</f>
        <v>-0.12</v>
      </c>
      <c r="H510" s="477">
        <f t="shared" si="184"/>
        <v>0.56999999999999995</v>
      </c>
      <c r="I510" s="477"/>
      <c r="J510" s="477">
        <f t="shared" si="185"/>
        <v>4.4999999999999998E-2</v>
      </c>
      <c r="K510" s="10"/>
      <c r="L510" s="10"/>
      <c r="M510" s="10"/>
      <c r="N510" s="10"/>
      <c r="O510" s="71"/>
      <c r="P510" s="153"/>
    </row>
    <row r="511" spans="1:16" s="62" customFormat="1" x14ac:dyDescent="0.3">
      <c r="A511" s="158" t="s">
        <v>500</v>
      </c>
      <c r="B511" s="159">
        <v>1</v>
      </c>
      <c r="C511" s="159" t="s">
        <v>50</v>
      </c>
      <c r="D511" s="476">
        <v>10.75</v>
      </c>
      <c r="E511" s="477">
        <v>0.15</v>
      </c>
      <c r="F511" s="477">
        <v>0.5</v>
      </c>
      <c r="G511" s="477">
        <f>-0.15*0.5*2-0.2*0.5*2-0.25*0.5*2-0.15*0.95-0.25*0.7+0.15*0.5+0.1*0.5*2</f>
        <v>-0.74250000000000005</v>
      </c>
      <c r="H511" s="477">
        <f t="shared" si="184"/>
        <v>11.620000000000001</v>
      </c>
      <c r="I511" s="477"/>
      <c r="J511" s="477">
        <f t="shared" si="185"/>
        <v>0.80625000000000002</v>
      </c>
      <c r="K511" s="10"/>
      <c r="L511" s="10"/>
      <c r="M511" s="10"/>
      <c r="N511" s="10"/>
      <c r="O511" s="71"/>
      <c r="P511" s="153"/>
    </row>
    <row r="512" spans="1:16" s="62" customFormat="1" x14ac:dyDescent="0.3">
      <c r="A512" s="158" t="s">
        <v>501</v>
      </c>
      <c r="B512" s="159">
        <v>1</v>
      </c>
      <c r="C512" s="159" t="s">
        <v>50</v>
      </c>
      <c r="D512" s="476">
        <v>0.6</v>
      </c>
      <c r="E512" s="477">
        <v>0.15</v>
      </c>
      <c r="F512" s="477">
        <v>0.5</v>
      </c>
      <c r="G512" s="477">
        <f t="shared" ref="G512:G513" si="211">-0.6*0.1*2</f>
        <v>-0.12</v>
      </c>
      <c r="H512" s="477">
        <f t="shared" si="184"/>
        <v>0.56999999999999995</v>
      </c>
      <c r="I512" s="477"/>
      <c r="J512" s="477">
        <f t="shared" si="185"/>
        <v>4.4999999999999998E-2</v>
      </c>
      <c r="K512" s="10"/>
      <c r="L512" s="10"/>
      <c r="M512" s="10"/>
      <c r="N512" s="10"/>
      <c r="O512" s="71"/>
      <c r="P512" s="153"/>
    </row>
    <row r="513" spans="1:16" s="62" customFormat="1" x14ac:dyDescent="0.3">
      <c r="A513" s="158" t="s">
        <v>502</v>
      </c>
      <c r="B513" s="159">
        <v>1</v>
      </c>
      <c r="C513" s="159" t="s">
        <v>50</v>
      </c>
      <c r="D513" s="476">
        <v>0.6</v>
      </c>
      <c r="E513" s="477">
        <v>0.15</v>
      </c>
      <c r="F513" s="477">
        <v>0.5</v>
      </c>
      <c r="G513" s="477">
        <f t="shared" si="211"/>
        <v>-0.12</v>
      </c>
      <c r="H513" s="477">
        <f t="shared" si="184"/>
        <v>0.56999999999999995</v>
      </c>
      <c r="I513" s="477"/>
      <c r="J513" s="477">
        <f t="shared" si="185"/>
        <v>4.4999999999999998E-2</v>
      </c>
      <c r="K513" s="10"/>
      <c r="L513" s="10"/>
      <c r="M513" s="10"/>
      <c r="N513" s="10"/>
      <c r="O513" s="71"/>
      <c r="P513" s="153"/>
    </row>
    <row r="514" spans="1:16" s="62" customFormat="1" x14ac:dyDescent="0.3">
      <c r="A514" s="158" t="s">
        <v>503</v>
      </c>
      <c r="B514" s="159">
        <v>1</v>
      </c>
      <c r="C514" s="159" t="s">
        <v>50</v>
      </c>
      <c r="D514" s="476">
        <v>2</v>
      </c>
      <c r="E514" s="477">
        <v>0.15</v>
      </c>
      <c r="F514" s="477">
        <v>0.5</v>
      </c>
      <c r="G514" s="477">
        <f>-0.2*0.5*2+0.15*0.5</f>
        <v>-0.125</v>
      </c>
      <c r="H514" s="477">
        <f t="shared" ref="H514:H520" si="212">(((2*D514*F514+D514*E514))*B514)+G514</f>
        <v>2.1749999999999998</v>
      </c>
      <c r="I514" s="477"/>
      <c r="J514" s="477">
        <f t="shared" ref="J514:J520" si="213">(D514*E514*F514)*B514+I514</f>
        <v>0.15</v>
      </c>
      <c r="K514" s="10"/>
      <c r="L514" s="10"/>
      <c r="M514" s="10"/>
      <c r="N514" s="10"/>
      <c r="O514" s="71"/>
      <c r="P514" s="153"/>
    </row>
    <row r="515" spans="1:16" s="62" customFormat="1" x14ac:dyDescent="0.3">
      <c r="A515" s="158" t="s">
        <v>504</v>
      </c>
      <c r="B515" s="159">
        <v>1</v>
      </c>
      <c r="C515" s="159" t="s">
        <v>50</v>
      </c>
      <c r="D515" s="476">
        <v>0.6</v>
      </c>
      <c r="E515" s="477">
        <v>0.15</v>
      </c>
      <c r="F515" s="477">
        <v>0.5</v>
      </c>
      <c r="G515" s="477">
        <f t="shared" ref="G515:G516" si="214">-0.6*0.1*2</f>
        <v>-0.12</v>
      </c>
      <c r="H515" s="477">
        <f t="shared" si="212"/>
        <v>0.56999999999999995</v>
      </c>
      <c r="I515" s="477"/>
      <c r="J515" s="477">
        <f t="shared" si="213"/>
        <v>4.4999999999999998E-2</v>
      </c>
      <c r="K515" s="10"/>
      <c r="L515" s="10"/>
      <c r="M515" s="10"/>
      <c r="N515" s="10"/>
      <c r="O515" s="71"/>
      <c r="P515" s="153"/>
    </row>
    <row r="516" spans="1:16" s="62" customFormat="1" x14ac:dyDescent="0.3">
      <c r="A516" s="158" t="s">
        <v>505</v>
      </c>
      <c r="B516" s="159">
        <v>1</v>
      </c>
      <c r="C516" s="159" t="s">
        <v>50</v>
      </c>
      <c r="D516" s="476">
        <v>0.6</v>
      </c>
      <c r="E516" s="477">
        <v>0.15</v>
      </c>
      <c r="F516" s="477">
        <v>0.5</v>
      </c>
      <c r="G516" s="477">
        <f t="shared" si="214"/>
        <v>-0.12</v>
      </c>
      <c r="H516" s="477">
        <f t="shared" si="212"/>
        <v>0.56999999999999995</v>
      </c>
      <c r="I516" s="477"/>
      <c r="J516" s="477">
        <f t="shared" si="213"/>
        <v>4.4999999999999998E-2</v>
      </c>
      <c r="K516" s="10"/>
      <c r="L516" s="10"/>
      <c r="M516" s="10"/>
      <c r="N516" s="10"/>
      <c r="O516" s="71"/>
      <c r="P516" s="153"/>
    </row>
    <row r="517" spans="1:16" s="62" customFormat="1" x14ac:dyDescent="0.3">
      <c r="A517" s="158" t="s">
        <v>506</v>
      </c>
      <c r="B517" s="159">
        <v>1</v>
      </c>
      <c r="C517" s="159" t="s">
        <v>50</v>
      </c>
      <c r="D517" s="476">
        <f>1.8+3.75</f>
        <v>5.55</v>
      </c>
      <c r="E517" s="477">
        <v>0.15</v>
      </c>
      <c r="F517" s="477">
        <v>0.5</v>
      </c>
      <c r="G517" s="477">
        <f>-1.8*0.1*2</f>
        <v>-0.36000000000000004</v>
      </c>
      <c r="H517" s="477">
        <f t="shared" si="212"/>
        <v>6.0224999999999991</v>
      </c>
      <c r="I517" s="477"/>
      <c r="J517" s="477">
        <f t="shared" si="213"/>
        <v>0.41624999999999995</v>
      </c>
      <c r="K517" s="10"/>
      <c r="L517" s="10"/>
      <c r="M517" s="10"/>
      <c r="N517" s="10"/>
      <c r="O517" s="71"/>
      <c r="P517" s="153"/>
    </row>
    <row r="518" spans="1:16" s="62" customFormat="1" x14ac:dyDescent="0.3">
      <c r="A518" s="158" t="s">
        <v>507</v>
      </c>
      <c r="B518" s="159">
        <v>1</v>
      </c>
      <c r="C518" s="159" t="s">
        <v>50</v>
      </c>
      <c r="D518" s="476">
        <f>3.8+0.6</f>
        <v>4.3999999999999995</v>
      </c>
      <c r="E518" s="477">
        <v>0.15</v>
      </c>
      <c r="F518" s="477">
        <v>0.5</v>
      </c>
      <c r="G518" s="477">
        <f>-0.6*0.1*2</f>
        <v>-0.12</v>
      </c>
      <c r="H518" s="477">
        <f t="shared" si="212"/>
        <v>4.9399999999999995</v>
      </c>
      <c r="I518" s="477"/>
      <c r="J518" s="477">
        <f t="shared" si="213"/>
        <v>0.32999999999999996</v>
      </c>
      <c r="K518" s="10"/>
      <c r="L518" s="10"/>
      <c r="M518" s="10"/>
      <c r="N518" s="10"/>
      <c r="O518" s="71"/>
      <c r="P518" s="153"/>
    </row>
    <row r="519" spans="1:16" s="62" customFormat="1" x14ac:dyDescent="0.3">
      <c r="A519" s="158" t="s">
        <v>508</v>
      </c>
      <c r="B519" s="159">
        <v>1</v>
      </c>
      <c r="C519" s="159" t="s">
        <v>50</v>
      </c>
      <c r="D519" s="476">
        <v>0.6</v>
      </c>
      <c r="E519" s="477">
        <v>0.15</v>
      </c>
      <c r="F519" s="477">
        <v>0.5</v>
      </c>
      <c r="G519" s="477">
        <f t="shared" ref="G519:G520" si="215">-0.6*0.1*2</f>
        <v>-0.12</v>
      </c>
      <c r="H519" s="477">
        <f t="shared" si="212"/>
        <v>0.56999999999999995</v>
      </c>
      <c r="I519" s="477"/>
      <c r="J519" s="477">
        <f t="shared" si="213"/>
        <v>4.4999999999999998E-2</v>
      </c>
      <c r="K519" s="10"/>
      <c r="L519" s="10"/>
      <c r="M519" s="10"/>
      <c r="N519" s="10"/>
      <c r="O519" s="71"/>
      <c r="P519" s="153"/>
    </row>
    <row r="520" spans="1:16" s="62" customFormat="1" x14ac:dyDescent="0.3">
      <c r="A520" s="158" t="s">
        <v>509</v>
      </c>
      <c r="B520" s="159">
        <v>1</v>
      </c>
      <c r="C520" s="159" t="s">
        <v>50</v>
      </c>
      <c r="D520" s="476">
        <v>0.6</v>
      </c>
      <c r="E520" s="477">
        <v>0.15</v>
      </c>
      <c r="F520" s="477">
        <v>0.5</v>
      </c>
      <c r="G520" s="477">
        <f t="shared" si="215"/>
        <v>-0.12</v>
      </c>
      <c r="H520" s="477">
        <f t="shared" si="212"/>
        <v>0.56999999999999995</v>
      </c>
      <c r="I520" s="477"/>
      <c r="J520" s="477">
        <f t="shared" si="213"/>
        <v>4.4999999999999998E-2</v>
      </c>
      <c r="K520" s="10"/>
      <c r="L520" s="10"/>
      <c r="M520" s="10"/>
      <c r="N520" s="10"/>
      <c r="O520" s="71"/>
      <c r="P520" s="153"/>
    </row>
    <row r="521" spans="1:16" s="62" customFormat="1" x14ac:dyDescent="0.3">
      <c r="A521" s="158" t="s">
        <v>510</v>
      </c>
      <c r="B521" s="159">
        <v>1</v>
      </c>
      <c r="C521" s="159" t="s">
        <v>50</v>
      </c>
      <c r="D521" s="476">
        <v>2</v>
      </c>
      <c r="E521" s="477">
        <v>0.15</v>
      </c>
      <c r="F521" s="477">
        <v>0.5</v>
      </c>
      <c r="G521" s="477">
        <f>-0.2*0.5*2+0.15*0.5-1.8*0.1</f>
        <v>-0.30500000000000005</v>
      </c>
      <c r="H521" s="477">
        <f t="shared" ref="H521:H752" si="216">(((2*D521*F521+D521*E521))*B521)+G521</f>
        <v>1.9949999999999997</v>
      </c>
      <c r="I521" s="477"/>
      <c r="J521" s="477">
        <f t="shared" ref="J521:J752" si="217">(D521*E521*F521)*B521+I521</f>
        <v>0.15</v>
      </c>
      <c r="K521" s="10"/>
      <c r="L521" s="10"/>
      <c r="M521" s="10"/>
      <c r="N521" s="10"/>
      <c r="O521" s="71"/>
      <c r="P521" s="153"/>
    </row>
    <row r="522" spans="1:16" s="62" customFormat="1" x14ac:dyDescent="0.3">
      <c r="A522" s="158" t="s">
        <v>511</v>
      </c>
      <c r="B522" s="159">
        <v>1</v>
      </c>
      <c r="C522" s="159" t="s">
        <v>50</v>
      </c>
      <c r="D522" s="476">
        <v>0.6</v>
      </c>
      <c r="E522" s="477">
        <v>0.15</v>
      </c>
      <c r="F522" s="477">
        <v>0.5</v>
      </c>
      <c r="G522" s="477">
        <f t="shared" ref="G522:G523" si="218">-0.6*0.1*2</f>
        <v>-0.12</v>
      </c>
      <c r="H522" s="477">
        <f t="shared" si="216"/>
        <v>0.56999999999999995</v>
      </c>
      <c r="I522" s="477"/>
      <c r="J522" s="477">
        <f t="shared" si="217"/>
        <v>4.4999999999999998E-2</v>
      </c>
      <c r="K522" s="10"/>
      <c r="L522" s="10"/>
      <c r="M522" s="10"/>
      <c r="N522" s="10"/>
      <c r="O522" s="71"/>
      <c r="P522" s="153"/>
    </row>
    <row r="523" spans="1:16" s="62" customFormat="1" x14ac:dyDescent="0.3">
      <c r="A523" s="158" t="s">
        <v>512</v>
      </c>
      <c r="B523" s="159">
        <v>1</v>
      </c>
      <c r="C523" s="159" t="s">
        <v>50</v>
      </c>
      <c r="D523" s="476">
        <v>0.6</v>
      </c>
      <c r="E523" s="477">
        <v>0.15</v>
      </c>
      <c r="F523" s="477">
        <v>0.5</v>
      </c>
      <c r="G523" s="477">
        <f t="shared" si="218"/>
        <v>-0.12</v>
      </c>
      <c r="H523" s="477">
        <f t="shared" si="216"/>
        <v>0.56999999999999995</v>
      </c>
      <c r="I523" s="477"/>
      <c r="J523" s="477">
        <f t="shared" si="217"/>
        <v>4.4999999999999998E-2</v>
      </c>
      <c r="K523" s="10"/>
      <c r="L523" s="10"/>
      <c r="M523" s="10"/>
      <c r="N523" s="10"/>
      <c r="O523" s="71"/>
      <c r="P523" s="153"/>
    </row>
    <row r="524" spans="1:16" s="62" customFormat="1" x14ac:dyDescent="0.3">
      <c r="A524" s="158" t="s">
        <v>513</v>
      </c>
      <c r="B524" s="159">
        <v>1</v>
      </c>
      <c r="C524" s="159" t="s">
        <v>50</v>
      </c>
      <c r="D524" s="476">
        <v>10.95</v>
      </c>
      <c r="E524" s="477">
        <v>0.15</v>
      </c>
      <c r="F524" s="477">
        <v>0.5</v>
      </c>
      <c r="G524" s="477">
        <f>-0.2*0.5*2-0.25*0.5+0.15*0.5+0.05*0.5*2-0.2*0.95-0.25*0.7-0.2*0.5-0.6*0.1</f>
        <v>-0.72499999999999987</v>
      </c>
      <c r="H524" s="477">
        <f t="shared" si="216"/>
        <v>11.8675</v>
      </c>
      <c r="I524" s="477">
        <f>0.05*0.3*0.5+0.1*0.5*0.7+0.05*0.95*0.5</f>
        <v>6.6250000000000003E-2</v>
      </c>
      <c r="J524" s="477">
        <f t="shared" si="217"/>
        <v>0.88749999999999996</v>
      </c>
      <c r="K524" s="10"/>
      <c r="L524" s="10"/>
      <c r="M524" s="10"/>
      <c r="N524" s="10"/>
      <c r="O524" s="71"/>
      <c r="P524" s="153"/>
    </row>
    <row r="525" spans="1:16" s="62" customFormat="1" ht="28.8" x14ac:dyDescent="0.3">
      <c r="A525" s="485" t="s">
        <v>514</v>
      </c>
      <c r="B525" s="159">
        <v>3</v>
      </c>
      <c r="C525" s="159" t="s">
        <v>50</v>
      </c>
      <c r="D525" s="476">
        <v>0.95</v>
      </c>
      <c r="E525" s="477">
        <v>0.15</v>
      </c>
      <c r="F525" s="477">
        <v>0.5</v>
      </c>
      <c r="G525" s="477">
        <f>-0.6*0.1*2+0.15*0.5*2-0.2*0.5*2-0.15*0.5*2</f>
        <v>-0.32</v>
      </c>
      <c r="H525" s="477">
        <f>(((2*D525*F525+D525*E525))*B525)+G525*B525</f>
        <v>2.3174999999999999</v>
      </c>
      <c r="I525" s="477"/>
      <c r="J525" s="477">
        <f t="shared" si="217"/>
        <v>0.21375</v>
      </c>
      <c r="K525" s="10"/>
      <c r="L525" s="10"/>
      <c r="M525" s="10"/>
      <c r="N525" s="10"/>
      <c r="O525" s="71"/>
      <c r="P525" s="153"/>
    </row>
    <row r="526" spans="1:16" s="62" customFormat="1" x14ac:dyDescent="0.3">
      <c r="A526" s="158" t="s">
        <v>515</v>
      </c>
      <c r="B526" s="159">
        <v>1</v>
      </c>
      <c r="C526" s="159" t="s">
        <v>184</v>
      </c>
      <c r="D526" s="476">
        <v>4</v>
      </c>
      <c r="E526" s="477">
        <v>0.15</v>
      </c>
      <c r="F526" s="477">
        <v>0.15</v>
      </c>
      <c r="G526" s="477">
        <f>0.05*0.15*2</f>
        <v>1.4999999999999999E-2</v>
      </c>
      <c r="H526" s="477">
        <f>(((2*D526*F526))*B526)+G526</f>
        <v>1.2149999999999999</v>
      </c>
      <c r="I526" s="477">
        <f>0.05*0.3*0.15</f>
        <v>2.2499999999999998E-3</v>
      </c>
      <c r="J526" s="477">
        <f t="shared" si="217"/>
        <v>9.2249999999999999E-2</v>
      </c>
      <c r="K526" s="10"/>
      <c r="L526" s="10"/>
      <c r="M526" s="10"/>
      <c r="N526" s="10"/>
      <c r="O526" s="71"/>
      <c r="P526" s="153"/>
    </row>
    <row r="527" spans="1:16" s="62" customFormat="1" x14ac:dyDescent="0.3">
      <c r="A527" s="158" t="s">
        <v>516</v>
      </c>
      <c r="B527" s="159">
        <v>1</v>
      </c>
      <c r="C527" s="159" t="s">
        <v>184</v>
      </c>
      <c r="D527" s="476">
        <v>7.85</v>
      </c>
      <c r="E527" s="477">
        <v>0.15</v>
      </c>
      <c r="F527" s="477">
        <v>0.15</v>
      </c>
      <c r="G527" s="477">
        <f>0.05*0.15*2</f>
        <v>1.4999999999999999E-2</v>
      </c>
      <c r="H527" s="477">
        <f t="shared" ref="H527:H538" si="219">(((2*D527*F527))*B527)+G527</f>
        <v>2.37</v>
      </c>
      <c r="I527" s="477">
        <f>0.05*0.15*0.4</f>
        <v>3.0000000000000001E-3</v>
      </c>
      <c r="J527" s="477">
        <f t="shared" si="217"/>
        <v>0.17962500000000001</v>
      </c>
      <c r="K527" s="10"/>
      <c r="L527" s="10"/>
      <c r="M527" s="10"/>
      <c r="N527" s="10"/>
      <c r="O527" s="71"/>
      <c r="P527" s="153"/>
    </row>
    <row r="528" spans="1:16" s="62" customFormat="1" x14ac:dyDescent="0.3">
      <c r="A528" s="158" t="s">
        <v>517</v>
      </c>
      <c r="B528" s="159">
        <v>1</v>
      </c>
      <c r="C528" s="159" t="s">
        <v>184</v>
      </c>
      <c r="D528" s="476">
        <v>7.85</v>
      </c>
      <c r="E528" s="477">
        <v>0.15</v>
      </c>
      <c r="F528" s="477">
        <v>0.15</v>
      </c>
      <c r="G528" s="477">
        <f>0.05*0.15*2</f>
        <v>1.4999999999999999E-2</v>
      </c>
      <c r="H528" s="477">
        <f t="shared" si="219"/>
        <v>2.37</v>
      </c>
      <c r="I528" s="477">
        <f>0.05*0.15*0.25</f>
        <v>1.8749999999999999E-3</v>
      </c>
      <c r="J528" s="477">
        <f t="shared" si="217"/>
        <v>0.17849999999999999</v>
      </c>
      <c r="K528" s="10"/>
      <c r="L528" s="10"/>
      <c r="M528" s="10"/>
      <c r="N528" s="10"/>
      <c r="O528" s="71"/>
      <c r="P528" s="153"/>
    </row>
    <row r="529" spans="1:16" s="62" customFormat="1" x14ac:dyDescent="0.3">
      <c r="A529" s="158" t="s">
        <v>518</v>
      </c>
      <c r="B529" s="159">
        <v>1</v>
      </c>
      <c r="C529" s="159" t="s">
        <v>184</v>
      </c>
      <c r="D529" s="476">
        <v>3.85</v>
      </c>
      <c r="E529" s="477">
        <v>0.15</v>
      </c>
      <c r="F529" s="477">
        <v>0.15</v>
      </c>
      <c r="G529" s="477"/>
      <c r="H529" s="477">
        <f t="shared" si="219"/>
        <v>1.155</v>
      </c>
      <c r="I529" s="477"/>
      <c r="J529" s="477">
        <f t="shared" si="217"/>
        <v>8.6624999999999994E-2</v>
      </c>
      <c r="K529" s="10"/>
      <c r="L529" s="10"/>
      <c r="M529" s="10"/>
      <c r="N529" s="10"/>
      <c r="O529" s="71"/>
      <c r="P529" s="153"/>
    </row>
    <row r="530" spans="1:16" s="62" customFormat="1" x14ac:dyDescent="0.3">
      <c r="A530" s="158" t="s">
        <v>519</v>
      </c>
      <c r="B530" s="159">
        <v>1</v>
      </c>
      <c r="C530" s="159" t="s">
        <v>184</v>
      </c>
      <c r="D530" s="476">
        <v>4.1500000000000004</v>
      </c>
      <c r="E530" s="477">
        <v>0.15</v>
      </c>
      <c r="F530" s="477">
        <v>0.15</v>
      </c>
      <c r="G530" s="477">
        <f>0.05*0.15*2-0.15*0.15*2</f>
        <v>-0.03</v>
      </c>
      <c r="H530" s="477">
        <f t="shared" si="219"/>
        <v>1.2150000000000001</v>
      </c>
      <c r="I530" s="477">
        <f>0.05*0.4*0.15</f>
        <v>3.0000000000000005E-3</v>
      </c>
      <c r="J530" s="477">
        <f t="shared" si="217"/>
        <v>9.6375000000000002E-2</v>
      </c>
      <c r="K530" s="10"/>
      <c r="L530" s="10"/>
      <c r="M530" s="10"/>
      <c r="N530" s="10"/>
      <c r="O530" s="71"/>
      <c r="P530" s="153"/>
    </row>
    <row r="531" spans="1:16" s="62" customFormat="1" x14ac:dyDescent="0.3">
      <c r="A531" s="158" t="s">
        <v>520</v>
      </c>
      <c r="B531" s="159">
        <v>1</v>
      </c>
      <c r="C531" s="159" t="s">
        <v>184</v>
      </c>
      <c r="D531" s="476">
        <v>8.15</v>
      </c>
      <c r="E531" s="477">
        <v>0.15</v>
      </c>
      <c r="F531" s="477">
        <v>0.15</v>
      </c>
      <c r="G531" s="477">
        <f>0.05*0.15*2</f>
        <v>1.4999999999999999E-2</v>
      </c>
      <c r="H531" s="477">
        <f t="shared" si="219"/>
        <v>2.46</v>
      </c>
      <c r="I531" s="477">
        <f>0.05*0.15*0.6</f>
        <v>4.4999999999999997E-3</v>
      </c>
      <c r="J531" s="477">
        <f t="shared" si="217"/>
        <v>0.18787499999999999</v>
      </c>
      <c r="K531" s="10"/>
      <c r="L531" s="10"/>
      <c r="M531" s="10"/>
      <c r="N531" s="10"/>
      <c r="O531" s="71"/>
      <c r="P531" s="153"/>
    </row>
    <row r="532" spans="1:16" s="62" customFormat="1" x14ac:dyDescent="0.3">
      <c r="A532" s="158" t="s">
        <v>521</v>
      </c>
      <c r="B532" s="159">
        <v>1</v>
      </c>
      <c r="C532" s="159" t="s">
        <v>184</v>
      </c>
      <c r="D532" s="476">
        <v>12</v>
      </c>
      <c r="E532" s="477">
        <v>0.15</v>
      </c>
      <c r="F532" s="477">
        <v>0.15</v>
      </c>
      <c r="G532" s="477">
        <f>0.25*0.15*6</f>
        <v>0.22499999999999998</v>
      </c>
      <c r="H532" s="477">
        <f t="shared" si="219"/>
        <v>3.8249999999999997</v>
      </c>
      <c r="I532" s="477">
        <f>0.25*0.15*0.15*3</f>
        <v>1.6875000000000001E-2</v>
      </c>
      <c r="J532" s="477">
        <f t="shared" si="217"/>
        <v>0.28687499999999999</v>
      </c>
      <c r="K532" s="10"/>
      <c r="L532" s="10"/>
      <c r="M532" s="10"/>
      <c r="N532" s="10"/>
      <c r="O532" s="71"/>
      <c r="P532" s="153"/>
    </row>
    <row r="533" spans="1:16" s="62" customFormat="1" x14ac:dyDescent="0.3">
      <c r="A533" s="158" t="s">
        <v>522</v>
      </c>
      <c r="B533" s="159">
        <v>1</v>
      </c>
      <c r="C533" s="159" t="s">
        <v>184</v>
      </c>
      <c r="D533" s="476">
        <v>11.85</v>
      </c>
      <c r="E533" s="477">
        <v>0.15</v>
      </c>
      <c r="F533" s="477">
        <v>0.15</v>
      </c>
      <c r="G533" s="477">
        <f>0.25*0.15*1</f>
        <v>3.7499999999999999E-2</v>
      </c>
      <c r="H533" s="477">
        <f t="shared" si="219"/>
        <v>3.5924999999999998</v>
      </c>
      <c r="I533" s="477">
        <f>0.25*0.15*0.15*1</f>
        <v>5.6249999999999998E-3</v>
      </c>
      <c r="J533" s="477">
        <f t="shared" si="217"/>
        <v>0.27224999999999994</v>
      </c>
      <c r="K533" s="10"/>
      <c r="L533" s="10"/>
      <c r="M533" s="10"/>
      <c r="N533" s="10"/>
      <c r="O533" s="71"/>
      <c r="P533" s="153"/>
    </row>
    <row r="534" spans="1:16" s="62" customFormat="1" x14ac:dyDescent="0.3">
      <c r="A534" s="158" t="s">
        <v>523</v>
      </c>
      <c r="B534" s="159">
        <v>1</v>
      </c>
      <c r="C534" s="159" t="s">
        <v>184</v>
      </c>
      <c r="D534" s="476">
        <f>1.85+8.75</f>
        <v>10.6</v>
      </c>
      <c r="E534" s="477">
        <v>0.15</v>
      </c>
      <c r="F534" s="477">
        <v>0.15</v>
      </c>
      <c r="G534" s="477">
        <f>0.25*0.15*1</f>
        <v>3.7499999999999999E-2</v>
      </c>
      <c r="H534" s="477">
        <f t="shared" si="219"/>
        <v>3.2174999999999998</v>
      </c>
      <c r="I534" s="477">
        <f>0.25*0.15*0.15*1</f>
        <v>5.6249999999999998E-3</v>
      </c>
      <c r="J534" s="477">
        <f t="shared" si="217"/>
        <v>0.24412499999999995</v>
      </c>
      <c r="K534" s="10"/>
      <c r="L534" s="10"/>
      <c r="M534" s="10"/>
      <c r="N534" s="10"/>
      <c r="O534" s="71"/>
      <c r="P534" s="153"/>
    </row>
    <row r="535" spans="1:16" s="62" customFormat="1" x14ac:dyDescent="0.3">
      <c r="A535" s="158" t="s">
        <v>524</v>
      </c>
      <c r="B535" s="159">
        <v>1</v>
      </c>
      <c r="C535" s="159" t="s">
        <v>184</v>
      </c>
      <c r="D535" s="476">
        <v>2</v>
      </c>
      <c r="E535" s="477">
        <v>0.15</v>
      </c>
      <c r="F535" s="477">
        <v>0.15</v>
      </c>
      <c r="G535" s="477">
        <f>-0.15*0.15</f>
        <v>-2.2499999999999999E-2</v>
      </c>
      <c r="H535" s="477">
        <f t="shared" si="219"/>
        <v>0.57750000000000001</v>
      </c>
      <c r="I535" s="477"/>
      <c r="J535" s="477">
        <f t="shared" ref="J535:J563" si="220">(D535*E535*F535)*B535+I535</f>
        <v>4.4999999999999998E-2</v>
      </c>
      <c r="K535" s="10"/>
      <c r="L535" s="10"/>
      <c r="M535" s="10"/>
      <c r="N535" s="10"/>
      <c r="O535" s="71"/>
      <c r="P535" s="153"/>
    </row>
    <row r="536" spans="1:16" s="62" customFormat="1" x14ac:dyDescent="0.3">
      <c r="A536" s="158" t="s">
        <v>525</v>
      </c>
      <c r="B536" s="159">
        <v>1</v>
      </c>
      <c r="C536" s="159" t="s">
        <v>184</v>
      </c>
      <c r="D536" s="476">
        <v>2</v>
      </c>
      <c r="E536" s="477">
        <v>0.15</v>
      </c>
      <c r="F536" s="477">
        <v>0.15</v>
      </c>
      <c r="G536" s="477">
        <f>-0.15*0.15</f>
        <v>-2.2499999999999999E-2</v>
      </c>
      <c r="H536" s="477">
        <f t="shared" si="219"/>
        <v>0.57750000000000001</v>
      </c>
      <c r="I536" s="477"/>
      <c r="J536" s="477">
        <f t="shared" si="220"/>
        <v>4.4999999999999998E-2</v>
      </c>
      <c r="K536" s="10"/>
      <c r="L536" s="10"/>
      <c r="M536" s="10"/>
      <c r="N536" s="10"/>
      <c r="O536" s="71"/>
      <c r="P536" s="153"/>
    </row>
    <row r="537" spans="1:16" s="62" customFormat="1" x14ac:dyDescent="0.3">
      <c r="A537" s="158" t="s">
        <v>526</v>
      </c>
      <c r="B537" s="159">
        <v>1</v>
      </c>
      <c r="C537" s="159" t="s">
        <v>184</v>
      </c>
      <c r="D537" s="476">
        <v>2</v>
      </c>
      <c r="E537" s="477">
        <v>0.15</v>
      </c>
      <c r="F537" s="477">
        <v>0.15</v>
      </c>
      <c r="G537" s="477">
        <f>-0.15*0.15</f>
        <v>-2.2499999999999999E-2</v>
      </c>
      <c r="H537" s="477">
        <f t="shared" si="219"/>
        <v>0.57750000000000001</v>
      </c>
      <c r="I537" s="477"/>
      <c r="J537" s="477">
        <f t="shared" si="220"/>
        <v>4.4999999999999998E-2</v>
      </c>
      <c r="K537" s="10"/>
      <c r="L537" s="10"/>
      <c r="M537" s="10"/>
      <c r="N537" s="10"/>
      <c r="O537" s="71"/>
      <c r="P537" s="153"/>
    </row>
    <row r="538" spans="1:16" s="62" customFormat="1" ht="15" thickBot="1" x14ac:dyDescent="0.35">
      <c r="A538" s="158" t="s">
        <v>527</v>
      </c>
      <c r="B538" s="159">
        <v>1</v>
      </c>
      <c r="C538" s="159" t="s">
        <v>184</v>
      </c>
      <c r="D538" s="476">
        <v>10.95</v>
      </c>
      <c r="E538" s="477">
        <v>0.15</v>
      </c>
      <c r="F538" s="477">
        <v>0.15</v>
      </c>
      <c r="G538" s="477">
        <f>0.05*0.15*4+0.1*0.15*2</f>
        <v>0.06</v>
      </c>
      <c r="H538" s="477">
        <f t="shared" si="219"/>
        <v>3.3449999999999998</v>
      </c>
      <c r="I538" s="477">
        <f>0.05*0.15*0.95+0.05*0.15*0.5+0.1*0.15*0.7</f>
        <v>2.1374999999999998E-2</v>
      </c>
      <c r="J538" s="477">
        <f t="shared" si="220"/>
        <v>0.26774999999999993</v>
      </c>
      <c r="K538" s="10"/>
      <c r="L538" s="10"/>
      <c r="M538" s="10"/>
      <c r="N538" s="10"/>
      <c r="O538" s="71"/>
      <c r="P538" s="153"/>
    </row>
    <row r="539" spans="1:16" s="62" customFormat="1" ht="15" thickBot="1" x14ac:dyDescent="0.35">
      <c r="A539" s="685" t="s">
        <v>583</v>
      </c>
      <c r="B539" s="686"/>
      <c r="C539" s="686"/>
      <c r="D539" s="686"/>
      <c r="E539" s="686"/>
      <c r="F539" s="686"/>
      <c r="G539" s="686"/>
      <c r="H539" s="686"/>
      <c r="I539" s="686"/>
      <c r="J539" s="686"/>
      <c r="K539" s="686"/>
      <c r="L539" s="686"/>
      <c r="M539" s="686"/>
      <c r="N539" s="686"/>
      <c r="O539" s="686"/>
      <c r="P539" s="705"/>
    </row>
    <row r="540" spans="1:16" s="62" customFormat="1" x14ac:dyDescent="0.3">
      <c r="A540" s="158" t="s">
        <v>635</v>
      </c>
      <c r="B540" s="159">
        <v>1</v>
      </c>
      <c r="C540" s="159" t="s">
        <v>50</v>
      </c>
      <c r="D540" s="476">
        <v>3.8</v>
      </c>
      <c r="E540" s="477">
        <v>0.2</v>
      </c>
      <c r="F540" s="477">
        <v>0.5</v>
      </c>
      <c r="G540" s="477"/>
      <c r="H540" s="477">
        <f t="shared" ref="H540:H570" si="221">(((2*D540*F540+D540*E540))*B540)+G540</f>
        <v>4.5599999999999996</v>
      </c>
      <c r="I540" s="477"/>
      <c r="J540" s="477">
        <f t="shared" si="220"/>
        <v>0.38</v>
      </c>
      <c r="K540" s="10"/>
      <c r="L540" s="10"/>
      <c r="M540" s="10"/>
      <c r="N540" s="10"/>
      <c r="O540" s="71"/>
      <c r="P540" s="153"/>
    </row>
    <row r="541" spans="1:16" s="62" customFormat="1" x14ac:dyDescent="0.3">
      <c r="A541" s="158" t="s">
        <v>636</v>
      </c>
      <c r="B541" s="159">
        <v>1</v>
      </c>
      <c r="C541" s="159" t="s">
        <v>50</v>
      </c>
      <c r="D541" s="476">
        <v>3.78</v>
      </c>
      <c r="E541" s="477">
        <v>0.15</v>
      </c>
      <c r="F541" s="477">
        <v>0.5</v>
      </c>
      <c r="G541" s="477">
        <f>-0.15*0.5+0.05*0.5-3.58*0.1</f>
        <v>-0.40800000000000003</v>
      </c>
      <c r="H541" s="477">
        <f t="shared" si="221"/>
        <v>3.9389999999999996</v>
      </c>
      <c r="I541" s="477">
        <f>0.05*0.25*0.5</f>
        <v>6.2500000000000003E-3</v>
      </c>
      <c r="J541" s="477">
        <f t="shared" si="220"/>
        <v>0.28974999999999995</v>
      </c>
      <c r="K541" s="10"/>
      <c r="L541" s="10"/>
      <c r="M541" s="10"/>
      <c r="N541" s="10"/>
      <c r="O541" s="71"/>
      <c r="P541" s="153"/>
    </row>
    <row r="542" spans="1:16" s="62" customFormat="1" x14ac:dyDescent="0.3">
      <c r="A542" s="158" t="s">
        <v>637</v>
      </c>
      <c r="B542" s="159">
        <v>1</v>
      </c>
      <c r="C542" s="159" t="s">
        <v>50</v>
      </c>
      <c r="D542" s="476">
        <v>4.07</v>
      </c>
      <c r="E542" s="477">
        <v>0.15</v>
      </c>
      <c r="F542" s="477">
        <v>0.5</v>
      </c>
      <c r="G542" s="477">
        <f>-4.12*0.1</f>
        <v>-0.41200000000000003</v>
      </c>
      <c r="H542" s="477">
        <f t="shared" ref="H542:H561" si="222">(((2*D542*F542+D542*E542))*B542)+G542</f>
        <v>4.2685000000000004</v>
      </c>
      <c r="I542" s="477"/>
      <c r="J542" s="477">
        <f t="shared" ref="J542:J561" si="223">(D542*E542*F542)*B542+I542</f>
        <v>0.30525000000000002</v>
      </c>
      <c r="K542" s="10"/>
      <c r="L542" s="10"/>
      <c r="M542" s="10"/>
      <c r="N542" s="10"/>
      <c r="O542" s="71"/>
      <c r="P542" s="153"/>
    </row>
    <row r="543" spans="1:16" s="62" customFormat="1" x14ac:dyDescent="0.3">
      <c r="A543" s="158" t="s">
        <v>638</v>
      </c>
      <c r="B543" s="159">
        <v>1</v>
      </c>
      <c r="C543" s="159" t="s">
        <v>50</v>
      </c>
      <c r="D543" s="476">
        <v>3.85</v>
      </c>
      <c r="E543" s="477">
        <v>0.2</v>
      </c>
      <c r="F543" s="477">
        <v>0.5</v>
      </c>
      <c r="G543" s="477"/>
      <c r="H543" s="477">
        <f t="shared" si="222"/>
        <v>4.62</v>
      </c>
      <c r="I543" s="477"/>
      <c r="J543" s="477">
        <f t="shared" si="223"/>
        <v>0.38500000000000001</v>
      </c>
      <c r="K543" s="10"/>
      <c r="L543" s="10"/>
      <c r="M543" s="10"/>
      <c r="N543" s="10"/>
      <c r="O543" s="71"/>
      <c r="P543" s="153"/>
    </row>
    <row r="544" spans="1:16" s="62" customFormat="1" x14ac:dyDescent="0.3">
      <c r="A544" s="158" t="s">
        <v>639</v>
      </c>
      <c r="B544" s="159">
        <v>1</v>
      </c>
      <c r="C544" s="159" t="s">
        <v>50</v>
      </c>
      <c r="D544" s="476">
        <v>3.8</v>
      </c>
      <c r="E544" s="477">
        <v>0.2</v>
      </c>
      <c r="F544" s="477">
        <v>0.5</v>
      </c>
      <c r="G544" s="477"/>
      <c r="H544" s="477">
        <f t="shared" si="222"/>
        <v>4.5599999999999996</v>
      </c>
      <c r="I544" s="477"/>
      <c r="J544" s="477">
        <f t="shared" si="223"/>
        <v>0.38</v>
      </c>
      <c r="K544" s="10"/>
      <c r="L544" s="10"/>
      <c r="M544" s="10"/>
      <c r="N544" s="10"/>
      <c r="O544" s="71"/>
      <c r="P544" s="153"/>
    </row>
    <row r="545" spans="1:16" s="62" customFormat="1" x14ac:dyDescent="0.3">
      <c r="A545" s="158" t="s">
        <v>640</v>
      </c>
      <c r="B545" s="159">
        <v>1</v>
      </c>
      <c r="C545" s="159" t="s">
        <v>50</v>
      </c>
      <c r="D545" s="476">
        <v>3.78</v>
      </c>
      <c r="E545" s="477">
        <v>0.15</v>
      </c>
      <c r="F545" s="477">
        <v>0.5</v>
      </c>
      <c r="G545" s="477">
        <f>-0.15*0.5+0.05*0.5-3.58*0.1</f>
        <v>-0.40800000000000003</v>
      </c>
      <c r="H545" s="477">
        <f t="shared" si="222"/>
        <v>3.9389999999999996</v>
      </c>
      <c r="I545" s="477"/>
      <c r="J545" s="477">
        <f t="shared" si="223"/>
        <v>0.28349999999999997</v>
      </c>
      <c r="K545" s="10"/>
      <c r="L545" s="10"/>
      <c r="M545" s="10"/>
      <c r="N545" s="10"/>
      <c r="O545" s="71"/>
      <c r="P545" s="153"/>
    </row>
    <row r="546" spans="1:16" s="62" customFormat="1" x14ac:dyDescent="0.3">
      <c r="A546" s="158" t="s">
        <v>641</v>
      </c>
      <c r="B546" s="159">
        <v>1</v>
      </c>
      <c r="C546" s="159" t="s">
        <v>50</v>
      </c>
      <c r="D546" s="476">
        <v>4.07</v>
      </c>
      <c r="E546" s="477">
        <v>0.15</v>
      </c>
      <c r="F546" s="477">
        <v>0.5</v>
      </c>
      <c r="G546" s="477">
        <f>-4.12*0.1</f>
        <v>-0.41200000000000003</v>
      </c>
      <c r="H546" s="477">
        <f t="shared" si="222"/>
        <v>4.2685000000000004</v>
      </c>
      <c r="I546" s="477"/>
      <c r="J546" s="477">
        <f t="shared" si="223"/>
        <v>0.30525000000000002</v>
      </c>
      <c r="K546" s="10"/>
      <c r="L546" s="10"/>
      <c r="M546" s="10"/>
      <c r="N546" s="10"/>
      <c r="O546" s="71"/>
      <c r="P546" s="153"/>
    </row>
    <row r="547" spans="1:16" s="62" customFormat="1" x14ac:dyDescent="0.3">
      <c r="A547" s="158" t="s">
        <v>642</v>
      </c>
      <c r="B547" s="159">
        <v>1</v>
      </c>
      <c r="C547" s="159" t="s">
        <v>50</v>
      </c>
      <c r="D547" s="476">
        <v>3.85</v>
      </c>
      <c r="E547" s="477">
        <v>0.2</v>
      </c>
      <c r="F547" s="477">
        <v>0.5</v>
      </c>
      <c r="G547" s="477"/>
      <c r="H547" s="477">
        <f t="shared" si="222"/>
        <v>4.62</v>
      </c>
      <c r="I547" s="477"/>
      <c r="J547" s="477">
        <f t="shared" si="223"/>
        <v>0.38500000000000001</v>
      </c>
      <c r="K547" s="10"/>
      <c r="L547" s="10"/>
      <c r="M547" s="10"/>
      <c r="N547" s="10"/>
      <c r="O547" s="71"/>
      <c r="P547" s="153"/>
    </row>
    <row r="548" spans="1:16" s="62" customFormat="1" x14ac:dyDescent="0.3">
      <c r="A548" s="158" t="s">
        <v>643</v>
      </c>
      <c r="B548" s="159">
        <v>1</v>
      </c>
      <c r="C548" s="159" t="s">
        <v>50</v>
      </c>
      <c r="D548" s="476">
        <v>8.15</v>
      </c>
      <c r="E548" s="477">
        <v>0.15</v>
      </c>
      <c r="F548" s="477">
        <v>0.5</v>
      </c>
      <c r="G548" s="477">
        <f>0.05*0.5*2-0.15*0.4*2-0.2*0.6-((3.58+4.12)*0.1)</f>
        <v>-0.96</v>
      </c>
      <c r="H548" s="477">
        <f t="shared" si="222"/>
        <v>8.4125000000000014</v>
      </c>
      <c r="I548" s="477">
        <f>0.05*0.5*0.6</f>
        <v>1.4999999999999999E-2</v>
      </c>
      <c r="J548" s="477">
        <f t="shared" si="223"/>
        <v>0.62624999999999997</v>
      </c>
      <c r="K548" s="10"/>
      <c r="L548" s="10"/>
      <c r="M548" s="10"/>
      <c r="N548" s="10"/>
      <c r="O548" s="71"/>
      <c r="P548" s="153"/>
    </row>
    <row r="549" spans="1:16" s="62" customFormat="1" x14ac:dyDescent="0.3">
      <c r="A549" s="158" t="s">
        <v>644</v>
      </c>
      <c r="B549" s="159">
        <v>1</v>
      </c>
      <c r="C549" s="159" t="s">
        <v>50</v>
      </c>
      <c r="D549" s="476">
        <v>8.15</v>
      </c>
      <c r="E549" s="477">
        <v>0.15</v>
      </c>
      <c r="F549" s="477">
        <v>0.5</v>
      </c>
      <c r="G549" s="477">
        <f>0.05*0.5*2-0.15*0.4*2-0.2*0.6-((3.58+4.12)*0.1)</f>
        <v>-0.96</v>
      </c>
      <c r="H549" s="477">
        <f t="shared" ref="H549" si="224">(((2*D549*F549+D549*E549))*B549)+G549</f>
        <v>8.4125000000000014</v>
      </c>
      <c r="I549" s="477">
        <f>0.05*0.5*0.6</f>
        <v>1.4999999999999999E-2</v>
      </c>
      <c r="J549" s="477">
        <f t="shared" si="223"/>
        <v>0.62624999999999997</v>
      </c>
      <c r="K549" s="10"/>
      <c r="L549" s="10"/>
      <c r="M549" s="10"/>
      <c r="N549" s="10"/>
      <c r="O549" s="71"/>
      <c r="P549" s="153"/>
    </row>
    <row r="550" spans="1:16" s="62" customFormat="1" x14ac:dyDescent="0.3">
      <c r="A550" s="158" t="s">
        <v>645</v>
      </c>
      <c r="B550" s="159">
        <v>1</v>
      </c>
      <c r="C550" s="159" t="s">
        <v>50</v>
      </c>
      <c r="D550" s="476">
        <v>8.18</v>
      </c>
      <c r="E550" s="477">
        <v>0.25</v>
      </c>
      <c r="F550" s="477">
        <v>0.5</v>
      </c>
      <c r="G550" s="477">
        <f>-0.15*0.5*2-0.25*0.7</f>
        <v>-0.32499999999999996</v>
      </c>
      <c r="H550" s="477">
        <f t="shared" si="222"/>
        <v>9.9</v>
      </c>
      <c r="I550" s="477"/>
      <c r="J550" s="477">
        <f t="shared" si="223"/>
        <v>1.0225</v>
      </c>
      <c r="K550" s="10"/>
      <c r="L550" s="10"/>
      <c r="M550" s="10"/>
      <c r="N550" s="10"/>
      <c r="O550" s="71"/>
      <c r="P550" s="153"/>
    </row>
    <row r="551" spans="1:16" s="62" customFormat="1" x14ac:dyDescent="0.3">
      <c r="A551" s="158" t="s">
        <v>646</v>
      </c>
      <c r="B551" s="159">
        <v>1</v>
      </c>
      <c r="C551" s="159" t="s">
        <v>50</v>
      </c>
      <c r="D551" s="476">
        <v>7.58</v>
      </c>
      <c r="E551" s="477">
        <v>0.25</v>
      </c>
      <c r="F551" s="477">
        <v>0.5</v>
      </c>
      <c r="G551" s="477"/>
      <c r="H551" s="477">
        <f t="shared" si="222"/>
        <v>9.4749999999999996</v>
      </c>
      <c r="I551" s="477"/>
      <c r="J551" s="477">
        <f t="shared" si="223"/>
        <v>0.94750000000000001</v>
      </c>
      <c r="K551" s="10"/>
      <c r="L551" s="10"/>
      <c r="M551" s="10"/>
      <c r="N551" s="10"/>
      <c r="O551" s="71"/>
      <c r="P551" s="153"/>
    </row>
    <row r="552" spans="1:16" s="62" customFormat="1" x14ac:dyDescent="0.3">
      <c r="A552" s="158" t="s">
        <v>647</v>
      </c>
      <c r="B552" s="159">
        <v>1</v>
      </c>
      <c r="C552" s="159" t="s">
        <v>50</v>
      </c>
      <c r="D552" s="476">
        <v>7.48</v>
      </c>
      <c r="E552" s="477">
        <v>0.25</v>
      </c>
      <c r="F552" s="477">
        <v>0.5</v>
      </c>
      <c r="G552" s="477"/>
      <c r="H552" s="477">
        <f t="shared" si="222"/>
        <v>9.3500000000000014</v>
      </c>
      <c r="I552" s="477"/>
      <c r="J552" s="477">
        <f t="shared" si="223"/>
        <v>0.93500000000000005</v>
      </c>
      <c r="K552" s="10"/>
      <c r="L552" s="10"/>
      <c r="M552" s="10"/>
      <c r="N552" s="10"/>
      <c r="O552" s="71"/>
      <c r="P552" s="153"/>
    </row>
    <row r="553" spans="1:16" s="62" customFormat="1" x14ac:dyDescent="0.3">
      <c r="A553" s="158" t="s">
        <v>648</v>
      </c>
      <c r="B553" s="159">
        <v>1</v>
      </c>
      <c r="C553" s="159" t="s">
        <v>50</v>
      </c>
      <c r="D553" s="476">
        <v>8.2799999999999994</v>
      </c>
      <c r="E553" s="477">
        <v>0.25</v>
      </c>
      <c r="F553" s="477">
        <v>0.5</v>
      </c>
      <c r="G553" s="477">
        <f>-0.15*0.5*2-0.25*0.7</f>
        <v>-0.32499999999999996</v>
      </c>
      <c r="H553" s="477">
        <f t="shared" si="222"/>
        <v>10.025</v>
      </c>
      <c r="I553" s="477"/>
      <c r="J553" s="477">
        <f t="shared" si="223"/>
        <v>1.0349999999999999</v>
      </c>
      <c r="K553" s="10"/>
      <c r="L553" s="10"/>
      <c r="M553" s="10"/>
      <c r="N553" s="10"/>
      <c r="O553" s="71"/>
      <c r="P553" s="153"/>
    </row>
    <row r="554" spans="1:16" s="62" customFormat="1" x14ac:dyDescent="0.3">
      <c r="A554" s="158" t="s">
        <v>649</v>
      </c>
      <c r="B554" s="159">
        <v>1</v>
      </c>
      <c r="C554" s="159" t="s">
        <v>50</v>
      </c>
      <c r="D554" s="476">
        <f>3.85+4.28</f>
        <v>8.1300000000000008</v>
      </c>
      <c r="E554" s="477">
        <v>0.2</v>
      </c>
      <c r="F554" s="477">
        <v>0.5</v>
      </c>
      <c r="G554" s="477">
        <f>-0.15*0.5*2-0.2*0.6-((8.13-0.15*2)*0.1)</f>
        <v>-1.0530000000000002</v>
      </c>
      <c r="H554" s="477">
        <f t="shared" si="222"/>
        <v>8.7029999999999994</v>
      </c>
      <c r="I554" s="477"/>
      <c r="J554" s="477">
        <f t="shared" si="223"/>
        <v>0.81300000000000017</v>
      </c>
      <c r="K554" s="10"/>
      <c r="L554" s="10"/>
      <c r="M554" s="10"/>
      <c r="N554" s="10"/>
      <c r="O554" s="71"/>
      <c r="P554" s="153"/>
    </row>
    <row r="555" spans="1:16" s="62" customFormat="1" x14ac:dyDescent="0.3">
      <c r="A555" s="158" t="s">
        <v>650</v>
      </c>
      <c r="B555" s="159">
        <v>1</v>
      </c>
      <c r="C555" s="159" t="s">
        <v>50</v>
      </c>
      <c r="D555" s="476">
        <f>3.57+3.85</f>
        <v>7.42</v>
      </c>
      <c r="E555" s="477">
        <v>0.2</v>
      </c>
      <c r="F555" s="477">
        <v>0.5</v>
      </c>
      <c r="G555" s="477">
        <f>-0.15*0.5-((7.42-0.15)*0.1)</f>
        <v>-0.80199999999999994</v>
      </c>
      <c r="H555" s="477">
        <f t="shared" si="222"/>
        <v>8.1020000000000003</v>
      </c>
      <c r="I555" s="477"/>
      <c r="J555" s="477">
        <f t="shared" si="223"/>
        <v>0.74199999999999999</v>
      </c>
      <c r="K555" s="10"/>
      <c r="L555" s="10"/>
      <c r="M555" s="10"/>
      <c r="N555" s="10"/>
      <c r="O555" s="71"/>
      <c r="P555" s="153"/>
    </row>
    <row r="556" spans="1:16" s="62" customFormat="1" x14ac:dyDescent="0.3">
      <c r="A556" s="158" t="s">
        <v>651</v>
      </c>
      <c r="B556" s="159">
        <v>1</v>
      </c>
      <c r="C556" s="159" t="s">
        <v>50</v>
      </c>
      <c r="D556" s="476">
        <f>3.85+4.28</f>
        <v>8.1300000000000008</v>
      </c>
      <c r="E556" s="477">
        <v>0.2</v>
      </c>
      <c r="F556" s="477">
        <v>0.5</v>
      </c>
      <c r="G556" s="477">
        <f>-0.15*0.5*2-0.2*0.6-((8.13-0.15*2)*0.1)</f>
        <v>-1.0530000000000002</v>
      </c>
      <c r="H556" s="477">
        <f t="shared" si="222"/>
        <v>8.7029999999999994</v>
      </c>
      <c r="I556" s="477"/>
      <c r="J556" s="477">
        <f t="shared" si="223"/>
        <v>0.81300000000000017</v>
      </c>
      <c r="K556" s="10"/>
      <c r="L556" s="10"/>
      <c r="M556" s="10"/>
      <c r="N556" s="10"/>
      <c r="O556" s="71"/>
      <c r="P556" s="153"/>
    </row>
    <row r="557" spans="1:16" s="62" customFormat="1" x14ac:dyDescent="0.3">
      <c r="A557" s="158" t="s">
        <v>652</v>
      </c>
      <c r="B557" s="159">
        <v>1</v>
      </c>
      <c r="C557" s="159" t="s">
        <v>50</v>
      </c>
      <c r="D557" s="476">
        <f>3.57+3.85</f>
        <v>7.42</v>
      </c>
      <c r="E557" s="477">
        <v>0.2</v>
      </c>
      <c r="F557" s="477">
        <v>0.5</v>
      </c>
      <c r="G557" s="477">
        <f>-0.15*0.5-((8.13-0.15)*0.1)</f>
        <v>-0.873</v>
      </c>
      <c r="H557" s="477">
        <f t="shared" si="222"/>
        <v>8.0310000000000006</v>
      </c>
      <c r="I557" s="477"/>
      <c r="J557" s="477">
        <f t="shared" si="223"/>
        <v>0.74199999999999999</v>
      </c>
      <c r="K557" s="10"/>
      <c r="L557" s="10"/>
      <c r="M557" s="10"/>
      <c r="N557" s="10"/>
      <c r="O557" s="71"/>
      <c r="P557" s="153"/>
    </row>
    <row r="558" spans="1:16" s="62" customFormat="1" x14ac:dyDescent="0.3">
      <c r="A558" s="158" t="s">
        <v>653</v>
      </c>
      <c r="B558" s="159">
        <v>1</v>
      </c>
      <c r="C558" s="159" t="s">
        <v>50</v>
      </c>
      <c r="D558" s="476">
        <v>3.85</v>
      </c>
      <c r="E558" s="477">
        <v>0.15</v>
      </c>
      <c r="F558" s="477">
        <v>0.5</v>
      </c>
      <c r="G558" s="477">
        <f>-3.85*0.1</f>
        <v>-0.38500000000000001</v>
      </c>
      <c r="H558" s="477">
        <f t="shared" si="222"/>
        <v>4.0425000000000004</v>
      </c>
      <c r="I558" s="477"/>
      <c r="J558" s="477">
        <f t="shared" si="223"/>
        <v>0.28875000000000001</v>
      </c>
      <c r="K558" s="10"/>
      <c r="L558" s="10"/>
      <c r="M558" s="10"/>
      <c r="N558" s="10"/>
      <c r="O558" s="71"/>
      <c r="P558" s="153"/>
    </row>
    <row r="559" spans="1:16" s="62" customFormat="1" x14ac:dyDescent="0.3">
      <c r="A559" s="158" t="s">
        <v>654</v>
      </c>
      <c r="B559" s="159">
        <v>1</v>
      </c>
      <c r="C559" s="159" t="s">
        <v>50</v>
      </c>
      <c r="D559" s="476">
        <v>7.85</v>
      </c>
      <c r="E559" s="477">
        <v>0.15</v>
      </c>
      <c r="F559" s="477">
        <v>0.5</v>
      </c>
      <c r="G559" s="477">
        <f>-0.15*0.5*2-((7.85-0.15*2)*0.1)</f>
        <v>-0.90500000000000003</v>
      </c>
      <c r="H559" s="477">
        <f t="shared" si="222"/>
        <v>8.1225000000000005</v>
      </c>
      <c r="I559" s="477"/>
      <c r="J559" s="477">
        <f t="shared" si="223"/>
        <v>0.58875</v>
      </c>
      <c r="K559" s="10"/>
      <c r="L559" s="10"/>
      <c r="M559" s="10"/>
      <c r="N559" s="10"/>
      <c r="O559" s="71"/>
      <c r="P559" s="153"/>
    </row>
    <row r="560" spans="1:16" s="62" customFormat="1" x14ac:dyDescent="0.3">
      <c r="A560" s="158" t="s">
        <v>655</v>
      </c>
      <c r="B560" s="159">
        <v>1</v>
      </c>
      <c r="C560" s="159" t="s">
        <v>50</v>
      </c>
      <c r="D560" s="476">
        <v>3.85</v>
      </c>
      <c r="E560" s="477">
        <v>0.15</v>
      </c>
      <c r="F560" s="477">
        <v>0.5</v>
      </c>
      <c r="G560" s="477">
        <f>-3.85*0.1</f>
        <v>-0.38500000000000001</v>
      </c>
      <c r="H560" s="477">
        <f t="shared" si="222"/>
        <v>4.0425000000000004</v>
      </c>
      <c r="I560" s="477"/>
      <c r="J560" s="477">
        <f t="shared" si="223"/>
        <v>0.28875000000000001</v>
      </c>
      <c r="K560" s="10"/>
      <c r="L560" s="10"/>
      <c r="M560" s="10"/>
      <c r="N560" s="10"/>
      <c r="O560" s="71"/>
      <c r="P560" s="153"/>
    </row>
    <row r="561" spans="1:16" s="62" customFormat="1" x14ac:dyDescent="0.3">
      <c r="A561" s="158" t="s">
        <v>656</v>
      </c>
      <c r="B561" s="159">
        <v>1</v>
      </c>
      <c r="C561" s="159" t="s">
        <v>50</v>
      </c>
      <c r="D561" s="476">
        <v>3.85</v>
      </c>
      <c r="E561" s="477">
        <v>0.15</v>
      </c>
      <c r="F561" s="477">
        <v>0.5</v>
      </c>
      <c r="G561" s="477">
        <f>-3.85*0.1</f>
        <v>-0.38500000000000001</v>
      </c>
      <c r="H561" s="477">
        <f t="shared" si="222"/>
        <v>4.0425000000000004</v>
      </c>
      <c r="I561" s="477"/>
      <c r="J561" s="477">
        <f t="shared" si="223"/>
        <v>0.28875000000000001</v>
      </c>
      <c r="K561" s="10"/>
      <c r="L561" s="10"/>
      <c r="M561" s="10"/>
      <c r="N561" s="10"/>
      <c r="O561" s="71"/>
      <c r="P561" s="153"/>
    </row>
    <row r="562" spans="1:16" s="62" customFormat="1" x14ac:dyDescent="0.3">
      <c r="A562" s="158" t="s">
        <v>657</v>
      </c>
      <c r="B562" s="159">
        <v>1</v>
      </c>
      <c r="C562" s="159" t="s">
        <v>50</v>
      </c>
      <c r="D562" s="476">
        <v>7.85</v>
      </c>
      <c r="E562" s="477">
        <v>0.15</v>
      </c>
      <c r="F562" s="477">
        <v>0.5</v>
      </c>
      <c r="G562" s="477">
        <f>-0.15*0.5*2-((7.85-0.15*2)*0.1)</f>
        <v>-0.90500000000000003</v>
      </c>
      <c r="H562" s="477">
        <f t="shared" si="221"/>
        <v>8.1225000000000005</v>
      </c>
      <c r="I562" s="477"/>
      <c r="J562" s="477">
        <f t="shared" si="220"/>
        <v>0.58875</v>
      </c>
      <c r="K562" s="10"/>
      <c r="L562" s="10"/>
      <c r="M562" s="10"/>
      <c r="N562" s="10"/>
      <c r="O562" s="71"/>
      <c r="P562" s="153"/>
    </row>
    <row r="563" spans="1:16" s="62" customFormat="1" x14ac:dyDescent="0.3">
      <c r="A563" s="158" t="s">
        <v>658</v>
      </c>
      <c r="B563" s="159">
        <v>1</v>
      </c>
      <c r="C563" s="159" t="s">
        <v>50</v>
      </c>
      <c r="D563" s="476">
        <v>3.85</v>
      </c>
      <c r="E563" s="477">
        <v>0.15</v>
      </c>
      <c r="F563" s="477">
        <v>0.5</v>
      </c>
      <c r="G563" s="477">
        <f>-3.85*0.1</f>
        <v>-0.38500000000000001</v>
      </c>
      <c r="H563" s="477">
        <f t="shared" si="221"/>
        <v>4.0425000000000004</v>
      </c>
      <c r="I563" s="477"/>
      <c r="J563" s="477">
        <f t="shared" si="220"/>
        <v>0.28875000000000001</v>
      </c>
      <c r="K563" s="10"/>
      <c r="L563" s="10"/>
      <c r="M563" s="10"/>
      <c r="N563" s="10"/>
      <c r="O563" s="71"/>
      <c r="P563" s="153"/>
    </row>
    <row r="564" spans="1:16" s="62" customFormat="1" x14ac:dyDescent="0.3">
      <c r="A564" s="158" t="s">
        <v>659</v>
      </c>
      <c r="B564" s="159">
        <v>1</v>
      </c>
      <c r="C564" s="159" t="s">
        <v>50</v>
      </c>
      <c r="D564" s="476">
        <v>10.95</v>
      </c>
      <c r="E564" s="477">
        <v>0.15</v>
      </c>
      <c r="F564" s="477">
        <v>0.5</v>
      </c>
      <c r="G564" s="477">
        <f>0.15*0.5-0.2*0.5*-0.25*0.5-0.2*0.5-0.25*0.7-0.15*0.95-0.4*0.1</f>
        <v>-0.37</v>
      </c>
      <c r="H564" s="477">
        <f t="shared" si="221"/>
        <v>12.2225</v>
      </c>
      <c r="I564" s="477">
        <f>0.05*0.5*0.5+0.1*0.5*0.7</f>
        <v>4.7500000000000001E-2</v>
      </c>
      <c r="J564" s="477">
        <f t="shared" ref="J564:J725" si="225">(D564*E564*F564)*B564+I564</f>
        <v>0.86874999999999991</v>
      </c>
      <c r="K564" s="10"/>
      <c r="L564" s="10"/>
      <c r="M564" s="10"/>
      <c r="N564" s="10"/>
      <c r="O564" s="71"/>
      <c r="P564" s="153"/>
    </row>
    <row r="565" spans="1:16" s="62" customFormat="1" x14ac:dyDescent="0.3">
      <c r="A565" s="158" t="s">
        <v>660</v>
      </c>
      <c r="B565" s="159">
        <v>1</v>
      </c>
      <c r="C565" s="159" t="s">
        <v>50</v>
      </c>
      <c r="D565" s="476">
        <v>2</v>
      </c>
      <c r="E565" s="477">
        <v>0.15</v>
      </c>
      <c r="F565" s="477">
        <v>0.5</v>
      </c>
      <c r="G565" s="477">
        <f>-0.2*0.5-1.85*0.1-0.15*0.4</f>
        <v>-0.34500000000000003</v>
      </c>
      <c r="H565" s="477">
        <f t="shared" si="221"/>
        <v>1.9549999999999998</v>
      </c>
      <c r="I565" s="477"/>
      <c r="J565" s="477">
        <f t="shared" si="225"/>
        <v>0.15</v>
      </c>
      <c r="K565" s="10"/>
      <c r="L565" s="10"/>
      <c r="M565" s="10"/>
      <c r="N565" s="10"/>
      <c r="O565" s="71"/>
      <c r="P565" s="153"/>
    </row>
    <row r="566" spans="1:16" s="62" customFormat="1" x14ac:dyDescent="0.3">
      <c r="A566" s="158" t="s">
        <v>661</v>
      </c>
      <c r="B566" s="159">
        <v>1</v>
      </c>
      <c r="C566" s="159" t="s">
        <v>50</v>
      </c>
      <c r="D566" s="476">
        <v>0.4</v>
      </c>
      <c r="E566" s="477">
        <v>0.15</v>
      </c>
      <c r="F566" s="477">
        <v>0.5</v>
      </c>
      <c r="G566" s="477">
        <f>-0.4*0.1*2</f>
        <v>-8.0000000000000016E-2</v>
      </c>
      <c r="H566" s="477">
        <f t="shared" si="221"/>
        <v>0.38</v>
      </c>
      <c r="I566" s="477"/>
      <c r="J566" s="477">
        <f t="shared" si="225"/>
        <v>0.03</v>
      </c>
      <c r="K566" s="10"/>
      <c r="L566" s="10"/>
      <c r="M566" s="10"/>
      <c r="N566" s="10"/>
      <c r="O566" s="71"/>
      <c r="P566" s="153"/>
    </row>
    <row r="567" spans="1:16" s="62" customFormat="1" x14ac:dyDescent="0.3">
      <c r="A567" s="158" t="s">
        <v>662</v>
      </c>
      <c r="B567" s="159">
        <v>1</v>
      </c>
      <c r="C567" s="159" t="s">
        <v>50</v>
      </c>
      <c r="D567" s="476">
        <v>3.75</v>
      </c>
      <c r="E567" s="477">
        <v>0.15</v>
      </c>
      <c r="F567" s="477">
        <v>0.5</v>
      </c>
      <c r="G567" s="477"/>
      <c r="H567" s="477">
        <f t="shared" si="221"/>
        <v>4.3125</v>
      </c>
      <c r="I567" s="477"/>
      <c r="J567" s="477">
        <f t="shared" si="225"/>
        <v>0.28125</v>
      </c>
      <c r="K567" s="10"/>
      <c r="L567" s="10"/>
      <c r="M567" s="10"/>
      <c r="N567" s="10"/>
      <c r="O567" s="71"/>
      <c r="P567" s="153"/>
    </row>
    <row r="568" spans="1:16" s="62" customFormat="1" x14ac:dyDescent="0.3">
      <c r="A568" s="158" t="s">
        <v>663</v>
      </c>
      <c r="B568" s="159">
        <v>1</v>
      </c>
      <c r="C568" s="159" t="s">
        <v>50</v>
      </c>
      <c r="D568" s="476">
        <v>1.8</v>
      </c>
      <c r="E568" s="477">
        <v>0.15</v>
      </c>
      <c r="F568" s="477">
        <v>0.5</v>
      </c>
      <c r="G568" s="477">
        <f>-1.8*0.1*2</f>
        <v>-0.36000000000000004</v>
      </c>
      <c r="H568" s="477">
        <f t="shared" si="221"/>
        <v>1.7100000000000002</v>
      </c>
      <c r="I568" s="477"/>
      <c r="J568" s="477">
        <f t="shared" si="225"/>
        <v>0.13500000000000001</v>
      </c>
      <c r="K568" s="10"/>
      <c r="L568" s="10"/>
      <c r="M568" s="10"/>
      <c r="N568" s="10"/>
      <c r="O568" s="71"/>
      <c r="P568" s="153"/>
    </row>
    <row r="569" spans="1:16" s="62" customFormat="1" x14ac:dyDescent="0.3">
      <c r="A569" s="158" t="s">
        <v>664</v>
      </c>
      <c r="B569" s="159">
        <v>1</v>
      </c>
      <c r="C569" s="159" t="s">
        <v>50</v>
      </c>
      <c r="D569" s="476">
        <v>3.8</v>
      </c>
      <c r="E569" s="477">
        <v>0.15</v>
      </c>
      <c r="F569" s="477">
        <v>0.5</v>
      </c>
      <c r="G569" s="477"/>
      <c r="H569" s="477">
        <f t="shared" si="221"/>
        <v>4.37</v>
      </c>
      <c r="I569" s="477"/>
      <c r="J569" s="477">
        <f t="shared" si="225"/>
        <v>0.28499999999999998</v>
      </c>
      <c r="K569" s="10"/>
      <c r="L569" s="10"/>
      <c r="M569" s="10"/>
      <c r="N569" s="10"/>
      <c r="O569" s="71"/>
      <c r="P569" s="153"/>
    </row>
    <row r="570" spans="1:16" s="62" customFormat="1" x14ac:dyDescent="0.3">
      <c r="A570" s="158" t="s">
        <v>665</v>
      </c>
      <c r="B570" s="159">
        <v>1</v>
      </c>
      <c r="C570" s="159" t="s">
        <v>50</v>
      </c>
      <c r="D570" s="476">
        <v>0.4</v>
      </c>
      <c r="E570" s="477">
        <v>0.15</v>
      </c>
      <c r="F570" s="477">
        <v>0.5</v>
      </c>
      <c r="G570" s="477">
        <f>-0.4*0.1*2</f>
        <v>-8.0000000000000016E-2</v>
      </c>
      <c r="H570" s="477">
        <f t="shared" si="221"/>
        <v>0.38</v>
      </c>
      <c r="I570" s="477"/>
      <c r="J570" s="477">
        <f t="shared" si="225"/>
        <v>0.03</v>
      </c>
      <c r="K570" s="10"/>
      <c r="L570" s="10"/>
      <c r="M570" s="10"/>
      <c r="N570" s="10"/>
      <c r="O570" s="71"/>
      <c r="P570" s="153"/>
    </row>
    <row r="571" spans="1:16" s="62" customFormat="1" x14ac:dyDescent="0.3">
      <c r="A571" s="158" t="s">
        <v>666</v>
      </c>
      <c r="B571" s="159">
        <v>1</v>
      </c>
      <c r="C571" s="159" t="s">
        <v>50</v>
      </c>
      <c r="D571" s="476">
        <v>2</v>
      </c>
      <c r="E571" s="477">
        <v>0.15</v>
      </c>
      <c r="F571" s="477">
        <v>0.5</v>
      </c>
      <c r="G571" s="477">
        <f>-0.2*0.5-1.85*0.1-0.15*0.4</f>
        <v>-0.34500000000000003</v>
      </c>
      <c r="H571" s="477">
        <f t="shared" ref="H571:H725" si="226">(((2*D571*F571+D571*E571))*B571)+G571</f>
        <v>1.9549999999999998</v>
      </c>
      <c r="I571" s="477"/>
      <c r="J571" s="477">
        <f t="shared" si="225"/>
        <v>0.15</v>
      </c>
      <c r="K571" s="10"/>
      <c r="L571" s="10"/>
      <c r="M571" s="10"/>
      <c r="N571" s="10"/>
      <c r="O571" s="71"/>
      <c r="P571" s="153"/>
    </row>
    <row r="572" spans="1:16" s="62" customFormat="1" x14ac:dyDescent="0.3">
      <c r="A572" s="158" t="s">
        <v>667</v>
      </c>
      <c r="B572" s="159">
        <v>1</v>
      </c>
      <c r="C572" s="159" t="s">
        <v>50</v>
      </c>
      <c r="D572" s="476">
        <v>10.95</v>
      </c>
      <c r="E572" s="477">
        <v>0.15</v>
      </c>
      <c r="F572" s="477">
        <v>0.5</v>
      </c>
      <c r="G572" s="477">
        <f>0.15*0.5-0.2*0.5*-0.25*0.5-0.2*0.5-0.25*0.7-0.15*0.95-0.4*0.1</f>
        <v>-0.37</v>
      </c>
      <c r="H572" s="477">
        <f t="shared" si="226"/>
        <v>12.2225</v>
      </c>
      <c r="I572" s="477">
        <f>0.05*0.5*0.5+0.1*0.5*0.7</f>
        <v>4.7500000000000001E-2</v>
      </c>
      <c r="J572" s="477">
        <f t="shared" si="225"/>
        <v>0.86874999999999991</v>
      </c>
      <c r="K572" s="10"/>
      <c r="L572" s="10"/>
      <c r="M572" s="10"/>
      <c r="N572" s="10"/>
      <c r="O572" s="71"/>
      <c r="P572" s="153"/>
    </row>
    <row r="573" spans="1:16" s="62" customFormat="1" x14ac:dyDescent="0.3">
      <c r="A573" s="158" t="s">
        <v>668</v>
      </c>
      <c r="B573" s="159">
        <v>1</v>
      </c>
      <c r="C573" s="159" t="s">
        <v>50</v>
      </c>
      <c r="D573" s="476">
        <v>2</v>
      </c>
      <c r="E573" s="477">
        <v>0.15</v>
      </c>
      <c r="F573" s="477">
        <v>0.5</v>
      </c>
      <c r="G573" s="477">
        <f>-0.2*0.5-1.85*0.1-0.15*0.4</f>
        <v>-0.34500000000000003</v>
      </c>
      <c r="H573" s="477">
        <f t="shared" si="226"/>
        <v>1.9549999999999998</v>
      </c>
      <c r="I573" s="477"/>
      <c r="J573" s="477">
        <f t="shared" ref="J573:J590" si="227">(D573*E573*F573)*B573+I573</f>
        <v>0.15</v>
      </c>
      <c r="K573" s="10"/>
      <c r="L573" s="10"/>
      <c r="M573" s="10"/>
      <c r="N573" s="10"/>
      <c r="O573" s="71"/>
      <c r="P573" s="153"/>
    </row>
    <row r="574" spans="1:16" s="62" customFormat="1" x14ac:dyDescent="0.3">
      <c r="A574" s="158" t="s">
        <v>669</v>
      </c>
      <c r="B574" s="159">
        <v>1</v>
      </c>
      <c r="C574" s="159" t="s">
        <v>50</v>
      </c>
      <c r="D574" s="476">
        <v>0.4</v>
      </c>
      <c r="E574" s="477">
        <v>0.15</v>
      </c>
      <c r="F574" s="477">
        <v>0.5</v>
      </c>
      <c r="G574" s="477">
        <f>-0.4*0.1*2</f>
        <v>-8.0000000000000016E-2</v>
      </c>
      <c r="H574" s="477">
        <f t="shared" ref="H574:H581" si="228">(((2*D574*F574+D574*E574))*B574)+G574</f>
        <v>0.38</v>
      </c>
      <c r="I574" s="477"/>
      <c r="J574" s="477">
        <f t="shared" si="227"/>
        <v>0.03</v>
      </c>
      <c r="K574" s="10"/>
      <c r="L574" s="10"/>
      <c r="M574" s="10"/>
      <c r="N574" s="10"/>
      <c r="O574" s="71"/>
      <c r="P574" s="153"/>
    </row>
    <row r="575" spans="1:16" s="62" customFormat="1" x14ac:dyDescent="0.3">
      <c r="A575" s="158" t="s">
        <v>670</v>
      </c>
      <c r="B575" s="159">
        <v>1</v>
      </c>
      <c r="C575" s="159" t="s">
        <v>50</v>
      </c>
      <c r="D575" s="476">
        <v>3.75</v>
      </c>
      <c r="E575" s="477">
        <v>0.15</v>
      </c>
      <c r="F575" s="477">
        <v>0.5</v>
      </c>
      <c r="G575" s="477"/>
      <c r="H575" s="477">
        <f t="shared" si="228"/>
        <v>4.3125</v>
      </c>
      <c r="I575" s="477"/>
      <c r="J575" s="477">
        <f t="shared" si="227"/>
        <v>0.28125</v>
      </c>
      <c r="K575" s="10"/>
      <c r="L575" s="10"/>
      <c r="M575" s="10"/>
      <c r="N575" s="10"/>
      <c r="O575" s="71"/>
      <c r="P575" s="153"/>
    </row>
    <row r="576" spans="1:16" s="62" customFormat="1" x14ac:dyDescent="0.3">
      <c r="A576" s="158" t="s">
        <v>671</v>
      </c>
      <c r="B576" s="159">
        <v>1</v>
      </c>
      <c r="C576" s="159" t="s">
        <v>50</v>
      </c>
      <c r="D576" s="476">
        <v>1.8</v>
      </c>
      <c r="E576" s="477">
        <v>0.15</v>
      </c>
      <c r="F576" s="477">
        <v>0.5</v>
      </c>
      <c r="G576" s="477">
        <f>-1.8*0.1*2</f>
        <v>-0.36000000000000004</v>
      </c>
      <c r="H576" s="477">
        <f t="shared" si="228"/>
        <v>1.7100000000000002</v>
      </c>
      <c r="I576" s="477"/>
      <c r="J576" s="477">
        <f t="shared" si="227"/>
        <v>0.13500000000000001</v>
      </c>
      <c r="K576" s="10"/>
      <c r="L576" s="10"/>
      <c r="M576" s="10"/>
      <c r="N576" s="10"/>
      <c r="O576" s="71"/>
      <c r="P576" s="153"/>
    </row>
    <row r="577" spans="1:16" s="62" customFormat="1" x14ac:dyDescent="0.3">
      <c r="A577" s="158" t="s">
        <v>672</v>
      </c>
      <c r="B577" s="159">
        <v>1</v>
      </c>
      <c r="C577" s="159" t="s">
        <v>50</v>
      </c>
      <c r="D577" s="476">
        <v>3.8</v>
      </c>
      <c r="E577" s="477">
        <v>0.15</v>
      </c>
      <c r="F577" s="477">
        <v>0.5</v>
      </c>
      <c r="G577" s="477"/>
      <c r="H577" s="477">
        <f t="shared" si="228"/>
        <v>4.37</v>
      </c>
      <c r="I577" s="477"/>
      <c r="J577" s="477">
        <f t="shared" si="227"/>
        <v>0.28499999999999998</v>
      </c>
      <c r="K577" s="10"/>
      <c r="L577" s="10"/>
      <c r="M577" s="10"/>
      <c r="N577" s="10"/>
      <c r="O577" s="71"/>
      <c r="P577" s="153"/>
    </row>
    <row r="578" spans="1:16" s="62" customFormat="1" x14ac:dyDescent="0.3">
      <c r="A578" s="158" t="s">
        <v>673</v>
      </c>
      <c r="B578" s="159">
        <v>1</v>
      </c>
      <c r="C578" s="159" t="s">
        <v>50</v>
      </c>
      <c r="D578" s="476">
        <v>0.4</v>
      </c>
      <c r="E578" s="477">
        <v>0.15</v>
      </c>
      <c r="F578" s="477">
        <v>0.5</v>
      </c>
      <c r="G578" s="477">
        <f>-0.4*0.1*2</f>
        <v>-8.0000000000000016E-2</v>
      </c>
      <c r="H578" s="477">
        <f t="shared" si="228"/>
        <v>0.38</v>
      </c>
      <c r="I578" s="477"/>
      <c r="J578" s="477">
        <f t="shared" si="227"/>
        <v>0.03</v>
      </c>
      <c r="K578" s="10"/>
      <c r="L578" s="10"/>
      <c r="M578" s="10"/>
      <c r="N578" s="10"/>
      <c r="O578" s="71"/>
      <c r="P578" s="153"/>
    </row>
    <row r="579" spans="1:16" s="62" customFormat="1" x14ac:dyDescent="0.3">
      <c r="A579" s="158" t="s">
        <v>674</v>
      </c>
      <c r="B579" s="159">
        <v>1</v>
      </c>
      <c r="C579" s="159" t="s">
        <v>50</v>
      </c>
      <c r="D579" s="476">
        <v>2</v>
      </c>
      <c r="E579" s="477">
        <v>0.15</v>
      </c>
      <c r="F579" s="477">
        <v>0.5</v>
      </c>
      <c r="G579" s="477">
        <f>-0.2*0.5-1.85*0.1-0.15*0.4</f>
        <v>-0.34500000000000003</v>
      </c>
      <c r="H579" s="477">
        <f t="shared" si="228"/>
        <v>1.9549999999999998</v>
      </c>
      <c r="I579" s="477"/>
      <c r="J579" s="477">
        <f t="shared" si="227"/>
        <v>0.15</v>
      </c>
      <c r="K579" s="10"/>
      <c r="L579" s="10"/>
      <c r="M579" s="10"/>
      <c r="N579" s="10"/>
      <c r="O579" s="71"/>
      <c r="P579" s="153"/>
    </row>
    <row r="580" spans="1:16" s="62" customFormat="1" x14ac:dyDescent="0.3">
      <c r="A580" s="158" t="s">
        <v>675</v>
      </c>
      <c r="B580" s="159">
        <v>1</v>
      </c>
      <c r="C580" s="159" t="s">
        <v>50</v>
      </c>
      <c r="D580" s="476">
        <v>10.95</v>
      </c>
      <c r="E580" s="477">
        <v>0.25</v>
      </c>
      <c r="F580" s="477">
        <v>0.5</v>
      </c>
      <c r="G580" s="477">
        <f>-0.2*0.5*2-0.25*0.5-0.15*0.5-0.4*0.1+0.25*0.5*2-0.25*0.95-0.25*0.7-0.25*0.5</f>
        <v>-0.72750000000000004</v>
      </c>
      <c r="H580" s="477">
        <f t="shared" si="228"/>
        <v>12.96</v>
      </c>
      <c r="I580" s="477"/>
      <c r="J580" s="477">
        <f t="shared" si="227"/>
        <v>1.3687499999999999</v>
      </c>
      <c r="K580" s="10"/>
      <c r="L580" s="10"/>
      <c r="M580" s="10"/>
      <c r="N580" s="10"/>
      <c r="O580" s="71"/>
      <c r="P580" s="153"/>
    </row>
    <row r="581" spans="1:16" s="62" customFormat="1" ht="43.2" x14ac:dyDescent="0.3">
      <c r="A581" s="485" t="s">
        <v>676</v>
      </c>
      <c r="B581" s="159">
        <v>4</v>
      </c>
      <c r="C581" s="159" t="s">
        <v>50</v>
      </c>
      <c r="D581" s="476">
        <v>0.95</v>
      </c>
      <c r="E581" s="477">
        <v>0.15</v>
      </c>
      <c r="F581" s="477">
        <v>0.5</v>
      </c>
      <c r="G581" s="477">
        <f>(-0.2*0.5*2-0.4*0.1*2)*4</f>
        <v>-1.1200000000000001</v>
      </c>
      <c r="H581" s="477">
        <f t="shared" si="228"/>
        <v>3.25</v>
      </c>
      <c r="I581" s="477"/>
      <c r="J581" s="477">
        <f t="shared" si="227"/>
        <v>0.28499999999999998</v>
      </c>
      <c r="K581" s="10"/>
      <c r="L581" s="10"/>
      <c r="M581" s="10"/>
      <c r="N581" s="10"/>
      <c r="O581" s="71"/>
      <c r="P581" s="153"/>
    </row>
    <row r="582" spans="1:16" s="62" customFormat="1" x14ac:dyDescent="0.3">
      <c r="A582" s="158" t="s">
        <v>677</v>
      </c>
      <c r="B582" s="159">
        <v>1</v>
      </c>
      <c r="C582" s="159" t="s">
        <v>184</v>
      </c>
      <c r="D582" s="476">
        <v>3.8</v>
      </c>
      <c r="E582" s="477">
        <v>0.15</v>
      </c>
      <c r="F582" s="477">
        <v>0.15</v>
      </c>
      <c r="G582" s="477">
        <f>0.05*0.15*2</f>
        <v>1.4999999999999999E-2</v>
      </c>
      <c r="H582" s="477">
        <f>(((2*D582*F582))*B582)+G582</f>
        <v>1.1549999999999998</v>
      </c>
      <c r="I582" s="477">
        <f>0.05*0.3*0.15</f>
        <v>2.2499999999999998E-3</v>
      </c>
      <c r="J582" s="477">
        <f t="shared" si="227"/>
        <v>8.7749999999999995E-2</v>
      </c>
      <c r="K582" s="10"/>
      <c r="L582" s="10"/>
      <c r="M582" s="10"/>
      <c r="N582" s="10"/>
      <c r="O582" s="71"/>
      <c r="P582" s="153"/>
    </row>
    <row r="583" spans="1:16" s="62" customFormat="1" x14ac:dyDescent="0.3">
      <c r="A583" s="158" t="s">
        <v>678</v>
      </c>
      <c r="B583" s="159">
        <v>1</v>
      </c>
      <c r="C583" s="159" t="s">
        <v>184</v>
      </c>
      <c r="D583" s="476">
        <v>7.85</v>
      </c>
      <c r="E583" s="477">
        <v>0.15</v>
      </c>
      <c r="F583" s="477">
        <v>0.15</v>
      </c>
      <c r="G583" s="477">
        <f>0.05*0.15*2</f>
        <v>1.4999999999999999E-2</v>
      </c>
      <c r="H583" s="477">
        <f t="shared" ref="H583:H597" si="229">(((2*D583*F583))*B583)+G583</f>
        <v>2.37</v>
      </c>
      <c r="I583" s="477">
        <f>0.05*0.25*0.15</f>
        <v>1.8749999999999999E-3</v>
      </c>
      <c r="J583" s="477">
        <f t="shared" si="227"/>
        <v>0.17849999999999999</v>
      </c>
      <c r="K583" s="10"/>
      <c r="L583" s="10"/>
      <c r="M583" s="10"/>
      <c r="N583" s="10"/>
      <c r="O583" s="71"/>
      <c r="P583" s="153"/>
    </row>
    <row r="584" spans="1:16" s="62" customFormat="1" x14ac:dyDescent="0.3">
      <c r="A584" s="158" t="s">
        <v>679</v>
      </c>
      <c r="B584" s="159">
        <v>1</v>
      </c>
      <c r="C584" s="159" t="s">
        <v>184</v>
      </c>
      <c r="D584" s="476">
        <v>3.85</v>
      </c>
      <c r="E584" s="477">
        <v>0.15</v>
      </c>
      <c r="F584" s="477">
        <v>0.15</v>
      </c>
      <c r="G584" s="477"/>
      <c r="H584" s="477">
        <f t="shared" si="229"/>
        <v>1.155</v>
      </c>
      <c r="I584" s="477"/>
      <c r="J584" s="477">
        <f t="shared" si="227"/>
        <v>8.6624999999999994E-2</v>
      </c>
      <c r="K584" s="10"/>
      <c r="L584" s="10"/>
      <c r="M584" s="10"/>
      <c r="N584" s="10"/>
      <c r="O584" s="71"/>
      <c r="P584" s="153"/>
    </row>
    <row r="585" spans="1:16" s="62" customFormat="1" x14ac:dyDescent="0.3">
      <c r="A585" s="158" t="s">
        <v>680</v>
      </c>
      <c r="B585" s="159">
        <v>1</v>
      </c>
      <c r="C585" s="159" t="s">
        <v>184</v>
      </c>
      <c r="D585" s="476">
        <v>3.8</v>
      </c>
      <c r="E585" s="477">
        <v>0.15</v>
      </c>
      <c r="F585" s="477">
        <v>0.15</v>
      </c>
      <c r="G585" s="477"/>
      <c r="H585" s="477">
        <f t="shared" si="229"/>
        <v>1.1399999999999999</v>
      </c>
      <c r="I585" s="477"/>
      <c r="J585" s="477">
        <f t="shared" si="227"/>
        <v>8.5499999999999993E-2</v>
      </c>
      <c r="K585" s="10"/>
      <c r="L585" s="10"/>
      <c r="M585" s="10"/>
      <c r="N585" s="10"/>
      <c r="O585" s="71"/>
      <c r="P585" s="153"/>
    </row>
    <row r="586" spans="1:16" s="62" customFormat="1" x14ac:dyDescent="0.3">
      <c r="A586" s="158" t="s">
        <v>681</v>
      </c>
      <c r="B586" s="159">
        <v>1</v>
      </c>
      <c r="C586" s="159" t="s">
        <v>184</v>
      </c>
      <c r="D586" s="476">
        <v>7.85</v>
      </c>
      <c r="E586" s="477">
        <v>0.15</v>
      </c>
      <c r="F586" s="477">
        <v>0.15</v>
      </c>
      <c r="G586" s="477">
        <f>0.05*0.15*2</f>
        <v>1.4999999999999999E-2</v>
      </c>
      <c r="H586" s="477">
        <f t="shared" si="229"/>
        <v>2.37</v>
      </c>
      <c r="I586" s="477">
        <f>0.05*0.25*0.15</f>
        <v>1.8749999999999999E-3</v>
      </c>
      <c r="J586" s="477">
        <f t="shared" si="227"/>
        <v>0.17849999999999999</v>
      </c>
      <c r="K586" s="10"/>
      <c r="L586" s="10"/>
      <c r="M586" s="10"/>
      <c r="N586" s="10"/>
      <c r="O586" s="71"/>
      <c r="P586" s="153"/>
    </row>
    <row r="587" spans="1:16" s="62" customFormat="1" x14ac:dyDescent="0.3">
      <c r="A587" s="158" t="s">
        <v>682</v>
      </c>
      <c r="B587" s="159">
        <v>1</v>
      </c>
      <c r="C587" s="159" t="s">
        <v>184</v>
      </c>
      <c r="D587" s="476">
        <v>3.85</v>
      </c>
      <c r="E587" s="477">
        <v>0.15</v>
      </c>
      <c r="F587" s="477">
        <v>0.15</v>
      </c>
      <c r="G587" s="477"/>
      <c r="H587" s="477">
        <f t="shared" si="229"/>
        <v>1.155</v>
      </c>
      <c r="I587" s="477"/>
      <c r="J587" s="477">
        <f t="shared" si="227"/>
        <v>8.6624999999999994E-2</v>
      </c>
      <c r="K587" s="10"/>
      <c r="L587" s="10"/>
      <c r="M587" s="10"/>
      <c r="N587" s="10"/>
      <c r="O587" s="71"/>
      <c r="P587" s="153"/>
    </row>
    <row r="588" spans="1:16" s="62" customFormat="1" x14ac:dyDescent="0.3">
      <c r="A588" s="158" t="s">
        <v>683</v>
      </c>
      <c r="B588" s="159">
        <v>1</v>
      </c>
      <c r="C588" s="159" t="s">
        <v>184</v>
      </c>
      <c r="D588" s="476">
        <v>8.15</v>
      </c>
      <c r="E588" s="477">
        <v>0.15</v>
      </c>
      <c r="F588" s="477">
        <v>0.15</v>
      </c>
      <c r="G588" s="477">
        <f>0.05*0.15*2</f>
        <v>1.4999999999999999E-2</v>
      </c>
      <c r="H588" s="477">
        <f t="shared" si="229"/>
        <v>2.46</v>
      </c>
      <c r="I588" s="477">
        <f>0.05*0.6*0.15</f>
        <v>4.4999999999999997E-3</v>
      </c>
      <c r="J588" s="477">
        <f t="shared" si="227"/>
        <v>0.18787499999999999</v>
      </c>
      <c r="K588" s="10"/>
      <c r="L588" s="10"/>
      <c r="M588" s="10"/>
      <c r="N588" s="10"/>
      <c r="O588" s="71"/>
      <c r="P588" s="153"/>
    </row>
    <row r="589" spans="1:16" s="62" customFormat="1" x14ac:dyDescent="0.3">
      <c r="A589" s="158" t="s">
        <v>684</v>
      </c>
      <c r="B589" s="159">
        <v>1</v>
      </c>
      <c r="C589" s="159" t="s">
        <v>184</v>
      </c>
      <c r="D589" s="476">
        <v>8.15</v>
      </c>
      <c r="E589" s="477">
        <v>0.15</v>
      </c>
      <c r="F589" s="477">
        <v>0.15</v>
      </c>
      <c r="G589" s="477">
        <f>0.05*0.15*2</f>
        <v>1.4999999999999999E-2</v>
      </c>
      <c r="H589" s="477">
        <f t="shared" si="229"/>
        <v>2.46</v>
      </c>
      <c r="I589" s="477">
        <f>0.05*0.6*0.15</f>
        <v>4.4999999999999997E-3</v>
      </c>
      <c r="J589" s="477">
        <f t="shared" si="227"/>
        <v>0.18787499999999999</v>
      </c>
      <c r="K589" s="10"/>
      <c r="L589" s="10"/>
      <c r="M589" s="10"/>
      <c r="N589" s="10"/>
      <c r="O589" s="71"/>
      <c r="P589" s="153"/>
    </row>
    <row r="590" spans="1:16" s="62" customFormat="1" x14ac:dyDescent="0.3">
      <c r="A590" s="158" t="s">
        <v>685</v>
      </c>
      <c r="B590" s="159">
        <v>1</v>
      </c>
      <c r="C590" s="159" t="s">
        <v>184</v>
      </c>
      <c r="D590" s="476">
        <f>3.85+7.85+3.85</f>
        <v>15.549999999999999</v>
      </c>
      <c r="E590" s="477">
        <v>0.15</v>
      </c>
      <c r="F590" s="477">
        <v>0.15</v>
      </c>
      <c r="G590" s="477">
        <f>(0.15*2*0.15+0.25*0.15*2)*2+0.15*2+0.8*2</f>
        <v>2.14</v>
      </c>
      <c r="H590" s="477">
        <f t="shared" si="229"/>
        <v>6.8049999999999997</v>
      </c>
      <c r="I590" s="477">
        <f>0.15*0.4*0.15*2+0.15*0.15*0.95</f>
        <v>3.9374999999999993E-2</v>
      </c>
      <c r="J590" s="477">
        <f t="shared" si="227"/>
        <v>0.38924999999999993</v>
      </c>
      <c r="K590" s="10"/>
      <c r="L590" s="10"/>
      <c r="M590" s="10"/>
      <c r="N590" s="10"/>
      <c r="O590" s="71"/>
      <c r="P590" s="153"/>
    </row>
    <row r="591" spans="1:16" s="62" customFormat="1" x14ac:dyDescent="0.3">
      <c r="A591" s="158" t="s">
        <v>686</v>
      </c>
      <c r="B591" s="159">
        <v>1</v>
      </c>
      <c r="C591" s="159" t="s">
        <v>184</v>
      </c>
      <c r="D591" s="476">
        <f>3.85+7.85+3.85</f>
        <v>15.549999999999999</v>
      </c>
      <c r="E591" s="477">
        <v>0.15</v>
      </c>
      <c r="F591" s="477">
        <v>0.15</v>
      </c>
      <c r="G591" s="477">
        <f>(0.15*2*0.15+0.25*0.15*2)*2</f>
        <v>0.24</v>
      </c>
      <c r="H591" s="477">
        <f t="shared" si="229"/>
        <v>4.9049999999999994</v>
      </c>
      <c r="I591" s="477">
        <f>0.15*0.4*0.15*2</f>
        <v>1.7999999999999999E-2</v>
      </c>
      <c r="J591" s="477">
        <f t="shared" si="225"/>
        <v>0.36787499999999995</v>
      </c>
      <c r="K591" s="10"/>
      <c r="L591" s="10"/>
      <c r="M591" s="10"/>
      <c r="N591" s="10"/>
      <c r="O591" s="71"/>
      <c r="P591" s="153"/>
    </row>
    <row r="592" spans="1:16" s="62" customFormat="1" x14ac:dyDescent="0.3">
      <c r="A592" s="158" t="s">
        <v>687</v>
      </c>
      <c r="B592" s="159">
        <v>1</v>
      </c>
      <c r="C592" s="159" t="s">
        <v>184</v>
      </c>
      <c r="D592" s="476">
        <v>10.95</v>
      </c>
      <c r="E592" s="477">
        <v>0.15</v>
      </c>
      <c r="F592" s="477">
        <v>0.15</v>
      </c>
      <c r="G592" s="477">
        <f>0.05*0.15*2+0.1*0.15*2</f>
        <v>4.4999999999999998E-2</v>
      </c>
      <c r="H592" s="477">
        <f t="shared" si="229"/>
        <v>3.3299999999999996</v>
      </c>
      <c r="I592" s="477">
        <f>0.15*0.25*0.7+0.15*0.2*0.5</f>
        <v>4.1249999999999995E-2</v>
      </c>
      <c r="J592" s="477">
        <f t="shared" si="225"/>
        <v>0.28762499999999996</v>
      </c>
      <c r="K592" s="10"/>
      <c r="L592" s="10"/>
      <c r="M592" s="10"/>
      <c r="N592" s="10"/>
      <c r="O592" s="71"/>
      <c r="P592" s="153"/>
    </row>
    <row r="593" spans="1:16" s="62" customFormat="1" x14ac:dyDescent="0.3">
      <c r="A593" s="158" t="s">
        <v>688</v>
      </c>
      <c r="B593" s="159">
        <v>1</v>
      </c>
      <c r="C593" s="159" t="s">
        <v>184</v>
      </c>
      <c r="D593" s="476">
        <v>2</v>
      </c>
      <c r="E593" s="477">
        <v>0.15</v>
      </c>
      <c r="F593" s="477">
        <v>0.15</v>
      </c>
      <c r="G593" s="477">
        <f>-0.15*0.15</f>
        <v>-2.2499999999999999E-2</v>
      </c>
      <c r="H593" s="477">
        <f t="shared" si="229"/>
        <v>0.57750000000000001</v>
      </c>
      <c r="I593" s="477"/>
      <c r="J593" s="477">
        <f t="shared" si="225"/>
        <v>4.4999999999999998E-2</v>
      </c>
      <c r="K593" s="10"/>
      <c r="L593" s="10"/>
      <c r="M593" s="10"/>
      <c r="N593" s="10"/>
      <c r="O593" s="71"/>
      <c r="P593" s="153"/>
    </row>
    <row r="594" spans="1:16" s="62" customFormat="1" x14ac:dyDescent="0.3">
      <c r="A594" s="158" t="s">
        <v>689</v>
      </c>
      <c r="B594" s="159">
        <v>1</v>
      </c>
      <c r="C594" s="159" t="s">
        <v>184</v>
      </c>
      <c r="D594" s="476">
        <v>2</v>
      </c>
      <c r="E594" s="477">
        <v>0.15</v>
      </c>
      <c r="F594" s="477">
        <v>0.15</v>
      </c>
      <c r="G594" s="477">
        <f>-0.15*0.15</f>
        <v>-2.2499999999999999E-2</v>
      </c>
      <c r="H594" s="477">
        <f t="shared" si="229"/>
        <v>0.57750000000000001</v>
      </c>
      <c r="I594" s="477"/>
      <c r="J594" s="477">
        <f t="shared" si="225"/>
        <v>4.4999999999999998E-2</v>
      </c>
      <c r="K594" s="10"/>
      <c r="L594" s="10"/>
      <c r="M594" s="10"/>
      <c r="N594" s="10"/>
      <c r="O594" s="71"/>
      <c r="P594" s="153"/>
    </row>
    <row r="595" spans="1:16" s="62" customFormat="1" x14ac:dyDescent="0.3">
      <c r="A595" s="158" t="s">
        <v>690</v>
      </c>
      <c r="B595" s="159">
        <v>1</v>
      </c>
      <c r="C595" s="159" t="s">
        <v>184</v>
      </c>
      <c r="D595" s="476">
        <v>2</v>
      </c>
      <c r="E595" s="477">
        <v>0.15</v>
      </c>
      <c r="F595" s="477">
        <v>0.15</v>
      </c>
      <c r="G595" s="477">
        <f>-0.15*0.15</f>
        <v>-2.2499999999999999E-2</v>
      </c>
      <c r="H595" s="477">
        <f t="shared" si="229"/>
        <v>0.57750000000000001</v>
      </c>
      <c r="I595" s="477"/>
      <c r="J595" s="477">
        <f t="shared" si="225"/>
        <v>4.4999999999999998E-2</v>
      </c>
      <c r="K595" s="10"/>
      <c r="L595" s="10"/>
      <c r="M595" s="10"/>
      <c r="N595" s="10"/>
      <c r="O595" s="71"/>
      <c r="P595" s="153"/>
    </row>
    <row r="596" spans="1:16" s="62" customFormat="1" x14ac:dyDescent="0.3">
      <c r="A596" s="158" t="s">
        <v>691</v>
      </c>
      <c r="B596" s="159">
        <v>1</v>
      </c>
      <c r="C596" s="159" t="s">
        <v>184</v>
      </c>
      <c r="D596" s="476">
        <v>2</v>
      </c>
      <c r="E596" s="477">
        <v>0.15</v>
      </c>
      <c r="F596" s="477">
        <v>0.15</v>
      </c>
      <c r="G596" s="477">
        <f>-0.15*0.15</f>
        <v>-2.2499999999999999E-2</v>
      </c>
      <c r="H596" s="477">
        <f t="shared" si="229"/>
        <v>0.57750000000000001</v>
      </c>
      <c r="I596" s="477"/>
      <c r="J596" s="477">
        <f t="shared" si="225"/>
        <v>4.4999999999999998E-2</v>
      </c>
      <c r="K596" s="10"/>
      <c r="L596" s="10"/>
      <c r="M596" s="10"/>
      <c r="N596" s="10"/>
      <c r="O596" s="71"/>
      <c r="P596" s="153"/>
    </row>
    <row r="597" spans="1:16" s="62" customFormat="1" ht="15" thickBot="1" x14ac:dyDescent="0.35">
      <c r="A597" s="158" t="s">
        <v>692</v>
      </c>
      <c r="B597" s="159">
        <v>1</v>
      </c>
      <c r="C597" s="159" t="s">
        <v>184</v>
      </c>
      <c r="D597" s="476">
        <v>10.95</v>
      </c>
      <c r="E597" s="477">
        <v>0.15</v>
      </c>
      <c r="F597" s="477">
        <v>0.15</v>
      </c>
      <c r="G597" s="477">
        <f>0.1*0.15*6</f>
        <v>0.09</v>
      </c>
      <c r="H597" s="477">
        <f t="shared" si="229"/>
        <v>3.3749999999999996</v>
      </c>
      <c r="I597" s="477">
        <f>0.15*0.25*0.7+0.15*0.25*0.5+0.15*0.25*0.95</f>
        <v>8.0625000000000002E-2</v>
      </c>
      <c r="J597" s="477">
        <f t="shared" si="225"/>
        <v>0.32699999999999996</v>
      </c>
      <c r="K597" s="10"/>
      <c r="L597" s="10"/>
      <c r="M597" s="10"/>
      <c r="N597" s="10"/>
      <c r="O597" s="71"/>
      <c r="P597" s="153"/>
    </row>
    <row r="598" spans="1:16" s="62" customFormat="1" ht="15" thickBot="1" x14ac:dyDescent="0.35">
      <c r="A598" s="685" t="s">
        <v>802</v>
      </c>
      <c r="B598" s="686"/>
      <c r="C598" s="686"/>
      <c r="D598" s="686"/>
      <c r="E598" s="686"/>
      <c r="F598" s="686"/>
      <c r="G598" s="686"/>
      <c r="H598" s="686"/>
      <c r="I598" s="686"/>
      <c r="J598" s="686"/>
      <c r="K598" s="686"/>
      <c r="L598" s="686"/>
      <c r="M598" s="686"/>
      <c r="N598" s="686"/>
      <c r="O598" s="686"/>
      <c r="P598" s="705"/>
    </row>
    <row r="599" spans="1:16" s="62" customFormat="1" x14ac:dyDescent="0.3">
      <c r="A599" s="158" t="s">
        <v>803</v>
      </c>
      <c r="B599" s="159">
        <v>1</v>
      </c>
      <c r="C599" s="159" t="s">
        <v>50</v>
      </c>
      <c r="D599" s="476">
        <v>5.85</v>
      </c>
      <c r="E599" s="477">
        <v>0.25</v>
      </c>
      <c r="F599" s="477">
        <v>0.5</v>
      </c>
      <c r="G599" s="477">
        <f>-0.15*0.5</f>
        <v>-7.4999999999999997E-2</v>
      </c>
      <c r="H599" s="477">
        <f t="shared" si="226"/>
        <v>7.2374999999999998</v>
      </c>
      <c r="I599" s="477"/>
      <c r="J599" s="477">
        <f t="shared" si="225"/>
        <v>0.73124999999999996</v>
      </c>
      <c r="K599" s="10"/>
      <c r="L599" s="10"/>
      <c r="M599" s="10"/>
      <c r="N599" s="10"/>
      <c r="O599" s="71"/>
      <c r="P599" s="153"/>
    </row>
    <row r="600" spans="1:16" s="62" customFormat="1" x14ac:dyDescent="0.3">
      <c r="A600" s="158" t="s">
        <v>804</v>
      </c>
      <c r="B600" s="159">
        <v>1</v>
      </c>
      <c r="C600" s="159" t="s">
        <v>50</v>
      </c>
      <c r="D600" s="476">
        <v>3.8</v>
      </c>
      <c r="E600" s="477">
        <v>0.2</v>
      </c>
      <c r="F600" s="477">
        <v>0.5</v>
      </c>
      <c r="G600" s="477"/>
      <c r="H600" s="477">
        <f t="shared" si="226"/>
        <v>4.5599999999999996</v>
      </c>
      <c r="I600" s="477"/>
      <c r="J600" s="477">
        <f t="shared" si="225"/>
        <v>0.38</v>
      </c>
      <c r="K600" s="10"/>
      <c r="L600" s="10"/>
      <c r="M600" s="10"/>
      <c r="N600" s="10"/>
      <c r="O600" s="71"/>
      <c r="P600" s="153"/>
    </row>
    <row r="601" spans="1:16" s="62" customFormat="1" x14ac:dyDescent="0.3">
      <c r="A601" s="158" t="s">
        <v>805</v>
      </c>
      <c r="B601" s="159">
        <v>1</v>
      </c>
      <c r="C601" s="159" t="s">
        <v>50</v>
      </c>
      <c r="D601" s="476">
        <v>3.78</v>
      </c>
      <c r="E601" s="477">
        <v>0.15</v>
      </c>
      <c r="F601" s="477">
        <v>0.5</v>
      </c>
      <c r="G601" s="477">
        <f>-0.15*0.5*2-3.58*0.1+0.05*0.5*2</f>
        <v>-0.45800000000000002</v>
      </c>
      <c r="H601" s="477">
        <f t="shared" si="226"/>
        <v>3.8889999999999993</v>
      </c>
      <c r="I601" s="477">
        <f>0.05*0.5*0.25</f>
        <v>6.2500000000000003E-3</v>
      </c>
      <c r="J601" s="477">
        <f t="shared" si="225"/>
        <v>0.28974999999999995</v>
      </c>
      <c r="K601" s="10"/>
      <c r="L601" s="10"/>
      <c r="M601" s="10"/>
      <c r="N601" s="10"/>
      <c r="O601" s="71"/>
      <c r="P601" s="153"/>
    </row>
    <row r="602" spans="1:16" s="62" customFormat="1" x14ac:dyDescent="0.3">
      <c r="A602" s="158" t="s">
        <v>849</v>
      </c>
      <c r="B602" s="159">
        <v>1</v>
      </c>
      <c r="C602" s="159" t="s">
        <v>50</v>
      </c>
      <c r="D602" s="476">
        <v>4.07</v>
      </c>
      <c r="E602" s="477">
        <v>0.15</v>
      </c>
      <c r="F602" s="477">
        <v>0.5</v>
      </c>
      <c r="G602" s="477">
        <f>-4.12*0.1</f>
        <v>-0.41200000000000003</v>
      </c>
      <c r="H602" s="477">
        <f t="shared" si="226"/>
        <v>4.2685000000000004</v>
      </c>
      <c r="I602" s="477"/>
      <c r="J602" s="477">
        <f t="shared" si="225"/>
        <v>0.30525000000000002</v>
      </c>
      <c r="K602" s="10"/>
      <c r="L602" s="10"/>
      <c r="M602" s="10"/>
      <c r="N602" s="10"/>
      <c r="O602" s="71"/>
      <c r="P602" s="153"/>
    </row>
    <row r="603" spans="1:16" s="62" customFormat="1" x14ac:dyDescent="0.3">
      <c r="A603" s="158" t="s">
        <v>850</v>
      </c>
      <c r="B603" s="159">
        <v>1</v>
      </c>
      <c r="C603" s="159" t="s">
        <v>50</v>
      </c>
      <c r="D603" s="476">
        <v>3.85</v>
      </c>
      <c r="E603" s="477">
        <v>0.2</v>
      </c>
      <c r="F603" s="477">
        <v>0.5</v>
      </c>
      <c r="G603" s="477"/>
      <c r="H603" s="477">
        <f t="shared" ref="H603" si="230">(((2*D603*F603+D603*E603))*B603)+G603</f>
        <v>4.62</v>
      </c>
      <c r="I603" s="477"/>
      <c r="J603" s="477">
        <f t="shared" ref="J603" si="231">(D603*E603*F603)*B603+I603</f>
        <v>0.38500000000000001</v>
      </c>
      <c r="K603" s="10"/>
      <c r="L603" s="10"/>
      <c r="M603" s="10"/>
      <c r="N603" s="10"/>
      <c r="O603" s="71"/>
      <c r="P603" s="153"/>
    </row>
    <row r="604" spans="1:16" s="62" customFormat="1" x14ac:dyDescent="0.3">
      <c r="A604" s="158" t="s">
        <v>806</v>
      </c>
      <c r="B604" s="159">
        <v>1</v>
      </c>
      <c r="C604" s="159" t="s">
        <v>50</v>
      </c>
      <c r="D604" s="476">
        <v>3.8</v>
      </c>
      <c r="E604" s="477">
        <v>0.2</v>
      </c>
      <c r="F604" s="477">
        <v>0.5</v>
      </c>
      <c r="G604" s="477"/>
      <c r="H604" s="477">
        <f t="shared" si="226"/>
        <v>4.5599999999999996</v>
      </c>
      <c r="I604" s="477"/>
      <c r="J604" s="477">
        <f t="shared" si="225"/>
        <v>0.38</v>
      </c>
      <c r="K604" s="10"/>
      <c r="L604" s="10"/>
      <c r="M604" s="10"/>
      <c r="N604" s="10"/>
      <c r="O604" s="71"/>
      <c r="P604" s="153"/>
    </row>
    <row r="605" spans="1:16" s="62" customFormat="1" x14ac:dyDescent="0.3">
      <c r="A605" s="158" t="s">
        <v>807</v>
      </c>
      <c r="B605" s="159">
        <v>1</v>
      </c>
      <c r="C605" s="159" t="s">
        <v>50</v>
      </c>
      <c r="D605" s="476">
        <v>3.78</v>
      </c>
      <c r="E605" s="477">
        <v>0.15</v>
      </c>
      <c r="F605" s="477">
        <v>0.5</v>
      </c>
      <c r="G605" s="477">
        <f>-0.15*0.5*2-3.58*0.1+0.05*0.5*2</f>
        <v>-0.45800000000000002</v>
      </c>
      <c r="H605" s="477">
        <f t="shared" si="226"/>
        <v>3.8889999999999993</v>
      </c>
      <c r="I605" s="477">
        <f>0.05*0.5*0.25</f>
        <v>6.2500000000000003E-3</v>
      </c>
      <c r="J605" s="477">
        <f t="shared" si="225"/>
        <v>0.28974999999999995</v>
      </c>
      <c r="K605" s="10"/>
      <c r="L605" s="10"/>
      <c r="M605" s="10"/>
      <c r="N605" s="10"/>
      <c r="O605" s="71"/>
      <c r="P605" s="153"/>
    </row>
    <row r="606" spans="1:16" s="62" customFormat="1" x14ac:dyDescent="0.3">
      <c r="A606" s="158" t="s">
        <v>851</v>
      </c>
      <c r="B606" s="159">
        <v>1</v>
      </c>
      <c r="C606" s="159" t="s">
        <v>50</v>
      </c>
      <c r="D606" s="476">
        <v>4.07</v>
      </c>
      <c r="E606" s="477">
        <v>0.15</v>
      </c>
      <c r="F606" s="477">
        <v>0.5</v>
      </c>
      <c r="G606" s="477">
        <f>-4.12*0.1</f>
        <v>-0.41200000000000003</v>
      </c>
      <c r="H606" s="477">
        <f t="shared" si="226"/>
        <v>4.2685000000000004</v>
      </c>
      <c r="I606" s="477"/>
      <c r="J606" s="477">
        <f t="shared" si="225"/>
        <v>0.30525000000000002</v>
      </c>
      <c r="K606" s="10"/>
      <c r="L606" s="10"/>
      <c r="M606" s="10"/>
      <c r="N606" s="10"/>
      <c r="O606" s="71"/>
      <c r="P606" s="153"/>
    </row>
    <row r="607" spans="1:16" s="62" customFormat="1" x14ac:dyDescent="0.3">
      <c r="A607" s="158" t="s">
        <v>852</v>
      </c>
      <c r="B607" s="159">
        <v>1</v>
      </c>
      <c r="C607" s="159" t="s">
        <v>50</v>
      </c>
      <c r="D607" s="476">
        <v>3.85</v>
      </c>
      <c r="E607" s="477">
        <v>0.2</v>
      </c>
      <c r="F607" s="477">
        <v>0.5</v>
      </c>
      <c r="G607" s="477"/>
      <c r="H607" s="477">
        <f t="shared" ref="H607" si="232">(((2*D607*F607+D607*E607))*B607)+G607</f>
        <v>4.62</v>
      </c>
      <c r="I607" s="477"/>
      <c r="J607" s="477">
        <f t="shared" ref="J607" si="233">(D607*E607*F607)*B607+I607</f>
        <v>0.38500000000000001</v>
      </c>
      <c r="K607" s="10"/>
      <c r="L607" s="10"/>
      <c r="M607" s="10"/>
      <c r="N607" s="10"/>
      <c r="O607" s="71"/>
      <c r="P607" s="153"/>
    </row>
    <row r="608" spans="1:16" s="62" customFormat="1" x14ac:dyDescent="0.3">
      <c r="A608" s="158" t="s">
        <v>808</v>
      </c>
      <c r="B608" s="159">
        <v>1</v>
      </c>
      <c r="C608" s="159" t="s">
        <v>50</v>
      </c>
      <c r="D608" s="476">
        <v>5.85</v>
      </c>
      <c r="E608" s="477">
        <v>0.2</v>
      </c>
      <c r="F608" s="477">
        <v>0.5</v>
      </c>
      <c r="G608" s="477">
        <f>-0.15*0.5*2-0.2*0.4</f>
        <v>-0.23</v>
      </c>
      <c r="H608" s="477">
        <f t="shared" si="226"/>
        <v>6.7899999999999991</v>
      </c>
      <c r="I608" s="477"/>
      <c r="J608" s="477">
        <f t="shared" si="225"/>
        <v>0.58499999999999996</v>
      </c>
      <c r="K608" s="10"/>
      <c r="L608" s="10"/>
      <c r="M608" s="10"/>
      <c r="N608" s="10"/>
      <c r="O608" s="71"/>
      <c r="P608" s="153"/>
    </row>
    <row r="609" spans="1:16" s="62" customFormat="1" x14ac:dyDescent="0.3">
      <c r="A609" s="158" t="s">
        <v>809</v>
      </c>
      <c r="B609" s="159">
        <v>1</v>
      </c>
      <c r="C609" s="159" t="s">
        <v>50</v>
      </c>
      <c r="D609" s="476">
        <v>8.15</v>
      </c>
      <c r="E609" s="477">
        <v>0.15</v>
      </c>
      <c r="F609" s="477">
        <v>0.5</v>
      </c>
      <c r="G609" s="477">
        <f>-0.15*0.5*2+0.05*0.5*2-((8.15-0.15*3)*0.1)</f>
        <v>-0.87</v>
      </c>
      <c r="H609" s="477">
        <f t="shared" si="226"/>
        <v>8.5025000000000013</v>
      </c>
      <c r="I609" s="477">
        <f>0.05*0.5*0.6</f>
        <v>1.4999999999999999E-2</v>
      </c>
      <c r="J609" s="477">
        <f t="shared" si="225"/>
        <v>0.62624999999999997</v>
      </c>
      <c r="K609" s="10"/>
      <c r="L609" s="10"/>
      <c r="M609" s="10"/>
      <c r="N609" s="10"/>
      <c r="O609" s="71"/>
      <c r="P609" s="153"/>
    </row>
    <row r="610" spans="1:16" s="62" customFormat="1" x14ac:dyDescent="0.3">
      <c r="A610" s="158" t="s">
        <v>810</v>
      </c>
      <c r="B610" s="159">
        <v>1</v>
      </c>
      <c r="C610" s="159" t="s">
        <v>50</v>
      </c>
      <c r="D610" s="476">
        <v>8.15</v>
      </c>
      <c r="E610" s="477">
        <v>0.15</v>
      </c>
      <c r="F610" s="477">
        <v>0.5</v>
      </c>
      <c r="G610" s="477">
        <f>-0.15*0.5*2+0.05*0.5*2-((8.15-0.15*3)*0.1)</f>
        <v>-0.87</v>
      </c>
      <c r="H610" s="477">
        <f t="shared" ref="H610" si="234">(((2*D610*F610+D610*E610))*B610)+G610</f>
        <v>8.5025000000000013</v>
      </c>
      <c r="I610" s="477">
        <f>0.05*0.5*0.6</f>
        <v>1.4999999999999999E-2</v>
      </c>
      <c r="J610" s="477">
        <f t="shared" si="225"/>
        <v>0.62624999999999997</v>
      </c>
      <c r="K610" s="10"/>
      <c r="L610" s="10"/>
      <c r="M610" s="10"/>
      <c r="N610" s="10"/>
      <c r="O610" s="71"/>
      <c r="P610" s="153"/>
    </row>
    <row r="611" spans="1:16" s="62" customFormat="1" x14ac:dyDescent="0.3">
      <c r="A611" s="158" t="s">
        <v>811</v>
      </c>
      <c r="B611" s="159">
        <v>1</v>
      </c>
      <c r="C611" s="159" t="s">
        <v>50</v>
      </c>
      <c r="D611" s="476">
        <f>1.83+3.88</f>
        <v>5.71</v>
      </c>
      <c r="E611" s="477">
        <v>0.15</v>
      </c>
      <c r="F611" s="477">
        <v>0.5</v>
      </c>
      <c r="G611" s="477"/>
      <c r="H611" s="477">
        <f t="shared" si="226"/>
        <v>6.5664999999999996</v>
      </c>
      <c r="I611" s="477"/>
      <c r="J611" s="477">
        <f t="shared" si="225"/>
        <v>0.42824999999999996</v>
      </c>
      <c r="K611" s="10"/>
      <c r="L611" s="10"/>
      <c r="M611" s="10"/>
      <c r="N611" s="10"/>
      <c r="O611" s="71"/>
      <c r="P611" s="153"/>
    </row>
    <row r="612" spans="1:16" s="62" customFormat="1" x14ac:dyDescent="0.3">
      <c r="A612" s="158" t="s">
        <v>812</v>
      </c>
      <c r="B612" s="159">
        <v>1</v>
      </c>
      <c r="C612" s="159" t="s">
        <v>50</v>
      </c>
      <c r="D612" s="476">
        <v>4.0199999999999996</v>
      </c>
      <c r="E612" s="477">
        <v>0.15</v>
      </c>
      <c r="F612" s="477">
        <v>0.5</v>
      </c>
      <c r="G612" s="477">
        <f>-0.15*0.5-0.15*0.4</f>
        <v>-0.13500000000000001</v>
      </c>
      <c r="H612" s="477">
        <f t="shared" si="226"/>
        <v>4.4879999999999995</v>
      </c>
      <c r="I612" s="477"/>
      <c r="J612" s="477">
        <f t="shared" si="225"/>
        <v>0.30149999999999993</v>
      </c>
      <c r="K612" s="10"/>
      <c r="L612" s="10"/>
      <c r="M612" s="10"/>
      <c r="N612" s="10"/>
      <c r="O612" s="71"/>
      <c r="P612" s="153"/>
    </row>
    <row r="613" spans="1:16" s="62" customFormat="1" x14ac:dyDescent="0.3">
      <c r="A613" s="158" t="s">
        <v>813</v>
      </c>
      <c r="B613" s="159">
        <v>1</v>
      </c>
      <c r="C613" s="159" t="s">
        <v>50</v>
      </c>
      <c r="D613" s="476">
        <v>8.18</v>
      </c>
      <c r="E613" s="477">
        <v>0.25</v>
      </c>
      <c r="F613" s="477">
        <v>0.5</v>
      </c>
      <c r="G613" s="477">
        <f>-0.15*0.5*2-0.25*0.7</f>
        <v>-0.32499999999999996</v>
      </c>
      <c r="H613" s="477">
        <f t="shared" si="226"/>
        <v>9.9</v>
      </c>
      <c r="I613" s="477"/>
      <c r="J613" s="477">
        <f t="shared" si="225"/>
        <v>1.0225</v>
      </c>
      <c r="K613" s="10"/>
      <c r="L613" s="10"/>
      <c r="M613" s="10"/>
      <c r="N613" s="10"/>
      <c r="O613" s="71"/>
      <c r="P613" s="153"/>
    </row>
    <row r="614" spans="1:16" s="62" customFormat="1" x14ac:dyDescent="0.3">
      <c r="A614" s="158" t="s">
        <v>814</v>
      </c>
      <c r="B614" s="159">
        <v>1</v>
      </c>
      <c r="C614" s="159" t="s">
        <v>50</v>
      </c>
      <c r="D614" s="476">
        <v>7.58</v>
      </c>
      <c r="E614" s="477">
        <v>0.25</v>
      </c>
      <c r="F614" s="477">
        <v>0.5</v>
      </c>
      <c r="G614" s="477"/>
      <c r="H614" s="477">
        <f t="shared" si="226"/>
        <v>9.4749999999999996</v>
      </c>
      <c r="I614" s="477"/>
      <c r="J614" s="477">
        <f t="shared" si="225"/>
        <v>0.94750000000000001</v>
      </c>
      <c r="K614" s="10"/>
      <c r="L614" s="10"/>
      <c r="M614" s="10"/>
      <c r="N614" s="10"/>
      <c r="O614" s="71"/>
      <c r="P614" s="153"/>
    </row>
    <row r="615" spans="1:16" s="62" customFormat="1" x14ac:dyDescent="0.3">
      <c r="A615" s="158" t="s">
        <v>815</v>
      </c>
      <c r="B615" s="159">
        <v>1</v>
      </c>
      <c r="C615" s="159" t="s">
        <v>50</v>
      </c>
      <c r="D615" s="476">
        <v>8.18</v>
      </c>
      <c r="E615" s="477">
        <v>0.25</v>
      </c>
      <c r="F615" s="477">
        <v>0.5</v>
      </c>
      <c r="G615" s="477">
        <f>-0.15*0.5*2-0.25*0.7</f>
        <v>-0.32499999999999996</v>
      </c>
      <c r="H615" s="477">
        <f t="shared" si="226"/>
        <v>9.9</v>
      </c>
      <c r="I615" s="477"/>
      <c r="J615" s="477">
        <f t="shared" si="225"/>
        <v>1.0225</v>
      </c>
      <c r="K615" s="10"/>
      <c r="L615" s="10"/>
      <c r="M615" s="10"/>
      <c r="N615" s="10"/>
      <c r="O615" s="71"/>
      <c r="P615" s="153"/>
    </row>
    <row r="616" spans="1:16" s="62" customFormat="1" x14ac:dyDescent="0.3">
      <c r="A616" s="158" t="s">
        <v>816</v>
      </c>
      <c r="B616" s="159">
        <v>1</v>
      </c>
      <c r="C616" s="159" t="s">
        <v>50</v>
      </c>
      <c r="D616" s="476">
        <v>7.58</v>
      </c>
      <c r="E616" s="477">
        <v>0.25</v>
      </c>
      <c r="F616" s="477">
        <v>0.5</v>
      </c>
      <c r="G616" s="477"/>
      <c r="H616" s="477">
        <f t="shared" si="226"/>
        <v>9.4749999999999996</v>
      </c>
      <c r="I616" s="477"/>
      <c r="J616" s="477">
        <f t="shared" si="225"/>
        <v>0.94750000000000001</v>
      </c>
      <c r="K616" s="10"/>
      <c r="L616" s="10"/>
      <c r="M616" s="10"/>
      <c r="N616" s="10"/>
      <c r="O616" s="71"/>
      <c r="P616" s="153"/>
    </row>
    <row r="617" spans="1:16" s="62" customFormat="1" x14ac:dyDescent="0.3">
      <c r="A617" s="158" t="s">
        <v>817</v>
      </c>
      <c r="B617" s="159">
        <v>1</v>
      </c>
      <c r="C617" s="159" t="s">
        <v>50</v>
      </c>
      <c r="D617" s="476">
        <f>1.83+3.88</f>
        <v>5.71</v>
      </c>
      <c r="E617" s="477">
        <v>0.15</v>
      </c>
      <c r="F617" s="477">
        <v>0.5</v>
      </c>
      <c r="G617" s="477"/>
      <c r="H617" s="477">
        <f t="shared" si="226"/>
        <v>6.5664999999999996</v>
      </c>
      <c r="I617" s="477"/>
      <c r="J617" s="477">
        <f t="shared" si="225"/>
        <v>0.42824999999999996</v>
      </c>
      <c r="K617" s="10"/>
      <c r="L617" s="10"/>
      <c r="M617" s="10"/>
      <c r="N617" s="10"/>
      <c r="O617" s="71"/>
      <c r="P617" s="153"/>
    </row>
    <row r="618" spans="1:16" s="62" customFormat="1" x14ac:dyDescent="0.3">
      <c r="A618" s="158" t="s">
        <v>818</v>
      </c>
      <c r="B618" s="159">
        <v>1</v>
      </c>
      <c r="C618" s="159" t="s">
        <v>50</v>
      </c>
      <c r="D618" s="476">
        <f>1.83+3.88</f>
        <v>5.71</v>
      </c>
      <c r="E618" s="477">
        <v>0.2</v>
      </c>
      <c r="F618" s="477">
        <v>0.5</v>
      </c>
      <c r="G618" s="477"/>
      <c r="H618" s="477">
        <f t="shared" si="226"/>
        <v>6.8520000000000003</v>
      </c>
      <c r="I618" s="477"/>
      <c r="J618" s="477">
        <f t="shared" si="225"/>
        <v>0.57100000000000006</v>
      </c>
      <c r="K618" s="10"/>
      <c r="L618" s="10"/>
      <c r="M618" s="10"/>
      <c r="N618" s="10"/>
      <c r="O618" s="71"/>
      <c r="P618" s="153"/>
    </row>
    <row r="619" spans="1:16" s="62" customFormat="1" x14ac:dyDescent="0.3">
      <c r="A619" s="158" t="s">
        <v>819</v>
      </c>
      <c r="B619" s="159">
        <v>1</v>
      </c>
      <c r="C619" s="159" t="s">
        <v>50</v>
      </c>
      <c r="D619" s="476">
        <f>3.85+4.28</f>
        <v>8.1300000000000008</v>
      </c>
      <c r="E619" s="477">
        <v>0.2</v>
      </c>
      <c r="F619" s="477">
        <v>0.5</v>
      </c>
      <c r="G619" s="477">
        <f>-0.15*0.5*2-((8.13-0.15)*0.1)</f>
        <v>-0.94800000000000006</v>
      </c>
      <c r="H619" s="477">
        <f t="shared" si="226"/>
        <v>8.8079999999999998</v>
      </c>
      <c r="I619" s="477"/>
      <c r="J619" s="477">
        <f t="shared" si="225"/>
        <v>0.81300000000000017</v>
      </c>
      <c r="K619" s="10"/>
      <c r="L619" s="10"/>
      <c r="M619" s="10"/>
      <c r="N619" s="10"/>
      <c r="O619" s="71"/>
      <c r="P619" s="153"/>
    </row>
    <row r="620" spans="1:16" s="62" customFormat="1" x14ac:dyDescent="0.3">
      <c r="A620" s="158" t="s">
        <v>820</v>
      </c>
      <c r="B620" s="159">
        <v>1</v>
      </c>
      <c r="C620" s="159" t="s">
        <v>50</v>
      </c>
      <c r="D620" s="476">
        <f>3.85+3.57</f>
        <v>7.42</v>
      </c>
      <c r="E620" s="477">
        <v>0.2</v>
      </c>
      <c r="F620" s="477">
        <v>0.5</v>
      </c>
      <c r="G620" s="477">
        <f>-0.15*0.5-((7.42-0.15)*0.1)</f>
        <v>-0.80199999999999994</v>
      </c>
      <c r="H620" s="477">
        <f t="shared" si="226"/>
        <v>8.1020000000000003</v>
      </c>
      <c r="I620" s="477"/>
      <c r="J620" s="477">
        <f t="shared" si="225"/>
        <v>0.74199999999999999</v>
      </c>
      <c r="K620" s="10"/>
      <c r="L620" s="10"/>
      <c r="M620" s="10"/>
      <c r="N620" s="10"/>
      <c r="O620" s="71"/>
      <c r="P620" s="153"/>
    </row>
    <row r="621" spans="1:16" s="62" customFormat="1" x14ac:dyDescent="0.3">
      <c r="A621" s="158" t="s">
        <v>821</v>
      </c>
      <c r="B621" s="159">
        <v>1</v>
      </c>
      <c r="C621" s="159" t="s">
        <v>50</v>
      </c>
      <c r="D621" s="476">
        <f>3.85+4.28</f>
        <v>8.1300000000000008</v>
      </c>
      <c r="E621" s="477">
        <v>0.2</v>
      </c>
      <c r="F621" s="477">
        <v>0.5</v>
      </c>
      <c r="G621" s="477">
        <f>-0.15*0.5*2-((8.13-0.15)*0.1)</f>
        <v>-0.94800000000000006</v>
      </c>
      <c r="H621" s="477">
        <f t="shared" si="226"/>
        <v>8.8079999999999998</v>
      </c>
      <c r="I621" s="477"/>
      <c r="J621" s="477">
        <f t="shared" si="225"/>
        <v>0.81300000000000017</v>
      </c>
      <c r="K621" s="10"/>
      <c r="L621" s="10"/>
      <c r="M621" s="10"/>
      <c r="N621" s="10"/>
      <c r="O621" s="71"/>
      <c r="P621" s="153"/>
    </row>
    <row r="622" spans="1:16" s="62" customFormat="1" x14ac:dyDescent="0.3">
      <c r="A622" s="158" t="s">
        <v>822</v>
      </c>
      <c r="B622" s="159">
        <v>1</v>
      </c>
      <c r="C622" s="159" t="s">
        <v>50</v>
      </c>
      <c r="D622" s="476">
        <f>3.85+3.57</f>
        <v>7.42</v>
      </c>
      <c r="E622" s="477">
        <v>0.2</v>
      </c>
      <c r="F622" s="477">
        <v>0.5</v>
      </c>
      <c r="G622" s="477">
        <f>-0.15*0.5-((7.42-0.15)*0.1)</f>
        <v>-0.80199999999999994</v>
      </c>
      <c r="H622" s="477">
        <f t="shared" si="226"/>
        <v>8.1020000000000003</v>
      </c>
      <c r="I622" s="477"/>
      <c r="J622" s="477">
        <f t="shared" si="225"/>
        <v>0.74199999999999999</v>
      </c>
      <c r="K622" s="10"/>
      <c r="L622" s="10"/>
      <c r="M622" s="10"/>
      <c r="N622" s="10"/>
      <c r="O622" s="71"/>
      <c r="P622" s="153"/>
    </row>
    <row r="623" spans="1:16" s="62" customFormat="1" x14ac:dyDescent="0.3">
      <c r="A623" s="158" t="s">
        <v>823</v>
      </c>
      <c r="B623" s="159">
        <v>1</v>
      </c>
      <c r="C623" s="159" t="s">
        <v>50</v>
      </c>
      <c r="D623" s="476">
        <f>3.85+5.95</f>
        <v>9.8000000000000007</v>
      </c>
      <c r="E623" s="477">
        <v>0.15</v>
      </c>
      <c r="F623" s="477">
        <v>0.5</v>
      </c>
      <c r="G623" s="477">
        <f>-((9.8-0.15*2)*0.1)-0.15*0.5*2</f>
        <v>-1.1000000000000001</v>
      </c>
      <c r="H623" s="477">
        <f t="shared" si="226"/>
        <v>10.170000000000002</v>
      </c>
      <c r="I623" s="477"/>
      <c r="J623" s="477">
        <f t="shared" si="225"/>
        <v>0.73499999999999999</v>
      </c>
      <c r="K623" s="10"/>
      <c r="L623" s="10"/>
      <c r="M623" s="10"/>
      <c r="N623" s="10"/>
      <c r="O623" s="71"/>
      <c r="P623" s="153"/>
    </row>
    <row r="624" spans="1:16" s="62" customFormat="1" x14ac:dyDescent="0.3">
      <c r="A624" s="158" t="s">
        <v>824</v>
      </c>
      <c r="B624" s="159">
        <v>1</v>
      </c>
      <c r="C624" s="159" t="s">
        <v>50</v>
      </c>
      <c r="D624" s="476">
        <f>1.9+3.85</f>
        <v>5.75</v>
      </c>
      <c r="E624" s="477">
        <v>0.15</v>
      </c>
      <c r="F624" s="477">
        <v>0.5</v>
      </c>
      <c r="G624" s="477">
        <f>-5.75*0.1</f>
        <v>-0.57500000000000007</v>
      </c>
      <c r="H624" s="477">
        <f t="shared" si="226"/>
        <v>6.0374999999999996</v>
      </c>
      <c r="I624" s="477"/>
      <c r="J624" s="477">
        <f t="shared" si="225"/>
        <v>0.43124999999999997</v>
      </c>
      <c r="K624" s="10"/>
      <c r="L624" s="10"/>
      <c r="M624" s="10"/>
      <c r="N624" s="10"/>
      <c r="O624" s="71"/>
      <c r="P624" s="153"/>
    </row>
    <row r="625" spans="1:16" s="62" customFormat="1" x14ac:dyDescent="0.3">
      <c r="A625" s="158" t="s">
        <v>825</v>
      </c>
      <c r="B625" s="159">
        <v>1</v>
      </c>
      <c r="C625" s="159" t="s">
        <v>50</v>
      </c>
      <c r="D625" s="476">
        <f>3.85+5.95</f>
        <v>9.8000000000000007</v>
      </c>
      <c r="E625" s="477">
        <v>0.15</v>
      </c>
      <c r="F625" s="477">
        <v>0.5</v>
      </c>
      <c r="G625" s="477">
        <f>-((9.8-0.15*2)*0.1)-0.15*0.5*2</f>
        <v>-1.1000000000000001</v>
      </c>
      <c r="H625" s="477">
        <f t="shared" si="226"/>
        <v>10.170000000000002</v>
      </c>
      <c r="I625" s="477"/>
      <c r="J625" s="477">
        <f t="shared" si="225"/>
        <v>0.73499999999999999</v>
      </c>
      <c r="K625" s="10"/>
      <c r="L625" s="10"/>
      <c r="M625" s="10"/>
      <c r="N625" s="10"/>
      <c r="O625" s="71"/>
      <c r="P625" s="153"/>
    </row>
    <row r="626" spans="1:16" s="62" customFormat="1" x14ac:dyDescent="0.3">
      <c r="A626" s="158" t="s">
        <v>826</v>
      </c>
      <c r="B626" s="159">
        <v>1</v>
      </c>
      <c r="C626" s="159" t="s">
        <v>50</v>
      </c>
      <c r="D626" s="476">
        <f>1.9+3.85</f>
        <v>5.75</v>
      </c>
      <c r="E626" s="477">
        <v>0.15</v>
      </c>
      <c r="F626" s="477">
        <v>0.5</v>
      </c>
      <c r="G626" s="477">
        <f>-5.75*0.1</f>
        <v>-0.57500000000000007</v>
      </c>
      <c r="H626" s="477">
        <f t="shared" si="226"/>
        <v>6.0374999999999996</v>
      </c>
      <c r="I626" s="477"/>
      <c r="J626" s="477">
        <f t="shared" si="225"/>
        <v>0.43124999999999997</v>
      </c>
      <c r="K626" s="10"/>
      <c r="L626" s="10"/>
      <c r="M626" s="10"/>
      <c r="N626" s="10"/>
      <c r="O626" s="71"/>
      <c r="P626" s="153"/>
    </row>
    <row r="627" spans="1:16" s="62" customFormat="1" x14ac:dyDescent="0.3">
      <c r="A627" s="158" t="s">
        <v>827</v>
      </c>
      <c r="B627" s="159">
        <v>1</v>
      </c>
      <c r="C627" s="159" t="s">
        <v>50</v>
      </c>
      <c r="D627" s="476">
        <v>2.65</v>
      </c>
      <c r="E627" s="477">
        <v>0.15</v>
      </c>
      <c r="F627" s="477">
        <v>0.5</v>
      </c>
      <c r="G627" s="477">
        <f>-0.15*0.5-0.15*0.4*2</f>
        <v>-0.19500000000000001</v>
      </c>
      <c r="H627" s="477">
        <f t="shared" si="226"/>
        <v>2.8525</v>
      </c>
      <c r="I627" s="477"/>
      <c r="J627" s="477">
        <f t="shared" si="225"/>
        <v>0.19874999999999998</v>
      </c>
      <c r="K627" s="10"/>
      <c r="L627" s="10"/>
      <c r="M627" s="10"/>
      <c r="N627" s="10"/>
      <c r="O627" s="71"/>
      <c r="P627" s="153"/>
    </row>
    <row r="628" spans="1:16" s="62" customFormat="1" x14ac:dyDescent="0.3">
      <c r="A628" s="158" t="s">
        <v>828</v>
      </c>
      <c r="B628" s="159">
        <v>1</v>
      </c>
      <c r="C628" s="159" t="s">
        <v>50</v>
      </c>
      <c r="D628" s="476">
        <v>4.3499999999999996</v>
      </c>
      <c r="E628" s="477">
        <v>0.15</v>
      </c>
      <c r="F628" s="477">
        <v>0.5</v>
      </c>
      <c r="G628" s="477"/>
      <c r="H628" s="477">
        <f t="shared" si="226"/>
        <v>5.0024999999999995</v>
      </c>
      <c r="I628" s="477"/>
      <c r="J628" s="477">
        <f t="shared" si="225"/>
        <v>0.32624999999999998</v>
      </c>
      <c r="K628" s="10"/>
      <c r="L628" s="10"/>
      <c r="M628" s="10"/>
      <c r="N628" s="10"/>
      <c r="O628" s="71"/>
      <c r="P628" s="153"/>
    </row>
    <row r="629" spans="1:16" s="62" customFormat="1" x14ac:dyDescent="0.3">
      <c r="A629" s="158" t="s">
        <v>829</v>
      </c>
      <c r="B629" s="159">
        <v>1</v>
      </c>
      <c r="C629" s="159" t="s">
        <v>50</v>
      </c>
      <c r="D629" s="476">
        <v>3.2</v>
      </c>
      <c r="E629" s="477">
        <v>0.15</v>
      </c>
      <c r="F629" s="477">
        <v>0.5</v>
      </c>
      <c r="G629" s="477">
        <f>-0.2*0.5-0.25*0.5-0.15*0.4-0.15*0.8</f>
        <v>-0.40500000000000003</v>
      </c>
      <c r="H629" s="477">
        <f t="shared" si="226"/>
        <v>3.2750000000000004</v>
      </c>
      <c r="I629" s="477"/>
      <c r="J629" s="477">
        <f t="shared" si="225"/>
        <v>0.24</v>
      </c>
      <c r="K629" s="10"/>
      <c r="L629" s="10"/>
      <c r="M629" s="10"/>
      <c r="N629" s="10"/>
      <c r="O629" s="71"/>
      <c r="P629" s="153"/>
    </row>
    <row r="630" spans="1:16" s="62" customFormat="1" x14ac:dyDescent="0.3">
      <c r="A630" s="158" t="s">
        <v>830</v>
      </c>
      <c r="B630" s="159">
        <v>1</v>
      </c>
      <c r="C630" s="159" t="s">
        <v>50</v>
      </c>
      <c r="D630" s="476">
        <v>4.75</v>
      </c>
      <c r="E630" s="477">
        <v>0.15</v>
      </c>
      <c r="F630" s="477">
        <v>0.5</v>
      </c>
      <c r="G630" s="477">
        <f>-0.15*0.5-0.15*0.4*2</f>
        <v>-0.19500000000000001</v>
      </c>
      <c r="H630" s="477">
        <f t="shared" si="226"/>
        <v>5.2675000000000001</v>
      </c>
      <c r="I630" s="477"/>
      <c r="J630" s="477">
        <f t="shared" si="225"/>
        <v>0.35625000000000001</v>
      </c>
      <c r="K630" s="10"/>
      <c r="L630" s="10"/>
      <c r="M630" s="10"/>
      <c r="N630" s="10"/>
      <c r="O630" s="71"/>
      <c r="P630" s="153"/>
    </row>
    <row r="631" spans="1:16" s="62" customFormat="1" x14ac:dyDescent="0.3">
      <c r="A631" s="158" t="s">
        <v>831</v>
      </c>
      <c r="B631" s="159">
        <v>1</v>
      </c>
      <c r="C631" s="159" t="s">
        <v>50</v>
      </c>
      <c r="D631" s="476">
        <f>4.5+0.35</f>
        <v>4.8499999999999996</v>
      </c>
      <c r="E631" s="477">
        <v>0.15</v>
      </c>
      <c r="F631" s="477">
        <v>0.5</v>
      </c>
      <c r="G631" s="477">
        <f>-0.15*0.5*2-0.15*0.4</f>
        <v>-0.21</v>
      </c>
      <c r="H631" s="477">
        <f t="shared" ref="H631:H640" si="235">(((2*D631*F631+D631*E631))*B631)+G631</f>
        <v>5.3674999999999997</v>
      </c>
      <c r="I631" s="477"/>
      <c r="J631" s="477">
        <f t="shared" ref="J631:J640" si="236">(D631*E631*F631)*B631+I631</f>
        <v>0.36374999999999996</v>
      </c>
      <c r="K631" s="10"/>
      <c r="L631" s="10"/>
      <c r="M631" s="10"/>
      <c r="N631" s="10"/>
      <c r="O631" s="71"/>
      <c r="P631" s="153"/>
    </row>
    <row r="632" spans="1:16" s="62" customFormat="1" x14ac:dyDescent="0.3">
      <c r="A632" s="158" t="s">
        <v>832</v>
      </c>
      <c r="B632" s="159">
        <v>1</v>
      </c>
      <c r="C632" s="159" t="s">
        <v>50</v>
      </c>
      <c r="D632" s="476">
        <v>10.95</v>
      </c>
      <c r="E632" s="477">
        <v>0.15</v>
      </c>
      <c r="F632" s="477">
        <v>0.5</v>
      </c>
      <c r="G632" s="477">
        <f>-0.15*0.5*2-0.25*0.5*2-0.2*0.5*4-0.2*0.8-0.15*0.4*2-0.25*0.7-0.15*0.95-0.4*0.1+0.1*0.5*2+0.05*0.5*2</f>
        <v>-1.2875000000000001</v>
      </c>
      <c r="H632" s="477">
        <f t="shared" si="235"/>
        <v>11.305</v>
      </c>
      <c r="I632" s="477">
        <f>0.05*0.5*0.8+0.1*0.5*0.7</f>
        <v>5.5E-2</v>
      </c>
      <c r="J632" s="477">
        <f t="shared" si="236"/>
        <v>0.87624999999999997</v>
      </c>
      <c r="K632" s="10"/>
      <c r="L632" s="10"/>
      <c r="M632" s="10"/>
      <c r="N632" s="10"/>
      <c r="O632" s="71"/>
      <c r="P632" s="153"/>
    </row>
    <row r="633" spans="1:16" s="62" customFormat="1" x14ac:dyDescent="0.3">
      <c r="A633" s="158" t="s">
        <v>833</v>
      </c>
      <c r="B633" s="159">
        <v>1</v>
      </c>
      <c r="C633" s="159" t="s">
        <v>50</v>
      </c>
      <c r="D633" s="476">
        <v>2</v>
      </c>
      <c r="E633" s="477">
        <v>0.15</v>
      </c>
      <c r="F633" s="477">
        <v>0.5</v>
      </c>
      <c r="G633" s="477">
        <f>-0.2*0.5-0.15*0.4-1.85*0.1</f>
        <v>-0.34500000000000003</v>
      </c>
      <c r="H633" s="477">
        <f t="shared" si="235"/>
        <v>1.9549999999999998</v>
      </c>
      <c r="I633" s="477"/>
      <c r="J633" s="477">
        <f t="shared" si="236"/>
        <v>0.15</v>
      </c>
      <c r="K633" s="10"/>
      <c r="L633" s="10"/>
      <c r="M633" s="10"/>
      <c r="N633" s="10"/>
      <c r="O633" s="71"/>
      <c r="P633" s="153"/>
    </row>
    <row r="634" spans="1:16" s="62" customFormat="1" x14ac:dyDescent="0.3">
      <c r="A634" s="158" t="s">
        <v>834</v>
      </c>
      <c r="B634" s="159">
        <v>1</v>
      </c>
      <c r="C634" s="159" t="s">
        <v>50</v>
      </c>
      <c r="D634" s="476">
        <v>0.4</v>
      </c>
      <c r="E634" s="477">
        <v>0.15</v>
      </c>
      <c r="F634" s="477">
        <v>0.5</v>
      </c>
      <c r="G634" s="477">
        <f>-0.4*0.1*2</f>
        <v>-8.0000000000000016E-2</v>
      </c>
      <c r="H634" s="477">
        <f t="shared" si="235"/>
        <v>0.38</v>
      </c>
      <c r="I634" s="477"/>
      <c r="J634" s="477">
        <f t="shared" si="236"/>
        <v>0.03</v>
      </c>
      <c r="K634" s="10"/>
      <c r="L634" s="10"/>
      <c r="M634" s="10"/>
      <c r="N634" s="10"/>
      <c r="O634" s="71"/>
      <c r="P634" s="153"/>
    </row>
    <row r="635" spans="1:16" s="62" customFormat="1" x14ac:dyDescent="0.3">
      <c r="A635" s="158" t="s">
        <v>835</v>
      </c>
      <c r="B635" s="159">
        <v>1</v>
      </c>
      <c r="C635" s="159" t="s">
        <v>50</v>
      </c>
      <c r="D635" s="476">
        <v>3.75</v>
      </c>
      <c r="E635" s="477">
        <v>0.15</v>
      </c>
      <c r="F635" s="477">
        <v>0.5</v>
      </c>
      <c r="G635" s="477"/>
      <c r="H635" s="477">
        <f t="shared" si="235"/>
        <v>4.3125</v>
      </c>
      <c r="I635" s="477"/>
      <c r="J635" s="477">
        <f t="shared" si="236"/>
        <v>0.28125</v>
      </c>
      <c r="K635" s="10"/>
      <c r="L635" s="10"/>
      <c r="M635" s="10"/>
      <c r="N635" s="10"/>
      <c r="O635" s="71"/>
      <c r="P635" s="153"/>
    </row>
    <row r="636" spans="1:16" s="62" customFormat="1" x14ac:dyDescent="0.3">
      <c r="A636" s="158" t="s">
        <v>836</v>
      </c>
      <c r="B636" s="159">
        <v>1</v>
      </c>
      <c r="C636" s="159" t="s">
        <v>50</v>
      </c>
      <c r="D636" s="476">
        <v>1.8</v>
      </c>
      <c r="E636" s="477">
        <v>0.15</v>
      </c>
      <c r="F636" s="477">
        <v>0.5</v>
      </c>
      <c r="G636" s="477">
        <f>-1.8*0.1*2</f>
        <v>-0.36000000000000004</v>
      </c>
      <c r="H636" s="477">
        <f t="shared" si="235"/>
        <v>1.7100000000000002</v>
      </c>
      <c r="I636" s="477"/>
      <c r="J636" s="477">
        <f t="shared" si="236"/>
        <v>0.13500000000000001</v>
      </c>
      <c r="K636" s="10"/>
      <c r="L636" s="10"/>
      <c r="M636" s="10"/>
      <c r="N636" s="10"/>
      <c r="O636" s="71"/>
      <c r="P636" s="153"/>
    </row>
    <row r="637" spans="1:16" s="62" customFormat="1" x14ac:dyDescent="0.3">
      <c r="A637" s="158" t="s">
        <v>837</v>
      </c>
      <c r="B637" s="159">
        <v>1</v>
      </c>
      <c r="C637" s="159" t="s">
        <v>50</v>
      </c>
      <c r="D637" s="476">
        <v>3.8</v>
      </c>
      <c r="E637" s="477">
        <v>0.15</v>
      </c>
      <c r="F637" s="477">
        <v>0.5</v>
      </c>
      <c r="G637" s="477"/>
      <c r="H637" s="477">
        <f t="shared" si="235"/>
        <v>4.37</v>
      </c>
      <c r="I637" s="477"/>
      <c r="J637" s="477">
        <f t="shared" si="236"/>
        <v>0.28499999999999998</v>
      </c>
      <c r="K637" s="10"/>
      <c r="L637" s="10"/>
      <c r="M637" s="10"/>
      <c r="N637" s="10"/>
      <c r="O637" s="71"/>
      <c r="P637" s="153"/>
    </row>
    <row r="638" spans="1:16" s="62" customFormat="1" x14ac:dyDescent="0.3">
      <c r="A638" s="158" t="s">
        <v>838</v>
      </c>
      <c r="B638" s="159">
        <v>1</v>
      </c>
      <c r="C638" s="159" t="s">
        <v>50</v>
      </c>
      <c r="D638" s="476">
        <v>0.4</v>
      </c>
      <c r="E638" s="477">
        <v>0.15</v>
      </c>
      <c r="F638" s="477">
        <v>0.5</v>
      </c>
      <c r="G638" s="477">
        <f>-0.4*0.1*2</f>
        <v>-8.0000000000000016E-2</v>
      </c>
      <c r="H638" s="477">
        <f t="shared" si="235"/>
        <v>0.38</v>
      </c>
      <c r="I638" s="477"/>
      <c r="J638" s="477">
        <f t="shared" si="236"/>
        <v>0.03</v>
      </c>
      <c r="K638" s="10"/>
      <c r="L638" s="10"/>
      <c r="M638" s="10"/>
      <c r="N638" s="10"/>
      <c r="O638" s="71"/>
      <c r="P638" s="153"/>
    </row>
    <row r="639" spans="1:16" s="62" customFormat="1" x14ac:dyDescent="0.3">
      <c r="A639" s="158" t="s">
        <v>839</v>
      </c>
      <c r="B639" s="159">
        <v>1</v>
      </c>
      <c r="C639" s="159" t="s">
        <v>50</v>
      </c>
      <c r="D639" s="476">
        <v>2</v>
      </c>
      <c r="E639" s="477">
        <v>0.15</v>
      </c>
      <c r="F639" s="477">
        <v>0.5</v>
      </c>
      <c r="G639" s="477">
        <f>-0.2*0.5-0.15*0.4-1.85*0.1</f>
        <v>-0.34500000000000003</v>
      </c>
      <c r="H639" s="477">
        <f t="shared" si="235"/>
        <v>1.9549999999999998</v>
      </c>
      <c r="I639" s="477"/>
      <c r="J639" s="477">
        <f t="shared" si="236"/>
        <v>0.15</v>
      </c>
      <c r="K639" s="10"/>
      <c r="L639" s="10"/>
      <c r="M639" s="10"/>
      <c r="N639" s="10"/>
      <c r="O639" s="71"/>
      <c r="P639" s="153"/>
    </row>
    <row r="640" spans="1:16" s="62" customFormat="1" x14ac:dyDescent="0.3">
      <c r="A640" s="158" t="s">
        <v>840</v>
      </c>
      <c r="B640" s="159">
        <v>1</v>
      </c>
      <c r="C640" s="159" t="s">
        <v>50</v>
      </c>
      <c r="D640" s="476">
        <v>10.95</v>
      </c>
      <c r="E640" s="477">
        <v>0.15</v>
      </c>
      <c r="F640" s="477">
        <v>0.5</v>
      </c>
      <c r="G640" s="477">
        <f>-0.2*0.5*4-0.25*0.5*2-0.15*0.95-0.25*0.7-0.2*0.5+0.05*0.5*2+0.1*0.5*2-0.4*0.1*2</f>
        <v>-0.99750000000000005</v>
      </c>
      <c r="H640" s="477">
        <f t="shared" si="235"/>
        <v>11.594999999999999</v>
      </c>
      <c r="I640" s="477">
        <f>0.05*0.5*0.5+0.1*0.5*0.7</f>
        <v>4.7500000000000001E-2</v>
      </c>
      <c r="J640" s="477">
        <f t="shared" si="236"/>
        <v>0.86874999999999991</v>
      </c>
      <c r="K640" s="10"/>
      <c r="L640" s="10"/>
      <c r="M640" s="10"/>
      <c r="N640" s="10"/>
      <c r="O640" s="71"/>
      <c r="P640" s="153"/>
    </row>
    <row r="641" spans="1:16" s="62" customFormat="1" x14ac:dyDescent="0.3">
      <c r="A641" s="158" t="s">
        <v>841</v>
      </c>
      <c r="B641" s="159">
        <v>1</v>
      </c>
      <c r="C641" s="159" t="s">
        <v>50</v>
      </c>
      <c r="D641" s="476">
        <v>2</v>
      </c>
      <c r="E641" s="477">
        <v>0.15</v>
      </c>
      <c r="F641" s="477">
        <v>0.5</v>
      </c>
      <c r="G641" s="477">
        <f>-0.2*0.5-0.15*0.4-1.85*0.1</f>
        <v>-0.34500000000000003</v>
      </c>
      <c r="H641" s="477">
        <f t="shared" ref="H641:H724" si="237">(((2*D641*F641+D641*E641))*B641)+G641</f>
        <v>1.9549999999999998</v>
      </c>
      <c r="I641" s="477"/>
      <c r="J641" s="477">
        <f t="shared" ref="J641:J724" si="238">(D641*E641*F641)*B641+I641</f>
        <v>0.15</v>
      </c>
      <c r="K641" s="10"/>
      <c r="L641" s="10"/>
      <c r="M641" s="10"/>
      <c r="N641" s="10"/>
      <c r="O641" s="71"/>
      <c r="P641" s="153"/>
    </row>
    <row r="642" spans="1:16" s="62" customFormat="1" x14ac:dyDescent="0.3">
      <c r="A642" s="158" t="s">
        <v>842</v>
      </c>
      <c r="B642" s="159">
        <v>1</v>
      </c>
      <c r="C642" s="159" t="s">
        <v>50</v>
      </c>
      <c r="D642" s="476">
        <v>0.4</v>
      </c>
      <c r="E642" s="477">
        <v>0.15</v>
      </c>
      <c r="F642" s="477">
        <v>0.5</v>
      </c>
      <c r="G642" s="477">
        <f>-0.4*0.1*2</f>
        <v>-8.0000000000000016E-2</v>
      </c>
      <c r="H642" s="477">
        <f t="shared" ref="H642:H649" si="239">(((2*D642*F642+D642*E642))*B642)+G642</f>
        <v>0.38</v>
      </c>
      <c r="I642" s="477"/>
      <c r="J642" s="477">
        <f t="shared" ref="J642:J660" si="240">(D642*E642*F642)*B642+I642</f>
        <v>0.03</v>
      </c>
      <c r="K642" s="10"/>
      <c r="L642" s="10"/>
      <c r="M642" s="10"/>
      <c r="N642" s="10"/>
      <c r="O642" s="71"/>
      <c r="P642" s="153"/>
    </row>
    <row r="643" spans="1:16" s="62" customFormat="1" x14ac:dyDescent="0.3">
      <c r="A643" s="158" t="s">
        <v>843</v>
      </c>
      <c r="B643" s="159">
        <v>1</v>
      </c>
      <c r="C643" s="159" t="s">
        <v>50</v>
      </c>
      <c r="D643" s="476">
        <v>3.75</v>
      </c>
      <c r="E643" s="477">
        <v>0.15</v>
      </c>
      <c r="F643" s="477">
        <v>0.5</v>
      </c>
      <c r="G643" s="477"/>
      <c r="H643" s="477">
        <f t="shared" si="239"/>
        <v>4.3125</v>
      </c>
      <c r="I643" s="477"/>
      <c r="J643" s="477">
        <f t="shared" si="240"/>
        <v>0.28125</v>
      </c>
      <c r="K643" s="10"/>
      <c r="L643" s="10"/>
      <c r="M643" s="10"/>
      <c r="N643" s="10"/>
      <c r="O643" s="71"/>
      <c r="P643" s="153"/>
    </row>
    <row r="644" spans="1:16" s="62" customFormat="1" x14ac:dyDescent="0.3">
      <c r="A644" s="158" t="s">
        <v>844</v>
      </c>
      <c r="B644" s="159">
        <v>1</v>
      </c>
      <c r="C644" s="159" t="s">
        <v>50</v>
      </c>
      <c r="D644" s="476">
        <v>1.8</v>
      </c>
      <c r="E644" s="477">
        <v>0.15</v>
      </c>
      <c r="F644" s="477">
        <v>0.5</v>
      </c>
      <c r="G644" s="477">
        <f>-1.8*0.1*2</f>
        <v>-0.36000000000000004</v>
      </c>
      <c r="H644" s="477">
        <f t="shared" si="239"/>
        <v>1.7100000000000002</v>
      </c>
      <c r="I644" s="477"/>
      <c r="J644" s="477">
        <f t="shared" si="240"/>
        <v>0.13500000000000001</v>
      </c>
      <c r="K644" s="10"/>
      <c r="L644" s="10"/>
      <c r="M644" s="10"/>
      <c r="N644" s="10"/>
      <c r="O644" s="71"/>
      <c r="P644" s="153"/>
    </row>
    <row r="645" spans="1:16" s="62" customFormat="1" x14ac:dyDescent="0.3">
      <c r="A645" s="158" t="s">
        <v>845</v>
      </c>
      <c r="B645" s="159">
        <v>1</v>
      </c>
      <c r="C645" s="159" t="s">
        <v>50</v>
      </c>
      <c r="D645" s="476">
        <v>3.8</v>
      </c>
      <c r="E645" s="477">
        <v>0.15</v>
      </c>
      <c r="F645" s="477">
        <v>0.5</v>
      </c>
      <c r="G645" s="477"/>
      <c r="H645" s="477">
        <f t="shared" si="239"/>
        <v>4.37</v>
      </c>
      <c r="I645" s="477"/>
      <c r="J645" s="477">
        <f t="shared" si="240"/>
        <v>0.28499999999999998</v>
      </c>
      <c r="K645" s="10"/>
      <c r="L645" s="10"/>
      <c r="M645" s="10"/>
      <c r="N645" s="10"/>
      <c r="O645" s="71"/>
      <c r="P645" s="153"/>
    </row>
    <row r="646" spans="1:16" s="62" customFormat="1" x14ac:dyDescent="0.3">
      <c r="A646" s="158" t="s">
        <v>846</v>
      </c>
      <c r="B646" s="159">
        <v>1</v>
      </c>
      <c r="C646" s="159" t="s">
        <v>50</v>
      </c>
      <c r="D646" s="476">
        <v>0.4</v>
      </c>
      <c r="E646" s="477">
        <v>0.15</v>
      </c>
      <c r="F646" s="477">
        <v>0.5</v>
      </c>
      <c r="G646" s="477">
        <f>-0.4*0.1*2</f>
        <v>-8.0000000000000016E-2</v>
      </c>
      <c r="H646" s="477">
        <f t="shared" si="239"/>
        <v>0.38</v>
      </c>
      <c r="I646" s="477"/>
      <c r="J646" s="477">
        <f t="shared" si="240"/>
        <v>0.03</v>
      </c>
      <c r="K646" s="10"/>
      <c r="L646" s="10"/>
      <c r="M646" s="10"/>
      <c r="N646" s="10"/>
      <c r="O646" s="71"/>
      <c r="P646" s="153"/>
    </row>
    <row r="647" spans="1:16" s="62" customFormat="1" x14ac:dyDescent="0.3">
      <c r="A647" s="158" t="s">
        <v>847</v>
      </c>
      <c r="B647" s="159">
        <v>1</v>
      </c>
      <c r="C647" s="159" t="s">
        <v>50</v>
      </c>
      <c r="D647" s="476">
        <v>2</v>
      </c>
      <c r="E647" s="477">
        <v>0.15</v>
      </c>
      <c r="F647" s="477">
        <v>0.5</v>
      </c>
      <c r="G647" s="477">
        <f>-0.2*0.5-0.15*0.4-1.85*0.1</f>
        <v>-0.34500000000000003</v>
      </c>
      <c r="H647" s="477">
        <f t="shared" si="239"/>
        <v>1.9549999999999998</v>
      </c>
      <c r="I647" s="477"/>
      <c r="J647" s="477">
        <f t="shared" si="240"/>
        <v>0.15</v>
      </c>
      <c r="K647" s="10"/>
      <c r="L647" s="10"/>
      <c r="M647" s="10"/>
      <c r="N647" s="10"/>
      <c r="O647" s="71"/>
      <c r="P647" s="153"/>
    </row>
    <row r="648" spans="1:16" s="62" customFormat="1" x14ac:dyDescent="0.3">
      <c r="A648" s="158" t="s">
        <v>848</v>
      </c>
      <c r="B648" s="159">
        <v>1</v>
      </c>
      <c r="C648" s="159" t="s">
        <v>50</v>
      </c>
      <c r="D648" s="476">
        <v>10.95</v>
      </c>
      <c r="E648" s="477">
        <v>0.2</v>
      </c>
      <c r="F648" s="477">
        <v>0.5</v>
      </c>
      <c r="G648" s="477">
        <f>-0.15*0.5-0.2*0.5*2-0.25*0.5+0.25*0.5*2-0.25*0.95-0.25*0.7-0.25*0.5-0.4*0.1</f>
        <v>-0.72750000000000004</v>
      </c>
      <c r="H648" s="477">
        <f t="shared" si="239"/>
        <v>12.412499999999998</v>
      </c>
      <c r="I648" s="477"/>
      <c r="J648" s="477">
        <f t="shared" si="240"/>
        <v>1.095</v>
      </c>
      <c r="K648" s="10"/>
      <c r="L648" s="10"/>
      <c r="M648" s="10"/>
      <c r="N648" s="10"/>
      <c r="O648" s="71"/>
      <c r="P648" s="153"/>
    </row>
    <row r="649" spans="1:16" s="62" customFormat="1" ht="28.8" x14ac:dyDescent="0.3">
      <c r="A649" s="485" t="s">
        <v>853</v>
      </c>
      <c r="B649" s="159">
        <v>4</v>
      </c>
      <c r="C649" s="159" t="s">
        <v>50</v>
      </c>
      <c r="D649" s="476">
        <v>0.95</v>
      </c>
      <c r="E649" s="477">
        <v>0.15</v>
      </c>
      <c r="F649" s="477">
        <v>0.5</v>
      </c>
      <c r="G649" s="477">
        <f>(-0.2*0.5*2-0.15*0.95-0.4*0.1*2)*4</f>
        <v>-1.6900000000000002</v>
      </c>
      <c r="H649" s="477">
        <f t="shared" si="239"/>
        <v>2.6799999999999997</v>
      </c>
      <c r="I649" s="477"/>
      <c r="J649" s="477">
        <f t="shared" si="240"/>
        <v>0.28499999999999998</v>
      </c>
      <c r="K649" s="10"/>
      <c r="L649" s="10"/>
      <c r="M649" s="10"/>
      <c r="N649" s="10"/>
      <c r="O649" s="71"/>
      <c r="P649" s="153"/>
    </row>
    <row r="650" spans="1:16" s="62" customFormat="1" x14ac:dyDescent="0.3">
      <c r="A650" s="158" t="s">
        <v>854</v>
      </c>
      <c r="B650" s="159">
        <v>1</v>
      </c>
      <c r="C650" s="159" t="s">
        <v>184</v>
      </c>
      <c r="D650" s="476">
        <v>3.8</v>
      </c>
      <c r="E650" s="477">
        <v>0.15</v>
      </c>
      <c r="F650" s="477">
        <v>0.15</v>
      </c>
      <c r="G650" s="477"/>
      <c r="H650" s="477">
        <f>(((2*D650*F650))*B650)+G650</f>
        <v>1.1399999999999999</v>
      </c>
      <c r="I650" s="477"/>
      <c r="J650" s="477">
        <f t="shared" si="240"/>
        <v>8.5499999999999993E-2</v>
      </c>
      <c r="K650" s="10"/>
      <c r="L650" s="10"/>
      <c r="M650" s="10"/>
      <c r="N650" s="10"/>
      <c r="O650" s="71"/>
      <c r="P650" s="153"/>
    </row>
    <row r="651" spans="1:16" s="62" customFormat="1" x14ac:dyDescent="0.3">
      <c r="A651" s="158" t="s">
        <v>855</v>
      </c>
      <c r="B651" s="159">
        <v>1</v>
      </c>
      <c r="C651" s="159" t="s">
        <v>184</v>
      </c>
      <c r="D651" s="476">
        <v>7.85</v>
      </c>
      <c r="E651" s="477">
        <v>0.15</v>
      </c>
      <c r="F651" s="477">
        <v>0.15</v>
      </c>
      <c r="G651" s="477">
        <f>0.05*0.15*2</f>
        <v>1.4999999999999999E-2</v>
      </c>
      <c r="H651" s="477">
        <f t="shared" ref="H651:H665" si="241">(((2*D651*F651))*B651)+G651</f>
        <v>2.37</v>
      </c>
      <c r="I651" s="477">
        <f>0.05*0.15*0.25</f>
        <v>1.8749999999999999E-3</v>
      </c>
      <c r="J651" s="477">
        <f t="shared" si="240"/>
        <v>0.17849999999999999</v>
      </c>
      <c r="K651" s="10"/>
      <c r="L651" s="10"/>
      <c r="M651" s="10"/>
      <c r="N651" s="10"/>
      <c r="O651" s="71"/>
      <c r="P651" s="153"/>
    </row>
    <row r="652" spans="1:16" s="62" customFormat="1" x14ac:dyDescent="0.3">
      <c r="A652" s="158" t="s">
        <v>856</v>
      </c>
      <c r="B652" s="159">
        <v>1</v>
      </c>
      <c r="C652" s="159" t="s">
        <v>184</v>
      </c>
      <c r="D652" s="476">
        <v>3.85</v>
      </c>
      <c r="E652" s="477">
        <v>0.15</v>
      </c>
      <c r="F652" s="477">
        <v>0.15</v>
      </c>
      <c r="G652" s="477"/>
      <c r="H652" s="477">
        <f t="shared" si="241"/>
        <v>1.155</v>
      </c>
      <c r="I652" s="477"/>
      <c r="J652" s="477">
        <f t="shared" si="240"/>
        <v>8.6624999999999994E-2</v>
      </c>
      <c r="K652" s="10"/>
      <c r="L652" s="10"/>
      <c r="M652" s="10"/>
      <c r="N652" s="10"/>
      <c r="O652" s="71"/>
      <c r="P652" s="153"/>
    </row>
    <row r="653" spans="1:16" s="62" customFormat="1" x14ac:dyDescent="0.3">
      <c r="A653" s="158" t="s">
        <v>857</v>
      </c>
      <c r="B653" s="159">
        <v>1</v>
      </c>
      <c r="C653" s="159" t="s">
        <v>184</v>
      </c>
      <c r="D653" s="476">
        <v>3.8</v>
      </c>
      <c r="E653" s="477">
        <v>0.15</v>
      </c>
      <c r="F653" s="477">
        <v>0.15</v>
      </c>
      <c r="G653" s="477"/>
      <c r="H653" s="477">
        <f t="shared" si="241"/>
        <v>1.1399999999999999</v>
      </c>
      <c r="I653" s="477"/>
      <c r="J653" s="477">
        <f t="shared" si="240"/>
        <v>8.5499999999999993E-2</v>
      </c>
      <c r="K653" s="10"/>
      <c r="L653" s="10"/>
      <c r="M653" s="10"/>
      <c r="N653" s="10"/>
      <c r="O653" s="71"/>
      <c r="P653" s="153"/>
    </row>
    <row r="654" spans="1:16" s="62" customFormat="1" x14ac:dyDescent="0.3">
      <c r="A654" s="158" t="s">
        <v>858</v>
      </c>
      <c r="B654" s="159">
        <v>1</v>
      </c>
      <c r="C654" s="159" t="s">
        <v>184</v>
      </c>
      <c r="D654" s="476">
        <v>7.85</v>
      </c>
      <c r="E654" s="477">
        <v>0.15</v>
      </c>
      <c r="F654" s="477">
        <v>0.15</v>
      </c>
      <c r="G654" s="477">
        <f>0.05*0.15*2</f>
        <v>1.4999999999999999E-2</v>
      </c>
      <c r="H654" s="477">
        <f t="shared" ref="H654" si="242">(((2*D654*F654))*B654)+G654</f>
        <v>2.37</v>
      </c>
      <c r="I654" s="477">
        <f>0.05*0.15*0.25</f>
        <v>1.8749999999999999E-3</v>
      </c>
      <c r="J654" s="477">
        <f t="shared" si="240"/>
        <v>0.17849999999999999</v>
      </c>
      <c r="K654" s="10"/>
      <c r="L654" s="10"/>
      <c r="M654" s="10"/>
      <c r="N654" s="10"/>
      <c r="O654" s="71"/>
      <c r="P654" s="153"/>
    </row>
    <row r="655" spans="1:16" s="62" customFormat="1" x14ac:dyDescent="0.3">
      <c r="A655" s="158" t="s">
        <v>859</v>
      </c>
      <c r="B655" s="159">
        <v>1</v>
      </c>
      <c r="C655" s="159" t="s">
        <v>184</v>
      </c>
      <c r="D655" s="476">
        <v>3.85</v>
      </c>
      <c r="E655" s="477">
        <v>0.15</v>
      </c>
      <c r="F655" s="477">
        <v>0.15</v>
      </c>
      <c r="G655" s="477"/>
      <c r="H655" s="477">
        <f t="shared" si="241"/>
        <v>1.155</v>
      </c>
      <c r="I655" s="477"/>
      <c r="J655" s="477">
        <f t="shared" si="240"/>
        <v>8.6624999999999994E-2</v>
      </c>
      <c r="K655" s="10"/>
      <c r="L655" s="10"/>
      <c r="M655" s="10"/>
      <c r="N655" s="10"/>
      <c r="O655" s="71"/>
      <c r="P655" s="153"/>
    </row>
    <row r="656" spans="1:16" s="62" customFormat="1" x14ac:dyDescent="0.3">
      <c r="A656" s="158" t="s">
        <v>860</v>
      </c>
      <c r="B656" s="159">
        <v>1</v>
      </c>
      <c r="C656" s="159" t="s">
        <v>184</v>
      </c>
      <c r="D656" s="476">
        <v>8.15</v>
      </c>
      <c r="E656" s="477">
        <v>0.15</v>
      </c>
      <c r="F656" s="477">
        <v>0.15</v>
      </c>
      <c r="G656" s="477">
        <f>0.05*0.15*2</f>
        <v>1.4999999999999999E-2</v>
      </c>
      <c r="H656" s="477">
        <f t="shared" si="241"/>
        <v>2.46</v>
      </c>
      <c r="I656" s="477">
        <f>0.05*0.15*0.6</f>
        <v>4.4999999999999997E-3</v>
      </c>
      <c r="J656" s="477">
        <f t="shared" si="240"/>
        <v>0.18787499999999999</v>
      </c>
      <c r="K656" s="10"/>
      <c r="L656" s="10"/>
      <c r="M656" s="10"/>
      <c r="N656" s="10"/>
      <c r="O656" s="71"/>
      <c r="P656" s="153"/>
    </row>
    <row r="657" spans="1:16" s="62" customFormat="1" x14ac:dyDescent="0.3">
      <c r="A657" s="158" t="s">
        <v>861</v>
      </c>
      <c r="B657" s="159">
        <v>1</v>
      </c>
      <c r="C657" s="159" t="s">
        <v>184</v>
      </c>
      <c r="D657" s="476">
        <v>8.15</v>
      </c>
      <c r="E657" s="477">
        <v>0.15</v>
      </c>
      <c r="F657" s="477">
        <v>0.15</v>
      </c>
      <c r="G657" s="477">
        <f>0.05*0.15*2</f>
        <v>1.4999999999999999E-2</v>
      </c>
      <c r="H657" s="477">
        <f t="shared" ref="H657" si="243">(((2*D657*F657))*B657)+G657</f>
        <v>2.46</v>
      </c>
      <c r="I657" s="477">
        <f>0.05*0.15*0.6</f>
        <v>4.4999999999999997E-3</v>
      </c>
      <c r="J657" s="477">
        <f t="shared" si="240"/>
        <v>0.18787499999999999</v>
      </c>
      <c r="K657" s="10"/>
      <c r="L657" s="10"/>
      <c r="M657" s="10"/>
      <c r="N657" s="10"/>
      <c r="O657" s="71"/>
      <c r="P657" s="153"/>
    </row>
    <row r="658" spans="1:16" s="62" customFormat="1" x14ac:dyDescent="0.3">
      <c r="A658" s="158" t="s">
        <v>862</v>
      </c>
      <c r="B658" s="159">
        <v>1</v>
      </c>
      <c r="C658" s="159" t="s">
        <v>184</v>
      </c>
      <c r="D658" s="476">
        <f>3.85+7.85+3.85</f>
        <v>15.549999999999999</v>
      </c>
      <c r="E658" s="477">
        <v>0.15</v>
      </c>
      <c r="F658" s="477">
        <v>0.15</v>
      </c>
      <c r="G658" s="477"/>
      <c r="H658" s="477">
        <f t="shared" si="241"/>
        <v>4.6649999999999991</v>
      </c>
      <c r="I658" s="477"/>
      <c r="J658" s="477">
        <f t="shared" si="240"/>
        <v>0.34987499999999994</v>
      </c>
      <c r="K658" s="10"/>
      <c r="L658" s="10"/>
      <c r="M658" s="10"/>
      <c r="N658" s="10"/>
      <c r="O658" s="71"/>
      <c r="P658" s="153"/>
    </row>
    <row r="659" spans="1:16" s="62" customFormat="1" x14ac:dyDescent="0.3">
      <c r="A659" s="158" t="s">
        <v>863</v>
      </c>
      <c r="B659" s="159">
        <v>1</v>
      </c>
      <c r="C659" s="159" t="s">
        <v>184</v>
      </c>
      <c r="D659" s="476">
        <f>3.85+7.85+3.85</f>
        <v>15.549999999999999</v>
      </c>
      <c r="E659" s="477">
        <v>0.15</v>
      </c>
      <c r="F659" s="477">
        <v>0.15</v>
      </c>
      <c r="G659" s="477"/>
      <c r="H659" s="477">
        <f t="shared" si="241"/>
        <v>4.6649999999999991</v>
      </c>
      <c r="I659" s="477"/>
      <c r="J659" s="477">
        <f t="shared" si="240"/>
        <v>0.34987499999999994</v>
      </c>
      <c r="K659" s="10"/>
      <c r="L659" s="10"/>
      <c r="M659" s="10"/>
      <c r="N659" s="10"/>
      <c r="O659" s="71"/>
      <c r="P659" s="153"/>
    </row>
    <row r="660" spans="1:16" s="62" customFormat="1" x14ac:dyDescent="0.3">
      <c r="A660" s="158" t="s">
        <v>864</v>
      </c>
      <c r="B660" s="159">
        <v>1</v>
      </c>
      <c r="C660" s="159" t="s">
        <v>184</v>
      </c>
      <c r="D660" s="476">
        <v>10.95</v>
      </c>
      <c r="E660" s="477">
        <v>0.15</v>
      </c>
      <c r="F660" s="477">
        <v>0.15</v>
      </c>
      <c r="G660" s="477">
        <f>0.05*0.15*2+0.1*0.15*2</f>
        <v>4.4999999999999998E-2</v>
      </c>
      <c r="H660" s="477">
        <f t="shared" si="241"/>
        <v>3.3299999999999996</v>
      </c>
      <c r="I660" s="477">
        <f>0.05*0.15*0.8+0.1*0.15*0.7</f>
        <v>1.6500000000000001E-2</v>
      </c>
      <c r="J660" s="477">
        <f t="shared" si="240"/>
        <v>0.26287499999999997</v>
      </c>
      <c r="K660" s="10"/>
      <c r="L660" s="10"/>
      <c r="M660" s="10"/>
      <c r="N660" s="10"/>
      <c r="O660" s="71"/>
      <c r="P660" s="153"/>
    </row>
    <row r="661" spans="1:16" s="62" customFormat="1" x14ac:dyDescent="0.3">
      <c r="A661" s="158" t="s">
        <v>865</v>
      </c>
      <c r="B661" s="159">
        <v>1</v>
      </c>
      <c r="C661" s="159" t="s">
        <v>184</v>
      </c>
      <c r="D661" s="476">
        <v>2</v>
      </c>
      <c r="E661" s="477">
        <v>0.15</v>
      </c>
      <c r="F661" s="477">
        <v>0.15</v>
      </c>
      <c r="G661" s="477">
        <f>-0.15*0.15</f>
        <v>-2.2499999999999999E-2</v>
      </c>
      <c r="H661" s="477">
        <f t="shared" si="241"/>
        <v>0.57750000000000001</v>
      </c>
      <c r="I661" s="477"/>
      <c r="J661" s="477">
        <f t="shared" si="238"/>
        <v>4.4999999999999998E-2</v>
      </c>
      <c r="K661" s="10"/>
      <c r="L661" s="10"/>
      <c r="M661" s="10"/>
      <c r="N661" s="10"/>
      <c r="O661" s="71"/>
      <c r="P661" s="153"/>
    </row>
    <row r="662" spans="1:16" s="62" customFormat="1" x14ac:dyDescent="0.3">
      <c r="A662" s="158" t="s">
        <v>866</v>
      </c>
      <c r="B662" s="159">
        <v>1</v>
      </c>
      <c r="C662" s="159" t="s">
        <v>184</v>
      </c>
      <c r="D662" s="476">
        <v>2</v>
      </c>
      <c r="E662" s="477">
        <v>0.15</v>
      </c>
      <c r="F662" s="477">
        <v>0.15</v>
      </c>
      <c r="G662" s="477">
        <f>-0.15*0.15</f>
        <v>-2.2499999999999999E-2</v>
      </c>
      <c r="H662" s="477">
        <f t="shared" si="241"/>
        <v>0.57750000000000001</v>
      </c>
      <c r="I662" s="477"/>
      <c r="J662" s="477">
        <f t="shared" si="238"/>
        <v>4.4999999999999998E-2</v>
      </c>
      <c r="K662" s="10"/>
      <c r="L662" s="10"/>
      <c r="M662" s="10"/>
      <c r="N662" s="10"/>
      <c r="O662" s="71"/>
      <c r="P662" s="153"/>
    </row>
    <row r="663" spans="1:16" s="62" customFormat="1" x14ac:dyDescent="0.3">
      <c r="A663" s="158" t="s">
        <v>867</v>
      </c>
      <c r="B663" s="159">
        <v>1</v>
      </c>
      <c r="C663" s="159" t="s">
        <v>184</v>
      </c>
      <c r="D663" s="476">
        <v>2</v>
      </c>
      <c r="E663" s="477">
        <v>0.15</v>
      </c>
      <c r="F663" s="477">
        <v>0.15</v>
      </c>
      <c r="G663" s="477">
        <f>-0.15*0.15</f>
        <v>-2.2499999999999999E-2</v>
      </c>
      <c r="H663" s="477">
        <f t="shared" si="241"/>
        <v>0.57750000000000001</v>
      </c>
      <c r="I663" s="477"/>
      <c r="J663" s="477">
        <f t="shared" si="238"/>
        <v>4.4999999999999998E-2</v>
      </c>
      <c r="K663" s="10"/>
      <c r="L663" s="10"/>
      <c r="M663" s="10"/>
      <c r="N663" s="10"/>
      <c r="O663" s="71"/>
      <c r="P663" s="153"/>
    </row>
    <row r="664" spans="1:16" s="62" customFormat="1" x14ac:dyDescent="0.3">
      <c r="A664" s="158" t="s">
        <v>868</v>
      </c>
      <c r="B664" s="159">
        <v>1</v>
      </c>
      <c r="C664" s="159" t="s">
        <v>184</v>
      </c>
      <c r="D664" s="476">
        <v>2</v>
      </c>
      <c r="E664" s="477">
        <v>0.15</v>
      </c>
      <c r="F664" s="477">
        <v>0.15</v>
      </c>
      <c r="G664" s="477">
        <f>-0.15*0.15</f>
        <v>-2.2499999999999999E-2</v>
      </c>
      <c r="H664" s="477">
        <f t="shared" si="241"/>
        <v>0.57750000000000001</v>
      </c>
      <c r="I664" s="477"/>
      <c r="J664" s="477">
        <f t="shared" si="238"/>
        <v>4.4999999999999998E-2</v>
      </c>
      <c r="K664" s="10"/>
      <c r="L664" s="10"/>
      <c r="M664" s="10"/>
      <c r="N664" s="10"/>
      <c r="O664" s="71"/>
      <c r="P664" s="153"/>
    </row>
    <row r="665" spans="1:16" s="62" customFormat="1" x14ac:dyDescent="0.3">
      <c r="A665" s="158" t="s">
        <v>869</v>
      </c>
      <c r="B665" s="159">
        <v>1</v>
      </c>
      <c r="C665" s="159" t="s">
        <v>184</v>
      </c>
      <c r="D665" s="476">
        <v>10.95</v>
      </c>
      <c r="E665" s="477">
        <v>0.15</v>
      </c>
      <c r="F665" s="477">
        <v>0.15</v>
      </c>
      <c r="G665" s="477">
        <f>0.1*0.15*6</f>
        <v>0.09</v>
      </c>
      <c r="H665" s="477">
        <f t="shared" si="241"/>
        <v>3.3749999999999996</v>
      </c>
      <c r="I665" s="477">
        <f>0.1*0.15*0.5+0.1*0.15*0.7+0.1*0.15*0.95</f>
        <v>3.2250000000000001E-2</v>
      </c>
      <c r="J665" s="477">
        <f t="shared" si="238"/>
        <v>0.27862499999999996</v>
      </c>
      <c r="K665" s="10"/>
      <c r="L665" s="10"/>
      <c r="M665" s="10"/>
      <c r="N665" s="10"/>
      <c r="O665" s="71"/>
      <c r="P665" s="153"/>
    </row>
    <row r="666" spans="1:16" s="62" customFormat="1" ht="28.8" x14ac:dyDescent="0.3">
      <c r="A666" s="485" t="s">
        <v>853</v>
      </c>
      <c r="B666" s="159">
        <v>4</v>
      </c>
      <c r="C666" s="159" t="s">
        <v>50</v>
      </c>
      <c r="D666" s="476">
        <f>0.4</f>
        <v>0.4</v>
      </c>
      <c r="E666" s="477">
        <v>0.15</v>
      </c>
      <c r="F666" s="477">
        <v>0.15</v>
      </c>
      <c r="G666" s="477"/>
      <c r="H666" s="477">
        <f t="shared" si="237"/>
        <v>0.72</v>
      </c>
      <c r="I666" s="477"/>
      <c r="J666" s="477">
        <f t="shared" si="238"/>
        <v>3.5999999999999997E-2</v>
      </c>
      <c r="K666" s="10"/>
      <c r="L666" s="10"/>
      <c r="M666" s="10"/>
      <c r="N666" s="10"/>
      <c r="O666" s="71"/>
      <c r="P666" s="153"/>
    </row>
    <row r="667" spans="1:16" s="62" customFormat="1" x14ac:dyDescent="0.3">
      <c r="A667" s="158" t="s">
        <v>914</v>
      </c>
      <c r="B667" s="159">
        <v>1</v>
      </c>
      <c r="C667" s="159" t="s">
        <v>50</v>
      </c>
      <c r="D667" s="476">
        <v>0.95</v>
      </c>
      <c r="E667" s="477">
        <v>0.15</v>
      </c>
      <c r="F667" s="477">
        <v>0.15</v>
      </c>
      <c r="G667" s="477"/>
      <c r="H667" s="477">
        <f t="shared" si="237"/>
        <v>0.42749999999999999</v>
      </c>
      <c r="I667" s="477"/>
      <c r="J667" s="477">
        <f t="shared" si="238"/>
        <v>2.1374999999999998E-2</v>
      </c>
      <c r="K667" s="10"/>
      <c r="L667" s="10"/>
      <c r="M667" s="10"/>
      <c r="N667" s="10"/>
      <c r="O667" s="71"/>
      <c r="P667" s="153"/>
    </row>
    <row r="668" spans="1:16" s="62" customFormat="1" ht="15" thickBot="1" x14ac:dyDescent="0.35">
      <c r="A668" s="158" t="s">
        <v>915</v>
      </c>
      <c r="B668" s="159">
        <v>1</v>
      </c>
      <c r="C668" s="159" t="s">
        <v>50</v>
      </c>
      <c r="D668" s="476">
        <v>0.5</v>
      </c>
      <c r="E668" s="477">
        <v>0.15</v>
      </c>
      <c r="F668" s="477">
        <v>0.15</v>
      </c>
      <c r="G668" s="477"/>
      <c r="H668" s="477">
        <f t="shared" si="237"/>
        <v>0.22499999999999998</v>
      </c>
      <c r="I668" s="477"/>
      <c r="J668" s="477">
        <f t="shared" si="238"/>
        <v>1.125E-2</v>
      </c>
      <c r="K668" s="10"/>
      <c r="L668" s="10"/>
      <c r="M668" s="10"/>
      <c r="N668" s="10"/>
      <c r="O668" s="71"/>
      <c r="P668" s="153"/>
    </row>
    <row r="669" spans="1:16" s="62" customFormat="1" ht="15" thickBot="1" x14ac:dyDescent="0.35">
      <c r="A669" s="685" t="s">
        <v>951</v>
      </c>
      <c r="B669" s="686"/>
      <c r="C669" s="686"/>
      <c r="D669" s="686"/>
      <c r="E669" s="686"/>
      <c r="F669" s="686"/>
      <c r="G669" s="686"/>
      <c r="H669" s="686"/>
      <c r="I669" s="686"/>
      <c r="J669" s="686"/>
      <c r="K669" s="686"/>
      <c r="L669" s="686"/>
      <c r="M669" s="686"/>
      <c r="N669" s="686"/>
      <c r="O669" s="686"/>
      <c r="P669" s="705"/>
    </row>
    <row r="670" spans="1:16" s="62" customFormat="1" x14ac:dyDescent="0.3">
      <c r="A670" s="158" t="s">
        <v>952</v>
      </c>
      <c r="B670" s="159">
        <v>1</v>
      </c>
      <c r="C670" s="159" t="s">
        <v>50</v>
      </c>
      <c r="D670" s="476">
        <v>9.75</v>
      </c>
      <c r="E670" s="477">
        <v>0.2</v>
      </c>
      <c r="F670" s="477">
        <v>0.5</v>
      </c>
      <c r="G670" s="477">
        <f>-0.2*0.6*2</f>
        <v>-0.24</v>
      </c>
      <c r="H670" s="477">
        <f t="shared" si="237"/>
        <v>11.459999999999999</v>
      </c>
      <c r="I670" s="477"/>
      <c r="J670" s="477">
        <f t="shared" si="238"/>
        <v>0.97500000000000009</v>
      </c>
      <c r="K670" s="10"/>
      <c r="L670" s="10"/>
      <c r="M670" s="10"/>
      <c r="N670" s="10"/>
      <c r="O670" s="71"/>
      <c r="P670" s="153"/>
    </row>
    <row r="671" spans="1:16" s="62" customFormat="1" x14ac:dyDescent="0.3">
      <c r="A671" s="158" t="s">
        <v>953</v>
      </c>
      <c r="B671" s="159">
        <v>1</v>
      </c>
      <c r="C671" s="159" t="s">
        <v>50</v>
      </c>
      <c r="D671" s="476">
        <v>9.9499999999999993</v>
      </c>
      <c r="E671" s="477">
        <v>0.2</v>
      </c>
      <c r="F671" s="477">
        <v>0.5</v>
      </c>
      <c r="G671" s="477">
        <f>-0.2*0.6*2</f>
        <v>-0.24</v>
      </c>
      <c r="H671" s="477">
        <f t="shared" si="237"/>
        <v>11.7</v>
      </c>
      <c r="I671" s="477"/>
      <c r="J671" s="477">
        <f t="shared" si="238"/>
        <v>0.995</v>
      </c>
      <c r="K671" s="10"/>
      <c r="L671" s="10"/>
      <c r="M671" s="10"/>
      <c r="N671" s="10"/>
      <c r="O671" s="71"/>
      <c r="P671" s="153"/>
    </row>
    <row r="672" spans="1:16" s="62" customFormat="1" x14ac:dyDescent="0.3">
      <c r="A672" s="158" t="s">
        <v>954</v>
      </c>
      <c r="B672" s="159">
        <v>1</v>
      </c>
      <c r="C672" s="159" t="s">
        <v>50</v>
      </c>
      <c r="D672" s="476">
        <v>10.15</v>
      </c>
      <c r="E672" s="477">
        <v>0.2</v>
      </c>
      <c r="F672" s="477">
        <v>0.5</v>
      </c>
      <c r="G672" s="477">
        <f>-0.2*0.5*2-0.2*0.6-0.15*0.5</f>
        <v>-0.39500000000000002</v>
      </c>
      <c r="H672" s="477">
        <f t="shared" si="237"/>
        <v>11.785</v>
      </c>
      <c r="I672" s="477"/>
      <c r="J672" s="477">
        <f t="shared" si="238"/>
        <v>1.0150000000000001</v>
      </c>
      <c r="K672" s="10"/>
      <c r="L672" s="10"/>
      <c r="M672" s="10"/>
      <c r="N672" s="10"/>
      <c r="O672" s="71"/>
      <c r="P672" s="153"/>
    </row>
    <row r="673" spans="1:16" s="62" customFormat="1" x14ac:dyDescent="0.3">
      <c r="A673" s="158" t="s">
        <v>955</v>
      </c>
      <c r="B673" s="159">
        <v>1</v>
      </c>
      <c r="C673" s="159" t="s">
        <v>50</v>
      </c>
      <c r="D673" s="476">
        <v>7.98</v>
      </c>
      <c r="E673" s="477">
        <v>0.2</v>
      </c>
      <c r="F673" s="477">
        <v>0.5</v>
      </c>
      <c r="G673" s="477">
        <f>-0.15*0.4-0.2*0.4*2</f>
        <v>-0.22000000000000003</v>
      </c>
      <c r="H673" s="477">
        <f t="shared" si="237"/>
        <v>9.3559999999999999</v>
      </c>
      <c r="I673" s="477"/>
      <c r="J673" s="477">
        <f t="shared" si="238"/>
        <v>0.79800000000000004</v>
      </c>
      <c r="K673" s="10"/>
      <c r="L673" s="10"/>
      <c r="M673" s="10"/>
      <c r="N673" s="10"/>
      <c r="O673" s="71"/>
      <c r="P673" s="153"/>
    </row>
    <row r="674" spans="1:16" s="62" customFormat="1" x14ac:dyDescent="0.3">
      <c r="A674" s="158" t="s">
        <v>956</v>
      </c>
      <c r="B674" s="159">
        <v>1</v>
      </c>
      <c r="C674" s="159" t="s">
        <v>50</v>
      </c>
      <c r="D674" s="476">
        <v>3.78</v>
      </c>
      <c r="E674" s="477">
        <v>0.2</v>
      </c>
      <c r="F674" s="477">
        <v>0.5</v>
      </c>
      <c r="G674" s="477"/>
      <c r="H674" s="477">
        <f t="shared" si="237"/>
        <v>4.5359999999999996</v>
      </c>
      <c r="I674" s="477"/>
      <c r="J674" s="477">
        <f t="shared" si="238"/>
        <v>0.378</v>
      </c>
      <c r="K674" s="10"/>
      <c r="L674" s="10"/>
      <c r="M674" s="10"/>
      <c r="N674" s="10"/>
      <c r="O674" s="71"/>
      <c r="P674" s="153"/>
    </row>
    <row r="675" spans="1:16" s="62" customFormat="1" x14ac:dyDescent="0.3">
      <c r="A675" s="158" t="s">
        <v>957</v>
      </c>
      <c r="B675" s="159">
        <v>1</v>
      </c>
      <c r="C675" s="159" t="s">
        <v>50</v>
      </c>
      <c r="D675" s="476">
        <f>3.78+4.3</f>
        <v>8.08</v>
      </c>
      <c r="E675" s="477">
        <v>0.2</v>
      </c>
      <c r="F675" s="477">
        <v>0.5</v>
      </c>
      <c r="G675" s="477">
        <f>-0.2*0.25*2-0.2*0.5</f>
        <v>-0.2</v>
      </c>
      <c r="H675" s="477">
        <f t="shared" si="237"/>
        <v>9.4960000000000004</v>
      </c>
      <c r="I675" s="477"/>
      <c r="J675" s="477">
        <f t="shared" si="238"/>
        <v>0.80800000000000005</v>
      </c>
      <c r="K675" s="10"/>
      <c r="L675" s="10"/>
      <c r="M675" s="10"/>
      <c r="N675" s="10"/>
      <c r="O675" s="71"/>
      <c r="P675" s="153"/>
    </row>
    <row r="676" spans="1:16" s="62" customFormat="1" x14ac:dyDescent="0.3">
      <c r="A676" s="158" t="s">
        <v>958</v>
      </c>
      <c r="B676" s="159">
        <v>1</v>
      </c>
      <c r="C676" s="159" t="s">
        <v>50</v>
      </c>
      <c r="D676" s="476">
        <v>9.9499999999999993</v>
      </c>
      <c r="E676" s="477">
        <v>0.2</v>
      </c>
      <c r="F676" s="477">
        <v>0.5</v>
      </c>
      <c r="G676" s="477">
        <f>-0.2*0.5-0.15*0.4*3-0.2*0.4*3</f>
        <v>-0.52</v>
      </c>
      <c r="H676" s="477">
        <f t="shared" si="237"/>
        <v>11.42</v>
      </c>
      <c r="I676" s="477"/>
      <c r="J676" s="477">
        <f t="shared" si="238"/>
        <v>0.995</v>
      </c>
      <c r="K676" s="10"/>
      <c r="L676" s="10"/>
      <c r="M676" s="10"/>
      <c r="N676" s="10"/>
      <c r="O676" s="71"/>
      <c r="P676" s="153"/>
    </row>
    <row r="677" spans="1:16" s="62" customFormat="1" x14ac:dyDescent="0.3">
      <c r="A677" s="158" t="s">
        <v>959</v>
      </c>
      <c r="B677" s="159">
        <v>1</v>
      </c>
      <c r="C677" s="159" t="s">
        <v>50</v>
      </c>
      <c r="D677" s="476">
        <f>6.83+0.8+1.78</f>
        <v>9.41</v>
      </c>
      <c r="E677" s="477">
        <v>0.15</v>
      </c>
      <c r="F677" s="477">
        <v>0.4</v>
      </c>
      <c r="G677" s="477">
        <f>-0.15*0.4*3-0.15*0.4-0.2*0.4+0.05*0.4*2</f>
        <v>-0.28000000000000003</v>
      </c>
      <c r="H677" s="477">
        <f t="shared" si="237"/>
        <v>8.6595000000000013</v>
      </c>
      <c r="I677" s="477">
        <f>0.05*0.4*0.4</f>
        <v>8.0000000000000019E-3</v>
      </c>
      <c r="J677" s="477">
        <f t="shared" si="238"/>
        <v>0.5726</v>
      </c>
      <c r="K677" s="10"/>
      <c r="L677" s="10"/>
      <c r="M677" s="10"/>
      <c r="N677" s="10"/>
      <c r="O677" s="71"/>
      <c r="P677" s="153"/>
    </row>
    <row r="678" spans="1:16" s="62" customFormat="1" x14ac:dyDescent="0.3">
      <c r="A678" s="158" t="s">
        <v>960</v>
      </c>
      <c r="B678" s="159">
        <v>1</v>
      </c>
      <c r="C678" s="159" t="s">
        <v>50</v>
      </c>
      <c r="D678" s="476">
        <f>4+2.68</f>
        <v>6.68</v>
      </c>
      <c r="E678" s="477">
        <v>0.15</v>
      </c>
      <c r="F678" s="477">
        <v>0.4</v>
      </c>
      <c r="G678" s="477">
        <f>-0.15*0.4</f>
        <v>-0.06</v>
      </c>
      <c r="H678" s="477">
        <f t="shared" si="237"/>
        <v>6.2860000000000005</v>
      </c>
      <c r="I678" s="477"/>
      <c r="J678" s="477">
        <f t="shared" si="238"/>
        <v>0.40080000000000005</v>
      </c>
      <c r="K678" s="10"/>
      <c r="L678" s="10"/>
      <c r="M678" s="10"/>
      <c r="N678" s="10"/>
      <c r="O678" s="71"/>
      <c r="P678" s="153"/>
    </row>
    <row r="679" spans="1:16" s="62" customFormat="1" x14ac:dyDescent="0.3">
      <c r="A679" s="158" t="s">
        <v>961</v>
      </c>
      <c r="B679" s="159">
        <v>1</v>
      </c>
      <c r="C679" s="159" t="s">
        <v>50</v>
      </c>
      <c r="D679" s="476">
        <v>9.75</v>
      </c>
      <c r="E679" s="477">
        <v>0.15</v>
      </c>
      <c r="F679" s="477">
        <v>0.4</v>
      </c>
      <c r="G679" s="477">
        <f>-0.15*0.4*6-0.15*0.4*2</f>
        <v>-0.48</v>
      </c>
      <c r="H679" s="477">
        <f t="shared" si="237"/>
        <v>8.7825000000000006</v>
      </c>
      <c r="I679" s="477"/>
      <c r="J679" s="477">
        <f t="shared" si="238"/>
        <v>0.58499999999999996</v>
      </c>
      <c r="K679" s="10"/>
      <c r="L679" s="10"/>
      <c r="M679" s="10"/>
      <c r="N679" s="10"/>
      <c r="O679" s="71"/>
      <c r="P679" s="153"/>
    </row>
    <row r="680" spans="1:16" s="62" customFormat="1" x14ac:dyDescent="0.3">
      <c r="A680" s="158" t="s">
        <v>962</v>
      </c>
      <c r="B680" s="159">
        <v>1</v>
      </c>
      <c r="C680" s="159" t="s">
        <v>50</v>
      </c>
      <c r="D680" s="476">
        <v>9.75</v>
      </c>
      <c r="E680" s="477">
        <v>0.2</v>
      </c>
      <c r="F680" s="477">
        <v>0.5</v>
      </c>
      <c r="G680" s="477">
        <f>-0.15*0.4*3-0.2*0.6*2</f>
        <v>-0.42</v>
      </c>
      <c r="H680" s="477">
        <f t="shared" si="237"/>
        <v>11.28</v>
      </c>
      <c r="I680" s="477"/>
      <c r="J680" s="477">
        <f t="shared" si="238"/>
        <v>0.97500000000000009</v>
      </c>
      <c r="K680" s="10"/>
      <c r="L680" s="10"/>
      <c r="M680" s="10"/>
      <c r="N680" s="10"/>
      <c r="O680" s="71"/>
      <c r="P680" s="153"/>
    </row>
    <row r="681" spans="1:16" s="62" customFormat="1" x14ac:dyDescent="0.3">
      <c r="A681" s="158" t="s">
        <v>963</v>
      </c>
      <c r="B681" s="159">
        <v>1</v>
      </c>
      <c r="C681" s="159" t="s">
        <v>50</v>
      </c>
      <c r="D681" s="476">
        <v>12.19</v>
      </c>
      <c r="E681" s="477">
        <v>0.2</v>
      </c>
      <c r="F681" s="477">
        <v>0.5</v>
      </c>
      <c r="G681" s="477">
        <f>-0.15*0.4*2-0.2*0.4-0.2*0.4*4</f>
        <v>-0.52</v>
      </c>
      <c r="H681" s="477">
        <f t="shared" si="237"/>
        <v>14.108000000000001</v>
      </c>
      <c r="I681" s="477"/>
      <c r="J681" s="477">
        <f t="shared" si="238"/>
        <v>1.2190000000000001</v>
      </c>
      <c r="K681" s="10"/>
      <c r="L681" s="10"/>
      <c r="M681" s="10"/>
      <c r="N681" s="10"/>
      <c r="O681" s="71"/>
      <c r="P681" s="153"/>
    </row>
    <row r="682" spans="1:16" s="62" customFormat="1" x14ac:dyDescent="0.3">
      <c r="A682" s="158" t="s">
        <v>964</v>
      </c>
      <c r="B682" s="159">
        <v>1</v>
      </c>
      <c r="C682" s="159" t="s">
        <v>50</v>
      </c>
      <c r="D682" s="476">
        <v>1.83</v>
      </c>
      <c r="E682" s="477">
        <v>0.15</v>
      </c>
      <c r="F682" s="477">
        <v>0.4</v>
      </c>
      <c r="G682" s="477"/>
      <c r="H682" s="477">
        <f t="shared" si="237"/>
        <v>1.7385000000000002</v>
      </c>
      <c r="I682" s="477"/>
      <c r="J682" s="477">
        <f t="shared" si="238"/>
        <v>0.10980000000000001</v>
      </c>
      <c r="K682" s="10"/>
      <c r="L682" s="10"/>
      <c r="M682" s="10"/>
      <c r="N682" s="10"/>
      <c r="O682" s="71"/>
      <c r="P682" s="153"/>
    </row>
    <row r="683" spans="1:16" s="62" customFormat="1" x14ac:dyDescent="0.3">
      <c r="A683" s="158" t="s">
        <v>965</v>
      </c>
      <c r="B683" s="159">
        <v>1</v>
      </c>
      <c r="C683" s="159" t="s">
        <v>50</v>
      </c>
      <c r="D683" s="476">
        <v>5.34</v>
      </c>
      <c r="E683" s="477">
        <v>0.15</v>
      </c>
      <c r="F683" s="477">
        <v>0.4</v>
      </c>
      <c r="G683" s="477">
        <f>-0.15*0.4*2+0.05*0.4*2</f>
        <v>-7.9999999999999988E-2</v>
      </c>
      <c r="H683" s="477">
        <f t="shared" si="237"/>
        <v>4.9930000000000003</v>
      </c>
      <c r="I683" s="477">
        <f>0.05*0.4*0.4</f>
        <v>8.0000000000000019E-3</v>
      </c>
      <c r="J683" s="477">
        <f t="shared" si="238"/>
        <v>0.32840000000000003</v>
      </c>
      <c r="K683" s="10"/>
      <c r="L683" s="10"/>
      <c r="M683" s="10"/>
      <c r="N683" s="10"/>
      <c r="O683" s="71"/>
      <c r="P683" s="153"/>
    </row>
    <row r="684" spans="1:16" s="62" customFormat="1" x14ac:dyDescent="0.3">
      <c r="A684" s="158" t="s">
        <v>966</v>
      </c>
      <c r="B684" s="159">
        <v>1</v>
      </c>
      <c r="C684" s="159" t="s">
        <v>50</v>
      </c>
      <c r="D684" s="476">
        <v>4.63</v>
      </c>
      <c r="E684" s="477">
        <v>0.15</v>
      </c>
      <c r="F684" s="477">
        <v>0.4</v>
      </c>
      <c r="G684" s="477">
        <f>-0.15*0.4*2-0.15*0.4</f>
        <v>-0.18</v>
      </c>
      <c r="H684" s="477">
        <f t="shared" si="237"/>
        <v>4.2185000000000006</v>
      </c>
      <c r="I684" s="477"/>
      <c r="J684" s="477">
        <f t="shared" si="238"/>
        <v>0.27779999999999999</v>
      </c>
      <c r="K684" s="10"/>
      <c r="L684" s="10"/>
      <c r="M684" s="10"/>
      <c r="N684" s="10"/>
      <c r="O684" s="71"/>
      <c r="P684" s="153"/>
    </row>
    <row r="685" spans="1:16" s="62" customFormat="1" x14ac:dyDescent="0.3">
      <c r="A685" s="158" t="s">
        <v>967</v>
      </c>
      <c r="B685" s="159">
        <v>1</v>
      </c>
      <c r="C685" s="159" t="s">
        <v>50</v>
      </c>
      <c r="D685" s="476">
        <f>1.83+2</f>
        <v>3.83</v>
      </c>
      <c r="E685" s="477">
        <v>0.15</v>
      </c>
      <c r="F685" s="477">
        <v>0.4</v>
      </c>
      <c r="G685" s="477">
        <f>-0.15*0.4-0.15*0.4</f>
        <v>-0.12</v>
      </c>
      <c r="H685" s="477">
        <f t="shared" si="237"/>
        <v>3.5185</v>
      </c>
      <c r="I685" s="477"/>
      <c r="J685" s="477">
        <f t="shared" si="238"/>
        <v>0.2298</v>
      </c>
      <c r="K685" s="10"/>
      <c r="L685" s="10"/>
      <c r="M685" s="10"/>
      <c r="N685" s="10"/>
      <c r="O685" s="71"/>
      <c r="P685" s="153"/>
    </row>
    <row r="686" spans="1:16" s="62" customFormat="1" x14ac:dyDescent="0.3">
      <c r="A686" s="158" t="s">
        <v>968</v>
      </c>
      <c r="B686" s="159">
        <v>1</v>
      </c>
      <c r="C686" s="159" t="s">
        <v>50</v>
      </c>
      <c r="D686" s="476">
        <v>5.19</v>
      </c>
      <c r="E686" s="477">
        <v>0.15</v>
      </c>
      <c r="F686" s="477">
        <v>0.4</v>
      </c>
      <c r="G686" s="477"/>
      <c r="H686" s="477">
        <f t="shared" si="237"/>
        <v>4.9305000000000003</v>
      </c>
      <c r="I686" s="477"/>
      <c r="J686" s="477">
        <f t="shared" si="238"/>
        <v>0.31140000000000007</v>
      </c>
      <c r="K686" s="10"/>
      <c r="L686" s="10"/>
      <c r="M686" s="10"/>
      <c r="N686" s="10"/>
      <c r="O686" s="71"/>
      <c r="P686" s="153"/>
    </row>
    <row r="687" spans="1:16" s="62" customFormat="1" x14ac:dyDescent="0.3">
      <c r="A687" s="158" t="s">
        <v>969</v>
      </c>
      <c r="B687" s="159">
        <v>1</v>
      </c>
      <c r="C687" s="159" t="s">
        <v>50</v>
      </c>
      <c r="D687" s="476">
        <f>2.48+1.85+1.83</f>
        <v>6.16</v>
      </c>
      <c r="E687" s="477">
        <v>0.15</v>
      </c>
      <c r="F687" s="477">
        <v>0.4</v>
      </c>
      <c r="G687" s="477"/>
      <c r="H687" s="477">
        <f t="shared" si="237"/>
        <v>5.8520000000000003</v>
      </c>
      <c r="I687" s="477"/>
      <c r="J687" s="477">
        <f t="shared" si="238"/>
        <v>0.36959999999999998</v>
      </c>
      <c r="K687" s="10"/>
      <c r="L687" s="10"/>
      <c r="M687" s="10"/>
      <c r="N687" s="10"/>
      <c r="O687" s="71"/>
      <c r="P687" s="153"/>
    </row>
    <row r="688" spans="1:16" s="62" customFormat="1" x14ac:dyDescent="0.3">
      <c r="A688" s="158" t="s">
        <v>970</v>
      </c>
      <c r="B688" s="159">
        <v>1</v>
      </c>
      <c r="C688" s="159" t="s">
        <v>50</v>
      </c>
      <c r="D688" s="476">
        <v>5.19</v>
      </c>
      <c r="E688" s="477">
        <v>0.15</v>
      </c>
      <c r="F688" s="477">
        <v>0.4</v>
      </c>
      <c r="G688" s="477"/>
      <c r="H688" s="477">
        <f t="shared" si="237"/>
        <v>4.9305000000000003</v>
      </c>
      <c r="I688" s="477"/>
      <c r="J688" s="477">
        <f t="shared" si="238"/>
        <v>0.31140000000000007</v>
      </c>
      <c r="K688" s="10"/>
      <c r="L688" s="10"/>
      <c r="M688" s="10"/>
      <c r="N688" s="10"/>
      <c r="O688" s="71"/>
      <c r="P688" s="153"/>
    </row>
    <row r="689" spans="1:16" s="62" customFormat="1" x14ac:dyDescent="0.3">
      <c r="A689" s="158" t="s">
        <v>971</v>
      </c>
      <c r="B689" s="159">
        <v>1</v>
      </c>
      <c r="C689" s="159" t="s">
        <v>50</v>
      </c>
      <c r="D689" s="476">
        <v>12.19</v>
      </c>
      <c r="E689" s="477">
        <v>0.2</v>
      </c>
      <c r="F689" s="477">
        <v>0.5</v>
      </c>
      <c r="G689" s="477">
        <f>-0.15*0.4*3-0.2*0.4*4-0.2*0.5</f>
        <v>-0.6</v>
      </c>
      <c r="H689" s="477">
        <f t="shared" si="237"/>
        <v>14.028</v>
      </c>
      <c r="I689" s="477"/>
      <c r="J689" s="477">
        <f t="shared" si="238"/>
        <v>1.2190000000000001</v>
      </c>
      <c r="K689" s="10"/>
      <c r="L689" s="10"/>
      <c r="M689" s="10"/>
      <c r="N689" s="10"/>
      <c r="O689" s="71"/>
      <c r="P689" s="153"/>
    </row>
    <row r="690" spans="1:16" s="62" customFormat="1" x14ac:dyDescent="0.3">
      <c r="A690" s="158" t="s">
        <v>972</v>
      </c>
      <c r="B690" s="159">
        <v>1</v>
      </c>
      <c r="C690" s="159" t="s">
        <v>184</v>
      </c>
      <c r="D690" s="476">
        <f>9.75+0.83</f>
        <v>10.58</v>
      </c>
      <c r="E690" s="477">
        <v>0.15</v>
      </c>
      <c r="F690" s="477">
        <v>0.15</v>
      </c>
      <c r="G690" s="477">
        <f>0.05*0.15*4+0.15*0.15</f>
        <v>5.2499999999999998E-2</v>
      </c>
      <c r="H690" s="477">
        <f>(((2*D690*F690))*B690)+G690</f>
        <v>3.2265000000000001</v>
      </c>
      <c r="I690" s="477">
        <f>0.05*0.15*0.6*2</f>
        <v>8.9999999999999993E-3</v>
      </c>
      <c r="J690" s="477">
        <f t="shared" si="238"/>
        <v>0.24704999999999999</v>
      </c>
      <c r="K690" s="10"/>
      <c r="L690" s="10"/>
      <c r="M690" s="10"/>
      <c r="N690" s="10"/>
      <c r="O690" s="71"/>
      <c r="P690" s="153"/>
    </row>
    <row r="691" spans="1:16" s="62" customFormat="1" x14ac:dyDescent="0.3">
      <c r="A691" s="158" t="s">
        <v>973</v>
      </c>
      <c r="B691" s="159">
        <v>1</v>
      </c>
      <c r="C691" s="159" t="s">
        <v>184</v>
      </c>
      <c r="D691" s="476">
        <v>10.15</v>
      </c>
      <c r="E691" s="477">
        <v>0.15</v>
      </c>
      <c r="F691" s="477">
        <v>0.15</v>
      </c>
      <c r="G691" s="477">
        <f>-0.15*0.15</f>
        <v>-2.2499999999999999E-2</v>
      </c>
      <c r="H691" s="477">
        <f t="shared" ref="H691:H696" si="244">(((2*D691*F691))*B691)+G691</f>
        <v>3.0225</v>
      </c>
      <c r="I691" s="477">
        <f>0.05*0.15*0.5*2+0.05*0.15*0.6</f>
        <v>1.2E-2</v>
      </c>
      <c r="J691" s="477">
        <f t="shared" ref="J691:J706" si="245">(D691*E691*F691)*B691+I691</f>
        <v>0.24037500000000001</v>
      </c>
      <c r="K691" s="10"/>
      <c r="L691" s="10"/>
      <c r="M691" s="10"/>
      <c r="N691" s="10"/>
      <c r="O691" s="71"/>
      <c r="P691" s="153"/>
    </row>
    <row r="692" spans="1:16" s="62" customFormat="1" x14ac:dyDescent="0.3">
      <c r="A692" s="158" t="s">
        <v>974</v>
      </c>
      <c r="B692" s="159">
        <v>1</v>
      </c>
      <c r="C692" s="159" t="s">
        <v>184</v>
      </c>
      <c r="D692" s="476">
        <v>7.98</v>
      </c>
      <c r="E692" s="477">
        <v>0.15</v>
      </c>
      <c r="F692" s="477">
        <v>0.15</v>
      </c>
      <c r="G692" s="477">
        <f>-0.15*0.15+0.05*0.15*4</f>
        <v>7.4999999999999997E-3</v>
      </c>
      <c r="H692" s="477">
        <f t="shared" si="244"/>
        <v>2.4015</v>
      </c>
      <c r="I692" s="477">
        <f>0.05*0.15*0.4*2</f>
        <v>6.0000000000000001E-3</v>
      </c>
      <c r="J692" s="477">
        <f t="shared" si="245"/>
        <v>0.18555000000000002</v>
      </c>
      <c r="K692" s="10"/>
      <c r="L692" s="10"/>
      <c r="M692" s="10"/>
      <c r="N692" s="10"/>
      <c r="O692" s="71"/>
      <c r="P692" s="153"/>
    </row>
    <row r="693" spans="1:16" s="62" customFormat="1" x14ac:dyDescent="0.3">
      <c r="A693" s="158" t="s">
        <v>975</v>
      </c>
      <c r="B693" s="159">
        <v>1</v>
      </c>
      <c r="C693" s="159" t="s">
        <v>184</v>
      </c>
      <c r="D693" s="476">
        <f>8.28+0.83</f>
        <v>9.11</v>
      </c>
      <c r="E693" s="477">
        <v>0.15</v>
      </c>
      <c r="F693" s="477">
        <v>0.15</v>
      </c>
      <c r="G693" s="477">
        <f>0.15*0.15+0.05*0.15*6</f>
        <v>6.7500000000000004E-2</v>
      </c>
      <c r="H693" s="477">
        <f t="shared" si="244"/>
        <v>2.8004999999999995</v>
      </c>
      <c r="I693" s="477">
        <f>0.05*0.15*0.25*2+0.05*0.15*0.5</f>
        <v>7.4999999999999997E-3</v>
      </c>
      <c r="J693" s="477">
        <f t="shared" si="245"/>
        <v>0.21247499999999997</v>
      </c>
      <c r="K693" s="10"/>
      <c r="L693" s="10"/>
      <c r="M693" s="10"/>
      <c r="N693" s="10"/>
      <c r="O693" s="71"/>
      <c r="P693" s="153"/>
    </row>
    <row r="694" spans="1:16" s="62" customFormat="1" x14ac:dyDescent="0.3">
      <c r="A694" s="158" t="s">
        <v>976</v>
      </c>
      <c r="B694" s="159">
        <v>1</v>
      </c>
      <c r="C694" s="159" t="s">
        <v>184</v>
      </c>
      <c r="D694" s="476">
        <v>9.9499999999999993</v>
      </c>
      <c r="E694" s="477">
        <v>0.15</v>
      </c>
      <c r="F694" s="477">
        <v>0.15</v>
      </c>
      <c r="G694" s="477">
        <f>0.05*0.15*6</f>
        <v>4.4999999999999998E-2</v>
      </c>
      <c r="H694" s="477">
        <f t="shared" si="244"/>
        <v>3.03</v>
      </c>
      <c r="I694" s="477">
        <f>0.05*0.15*0.4*3</f>
        <v>9.0000000000000011E-3</v>
      </c>
      <c r="J694" s="477">
        <f t="shared" si="245"/>
        <v>0.232875</v>
      </c>
      <c r="K694" s="10"/>
      <c r="L694" s="10"/>
      <c r="M694" s="10"/>
      <c r="N694" s="10"/>
      <c r="O694" s="71"/>
      <c r="P694" s="153"/>
    </row>
    <row r="695" spans="1:16" s="62" customFormat="1" x14ac:dyDescent="0.3">
      <c r="A695" s="158" t="s">
        <v>977</v>
      </c>
      <c r="B695" s="159">
        <v>1</v>
      </c>
      <c r="C695" s="159" t="s">
        <v>184</v>
      </c>
      <c r="D695" s="476">
        <v>12.24</v>
      </c>
      <c r="E695" s="477">
        <v>0.15</v>
      </c>
      <c r="F695" s="477">
        <v>0.15</v>
      </c>
      <c r="G695" s="477">
        <f>0.05*0.15*8</f>
        <v>0.06</v>
      </c>
      <c r="H695" s="477">
        <f t="shared" si="244"/>
        <v>3.7319999999999998</v>
      </c>
      <c r="I695" s="477">
        <f>0.05*0.15*0.4*4</f>
        <v>1.2E-2</v>
      </c>
      <c r="J695" s="477">
        <f t="shared" si="245"/>
        <v>0.28739999999999999</v>
      </c>
      <c r="K695" s="10"/>
      <c r="L695" s="10"/>
      <c r="M695" s="10"/>
      <c r="N695" s="10"/>
      <c r="O695" s="71"/>
      <c r="P695" s="153"/>
    </row>
    <row r="696" spans="1:16" s="62" customFormat="1" ht="15" thickBot="1" x14ac:dyDescent="0.35">
      <c r="A696" s="158" t="s">
        <v>978</v>
      </c>
      <c r="B696" s="159">
        <v>1</v>
      </c>
      <c r="C696" s="159" t="s">
        <v>184</v>
      </c>
      <c r="D696" s="476">
        <v>12.19</v>
      </c>
      <c r="E696" s="477">
        <v>0.15</v>
      </c>
      <c r="F696" s="477">
        <v>0.15</v>
      </c>
      <c r="G696" s="477">
        <f>0.05*0.15*10</f>
        <v>7.4999999999999997E-2</v>
      </c>
      <c r="H696" s="477">
        <f t="shared" si="244"/>
        <v>3.7319999999999998</v>
      </c>
      <c r="I696" s="477">
        <f>0.05*0.15*0.4*4+0.05*0.15*0.5</f>
        <v>1.575E-2</v>
      </c>
      <c r="J696" s="477">
        <f t="shared" si="245"/>
        <v>0.29002499999999992</v>
      </c>
      <c r="K696" s="10"/>
      <c r="L696" s="10"/>
      <c r="M696" s="10"/>
      <c r="N696" s="10"/>
      <c r="O696" s="71"/>
      <c r="P696" s="153"/>
    </row>
    <row r="697" spans="1:16" s="62" customFormat="1" ht="15" thickBot="1" x14ac:dyDescent="0.35">
      <c r="A697" s="685" t="s">
        <v>1008</v>
      </c>
      <c r="B697" s="686"/>
      <c r="C697" s="686"/>
      <c r="D697" s="686"/>
      <c r="E697" s="686"/>
      <c r="F697" s="686"/>
      <c r="G697" s="686"/>
      <c r="H697" s="686"/>
      <c r="I697" s="686"/>
      <c r="J697" s="686"/>
      <c r="K697" s="686"/>
      <c r="L697" s="686"/>
      <c r="M697" s="686"/>
      <c r="N697" s="686"/>
      <c r="O697" s="686"/>
      <c r="P697" s="705"/>
    </row>
    <row r="698" spans="1:16" s="62" customFormat="1" x14ac:dyDescent="0.3">
      <c r="A698" s="158" t="s">
        <v>1014</v>
      </c>
      <c r="B698" s="159">
        <v>1</v>
      </c>
      <c r="C698" s="159" t="s">
        <v>50</v>
      </c>
      <c r="D698" s="476">
        <v>4.1500000000000004</v>
      </c>
      <c r="E698" s="477">
        <v>0.15</v>
      </c>
      <c r="F698" s="477">
        <v>0.5</v>
      </c>
      <c r="G698" s="477">
        <f>0.15*0.5*2-0.2*0.5*2</f>
        <v>-5.0000000000000017E-2</v>
      </c>
      <c r="H698" s="477">
        <f t="shared" ref="H698:H706" si="246">(((2*D698*F698+D698*E698))*B698)+G698</f>
        <v>4.722500000000001</v>
      </c>
      <c r="I698" s="477"/>
      <c r="J698" s="477">
        <f t="shared" si="245"/>
        <v>0.31125000000000003</v>
      </c>
      <c r="K698" s="10"/>
      <c r="L698" s="10"/>
      <c r="M698" s="10"/>
      <c r="N698" s="10"/>
      <c r="O698" s="71"/>
      <c r="P698" s="153"/>
    </row>
    <row r="699" spans="1:16" s="62" customFormat="1" x14ac:dyDescent="0.3">
      <c r="A699" s="158" t="s">
        <v>1015</v>
      </c>
      <c r="B699" s="159">
        <v>1</v>
      </c>
      <c r="C699" s="159" t="s">
        <v>50</v>
      </c>
      <c r="D699" s="476">
        <v>4.1500000000000004</v>
      </c>
      <c r="E699" s="477">
        <v>0.15</v>
      </c>
      <c r="F699" s="477">
        <v>0.5</v>
      </c>
      <c r="G699" s="477">
        <f>0.15*0.5*2-0.2*0.5*4</f>
        <v>-0.25</v>
      </c>
      <c r="H699" s="477">
        <f t="shared" si="246"/>
        <v>4.5225000000000009</v>
      </c>
      <c r="I699" s="477"/>
      <c r="J699" s="477">
        <f t="shared" si="245"/>
        <v>0.31125000000000003</v>
      </c>
      <c r="K699" s="10"/>
      <c r="L699" s="10"/>
      <c r="M699" s="10"/>
      <c r="N699" s="10"/>
      <c r="O699" s="71"/>
      <c r="P699" s="153"/>
    </row>
    <row r="700" spans="1:16" s="62" customFormat="1" x14ac:dyDescent="0.3">
      <c r="A700" s="158" t="s">
        <v>1016</v>
      </c>
      <c r="B700" s="159">
        <v>1</v>
      </c>
      <c r="C700" s="159" t="s">
        <v>50</v>
      </c>
      <c r="D700" s="476">
        <v>4.1500000000000004</v>
      </c>
      <c r="E700" s="477">
        <v>0.15</v>
      </c>
      <c r="F700" s="477">
        <v>0.5</v>
      </c>
      <c r="G700" s="477">
        <f>0.15*0.5*2-0.2*0.5*2</f>
        <v>-5.0000000000000017E-2</v>
      </c>
      <c r="H700" s="477">
        <f t="shared" si="246"/>
        <v>4.722500000000001</v>
      </c>
      <c r="I700" s="477"/>
      <c r="J700" s="477">
        <f t="shared" si="245"/>
        <v>0.31125000000000003</v>
      </c>
      <c r="K700" s="10"/>
      <c r="L700" s="10"/>
      <c r="M700" s="10"/>
      <c r="N700" s="10"/>
      <c r="O700" s="71"/>
      <c r="P700" s="153"/>
    </row>
    <row r="701" spans="1:16" s="62" customFormat="1" x14ac:dyDescent="0.3">
      <c r="A701" s="158" t="s">
        <v>1017</v>
      </c>
      <c r="B701" s="159">
        <v>1</v>
      </c>
      <c r="C701" s="159" t="s">
        <v>50</v>
      </c>
      <c r="D701" s="476">
        <f>0.65+0.65</f>
        <v>1.3</v>
      </c>
      <c r="E701" s="477">
        <v>0.2</v>
      </c>
      <c r="F701" s="477">
        <v>0.5</v>
      </c>
      <c r="G701" s="477"/>
      <c r="H701" s="477">
        <f t="shared" si="246"/>
        <v>1.56</v>
      </c>
      <c r="I701" s="477"/>
      <c r="J701" s="477">
        <f t="shared" si="245"/>
        <v>0.13</v>
      </c>
      <c r="K701" s="10"/>
      <c r="L701" s="10"/>
      <c r="M701" s="10"/>
      <c r="N701" s="10"/>
      <c r="O701" s="71"/>
      <c r="P701" s="153"/>
    </row>
    <row r="702" spans="1:16" s="62" customFormat="1" ht="15" thickBot="1" x14ac:dyDescent="0.35">
      <c r="A702" s="158" t="s">
        <v>1018</v>
      </c>
      <c r="B702" s="159">
        <v>1</v>
      </c>
      <c r="C702" s="159" t="s">
        <v>50</v>
      </c>
      <c r="D702" s="476">
        <f>0.65+0.65</f>
        <v>1.3</v>
      </c>
      <c r="E702" s="477">
        <v>0.2</v>
      </c>
      <c r="F702" s="477">
        <v>0.5</v>
      </c>
      <c r="G702" s="477"/>
      <c r="H702" s="477">
        <f t="shared" si="246"/>
        <v>1.56</v>
      </c>
      <c r="I702" s="477"/>
      <c r="J702" s="477">
        <f t="shared" si="245"/>
        <v>0.13</v>
      </c>
      <c r="K702" s="10"/>
      <c r="L702" s="10"/>
      <c r="M702" s="10"/>
      <c r="N702" s="10"/>
      <c r="O702" s="71"/>
      <c r="P702" s="153"/>
    </row>
    <row r="703" spans="1:16" s="62" customFormat="1" ht="15" thickBot="1" x14ac:dyDescent="0.35">
      <c r="A703" s="685" t="s">
        <v>1845</v>
      </c>
      <c r="B703" s="686"/>
      <c r="C703" s="686"/>
      <c r="D703" s="686"/>
      <c r="E703" s="686"/>
      <c r="F703" s="686"/>
      <c r="G703" s="686"/>
      <c r="H703" s="686"/>
      <c r="I703" s="686"/>
      <c r="J703" s="686"/>
      <c r="K703" s="686"/>
      <c r="L703" s="686"/>
      <c r="M703" s="686"/>
      <c r="N703" s="686"/>
      <c r="O703" s="686"/>
      <c r="P703" s="705"/>
    </row>
    <row r="704" spans="1:16" s="62" customFormat="1" x14ac:dyDescent="0.3">
      <c r="A704" s="158" t="s">
        <v>1943</v>
      </c>
      <c r="B704" s="159">
        <v>1</v>
      </c>
      <c r="C704" s="159" t="s">
        <v>50</v>
      </c>
      <c r="D704" s="476">
        <f>3.75+3.85+3.75</f>
        <v>11.35</v>
      </c>
      <c r="E704" s="477">
        <v>0.25</v>
      </c>
      <c r="F704" s="477">
        <v>0.5</v>
      </c>
      <c r="G704" s="477"/>
      <c r="H704" s="477">
        <f t="shared" si="246"/>
        <v>14.1875</v>
      </c>
      <c r="I704" s="477"/>
      <c r="J704" s="477">
        <f t="shared" si="245"/>
        <v>1.41875</v>
      </c>
      <c r="K704" s="10"/>
      <c r="L704" s="10"/>
      <c r="M704" s="10"/>
      <c r="N704" s="10"/>
      <c r="O704" s="71"/>
      <c r="P704" s="153"/>
    </row>
    <row r="705" spans="1:16" s="62" customFormat="1" x14ac:dyDescent="0.3">
      <c r="A705" s="158" t="s">
        <v>1944</v>
      </c>
      <c r="B705" s="159">
        <v>1</v>
      </c>
      <c r="C705" s="159" t="s">
        <v>50</v>
      </c>
      <c r="D705" s="476">
        <v>4.93</v>
      </c>
      <c r="E705" s="477">
        <v>0.2</v>
      </c>
      <c r="F705" s="477">
        <v>0.5</v>
      </c>
      <c r="G705" s="477">
        <f>0.05*0.5*4</f>
        <v>0.1</v>
      </c>
      <c r="H705" s="477">
        <f t="shared" si="246"/>
        <v>6.0159999999999991</v>
      </c>
      <c r="I705" s="477">
        <f>0.05*0.5*0.5*2</f>
        <v>2.5000000000000001E-2</v>
      </c>
      <c r="J705" s="477">
        <f t="shared" si="245"/>
        <v>0.51800000000000002</v>
      </c>
      <c r="K705" s="10"/>
      <c r="L705" s="10"/>
      <c r="M705" s="10"/>
      <c r="N705" s="10"/>
      <c r="O705" s="71"/>
      <c r="P705" s="153"/>
    </row>
    <row r="706" spans="1:16" s="62" customFormat="1" x14ac:dyDescent="0.3">
      <c r="A706" s="158" t="s">
        <v>1945</v>
      </c>
      <c r="B706" s="159">
        <v>1</v>
      </c>
      <c r="C706" s="159" t="s">
        <v>50</v>
      </c>
      <c r="D706" s="476">
        <v>3.75</v>
      </c>
      <c r="E706" s="477">
        <v>0.15</v>
      </c>
      <c r="F706" s="477">
        <v>0.4</v>
      </c>
      <c r="G706" s="477"/>
      <c r="H706" s="477">
        <f t="shared" si="246"/>
        <v>3.5625</v>
      </c>
      <c r="I706" s="477"/>
      <c r="J706" s="477">
        <f t="shared" si="245"/>
        <v>0.22500000000000001</v>
      </c>
      <c r="K706" s="10"/>
      <c r="L706" s="10"/>
      <c r="M706" s="10"/>
      <c r="N706" s="10"/>
      <c r="O706" s="71"/>
      <c r="P706" s="153"/>
    </row>
    <row r="707" spans="1:16" s="62" customFormat="1" x14ac:dyDescent="0.3">
      <c r="A707" s="158" t="s">
        <v>1946</v>
      </c>
      <c r="B707" s="159">
        <v>1</v>
      </c>
      <c r="C707" s="159" t="s">
        <v>50</v>
      </c>
      <c r="D707" s="476">
        <v>3.75</v>
      </c>
      <c r="E707" s="477">
        <v>0.15</v>
      </c>
      <c r="F707" s="477">
        <v>0.4</v>
      </c>
      <c r="G707" s="477">
        <f>-0.15*0.4</f>
        <v>-0.06</v>
      </c>
      <c r="H707" s="477">
        <f t="shared" ref="H707:H720" si="247">(((2*D707*F707+D707*E707))*B707)+G707</f>
        <v>3.5024999999999999</v>
      </c>
      <c r="I707" s="477"/>
      <c r="J707" s="477">
        <f t="shared" ref="J707:J720" si="248">(D707*E707*F707)*B707+I707</f>
        <v>0.22500000000000001</v>
      </c>
      <c r="K707" s="10"/>
      <c r="L707" s="10"/>
      <c r="M707" s="10"/>
      <c r="N707" s="10"/>
      <c r="O707" s="71"/>
      <c r="P707" s="153"/>
    </row>
    <row r="708" spans="1:16" s="62" customFormat="1" x14ac:dyDescent="0.3">
      <c r="A708" s="158" t="s">
        <v>1947</v>
      </c>
      <c r="B708" s="159">
        <v>1</v>
      </c>
      <c r="C708" s="159" t="s">
        <v>50</v>
      </c>
      <c r="D708" s="476">
        <v>1.85</v>
      </c>
      <c r="E708" s="477">
        <v>0.15</v>
      </c>
      <c r="F708" s="477">
        <v>0.4</v>
      </c>
      <c r="G708" s="477"/>
      <c r="H708" s="477">
        <f t="shared" si="247"/>
        <v>1.7575000000000003</v>
      </c>
      <c r="I708" s="477"/>
      <c r="J708" s="477">
        <f t="shared" si="248"/>
        <v>0.11100000000000002</v>
      </c>
      <c r="K708" s="10"/>
      <c r="L708" s="10"/>
      <c r="M708" s="10"/>
      <c r="N708" s="10"/>
      <c r="O708" s="71"/>
      <c r="P708" s="153"/>
    </row>
    <row r="709" spans="1:16" s="62" customFormat="1" x14ac:dyDescent="0.3">
      <c r="A709" s="158" t="s">
        <v>1948</v>
      </c>
      <c r="B709" s="159">
        <v>1</v>
      </c>
      <c r="C709" s="159" t="s">
        <v>50</v>
      </c>
      <c r="D709" s="476">
        <v>3.75</v>
      </c>
      <c r="E709" s="477">
        <v>0.15</v>
      </c>
      <c r="F709" s="477">
        <v>0.4</v>
      </c>
      <c r="G709" s="477"/>
      <c r="H709" s="477">
        <f t="shared" si="247"/>
        <v>3.5625</v>
      </c>
      <c r="I709" s="477"/>
      <c r="J709" s="477">
        <f t="shared" si="248"/>
        <v>0.22500000000000001</v>
      </c>
      <c r="K709" s="10"/>
      <c r="L709" s="10"/>
      <c r="M709" s="10"/>
      <c r="N709" s="10"/>
      <c r="O709" s="71"/>
      <c r="P709" s="153"/>
    </row>
    <row r="710" spans="1:16" s="62" customFormat="1" x14ac:dyDescent="0.3">
      <c r="A710" s="158" t="s">
        <v>1949</v>
      </c>
      <c r="B710" s="159">
        <v>1</v>
      </c>
      <c r="C710" s="159" t="s">
        <v>50</v>
      </c>
      <c r="D710" s="476">
        <v>4</v>
      </c>
      <c r="E710" s="477">
        <v>0.15</v>
      </c>
      <c r="F710" s="477">
        <v>0.4</v>
      </c>
      <c r="G710" s="477">
        <f>-0.15*0.4-0.2*0.5*2</f>
        <v>-0.26</v>
      </c>
      <c r="H710" s="477">
        <f t="shared" si="247"/>
        <v>3.54</v>
      </c>
      <c r="I710" s="477"/>
      <c r="J710" s="477">
        <f t="shared" si="248"/>
        <v>0.24</v>
      </c>
      <c r="K710" s="10"/>
      <c r="L710" s="10"/>
      <c r="M710" s="10"/>
      <c r="N710" s="10"/>
      <c r="O710" s="71"/>
      <c r="P710" s="153"/>
    </row>
    <row r="711" spans="1:16" s="62" customFormat="1" x14ac:dyDescent="0.3">
      <c r="A711" s="158" t="s">
        <v>1950</v>
      </c>
      <c r="B711" s="159">
        <v>1</v>
      </c>
      <c r="C711" s="159" t="s">
        <v>50</v>
      </c>
      <c r="D711" s="476">
        <v>1.85</v>
      </c>
      <c r="E711" s="477">
        <v>0.15</v>
      </c>
      <c r="F711" s="477">
        <v>0.4</v>
      </c>
      <c r="G711" s="477"/>
      <c r="H711" s="477">
        <f t="shared" si="247"/>
        <v>1.7575000000000003</v>
      </c>
      <c r="I711" s="477"/>
      <c r="J711" s="477">
        <f t="shared" si="248"/>
        <v>0.11100000000000002</v>
      </c>
      <c r="K711" s="10"/>
      <c r="L711" s="10"/>
      <c r="M711" s="10"/>
      <c r="N711" s="10"/>
      <c r="O711" s="71"/>
      <c r="P711" s="153"/>
    </row>
    <row r="712" spans="1:16" s="62" customFormat="1" x14ac:dyDescent="0.3">
      <c r="A712" s="158" t="s">
        <v>1951</v>
      </c>
      <c r="B712" s="159">
        <v>1</v>
      </c>
      <c r="C712" s="159" t="s">
        <v>50</v>
      </c>
      <c r="D712" s="476">
        <v>4.03</v>
      </c>
      <c r="E712" s="477">
        <v>0.15</v>
      </c>
      <c r="F712" s="477">
        <v>0.5</v>
      </c>
      <c r="G712" s="477">
        <f>-0.15*0.5</f>
        <v>-7.4999999999999997E-2</v>
      </c>
      <c r="H712" s="477">
        <f t="shared" si="247"/>
        <v>4.5594999999999999</v>
      </c>
      <c r="I712" s="477"/>
      <c r="J712" s="477">
        <f t="shared" si="248"/>
        <v>0.30225000000000002</v>
      </c>
      <c r="K712" s="10"/>
      <c r="L712" s="10"/>
      <c r="M712" s="10"/>
      <c r="N712" s="10"/>
      <c r="O712" s="71"/>
      <c r="P712" s="153"/>
    </row>
    <row r="713" spans="1:16" s="62" customFormat="1" x14ac:dyDescent="0.3">
      <c r="A713" s="158" t="s">
        <v>1952</v>
      </c>
      <c r="B713" s="159">
        <v>1</v>
      </c>
      <c r="C713" s="159" t="s">
        <v>50</v>
      </c>
      <c r="D713" s="476">
        <v>11.75</v>
      </c>
      <c r="E713" s="477">
        <v>0.2</v>
      </c>
      <c r="F713" s="477">
        <v>0.5</v>
      </c>
      <c r="G713" s="477">
        <f>-0.2*0.5*2-0.15*0.5*3</f>
        <v>-0.42499999999999999</v>
      </c>
      <c r="H713" s="477">
        <f t="shared" si="247"/>
        <v>13.674999999999999</v>
      </c>
      <c r="I713" s="477"/>
      <c r="J713" s="477">
        <f t="shared" si="248"/>
        <v>1.175</v>
      </c>
      <c r="K713" s="10"/>
      <c r="L713" s="10"/>
      <c r="M713" s="10"/>
      <c r="N713" s="10"/>
      <c r="O713" s="71"/>
      <c r="P713" s="153"/>
    </row>
    <row r="714" spans="1:16" s="62" customFormat="1" x14ac:dyDescent="0.3">
      <c r="A714" s="158" t="s">
        <v>1953</v>
      </c>
      <c r="B714" s="159">
        <v>1</v>
      </c>
      <c r="C714" s="159" t="s">
        <v>50</v>
      </c>
      <c r="D714" s="476">
        <f>7.78+3.78</f>
        <v>11.56</v>
      </c>
      <c r="E714" s="477">
        <v>0.2</v>
      </c>
      <c r="F714" s="477">
        <v>0.5</v>
      </c>
      <c r="G714" s="477">
        <f>-0.2*0.5*2</f>
        <v>-0.2</v>
      </c>
      <c r="H714" s="477">
        <f t="shared" si="247"/>
        <v>13.672000000000001</v>
      </c>
      <c r="I714" s="477"/>
      <c r="J714" s="477">
        <f t="shared" si="248"/>
        <v>1.1560000000000001</v>
      </c>
      <c r="K714" s="10"/>
      <c r="L714" s="10"/>
      <c r="M714" s="10"/>
      <c r="N714" s="10"/>
      <c r="O714" s="71"/>
      <c r="P714" s="153"/>
    </row>
    <row r="715" spans="1:16" s="62" customFormat="1" x14ac:dyDescent="0.3">
      <c r="A715" s="158" t="s">
        <v>1954</v>
      </c>
      <c r="B715" s="159">
        <v>1</v>
      </c>
      <c r="C715" s="159" t="s">
        <v>50</v>
      </c>
      <c r="D715" s="476">
        <v>11.75</v>
      </c>
      <c r="E715" s="477">
        <v>0.2</v>
      </c>
      <c r="F715" s="477">
        <v>0.5</v>
      </c>
      <c r="G715" s="477">
        <f>-0.2*0.5*4-(3.78+3.8+3.78)*0.1</f>
        <v>-1.536</v>
      </c>
      <c r="H715" s="477">
        <f t="shared" si="247"/>
        <v>12.564</v>
      </c>
      <c r="I715" s="477"/>
      <c r="J715" s="477">
        <f t="shared" si="248"/>
        <v>1.175</v>
      </c>
      <c r="K715" s="10"/>
      <c r="L715" s="10"/>
      <c r="M715" s="10"/>
      <c r="N715" s="10"/>
      <c r="O715" s="71"/>
      <c r="P715" s="153"/>
    </row>
    <row r="716" spans="1:16" s="62" customFormat="1" x14ac:dyDescent="0.3">
      <c r="A716" s="158" t="s">
        <v>1955</v>
      </c>
      <c r="B716" s="159">
        <v>1</v>
      </c>
      <c r="C716" s="159" t="s">
        <v>50</v>
      </c>
      <c r="D716" s="476">
        <v>11.75</v>
      </c>
      <c r="E716" s="477">
        <v>0.15</v>
      </c>
      <c r="F716" s="477">
        <v>0.5</v>
      </c>
      <c r="G716" s="477">
        <f>-0.2*0.5*2-(3.78+3.8+3.78)*0.1</f>
        <v>-1.3359999999999999</v>
      </c>
      <c r="H716" s="477">
        <f t="shared" si="247"/>
        <v>12.176499999999999</v>
      </c>
      <c r="I716" s="477"/>
      <c r="J716" s="477">
        <f t="shared" si="248"/>
        <v>0.88124999999999998</v>
      </c>
      <c r="K716" s="10"/>
      <c r="L716" s="10"/>
      <c r="M716" s="10"/>
      <c r="N716" s="10"/>
      <c r="O716" s="71"/>
      <c r="P716" s="153"/>
    </row>
    <row r="717" spans="1:16" s="62" customFormat="1" x14ac:dyDescent="0.3">
      <c r="A717" s="158" t="s">
        <v>1956</v>
      </c>
      <c r="B717" s="159">
        <v>1</v>
      </c>
      <c r="C717" s="159" t="s">
        <v>50</v>
      </c>
      <c r="D717" s="476">
        <v>11.97</v>
      </c>
      <c r="E717" s="477">
        <v>0.15</v>
      </c>
      <c r="F717" s="477">
        <v>0.5</v>
      </c>
      <c r="G717" s="477">
        <f>0.15*0.5+0.1*0.5*6</f>
        <v>0.37500000000000006</v>
      </c>
      <c r="H717" s="477">
        <f t="shared" si="247"/>
        <v>14.140500000000001</v>
      </c>
      <c r="I717" s="477">
        <f>0.1*0.5*0.5*3</f>
        <v>7.5000000000000011E-2</v>
      </c>
      <c r="J717" s="477">
        <f t="shared" si="248"/>
        <v>0.97275</v>
      </c>
      <c r="K717" s="10"/>
      <c r="L717" s="10"/>
      <c r="M717" s="10"/>
      <c r="N717" s="10"/>
      <c r="O717" s="71"/>
      <c r="P717" s="153"/>
    </row>
    <row r="718" spans="1:16" s="62" customFormat="1" x14ac:dyDescent="0.3">
      <c r="A718" s="158" t="s">
        <v>1957</v>
      </c>
      <c r="B718" s="159">
        <v>1</v>
      </c>
      <c r="C718" s="159" t="s">
        <v>50</v>
      </c>
      <c r="D718" s="476">
        <v>8.9600000000000009</v>
      </c>
      <c r="E718" s="477">
        <v>0.2</v>
      </c>
      <c r="F718" s="477">
        <v>0.5</v>
      </c>
      <c r="G718" s="477">
        <f>-0.15*0.5*3-0.45*0.1</f>
        <v>-0.26999999999999996</v>
      </c>
      <c r="H718" s="477">
        <f t="shared" si="247"/>
        <v>10.482000000000001</v>
      </c>
      <c r="I718" s="477"/>
      <c r="J718" s="477">
        <f t="shared" si="248"/>
        <v>0.89600000000000013</v>
      </c>
      <c r="K718" s="10"/>
      <c r="L718" s="10"/>
      <c r="M718" s="10"/>
      <c r="N718" s="10"/>
      <c r="O718" s="71"/>
      <c r="P718" s="153"/>
    </row>
    <row r="719" spans="1:16" s="62" customFormat="1" x14ac:dyDescent="0.3">
      <c r="A719" s="158" t="s">
        <v>1958</v>
      </c>
      <c r="B719" s="159">
        <v>1</v>
      </c>
      <c r="C719" s="159" t="s">
        <v>50</v>
      </c>
      <c r="D719" s="476">
        <v>12.03</v>
      </c>
      <c r="E719" s="477">
        <v>0.2</v>
      </c>
      <c r="F719" s="477">
        <v>0.5</v>
      </c>
      <c r="G719" s="477">
        <f>-0.15*0.4</f>
        <v>-0.06</v>
      </c>
      <c r="H719" s="477">
        <f t="shared" si="247"/>
        <v>14.375999999999999</v>
      </c>
      <c r="I719" s="477"/>
      <c r="J719" s="477">
        <f t="shared" si="248"/>
        <v>1.2030000000000001</v>
      </c>
      <c r="K719" s="10"/>
      <c r="L719" s="10"/>
      <c r="M719" s="10"/>
      <c r="N719" s="10"/>
      <c r="O719" s="71"/>
      <c r="P719" s="153"/>
    </row>
    <row r="720" spans="1:16" s="62" customFormat="1" x14ac:dyDescent="0.3">
      <c r="A720" s="158" t="s">
        <v>1959</v>
      </c>
      <c r="B720" s="159">
        <v>1</v>
      </c>
      <c r="C720" s="159" t="s">
        <v>50</v>
      </c>
      <c r="D720" s="476">
        <v>0.45</v>
      </c>
      <c r="E720" s="477">
        <v>0.2</v>
      </c>
      <c r="F720" s="477">
        <v>0.5</v>
      </c>
      <c r="G720" s="477">
        <f>-0.1*0.45*2</f>
        <v>-9.0000000000000011E-2</v>
      </c>
      <c r="H720" s="477">
        <f t="shared" si="247"/>
        <v>0.45</v>
      </c>
      <c r="I720" s="477"/>
      <c r="J720" s="477">
        <f t="shared" si="248"/>
        <v>4.5000000000000005E-2</v>
      </c>
      <c r="K720" s="10"/>
      <c r="L720" s="10"/>
      <c r="M720" s="10"/>
      <c r="N720" s="10"/>
      <c r="O720" s="71"/>
      <c r="P720" s="153"/>
    </row>
    <row r="721" spans="1:16" s="62" customFormat="1" x14ac:dyDescent="0.3">
      <c r="A721" s="158" t="s">
        <v>1960</v>
      </c>
      <c r="B721" s="159">
        <v>1</v>
      </c>
      <c r="C721" s="159" t="s">
        <v>50</v>
      </c>
      <c r="D721" s="476">
        <f>3.75+3.78</f>
        <v>7.5299999999999994</v>
      </c>
      <c r="E721" s="477">
        <v>0.2</v>
      </c>
      <c r="F721" s="477">
        <v>0.5</v>
      </c>
      <c r="G721" s="477"/>
      <c r="H721" s="477">
        <f t="shared" si="237"/>
        <v>9.0359999999999996</v>
      </c>
      <c r="I721" s="477"/>
      <c r="J721" s="477">
        <f t="shared" si="238"/>
        <v>0.753</v>
      </c>
      <c r="K721" s="10"/>
      <c r="L721" s="10"/>
      <c r="M721" s="10"/>
      <c r="N721" s="10"/>
      <c r="O721" s="71"/>
      <c r="P721" s="153"/>
    </row>
    <row r="722" spans="1:16" s="62" customFormat="1" x14ac:dyDescent="0.3">
      <c r="A722" s="158" t="s">
        <v>1961</v>
      </c>
      <c r="B722" s="159">
        <v>1</v>
      </c>
      <c r="C722" s="159" t="s">
        <v>50</v>
      </c>
      <c r="D722" s="476">
        <v>12.03</v>
      </c>
      <c r="E722" s="477">
        <v>0.15</v>
      </c>
      <c r="F722" s="477">
        <v>0.5</v>
      </c>
      <c r="G722" s="477">
        <f>0.05*0.5*6-0.25*0.5*2-0.15*0.5*2</f>
        <v>-0.24999999999999997</v>
      </c>
      <c r="H722" s="477">
        <f t="shared" si="237"/>
        <v>13.584499999999998</v>
      </c>
      <c r="I722" s="477">
        <f>0.05*0.4*0.5*3</f>
        <v>3.0000000000000006E-2</v>
      </c>
      <c r="J722" s="477">
        <f t="shared" si="238"/>
        <v>0.93224999999999991</v>
      </c>
      <c r="K722" s="10"/>
      <c r="L722" s="10"/>
      <c r="M722" s="10"/>
      <c r="N722" s="10"/>
      <c r="O722" s="71"/>
      <c r="P722" s="153"/>
    </row>
    <row r="723" spans="1:16" s="62" customFormat="1" x14ac:dyDescent="0.3">
      <c r="A723" s="158" t="s">
        <v>1962</v>
      </c>
      <c r="B723" s="159">
        <v>1</v>
      </c>
      <c r="C723" s="159" t="s">
        <v>50</v>
      </c>
      <c r="D723" s="476">
        <v>0.45</v>
      </c>
      <c r="E723" s="477">
        <v>0.2</v>
      </c>
      <c r="F723" s="477">
        <v>0.5</v>
      </c>
      <c r="G723" s="477">
        <f>-0.1*0.45*2</f>
        <v>-9.0000000000000011E-2</v>
      </c>
      <c r="H723" s="477">
        <f t="shared" si="237"/>
        <v>0.45</v>
      </c>
      <c r="I723" s="477"/>
      <c r="J723" s="477">
        <f t="shared" si="238"/>
        <v>4.5000000000000005E-2</v>
      </c>
      <c r="K723" s="10"/>
      <c r="L723" s="10"/>
      <c r="M723" s="10"/>
      <c r="N723" s="10"/>
      <c r="O723" s="71"/>
      <c r="P723" s="153"/>
    </row>
    <row r="724" spans="1:16" s="62" customFormat="1" x14ac:dyDescent="0.3">
      <c r="A724" s="158" t="s">
        <v>1963</v>
      </c>
      <c r="B724" s="159">
        <v>1</v>
      </c>
      <c r="C724" s="159" t="s">
        <v>50</v>
      </c>
      <c r="D724" s="476">
        <v>7.73</v>
      </c>
      <c r="E724" s="477">
        <v>0.2</v>
      </c>
      <c r="F724" s="477">
        <v>0.5</v>
      </c>
      <c r="G724" s="477">
        <f>-0.2*0.5*2</f>
        <v>-0.2</v>
      </c>
      <c r="H724" s="477">
        <f t="shared" si="237"/>
        <v>9.0760000000000005</v>
      </c>
      <c r="I724" s="477"/>
      <c r="J724" s="477">
        <f t="shared" si="238"/>
        <v>0.77300000000000013</v>
      </c>
      <c r="K724" s="10"/>
      <c r="L724" s="10"/>
      <c r="M724" s="10"/>
      <c r="N724" s="10"/>
      <c r="O724" s="71"/>
      <c r="P724" s="153"/>
    </row>
    <row r="725" spans="1:16" s="62" customFormat="1" x14ac:dyDescent="0.3">
      <c r="A725" s="158" t="s">
        <v>1964</v>
      </c>
      <c r="B725" s="159">
        <v>1</v>
      </c>
      <c r="C725" s="159" t="s">
        <v>50</v>
      </c>
      <c r="D725" s="476">
        <v>1.66</v>
      </c>
      <c r="E725" s="477">
        <v>0.15</v>
      </c>
      <c r="F725" s="477">
        <v>0.5</v>
      </c>
      <c r="G725" s="477"/>
      <c r="H725" s="477">
        <f t="shared" si="226"/>
        <v>1.9089999999999998</v>
      </c>
      <c r="I725" s="477"/>
      <c r="J725" s="477">
        <f t="shared" si="225"/>
        <v>0.12449999999999999</v>
      </c>
      <c r="K725" s="10"/>
      <c r="L725" s="10"/>
      <c r="M725" s="10"/>
      <c r="N725" s="10"/>
      <c r="O725" s="71"/>
      <c r="P725" s="153"/>
    </row>
    <row r="726" spans="1:16" s="62" customFormat="1" x14ac:dyDescent="0.3">
      <c r="A726" s="158" t="s">
        <v>1965</v>
      </c>
      <c r="B726" s="159">
        <v>1</v>
      </c>
      <c r="C726" s="159" t="s">
        <v>50</v>
      </c>
      <c r="D726" s="476">
        <v>10.220000000000001</v>
      </c>
      <c r="E726" s="477">
        <v>0.15</v>
      </c>
      <c r="F726" s="477">
        <v>0.5</v>
      </c>
      <c r="G726" s="477">
        <f>-0.15*0.5-0.2*0.5*2-0.05*0.5*4-0.35*0.5*2</f>
        <v>-0.72499999999999998</v>
      </c>
      <c r="H726" s="477">
        <f t="shared" si="216"/>
        <v>11.028</v>
      </c>
      <c r="I726" s="477">
        <f>0.05*0.4*0.5*2+0.35*0.15*0.5</f>
        <v>4.6249999999999999E-2</v>
      </c>
      <c r="J726" s="477">
        <f t="shared" si="217"/>
        <v>0.81275000000000008</v>
      </c>
      <c r="K726" s="10"/>
      <c r="L726" s="10"/>
      <c r="M726" s="10"/>
      <c r="N726" s="10"/>
      <c r="O726" s="71"/>
      <c r="P726" s="153"/>
    </row>
    <row r="727" spans="1:16" s="62" customFormat="1" x14ac:dyDescent="0.3">
      <c r="A727" s="158" t="s">
        <v>1966</v>
      </c>
      <c r="B727" s="159">
        <v>1</v>
      </c>
      <c r="C727" s="159" t="s">
        <v>50</v>
      </c>
      <c r="D727" s="476">
        <f>3.88+3.85</f>
        <v>7.73</v>
      </c>
      <c r="E727" s="477">
        <v>0.15</v>
      </c>
      <c r="F727" s="477">
        <v>0.4</v>
      </c>
      <c r="G727" s="477">
        <f>-0.15*0.4*2</f>
        <v>-0.12</v>
      </c>
      <c r="H727" s="477">
        <f t="shared" si="216"/>
        <v>7.2235000000000005</v>
      </c>
      <c r="I727" s="477"/>
      <c r="J727" s="477">
        <f t="shared" si="217"/>
        <v>0.46379999999999999</v>
      </c>
      <c r="K727" s="10"/>
      <c r="L727" s="10"/>
      <c r="M727" s="10"/>
      <c r="N727" s="10"/>
      <c r="O727" s="71"/>
      <c r="P727" s="153"/>
    </row>
    <row r="728" spans="1:16" s="62" customFormat="1" x14ac:dyDescent="0.3">
      <c r="A728" s="158" t="s">
        <v>1967</v>
      </c>
      <c r="B728" s="159">
        <v>1</v>
      </c>
      <c r="C728" s="159" t="s">
        <v>50</v>
      </c>
      <c r="D728" s="476">
        <v>8.9600000000000009</v>
      </c>
      <c r="E728" s="477">
        <v>0.2</v>
      </c>
      <c r="F728" s="477">
        <v>0.5</v>
      </c>
      <c r="G728" s="477">
        <f>-0.2*0.5*3</f>
        <v>-0.30000000000000004</v>
      </c>
      <c r="H728" s="477">
        <f t="shared" si="216"/>
        <v>10.452</v>
      </c>
      <c r="I728" s="477"/>
      <c r="J728" s="477">
        <f t="shared" si="217"/>
        <v>0.89600000000000013</v>
      </c>
      <c r="K728" s="10"/>
      <c r="L728" s="10"/>
      <c r="M728" s="10"/>
      <c r="N728" s="10"/>
      <c r="O728" s="71"/>
      <c r="P728" s="153"/>
    </row>
    <row r="729" spans="1:16" s="62" customFormat="1" x14ac:dyDescent="0.3">
      <c r="A729" s="158" t="s">
        <v>1968</v>
      </c>
      <c r="B729" s="159">
        <v>1</v>
      </c>
      <c r="C729" s="159" t="s">
        <v>50</v>
      </c>
      <c r="D729" s="476">
        <f>8+3.88</f>
        <v>11.879999999999999</v>
      </c>
      <c r="E729" s="477">
        <v>0.2</v>
      </c>
      <c r="F729" s="477">
        <v>0.5</v>
      </c>
      <c r="G729" s="477">
        <f>-0.15*0.4*3-0.25*0.5+0.15*0.5</f>
        <v>-0.22999999999999998</v>
      </c>
      <c r="H729" s="477">
        <f t="shared" si="216"/>
        <v>14.025999999999998</v>
      </c>
      <c r="I729" s="477"/>
      <c r="J729" s="477">
        <f t="shared" si="217"/>
        <v>1.1879999999999999</v>
      </c>
      <c r="K729" s="10"/>
      <c r="L729" s="10"/>
      <c r="M729" s="10"/>
      <c r="N729" s="10"/>
      <c r="O729" s="71"/>
      <c r="P729" s="153"/>
    </row>
    <row r="730" spans="1:16" s="62" customFormat="1" x14ac:dyDescent="0.3">
      <c r="A730" s="158" t="s">
        <v>1969</v>
      </c>
      <c r="B730" s="159">
        <v>1</v>
      </c>
      <c r="C730" s="159" t="s">
        <v>184</v>
      </c>
      <c r="D730" s="476">
        <v>3.75</v>
      </c>
      <c r="E730" s="477">
        <v>0.15</v>
      </c>
      <c r="F730" s="477">
        <v>0.15</v>
      </c>
      <c r="G730" s="477"/>
      <c r="H730" s="477">
        <f t="shared" ref="H730:H741" si="249">(((2*D730*F730))*B730)+G730</f>
        <v>1.125</v>
      </c>
      <c r="I730" s="477"/>
      <c r="J730" s="477">
        <f t="shared" si="217"/>
        <v>8.4374999999999992E-2</v>
      </c>
      <c r="K730" s="10"/>
      <c r="L730" s="10"/>
      <c r="M730" s="10"/>
      <c r="N730" s="10"/>
      <c r="O730" s="71"/>
      <c r="P730" s="153"/>
    </row>
    <row r="731" spans="1:16" s="62" customFormat="1" x14ac:dyDescent="0.3">
      <c r="A731" s="158" t="s">
        <v>1970</v>
      </c>
      <c r="B731" s="159">
        <v>1</v>
      </c>
      <c r="C731" s="159" t="s">
        <v>184</v>
      </c>
      <c r="D731" s="476">
        <v>3.75</v>
      </c>
      <c r="E731" s="477">
        <v>0.15</v>
      </c>
      <c r="F731" s="477">
        <v>0.15</v>
      </c>
      <c r="G731" s="477"/>
      <c r="H731" s="477">
        <f t="shared" si="249"/>
        <v>1.125</v>
      </c>
      <c r="I731" s="477"/>
      <c r="J731" s="477">
        <f t="shared" si="217"/>
        <v>8.4374999999999992E-2</v>
      </c>
      <c r="K731" s="10"/>
      <c r="L731" s="10"/>
      <c r="M731" s="10"/>
      <c r="N731" s="10"/>
      <c r="O731" s="71"/>
      <c r="P731" s="153"/>
    </row>
    <row r="732" spans="1:16" s="62" customFormat="1" x14ac:dyDescent="0.3">
      <c r="A732" s="158" t="s">
        <v>1971</v>
      </c>
      <c r="B732" s="159">
        <v>1</v>
      </c>
      <c r="C732" s="159" t="s">
        <v>184</v>
      </c>
      <c r="D732" s="476">
        <v>4.93</v>
      </c>
      <c r="E732" s="477">
        <v>0.2</v>
      </c>
      <c r="F732" s="477">
        <v>0.15</v>
      </c>
      <c r="G732" s="477">
        <f>0.05*0.15*4</f>
        <v>0.03</v>
      </c>
      <c r="H732" s="477">
        <f t="shared" si="249"/>
        <v>1.5089999999999999</v>
      </c>
      <c r="I732" s="477">
        <f>0.05*0.5*0.15*2</f>
        <v>7.4999999999999997E-3</v>
      </c>
      <c r="J732" s="477">
        <f t="shared" si="217"/>
        <v>0.15540000000000001</v>
      </c>
      <c r="K732" s="10"/>
      <c r="L732" s="10"/>
      <c r="M732" s="10"/>
      <c r="N732" s="10"/>
      <c r="O732" s="71"/>
      <c r="P732" s="153"/>
    </row>
    <row r="733" spans="1:16" s="62" customFormat="1" x14ac:dyDescent="0.3">
      <c r="A733" s="158" t="s">
        <v>1972</v>
      </c>
      <c r="B733" s="159">
        <v>1</v>
      </c>
      <c r="C733" s="159" t="s">
        <v>184</v>
      </c>
      <c r="D733" s="476">
        <v>4</v>
      </c>
      <c r="E733" s="477">
        <v>0.15</v>
      </c>
      <c r="F733" s="477">
        <v>0.15</v>
      </c>
      <c r="G733" s="477">
        <f>0.15*0.15</f>
        <v>2.2499999999999999E-2</v>
      </c>
      <c r="H733" s="477">
        <f t="shared" si="249"/>
        <v>1.2224999999999999</v>
      </c>
      <c r="I733" s="477"/>
      <c r="J733" s="477">
        <f t="shared" si="217"/>
        <v>0.09</v>
      </c>
      <c r="K733" s="10"/>
      <c r="L733" s="10"/>
      <c r="M733" s="10"/>
      <c r="N733" s="10"/>
      <c r="O733" s="71"/>
      <c r="P733" s="153"/>
    </row>
    <row r="734" spans="1:16" s="62" customFormat="1" x14ac:dyDescent="0.3">
      <c r="A734" s="158" t="s">
        <v>1973</v>
      </c>
      <c r="B734" s="159">
        <v>1</v>
      </c>
      <c r="C734" s="159" t="s">
        <v>184</v>
      </c>
      <c r="D734" s="476">
        <v>11.85</v>
      </c>
      <c r="E734" s="477">
        <v>0.15</v>
      </c>
      <c r="F734" s="477">
        <v>0.15</v>
      </c>
      <c r="G734" s="477"/>
      <c r="H734" s="477">
        <f t="shared" si="249"/>
        <v>3.5549999999999997</v>
      </c>
      <c r="I734" s="477"/>
      <c r="J734" s="477">
        <f t="shared" si="217"/>
        <v>0.26662499999999995</v>
      </c>
      <c r="K734" s="10"/>
      <c r="L734" s="10"/>
      <c r="M734" s="10"/>
      <c r="N734" s="10"/>
      <c r="O734" s="71"/>
      <c r="P734" s="153"/>
    </row>
    <row r="735" spans="1:16" s="62" customFormat="1" x14ac:dyDescent="0.3">
      <c r="A735" s="158" t="s">
        <v>1974</v>
      </c>
      <c r="B735" s="159">
        <v>1</v>
      </c>
      <c r="C735" s="159" t="s">
        <v>184</v>
      </c>
      <c r="D735" s="476">
        <v>11.97</v>
      </c>
      <c r="E735" s="477">
        <v>0.2</v>
      </c>
      <c r="F735" s="477">
        <v>0.15</v>
      </c>
      <c r="G735" s="477">
        <f>0.05*0.15*6+0.2*0.15</f>
        <v>7.4999999999999997E-2</v>
      </c>
      <c r="H735" s="477">
        <f t="shared" si="249"/>
        <v>3.6660000000000004</v>
      </c>
      <c r="I735" s="477">
        <f>0.05*0.5*0.15*3</f>
        <v>1.125E-2</v>
      </c>
      <c r="J735" s="477">
        <f t="shared" ref="J735:J743" si="250">(D735*E735*F735)*B735+I735</f>
        <v>0.37035000000000001</v>
      </c>
      <c r="K735" s="10"/>
      <c r="L735" s="10"/>
      <c r="M735" s="10"/>
      <c r="N735" s="10"/>
      <c r="O735" s="71"/>
      <c r="P735" s="153"/>
    </row>
    <row r="736" spans="1:16" s="62" customFormat="1" x14ac:dyDescent="0.3">
      <c r="A736" s="158" t="s">
        <v>1975</v>
      </c>
      <c r="B736" s="159">
        <v>1</v>
      </c>
      <c r="C736" s="159" t="s">
        <v>184</v>
      </c>
      <c r="D736" s="476">
        <v>8.9499999999999993</v>
      </c>
      <c r="E736" s="477">
        <v>0.15</v>
      </c>
      <c r="F736" s="477">
        <v>0.15</v>
      </c>
      <c r="G736" s="477">
        <f>0.05*0.15*6+0.15*0.15</f>
        <v>6.7500000000000004E-2</v>
      </c>
      <c r="H736" s="477">
        <f t="shared" si="249"/>
        <v>2.7524999999999995</v>
      </c>
      <c r="I736" s="477">
        <f>0.05*0.4*0.15*3</f>
        <v>9.0000000000000011E-3</v>
      </c>
      <c r="J736" s="477">
        <f t="shared" si="250"/>
        <v>0.21037499999999998</v>
      </c>
      <c r="K736" s="10"/>
      <c r="L736" s="10"/>
      <c r="M736" s="10"/>
      <c r="N736" s="10"/>
      <c r="O736" s="71"/>
      <c r="P736" s="153"/>
    </row>
    <row r="737" spans="1:16" s="62" customFormat="1" x14ac:dyDescent="0.3">
      <c r="A737" s="158" t="s">
        <v>1976</v>
      </c>
      <c r="B737" s="159">
        <v>1</v>
      </c>
      <c r="C737" s="159" t="s">
        <v>184</v>
      </c>
      <c r="D737" s="476">
        <v>12.03</v>
      </c>
      <c r="E737" s="477">
        <v>0.15</v>
      </c>
      <c r="F737" s="477">
        <v>0.15</v>
      </c>
      <c r="G737" s="477">
        <f>0.05*0.15*6-0.2*0.15</f>
        <v>1.4999999999999999E-2</v>
      </c>
      <c r="H737" s="477">
        <f t="shared" si="249"/>
        <v>3.6239999999999997</v>
      </c>
      <c r="I737" s="477">
        <f>0.05*0.4*0.15*2+0.05*0.5*0.15</f>
        <v>9.7500000000000017E-3</v>
      </c>
      <c r="J737" s="477">
        <f t="shared" si="250"/>
        <v>0.28042499999999992</v>
      </c>
      <c r="K737" s="10"/>
      <c r="L737" s="10"/>
      <c r="M737" s="10"/>
      <c r="N737" s="10"/>
      <c r="O737" s="71"/>
      <c r="P737" s="153"/>
    </row>
    <row r="738" spans="1:16" s="62" customFormat="1" x14ac:dyDescent="0.3">
      <c r="A738" s="158" t="s">
        <v>1977</v>
      </c>
      <c r="B738" s="159">
        <v>1</v>
      </c>
      <c r="C738" s="159" t="s">
        <v>184</v>
      </c>
      <c r="D738" s="476">
        <v>10.37</v>
      </c>
      <c r="E738" s="477">
        <v>0.15</v>
      </c>
      <c r="F738" s="477">
        <v>0.15</v>
      </c>
      <c r="G738" s="477">
        <f>0.05*0.15*6</f>
        <v>4.4999999999999998E-2</v>
      </c>
      <c r="H738" s="477">
        <f t="shared" si="249"/>
        <v>3.1559999999999997</v>
      </c>
      <c r="I738" s="477">
        <f>0.05*0.15*0.4*3</f>
        <v>9.0000000000000011E-3</v>
      </c>
      <c r="J738" s="477">
        <f t="shared" si="250"/>
        <v>0.24232499999999998</v>
      </c>
      <c r="K738" s="10"/>
      <c r="L738" s="10"/>
      <c r="M738" s="10"/>
      <c r="N738" s="10"/>
      <c r="O738" s="71"/>
      <c r="P738" s="153"/>
    </row>
    <row r="739" spans="1:16" s="62" customFormat="1" x14ac:dyDescent="0.3">
      <c r="A739" s="158" t="s">
        <v>1978</v>
      </c>
      <c r="B739" s="159">
        <v>1</v>
      </c>
      <c r="C739" s="159" t="s">
        <v>184</v>
      </c>
      <c r="D739" s="476">
        <v>10.220000000000001</v>
      </c>
      <c r="E739" s="477">
        <v>0.15</v>
      </c>
      <c r="F739" s="477">
        <v>0.15</v>
      </c>
      <c r="G739" s="477">
        <f>0.05*0.15*4</f>
        <v>0.03</v>
      </c>
      <c r="H739" s="477">
        <f t="shared" si="249"/>
        <v>3.0960000000000001</v>
      </c>
      <c r="I739" s="477"/>
      <c r="J739" s="477">
        <f t="shared" si="250"/>
        <v>0.22995000000000002</v>
      </c>
      <c r="K739" s="10"/>
      <c r="L739" s="10"/>
      <c r="M739" s="10"/>
      <c r="N739" s="10"/>
      <c r="O739" s="71"/>
      <c r="P739" s="153"/>
    </row>
    <row r="740" spans="1:16" s="62" customFormat="1" x14ac:dyDescent="0.3">
      <c r="A740" s="158" t="s">
        <v>1979</v>
      </c>
      <c r="B740" s="159">
        <v>1</v>
      </c>
      <c r="C740" s="159" t="s">
        <v>184</v>
      </c>
      <c r="D740" s="476">
        <v>8.9499999999999993</v>
      </c>
      <c r="E740" s="477">
        <v>0.15</v>
      </c>
      <c r="F740" s="477">
        <v>0.15</v>
      </c>
      <c r="G740" s="477">
        <f>0.05*0.15*6+0.15*0.15</f>
        <v>6.7500000000000004E-2</v>
      </c>
      <c r="H740" s="477">
        <f t="shared" ref="H740" si="251">(((2*D740*F740))*B740)+G740</f>
        <v>2.7524999999999995</v>
      </c>
      <c r="I740" s="477">
        <f>0.05*0.4*0.15*3</f>
        <v>9.0000000000000011E-3</v>
      </c>
      <c r="J740" s="477">
        <f t="shared" si="250"/>
        <v>0.21037499999999998</v>
      </c>
      <c r="K740" s="10"/>
      <c r="L740" s="10"/>
      <c r="M740" s="10"/>
      <c r="N740" s="10"/>
      <c r="O740" s="71"/>
      <c r="P740" s="153"/>
    </row>
    <row r="741" spans="1:16" s="62" customFormat="1" ht="15" thickBot="1" x14ac:dyDescent="0.35">
      <c r="A741" s="158" t="s">
        <v>1980</v>
      </c>
      <c r="B741" s="159">
        <v>1</v>
      </c>
      <c r="C741" s="159" t="s">
        <v>184</v>
      </c>
      <c r="D741" s="476">
        <v>12.03</v>
      </c>
      <c r="E741" s="477">
        <v>0.15</v>
      </c>
      <c r="F741" s="477">
        <v>0.15</v>
      </c>
      <c r="G741" s="477">
        <f>0.05*0.15*4+0.25*0.15*2</f>
        <v>0.105</v>
      </c>
      <c r="H741" s="477">
        <f t="shared" si="249"/>
        <v>3.7139999999999995</v>
      </c>
      <c r="I741" s="477">
        <f>0.05*0.4*0.15*2+0.25*0.15*0.15</f>
        <v>1.1625E-2</v>
      </c>
      <c r="J741" s="477">
        <f t="shared" si="250"/>
        <v>0.28229999999999994</v>
      </c>
      <c r="K741" s="10"/>
      <c r="L741" s="10"/>
      <c r="M741" s="10"/>
      <c r="N741" s="10"/>
      <c r="O741" s="71"/>
      <c r="P741" s="153"/>
    </row>
    <row r="742" spans="1:16" s="62" customFormat="1" x14ac:dyDescent="0.3">
      <c r="A742" s="698" t="s">
        <v>2115</v>
      </c>
      <c r="B742" s="699"/>
      <c r="C742" s="699"/>
      <c r="D742" s="699"/>
      <c r="E742" s="699"/>
      <c r="F742" s="699"/>
      <c r="G742" s="699"/>
      <c r="H742" s="699"/>
      <c r="I742" s="699"/>
      <c r="J742" s="699"/>
      <c r="K742" s="699"/>
      <c r="L742" s="699"/>
      <c r="M742" s="699"/>
      <c r="N742" s="699"/>
      <c r="O742" s="700"/>
      <c r="P742" s="153"/>
    </row>
    <row r="743" spans="1:16" s="62" customFormat="1" x14ac:dyDescent="0.3">
      <c r="A743" s="158" t="s">
        <v>2182</v>
      </c>
      <c r="B743" s="159">
        <v>1</v>
      </c>
      <c r="C743" s="159" t="s">
        <v>50</v>
      </c>
      <c r="D743" s="162">
        <f>5.05+2.5+9.23</f>
        <v>16.78</v>
      </c>
      <c r="E743" s="160">
        <v>0.15</v>
      </c>
      <c r="F743" s="160">
        <v>0.3</v>
      </c>
      <c r="G743" s="10">
        <f>0.15*0.3*2-(4.9+2.5)*0.08</f>
        <v>-0.50200000000000011</v>
      </c>
      <c r="H743" s="10">
        <f t="shared" ref="H743:H751" si="252">(((2*D743*F743+D743*E743))*B743)+G743</f>
        <v>12.082999999999998</v>
      </c>
      <c r="I743" s="10"/>
      <c r="J743" s="10">
        <f t="shared" si="250"/>
        <v>0.75509999999999999</v>
      </c>
      <c r="K743" s="10"/>
      <c r="L743" s="10"/>
      <c r="M743" s="10"/>
      <c r="N743" s="10"/>
      <c r="O743" s="71"/>
      <c r="P743" s="153"/>
    </row>
    <row r="744" spans="1:16" s="62" customFormat="1" x14ac:dyDescent="0.3">
      <c r="A744" s="158" t="s">
        <v>2183</v>
      </c>
      <c r="B744" s="159">
        <v>1</v>
      </c>
      <c r="C744" s="159" t="s">
        <v>50</v>
      </c>
      <c r="D744" s="162">
        <v>7.55</v>
      </c>
      <c r="E744" s="160">
        <v>0.15</v>
      </c>
      <c r="F744" s="160">
        <v>0.3</v>
      </c>
      <c r="G744" s="10">
        <f>-0.15*0.3*2-(4.9+2.5)*0.08</f>
        <v>-0.68200000000000005</v>
      </c>
      <c r="H744" s="10">
        <f t="shared" si="252"/>
        <v>4.9804999999999993</v>
      </c>
      <c r="I744" s="10"/>
      <c r="J744" s="10">
        <f t="shared" ref="J744:J751" si="253">(D744*E744*F744)*B744+I744</f>
        <v>0.33974999999999994</v>
      </c>
      <c r="K744" s="10"/>
      <c r="L744" s="10"/>
      <c r="M744" s="10"/>
      <c r="N744" s="10"/>
      <c r="O744" s="71"/>
      <c r="P744" s="153"/>
    </row>
    <row r="745" spans="1:16" s="62" customFormat="1" x14ac:dyDescent="0.3">
      <c r="A745" s="158" t="s">
        <v>2184</v>
      </c>
      <c r="B745" s="159">
        <v>1</v>
      </c>
      <c r="C745" s="159" t="s">
        <v>50</v>
      </c>
      <c r="D745" s="162">
        <v>0.7</v>
      </c>
      <c r="E745" s="160">
        <v>0.15</v>
      </c>
      <c r="F745" s="160">
        <v>0.3</v>
      </c>
      <c r="G745" s="10">
        <f>-0.7*0.08</f>
        <v>-5.5999999999999994E-2</v>
      </c>
      <c r="H745" s="10">
        <f t="shared" si="252"/>
        <v>0.46900000000000003</v>
      </c>
      <c r="I745" s="10"/>
      <c r="J745" s="10">
        <f t="shared" si="253"/>
        <v>3.15E-2</v>
      </c>
      <c r="K745" s="10"/>
      <c r="L745" s="10"/>
      <c r="M745" s="10"/>
      <c r="N745" s="10"/>
      <c r="O745" s="71"/>
      <c r="P745" s="153"/>
    </row>
    <row r="746" spans="1:16" s="62" customFormat="1" x14ac:dyDescent="0.3">
      <c r="A746" s="158" t="s">
        <v>2185</v>
      </c>
      <c r="B746" s="159">
        <v>1</v>
      </c>
      <c r="C746" s="159" t="s">
        <v>50</v>
      </c>
      <c r="D746" s="162">
        <v>4.66</v>
      </c>
      <c r="E746" s="160">
        <v>0.15</v>
      </c>
      <c r="F746" s="160">
        <v>0.3</v>
      </c>
      <c r="G746" s="10">
        <f>0.05*0.2*0.3*2+0.15*0.3</f>
        <v>5.0999999999999997E-2</v>
      </c>
      <c r="H746" s="10">
        <f t="shared" si="252"/>
        <v>3.5459999999999998</v>
      </c>
      <c r="I746" s="10">
        <f>0.05*0.2*0.3</f>
        <v>3.0000000000000005E-3</v>
      </c>
      <c r="J746" s="10">
        <f t="shared" si="253"/>
        <v>0.21269999999999997</v>
      </c>
      <c r="K746" s="10"/>
      <c r="L746" s="10"/>
      <c r="M746" s="10"/>
      <c r="N746" s="10"/>
      <c r="O746" s="71"/>
      <c r="P746" s="153"/>
    </row>
    <row r="747" spans="1:16" s="62" customFormat="1" x14ac:dyDescent="0.3">
      <c r="A747" s="158" t="s">
        <v>2186</v>
      </c>
      <c r="B747" s="159">
        <v>1</v>
      </c>
      <c r="C747" s="159" t="s">
        <v>50</v>
      </c>
      <c r="D747" s="162">
        <v>4.74</v>
      </c>
      <c r="E747" s="160">
        <v>0.15</v>
      </c>
      <c r="F747" s="160">
        <v>0.3</v>
      </c>
      <c r="G747" s="10">
        <f>0.15*0.3</f>
        <v>4.4999999999999998E-2</v>
      </c>
      <c r="H747" s="10">
        <f t="shared" si="252"/>
        <v>3.5999999999999996</v>
      </c>
      <c r="I747" s="10"/>
      <c r="J747" s="10">
        <f t="shared" si="253"/>
        <v>0.21329999999999999</v>
      </c>
      <c r="K747" s="10"/>
      <c r="L747" s="10"/>
      <c r="M747" s="10"/>
      <c r="N747" s="10"/>
      <c r="O747" s="71"/>
      <c r="P747" s="153"/>
    </row>
    <row r="748" spans="1:16" s="62" customFormat="1" x14ac:dyDescent="0.3">
      <c r="A748" s="158" t="s">
        <v>2187</v>
      </c>
      <c r="B748" s="159">
        <v>1</v>
      </c>
      <c r="C748" s="159" t="s">
        <v>50</v>
      </c>
      <c r="D748" s="162">
        <v>21.1</v>
      </c>
      <c r="E748" s="160">
        <v>0.15</v>
      </c>
      <c r="F748" s="160">
        <v>0.3</v>
      </c>
      <c r="G748" s="10">
        <f>0.15*0.3</f>
        <v>4.4999999999999998E-2</v>
      </c>
      <c r="H748" s="10">
        <f t="shared" si="252"/>
        <v>15.87</v>
      </c>
      <c r="I748" s="10"/>
      <c r="J748" s="10">
        <f t="shared" si="253"/>
        <v>0.94950000000000001</v>
      </c>
      <c r="K748" s="10"/>
      <c r="L748" s="10"/>
      <c r="M748" s="10"/>
      <c r="N748" s="10"/>
      <c r="O748" s="71"/>
      <c r="P748" s="153"/>
    </row>
    <row r="749" spans="1:16" s="62" customFormat="1" x14ac:dyDescent="0.3">
      <c r="A749" s="158" t="s">
        <v>2188</v>
      </c>
      <c r="B749" s="159">
        <v>1</v>
      </c>
      <c r="C749" s="159" t="s">
        <v>50</v>
      </c>
      <c r="D749" s="162">
        <v>20.100000000000001</v>
      </c>
      <c r="E749" s="160">
        <v>0.15</v>
      </c>
      <c r="F749" s="160">
        <v>0.3</v>
      </c>
      <c r="G749" s="10">
        <f>0.15*0.3</f>
        <v>4.4999999999999998E-2</v>
      </c>
      <c r="H749" s="10">
        <f t="shared" si="252"/>
        <v>15.120000000000001</v>
      </c>
      <c r="I749" s="10"/>
      <c r="J749" s="10">
        <f t="shared" si="253"/>
        <v>0.90449999999999997</v>
      </c>
      <c r="K749" s="10"/>
      <c r="L749" s="10"/>
      <c r="M749" s="10"/>
      <c r="N749" s="10"/>
      <c r="O749" s="71"/>
      <c r="P749" s="153"/>
    </row>
    <row r="750" spans="1:16" s="62" customFormat="1" x14ac:dyDescent="0.3">
      <c r="A750" s="158" t="s">
        <v>2189</v>
      </c>
      <c r="B750" s="159">
        <v>1</v>
      </c>
      <c r="C750" s="159" t="s">
        <v>50</v>
      </c>
      <c r="D750" s="162">
        <v>6.5</v>
      </c>
      <c r="E750" s="160">
        <v>0.15</v>
      </c>
      <c r="F750" s="160">
        <v>0.3</v>
      </c>
      <c r="G750" s="10">
        <f>-0.15*0.3-(0.96+1.49)*0.08</f>
        <v>-0.24099999999999999</v>
      </c>
      <c r="H750" s="10">
        <f t="shared" si="252"/>
        <v>4.6340000000000003</v>
      </c>
      <c r="I750" s="10"/>
      <c r="J750" s="10">
        <f t="shared" si="253"/>
        <v>0.29249999999999998</v>
      </c>
      <c r="K750" s="10"/>
      <c r="L750" s="10"/>
      <c r="M750" s="10"/>
      <c r="N750" s="10"/>
      <c r="O750" s="71"/>
      <c r="P750" s="153"/>
    </row>
    <row r="751" spans="1:16" s="62" customFormat="1" x14ac:dyDescent="0.3">
      <c r="A751" s="158" t="s">
        <v>2190</v>
      </c>
      <c r="B751" s="159">
        <v>1</v>
      </c>
      <c r="C751" s="159" t="s">
        <v>50</v>
      </c>
      <c r="D751" s="162">
        <v>1.64</v>
      </c>
      <c r="E751" s="160">
        <v>0.15</v>
      </c>
      <c r="F751" s="160">
        <v>0.3</v>
      </c>
      <c r="G751" s="10">
        <f>-1.49*0.08</f>
        <v>-0.1192</v>
      </c>
      <c r="H751" s="10">
        <f t="shared" si="252"/>
        <v>1.1107999999999998</v>
      </c>
      <c r="I751" s="10"/>
      <c r="J751" s="10">
        <f t="shared" si="253"/>
        <v>7.3799999999999991E-2</v>
      </c>
      <c r="K751" s="10"/>
      <c r="L751" s="10"/>
      <c r="M751" s="10"/>
      <c r="N751" s="10"/>
      <c r="O751" s="71"/>
      <c r="P751" s="153"/>
    </row>
    <row r="752" spans="1:16" s="62" customFormat="1" x14ac:dyDescent="0.3">
      <c r="A752" s="158" t="s">
        <v>2191</v>
      </c>
      <c r="B752" s="159">
        <v>1</v>
      </c>
      <c r="C752" s="159" t="s">
        <v>50</v>
      </c>
      <c r="D752" s="162">
        <v>1.1100000000000001</v>
      </c>
      <c r="E752" s="160">
        <v>0.15</v>
      </c>
      <c r="F752" s="160">
        <v>0.3</v>
      </c>
      <c r="G752" s="10">
        <f>-0.96*0.08*2</f>
        <v>-0.15359999999999999</v>
      </c>
      <c r="H752" s="10">
        <f t="shared" si="216"/>
        <v>0.67890000000000006</v>
      </c>
      <c r="I752" s="10"/>
      <c r="J752" s="10">
        <f t="shared" si="217"/>
        <v>4.9950000000000001E-2</v>
      </c>
      <c r="K752" s="10"/>
      <c r="L752" s="10"/>
      <c r="M752" s="10"/>
      <c r="N752" s="10"/>
      <c r="O752" s="71"/>
      <c r="P752" s="153"/>
    </row>
    <row r="753" spans="1:21" s="62" customFormat="1" x14ac:dyDescent="0.3">
      <c r="A753" s="158" t="s">
        <v>2192</v>
      </c>
      <c r="B753" s="159">
        <v>1</v>
      </c>
      <c r="C753" s="159" t="s">
        <v>50</v>
      </c>
      <c r="D753" s="162">
        <v>1.26</v>
      </c>
      <c r="E753" s="160">
        <v>0.15</v>
      </c>
      <c r="F753" s="160">
        <v>0.3</v>
      </c>
      <c r="G753" s="10">
        <f>-0.96*0.08</f>
        <v>-7.6799999999999993E-2</v>
      </c>
      <c r="H753" s="10">
        <f t="shared" si="184"/>
        <v>0.86820000000000008</v>
      </c>
      <c r="I753" s="10"/>
      <c r="J753" s="10">
        <f t="shared" si="185"/>
        <v>5.67E-2</v>
      </c>
      <c r="K753" s="10"/>
      <c r="L753" s="10"/>
      <c r="M753" s="10"/>
      <c r="N753" s="10"/>
      <c r="O753" s="71"/>
      <c r="P753" s="153"/>
    </row>
    <row r="754" spans="1:21" s="62" customFormat="1" x14ac:dyDescent="0.3">
      <c r="A754" s="158" t="s">
        <v>2193</v>
      </c>
      <c r="B754" s="159">
        <v>1</v>
      </c>
      <c r="C754" s="159" t="s">
        <v>50</v>
      </c>
      <c r="D754" s="162">
        <v>18.75</v>
      </c>
      <c r="E754" s="160">
        <v>0.15</v>
      </c>
      <c r="F754" s="160">
        <v>0.3</v>
      </c>
      <c r="G754" s="10">
        <f>0.15*0.3+0.05*2*5</f>
        <v>0.54500000000000004</v>
      </c>
      <c r="H754" s="10">
        <f t="shared" ref="H754:H755" si="254">(((2*D754*F754+D754*E754))*B754)+G754</f>
        <v>14.6075</v>
      </c>
      <c r="I754" s="10">
        <f>0.05*0.2*0.3*5</f>
        <v>1.5000000000000003E-2</v>
      </c>
      <c r="J754" s="10">
        <f t="shared" ref="J754:J755" si="255">(D754*E754*F754)*B754+I754</f>
        <v>0.85875000000000001</v>
      </c>
      <c r="K754" s="10"/>
      <c r="L754" s="10"/>
      <c r="M754" s="10"/>
      <c r="N754" s="10"/>
      <c r="O754" s="71"/>
      <c r="P754" s="153"/>
    </row>
    <row r="755" spans="1:21" s="62" customFormat="1" x14ac:dyDescent="0.3">
      <c r="A755" s="158"/>
      <c r="B755" s="159"/>
      <c r="C755" s="159" t="s">
        <v>50</v>
      </c>
      <c r="D755" s="162"/>
      <c r="E755" s="160"/>
      <c r="F755" s="160"/>
      <c r="G755" s="10"/>
      <c r="H755" s="10">
        <f t="shared" si="254"/>
        <v>0</v>
      </c>
      <c r="I755" s="10"/>
      <c r="J755" s="10">
        <f t="shared" si="255"/>
        <v>0</v>
      </c>
      <c r="K755" s="10"/>
      <c r="L755" s="10"/>
      <c r="M755" s="10"/>
      <c r="N755" s="10"/>
      <c r="O755" s="71"/>
      <c r="P755" s="153"/>
    </row>
    <row r="756" spans="1:21" s="62" customFormat="1" x14ac:dyDescent="0.3">
      <c r="A756" s="158"/>
      <c r="B756" s="159"/>
      <c r="C756" s="159" t="s">
        <v>50</v>
      </c>
      <c r="D756" s="162"/>
      <c r="E756" s="160"/>
      <c r="F756" s="160"/>
      <c r="G756" s="10"/>
      <c r="H756" s="10">
        <f t="shared" ref="H756:H757" si="256">(((2*D756*F756+D756*E756))*B756)+G756</f>
        <v>0</v>
      </c>
      <c r="I756" s="10"/>
      <c r="J756" s="10">
        <f t="shared" ref="J756:J757" si="257">(D756*E756*F756)*B756+I756</f>
        <v>0</v>
      </c>
      <c r="K756" s="10"/>
      <c r="L756" s="10"/>
      <c r="M756" s="10"/>
      <c r="N756" s="10"/>
      <c r="O756" s="71"/>
      <c r="P756" s="153"/>
    </row>
    <row r="757" spans="1:21" s="62" customFormat="1" x14ac:dyDescent="0.3">
      <c r="A757" s="158"/>
      <c r="B757" s="159"/>
      <c r="C757" s="159" t="s">
        <v>50</v>
      </c>
      <c r="D757" s="162"/>
      <c r="E757" s="160"/>
      <c r="F757" s="160"/>
      <c r="G757" s="10"/>
      <c r="H757" s="10">
        <f t="shared" si="256"/>
        <v>0</v>
      </c>
      <c r="I757" s="10"/>
      <c r="J757" s="10">
        <f t="shared" si="257"/>
        <v>0</v>
      </c>
      <c r="K757" s="10"/>
      <c r="L757" s="10"/>
      <c r="M757" s="10"/>
      <c r="N757" s="10"/>
      <c r="O757" s="71"/>
      <c r="P757" s="153"/>
    </row>
    <row r="758" spans="1:21" s="62" customFormat="1" x14ac:dyDescent="0.3">
      <c r="A758" s="158"/>
      <c r="B758" s="159"/>
      <c r="C758" s="159" t="s">
        <v>50</v>
      </c>
      <c r="D758" s="162"/>
      <c r="E758" s="160"/>
      <c r="F758" s="160"/>
      <c r="G758" s="10"/>
      <c r="H758" s="10">
        <f t="shared" si="184"/>
        <v>0</v>
      </c>
      <c r="I758" s="10"/>
      <c r="J758" s="10">
        <f t="shared" si="185"/>
        <v>0</v>
      </c>
      <c r="K758" s="10"/>
      <c r="L758" s="10"/>
      <c r="M758" s="10"/>
      <c r="N758" s="10"/>
      <c r="O758" s="71"/>
      <c r="P758" s="153"/>
    </row>
    <row r="759" spans="1:21" s="62" customFormat="1" x14ac:dyDescent="0.3">
      <c r="A759" s="158"/>
      <c r="B759" s="159"/>
      <c r="C759" s="159" t="s">
        <v>50</v>
      </c>
      <c r="D759" s="162"/>
      <c r="E759" s="160"/>
      <c r="F759" s="160"/>
      <c r="G759" s="10"/>
      <c r="H759" s="10">
        <f t="shared" si="184"/>
        <v>0</v>
      </c>
      <c r="I759" s="10"/>
      <c r="J759" s="10">
        <f t="shared" si="185"/>
        <v>0</v>
      </c>
      <c r="K759" s="10"/>
      <c r="L759" s="10"/>
      <c r="M759" s="10"/>
      <c r="N759" s="10"/>
      <c r="O759" s="71"/>
      <c r="P759" s="153"/>
    </row>
    <row r="760" spans="1:21" s="62" customFormat="1" ht="15" thickBot="1" x14ac:dyDescent="0.35">
      <c r="A760" s="158"/>
      <c r="B760" s="159"/>
      <c r="C760" s="159" t="s">
        <v>50</v>
      </c>
      <c r="D760" s="162"/>
      <c r="E760" s="160"/>
      <c r="F760" s="160"/>
      <c r="G760" s="10"/>
      <c r="H760" s="10">
        <f t="shared" si="184"/>
        <v>0</v>
      </c>
      <c r="I760" s="10"/>
      <c r="J760" s="10">
        <f t="shared" si="185"/>
        <v>0</v>
      </c>
      <c r="K760" s="10"/>
      <c r="L760" s="10"/>
      <c r="M760" s="10"/>
      <c r="N760" s="10"/>
      <c r="O760" s="71"/>
      <c r="P760" s="153"/>
    </row>
    <row r="761" spans="1:21" s="62" customFormat="1" ht="18.600000000000001" thickBot="1" x14ac:dyDescent="0.35">
      <c r="A761" s="618"/>
      <c r="B761" s="81">
        <f>SUM(B383:B760)</f>
        <v>452</v>
      </c>
      <c r="C761" s="619"/>
      <c r="D761" s="619"/>
      <c r="E761" s="619"/>
      <c r="F761" s="620"/>
      <c r="G761" s="202"/>
      <c r="H761" s="81">
        <f>SUM(H383:H760)</f>
        <v>1855.4184000000007</v>
      </c>
      <c r="I761" s="81"/>
      <c r="J761" s="81">
        <f>SUM(J383:J760)</f>
        <v>150.05667500000007</v>
      </c>
      <c r="K761" s="148"/>
      <c r="L761" s="148"/>
      <c r="M761" s="148"/>
      <c r="N761" s="148"/>
      <c r="O761" s="713"/>
      <c r="P761" s="714"/>
    </row>
    <row r="762" spans="1:21" s="62" customFormat="1" x14ac:dyDescent="0.3">
      <c r="A762" s="1"/>
      <c r="B762" s="1"/>
      <c r="C762" s="1"/>
      <c r="D762" s="8"/>
      <c r="E762" s="8"/>
      <c r="F762" s="8"/>
      <c r="G762" s="8"/>
      <c r="H762" s="8"/>
      <c r="I762" s="8"/>
      <c r="J762" s="8"/>
      <c r="K762" s="1"/>
      <c r="L762" s="1"/>
      <c r="M762"/>
      <c r="N762"/>
      <c r="O762" s="6"/>
      <c r="P762" s="1"/>
      <c r="Q762"/>
    </row>
    <row r="763" spans="1:21" x14ac:dyDescent="0.3">
      <c r="U763" s="117"/>
    </row>
  </sheetData>
  <mergeCells count="62">
    <mergeCell ref="A742:O742"/>
    <mergeCell ref="Q13:Q14"/>
    <mergeCell ref="Q16:Q375"/>
    <mergeCell ref="P380:P381"/>
    <mergeCell ref="H13:H14"/>
    <mergeCell ref="D13:F13"/>
    <mergeCell ref="G13:G14"/>
    <mergeCell ref="P16:P375"/>
    <mergeCell ref="A15:O15"/>
    <mergeCell ref="A22:O22"/>
    <mergeCell ref="A35:O35"/>
    <mergeCell ref="A140:O140"/>
    <mergeCell ref="A254:O254"/>
    <mergeCell ref="A67:O67"/>
    <mergeCell ref="A94:O94"/>
    <mergeCell ref="A192:O192"/>
    <mergeCell ref="A275:O275"/>
    <mergeCell ref="O761:P761"/>
    <mergeCell ref="J380:J381"/>
    <mergeCell ref="K380:K381"/>
    <mergeCell ref="M380:M381"/>
    <mergeCell ref="N380:N381"/>
    <mergeCell ref="O380:O381"/>
    <mergeCell ref="A382:P382"/>
    <mergeCell ref="A396:P396"/>
    <mergeCell ref="A478:P478"/>
    <mergeCell ref="A442:P442"/>
    <mergeCell ref="A408:P408"/>
    <mergeCell ref="A703:P703"/>
    <mergeCell ref="A697:P697"/>
    <mergeCell ref="A669:P669"/>
    <mergeCell ref="A598:P598"/>
    <mergeCell ref="A539:P539"/>
    <mergeCell ref="A1:P1"/>
    <mergeCell ref="A2:P2"/>
    <mergeCell ref="A3:P3"/>
    <mergeCell ref="A4:P4"/>
    <mergeCell ref="A5:P5"/>
    <mergeCell ref="A6:P6"/>
    <mergeCell ref="M13:M14"/>
    <mergeCell ref="N13:N14"/>
    <mergeCell ref="J13:J14"/>
    <mergeCell ref="K13:K14"/>
    <mergeCell ref="O13:O14"/>
    <mergeCell ref="P13:P14"/>
    <mergeCell ref="I13:I14"/>
    <mergeCell ref="A10:H11"/>
    <mergeCell ref="L13:L14"/>
    <mergeCell ref="A8:H8"/>
    <mergeCell ref="A9:H9"/>
    <mergeCell ref="C13:C14"/>
    <mergeCell ref="B13:B14"/>
    <mergeCell ref="A13:A14"/>
    <mergeCell ref="A281:O281"/>
    <mergeCell ref="A380:A381"/>
    <mergeCell ref="B380:B381"/>
    <mergeCell ref="C380:C381"/>
    <mergeCell ref="D380:F380"/>
    <mergeCell ref="H380:H381"/>
    <mergeCell ref="G380:G381"/>
    <mergeCell ref="I380:I381"/>
    <mergeCell ref="A311:O31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19" fitToHeight="5" orientation="landscape" r:id="rId1"/>
  <headerFooter>
    <oddFooter>&amp;C&amp;8Rua Ferreira Pena, 1.109 – Centro – Manaus/AM – Cel: (0**92) 98415-0793, Fone: (0**92) 3306-0045 – e-mail: enge.ifam@ifam.edu.br 
DIRETORIA DE INFRAESTRUTURA - DINFRA/IFAM&amp;R&amp;9Página &amp;P/&amp;N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  <pageSetUpPr fitToPage="1"/>
  </sheetPr>
  <dimension ref="A1:S172"/>
  <sheetViews>
    <sheetView showGridLines="0" view="pageBreakPreview" topLeftCell="A25" zoomScaleNormal="100" zoomScaleSheetLayoutView="100" workbookViewId="0">
      <selection activeCell="J31" sqref="J31"/>
    </sheetView>
  </sheetViews>
  <sheetFormatPr defaultColWidth="9.109375" defaultRowHeight="14.4" x14ac:dyDescent="0.3"/>
  <cols>
    <col min="1" max="1" width="10" style="62" customWidth="1"/>
    <col min="2" max="2" width="11.109375" style="62" customWidth="1"/>
    <col min="3" max="3" width="12.33203125" style="62" bestFit="1" customWidth="1"/>
    <col min="4" max="6" width="9.109375" style="62"/>
    <col min="7" max="7" width="12.44140625" style="62" bestFit="1" customWidth="1"/>
    <col min="8" max="8" width="15.5546875" style="62" bestFit="1" customWidth="1"/>
    <col min="9" max="9" width="16.6640625" style="62" bestFit="1" customWidth="1"/>
    <col min="10" max="10" width="30.6640625" style="62" bestFit="1" customWidth="1"/>
    <col min="11" max="11" width="15.5546875" style="62" customWidth="1"/>
    <col min="12" max="12" width="21.6640625" style="62" customWidth="1"/>
    <col min="13" max="17" width="9.109375" style="62"/>
    <col min="18" max="18" width="22.6640625" style="62" customWidth="1"/>
    <col min="19" max="16384" width="9.109375" style="62"/>
  </cols>
  <sheetData>
    <row r="1" spans="1:19" ht="12.9" customHeight="1" x14ac:dyDescent="0.3">
      <c r="A1" s="656" t="s">
        <v>36</v>
      </c>
      <c r="B1" s="656"/>
      <c r="C1" s="656"/>
      <c r="D1" s="656"/>
      <c r="E1" s="656"/>
      <c r="F1" s="656"/>
      <c r="G1" s="656"/>
      <c r="H1" s="656"/>
      <c r="I1" s="656"/>
      <c r="J1" s="656"/>
      <c r="K1" s="656"/>
      <c r="L1" s="656"/>
    </row>
    <row r="2" spans="1:19" ht="12.9" customHeight="1" x14ac:dyDescent="0.3">
      <c r="A2" s="656" t="s">
        <v>37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  <c r="L2" s="656"/>
    </row>
    <row r="3" spans="1:19" ht="12.9" customHeight="1" x14ac:dyDescent="0.3">
      <c r="A3" s="656" t="s">
        <v>39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</row>
    <row r="4" spans="1:19" ht="12.9" customHeight="1" x14ac:dyDescent="0.3">
      <c r="A4" s="656" t="s">
        <v>38</v>
      </c>
      <c r="B4" s="656"/>
      <c r="C4" s="656"/>
      <c r="D4" s="656"/>
      <c r="E4" s="656"/>
      <c r="F4" s="656"/>
      <c r="G4" s="656"/>
      <c r="H4" s="656"/>
      <c r="I4" s="656"/>
      <c r="J4" s="656"/>
      <c r="K4" s="656"/>
      <c r="L4" s="656"/>
    </row>
    <row r="5" spans="1:19" ht="12.9" customHeight="1" x14ac:dyDescent="0.3">
      <c r="A5" s="656" t="s">
        <v>162</v>
      </c>
      <c r="B5" s="656"/>
      <c r="C5" s="656"/>
      <c r="D5" s="656"/>
      <c r="E5" s="656"/>
      <c r="F5" s="656"/>
      <c r="G5" s="656"/>
      <c r="H5" s="656"/>
      <c r="I5" s="656"/>
      <c r="J5" s="656"/>
      <c r="K5" s="656"/>
      <c r="L5" s="656"/>
    </row>
    <row r="6" spans="1:19" ht="12.9" customHeight="1" x14ac:dyDescent="0.3">
      <c r="A6" s="656" t="s">
        <v>124</v>
      </c>
      <c r="B6" s="656"/>
      <c r="C6" s="656"/>
      <c r="D6" s="656"/>
      <c r="E6" s="656"/>
      <c r="F6" s="656"/>
      <c r="G6" s="656"/>
      <c r="H6" s="656"/>
      <c r="I6" s="656"/>
      <c r="J6" s="656"/>
      <c r="K6" s="656"/>
      <c r="L6" s="656"/>
    </row>
    <row r="7" spans="1:19" ht="5.0999999999999996" customHeight="1" x14ac:dyDescent="0.3">
      <c r="A7" s="310"/>
      <c r="B7" s="310"/>
      <c r="C7" s="310"/>
      <c r="D7" s="310"/>
      <c r="E7" s="310"/>
      <c r="F7" s="310"/>
      <c r="G7" s="310"/>
      <c r="H7" s="310"/>
      <c r="I7" s="310"/>
      <c r="J7" s="310"/>
      <c r="K7" s="310"/>
      <c r="L7" s="310"/>
    </row>
    <row r="8" spans="1:19" ht="18" x14ac:dyDescent="0.35">
      <c r="A8" s="696" t="s">
        <v>160</v>
      </c>
      <c r="B8" s="696"/>
      <c r="C8" s="696"/>
      <c r="D8" s="696"/>
      <c r="E8" s="696"/>
      <c r="F8" s="696"/>
      <c r="G8" s="696"/>
      <c r="H8" s="696"/>
      <c r="J8" s="12" t="s">
        <v>2079</v>
      </c>
      <c r="K8" s="15">
        <f>G103</f>
        <v>156.52800000000002</v>
      </c>
      <c r="L8" s="14" t="s">
        <v>14</v>
      </c>
    </row>
    <row r="9" spans="1:19" ht="18.75" customHeight="1" x14ac:dyDescent="0.35">
      <c r="A9" s="657" t="s">
        <v>161</v>
      </c>
      <c r="B9" s="657"/>
      <c r="C9" s="657"/>
      <c r="D9" s="657"/>
      <c r="E9" s="657"/>
      <c r="F9" s="657"/>
      <c r="G9" s="657"/>
      <c r="H9" s="657"/>
      <c r="I9" s="463"/>
      <c r="J9" s="12" t="s">
        <v>48</v>
      </c>
      <c r="K9" s="15">
        <f>H103</f>
        <v>15.48986</v>
      </c>
      <c r="L9" s="14" t="s">
        <v>15</v>
      </c>
    </row>
    <row r="10" spans="1:19" ht="20.100000000000001" customHeight="1" x14ac:dyDescent="0.3">
      <c r="A10" s="658"/>
      <c r="B10" s="658"/>
      <c r="C10" s="658"/>
      <c r="D10" s="658"/>
      <c r="E10" s="658"/>
      <c r="F10" s="658"/>
      <c r="G10" s="658"/>
      <c r="H10" s="658"/>
      <c r="I10" s="658"/>
      <c r="J10" s="658"/>
      <c r="K10" s="658"/>
      <c r="L10" s="658"/>
    </row>
    <row r="11" spans="1:19" ht="5.0999999999999996" customHeight="1" x14ac:dyDescent="0.35">
      <c r="A11" s="108"/>
      <c r="B11" s="108"/>
      <c r="C11" s="108"/>
      <c r="D11" s="108"/>
      <c r="E11" s="108"/>
      <c r="F11" s="108"/>
      <c r="G11" s="108"/>
      <c r="H11" s="108"/>
      <c r="I11" s="108"/>
      <c r="L11" s="15"/>
    </row>
    <row r="12" spans="1:19" x14ac:dyDescent="0.3">
      <c r="A12" s="3" t="s">
        <v>101</v>
      </c>
    </row>
    <row r="13" spans="1:19" ht="15" thickBot="1" x14ac:dyDescent="0.35">
      <c r="F13" s="721"/>
      <c r="G13" s="721"/>
      <c r="H13" s="721"/>
      <c r="I13" s="721"/>
      <c r="J13" s="722"/>
      <c r="O13" s="107"/>
      <c r="P13" s="106"/>
      <c r="Q13" s="106"/>
      <c r="R13" s="106"/>
      <c r="S13" s="106"/>
    </row>
    <row r="14" spans="1:19" x14ac:dyDescent="0.3">
      <c r="A14" s="659" t="s">
        <v>1</v>
      </c>
      <c r="B14" s="661" t="s">
        <v>9</v>
      </c>
      <c r="C14" s="661" t="s">
        <v>5</v>
      </c>
      <c r="D14" s="663" t="s">
        <v>6</v>
      </c>
      <c r="E14" s="664"/>
      <c r="F14" s="665"/>
      <c r="G14" s="661" t="s">
        <v>75</v>
      </c>
      <c r="H14" s="663" t="s">
        <v>8</v>
      </c>
      <c r="I14" s="673" t="s">
        <v>11</v>
      </c>
      <c r="J14" s="150"/>
    </row>
    <row r="15" spans="1:19" ht="15" thickBot="1" x14ac:dyDescent="0.35">
      <c r="A15" s="723"/>
      <c r="B15" s="724"/>
      <c r="C15" s="724"/>
      <c r="D15" s="487" t="s">
        <v>2</v>
      </c>
      <c r="E15" s="487" t="s">
        <v>3</v>
      </c>
      <c r="F15" s="487" t="s">
        <v>4</v>
      </c>
      <c r="G15" s="724"/>
      <c r="H15" s="725"/>
      <c r="I15" s="726"/>
    </row>
    <row r="16" spans="1:19" ht="15" thickBot="1" x14ac:dyDescent="0.35">
      <c r="A16" s="685" t="s">
        <v>281</v>
      </c>
      <c r="B16" s="686"/>
      <c r="C16" s="686"/>
      <c r="D16" s="686"/>
      <c r="E16" s="686"/>
      <c r="F16" s="686"/>
      <c r="G16" s="686"/>
      <c r="H16" s="686"/>
      <c r="I16" s="705"/>
    </row>
    <row r="17" spans="1:10" ht="15" customHeight="1" thickBot="1" x14ac:dyDescent="0.35">
      <c r="A17" s="488" t="s">
        <v>291</v>
      </c>
      <c r="B17" s="481">
        <v>1</v>
      </c>
      <c r="C17" s="481" t="s">
        <v>50</v>
      </c>
      <c r="D17" s="482">
        <v>2.8</v>
      </c>
      <c r="E17" s="482">
        <v>0.3</v>
      </c>
      <c r="F17" s="482">
        <v>0.1</v>
      </c>
      <c r="G17" s="462">
        <f>D17*E17</f>
        <v>0.84</v>
      </c>
      <c r="H17" s="490">
        <f>D17*E17*F17</f>
        <v>8.4000000000000005E-2</v>
      </c>
      <c r="I17" s="489"/>
    </row>
    <row r="18" spans="1:10" ht="15" thickBot="1" x14ac:dyDescent="0.35">
      <c r="A18" s="488" t="s">
        <v>292</v>
      </c>
      <c r="B18" s="159">
        <v>1</v>
      </c>
      <c r="C18" s="156" t="s">
        <v>50</v>
      </c>
      <c r="D18" s="476">
        <v>1.95</v>
      </c>
      <c r="E18" s="482">
        <v>0.3</v>
      </c>
      <c r="F18" s="482">
        <v>0.1</v>
      </c>
      <c r="G18" s="4">
        <f t="shared" ref="G18:G101" si="0">D18*E18</f>
        <v>0.58499999999999996</v>
      </c>
      <c r="H18" s="490">
        <f t="shared" ref="H18:H101" si="1">D18*E18*F18</f>
        <v>5.8499999999999996E-2</v>
      </c>
      <c r="I18" s="318"/>
      <c r="J18" s="106"/>
    </row>
    <row r="19" spans="1:10" ht="15" thickBot="1" x14ac:dyDescent="0.35">
      <c r="A19" s="488" t="s">
        <v>293</v>
      </c>
      <c r="B19" s="159">
        <v>1</v>
      </c>
      <c r="C19" s="156" t="s">
        <v>50</v>
      </c>
      <c r="D19" s="476">
        <v>2.8</v>
      </c>
      <c r="E19" s="482">
        <v>0.3</v>
      </c>
      <c r="F19" s="482">
        <v>0.1</v>
      </c>
      <c r="G19" s="4">
        <f t="shared" si="0"/>
        <v>0.84</v>
      </c>
      <c r="H19" s="490">
        <f t="shared" si="1"/>
        <v>8.4000000000000005E-2</v>
      </c>
      <c r="I19" s="318"/>
      <c r="J19" s="106"/>
    </row>
    <row r="20" spans="1:10" ht="15" thickBot="1" x14ac:dyDescent="0.35">
      <c r="A20" s="488" t="s">
        <v>294</v>
      </c>
      <c r="B20" s="159">
        <v>1</v>
      </c>
      <c r="C20" s="156" t="s">
        <v>50</v>
      </c>
      <c r="D20" s="476">
        <v>2.8</v>
      </c>
      <c r="E20" s="482">
        <v>0.3</v>
      </c>
      <c r="F20" s="482">
        <v>0.1</v>
      </c>
      <c r="G20" s="4">
        <f t="shared" si="0"/>
        <v>0.84</v>
      </c>
      <c r="H20" s="490">
        <f t="shared" si="1"/>
        <v>8.4000000000000005E-2</v>
      </c>
      <c r="I20" s="318"/>
    </row>
    <row r="21" spans="1:10" ht="15" thickBot="1" x14ac:dyDescent="0.35">
      <c r="A21" s="488" t="s">
        <v>295</v>
      </c>
      <c r="B21" s="159">
        <v>1</v>
      </c>
      <c r="C21" s="156" t="s">
        <v>50</v>
      </c>
      <c r="D21" s="476">
        <v>1.95</v>
      </c>
      <c r="E21" s="482">
        <v>0.3</v>
      </c>
      <c r="F21" s="482">
        <v>0.1</v>
      </c>
      <c r="G21" s="4">
        <f t="shared" si="0"/>
        <v>0.58499999999999996</v>
      </c>
      <c r="H21" s="490">
        <f t="shared" si="1"/>
        <v>5.8499999999999996E-2</v>
      </c>
      <c r="I21" s="318"/>
    </row>
    <row r="22" spans="1:10" ht="15" thickBot="1" x14ac:dyDescent="0.35">
      <c r="A22" s="488" t="s">
        <v>296</v>
      </c>
      <c r="B22" s="159">
        <v>1</v>
      </c>
      <c r="C22" s="156" t="s">
        <v>50</v>
      </c>
      <c r="D22" s="476">
        <v>2.8</v>
      </c>
      <c r="E22" s="482">
        <v>0.3</v>
      </c>
      <c r="F22" s="482">
        <v>0.1</v>
      </c>
      <c r="G22" s="4">
        <f t="shared" si="0"/>
        <v>0.84</v>
      </c>
      <c r="H22" s="490">
        <f t="shared" si="1"/>
        <v>8.4000000000000005E-2</v>
      </c>
      <c r="I22" s="318"/>
    </row>
    <row r="23" spans="1:10" ht="15" thickBot="1" x14ac:dyDescent="0.35">
      <c r="A23" s="488" t="s">
        <v>297</v>
      </c>
      <c r="B23" s="159">
        <v>1</v>
      </c>
      <c r="C23" s="156" t="s">
        <v>50</v>
      </c>
      <c r="D23" s="476">
        <v>2.8</v>
      </c>
      <c r="E23" s="482">
        <v>0.3</v>
      </c>
      <c r="F23" s="482">
        <v>0.1</v>
      </c>
      <c r="G23" s="4">
        <f t="shared" ref="G23:G32" si="2">D23*E23</f>
        <v>0.84</v>
      </c>
      <c r="H23" s="490">
        <f t="shared" si="1"/>
        <v>8.4000000000000005E-2</v>
      </c>
      <c r="I23" s="318"/>
      <c r="J23" s="106"/>
    </row>
    <row r="24" spans="1:10" ht="15" thickBot="1" x14ac:dyDescent="0.35">
      <c r="A24" s="488" t="s">
        <v>298</v>
      </c>
      <c r="B24" s="159">
        <v>1</v>
      </c>
      <c r="C24" s="156" t="s">
        <v>50</v>
      </c>
      <c r="D24" s="476">
        <v>1.95</v>
      </c>
      <c r="E24" s="482">
        <v>0.3</v>
      </c>
      <c r="F24" s="482">
        <v>0.1</v>
      </c>
      <c r="G24" s="4">
        <f t="shared" si="2"/>
        <v>0.58499999999999996</v>
      </c>
      <c r="H24" s="490">
        <f t="shared" si="1"/>
        <v>5.8499999999999996E-2</v>
      </c>
      <c r="I24" s="318"/>
      <c r="J24" s="106"/>
    </row>
    <row r="25" spans="1:10" ht="15" thickBot="1" x14ac:dyDescent="0.35">
      <c r="A25" s="488" t="s">
        <v>299</v>
      </c>
      <c r="B25" s="159">
        <v>1</v>
      </c>
      <c r="C25" s="156" t="s">
        <v>50</v>
      </c>
      <c r="D25" s="476">
        <v>2.8</v>
      </c>
      <c r="E25" s="482">
        <v>0.3</v>
      </c>
      <c r="F25" s="482">
        <v>0.1</v>
      </c>
      <c r="G25" s="4">
        <f t="shared" si="2"/>
        <v>0.84</v>
      </c>
      <c r="H25" s="490">
        <f t="shared" si="1"/>
        <v>8.4000000000000005E-2</v>
      </c>
      <c r="I25" s="318"/>
    </row>
    <row r="26" spans="1:10" ht="15" thickBot="1" x14ac:dyDescent="0.35">
      <c r="A26" s="488" t="s">
        <v>300</v>
      </c>
      <c r="B26" s="159">
        <v>1</v>
      </c>
      <c r="C26" s="156" t="s">
        <v>50</v>
      </c>
      <c r="D26" s="476">
        <v>3.85</v>
      </c>
      <c r="E26" s="482">
        <v>0.3</v>
      </c>
      <c r="F26" s="482">
        <v>0.1</v>
      </c>
      <c r="G26" s="4">
        <f t="shared" si="2"/>
        <v>1.155</v>
      </c>
      <c r="H26" s="490">
        <f t="shared" si="1"/>
        <v>0.11550000000000001</v>
      </c>
      <c r="I26" s="318"/>
    </row>
    <row r="27" spans="1:10" ht="15" thickBot="1" x14ac:dyDescent="0.35">
      <c r="A27" s="685" t="s">
        <v>323</v>
      </c>
      <c r="B27" s="686"/>
      <c r="C27" s="686"/>
      <c r="D27" s="686"/>
      <c r="E27" s="686"/>
      <c r="F27" s="686"/>
      <c r="G27" s="686"/>
      <c r="H27" s="686"/>
      <c r="I27" s="705"/>
    </row>
    <row r="28" spans="1:10" ht="15" thickBot="1" x14ac:dyDescent="0.35">
      <c r="A28" s="488" t="s">
        <v>415</v>
      </c>
      <c r="B28" s="159">
        <v>1</v>
      </c>
      <c r="C28" s="156" t="s">
        <v>50</v>
      </c>
      <c r="D28" s="476">
        <v>3.58</v>
      </c>
      <c r="E28" s="476">
        <v>1.85</v>
      </c>
      <c r="F28" s="476">
        <v>0.1</v>
      </c>
      <c r="G28" s="4">
        <f t="shared" si="2"/>
        <v>6.6230000000000002</v>
      </c>
      <c r="H28" s="490">
        <f t="shared" si="1"/>
        <v>0.66230000000000011</v>
      </c>
      <c r="I28" s="318"/>
    </row>
    <row r="29" spans="1:10" ht="15" thickBot="1" x14ac:dyDescent="0.35">
      <c r="A29" s="488" t="s">
        <v>416</v>
      </c>
      <c r="B29" s="159">
        <v>1</v>
      </c>
      <c r="C29" s="156" t="s">
        <v>50</v>
      </c>
      <c r="D29" s="476">
        <v>4.12</v>
      </c>
      <c r="E29" s="476">
        <v>1.85</v>
      </c>
      <c r="F29" s="476">
        <v>0.1</v>
      </c>
      <c r="G29" s="4">
        <f t="shared" si="2"/>
        <v>7.6220000000000008</v>
      </c>
      <c r="H29" s="490">
        <f t="shared" si="1"/>
        <v>0.7622000000000001</v>
      </c>
      <c r="I29" s="318"/>
      <c r="J29" s="106"/>
    </row>
    <row r="30" spans="1:10" ht="15" thickBot="1" x14ac:dyDescent="0.35">
      <c r="A30" s="488" t="s">
        <v>417</v>
      </c>
      <c r="B30" s="159">
        <v>1</v>
      </c>
      <c r="C30" s="156" t="s">
        <v>50</v>
      </c>
      <c r="D30" s="476">
        <v>3.85</v>
      </c>
      <c r="E30" s="476">
        <v>0.4</v>
      </c>
      <c r="F30" s="476">
        <v>0.1</v>
      </c>
      <c r="G30" s="4">
        <f t="shared" si="2"/>
        <v>1.54</v>
      </c>
      <c r="H30" s="490">
        <f t="shared" si="1"/>
        <v>0.15400000000000003</v>
      </c>
      <c r="I30" s="318"/>
    </row>
    <row r="31" spans="1:10" ht="15" thickBot="1" x14ac:dyDescent="0.35">
      <c r="A31" s="488" t="s">
        <v>418</v>
      </c>
      <c r="B31" s="159">
        <v>1</v>
      </c>
      <c r="C31" s="156" t="s">
        <v>50</v>
      </c>
      <c r="D31" s="476">
        <v>1.95</v>
      </c>
      <c r="E31" s="476">
        <v>0.4</v>
      </c>
      <c r="F31" s="476">
        <v>0.1</v>
      </c>
      <c r="G31" s="4">
        <f t="shared" si="2"/>
        <v>0.78</v>
      </c>
      <c r="H31" s="490">
        <f t="shared" si="1"/>
        <v>7.8000000000000014E-2</v>
      </c>
      <c r="I31" s="318"/>
    </row>
    <row r="32" spans="1:10" ht="15" thickBot="1" x14ac:dyDescent="0.35">
      <c r="A32" s="488" t="s">
        <v>419</v>
      </c>
      <c r="B32" s="159">
        <v>1</v>
      </c>
      <c r="C32" s="156" t="s">
        <v>50</v>
      </c>
      <c r="D32" s="476">
        <v>3.65</v>
      </c>
      <c r="E32" s="476">
        <v>0.4</v>
      </c>
      <c r="F32" s="476">
        <v>0.1</v>
      </c>
      <c r="G32" s="4">
        <f t="shared" si="2"/>
        <v>1.46</v>
      </c>
      <c r="H32" s="490">
        <f t="shared" si="1"/>
        <v>0.14599999999999999</v>
      </c>
      <c r="I32" s="318"/>
    </row>
    <row r="33" spans="1:10" ht="15" thickBot="1" x14ac:dyDescent="0.35">
      <c r="A33" s="488" t="s">
        <v>420</v>
      </c>
      <c r="B33" s="159">
        <v>1</v>
      </c>
      <c r="C33" s="156" t="s">
        <v>50</v>
      </c>
      <c r="D33" s="476">
        <v>1.95</v>
      </c>
      <c r="E33" s="476">
        <v>0.4</v>
      </c>
      <c r="F33" s="476">
        <v>0.1</v>
      </c>
      <c r="G33" s="4">
        <f t="shared" ref="G33:G98" si="3">D33*E33</f>
        <v>0.78</v>
      </c>
      <c r="H33" s="490">
        <f t="shared" si="1"/>
        <v>7.8000000000000014E-2</v>
      </c>
      <c r="I33" s="318"/>
      <c r="J33" s="106"/>
    </row>
    <row r="34" spans="1:10" ht="15" thickBot="1" x14ac:dyDescent="0.35">
      <c r="A34" s="488" t="s">
        <v>421</v>
      </c>
      <c r="B34" s="159">
        <v>1</v>
      </c>
      <c r="C34" s="156" t="s">
        <v>50</v>
      </c>
      <c r="D34" s="476">
        <v>3.85</v>
      </c>
      <c r="E34" s="476">
        <v>0.4</v>
      </c>
      <c r="F34" s="476">
        <v>0.1</v>
      </c>
      <c r="G34" s="4">
        <f t="shared" si="3"/>
        <v>1.54</v>
      </c>
      <c r="H34" s="490">
        <f t="shared" si="1"/>
        <v>0.15400000000000003</v>
      </c>
      <c r="I34" s="318"/>
      <c r="J34" s="106"/>
    </row>
    <row r="35" spans="1:10" ht="15" thickBot="1" x14ac:dyDescent="0.35">
      <c r="A35" s="685" t="s">
        <v>422</v>
      </c>
      <c r="B35" s="686"/>
      <c r="C35" s="686"/>
      <c r="D35" s="686"/>
      <c r="E35" s="686"/>
      <c r="F35" s="686"/>
      <c r="G35" s="686"/>
      <c r="H35" s="686"/>
      <c r="I35" s="705"/>
    </row>
    <row r="36" spans="1:10" ht="15" thickBot="1" x14ac:dyDescent="0.35">
      <c r="A36" s="488" t="s">
        <v>562</v>
      </c>
      <c r="B36" s="159">
        <v>1</v>
      </c>
      <c r="C36" s="156" t="s">
        <v>50</v>
      </c>
      <c r="D36" s="476">
        <v>3.85</v>
      </c>
      <c r="E36" s="476">
        <v>1.8</v>
      </c>
      <c r="F36" s="476">
        <v>0.1</v>
      </c>
      <c r="G36" s="4">
        <f t="shared" ref="G36:G84" si="4">D36*E36</f>
        <v>6.9300000000000006</v>
      </c>
      <c r="H36" s="490">
        <f t="shared" ref="H36:H84" si="5">D36*E36*F36</f>
        <v>0.69300000000000006</v>
      </c>
      <c r="I36" s="318"/>
    </row>
    <row r="37" spans="1:10" ht="15" thickBot="1" x14ac:dyDescent="0.35">
      <c r="A37" s="488" t="s">
        <v>563</v>
      </c>
      <c r="B37" s="159">
        <v>1</v>
      </c>
      <c r="C37" s="156" t="s">
        <v>50</v>
      </c>
      <c r="D37" s="476">
        <v>3.58</v>
      </c>
      <c r="E37" s="476">
        <v>1.8</v>
      </c>
      <c r="F37" s="476">
        <v>0.1</v>
      </c>
      <c r="G37" s="4">
        <f t="shared" si="4"/>
        <v>6.444</v>
      </c>
      <c r="H37" s="490">
        <f t="shared" si="5"/>
        <v>0.64440000000000008</v>
      </c>
      <c r="I37" s="318"/>
    </row>
    <row r="38" spans="1:10" ht="15" thickBot="1" x14ac:dyDescent="0.35">
      <c r="A38" s="488" t="s">
        <v>564</v>
      </c>
      <c r="B38" s="159">
        <v>1</v>
      </c>
      <c r="C38" s="156" t="s">
        <v>50</v>
      </c>
      <c r="D38" s="476">
        <v>4.13</v>
      </c>
      <c r="E38" s="476">
        <v>1.8</v>
      </c>
      <c r="F38" s="476">
        <v>0.1</v>
      </c>
      <c r="G38" s="4">
        <f t="shared" si="4"/>
        <v>7.4340000000000002</v>
      </c>
      <c r="H38" s="490">
        <f t="shared" si="5"/>
        <v>0.74340000000000006</v>
      </c>
      <c r="I38" s="318"/>
    </row>
    <row r="39" spans="1:10" ht="15" thickBot="1" x14ac:dyDescent="0.35">
      <c r="A39" s="488" t="s">
        <v>565</v>
      </c>
      <c r="B39" s="159">
        <v>1</v>
      </c>
      <c r="C39" s="156" t="s">
        <v>50</v>
      </c>
      <c r="D39" s="476">
        <v>1.76</v>
      </c>
      <c r="E39" s="476">
        <v>0.6</v>
      </c>
      <c r="F39" s="476">
        <v>0.1</v>
      </c>
      <c r="G39" s="4">
        <f t="shared" si="4"/>
        <v>1.056</v>
      </c>
      <c r="H39" s="490">
        <f t="shared" si="5"/>
        <v>0.10560000000000001</v>
      </c>
      <c r="I39" s="318"/>
    </row>
    <row r="40" spans="1:10" ht="15" thickBot="1" x14ac:dyDescent="0.35">
      <c r="A40" s="488" t="s">
        <v>566</v>
      </c>
      <c r="B40" s="159">
        <v>1</v>
      </c>
      <c r="C40" s="156" t="s">
        <v>50</v>
      </c>
      <c r="D40" s="476">
        <v>0.89</v>
      </c>
      <c r="E40" s="476">
        <v>0.6</v>
      </c>
      <c r="F40" s="476">
        <v>0.1</v>
      </c>
      <c r="G40" s="4">
        <f t="shared" si="4"/>
        <v>0.53400000000000003</v>
      </c>
      <c r="H40" s="490">
        <f t="shared" si="5"/>
        <v>5.3400000000000003E-2</v>
      </c>
      <c r="I40" s="318"/>
    </row>
    <row r="41" spans="1:10" ht="15" thickBot="1" x14ac:dyDescent="0.35">
      <c r="A41" s="488" t="s">
        <v>567</v>
      </c>
      <c r="B41" s="159">
        <v>1</v>
      </c>
      <c r="C41" s="156" t="s">
        <v>50</v>
      </c>
      <c r="D41" s="476">
        <v>0.9</v>
      </c>
      <c r="E41" s="476">
        <v>0.6</v>
      </c>
      <c r="F41" s="476">
        <v>0.1</v>
      </c>
      <c r="G41" s="4">
        <f t="shared" si="4"/>
        <v>0.54</v>
      </c>
      <c r="H41" s="490">
        <f t="shared" si="5"/>
        <v>5.4000000000000006E-2</v>
      </c>
      <c r="I41" s="318"/>
    </row>
    <row r="42" spans="1:10" ht="15" thickBot="1" x14ac:dyDescent="0.35">
      <c r="A42" s="488" t="s">
        <v>568</v>
      </c>
      <c r="B42" s="159">
        <v>1</v>
      </c>
      <c r="C42" s="156" t="s">
        <v>50</v>
      </c>
      <c r="D42" s="476">
        <v>0.9</v>
      </c>
      <c r="E42" s="476">
        <v>0.6</v>
      </c>
      <c r="F42" s="476">
        <v>0.1</v>
      </c>
      <c r="G42" s="4">
        <f t="shared" si="4"/>
        <v>0.54</v>
      </c>
      <c r="H42" s="490">
        <f t="shared" si="5"/>
        <v>5.4000000000000006E-2</v>
      </c>
      <c r="I42" s="318"/>
    </row>
    <row r="43" spans="1:10" ht="15" thickBot="1" x14ac:dyDescent="0.35">
      <c r="A43" s="488" t="s">
        <v>569</v>
      </c>
      <c r="B43" s="159">
        <v>1</v>
      </c>
      <c r="C43" s="156" t="s">
        <v>50</v>
      </c>
      <c r="D43" s="476">
        <v>0.9</v>
      </c>
      <c r="E43" s="476">
        <v>0.6</v>
      </c>
      <c r="F43" s="476">
        <v>0.1</v>
      </c>
      <c r="G43" s="4">
        <f t="shared" si="4"/>
        <v>0.54</v>
      </c>
      <c r="H43" s="490">
        <f t="shared" si="5"/>
        <v>5.4000000000000006E-2</v>
      </c>
      <c r="I43" s="318"/>
    </row>
    <row r="44" spans="1:10" ht="15" thickBot="1" x14ac:dyDescent="0.35">
      <c r="A44" s="488" t="s">
        <v>570</v>
      </c>
      <c r="B44" s="159">
        <v>1</v>
      </c>
      <c r="C44" s="156" t="s">
        <v>50</v>
      </c>
      <c r="D44" s="476">
        <v>1.75</v>
      </c>
      <c r="E44" s="476">
        <v>0.6</v>
      </c>
      <c r="F44" s="476">
        <v>0.1</v>
      </c>
      <c r="G44" s="4">
        <f t="shared" si="4"/>
        <v>1.05</v>
      </c>
      <c r="H44" s="490">
        <f t="shared" si="5"/>
        <v>0.10500000000000001</v>
      </c>
      <c r="I44" s="318"/>
    </row>
    <row r="45" spans="1:10" ht="15" thickBot="1" x14ac:dyDescent="0.35">
      <c r="A45" s="488" t="s">
        <v>571</v>
      </c>
      <c r="B45" s="159">
        <v>1</v>
      </c>
      <c r="C45" s="156" t="s">
        <v>50</v>
      </c>
      <c r="D45" s="476">
        <v>1.75</v>
      </c>
      <c r="E45" s="476">
        <v>0.6</v>
      </c>
      <c r="F45" s="476">
        <v>0.1</v>
      </c>
      <c r="G45" s="4">
        <f t="shared" ref="G45:G52" si="6">D45*E45</f>
        <v>1.05</v>
      </c>
      <c r="H45" s="490">
        <f t="shared" ref="H45:H52" si="7">D45*E45*F45</f>
        <v>0.10500000000000001</v>
      </c>
      <c r="I45" s="318"/>
    </row>
    <row r="46" spans="1:10" ht="15" thickBot="1" x14ac:dyDescent="0.35">
      <c r="A46" s="488" t="s">
        <v>572</v>
      </c>
      <c r="B46" s="159">
        <v>1</v>
      </c>
      <c r="C46" s="156" t="s">
        <v>50</v>
      </c>
      <c r="D46" s="476">
        <v>0.9</v>
      </c>
      <c r="E46" s="476">
        <v>0.6</v>
      </c>
      <c r="F46" s="476">
        <v>0.1</v>
      </c>
      <c r="G46" s="4">
        <f t="shared" si="6"/>
        <v>0.54</v>
      </c>
      <c r="H46" s="490">
        <f t="shared" si="7"/>
        <v>5.4000000000000006E-2</v>
      </c>
      <c r="I46" s="318"/>
    </row>
    <row r="47" spans="1:10" ht="15" thickBot="1" x14ac:dyDescent="0.35">
      <c r="A47" s="488" t="s">
        <v>573</v>
      </c>
      <c r="B47" s="159">
        <v>1</v>
      </c>
      <c r="C47" s="156" t="s">
        <v>50</v>
      </c>
      <c r="D47" s="476">
        <v>0.9</v>
      </c>
      <c r="E47" s="476">
        <v>0.6</v>
      </c>
      <c r="F47" s="476">
        <v>0.1</v>
      </c>
      <c r="G47" s="4">
        <f t="shared" si="6"/>
        <v>0.54</v>
      </c>
      <c r="H47" s="490">
        <f t="shared" si="7"/>
        <v>5.4000000000000006E-2</v>
      </c>
      <c r="I47" s="318"/>
    </row>
    <row r="48" spans="1:10" ht="15" thickBot="1" x14ac:dyDescent="0.35">
      <c r="A48" s="488" t="s">
        <v>574</v>
      </c>
      <c r="B48" s="159">
        <v>1</v>
      </c>
      <c r="C48" s="156" t="s">
        <v>50</v>
      </c>
      <c r="D48" s="476">
        <v>0.9</v>
      </c>
      <c r="E48" s="476">
        <v>0.6</v>
      </c>
      <c r="F48" s="476">
        <v>0.1</v>
      </c>
      <c r="G48" s="4">
        <f t="shared" si="6"/>
        <v>0.54</v>
      </c>
      <c r="H48" s="490">
        <f t="shared" si="7"/>
        <v>5.4000000000000006E-2</v>
      </c>
      <c r="I48" s="318"/>
    </row>
    <row r="49" spans="1:9" ht="15" thickBot="1" x14ac:dyDescent="0.35">
      <c r="A49" s="488" t="s">
        <v>575</v>
      </c>
      <c r="B49" s="159">
        <v>1</v>
      </c>
      <c r="C49" s="156" t="s">
        <v>50</v>
      </c>
      <c r="D49" s="476">
        <v>0.91</v>
      </c>
      <c r="E49" s="476">
        <v>0.6</v>
      </c>
      <c r="F49" s="476">
        <v>0.1</v>
      </c>
      <c r="G49" s="4">
        <f t="shared" si="6"/>
        <v>0.54600000000000004</v>
      </c>
      <c r="H49" s="490">
        <f t="shared" si="7"/>
        <v>5.460000000000001E-2</v>
      </c>
      <c r="I49" s="318"/>
    </row>
    <row r="50" spans="1:9" ht="15" thickBot="1" x14ac:dyDescent="0.35">
      <c r="A50" s="488" t="s">
        <v>576</v>
      </c>
      <c r="B50" s="159">
        <v>1</v>
      </c>
      <c r="C50" s="156" t="s">
        <v>50</v>
      </c>
      <c r="D50" s="476">
        <v>2.02</v>
      </c>
      <c r="E50" s="476">
        <v>0.6</v>
      </c>
      <c r="F50" s="476">
        <v>0.1</v>
      </c>
      <c r="G50" s="4">
        <f t="shared" si="6"/>
        <v>1.212</v>
      </c>
      <c r="H50" s="490">
        <f t="shared" si="7"/>
        <v>0.1212</v>
      </c>
      <c r="I50" s="318"/>
    </row>
    <row r="51" spans="1:9" ht="15" thickBot="1" x14ac:dyDescent="0.35">
      <c r="A51" s="488" t="s">
        <v>577</v>
      </c>
      <c r="B51" s="159">
        <v>1</v>
      </c>
      <c r="C51" s="156" t="s">
        <v>50</v>
      </c>
      <c r="D51" s="476">
        <v>1.48</v>
      </c>
      <c r="E51" s="476">
        <v>0.6</v>
      </c>
      <c r="F51" s="476">
        <v>0.1</v>
      </c>
      <c r="G51" s="4">
        <f t="shared" si="6"/>
        <v>0.88800000000000001</v>
      </c>
      <c r="H51" s="490">
        <f t="shared" si="7"/>
        <v>8.8800000000000004E-2</v>
      </c>
      <c r="I51" s="318"/>
    </row>
    <row r="52" spans="1:9" ht="15" thickBot="1" x14ac:dyDescent="0.35">
      <c r="A52" s="488" t="s">
        <v>578</v>
      </c>
      <c r="B52" s="159">
        <v>1</v>
      </c>
      <c r="C52" s="156" t="s">
        <v>50</v>
      </c>
      <c r="D52" s="476">
        <v>0.9</v>
      </c>
      <c r="E52" s="476">
        <v>0.6</v>
      </c>
      <c r="F52" s="476">
        <v>0.1</v>
      </c>
      <c r="G52" s="4">
        <f t="shared" si="6"/>
        <v>0.54</v>
      </c>
      <c r="H52" s="490">
        <f t="shared" si="7"/>
        <v>5.4000000000000006E-2</v>
      </c>
      <c r="I52" s="318"/>
    </row>
    <row r="53" spans="1:9" ht="15" thickBot="1" x14ac:dyDescent="0.35">
      <c r="A53" s="488" t="s">
        <v>579</v>
      </c>
      <c r="B53" s="159">
        <v>1</v>
      </c>
      <c r="C53" s="156" t="s">
        <v>50</v>
      </c>
      <c r="D53" s="476">
        <v>0.9</v>
      </c>
      <c r="E53" s="476">
        <v>0.6</v>
      </c>
      <c r="F53" s="476">
        <v>0.1</v>
      </c>
      <c r="G53" s="4">
        <f t="shared" ref="G53:G81" si="8">D53*E53</f>
        <v>0.54</v>
      </c>
      <c r="H53" s="490">
        <f t="shared" ref="H53:H81" si="9">D53*E53*F53</f>
        <v>5.4000000000000006E-2</v>
      </c>
      <c r="I53" s="318"/>
    </row>
    <row r="54" spans="1:9" ht="15" thickBot="1" x14ac:dyDescent="0.35">
      <c r="A54" s="488" t="s">
        <v>580</v>
      </c>
      <c r="B54" s="159">
        <v>1</v>
      </c>
      <c r="C54" s="156" t="s">
        <v>50</v>
      </c>
      <c r="D54" s="476">
        <v>0.9</v>
      </c>
      <c r="E54" s="476">
        <v>0.6</v>
      </c>
      <c r="F54" s="476">
        <v>0.1</v>
      </c>
      <c r="G54" s="4">
        <f t="shared" si="8"/>
        <v>0.54</v>
      </c>
      <c r="H54" s="490">
        <f t="shared" si="9"/>
        <v>5.4000000000000006E-2</v>
      </c>
      <c r="I54" s="318"/>
    </row>
    <row r="55" spans="1:9" ht="15" thickBot="1" x14ac:dyDescent="0.35">
      <c r="A55" s="488" t="s">
        <v>581</v>
      </c>
      <c r="B55" s="159">
        <v>1</v>
      </c>
      <c r="C55" s="156" t="s">
        <v>50</v>
      </c>
      <c r="D55" s="476">
        <v>0.9</v>
      </c>
      <c r="E55" s="476">
        <v>0.6</v>
      </c>
      <c r="F55" s="476">
        <v>0.1</v>
      </c>
      <c r="G55" s="4">
        <f t="shared" si="8"/>
        <v>0.54</v>
      </c>
      <c r="H55" s="490">
        <f t="shared" si="9"/>
        <v>5.4000000000000006E-2</v>
      </c>
      <c r="I55" s="318"/>
    </row>
    <row r="56" spans="1:9" ht="15" thickBot="1" x14ac:dyDescent="0.35">
      <c r="A56" s="488" t="s">
        <v>582</v>
      </c>
      <c r="B56" s="159">
        <v>1</v>
      </c>
      <c r="C56" s="156" t="s">
        <v>50</v>
      </c>
      <c r="D56" s="476">
        <v>1.75</v>
      </c>
      <c r="E56" s="476">
        <v>0.6</v>
      </c>
      <c r="F56" s="476">
        <v>0.1</v>
      </c>
      <c r="G56" s="4">
        <f t="shared" si="8"/>
        <v>1.05</v>
      </c>
      <c r="H56" s="490">
        <f t="shared" si="9"/>
        <v>0.10500000000000001</v>
      </c>
      <c r="I56" s="318"/>
    </row>
    <row r="57" spans="1:9" ht="15" thickBot="1" x14ac:dyDescent="0.35">
      <c r="A57" s="685" t="s">
        <v>583</v>
      </c>
      <c r="B57" s="686"/>
      <c r="C57" s="686"/>
      <c r="D57" s="686"/>
      <c r="E57" s="686"/>
      <c r="F57" s="686"/>
      <c r="G57" s="686"/>
      <c r="H57" s="686"/>
      <c r="I57" s="705"/>
    </row>
    <row r="58" spans="1:9" ht="15" thickBot="1" x14ac:dyDescent="0.35">
      <c r="A58" s="488" t="s">
        <v>726</v>
      </c>
      <c r="B58" s="159">
        <v>1</v>
      </c>
      <c r="C58" s="156" t="s">
        <v>50</v>
      </c>
      <c r="D58" s="476">
        <v>1.85</v>
      </c>
      <c r="E58" s="476">
        <v>3.58</v>
      </c>
      <c r="F58" s="476">
        <v>0.1</v>
      </c>
      <c r="G58" s="4">
        <f t="shared" si="8"/>
        <v>6.6230000000000002</v>
      </c>
      <c r="H58" s="490">
        <f t="shared" si="9"/>
        <v>0.66230000000000011</v>
      </c>
      <c r="I58" s="318"/>
    </row>
    <row r="59" spans="1:9" ht="15" thickBot="1" x14ac:dyDescent="0.35">
      <c r="A59" s="488" t="s">
        <v>727</v>
      </c>
      <c r="B59" s="159">
        <v>1</v>
      </c>
      <c r="C59" s="156" t="s">
        <v>50</v>
      </c>
      <c r="D59" s="476">
        <v>1.85</v>
      </c>
      <c r="E59" s="476">
        <v>4.12</v>
      </c>
      <c r="F59" s="476">
        <v>0.1</v>
      </c>
      <c r="G59" s="4">
        <f t="shared" ref="G59:G69" si="10">D59*E59</f>
        <v>7.6220000000000008</v>
      </c>
      <c r="H59" s="490">
        <f t="shared" ref="H59:H69" si="11">D59*E59*F59</f>
        <v>0.7622000000000001</v>
      </c>
      <c r="I59" s="318"/>
    </row>
    <row r="60" spans="1:9" ht="15" thickBot="1" x14ac:dyDescent="0.35">
      <c r="A60" s="488" t="s">
        <v>728</v>
      </c>
      <c r="B60" s="159">
        <v>1</v>
      </c>
      <c r="C60" s="156" t="s">
        <v>50</v>
      </c>
      <c r="D60" s="476">
        <v>1.85</v>
      </c>
      <c r="E60" s="476">
        <v>3.58</v>
      </c>
      <c r="F60" s="476">
        <v>0.1</v>
      </c>
      <c r="G60" s="4">
        <f t="shared" si="10"/>
        <v>6.6230000000000002</v>
      </c>
      <c r="H60" s="490">
        <f t="shared" si="11"/>
        <v>0.66230000000000011</v>
      </c>
      <c r="I60" s="318"/>
    </row>
    <row r="61" spans="1:9" ht="15" thickBot="1" x14ac:dyDescent="0.35">
      <c r="A61" s="488" t="s">
        <v>729</v>
      </c>
      <c r="B61" s="159">
        <v>1</v>
      </c>
      <c r="C61" s="156" t="s">
        <v>50</v>
      </c>
      <c r="D61" s="476">
        <v>1.85</v>
      </c>
      <c r="E61" s="476">
        <v>4.12</v>
      </c>
      <c r="F61" s="476">
        <v>0.1</v>
      </c>
      <c r="G61" s="4">
        <f t="shared" si="10"/>
        <v>7.6220000000000008</v>
      </c>
      <c r="H61" s="490">
        <f t="shared" si="11"/>
        <v>0.7622000000000001</v>
      </c>
      <c r="I61" s="318"/>
    </row>
    <row r="62" spans="1:9" ht="15" thickBot="1" x14ac:dyDescent="0.35">
      <c r="A62" s="488" t="s">
        <v>730</v>
      </c>
      <c r="B62" s="159">
        <v>1</v>
      </c>
      <c r="C62" s="156" t="s">
        <v>50</v>
      </c>
      <c r="D62" s="476">
        <v>3.85</v>
      </c>
      <c r="E62" s="476">
        <v>0.4</v>
      </c>
      <c r="F62" s="476">
        <v>0.1</v>
      </c>
      <c r="G62" s="4">
        <f t="shared" si="10"/>
        <v>1.54</v>
      </c>
      <c r="H62" s="490">
        <f t="shared" si="11"/>
        <v>0.15400000000000003</v>
      </c>
      <c r="I62" s="318"/>
    </row>
    <row r="63" spans="1:9" ht="15" thickBot="1" x14ac:dyDescent="0.35">
      <c r="A63" s="488" t="s">
        <v>731</v>
      </c>
      <c r="B63" s="159">
        <v>1</v>
      </c>
      <c r="C63" s="156" t="s">
        <v>50</v>
      </c>
      <c r="D63" s="476">
        <v>1.95</v>
      </c>
      <c r="E63" s="476">
        <v>0.4</v>
      </c>
      <c r="F63" s="476">
        <v>0.1</v>
      </c>
      <c r="G63" s="4">
        <f t="shared" si="10"/>
        <v>0.78</v>
      </c>
      <c r="H63" s="490">
        <f t="shared" si="11"/>
        <v>7.8000000000000014E-2</v>
      </c>
      <c r="I63" s="318"/>
    </row>
    <row r="64" spans="1:9" ht="15" thickBot="1" x14ac:dyDescent="0.35">
      <c r="A64" s="488" t="s">
        <v>732</v>
      </c>
      <c r="B64" s="159">
        <v>1</v>
      </c>
      <c r="C64" s="156" t="s">
        <v>50</v>
      </c>
      <c r="D64" s="476">
        <v>3.65</v>
      </c>
      <c r="E64" s="476">
        <v>0.4</v>
      </c>
      <c r="F64" s="476">
        <v>0.1</v>
      </c>
      <c r="G64" s="4">
        <f t="shared" si="10"/>
        <v>1.46</v>
      </c>
      <c r="H64" s="490">
        <f t="shared" si="11"/>
        <v>0.14599999999999999</v>
      </c>
      <c r="I64" s="318"/>
    </row>
    <row r="65" spans="1:9" ht="15" thickBot="1" x14ac:dyDescent="0.35">
      <c r="A65" s="488" t="s">
        <v>733</v>
      </c>
      <c r="B65" s="159">
        <v>1</v>
      </c>
      <c r="C65" s="156" t="s">
        <v>50</v>
      </c>
      <c r="D65" s="476">
        <v>1.95</v>
      </c>
      <c r="E65" s="476">
        <v>0.4</v>
      </c>
      <c r="F65" s="476">
        <v>0.1</v>
      </c>
      <c r="G65" s="4">
        <f t="shared" si="10"/>
        <v>0.78</v>
      </c>
      <c r="H65" s="490">
        <f t="shared" si="11"/>
        <v>7.8000000000000014E-2</v>
      </c>
      <c r="I65" s="318"/>
    </row>
    <row r="66" spans="1:9" ht="15" thickBot="1" x14ac:dyDescent="0.35">
      <c r="A66" s="488" t="s">
        <v>734</v>
      </c>
      <c r="B66" s="159">
        <v>1</v>
      </c>
      <c r="C66" s="156" t="s">
        <v>50</v>
      </c>
      <c r="D66" s="476">
        <v>3.85</v>
      </c>
      <c r="E66" s="476">
        <v>0.4</v>
      </c>
      <c r="F66" s="476">
        <v>0.1</v>
      </c>
      <c r="G66" s="4">
        <f t="shared" si="10"/>
        <v>1.54</v>
      </c>
      <c r="H66" s="490">
        <f t="shared" si="11"/>
        <v>0.15400000000000003</v>
      </c>
      <c r="I66" s="318"/>
    </row>
    <row r="67" spans="1:9" ht="15" thickBot="1" x14ac:dyDescent="0.35">
      <c r="A67" s="488" t="s">
        <v>735</v>
      </c>
      <c r="B67" s="159">
        <v>1</v>
      </c>
      <c r="C67" s="156" t="s">
        <v>50</v>
      </c>
      <c r="D67" s="476">
        <v>3.85</v>
      </c>
      <c r="E67" s="476">
        <v>0.4</v>
      </c>
      <c r="F67" s="476">
        <v>0.1</v>
      </c>
      <c r="G67" s="4">
        <f t="shared" si="10"/>
        <v>1.54</v>
      </c>
      <c r="H67" s="490">
        <f t="shared" si="11"/>
        <v>0.15400000000000003</v>
      </c>
      <c r="I67" s="318"/>
    </row>
    <row r="68" spans="1:9" ht="15" thickBot="1" x14ac:dyDescent="0.35">
      <c r="A68" s="488" t="s">
        <v>736</v>
      </c>
      <c r="B68" s="159">
        <v>1</v>
      </c>
      <c r="C68" s="156" t="s">
        <v>50</v>
      </c>
      <c r="D68" s="476">
        <v>1.95</v>
      </c>
      <c r="E68" s="476">
        <v>0.4</v>
      </c>
      <c r="F68" s="476">
        <v>0.1</v>
      </c>
      <c r="G68" s="4">
        <f t="shared" si="10"/>
        <v>0.78</v>
      </c>
      <c r="H68" s="490">
        <f t="shared" si="11"/>
        <v>7.8000000000000014E-2</v>
      </c>
      <c r="I68" s="318"/>
    </row>
    <row r="69" spans="1:9" ht="15" thickBot="1" x14ac:dyDescent="0.35">
      <c r="A69" s="488" t="s">
        <v>737</v>
      </c>
      <c r="B69" s="159">
        <v>1</v>
      </c>
      <c r="C69" s="156" t="s">
        <v>50</v>
      </c>
      <c r="D69" s="476">
        <v>3.65</v>
      </c>
      <c r="E69" s="476">
        <v>0.4</v>
      </c>
      <c r="F69" s="476">
        <v>0.1</v>
      </c>
      <c r="G69" s="4">
        <f t="shared" si="10"/>
        <v>1.46</v>
      </c>
      <c r="H69" s="490">
        <f t="shared" si="11"/>
        <v>0.14599999999999999</v>
      </c>
      <c r="I69" s="318"/>
    </row>
    <row r="70" spans="1:9" ht="15" thickBot="1" x14ac:dyDescent="0.35">
      <c r="A70" s="488" t="s">
        <v>738</v>
      </c>
      <c r="B70" s="159">
        <v>1</v>
      </c>
      <c r="C70" s="156" t="s">
        <v>50</v>
      </c>
      <c r="D70" s="476">
        <v>1.95</v>
      </c>
      <c r="E70" s="476">
        <v>0.4</v>
      </c>
      <c r="F70" s="476">
        <v>0.1</v>
      </c>
      <c r="G70" s="4">
        <f t="shared" si="8"/>
        <v>0.78</v>
      </c>
      <c r="H70" s="490">
        <f t="shared" si="9"/>
        <v>7.8000000000000014E-2</v>
      </c>
      <c r="I70" s="318"/>
    </row>
    <row r="71" spans="1:9" ht="15" thickBot="1" x14ac:dyDescent="0.35">
      <c r="A71" s="488" t="s">
        <v>739</v>
      </c>
      <c r="B71" s="159">
        <v>1</v>
      </c>
      <c r="C71" s="156" t="s">
        <v>50</v>
      </c>
      <c r="D71" s="476">
        <v>3.85</v>
      </c>
      <c r="E71" s="476">
        <v>0.4</v>
      </c>
      <c r="F71" s="476">
        <v>0.1</v>
      </c>
      <c r="G71" s="4">
        <f t="shared" si="8"/>
        <v>1.54</v>
      </c>
      <c r="H71" s="490">
        <f t="shared" si="9"/>
        <v>0.15400000000000003</v>
      </c>
      <c r="I71" s="318"/>
    </row>
    <row r="72" spans="1:9" ht="15" thickBot="1" x14ac:dyDescent="0.35">
      <c r="A72" s="685" t="s">
        <v>740</v>
      </c>
      <c r="B72" s="686"/>
      <c r="C72" s="686"/>
      <c r="D72" s="686"/>
      <c r="E72" s="686"/>
      <c r="F72" s="686"/>
      <c r="G72" s="686"/>
      <c r="H72" s="686"/>
      <c r="I72" s="705"/>
    </row>
    <row r="73" spans="1:9" ht="15" thickBot="1" x14ac:dyDescent="0.35">
      <c r="A73" s="488" t="s">
        <v>916</v>
      </c>
      <c r="B73" s="159">
        <v>1</v>
      </c>
      <c r="C73" s="156" t="s">
        <v>50</v>
      </c>
      <c r="D73" s="476">
        <v>1.85</v>
      </c>
      <c r="E73" s="476">
        <v>3.58</v>
      </c>
      <c r="F73" s="476">
        <v>0.1</v>
      </c>
      <c r="G73" s="4">
        <f t="shared" si="8"/>
        <v>6.6230000000000002</v>
      </c>
      <c r="H73" s="490">
        <f t="shared" si="9"/>
        <v>0.66230000000000011</v>
      </c>
      <c r="I73" s="318"/>
    </row>
    <row r="74" spans="1:9" ht="15" thickBot="1" x14ac:dyDescent="0.35">
      <c r="A74" s="488" t="s">
        <v>917</v>
      </c>
      <c r="B74" s="159">
        <v>1</v>
      </c>
      <c r="C74" s="156" t="s">
        <v>50</v>
      </c>
      <c r="D74" s="476">
        <v>1.85</v>
      </c>
      <c r="E74" s="476">
        <v>4.12</v>
      </c>
      <c r="F74" s="476">
        <v>0.1</v>
      </c>
      <c r="G74" s="4">
        <f t="shared" si="8"/>
        <v>7.6220000000000008</v>
      </c>
      <c r="H74" s="490">
        <f t="shared" si="9"/>
        <v>0.7622000000000001</v>
      </c>
      <c r="I74" s="318"/>
    </row>
    <row r="75" spans="1:9" ht="15" thickBot="1" x14ac:dyDescent="0.35">
      <c r="A75" s="488" t="s">
        <v>918</v>
      </c>
      <c r="B75" s="159">
        <v>1</v>
      </c>
      <c r="C75" s="156" t="s">
        <v>50</v>
      </c>
      <c r="D75" s="476">
        <v>1.85</v>
      </c>
      <c r="E75" s="476">
        <v>3.58</v>
      </c>
      <c r="F75" s="476">
        <v>0.1</v>
      </c>
      <c r="G75" s="4">
        <f t="shared" si="8"/>
        <v>6.6230000000000002</v>
      </c>
      <c r="H75" s="490">
        <f t="shared" si="9"/>
        <v>0.66230000000000011</v>
      </c>
      <c r="I75" s="318"/>
    </row>
    <row r="76" spans="1:9" ht="15" thickBot="1" x14ac:dyDescent="0.35">
      <c r="A76" s="488" t="s">
        <v>919</v>
      </c>
      <c r="B76" s="159">
        <v>1</v>
      </c>
      <c r="C76" s="156" t="s">
        <v>50</v>
      </c>
      <c r="D76" s="476">
        <v>1.85</v>
      </c>
      <c r="E76" s="476">
        <v>4.12</v>
      </c>
      <c r="F76" s="476">
        <v>0.1</v>
      </c>
      <c r="G76" s="4">
        <f t="shared" si="8"/>
        <v>7.6220000000000008</v>
      </c>
      <c r="H76" s="490">
        <f t="shared" si="9"/>
        <v>0.7622000000000001</v>
      </c>
      <c r="I76" s="318"/>
    </row>
    <row r="77" spans="1:9" ht="15" thickBot="1" x14ac:dyDescent="0.35">
      <c r="A77" s="488" t="s">
        <v>920</v>
      </c>
      <c r="B77" s="159">
        <v>1</v>
      </c>
      <c r="C77" s="156" t="s">
        <v>50</v>
      </c>
      <c r="D77" s="476">
        <v>3.85</v>
      </c>
      <c r="E77" s="476">
        <v>0.4</v>
      </c>
      <c r="F77" s="476">
        <v>0.1</v>
      </c>
      <c r="G77" s="4">
        <f t="shared" si="8"/>
        <v>1.54</v>
      </c>
      <c r="H77" s="490">
        <f t="shared" si="9"/>
        <v>0.15400000000000003</v>
      </c>
      <c r="I77" s="318"/>
    </row>
    <row r="78" spans="1:9" ht="15" thickBot="1" x14ac:dyDescent="0.35">
      <c r="A78" s="488" t="s">
        <v>921</v>
      </c>
      <c r="B78" s="159">
        <v>1</v>
      </c>
      <c r="C78" s="156" t="s">
        <v>50</v>
      </c>
      <c r="D78" s="476">
        <v>1.95</v>
      </c>
      <c r="E78" s="476">
        <v>0.4</v>
      </c>
      <c r="F78" s="476">
        <v>0.1</v>
      </c>
      <c r="G78" s="4">
        <f t="shared" si="8"/>
        <v>0.78</v>
      </c>
      <c r="H78" s="490">
        <f t="shared" si="9"/>
        <v>7.8000000000000014E-2</v>
      </c>
      <c r="I78" s="318"/>
    </row>
    <row r="79" spans="1:9" ht="15" thickBot="1" x14ac:dyDescent="0.35">
      <c r="A79" s="488" t="s">
        <v>922</v>
      </c>
      <c r="B79" s="159">
        <v>1</v>
      </c>
      <c r="C79" s="156" t="s">
        <v>50</v>
      </c>
      <c r="D79" s="476">
        <v>3.65</v>
      </c>
      <c r="E79" s="476">
        <v>0.4</v>
      </c>
      <c r="F79" s="476">
        <v>0.1</v>
      </c>
      <c r="G79" s="4">
        <f t="shared" si="8"/>
        <v>1.46</v>
      </c>
      <c r="H79" s="490">
        <f t="shared" si="9"/>
        <v>0.14599999999999999</v>
      </c>
      <c r="I79" s="318"/>
    </row>
    <row r="80" spans="1:9" ht="15" thickBot="1" x14ac:dyDescent="0.35">
      <c r="A80" s="488" t="s">
        <v>923</v>
      </c>
      <c r="B80" s="159">
        <v>1</v>
      </c>
      <c r="C80" s="156" t="s">
        <v>50</v>
      </c>
      <c r="D80" s="476">
        <v>1.95</v>
      </c>
      <c r="E80" s="476">
        <v>0.4</v>
      </c>
      <c r="F80" s="476">
        <v>0.1</v>
      </c>
      <c r="G80" s="4">
        <f t="shared" si="8"/>
        <v>0.78</v>
      </c>
      <c r="H80" s="490">
        <f t="shared" si="9"/>
        <v>7.8000000000000014E-2</v>
      </c>
      <c r="I80" s="318"/>
    </row>
    <row r="81" spans="1:9" ht="15" thickBot="1" x14ac:dyDescent="0.35">
      <c r="A81" s="488" t="s">
        <v>924</v>
      </c>
      <c r="B81" s="159">
        <v>1</v>
      </c>
      <c r="C81" s="156" t="s">
        <v>50</v>
      </c>
      <c r="D81" s="476">
        <v>3.85</v>
      </c>
      <c r="E81" s="476">
        <v>0.4</v>
      </c>
      <c r="F81" s="476">
        <v>0.1</v>
      </c>
      <c r="G81" s="4">
        <f t="shared" si="8"/>
        <v>1.54</v>
      </c>
      <c r="H81" s="490">
        <f t="shared" si="9"/>
        <v>0.15400000000000003</v>
      </c>
      <c r="I81" s="318"/>
    </row>
    <row r="82" spans="1:9" ht="15" thickBot="1" x14ac:dyDescent="0.35">
      <c r="A82" s="488" t="s">
        <v>925</v>
      </c>
      <c r="B82" s="159">
        <v>1</v>
      </c>
      <c r="C82" s="156" t="s">
        <v>50</v>
      </c>
      <c r="D82" s="476">
        <v>3.85</v>
      </c>
      <c r="E82" s="476">
        <v>0.4</v>
      </c>
      <c r="F82" s="476">
        <v>0.1</v>
      </c>
      <c r="G82" s="4">
        <f t="shared" si="4"/>
        <v>1.54</v>
      </c>
      <c r="H82" s="490">
        <f t="shared" si="5"/>
        <v>0.15400000000000003</v>
      </c>
      <c r="I82" s="318"/>
    </row>
    <row r="83" spans="1:9" ht="15" thickBot="1" x14ac:dyDescent="0.35">
      <c r="A83" s="488" t="s">
        <v>926</v>
      </c>
      <c r="B83" s="159">
        <v>1</v>
      </c>
      <c r="C83" s="156" t="s">
        <v>50</v>
      </c>
      <c r="D83" s="476">
        <v>1.95</v>
      </c>
      <c r="E83" s="476">
        <v>0.4</v>
      </c>
      <c r="F83" s="476">
        <v>0.1</v>
      </c>
      <c r="G83" s="4">
        <f t="shared" si="4"/>
        <v>0.78</v>
      </c>
      <c r="H83" s="490">
        <f t="shared" si="5"/>
        <v>7.8000000000000014E-2</v>
      </c>
      <c r="I83" s="318"/>
    </row>
    <row r="84" spans="1:9" ht="15" thickBot="1" x14ac:dyDescent="0.35">
      <c r="A84" s="488" t="s">
        <v>927</v>
      </c>
      <c r="B84" s="159">
        <v>1</v>
      </c>
      <c r="C84" s="156" t="s">
        <v>50</v>
      </c>
      <c r="D84" s="476">
        <v>3.65</v>
      </c>
      <c r="E84" s="476">
        <v>0.4</v>
      </c>
      <c r="F84" s="476">
        <v>0.1</v>
      </c>
      <c r="G84" s="4">
        <f t="shared" si="4"/>
        <v>1.46</v>
      </c>
      <c r="H84" s="490">
        <f t="shared" si="5"/>
        <v>0.14599999999999999</v>
      </c>
      <c r="I84" s="318"/>
    </row>
    <row r="85" spans="1:9" ht="15" thickBot="1" x14ac:dyDescent="0.35">
      <c r="A85" s="488" t="s">
        <v>928</v>
      </c>
      <c r="B85" s="159">
        <v>1</v>
      </c>
      <c r="C85" s="156" t="s">
        <v>50</v>
      </c>
      <c r="D85" s="476">
        <v>1.95</v>
      </c>
      <c r="E85" s="476">
        <v>0.4</v>
      </c>
      <c r="F85" s="476">
        <v>0.1</v>
      </c>
      <c r="G85" s="4">
        <f t="shared" si="3"/>
        <v>0.78</v>
      </c>
      <c r="H85" s="490">
        <f t="shared" si="1"/>
        <v>7.8000000000000014E-2</v>
      </c>
      <c r="I85" s="318"/>
    </row>
    <row r="86" spans="1:9" ht="15" thickBot="1" x14ac:dyDescent="0.35">
      <c r="A86" s="488" t="s">
        <v>929</v>
      </c>
      <c r="B86" s="159">
        <v>1</v>
      </c>
      <c r="C86" s="156" t="s">
        <v>50</v>
      </c>
      <c r="D86" s="476">
        <v>3.85</v>
      </c>
      <c r="E86" s="476">
        <v>0.4</v>
      </c>
      <c r="F86" s="476">
        <v>0.1</v>
      </c>
      <c r="G86" s="4">
        <f t="shared" si="3"/>
        <v>1.54</v>
      </c>
      <c r="H86" s="490">
        <f t="shared" si="1"/>
        <v>0.15400000000000003</v>
      </c>
      <c r="I86" s="318"/>
    </row>
    <row r="87" spans="1:9" ht="15" thickBot="1" x14ac:dyDescent="0.35">
      <c r="A87" s="685" t="s">
        <v>1845</v>
      </c>
      <c r="B87" s="686"/>
      <c r="C87" s="686"/>
      <c r="D87" s="686"/>
      <c r="E87" s="686"/>
      <c r="F87" s="686"/>
      <c r="G87" s="686"/>
      <c r="H87" s="686"/>
      <c r="I87" s="705"/>
    </row>
    <row r="88" spans="1:9" ht="15" thickBot="1" x14ac:dyDescent="0.35">
      <c r="A88" s="594" t="s">
        <v>1981</v>
      </c>
      <c r="B88" s="495">
        <v>1</v>
      </c>
      <c r="C88" s="473" t="s">
        <v>50</v>
      </c>
      <c r="D88" s="476">
        <v>3.78</v>
      </c>
      <c r="E88" s="476">
        <v>0.45</v>
      </c>
      <c r="F88" s="476">
        <v>0.1</v>
      </c>
      <c r="G88" s="4">
        <f t="shared" ref="G88:G94" si="12">D88*E88</f>
        <v>1.7009999999999998</v>
      </c>
      <c r="H88" s="490">
        <f t="shared" ref="H88:H94" si="13">D88*E88*F88</f>
        <v>0.1701</v>
      </c>
      <c r="I88" s="318"/>
    </row>
    <row r="89" spans="1:9" ht="15" thickBot="1" x14ac:dyDescent="0.35">
      <c r="A89" s="594" t="s">
        <v>1982</v>
      </c>
      <c r="B89" s="495">
        <v>1</v>
      </c>
      <c r="C89" s="473" t="s">
        <v>50</v>
      </c>
      <c r="D89" s="476">
        <v>3.8</v>
      </c>
      <c r="E89" s="476">
        <v>0.45</v>
      </c>
      <c r="F89" s="476">
        <v>0.1</v>
      </c>
      <c r="G89" s="4">
        <f t="shared" si="12"/>
        <v>1.71</v>
      </c>
      <c r="H89" s="490">
        <f t="shared" si="13"/>
        <v>0.17100000000000001</v>
      </c>
      <c r="I89" s="318"/>
    </row>
    <row r="90" spans="1:9" ht="15" thickBot="1" x14ac:dyDescent="0.35">
      <c r="A90" s="594" t="s">
        <v>1983</v>
      </c>
      <c r="B90" s="495">
        <v>1</v>
      </c>
      <c r="C90" s="473" t="s">
        <v>50</v>
      </c>
      <c r="D90" s="476">
        <v>3.78</v>
      </c>
      <c r="E90" s="476">
        <v>0.45</v>
      </c>
      <c r="F90" s="476">
        <v>0.1</v>
      </c>
      <c r="G90" s="4">
        <f t="shared" si="12"/>
        <v>1.7009999999999998</v>
      </c>
      <c r="H90" s="490">
        <f t="shared" si="13"/>
        <v>0.1701</v>
      </c>
      <c r="I90" s="318"/>
    </row>
    <row r="91" spans="1:9" ht="15" thickBot="1" x14ac:dyDescent="0.35">
      <c r="A91" s="685" t="s">
        <v>2115</v>
      </c>
      <c r="B91" s="686"/>
      <c r="C91" s="686"/>
      <c r="D91" s="686"/>
      <c r="E91" s="686"/>
      <c r="F91" s="686"/>
      <c r="G91" s="686"/>
      <c r="H91" s="686"/>
      <c r="I91" s="705"/>
    </row>
    <row r="92" spans="1:9" ht="15" thickBot="1" x14ac:dyDescent="0.35">
      <c r="A92" s="488" t="s">
        <v>2194</v>
      </c>
      <c r="B92" s="159">
        <v>1</v>
      </c>
      <c r="C92" s="156" t="s">
        <v>50</v>
      </c>
      <c r="D92" s="476">
        <v>4.9000000000000004</v>
      </c>
      <c r="E92" s="476">
        <v>0.96</v>
      </c>
      <c r="F92" s="476">
        <v>0.08</v>
      </c>
      <c r="G92" s="4">
        <f t="shared" si="12"/>
        <v>4.7039999999999997</v>
      </c>
      <c r="H92" s="490">
        <f t="shared" si="13"/>
        <v>0.37631999999999999</v>
      </c>
      <c r="I92" s="318"/>
    </row>
    <row r="93" spans="1:9" ht="15" thickBot="1" x14ac:dyDescent="0.35">
      <c r="A93" s="488" t="s">
        <v>2195</v>
      </c>
      <c r="B93" s="159">
        <v>1</v>
      </c>
      <c r="C93" s="156" t="s">
        <v>50</v>
      </c>
      <c r="D93" s="476">
        <v>2.5</v>
      </c>
      <c r="E93" s="476">
        <v>0.96</v>
      </c>
      <c r="F93" s="476">
        <v>0.08</v>
      </c>
      <c r="G93" s="4">
        <f t="shared" si="12"/>
        <v>2.4</v>
      </c>
      <c r="H93" s="490">
        <f t="shared" si="13"/>
        <v>0.192</v>
      </c>
      <c r="I93" s="318"/>
    </row>
    <row r="94" spans="1:9" ht="15" thickBot="1" x14ac:dyDescent="0.35">
      <c r="A94" s="488" t="s">
        <v>2196</v>
      </c>
      <c r="B94" s="159">
        <v>1</v>
      </c>
      <c r="C94" s="156" t="s">
        <v>50</v>
      </c>
      <c r="D94" s="476">
        <v>1.49</v>
      </c>
      <c r="E94" s="476">
        <v>0.7</v>
      </c>
      <c r="F94" s="476">
        <v>0.08</v>
      </c>
      <c r="G94" s="4">
        <f t="shared" si="12"/>
        <v>1.0429999999999999</v>
      </c>
      <c r="H94" s="490">
        <f t="shared" si="13"/>
        <v>8.344E-2</v>
      </c>
      <c r="I94" s="318"/>
    </row>
    <row r="95" spans="1:9" ht="15" thickBot="1" x14ac:dyDescent="0.35">
      <c r="A95" s="488"/>
      <c r="B95" s="159">
        <v>1</v>
      </c>
      <c r="C95" s="156" t="s">
        <v>50</v>
      </c>
      <c r="D95" s="162"/>
      <c r="E95" s="162"/>
      <c r="F95" s="162"/>
      <c r="G95" s="4">
        <f t="shared" ref="G95:G97" si="14">D95*E95</f>
        <v>0</v>
      </c>
      <c r="H95" s="490">
        <f t="shared" ref="H95:H97" si="15">D95*E95*F95</f>
        <v>0</v>
      </c>
      <c r="I95" s="318"/>
    </row>
    <row r="96" spans="1:9" ht="15" thickBot="1" x14ac:dyDescent="0.35">
      <c r="A96" s="488"/>
      <c r="B96" s="159">
        <v>1</v>
      </c>
      <c r="C96" s="156" t="s">
        <v>50</v>
      </c>
      <c r="D96" s="162"/>
      <c r="E96" s="162"/>
      <c r="F96" s="162"/>
      <c r="G96" s="4">
        <f t="shared" si="14"/>
        <v>0</v>
      </c>
      <c r="H96" s="490">
        <f t="shared" si="15"/>
        <v>0</v>
      </c>
      <c r="I96" s="318"/>
    </row>
    <row r="97" spans="1:12" ht="15" thickBot="1" x14ac:dyDescent="0.35">
      <c r="A97" s="488"/>
      <c r="B97" s="159">
        <v>1</v>
      </c>
      <c r="C97" s="156" t="s">
        <v>50</v>
      </c>
      <c r="D97" s="162"/>
      <c r="E97" s="162"/>
      <c r="F97" s="162"/>
      <c r="G97" s="4">
        <f t="shared" si="14"/>
        <v>0</v>
      </c>
      <c r="H97" s="490">
        <f t="shared" si="15"/>
        <v>0</v>
      </c>
      <c r="I97" s="318"/>
    </row>
    <row r="98" spans="1:12" ht="15" thickBot="1" x14ac:dyDescent="0.35">
      <c r="A98" s="488"/>
      <c r="B98" s="159">
        <v>1</v>
      </c>
      <c r="C98" s="156" t="s">
        <v>50</v>
      </c>
      <c r="D98" s="162"/>
      <c r="E98" s="162"/>
      <c r="F98" s="162"/>
      <c r="G98" s="4">
        <f t="shared" si="3"/>
        <v>0</v>
      </c>
      <c r="H98" s="490">
        <f t="shared" si="1"/>
        <v>0</v>
      </c>
      <c r="I98" s="318"/>
    </row>
    <row r="99" spans="1:12" ht="15" thickBot="1" x14ac:dyDescent="0.35">
      <c r="A99" s="488"/>
      <c r="B99" s="159">
        <v>1</v>
      </c>
      <c r="C99" s="156" t="s">
        <v>50</v>
      </c>
      <c r="D99" s="162"/>
      <c r="E99" s="162"/>
      <c r="F99" s="162"/>
      <c r="G99" s="4">
        <f t="shared" si="0"/>
        <v>0</v>
      </c>
      <c r="H99" s="490">
        <f t="shared" si="1"/>
        <v>0</v>
      </c>
      <c r="I99" s="318"/>
    </row>
    <row r="100" spans="1:12" ht="15" thickBot="1" x14ac:dyDescent="0.35">
      <c r="A100" s="488"/>
      <c r="B100" s="159">
        <v>1</v>
      </c>
      <c r="C100" s="156" t="s">
        <v>50</v>
      </c>
      <c r="D100" s="162"/>
      <c r="E100" s="162"/>
      <c r="F100" s="162"/>
      <c r="G100" s="4">
        <f t="shared" si="0"/>
        <v>0</v>
      </c>
      <c r="H100" s="490">
        <f t="shared" si="1"/>
        <v>0</v>
      </c>
      <c r="I100" s="318"/>
    </row>
    <row r="101" spans="1:12" ht="15" thickBot="1" x14ac:dyDescent="0.35">
      <c r="A101" s="488"/>
      <c r="B101" s="159">
        <v>1</v>
      </c>
      <c r="C101" s="156" t="s">
        <v>50</v>
      </c>
      <c r="D101" s="162"/>
      <c r="E101" s="162"/>
      <c r="F101" s="162"/>
      <c r="G101" s="4">
        <f t="shared" si="0"/>
        <v>0</v>
      </c>
      <c r="H101" s="490">
        <f t="shared" si="1"/>
        <v>0</v>
      </c>
      <c r="I101" s="318"/>
    </row>
    <row r="102" spans="1:12" ht="15" thickBot="1" x14ac:dyDescent="0.35">
      <c r="A102" s="245"/>
      <c r="B102" s="159"/>
      <c r="C102" s="156"/>
      <c r="D102" s="162"/>
      <c r="E102" s="162"/>
      <c r="F102" s="217"/>
      <c r="G102" s="4"/>
      <c r="H102" s="317"/>
      <c r="I102" s="318"/>
    </row>
    <row r="103" spans="1:12" ht="18.600000000000001" thickBot="1" x14ac:dyDescent="0.4">
      <c r="A103" s="79"/>
      <c r="B103" s="80"/>
      <c r="C103" s="80"/>
      <c r="D103" s="80"/>
      <c r="E103" s="719" t="s">
        <v>10</v>
      </c>
      <c r="F103" s="720"/>
      <c r="G103" s="118">
        <f>SUM(G17:G101)</f>
        <v>156.52800000000002</v>
      </c>
      <c r="H103" s="118">
        <f>SUM(H17:H101)</f>
        <v>15.48986</v>
      </c>
      <c r="I103" s="319"/>
      <c r="J103" s="106"/>
      <c r="K103" s="106"/>
      <c r="L103" s="106"/>
    </row>
    <row r="104" spans="1:12" x14ac:dyDescent="0.3">
      <c r="H104" s="1"/>
      <c r="I104" s="1"/>
      <c r="J104" s="106"/>
      <c r="K104" s="106"/>
      <c r="L104" s="106"/>
    </row>
    <row r="105" spans="1:12" x14ac:dyDescent="0.3">
      <c r="A105" s="112"/>
      <c r="B105" s="113"/>
      <c r="C105" s="113"/>
      <c r="D105" s="337"/>
      <c r="J105" s="106"/>
      <c r="K105" s="106"/>
      <c r="L105" s="337"/>
    </row>
    <row r="106" spans="1:12" x14ac:dyDescent="0.3">
      <c r="A106" s="114"/>
      <c r="B106" s="115"/>
      <c r="C106" s="115"/>
      <c r="D106" s="337"/>
      <c r="J106" s="106"/>
      <c r="K106" s="106"/>
      <c r="L106" s="106"/>
    </row>
    <row r="107" spans="1:12" x14ac:dyDescent="0.3">
      <c r="A107" s="116"/>
      <c r="B107" s="115"/>
      <c r="C107" s="115"/>
      <c r="D107" s="337"/>
      <c r="J107" s="106"/>
      <c r="K107" s="106"/>
      <c r="L107" s="106"/>
    </row>
    <row r="108" spans="1:12" x14ac:dyDescent="0.3">
      <c r="A108" s="116"/>
      <c r="B108" s="115"/>
      <c r="C108" s="115"/>
      <c r="D108" s="337"/>
      <c r="J108" s="106"/>
      <c r="K108" s="106"/>
      <c r="L108" s="106"/>
    </row>
    <row r="109" spans="1:12" x14ac:dyDescent="0.3">
      <c r="A109" s="116"/>
      <c r="B109" s="115"/>
      <c r="C109" s="115"/>
      <c r="D109" s="337"/>
      <c r="E109" s="106"/>
      <c r="J109" s="106"/>
      <c r="K109" s="106"/>
      <c r="L109" s="106"/>
    </row>
    <row r="110" spans="1:12" x14ac:dyDescent="0.3">
      <c r="A110" s="116"/>
      <c r="B110" s="115"/>
      <c r="C110" s="115"/>
      <c r="D110" s="337"/>
      <c r="E110" s="106"/>
      <c r="J110" s="106"/>
    </row>
    <row r="111" spans="1:12" x14ac:dyDescent="0.3">
      <c r="D111" s="106"/>
    </row>
    <row r="135" spans="1:12" ht="16.5" customHeight="1" x14ac:dyDescent="0.3"/>
    <row r="138" spans="1:12" ht="30" customHeight="1" x14ac:dyDescent="0.3">
      <c r="A138" s="338"/>
      <c r="B138" s="106"/>
    </row>
    <row r="139" spans="1:12" x14ac:dyDescent="0.3">
      <c r="A139" s="106"/>
      <c r="B139" s="106"/>
      <c r="I139" s="115"/>
    </row>
    <row r="140" spans="1:12" x14ac:dyDescent="0.3">
      <c r="A140" s="106"/>
      <c r="B140" s="106"/>
      <c r="J140" s="115"/>
      <c r="K140" s="115"/>
      <c r="L140" s="115"/>
    </row>
    <row r="141" spans="1:12" x14ac:dyDescent="0.3">
      <c r="L141" s="115"/>
    </row>
    <row r="142" spans="1:12" x14ac:dyDescent="0.3">
      <c r="L142" s="115"/>
    </row>
    <row r="143" spans="1:12" x14ac:dyDescent="0.3">
      <c r="L143" s="115"/>
    </row>
    <row r="144" spans="1:12" x14ac:dyDescent="0.3">
      <c r="L144" s="115"/>
    </row>
    <row r="145" spans="12:12" x14ac:dyDescent="0.3">
      <c r="L145" s="115"/>
    </row>
    <row r="146" spans="12:12" x14ac:dyDescent="0.3">
      <c r="L146" s="115"/>
    </row>
    <row r="147" spans="12:12" x14ac:dyDescent="0.3">
      <c r="L147" s="115"/>
    </row>
    <row r="148" spans="12:12" x14ac:dyDescent="0.3">
      <c r="L148" s="115"/>
    </row>
    <row r="149" spans="12:12" x14ac:dyDescent="0.3">
      <c r="L149" s="115"/>
    </row>
    <row r="150" spans="12:12" x14ac:dyDescent="0.3">
      <c r="L150" s="115"/>
    </row>
    <row r="151" spans="12:12" x14ac:dyDescent="0.3">
      <c r="L151" s="115"/>
    </row>
    <row r="152" spans="12:12" x14ac:dyDescent="0.3">
      <c r="L152" s="115"/>
    </row>
    <row r="153" spans="12:12" x14ac:dyDescent="0.3">
      <c r="L153" s="115"/>
    </row>
    <row r="154" spans="12:12" x14ac:dyDescent="0.3">
      <c r="L154" s="115"/>
    </row>
    <row r="155" spans="12:12" x14ac:dyDescent="0.3">
      <c r="L155" s="115"/>
    </row>
    <row r="156" spans="12:12" x14ac:dyDescent="0.3">
      <c r="L156" s="115"/>
    </row>
    <row r="157" spans="12:12" x14ac:dyDescent="0.3">
      <c r="L157" s="115"/>
    </row>
    <row r="158" spans="12:12" x14ac:dyDescent="0.3">
      <c r="L158" s="115"/>
    </row>
    <row r="159" spans="12:12" x14ac:dyDescent="0.3">
      <c r="L159" s="115"/>
    </row>
    <row r="160" spans="12:12" x14ac:dyDescent="0.3">
      <c r="L160" s="115"/>
    </row>
    <row r="161" spans="12:12" x14ac:dyDescent="0.3">
      <c r="L161" s="115"/>
    </row>
    <row r="162" spans="12:12" x14ac:dyDescent="0.3">
      <c r="L162" s="115"/>
    </row>
    <row r="163" spans="12:12" x14ac:dyDescent="0.3">
      <c r="L163" s="115"/>
    </row>
    <row r="164" spans="12:12" x14ac:dyDescent="0.3">
      <c r="L164" s="115"/>
    </row>
    <row r="165" spans="12:12" x14ac:dyDescent="0.3">
      <c r="L165" s="115"/>
    </row>
    <row r="166" spans="12:12" x14ac:dyDescent="0.3">
      <c r="L166" s="115"/>
    </row>
    <row r="167" spans="12:12" x14ac:dyDescent="0.3">
      <c r="L167" s="115"/>
    </row>
    <row r="168" spans="12:12" x14ac:dyDescent="0.3">
      <c r="L168" s="115"/>
    </row>
    <row r="169" spans="12:12" x14ac:dyDescent="0.3">
      <c r="L169" s="115"/>
    </row>
    <row r="170" spans="12:12" x14ac:dyDescent="0.3">
      <c r="L170" s="115"/>
    </row>
    <row r="171" spans="12:12" x14ac:dyDescent="0.3">
      <c r="L171" s="115"/>
    </row>
    <row r="172" spans="12:12" x14ac:dyDescent="0.3">
      <c r="L172" s="115"/>
    </row>
  </sheetData>
  <mergeCells count="25">
    <mergeCell ref="I14:I15"/>
    <mergeCell ref="A8:H8"/>
    <mergeCell ref="A9:H9"/>
    <mergeCell ref="A6:L6"/>
    <mergeCell ref="A1:L1"/>
    <mergeCell ref="A2:L2"/>
    <mergeCell ref="A3:L3"/>
    <mergeCell ref="A4:L4"/>
    <mergeCell ref="A5:L5"/>
    <mergeCell ref="E103:F103"/>
    <mergeCell ref="A10:L10"/>
    <mergeCell ref="F13:J13"/>
    <mergeCell ref="A14:A15"/>
    <mergeCell ref="B14:B15"/>
    <mergeCell ref="C14:C15"/>
    <mergeCell ref="D14:F14"/>
    <mergeCell ref="G14:G15"/>
    <mergeCell ref="H14:H15"/>
    <mergeCell ref="A16:I16"/>
    <mergeCell ref="A27:I27"/>
    <mergeCell ref="A35:I35"/>
    <mergeCell ref="A57:I57"/>
    <mergeCell ref="A72:I72"/>
    <mergeCell ref="A87:I87"/>
    <mergeCell ref="A91:I91"/>
  </mergeCells>
  <printOptions horizontalCentered="1"/>
  <pageMargins left="0.51181102362204722" right="0.51181102362204722" top="0.78740157480314965" bottom="0.78740157480314965" header="0.31496062992125984" footer="0.31496062992125984"/>
  <pageSetup scale="28" orientation="landscape" r:id="rId1"/>
  <headerFooter>
    <oddFooter>&amp;C&amp;9Rua Ferreira Pena, 1.109 – Centro – Manaus/AM – Cel: (0**92) 98415-0793, Fone: (0**92) 3306-0045 – e-mail: enge.ifam@ifam.edu.br 
DIRETORIA DE INFRAESTURURA - DINFRA&amp;R&amp;9Página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4">
    <tabColor rgb="FF92D050"/>
  </sheetPr>
  <dimension ref="A1:K16"/>
  <sheetViews>
    <sheetView showGridLines="0" view="pageBreakPreview" zoomScale="130" zoomScaleNormal="100" zoomScaleSheetLayoutView="130" workbookViewId="0">
      <selection activeCell="B12" sqref="B12:D15"/>
    </sheetView>
  </sheetViews>
  <sheetFormatPr defaultRowHeight="14.4" x14ac:dyDescent="0.3"/>
  <cols>
    <col min="1" max="1" width="11.6640625" customWidth="1"/>
    <col min="2" max="5" width="12.5546875" customWidth="1"/>
    <col min="6" max="6" width="12.6640625" customWidth="1"/>
    <col min="7" max="7" width="12.6640625" style="62" customWidth="1"/>
    <col min="8" max="8" width="11.44140625" customWidth="1"/>
  </cols>
  <sheetData>
    <row r="1" spans="1:11" ht="18" x14ac:dyDescent="0.35">
      <c r="A1" s="727" t="s">
        <v>76</v>
      </c>
      <c r="B1" s="727"/>
      <c r="C1" s="727"/>
      <c r="D1" s="727"/>
      <c r="E1" s="727"/>
      <c r="F1" s="727"/>
      <c r="G1" s="149"/>
    </row>
    <row r="2" spans="1:11" ht="15" thickBot="1" x14ac:dyDescent="0.35">
      <c r="A2" t="s">
        <v>78</v>
      </c>
    </row>
    <row r="3" spans="1:11" ht="72" x14ac:dyDescent="0.3">
      <c r="A3" s="145" t="s">
        <v>74</v>
      </c>
      <c r="B3" s="147" t="s">
        <v>51</v>
      </c>
      <c r="C3" s="147" t="s">
        <v>52</v>
      </c>
      <c r="D3" s="147" t="s">
        <v>75</v>
      </c>
      <c r="E3" s="147" t="s">
        <v>8</v>
      </c>
      <c r="F3" s="147" t="s">
        <v>53</v>
      </c>
      <c r="G3" s="147" t="s">
        <v>80</v>
      </c>
      <c r="H3" s="147" t="s">
        <v>2107</v>
      </c>
      <c r="I3" s="146" t="s">
        <v>2108</v>
      </c>
    </row>
    <row r="4" spans="1:11" s="62" customFormat="1" x14ac:dyDescent="0.3">
      <c r="A4" s="139" t="s">
        <v>2106</v>
      </c>
      <c r="B4" s="342"/>
      <c r="C4" s="342"/>
      <c r="D4" s="342"/>
      <c r="E4" s="342"/>
      <c r="F4" s="342"/>
      <c r="G4" s="342"/>
      <c r="H4" s="342">
        <f>'Lev Blocos'!K288</f>
        <v>1343.4499999999962</v>
      </c>
      <c r="I4" s="465">
        <f>'Lev Blocos'!J288</f>
        <v>330</v>
      </c>
      <c r="K4" s="62" t="s">
        <v>112</v>
      </c>
    </row>
    <row r="5" spans="1:11" x14ac:dyDescent="0.3">
      <c r="A5" s="139" t="s">
        <v>2077</v>
      </c>
      <c r="B5" s="342">
        <f>'Lev Blocos'!N288</f>
        <v>645.63196625000216</v>
      </c>
      <c r="C5" s="342">
        <f>'Lev Blocos'!O288</f>
        <v>445.22145374999991</v>
      </c>
      <c r="D5" s="342">
        <f>'Lev Blocos'!L288</f>
        <v>627.32350000000167</v>
      </c>
      <c r="E5" s="342">
        <f>'Lev Blocos'!M288</f>
        <v>145.11179250000001</v>
      </c>
      <c r="F5" s="342">
        <f>'Lev Blocos'!Q288</f>
        <v>10.394519999999963</v>
      </c>
      <c r="G5" s="342"/>
      <c r="H5" s="342"/>
      <c r="I5" s="465"/>
      <c r="K5" t="s">
        <v>112</v>
      </c>
    </row>
    <row r="6" spans="1:11" ht="28.8" x14ac:dyDescent="0.3">
      <c r="A6" s="601" t="s">
        <v>2078</v>
      </c>
      <c r="B6" s="343">
        <f>'Lev. Vigas'!M377</f>
        <v>197.77207500000006</v>
      </c>
      <c r="C6" s="343">
        <f>'Lev. Vigas'!N377</f>
        <v>131.51819999999998</v>
      </c>
      <c r="D6" s="343">
        <f>'Lev. Vigas'!H377</f>
        <v>1288.8279999999991</v>
      </c>
      <c r="E6" s="343">
        <f>'Lev. Vigas'!J377</f>
        <v>100.76130000000001</v>
      </c>
      <c r="F6" s="343">
        <f>'Lev. Vigas'!K377</f>
        <v>12.565049999999998</v>
      </c>
      <c r="G6" s="343">
        <f>'Lev. Vigas'!O377</f>
        <v>1560.1209999999992</v>
      </c>
      <c r="H6" s="343"/>
      <c r="I6" s="466"/>
      <c r="K6" t="s">
        <v>112</v>
      </c>
    </row>
    <row r="7" spans="1:11" ht="15" thickBot="1" x14ac:dyDescent="0.35">
      <c r="A7" s="142" t="s">
        <v>60</v>
      </c>
      <c r="B7" s="143">
        <f t="shared" ref="B7:G7" si="0">SUM(B5:B6)</f>
        <v>843.40404125000225</v>
      </c>
      <c r="C7" s="344">
        <f t="shared" si="0"/>
        <v>576.73965374999989</v>
      </c>
      <c r="D7" s="143">
        <f t="shared" si="0"/>
        <v>1916.1515000000009</v>
      </c>
      <c r="E7" s="143">
        <f t="shared" si="0"/>
        <v>245.87309250000001</v>
      </c>
      <c r="F7" s="143">
        <f t="shared" si="0"/>
        <v>22.95956999999996</v>
      </c>
      <c r="G7" s="143">
        <f t="shared" si="0"/>
        <v>1560.1209999999992</v>
      </c>
      <c r="H7" s="143">
        <f>SUM(H4:H6)</f>
        <v>1343.4499999999962</v>
      </c>
      <c r="I7" s="144">
        <f>SUM(I4:I6)</f>
        <v>330</v>
      </c>
    </row>
    <row r="8" spans="1:11" x14ac:dyDescent="0.3">
      <c r="F8">
        <f>F5/0.05</f>
        <v>207.89039999999923</v>
      </c>
    </row>
    <row r="9" spans="1:11" x14ac:dyDescent="0.3">
      <c r="F9">
        <f>F6/0.05</f>
        <v>251.30099999999993</v>
      </c>
    </row>
    <row r="10" spans="1:11" ht="15" thickBot="1" x14ac:dyDescent="0.35">
      <c r="A10" t="s">
        <v>79</v>
      </c>
    </row>
    <row r="11" spans="1:11" ht="28.8" x14ac:dyDescent="0.3">
      <c r="A11" s="145" t="s">
        <v>74</v>
      </c>
      <c r="B11" s="147" t="s">
        <v>75</v>
      </c>
      <c r="C11" s="147" t="s">
        <v>8</v>
      </c>
      <c r="D11" s="147" t="s">
        <v>2109</v>
      </c>
      <c r="E11" s="208"/>
    </row>
    <row r="12" spans="1:11" x14ac:dyDescent="0.3">
      <c r="A12" s="139" t="s">
        <v>70</v>
      </c>
      <c r="B12" s="342">
        <f>'Lev Pilares'!G453</f>
        <v>1185.1400000000012</v>
      </c>
      <c r="C12" s="342">
        <f>'Lev Pilares'!H453</f>
        <v>81.037250000000256</v>
      </c>
      <c r="D12" s="342"/>
      <c r="E12" t="s">
        <v>112</v>
      </c>
    </row>
    <row r="13" spans="1:11" s="62" customFormat="1" x14ac:dyDescent="0.3">
      <c r="A13" s="139" t="s">
        <v>105</v>
      </c>
      <c r="B13" s="342">
        <f>'Lev Pilares'!G492</f>
        <v>0</v>
      </c>
      <c r="C13" s="342">
        <f>'Lev Pilares'!H492</f>
        <v>0</v>
      </c>
      <c r="D13" s="342"/>
    </row>
    <row r="14" spans="1:11" x14ac:dyDescent="0.3">
      <c r="A14" s="139" t="s">
        <v>77</v>
      </c>
      <c r="B14" s="343">
        <f>'Lev. Vigas'!H761</f>
        <v>1855.4184000000007</v>
      </c>
      <c r="C14" s="343">
        <f>'Lev. Vigas'!J761</f>
        <v>150.05667500000007</v>
      </c>
      <c r="D14" s="343"/>
      <c r="E14" t="s">
        <v>112</v>
      </c>
    </row>
    <row r="15" spans="1:11" s="62" customFormat="1" x14ac:dyDescent="0.3">
      <c r="A15" s="139" t="s">
        <v>104</v>
      </c>
      <c r="B15" s="343"/>
      <c r="C15" s="343">
        <f>'Lev Lajes'!H103</f>
        <v>15.48986</v>
      </c>
      <c r="D15" s="343">
        <f>'Lev Lajes'!G103</f>
        <v>156.52800000000002</v>
      </c>
      <c r="E15" s="62" t="s">
        <v>112</v>
      </c>
    </row>
    <row r="16" spans="1:11" s="62" customFormat="1" ht="15" thickBot="1" x14ac:dyDescent="0.35">
      <c r="A16" s="142" t="s">
        <v>60</v>
      </c>
      <c r="B16" s="143">
        <f>SUM(B12:B14)</f>
        <v>3040.5584000000017</v>
      </c>
      <c r="C16" s="143">
        <f>SUM(C12:C14)</f>
        <v>231.09392500000033</v>
      </c>
      <c r="D16" s="143">
        <f>SUM(D12:D15)</f>
        <v>156.52800000000002</v>
      </c>
    </row>
  </sheetData>
  <mergeCells count="1">
    <mergeCell ref="A1:F1"/>
  </mergeCells>
  <pageMargins left="0.511811024" right="0.511811024" top="0.78740157499999996" bottom="0.78740157499999996" header="0.31496062000000002" footer="0.31496062000000002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D1A96-BF6B-43D8-ABA9-25B4044728B5}">
  <sheetPr>
    <tabColor theme="3" tint="0.59999389629810485"/>
    <pageSetUpPr fitToPage="1"/>
  </sheetPr>
  <dimension ref="A1:W181"/>
  <sheetViews>
    <sheetView view="pageBreakPreview" topLeftCell="A13" zoomScale="80" zoomScaleNormal="100" zoomScaleSheetLayoutView="80" workbookViewId="0">
      <selection activeCell="X24" sqref="X24"/>
    </sheetView>
  </sheetViews>
  <sheetFormatPr defaultColWidth="9.109375" defaultRowHeight="13.2" x14ac:dyDescent="0.25"/>
  <cols>
    <col min="1" max="1" width="5.44140625" style="82" customWidth="1"/>
    <col min="2" max="3" width="9.109375" style="82" customWidth="1"/>
    <col min="4" max="4" width="9.109375" style="82"/>
    <col min="5" max="5" width="14.6640625" style="82" customWidth="1"/>
    <col min="6" max="8" width="9.109375" style="82"/>
    <col min="9" max="9" width="10.33203125" style="82" bestFit="1" customWidth="1"/>
    <col min="10" max="10" width="14.33203125" style="82" bestFit="1" customWidth="1"/>
    <col min="11" max="16" width="9.109375" style="82"/>
    <col min="17" max="17" width="15.44140625" style="82" customWidth="1"/>
    <col min="18" max="16384" width="9.109375" style="82"/>
  </cols>
  <sheetData>
    <row r="1" spans="1:18" ht="12.9" customHeight="1" x14ac:dyDescent="0.25">
      <c r="B1" s="83"/>
      <c r="C1" s="83"/>
      <c r="D1" s="656" t="s">
        <v>36</v>
      </c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</row>
    <row r="2" spans="1:18" ht="12.9" customHeight="1" x14ac:dyDescent="0.25">
      <c r="B2" s="83"/>
      <c r="C2" s="83"/>
      <c r="D2" s="656" t="s">
        <v>37</v>
      </c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</row>
    <row r="3" spans="1:18" ht="12.9" customHeight="1" x14ac:dyDescent="0.25">
      <c r="B3" s="83"/>
      <c r="C3" s="83"/>
      <c r="D3" s="656" t="s">
        <v>39</v>
      </c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</row>
    <row r="4" spans="1:18" ht="12.9" customHeight="1" x14ac:dyDescent="0.25">
      <c r="B4" s="83"/>
      <c r="C4" s="83"/>
      <c r="D4" s="656" t="s">
        <v>38</v>
      </c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</row>
    <row r="5" spans="1:18" ht="12.9" customHeight="1" x14ac:dyDescent="0.25">
      <c r="B5" s="83"/>
      <c r="C5" s="83"/>
      <c r="D5" s="656" t="s">
        <v>109</v>
      </c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</row>
    <row r="6" spans="1:18" ht="12.9" customHeight="1" x14ac:dyDescent="0.25">
      <c r="B6" s="83"/>
      <c r="C6" s="83"/>
      <c r="D6" s="656" t="s">
        <v>110</v>
      </c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</row>
    <row r="7" spans="1:18" ht="5.0999999999999996" customHeight="1" x14ac:dyDescent="0.25">
      <c r="B7" s="83"/>
      <c r="C7" s="83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</row>
    <row r="8" spans="1:18" ht="12.9" customHeight="1" x14ac:dyDescent="0.25">
      <c r="B8" s="83"/>
      <c r="C8" s="83"/>
      <c r="D8" s="696" t="s">
        <v>1239</v>
      </c>
      <c r="E8" s="696"/>
      <c r="F8" s="696"/>
      <c r="G8" s="696"/>
      <c r="H8" s="696"/>
      <c r="I8" s="696"/>
      <c r="J8" s="696"/>
      <c r="K8" s="696"/>
      <c r="L8" s="110"/>
      <c r="M8" s="110"/>
      <c r="N8" s="110"/>
      <c r="O8" s="110"/>
      <c r="P8" s="110"/>
    </row>
    <row r="9" spans="1:18" ht="12.9" customHeight="1" x14ac:dyDescent="0.25">
      <c r="A9" s="110"/>
      <c r="B9" s="110"/>
      <c r="C9" s="110"/>
      <c r="D9" s="657" t="s">
        <v>1240</v>
      </c>
      <c r="E9" s="657"/>
      <c r="F9" s="657"/>
      <c r="G9" s="657"/>
      <c r="H9" s="657"/>
      <c r="I9" s="657"/>
      <c r="J9" s="657"/>
      <c r="K9" s="657"/>
      <c r="L9" s="467"/>
      <c r="M9" s="320"/>
    </row>
    <row r="10" spans="1:18" ht="12.9" customHeight="1" x14ac:dyDescent="0.25">
      <c r="A10" s="110"/>
      <c r="B10" s="110"/>
      <c r="C10" s="110"/>
      <c r="D10" s="754" t="s">
        <v>91</v>
      </c>
      <c r="E10" s="754"/>
      <c r="F10" s="754"/>
      <c r="G10" s="754"/>
      <c r="H10" s="754"/>
      <c r="I10" s="754"/>
      <c r="J10" s="754"/>
      <c r="K10" s="754"/>
      <c r="L10" s="754"/>
      <c r="M10" s="754"/>
      <c r="N10" s="754"/>
      <c r="O10" s="754"/>
      <c r="P10" s="754"/>
      <c r="Q10" s="754"/>
    </row>
    <row r="11" spans="1:18" ht="5.0999999999999996" customHeight="1" thickBot="1" x14ac:dyDescent="0.3">
      <c r="A11" s="110"/>
      <c r="B11" s="110"/>
      <c r="C11" s="110"/>
      <c r="D11" s="96"/>
      <c r="E11" s="111"/>
      <c r="F11" s="111"/>
      <c r="G11" s="111"/>
      <c r="H11" s="111"/>
      <c r="I11" s="111"/>
      <c r="J11" s="111"/>
      <c r="K11" s="111"/>
      <c r="L11" s="111"/>
      <c r="M11" s="111"/>
    </row>
    <row r="12" spans="1:18" s="16" customFormat="1" ht="16.5" customHeight="1" thickTop="1" x14ac:dyDescent="0.25">
      <c r="D12" s="755" t="s">
        <v>58</v>
      </c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7"/>
    </row>
    <row r="13" spans="1:18" s="16" customFormat="1" ht="15.75" customHeight="1" x14ac:dyDescent="0.25">
      <c r="D13" s="758" t="str">
        <f>D8</f>
        <v>Obra: Construção do Campus de Manicoré</v>
      </c>
      <c r="E13" s="759"/>
      <c r="F13" s="759"/>
      <c r="G13" s="759"/>
      <c r="H13" s="759"/>
      <c r="I13" s="759"/>
      <c r="J13" s="759"/>
      <c r="K13" s="759"/>
      <c r="L13" s="759"/>
      <c r="M13" s="759"/>
      <c r="N13" s="759"/>
      <c r="O13" s="759"/>
      <c r="P13" s="759"/>
      <c r="Q13" s="760"/>
    </row>
    <row r="14" spans="1:18" s="16" customFormat="1" ht="15.75" customHeight="1" thickBot="1" x14ac:dyDescent="0.3">
      <c r="D14" s="761" t="s">
        <v>22</v>
      </c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3"/>
    </row>
    <row r="15" spans="1:18" s="16" customFormat="1" ht="15" customHeight="1" x14ac:dyDescent="0.25">
      <c r="D15" s="764" t="s">
        <v>17</v>
      </c>
      <c r="E15" s="765"/>
      <c r="F15" s="765"/>
      <c r="G15" s="765"/>
      <c r="H15" s="765"/>
      <c r="I15" s="765"/>
      <c r="J15" s="765"/>
      <c r="K15" s="770" t="s">
        <v>41</v>
      </c>
      <c r="L15" s="771"/>
      <c r="M15" s="771"/>
      <c r="N15" s="771"/>
      <c r="O15" s="771"/>
      <c r="P15" s="771"/>
      <c r="Q15" s="772"/>
    </row>
    <row r="16" spans="1:18" s="16" customFormat="1" ht="15" customHeight="1" x14ac:dyDescent="0.25">
      <c r="D16" s="766"/>
      <c r="E16" s="767"/>
      <c r="F16" s="767"/>
      <c r="G16" s="767"/>
      <c r="H16" s="767"/>
      <c r="I16" s="767"/>
      <c r="J16" s="767"/>
      <c r="K16" s="528" t="s">
        <v>43</v>
      </c>
      <c r="L16" s="735" t="s">
        <v>40</v>
      </c>
      <c r="M16" s="736"/>
      <c r="N16" s="736"/>
      <c r="O16" s="736"/>
      <c r="P16" s="736"/>
      <c r="Q16" s="737" t="s">
        <v>46</v>
      </c>
      <c r="R16" s="16" t="s">
        <v>112</v>
      </c>
    </row>
    <row r="17" spans="1:23" s="16" customFormat="1" ht="15.75" customHeight="1" thickBot="1" x14ac:dyDescent="0.3">
      <c r="C17" s="16">
        <f>265.6*B21</f>
        <v>65.072000000000003</v>
      </c>
      <c r="D17" s="768"/>
      <c r="E17" s="769"/>
      <c r="F17" s="769"/>
      <c r="G17" s="769"/>
      <c r="H17" s="769"/>
      <c r="I17" s="769"/>
      <c r="J17" s="769"/>
      <c r="K17" s="59">
        <v>5</v>
      </c>
      <c r="L17" s="21">
        <v>6.3</v>
      </c>
      <c r="M17" s="21">
        <v>8</v>
      </c>
      <c r="N17" s="21">
        <v>10</v>
      </c>
      <c r="O17" s="21">
        <v>12.5</v>
      </c>
      <c r="P17" s="67">
        <v>16</v>
      </c>
      <c r="Q17" s="738"/>
    </row>
    <row r="18" spans="1:23" s="16" customFormat="1" ht="12.75" customHeight="1" thickBot="1" x14ac:dyDescent="0.3">
      <c r="D18" s="739" t="s">
        <v>1237</v>
      </c>
      <c r="E18" s="740"/>
      <c r="F18" s="740"/>
      <c r="G18" s="740"/>
      <c r="H18" s="740"/>
      <c r="I18" s="740"/>
      <c r="J18" s="740"/>
      <c r="K18" s="101">
        <f t="shared" ref="K18:P18" si="0">K141</f>
        <v>1213.1812</v>
      </c>
      <c r="L18" s="102">
        <f t="shared" si="0"/>
        <v>0</v>
      </c>
      <c r="M18" s="102">
        <f t="shared" si="0"/>
        <v>0</v>
      </c>
      <c r="N18" s="102">
        <f t="shared" si="0"/>
        <v>4166.2307999999994</v>
      </c>
      <c r="O18" s="102">
        <f t="shared" si="0"/>
        <v>0</v>
      </c>
      <c r="P18" s="103">
        <f t="shared" si="0"/>
        <v>0</v>
      </c>
      <c r="Q18" s="104">
        <f>SUM(K18:P18)</f>
        <v>5379.4119999999994</v>
      </c>
      <c r="R18" s="16">
        <v>36.651999999999994</v>
      </c>
      <c r="S18" s="16">
        <v>0</v>
      </c>
      <c r="T18" s="16">
        <v>0</v>
      </c>
      <c r="U18" s="16">
        <v>125.86799999999999</v>
      </c>
      <c r="V18" s="16">
        <v>0</v>
      </c>
      <c r="W18" s="16">
        <v>0</v>
      </c>
    </row>
    <row r="19" spans="1:23" ht="13.8" thickBot="1" x14ac:dyDescent="0.3">
      <c r="A19" s="16" t="s">
        <v>31</v>
      </c>
      <c r="B19" s="16">
        <v>0.11</v>
      </c>
    </row>
    <row r="20" spans="1:23" s="16" customFormat="1" ht="13.8" thickTop="1" x14ac:dyDescent="0.25">
      <c r="A20" s="16" t="s">
        <v>23</v>
      </c>
      <c r="B20" s="16">
        <v>0.154</v>
      </c>
      <c r="D20" s="751" t="s">
        <v>1238</v>
      </c>
      <c r="E20" s="752"/>
      <c r="F20" s="752"/>
      <c r="G20" s="752"/>
      <c r="H20" s="752"/>
      <c r="I20" s="752"/>
      <c r="J20" s="752"/>
      <c r="K20" s="752"/>
      <c r="L20" s="752"/>
      <c r="M20" s="752"/>
      <c r="N20" s="752"/>
      <c r="O20" s="752"/>
      <c r="P20" s="752"/>
      <c r="Q20" s="753"/>
    </row>
    <row r="21" spans="1:23" s="16" customFormat="1" ht="13.8" thickBot="1" x14ac:dyDescent="0.3">
      <c r="A21" s="16" t="s">
        <v>24</v>
      </c>
      <c r="B21" s="16">
        <v>0.245</v>
      </c>
      <c r="D21" s="741" t="str">
        <f>D8</f>
        <v>Obra: Construção do Campus de Manicoré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3"/>
    </row>
    <row r="22" spans="1:23" s="16" customFormat="1" ht="15" customHeight="1" x14ac:dyDescent="0.25">
      <c r="A22" s="16" t="s">
        <v>25</v>
      </c>
      <c r="B22" s="16">
        <v>0.4</v>
      </c>
      <c r="D22" s="744" t="s">
        <v>17</v>
      </c>
      <c r="E22" s="745"/>
      <c r="F22" s="745"/>
      <c r="G22" s="745"/>
      <c r="H22" s="745"/>
      <c r="I22" s="745"/>
      <c r="J22" s="745"/>
      <c r="K22" s="746" t="s">
        <v>41</v>
      </c>
      <c r="L22" s="747"/>
      <c r="M22" s="747"/>
      <c r="N22" s="747"/>
      <c r="O22" s="747"/>
      <c r="P22" s="748"/>
      <c r="Q22" s="749" t="s">
        <v>45</v>
      </c>
    </row>
    <row r="23" spans="1:23" s="16" customFormat="1" ht="13.8" thickBot="1" x14ac:dyDescent="0.3">
      <c r="A23" s="16" t="s">
        <v>26</v>
      </c>
      <c r="B23" s="16">
        <v>0.61699999999999999</v>
      </c>
      <c r="D23" s="68" t="s">
        <v>44</v>
      </c>
      <c r="E23" s="70" t="s">
        <v>47</v>
      </c>
      <c r="F23" s="166" t="s">
        <v>19</v>
      </c>
      <c r="G23" s="167" t="s">
        <v>20</v>
      </c>
      <c r="H23" s="167" t="s">
        <v>21</v>
      </c>
      <c r="I23" s="168" t="s">
        <v>32</v>
      </c>
      <c r="J23" s="168" t="s">
        <v>33</v>
      </c>
      <c r="K23" s="169">
        <v>5</v>
      </c>
      <c r="L23" s="170">
        <v>6.3</v>
      </c>
      <c r="M23" s="170">
        <v>8</v>
      </c>
      <c r="N23" s="170">
        <v>10</v>
      </c>
      <c r="O23" s="170">
        <v>12.5</v>
      </c>
      <c r="P23" s="171">
        <v>16</v>
      </c>
      <c r="Q23" s="750"/>
    </row>
    <row r="24" spans="1:23" s="16" customFormat="1" ht="13.8" thickBot="1" x14ac:dyDescent="0.3">
      <c r="D24" s="732" t="s">
        <v>195</v>
      </c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4"/>
      <c r="Q24" s="526"/>
    </row>
    <row r="25" spans="1:23" s="16" customFormat="1" ht="13.95" customHeight="1" thickBot="1" x14ac:dyDescent="0.3">
      <c r="A25" s="16" t="s">
        <v>27</v>
      </c>
      <c r="B25" s="16">
        <v>0.96299999999999997</v>
      </c>
      <c r="C25" s="34"/>
      <c r="D25" s="730" t="s">
        <v>1241</v>
      </c>
      <c r="E25" s="275" t="s">
        <v>1242</v>
      </c>
      <c r="F25" s="190">
        <v>1</v>
      </c>
      <c r="G25" s="191">
        <f>10*8</f>
        <v>80</v>
      </c>
      <c r="H25" s="192">
        <v>10</v>
      </c>
      <c r="I25" s="193">
        <v>2.5499999999999998</v>
      </c>
      <c r="J25" s="276">
        <f>G25*I25</f>
        <v>204</v>
      </c>
      <c r="K25" s="65">
        <f t="shared" ref="K25:K139" si="1">IF($H25=5,$J25*$B$20,0)</f>
        <v>0</v>
      </c>
      <c r="L25" s="64">
        <f t="shared" ref="L25:L139" si="2">IF($H25=6.3,$J25*$B$21,0)</f>
        <v>0</v>
      </c>
      <c r="M25" s="64">
        <f>IF($H25=8,$J25*$B$22,0)</f>
        <v>0</v>
      </c>
      <c r="N25" s="64">
        <f>IF($H25=10,$J25*$B$23,0)</f>
        <v>125.86799999999999</v>
      </c>
      <c r="O25" s="64">
        <f t="shared" ref="O25:O139" si="3">IF($H25=12.5,$J25*$B$25,0)</f>
        <v>0</v>
      </c>
      <c r="P25" s="121">
        <f>IF($H25=16,$J25*$B$29,0)</f>
        <v>0</v>
      </c>
      <c r="Q25" s="69"/>
      <c r="S25" s="16">
        <f>SUMIF($H$25:$H$213,8,$J$25:$J$213)</f>
        <v>0</v>
      </c>
    </row>
    <row r="26" spans="1:23" s="16" customFormat="1" ht="13.8" thickBot="1" x14ac:dyDescent="0.3">
      <c r="C26" s="34"/>
      <c r="D26" s="729"/>
      <c r="E26" s="275" t="s">
        <v>1242</v>
      </c>
      <c r="F26" s="246">
        <v>2</v>
      </c>
      <c r="G26" s="247">
        <f>10*17</f>
        <v>170</v>
      </c>
      <c r="H26" s="248">
        <v>5</v>
      </c>
      <c r="I26" s="249">
        <v>1.4</v>
      </c>
      <c r="J26" s="294">
        <f>G26*I26</f>
        <v>237.99999999999997</v>
      </c>
      <c r="K26" s="296">
        <f t="shared" si="1"/>
        <v>36.651999999999994</v>
      </c>
      <c r="L26" s="297">
        <f t="shared" si="2"/>
        <v>0</v>
      </c>
      <c r="M26" s="295">
        <f>IF($H26=8,$J26*$B$22,0)</f>
        <v>0</v>
      </c>
      <c r="N26" s="297">
        <f>IF($H26=10,$J26*$B$23,0)</f>
        <v>0</v>
      </c>
      <c r="O26" s="297">
        <f t="shared" si="3"/>
        <v>0</v>
      </c>
      <c r="P26" s="298">
        <f>IF($H26=16,$J26*$B$29,0)</f>
        <v>0</v>
      </c>
      <c r="Q26" s="250"/>
    </row>
    <row r="27" spans="1:23" s="16" customFormat="1" ht="13.8" thickBot="1" x14ac:dyDescent="0.3">
      <c r="D27" s="732" t="s">
        <v>196</v>
      </c>
      <c r="E27" s="733"/>
      <c r="F27" s="733"/>
      <c r="G27" s="733"/>
      <c r="H27" s="733"/>
      <c r="I27" s="733"/>
      <c r="J27" s="733"/>
      <c r="K27" s="733"/>
      <c r="L27" s="733"/>
      <c r="M27" s="733"/>
      <c r="N27" s="733"/>
      <c r="O27" s="733"/>
      <c r="P27" s="734"/>
      <c r="Q27" s="529"/>
    </row>
    <row r="28" spans="1:23" s="16" customFormat="1" ht="14.4" thickTop="1" thickBot="1" x14ac:dyDescent="0.3">
      <c r="C28" s="34"/>
      <c r="D28" s="730" t="s">
        <v>1241</v>
      </c>
      <c r="E28" s="275" t="s">
        <v>1242</v>
      </c>
      <c r="F28" s="190">
        <v>1</v>
      </c>
      <c r="G28" s="191">
        <f>15*8</f>
        <v>120</v>
      </c>
      <c r="H28" s="192">
        <v>10</v>
      </c>
      <c r="I28" s="193">
        <v>2.5499999999999998</v>
      </c>
      <c r="J28" s="350">
        <f>G28*I28</f>
        <v>306</v>
      </c>
      <c r="K28" s="351">
        <f t="shared" si="1"/>
        <v>0</v>
      </c>
      <c r="L28" s="352">
        <f t="shared" si="2"/>
        <v>0</v>
      </c>
      <c r="M28" s="353">
        <f>IF($H28=8,$J28*$B$22,0)</f>
        <v>0</v>
      </c>
      <c r="N28" s="352">
        <f>IF($H28=10,$J28*$B$23,0)</f>
        <v>188.80199999999999</v>
      </c>
      <c r="O28" s="352">
        <f t="shared" si="3"/>
        <v>0</v>
      </c>
      <c r="P28" s="354">
        <f>IF($H28=16,$J28*$B$29,0)</f>
        <v>0</v>
      </c>
      <c r="Q28" s="250"/>
    </row>
    <row r="29" spans="1:23" s="16" customFormat="1" ht="13.8" thickBot="1" x14ac:dyDescent="0.3">
      <c r="A29" s="16" t="s">
        <v>28</v>
      </c>
      <c r="B29" s="16">
        <v>1.6</v>
      </c>
      <c r="C29" s="34"/>
      <c r="D29" s="729"/>
      <c r="E29" s="275" t="s">
        <v>1242</v>
      </c>
      <c r="F29" s="246">
        <v>2</v>
      </c>
      <c r="G29" s="247">
        <f>15*17</f>
        <v>255</v>
      </c>
      <c r="H29" s="248">
        <v>5</v>
      </c>
      <c r="I29" s="249">
        <v>1.4</v>
      </c>
      <c r="J29" s="294">
        <f>G29*I29</f>
        <v>357</v>
      </c>
      <c r="K29" s="221">
        <f t="shared" si="1"/>
        <v>54.978000000000002</v>
      </c>
      <c r="L29" s="222">
        <f t="shared" si="2"/>
        <v>0</v>
      </c>
      <c r="M29" s="222">
        <f t="shared" ref="M29:M139" si="4">IF($H29=8,$J29*$B$22,0)</f>
        <v>0</v>
      </c>
      <c r="N29" s="222">
        <f t="shared" ref="N29:N139" si="5">IF($H29=10,$J29*$B$23,0)</f>
        <v>0</v>
      </c>
      <c r="O29" s="222">
        <f t="shared" si="3"/>
        <v>0</v>
      </c>
      <c r="P29" s="355">
        <f t="shared" ref="P29:P102" si="6">IF($H29=16,$J29*$B$29,0)</f>
        <v>0</v>
      </c>
      <c r="Q29" s="250"/>
      <c r="S29" s="16">
        <f>SUMIF($H$25:$H$213,10,$J$25:$J$213)</f>
        <v>6752.4</v>
      </c>
    </row>
    <row r="30" spans="1:23" s="16" customFormat="1" ht="14.4" thickTop="1" thickBot="1" x14ac:dyDescent="0.3">
      <c r="D30" s="732" t="s">
        <v>1284</v>
      </c>
      <c r="E30" s="733"/>
      <c r="F30" s="733"/>
      <c r="G30" s="733"/>
      <c r="H30" s="733"/>
      <c r="I30" s="733"/>
      <c r="J30" s="733"/>
      <c r="K30" s="733"/>
      <c r="L30" s="733"/>
      <c r="M30" s="733"/>
      <c r="N30" s="733"/>
      <c r="O30" s="733"/>
      <c r="P30" s="734"/>
      <c r="Q30" s="543"/>
    </row>
    <row r="31" spans="1:23" s="16" customFormat="1" ht="14.4" thickTop="1" thickBot="1" x14ac:dyDescent="0.3">
      <c r="A31" s="16" t="s">
        <v>29</v>
      </c>
      <c r="B31" s="16">
        <v>2.5</v>
      </c>
      <c r="C31" s="34"/>
      <c r="D31" s="730" t="s">
        <v>1241</v>
      </c>
      <c r="E31" s="275" t="s">
        <v>1242</v>
      </c>
      <c r="F31" s="190">
        <v>1</v>
      </c>
      <c r="G31" s="191">
        <f>42*8</f>
        <v>336</v>
      </c>
      <c r="H31" s="192">
        <v>10</v>
      </c>
      <c r="I31" s="193">
        <v>2.5499999999999998</v>
      </c>
      <c r="J31" s="350">
        <f t="shared" ref="J31:J139" si="7">G31*I31</f>
        <v>856.8</v>
      </c>
      <c r="K31" s="259">
        <f t="shared" si="1"/>
        <v>0</v>
      </c>
      <c r="L31" s="260">
        <f t="shared" si="2"/>
        <v>0</v>
      </c>
      <c r="M31" s="219">
        <f t="shared" si="4"/>
        <v>0</v>
      </c>
      <c r="N31" s="260">
        <f t="shared" si="5"/>
        <v>528.64559999999994</v>
      </c>
      <c r="O31" s="260">
        <f t="shared" si="3"/>
        <v>0</v>
      </c>
      <c r="P31" s="261">
        <f t="shared" si="6"/>
        <v>0</v>
      </c>
      <c r="Q31" s="262"/>
      <c r="S31" s="16">
        <f>SUMIF($H$25:$H$213,12.5,$J$25:$J$213)</f>
        <v>0</v>
      </c>
    </row>
    <row r="32" spans="1:23" s="16" customFormat="1" ht="13.8" thickBot="1" x14ac:dyDescent="0.3">
      <c r="C32" s="34"/>
      <c r="D32" s="729"/>
      <c r="E32" s="275" t="s">
        <v>1242</v>
      </c>
      <c r="F32" s="246">
        <v>2</v>
      </c>
      <c r="G32" s="247">
        <f>42*17</f>
        <v>714</v>
      </c>
      <c r="H32" s="248">
        <v>5</v>
      </c>
      <c r="I32" s="249">
        <v>1.4</v>
      </c>
      <c r="J32" s="294">
        <f t="shared" si="7"/>
        <v>999.59999999999991</v>
      </c>
      <c r="K32" s="296">
        <f t="shared" si="1"/>
        <v>153.93839999999997</v>
      </c>
      <c r="L32" s="297">
        <f t="shared" si="2"/>
        <v>0</v>
      </c>
      <c r="M32" s="295">
        <f t="shared" si="4"/>
        <v>0</v>
      </c>
      <c r="N32" s="297">
        <f t="shared" si="5"/>
        <v>0</v>
      </c>
      <c r="O32" s="297">
        <f t="shared" si="3"/>
        <v>0</v>
      </c>
      <c r="P32" s="298">
        <f t="shared" si="6"/>
        <v>0</v>
      </c>
      <c r="Q32" s="299"/>
    </row>
    <row r="33" spans="1:19" s="16" customFormat="1" ht="13.8" thickBot="1" x14ac:dyDescent="0.3">
      <c r="D33" s="732" t="s">
        <v>323</v>
      </c>
      <c r="E33" s="733"/>
      <c r="F33" s="733"/>
      <c r="G33" s="733"/>
      <c r="H33" s="733"/>
      <c r="I33" s="733"/>
      <c r="J33" s="733"/>
      <c r="K33" s="733"/>
      <c r="L33" s="733"/>
      <c r="M33" s="733"/>
      <c r="N33" s="733"/>
      <c r="O33" s="733"/>
      <c r="P33" s="734"/>
      <c r="Q33" s="555"/>
    </row>
    <row r="34" spans="1:19" s="16" customFormat="1" ht="14.4" thickTop="1" thickBot="1" x14ac:dyDescent="0.3">
      <c r="C34" s="34"/>
      <c r="D34" s="730" t="s">
        <v>1241</v>
      </c>
      <c r="E34" s="275" t="s">
        <v>1242</v>
      </c>
      <c r="F34" s="255">
        <v>1</v>
      </c>
      <c r="G34" s="191">
        <f>24*8</f>
        <v>192</v>
      </c>
      <c r="H34" s="192">
        <v>10</v>
      </c>
      <c r="I34" s="193">
        <v>2.5499999999999998</v>
      </c>
      <c r="J34" s="350">
        <f t="shared" si="7"/>
        <v>489.59999999999997</v>
      </c>
      <c r="K34" s="351">
        <f t="shared" si="1"/>
        <v>0</v>
      </c>
      <c r="L34" s="352">
        <f t="shared" si="2"/>
        <v>0</v>
      </c>
      <c r="M34" s="353">
        <f t="shared" si="4"/>
        <v>0</v>
      </c>
      <c r="N34" s="352">
        <f t="shared" si="5"/>
        <v>302.08319999999998</v>
      </c>
      <c r="O34" s="352">
        <f t="shared" si="3"/>
        <v>0</v>
      </c>
      <c r="P34" s="354">
        <f t="shared" si="6"/>
        <v>0</v>
      </c>
      <c r="Q34" s="299"/>
    </row>
    <row r="35" spans="1:19" ht="13.8" thickBot="1" x14ac:dyDescent="0.3">
      <c r="A35" s="16" t="s">
        <v>30</v>
      </c>
      <c r="B35" s="16">
        <v>3.85</v>
      </c>
      <c r="D35" s="729"/>
      <c r="E35" s="275" t="s">
        <v>1242</v>
      </c>
      <c r="F35" s="263">
        <v>2</v>
      </c>
      <c r="G35" s="247">
        <f>24*17</f>
        <v>408</v>
      </c>
      <c r="H35" s="248">
        <v>5</v>
      </c>
      <c r="I35" s="249">
        <v>1.4</v>
      </c>
      <c r="J35" s="357">
        <f t="shared" si="7"/>
        <v>571.19999999999993</v>
      </c>
      <c r="K35" s="267">
        <f t="shared" si="1"/>
        <v>87.964799999999983</v>
      </c>
      <c r="L35" s="268">
        <f t="shared" si="2"/>
        <v>0</v>
      </c>
      <c r="M35" s="222">
        <f t="shared" si="4"/>
        <v>0</v>
      </c>
      <c r="N35" s="268">
        <f t="shared" si="5"/>
        <v>0</v>
      </c>
      <c r="O35" s="268">
        <f t="shared" si="3"/>
        <v>0</v>
      </c>
      <c r="P35" s="269">
        <f t="shared" si="6"/>
        <v>0</v>
      </c>
      <c r="Q35" s="270"/>
      <c r="R35" s="85"/>
      <c r="S35" s="16"/>
    </row>
    <row r="36" spans="1:19" s="16" customFormat="1" ht="14.4" thickTop="1" thickBot="1" x14ac:dyDescent="0.3">
      <c r="D36" s="732" t="s">
        <v>422</v>
      </c>
      <c r="E36" s="733"/>
      <c r="F36" s="733"/>
      <c r="G36" s="733"/>
      <c r="H36" s="733"/>
      <c r="I36" s="733"/>
      <c r="J36" s="733"/>
      <c r="K36" s="733"/>
      <c r="L36" s="733"/>
      <c r="M36" s="733"/>
      <c r="N36" s="733"/>
      <c r="O36" s="733"/>
      <c r="P36" s="734"/>
      <c r="Q36" s="568"/>
    </row>
    <row r="37" spans="1:19" ht="14.4" thickTop="1" thickBot="1" x14ac:dyDescent="0.3">
      <c r="D37" s="730" t="s">
        <v>1241</v>
      </c>
      <c r="E37" s="275" t="s">
        <v>1242</v>
      </c>
      <c r="F37" s="255">
        <v>1</v>
      </c>
      <c r="G37" s="191">
        <f>44*8</f>
        <v>352</v>
      </c>
      <c r="H37" s="192">
        <v>10</v>
      </c>
      <c r="I37" s="193">
        <v>2.5499999999999998</v>
      </c>
      <c r="J37" s="350">
        <f t="shared" si="7"/>
        <v>897.59999999999991</v>
      </c>
      <c r="K37" s="251">
        <f t="shared" si="1"/>
        <v>0</v>
      </c>
      <c r="L37" s="252">
        <f t="shared" si="2"/>
        <v>0</v>
      </c>
      <c r="M37" s="196">
        <f t="shared" si="4"/>
        <v>0</v>
      </c>
      <c r="N37" s="252">
        <f t="shared" si="5"/>
        <v>553.81919999999991</v>
      </c>
      <c r="O37" s="252">
        <f t="shared" si="3"/>
        <v>0</v>
      </c>
      <c r="P37" s="253">
        <f t="shared" si="6"/>
        <v>0</v>
      </c>
      <c r="Q37" s="254"/>
      <c r="R37" s="26"/>
      <c r="S37" s="16"/>
    </row>
    <row r="38" spans="1:19" ht="13.8" thickBot="1" x14ac:dyDescent="0.3">
      <c r="D38" s="729"/>
      <c r="E38" s="275" t="s">
        <v>1242</v>
      </c>
      <c r="F38" s="263">
        <v>2</v>
      </c>
      <c r="G38" s="247">
        <f>44*17</f>
        <v>748</v>
      </c>
      <c r="H38" s="248">
        <v>5</v>
      </c>
      <c r="I38" s="249">
        <v>1.4</v>
      </c>
      <c r="J38" s="294">
        <f>G38*I38</f>
        <v>1047.2</v>
      </c>
      <c r="K38" s="251">
        <f t="shared" si="1"/>
        <v>161.2688</v>
      </c>
      <c r="L38" s="252">
        <f t="shared" si="2"/>
        <v>0</v>
      </c>
      <c r="M38" s="196">
        <f t="shared" si="4"/>
        <v>0</v>
      </c>
      <c r="N38" s="252">
        <f t="shared" si="5"/>
        <v>0</v>
      </c>
      <c r="O38" s="252">
        <f t="shared" si="3"/>
        <v>0</v>
      </c>
      <c r="P38" s="253">
        <f t="shared" si="6"/>
        <v>0</v>
      </c>
      <c r="Q38" s="299"/>
      <c r="R38" s="26"/>
      <c r="S38" s="16"/>
    </row>
    <row r="39" spans="1:19" s="16" customFormat="1" ht="14.4" thickTop="1" thickBot="1" x14ac:dyDescent="0.3">
      <c r="D39" s="732" t="s">
        <v>583</v>
      </c>
      <c r="E39" s="733"/>
      <c r="F39" s="733"/>
      <c r="G39" s="733"/>
      <c r="H39" s="733"/>
      <c r="I39" s="733"/>
      <c r="J39" s="733"/>
      <c r="K39" s="733"/>
      <c r="L39" s="733"/>
      <c r="M39" s="733"/>
      <c r="N39" s="733"/>
      <c r="O39" s="733"/>
      <c r="P39" s="734"/>
      <c r="Q39" s="576"/>
    </row>
    <row r="40" spans="1:19" ht="14.4" thickTop="1" thickBot="1" x14ac:dyDescent="0.3">
      <c r="D40" s="730" t="s">
        <v>1241</v>
      </c>
      <c r="E40" s="275" t="s">
        <v>1242</v>
      </c>
      <c r="F40" s="255">
        <v>1</v>
      </c>
      <c r="G40" s="191">
        <f>48*8</f>
        <v>384</v>
      </c>
      <c r="H40" s="192">
        <v>10</v>
      </c>
      <c r="I40" s="193">
        <v>2.5499999999999998</v>
      </c>
      <c r="J40" s="350">
        <f t="shared" ref="J40" si="8">G40*I40</f>
        <v>979.19999999999993</v>
      </c>
      <c r="K40" s="251">
        <f t="shared" si="1"/>
        <v>0</v>
      </c>
      <c r="L40" s="252">
        <f t="shared" si="2"/>
        <v>0</v>
      </c>
      <c r="M40" s="196">
        <f t="shared" si="4"/>
        <v>0</v>
      </c>
      <c r="N40" s="252">
        <f t="shared" si="5"/>
        <v>604.16639999999995</v>
      </c>
      <c r="O40" s="252">
        <f t="shared" si="3"/>
        <v>0</v>
      </c>
      <c r="P40" s="253">
        <f t="shared" si="6"/>
        <v>0</v>
      </c>
      <c r="Q40" s="254"/>
      <c r="R40" s="26"/>
      <c r="S40" s="16"/>
    </row>
    <row r="41" spans="1:19" ht="13.8" thickBot="1" x14ac:dyDescent="0.3">
      <c r="D41" s="729"/>
      <c r="E41" s="275" t="s">
        <v>1242</v>
      </c>
      <c r="F41" s="263">
        <v>2</v>
      </c>
      <c r="G41" s="247">
        <f>48*17</f>
        <v>816</v>
      </c>
      <c r="H41" s="248">
        <v>5</v>
      </c>
      <c r="I41" s="249">
        <v>1.4</v>
      </c>
      <c r="J41" s="294">
        <f>G41*I41</f>
        <v>1142.3999999999999</v>
      </c>
      <c r="K41" s="251">
        <f t="shared" si="1"/>
        <v>175.92959999999997</v>
      </c>
      <c r="L41" s="252">
        <f t="shared" si="2"/>
        <v>0</v>
      </c>
      <c r="M41" s="196">
        <f t="shared" si="4"/>
        <v>0</v>
      </c>
      <c r="N41" s="252">
        <f t="shared" si="5"/>
        <v>0</v>
      </c>
      <c r="O41" s="252">
        <f t="shared" si="3"/>
        <v>0</v>
      </c>
      <c r="P41" s="253">
        <f t="shared" si="6"/>
        <v>0</v>
      </c>
      <c r="Q41" s="299"/>
      <c r="R41" s="26"/>
      <c r="S41" s="16"/>
    </row>
    <row r="42" spans="1:19" s="16" customFormat="1" ht="14.4" thickTop="1" thickBot="1" x14ac:dyDescent="0.3">
      <c r="D42" s="732" t="s">
        <v>740</v>
      </c>
      <c r="E42" s="733"/>
      <c r="F42" s="733"/>
      <c r="G42" s="733"/>
      <c r="H42" s="733"/>
      <c r="I42" s="733"/>
      <c r="J42" s="733"/>
      <c r="K42" s="733"/>
      <c r="L42" s="733"/>
      <c r="M42" s="733"/>
      <c r="N42" s="733"/>
      <c r="O42" s="733"/>
      <c r="P42" s="734"/>
      <c r="Q42" s="581"/>
    </row>
    <row r="43" spans="1:19" ht="14.4" thickTop="1" thickBot="1" x14ac:dyDescent="0.3">
      <c r="D43" s="730" t="s">
        <v>1241</v>
      </c>
      <c r="E43" s="275" t="s">
        <v>1242</v>
      </c>
      <c r="F43" s="255">
        <v>1</v>
      </c>
      <c r="G43" s="191">
        <f>62*8</f>
        <v>496</v>
      </c>
      <c r="H43" s="192">
        <v>10</v>
      </c>
      <c r="I43" s="193">
        <v>2.5499999999999998</v>
      </c>
      <c r="J43" s="350">
        <f>G43*I43</f>
        <v>1264.8</v>
      </c>
      <c r="K43" s="351">
        <f t="shared" si="1"/>
        <v>0</v>
      </c>
      <c r="L43" s="352">
        <f t="shared" si="2"/>
        <v>0</v>
      </c>
      <c r="M43" s="353">
        <f t="shared" si="4"/>
        <v>0</v>
      </c>
      <c r="N43" s="352">
        <f t="shared" si="5"/>
        <v>780.38159999999993</v>
      </c>
      <c r="O43" s="352">
        <f t="shared" si="3"/>
        <v>0</v>
      </c>
      <c r="P43" s="354">
        <f t="shared" si="6"/>
        <v>0</v>
      </c>
      <c r="Q43" s="299"/>
      <c r="R43" s="26"/>
      <c r="S43" s="16"/>
    </row>
    <row r="44" spans="1:19" ht="15" customHeight="1" thickBot="1" x14ac:dyDescent="0.3">
      <c r="D44" s="729"/>
      <c r="E44" s="275" t="s">
        <v>1242</v>
      </c>
      <c r="F44" s="263">
        <v>2</v>
      </c>
      <c r="G44" s="247">
        <f>62*17</f>
        <v>1054</v>
      </c>
      <c r="H44" s="248">
        <v>5</v>
      </c>
      <c r="I44" s="249">
        <v>1.4</v>
      </c>
      <c r="J44" s="357">
        <f t="shared" ref="J44" si="9">G44*I44</f>
        <v>1475.6</v>
      </c>
      <c r="K44" s="271">
        <f t="shared" si="1"/>
        <v>227.24239999999998</v>
      </c>
      <c r="L44" s="272">
        <f t="shared" si="2"/>
        <v>0</v>
      </c>
      <c r="M44" s="195">
        <f t="shared" si="4"/>
        <v>0</v>
      </c>
      <c r="N44" s="272">
        <f t="shared" si="5"/>
        <v>0</v>
      </c>
      <c r="O44" s="272">
        <f t="shared" si="3"/>
        <v>0</v>
      </c>
      <c r="P44" s="273">
        <f t="shared" si="6"/>
        <v>0</v>
      </c>
      <c r="Q44" s="274"/>
      <c r="R44" s="26"/>
    </row>
    <row r="45" spans="1:19" s="16" customFormat="1" ht="14.4" thickTop="1" thickBot="1" x14ac:dyDescent="0.3">
      <c r="D45" s="732" t="s">
        <v>930</v>
      </c>
      <c r="E45" s="733"/>
      <c r="F45" s="733"/>
      <c r="G45" s="733"/>
      <c r="H45" s="733"/>
      <c r="I45" s="733"/>
      <c r="J45" s="733"/>
      <c r="K45" s="733"/>
      <c r="L45" s="733"/>
      <c r="M45" s="733"/>
      <c r="N45" s="733"/>
      <c r="O45" s="733"/>
      <c r="P45" s="734"/>
      <c r="Q45" s="585"/>
    </row>
    <row r="46" spans="1:19" ht="14.4" thickTop="1" thickBot="1" x14ac:dyDescent="0.3">
      <c r="D46" s="730" t="s">
        <v>1241</v>
      </c>
      <c r="E46" s="275" t="s">
        <v>1242</v>
      </c>
      <c r="F46" s="255">
        <v>1</v>
      </c>
      <c r="G46" s="191">
        <f>27*8</f>
        <v>216</v>
      </c>
      <c r="H46" s="192">
        <v>10</v>
      </c>
      <c r="I46" s="193">
        <v>2.5499999999999998</v>
      </c>
      <c r="J46" s="350">
        <f>G46*I46</f>
        <v>550.79999999999995</v>
      </c>
      <c r="K46" s="351">
        <f t="shared" si="1"/>
        <v>0</v>
      </c>
      <c r="L46" s="352">
        <f t="shared" si="2"/>
        <v>0</v>
      </c>
      <c r="M46" s="353">
        <f t="shared" si="4"/>
        <v>0</v>
      </c>
      <c r="N46" s="352">
        <f t="shared" si="5"/>
        <v>339.84359999999998</v>
      </c>
      <c r="O46" s="352">
        <f t="shared" si="3"/>
        <v>0</v>
      </c>
      <c r="P46" s="354">
        <f t="shared" si="6"/>
        <v>0</v>
      </c>
      <c r="Q46" s="299"/>
      <c r="R46" s="26"/>
      <c r="S46" s="16"/>
    </row>
    <row r="47" spans="1:19" ht="15" customHeight="1" thickBot="1" x14ac:dyDescent="0.3">
      <c r="D47" s="729"/>
      <c r="E47" s="275" t="s">
        <v>1242</v>
      </c>
      <c r="F47" s="263">
        <v>2</v>
      </c>
      <c r="G47" s="247">
        <f>27*17</f>
        <v>459</v>
      </c>
      <c r="H47" s="248">
        <v>5</v>
      </c>
      <c r="I47" s="249">
        <v>1.4</v>
      </c>
      <c r="J47" s="357">
        <f t="shared" ref="J47" si="10">G47*I47</f>
        <v>642.59999999999991</v>
      </c>
      <c r="K47" s="271">
        <f t="shared" si="1"/>
        <v>98.960399999999979</v>
      </c>
      <c r="L47" s="272">
        <f t="shared" si="2"/>
        <v>0</v>
      </c>
      <c r="M47" s="195">
        <f t="shared" si="4"/>
        <v>0</v>
      </c>
      <c r="N47" s="272">
        <f t="shared" si="5"/>
        <v>0</v>
      </c>
      <c r="O47" s="272">
        <f t="shared" si="3"/>
        <v>0</v>
      </c>
      <c r="P47" s="273">
        <f t="shared" si="6"/>
        <v>0</v>
      </c>
      <c r="Q47" s="274"/>
      <c r="R47" s="26"/>
    </row>
    <row r="48" spans="1:19" s="16" customFormat="1" ht="14.4" thickTop="1" thickBot="1" x14ac:dyDescent="0.3">
      <c r="D48" s="732" t="s">
        <v>1985</v>
      </c>
      <c r="E48" s="733"/>
      <c r="F48" s="733"/>
      <c r="G48" s="733"/>
      <c r="H48" s="733"/>
      <c r="I48" s="733"/>
      <c r="J48" s="733"/>
      <c r="K48" s="733"/>
      <c r="L48" s="733"/>
      <c r="M48" s="733"/>
      <c r="N48" s="733"/>
      <c r="O48" s="733"/>
      <c r="P48" s="734"/>
      <c r="Q48" s="593"/>
    </row>
    <row r="49" spans="4:19" ht="14.4" thickTop="1" thickBot="1" x14ac:dyDescent="0.3">
      <c r="D49" s="730" t="s">
        <v>1241</v>
      </c>
      <c r="E49" s="275" t="s">
        <v>1242</v>
      </c>
      <c r="F49" s="255">
        <v>1</v>
      </c>
      <c r="G49" s="191">
        <f>33*8</f>
        <v>264</v>
      </c>
      <c r="H49" s="192">
        <v>10</v>
      </c>
      <c r="I49" s="193">
        <v>2.5499999999999998</v>
      </c>
      <c r="J49" s="350">
        <f>G49*I49</f>
        <v>673.19999999999993</v>
      </c>
      <c r="K49" s="351">
        <f t="shared" si="1"/>
        <v>0</v>
      </c>
      <c r="L49" s="352">
        <f t="shared" si="2"/>
        <v>0</v>
      </c>
      <c r="M49" s="353">
        <f t="shared" si="4"/>
        <v>0</v>
      </c>
      <c r="N49" s="352">
        <f t="shared" si="5"/>
        <v>415.36439999999993</v>
      </c>
      <c r="O49" s="352">
        <f t="shared" si="3"/>
        <v>0</v>
      </c>
      <c r="P49" s="354">
        <f t="shared" si="6"/>
        <v>0</v>
      </c>
      <c r="Q49" s="299"/>
      <c r="R49" s="26"/>
      <c r="S49" s="16"/>
    </row>
    <row r="50" spans="4:19" ht="15" customHeight="1" thickBot="1" x14ac:dyDescent="0.3">
      <c r="D50" s="729"/>
      <c r="E50" s="275" t="s">
        <v>1242</v>
      </c>
      <c r="F50" s="263">
        <v>2</v>
      </c>
      <c r="G50" s="247">
        <f>33*17</f>
        <v>561</v>
      </c>
      <c r="H50" s="248">
        <v>5</v>
      </c>
      <c r="I50" s="249">
        <v>1.4</v>
      </c>
      <c r="J50" s="357">
        <f t="shared" ref="J50" si="11">G50*I50</f>
        <v>785.4</v>
      </c>
      <c r="K50" s="271">
        <f t="shared" si="1"/>
        <v>120.9516</v>
      </c>
      <c r="L50" s="272">
        <f t="shared" si="2"/>
        <v>0</v>
      </c>
      <c r="M50" s="195">
        <f t="shared" si="4"/>
        <v>0</v>
      </c>
      <c r="N50" s="272">
        <f t="shared" si="5"/>
        <v>0</v>
      </c>
      <c r="O50" s="272">
        <f t="shared" si="3"/>
        <v>0</v>
      </c>
      <c r="P50" s="273">
        <f t="shared" si="6"/>
        <v>0</v>
      </c>
      <c r="Q50" s="274"/>
      <c r="R50" s="26"/>
    </row>
    <row r="51" spans="4:19" s="16" customFormat="1" ht="14.4" thickTop="1" thickBot="1" x14ac:dyDescent="0.3">
      <c r="D51" s="732" t="s">
        <v>2115</v>
      </c>
      <c r="E51" s="733"/>
      <c r="F51" s="733"/>
      <c r="G51" s="733"/>
      <c r="H51" s="733"/>
      <c r="I51" s="733"/>
      <c r="J51" s="733"/>
      <c r="K51" s="733"/>
      <c r="L51" s="733"/>
      <c r="M51" s="733"/>
      <c r="N51" s="733"/>
      <c r="O51" s="733"/>
      <c r="P51" s="734"/>
      <c r="Q51" s="648"/>
    </row>
    <row r="52" spans="4:19" ht="14.4" thickTop="1" thickBot="1" x14ac:dyDescent="0.3">
      <c r="D52" s="730" t="s">
        <v>1241</v>
      </c>
      <c r="E52" s="275" t="s">
        <v>1242</v>
      </c>
      <c r="F52" s="255">
        <v>1</v>
      </c>
      <c r="G52" s="191">
        <f>26*8</f>
        <v>208</v>
      </c>
      <c r="H52" s="192">
        <v>10</v>
      </c>
      <c r="I52" s="193">
        <v>2.5499999999999998</v>
      </c>
      <c r="J52" s="350">
        <f>G52*I52</f>
        <v>530.4</v>
      </c>
      <c r="K52" s="351">
        <f t="shared" si="1"/>
        <v>0</v>
      </c>
      <c r="L52" s="352">
        <f t="shared" si="2"/>
        <v>0</v>
      </c>
      <c r="M52" s="353">
        <f t="shared" si="4"/>
        <v>0</v>
      </c>
      <c r="N52" s="352">
        <f t="shared" si="5"/>
        <v>327.2568</v>
      </c>
      <c r="O52" s="352">
        <f t="shared" si="3"/>
        <v>0</v>
      </c>
      <c r="P52" s="354">
        <f t="shared" si="6"/>
        <v>0</v>
      </c>
      <c r="Q52" s="299"/>
      <c r="R52" s="26"/>
      <c r="S52" s="16"/>
    </row>
    <row r="53" spans="4:19" ht="15" customHeight="1" thickBot="1" x14ac:dyDescent="0.3">
      <c r="D53" s="729"/>
      <c r="E53" s="275" t="s">
        <v>1242</v>
      </c>
      <c r="F53" s="263">
        <v>2</v>
      </c>
      <c r="G53" s="247">
        <f>26*17</f>
        <v>442</v>
      </c>
      <c r="H53" s="248">
        <v>5</v>
      </c>
      <c r="I53" s="249">
        <v>1.4</v>
      </c>
      <c r="J53" s="357">
        <f t="shared" ref="J53:J54" si="12">G53*I53</f>
        <v>618.79999999999995</v>
      </c>
      <c r="K53" s="271">
        <f t="shared" si="1"/>
        <v>95.295199999999994</v>
      </c>
      <c r="L53" s="272">
        <f t="shared" si="2"/>
        <v>0</v>
      </c>
      <c r="M53" s="195">
        <f t="shared" si="4"/>
        <v>0</v>
      </c>
      <c r="N53" s="272">
        <f t="shared" si="5"/>
        <v>0</v>
      </c>
      <c r="O53" s="272">
        <f t="shared" si="3"/>
        <v>0</v>
      </c>
      <c r="P53" s="273">
        <f t="shared" si="6"/>
        <v>0</v>
      </c>
      <c r="Q53" s="274"/>
      <c r="R53" s="26"/>
    </row>
    <row r="54" spans="4:19" ht="14.4" thickTop="1" thickBot="1" x14ac:dyDescent="0.3">
      <c r="D54" s="730"/>
      <c r="E54" s="358"/>
      <c r="F54" s="190"/>
      <c r="G54" s="191"/>
      <c r="H54" s="192"/>
      <c r="I54" s="193"/>
      <c r="J54" s="276">
        <f t="shared" si="12"/>
        <v>0</v>
      </c>
      <c r="K54" s="351">
        <f t="shared" si="1"/>
        <v>0</v>
      </c>
      <c r="L54" s="352">
        <f t="shared" si="2"/>
        <v>0</v>
      </c>
      <c r="M54" s="353">
        <f t="shared" si="4"/>
        <v>0</v>
      </c>
      <c r="N54" s="352">
        <f t="shared" si="5"/>
        <v>0</v>
      </c>
      <c r="O54" s="352">
        <f t="shared" si="3"/>
        <v>0</v>
      </c>
      <c r="P54" s="354">
        <f t="shared" si="6"/>
        <v>0</v>
      </c>
      <c r="Q54" s="262"/>
      <c r="R54" s="26"/>
    </row>
    <row r="55" spans="4:19" ht="13.8" thickBot="1" x14ac:dyDescent="0.3">
      <c r="D55" s="729"/>
      <c r="E55" s="349"/>
      <c r="F55" s="246"/>
      <c r="G55" s="247"/>
      <c r="H55" s="248"/>
      <c r="I55" s="249"/>
      <c r="J55" s="294">
        <f>G55*I55</f>
        <v>0</v>
      </c>
      <c r="K55" s="251">
        <f t="shared" si="1"/>
        <v>0</v>
      </c>
      <c r="L55" s="252">
        <f t="shared" si="2"/>
        <v>0</v>
      </c>
      <c r="M55" s="196">
        <f t="shared" si="4"/>
        <v>0</v>
      </c>
      <c r="N55" s="252">
        <f t="shared" si="5"/>
        <v>0</v>
      </c>
      <c r="O55" s="252">
        <f t="shared" si="3"/>
        <v>0</v>
      </c>
      <c r="P55" s="253">
        <f t="shared" si="6"/>
        <v>0</v>
      </c>
      <c r="Q55" s="299"/>
      <c r="R55" s="26"/>
      <c r="S55" s="82">
        <f>21*16</f>
        <v>336</v>
      </c>
    </row>
    <row r="56" spans="4:19" ht="14.4" thickTop="1" thickBot="1" x14ac:dyDescent="0.3">
      <c r="D56" s="730"/>
      <c r="E56" s="277"/>
      <c r="F56" s="255"/>
      <c r="G56" s="256"/>
      <c r="H56" s="257"/>
      <c r="I56" s="258"/>
      <c r="J56" s="350">
        <f>G56*I56</f>
        <v>0</v>
      </c>
      <c r="K56" s="259">
        <f t="shared" si="1"/>
        <v>0</v>
      </c>
      <c r="L56" s="260">
        <f t="shared" si="2"/>
        <v>0</v>
      </c>
      <c r="M56" s="219">
        <f t="shared" si="4"/>
        <v>0</v>
      </c>
      <c r="N56" s="260">
        <f t="shared" si="5"/>
        <v>0</v>
      </c>
      <c r="O56" s="260">
        <f t="shared" si="3"/>
        <v>0</v>
      </c>
      <c r="P56" s="261">
        <f t="shared" si="6"/>
        <v>0</v>
      </c>
      <c r="Q56" s="299"/>
      <c r="R56" s="26"/>
    </row>
    <row r="57" spans="4:19" ht="15" customHeight="1" thickBot="1" x14ac:dyDescent="0.3">
      <c r="D57" s="731"/>
      <c r="E57" s="356"/>
      <c r="F57" s="263"/>
      <c r="G57" s="264"/>
      <c r="H57" s="265"/>
      <c r="I57" s="266"/>
      <c r="J57" s="357">
        <f t="shared" ref="J57" si="13">G57*I57</f>
        <v>0</v>
      </c>
      <c r="K57" s="267">
        <f t="shared" si="1"/>
        <v>0</v>
      </c>
      <c r="L57" s="268">
        <f t="shared" si="2"/>
        <v>0</v>
      </c>
      <c r="M57" s="222">
        <f t="shared" si="4"/>
        <v>0</v>
      </c>
      <c r="N57" s="268">
        <f t="shared" si="5"/>
        <v>0</v>
      </c>
      <c r="O57" s="268">
        <f t="shared" si="3"/>
        <v>0</v>
      </c>
      <c r="P57" s="269">
        <f t="shared" si="6"/>
        <v>0</v>
      </c>
      <c r="Q57" s="270"/>
      <c r="R57" s="26"/>
    </row>
    <row r="58" spans="4:19" ht="14.4" thickTop="1" thickBot="1" x14ac:dyDescent="0.3">
      <c r="D58" s="728"/>
      <c r="E58" s="277"/>
      <c r="F58" s="255"/>
      <c r="G58" s="256"/>
      <c r="H58" s="257"/>
      <c r="I58" s="258"/>
      <c r="J58" s="350">
        <f>G58*I58</f>
        <v>0</v>
      </c>
      <c r="K58" s="351">
        <f t="shared" si="1"/>
        <v>0</v>
      </c>
      <c r="L58" s="352">
        <f t="shared" si="2"/>
        <v>0</v>
      </c>
      <c r="M58" s="353">
        <f t="shared" si="4"/>
        <v>0</v>
      </c>
      <c r="N58" s="352">
        <f t="shared" si="5"/>
        <v>0</v>
      </c>
      <c r="O58" s="352">
        <f t="shared" si="3"/>
        <v>0</v>
      </c>
      <c r="P58" s="354">
        <f t="shared" si="6"/>
        <v>0</v>
      </c>
      <c r="Q58" s="299"/>
      <c r="R58" s="26"/>
      <c r="S58" s="16"/>
    </row>
    <row r="59" spans="4:19" ht="15" customHeight="1" thickBot="1" x14ac:dyDescent="0.3">
      <c r="D59" s="729"/>
      <c r="E59" s="356"/>
      <c r="F59" s="263"/>
      <c r="G59" s="264"/>
      <c r="H59" s="265"/>
      <c r="I59" s="266"/>
      <c r="J59" s="357">
        <f t="shared" ref="J59" si="14">G59*I59</f>
        <v>0</v>
      </c>
      <c r="K59" s="271">
        <f t="shared" si="1"/>
        <v>0</v>
      </c>
      <c r="L59" s="272">
        <f t="shared" si="2"/>
        <v>0</v>
      </c>
      <c r="M59" s="195">
        <f t="shared" si="4"/>
        <v>0</v>
      </c>
      <c r="N59" s="272">
        <f t="shared" si="5"/>
        <v>0</v>
      </c>
      <c r="O59" s="272">
        <f t="shared" si="3"/>
        <v>0</v>
      </c>
      <c r="P59" s="273">
        <f t="shared" si="6"/>
        <v>0</v>
      </c>
      <c r="Q59" s="274"/>
      <c r="R59" s="26"/>
    </row>
    <row r="60" spans="4:19" ht="14.4" thickTop="1" thickBot="1" x14ac:dyDescent="0.3">
      <c r="D60" s="728"/>
      <c r="E60" s="277"/>
      <c r="F60" s="255"/>
      <c r="G60" s="256"/>
      <c r="H60" s="257"/>
      <c r="I60" s="258"/>
      <c r="J60" s="350">
        <f>G60*I60</f>
        <v>0</v>
      </c>
      <c r="K60" s="351">
        <f t="shared" si="1"/>
        <v>0</v>
      </c>
      <c r="L60" s="352">
        <f t="shared" si="2"/>
        <v>0</v>
      </c>
      <c r="M60" s="353">
        <f t="shared" si="4"/>
        <v>0</v>
      </c>
      <c r="N60" s="352">
        <f t="shared" si="5"/>
        <v>0</v>
      </c>
      <c r="O60" s="352">
        <f t="shared" si="3"/>
        <v>0</v>
      </c>
      <c r="P60" s="354">
        <f t="shared" si="6"/>
        <v>0</v>
      </c>
      <c r="Q60" s="299"/>
      <c r="R60" s="26"/>
      <c r="S60" s="16"/>
    </row>
    <row r="61" spans="4:19" ht="15" customHeight="1" thickBot="1" x14ac:dyDescent="0.3">
      <c r="D61" s="729"/>
      <c r="E61" s="356"/>
      <c r="F61" s="263"/>
      <c r="G61" s="264"/>
      <c r="H61" s="265"/>
      <c r="I61" s="266"/>
      <c r="J61" s="357">
        <f t="shared" ref="J61" si="15">G61*I61</f>
        <v>0</v>
      </c>
      <c r="K61" s="271">
        <f t="shared" si="1"/>
        <v>0</v>
      </c>
      <c r="L61" s="272">
        <f t="shared" si="2"/>
        <v>0</v>
      </c>
      <c r="M61" s="195">
        <f t="shared" si="4"/>
        <v>0</v>
      </c>
      <c r="N61" s="272">
        <f t="shared" si="5"/>
        <v>0</v>
      </c>
      <c r="O61" s="272">
        <f t="shared" si="3"/>
        <v>0</v>
      </c>
      <c r="P61" s="273">
        <f t="shared" si="6"/>
        <v>0</v>
      </c>
      <c r="Q61" s="274"/>
      <c r="R61" s="26"/>
    </row>
    <row r="62" spans="4:19" ht="14.4" thickTop="1" thickBot="1" x14ac:dyDescent="0.3">
      <c r="D62" s="728"/>
      <c r="E62" s="277"/>
      <c r="F62" s="255"/>
      <c r="G62" s="256"/>
      <c r="H62" s="257"/>
      <c r="I62" s="258"/>
      <c r="J62" s="350">
        <f>G62*I62</f>
        <v>0</v>
      </c>
      <c r="K62" s="351">
        <f t="shared" si="1"/>
        <v>0</v>
      </c>
      <c r="L62" s="352">
        <f t="shared" si="2"/>
        <v>0</v>
      </c>
      <c r="M62" s="353">
        <f t="shared" si="4"/>
        <v>0</v>
      </c>
      <c r="N62" s="352">
        <f t="shared" si="5"/>
        <v>0</v>
      </c>
      <c r="O62" s="352">
        <f t="shared" si="3"/>
        <v>0</v>
      </c>
      <c r="P62" s="354">
        <f t="shared" si="6"/>
        <v>0</v>
      </c>
      <c r="Q62" s="299"/>
      <c r="R62" s="26"/>
      <c r="S62" s="16"/>
    </row>
    <row r="63" spans="4:19" ht="15" customHeight="1" thickBot="1" x14ac:dyDescent="0.3">
      <c r="D63" s="729"/>
      <c r="E63" s="356"/>
      <c r="F63" s="263"/>
      <c r="G63" s="264"/>
      <c r="H63" s="265"/>
      <c r="I63" s="266"/>
      <c r="J63" s="357">
        <f t="shared" ref="J63" si="16">G63*I63</f>
        <v>0</v>
      </c>
      <c r="K63" s="271">
        <f t="shared" si="1"/>
        <v>0</v>
      </c>
      <c r="L63" s="272">
        <f t="shared" si="2"/>
        <v>0</v>
      </c>
      <c r="M63" s="195">
        <f t="shared" si="4"/>
        <v>0</v>
      </c>
      <c r="N63" s="272">
        <f t="shared" si="5"/>
        <v>0</v>
      </c>
      <c r="O63" s="272">
        <f t="shared" si="3"/>
        <v>0</v>
      </c>
      <c r="P63" s="273">
        <f t="shared" si="6"/>
        <v>0</v>
      </c>
      <c r="Q63" s="274"/>
      <c r="R63" s="26"/>
    </row>
    <row r="64" spans="4:19" ht="14.4" thickTop="1" thickBot="1" x14ac:dyDescent="0.3">
      <c r="D64" s="728"/>
      <c r="E64" s="277"/>
      <c r="F64" s="255"/>
      <c r="G64" s="256"/>
      <c r="H64" s="257"/>
      <c r="I64" s="258"/>
      <c r="J64" s="350">
        <f>G64*I64</f>
        <v>0</v>
      </c>
      <c r="K64" s="351">
        <f t="shared" si="1"/>
        <v>0</v>
      </c>
      <c r="L64" s="352">
        <f t="shared" si="2"/>
        <v>0</v>
      </c>
      <c r="M64" s="353">
        <f t="shared" si="4"/>
        <v>0</v>
      </c>
      <c r="N64" s="352">
        <f t="shared" si="5"/>
        <v>0</v>
      </c>
      <c r="O64" s="352">
        <f t="shared" si="3"/>
        <v>0</v>
      </c>
      <c r="P64" s="354">
        <f t="shared" si="6"/>
        <v>0</v>
      </c>
      <c r="Q64" s="299"/>
      <c r="R64" s="26"/>
      <c r="S64" s="16"/>
    </row>
    <row r="65" spans="4:19" ht="15" customHeight="1" thickBot="1" x14ac:dyDescent="0.3">
      <c r="D65" s="729"/>
      <c r="E65" s="356"/>
      <c r="F65" s="263"/>
      <c r="G65" s="264"/>
      <c r="H65" s="265"/>
      <c r="I65" s="266"/>
      <c r="J65" s="357">
        <f t="shared" ref="J65:J66" si="17">G65*I65</f>
        <v>0</v>
      </c>
      <c r="K65" s="271">
        <f t="shared" si="1"/>
        <v>0</v>
      </c>
      <c r="L65" s="272">
        <f t="shared" si="2"/>
        <v>0</v>
      </c>
      <c r="M65" s="195">
        <f t="shared" si="4"/>
        <v>0</v>
      </c>
      <c r="N65" s="272">
        <f t="shared" si="5"/>
        <v>0</v>
      </c>
      <c r="O65" s="272">
        <f t="shared" si="3"/>
        <v>0</v>
      </c>
      <c r="P65" s="273">
        <f t="shared" si="6"/>
        <v>0</v>
      </c>
      <c r="Q65" s="274"/>
      <c r="R65" s="26"/>
    </row>
    <row r="66" spans="4:19" ht="14.4" thickTop="1" thickBot="1" x14ac:dyDescent="0.3">
      <c r="D66" s="730"/>
      <c r="E66" s="358"/>
      <c r="F66" s="190"/>
      <c r="G66" s="191"/>
      <c r="H66" s="192"/>
      <c r="I66" s="193"/>
      <c r="J66" s="276">
        <f t="shared" si="17"/>
        <v>0</v>
      </c>
      <c r="K66" s="351">
        <f t="shared" si="1"/>
        <v>0</v>
      </c>
      <c r="L66" s="352">
        <f t="shared" si="2"/>
        <v>0</v>
      </c>
      <c r="M66" s="353">
        <f t="shared" si="4"/>
        <v>0</v>
      </c>
      <c r="N66" s="352">
        <f t="shared" si="5"/>
        <v>0</v>
      </c>
      <c r="O66" s="352">
        <f t="shared" si="3"/>
        <v>0</v>
      </c>
      <c r="P66" s="354">
        <f t="shared" si="6"/>
        <v>0</v>
      </c>
      <c r="Q66" s="262"/>
      <c r="R66" s="26"/>
    </row>
    <row r="67" spans="4:19" ht="13.8" thickBot="1" x14ac:dyDescent="0.3">
      <c r="D67" s="729"/>
      <c r="E67" s="349"/>
      <c r="F67" s="246"/>
      <c r="G67" s="247"/>
      <c r="H67" s="248"/>
      <c r="I67" s="249"/>
      <c r="J67" s="294">
        <f>G67*I67</f>
        <v>0</v>
      </c>
      <c r="K67" s="251">
        <f t="shared" si="1"/>
        <v>0</v>
      </c>
      <c r="L67" s="252">
        <f t="shared" si="2"/>
        <v>0</v>
      </c>
      <c r="M67" s="196">
        <f t="shared" si="4"/>
        <v>0</v>
      </c>
      <c r="N67" s="252">
        <f t="shared" si="5"/>
        <v>0</v>
      </c>
      <c r="O67" s="252">
        <f t="shared" si="3"/>
        <v>0</v>
      </c>
      <c r="P67" s="253">
        <f t="shared" si="6"/>
        <v>0</v>
      </c>
      <c r="Q67" s="299"/>
      <c r="R67" s="26"/>
      <c r="S67" s="82">
        <f>21*16</f>
        <v>336</v>
      </c>
    </row>
    <row r="68" spans="4:19" ht="14.4" thickTop="1" thickBot="1" x14ac:dyDescent="0.3">
      <c r="D68" s="730"/>
      <c r="E68" s="277"/>
      <c r="F68" s="255"/>
      <c r="G68" s="256"/>
      <c r="H68" s="257"/>
      <c r="I68" s="258"/>
      <c r="J68" s="350">
        <f>G68*I68</f>
        <v>0</v>
      </c>
      <c r="K68" s="259">
        <f t="shared" si="1"/>
        <v>0</v>
      </c>
      <c r="L68" s="260">
        <f t="shared" si="2"/>
        <v>0</v>
      </c>
      <c r="M68" s="219">
        <f t="shared" si="4"/>
        <v>0</v>
      </c>
      <c r="N68" s="260">
        <f t="shared" si="5"/>
        <v>0</v>
      </c>
      <c r="O68" s="260">
        <f t="shared" si="3"/>
        <v>0</v>
      </c>
      <c r="P68" s="261">
        <f t="shared" si="6"/>
        <v>0</v>
      </c>
      <c r="Q68" s="299"/>
      <c r="R68" s="26"/>
    </row>
    <row r="69" spans="4:19" ht="15" customHeight="1" thickBot="1" x14ac:dyDescent="0.3">
      <c r="D69" s="731"/>
      <c r="E69" s="356"/>
      <c r="F69" s="263"/>
      <c r="G69" s="264"/>
      <c r="H69" s="265"/>
      <c r="I69" s="266"/>
      <c r="J69" s="357">
        <f t="shared" ref="J69" si="18">G69*I69</f>
        <v>0</v>
      </c>
      <c r="K69" s="267">
        <f t="shared" si="1"/>
        <v>0</v>
      </c>
      <c r="L69" s="268">
        <f t="shared" si="2"/>
        <v>0</v>
      </c>
      <c r="M69" s="222">
        <f t="shared" si="4"/>
        <v>0</v>
      </c>
      <c r="N69" s="268">
        <f t="shared" si="5"/>
        <v>0</v>
      </c>
      <c r="O69" s="268">
        <f t="shared" si="3"/>
        <v>0</v>
      </c>
      <c r="P69" s="269">
        <f t="shared" si="6"/>
        <v>0</v>
      </c>
      <c r="Q69" s="270"/>
      <c r="R69" s="26"/>
    </row>
    <row r="70" spans="4:19" ht="14.4" thickTop="1" thickBot="1" x14ac:dyDescent="0.3">
      <c r="D70" s="728"/>
      <c r="E70" s="277"/>
      <c r="F70" s="255"/>
      <c r="G70" s="256"/>
      <c r="H70" s="257"/>
      <c r="I70" s="258"/>
      <c r="J70" s="350">
        <f>G70*I70</f>
        <v>0</v>
      </c>
      <c r="K70" s="351">
        <f t="shared" si="1"/>
        <v>0</v>
      </c>
      <c r="L70" s="352">
        <f t="shared" si="2"/>
        <v>0</v>
      </c>
      <c r="M70" s="353">
        <f t="shared" si="4"/>
        <v>0</v>
      </c>
      <c r="N70" s="352">
        <f t="shared" si="5"/>
        <v>0</v>
      </c>
      <c r="O70" s="352">
        <f t="shared" si="3"/>
        <v>0</v>
      </c>
      <c r="P70" s="354">
        <f t="shared" si="6"/>
        <v>0</v>
      </c>
      <c r="Q70" s="299"/>
      <c r="R70" s="26"/>
      <c r="S70" s="16"/>
    </row>
    <row r="71" spans="4:19" ht="15" customHeight="1" thickBot="1" x14ac:dyDescent="0.3">
      <c r="D71" s="729"/>
      <c r="E71" s="356"/>
      <c r="F71" s="263"/>
      <c r="G71" s="264"/>
      <c r="H71" s="265"/>
      <c r="I71" s="266"/>
      <c r="J71" s="357">
        <f t="shared" ref="J71" si="19">G71*I71</f>
        <v>0</v>
      </c>
      <c r="K71" s="271">
        <f t="shared" si="1"/>
        <v>0</v>
      </c>
      <c r="L71" s="272">
        <f t="shared" si="2"/>
        <v>0</v>
      </c>
      <c r="M71" s="195">
        <f t="shared" si="4"/>
        <v>0</v>
      </c>
      <c r="N71" s="272">
        <f t="shared" si="5"/>
        <v>0</v>
      </c>
      <c r="O71" s="272">
        <f t="shared" si="3"/>
        <v>0</v>
      </c>
      <c r="P71" s="273">
        <f t="shared" si="6"/>
        <v>0</v>
      </c>
      <c r="Q71" s="274"/>
      <c r="R71" s="26"/>
    </row>
    <row r="72" spans="4:19" ht="14.4" thickTop="1" thickBot="1" x14ac:dyDescent="0.3">
      <c r="D72" s="728"/>
      <c r="E72" s="277"/>
      <c r="F72" s="255"/>
      <c r="G72" s="256"/>
      <c r="H72" s="257"/>
      <c r="I72" s="258"/>
      <c r="J72" s="350">
        <f>G72*I72</f>
        <v>0</v>
      </c>
      <c r="K72" s="351">
        <f t="shared" si="1"/>
        <v>0</v>
      </c>
      <c r="L72" s="352">
        <f t="shared" si="2"/>
        <v>0</v>
      </c>
      <c r="M72" s="353">
        <f t="shared" si="4"/>
        <v>0</v>
      </c>
      <c r="N72" s="352">
        <f t="shared" si="5"/>
        <v>0</v>
      </c>
      <c r="O72" s="352">
        <f t="shared" si="3"/>
        <v>0</v>
      </c>
      <c r="P72" s="354">
        <f t="shared" si="6"/>
        <v>0</v>
      </c>
      <c r="Q72" s="299"/>
      <c r="R72" s="26"/>
      <c r="S72" s="16"/>
    </row>
    <row r="73" spans="4:19" ht="15" customHeight="1" thickBot="1" x14ac:dyDescent="0.3">
      <c r="D73" s="729"/>
      <c r="E73" s="356"/>
      <c r="F73" s="263"/>
      <c r="G73" s="264"/>
      <c r="H73" s="265"/>
      <c r="I73" s="266"/>
      <c r="J73" s="357">
        <f t="shared" ref="J73" si="20">G73*I73</f>
        <v>0</v>
      </c>
      <c r="K73" s="271">
        <f t="shared" si="1"/>
        <v>0</v>
      </c>
      <c r="L73" s="272">
        <f t="shared" si="2"/>
        <v>0</v>
      </c>
      <c r="M73" s="195">
        <f t="shared" si="4"/>
        <v>0</v>
      </c>
      <c r="N73" s="272">
        <f t="shared" si="5"/>
        <v>0</v>
      </c>
      <c r="O73" s="272">
        <f t="shared" si="3"/>
        <v>0</v>
      </c>
      <c r="P73" s="273">
        <f t="shared" si="6"/>
        <v>0</v>
      </c>
      <c r="Q73" s="274"/>
      <c r="R73" s="26"/>
    </row>
    <row r="74" spans="4:19" ht="14.4" thickTop="1" thickBot="1" x14ac:dyDescent="0.3">
      <c r="D74" s="728"/>
      <c r="E74" s="277"/>
      <c r="F74" s="255"/>
      <c r="G74" s="256"/>
      <c r="H74" s="257"/>
      <c r="I74" s="258"/>
      <c r="J74" s="350">
        <f>G74*I74</f>
        <v>0</v>
      </c>
      <c r="K74" s="351">
        <f t="shared" si="1"/>
        <v>0</v>
      </c>
      <c r="L74" s="352">
        <f t="shared" si="2"/>
        <v>0</v>
      </c>
      <c r="M74" s="353">
        <f t="shared" si="4"/>
        <v>0</v>
      </c>
      <c r="N74" s="352">
        <f t="shared" si="5"/>
        <v>0</v>
      </c>
      <c r="O74" s="352">
        <f t="shared" si="3"/>
        <v>0</v>
      </c>
      <c r="P74" s="354">
        <f t="shared" si="6"/>
        <v>0</v>
      </c>
      <c r="Q74" s="299"/>
      <c r="R74" s="26"/>
      <c r="S74" s="16"/>
    </row>
    <row r="75" spans="4:19" ht="15" customHeight="1" thickBot="1" x14ac:dyDescent="0.3">
      <c r="D75" s="729"/>
      <c r="E75" s="356"/>
      <c r="F75" s="263"/>
      <c r="G75" s="264"/>
      <c r="H75" s="265"/>
      <c r="I75" s="266"/>
      <c r="J75" s="357">
        <f t="shared" ref="J75" si="21">G75*I75</f>
        <v>0</v>
      </c>
      <c r="K75" s="271">
        <f t="shared" si="1"/>
        <v>0</v>
      </c>
      <c r="L75" s="272">
        <f t="shared" si="2"/>
        <v>0</v>
      </c>
      <c r="M75" s="195">
        <f t="shared" si="4"/>
        <v>0</v>
      </c>
      <c r="N75" s="272">
        <f t="shared" si="5"/>
        <v>0</v>
      </c>
      <c r="O75" s="272">
        <f t="shared" si="3"/>
        <v>0</v>
      </c>
      <c r="P75" s="273">
        <f t="shared" si="6"/>
        <v>0</v>
      </c>
      <c r="Q75" s="274"/>
      <c r="R75" s="26"/>
    </row>
    <row r="76" spans="4:19" ht="14.4" thickTop="1" thickBot="1" x14ac:dyDescent="0.3">
      <c r="D76" s="728"/>
      <c r="E76" s="277"/>
      <c r="F76" s="255"/>
      <c r="G76" s="256"/>
      <c r="H76" s="257"/>
      <c r="I76" s="258"/>
      <c r="J76" s="350">
        <f>G76*I76</f>
        <v>0</v>
      </c>
      <c r="K76" s="351">
        <f t="shared" si="1"/>
        <v>0</v>
      </c>
      <c r="L76" s="352">
        <f t="shared" si="2"/>
        <v>0</v>
      </c>
      <c r="M76" s="353">
        <f t="shared" si="4"/>
        <v>0</v>
      </c>
      <c r="N76" s="352">
        <f t="shared" si="5"/>
        <v>0</v>
      </c>
      <c r="O76" s="352">
        <f t="shared" si="3"/>
        <v>0</v>
      </c>
      <c r="P76" s="354">
        <f t="shared" si="6"/>
        <v>0</v>
      </c>
      <c r="Q76" s="299"/>
      <c r="R76" s="26"/>
      <c r="S76" s="16"/>
    </row>
    <row r="77" spans="4:19" ht="15" customHeight="1" thickBot="1" x14ac:dyDescent="0.3">
      <c r="D77" s="729"/>
      <c r="E77" s="356"/>
      <c r="F77" s="263"/>
      <c r="G77" s="264"/>
      <c r="H77" s="265"/>
      <c r="I77" s="266"/>
      <c r="J77" s="357">
        <f t="shared" ref="J77:J78" si="22">G77*I77</f>
        <v>0</v>
      </c>
      <c r="K77" s="271">
        <f t="shared" si="1"/>
        <v>0</v>
      </c>
      <c r="L77" s="272">
        <f t="shared" si="2"/>
        <v>0</v>
      </c>
      <c r="M77" s="195">
        <f t="shared" si="4"/>
        <v>0</v>
      </c>
      <c r="N77" s="272">
        <f t="shared" si="5"/>
        <v>0</v>
      </c>
      <c r="O77" s="272">
        <f t="shared" si="3"/>
        <v>0</v>
      </c>
      <c r="P77" s="273">
        <f t="shared" si="6"/>
        <v>0</v>
      </c>
      <c r="Q77" s="274"/>
      <c r="R77" s="26"/>
    </row>
    <row r="78" spans="4:19" ht="14.4" thickTop="1" thickBot="1" x14ac:dyDescent="0.3">
      <c r="D78" s="730"/>
      <c r="E78" s="358"/>
      <c r="F78" s="190"/>
      <c r="G78" s="191"/>
      <c r="H78" s="192"/>
      <c r="I78" s="193"/>
      <c r="J78" s="276">
        <f t="shared" si="22"/>
        <v>0</v>
      </c>
      <c r="K78" s="351">
        <f t="shared" si="1"/>
        <v>0</v>
      </c>
      <c r="L78" s="352">
        <f t="shared" si="2"/>
        <v>0</v>
      </c>
      <c r="M78" s="353">
        <f t="shared" si="4"/>
        <v>0</v>
      </c>
      <c r="N78" s="352">
        <f t="shared" si="5"/>
        <v>0</v>
      </c>
      <c r="O78" s="352">
        <f t="shared" si="3"/>
        <v>0</v>
      </c>
      <c r="P78" s="354">
        <f t="shared" si="6"/>
        <v>0</v>
      </c>
      <c r="Q78" s="262"/>
      <c r="R78" s="26"/>
    </row>
    <row r="79" spans="4:19" ht="13.8" thickBot="1" x14ac:dyDescent="0.3">
      <c r="D79" s="729"/>
      <c r="E79" s="349"/>
      <c r="F79" s="246"/>
      <c r="G79" s="247"/>
      <c r="H79" s="248"/>
      <c r="I79" s="249"/>
      <c r="J79" s="294">
        <f>G79*I79</f>
        <v>0</v>
      </c>
      <c r="K79" s="251">
        <f t="shared" si="1"/>
        <v>0</v>
      </c>
      <c r="L79" s="252">
        <f t="shared" si="2"/>
        <v>0</v>
      </c>
      <c r="M79" s="196">
        <f t="shared" si="4"/>
        <v>0</v>
      </c>
      <c r="N79" s="252">
        <f t="shared" si="5"/>
        <v>0</v>
      </c>
      <c r="O79" s="252">
        <f t="shared" si="3"/>
        <v>0</v>
      </c>
      <c r="P79" s="253">
        <f t="shared" si="6"/>
        <v>0</v>
      </c>
      <c r="Q79" s="299"/>
      <c r="R79" s="26"/>
      <c r="S79" s="82">
        <f>21*16</f>
        <v>336</v>
      </c>
    </row>
    <row r="80" spans="4:19" ht="14.4" thickTop="1" thickBot="1" x14ac:dyDescent="0.3">
      <c r="D80" s="730"/>
      <c r="E80" s="277"/>
      <c r="F80" s="255"/>
      <c r="G80" s="256"/>
      <c r="H80" s="257"/>
      <c r="I80" s="258"/>
      <c r="J80" s="350">
        <f>G80*I80</f>
        <v>0</v>
      </c>
      <c r="K80" s="259">
        <f t="shared" si="1"/>
        <v>0</v>
      </c>
      <c r="L80" s="260">
        <f t="shared" si="2"/>
        <v>0</v>
      </c>
      <c r="M80" s="219">
        <f t="shared" si="4"/>
        <v>0</v>
      </c>
      <c r="N80" s="260">
        <f t="shared" si="5"/>
        <v>0</v>
      </c>
      <c r="O80" s="260">
        <f t="shared" si="3"/>
        <v>0</v>
      </c>
      <c r="P80" s="261">
        <f t="shared" si="6"/>
        <v>0</v>
      </c>
      <c r="Q80" s="299"/>
      <c r="R80" s="26"/>
    </row>
    <row r="81" spans="4:19" ht="15" customHeight="1" thickBot="1" x14ac:dyDescent="0.3">
      <c r="D81" s="731"/>
      <c r="E81" s="356"/>
      <c r="F81" s="263"/>
      <c r="G81" s="264"/>
      <c r="H81" s="265"/>
      <c r="I81" s="266"/>
      <c r="J81" s="357">
        <f t="shared" ref="J81" si="23">G81*I81</f>
        <v>0</v>
      </c>
      <c r="K81" s="267">
        <f t="shared" si="1"/>
        <v>0</v>
      </c>
      <c r="L81" s="268">
        <f t="shared" si="2"/>
        <v>0</v>
      </c>
      <c r="M81" s="222">
        <f t="shared" si="4"/>
        <v>0</v>
      </c>
      <c r="N81" s="268">
        <f t="shared" si="5"/>
        <v>0</v>
      </c>
      <c r="O81" s="268">
        <f t="shared" si="3"/>
        <v>0</v>
      </c>
      <c r="P81" s="269">
        <f t="shared" si="6"/>
        <v>0</v>
      </c>
      <c r="Q81" s="270"/>
      <c r="R81" s="26"/>
    </row>
    <row r="82" spans="4:19" ht="14.4" thickTop="1" thickBot="1" x14ac:dyDescent="0.3">
      <c r="D82" s="728"/>
      <c r="E82" s="277"/>
      <c r="F82" s="255"/>
      <c r="G82" s="256"/>
      <c r="H82" s="257"/>
      <c r="I82" s="258"/>
      <c r="J82" s="350">
        <f>G82*I82</f>
        <v>0</v>
      </c>
      <c r="K82" s="351">
        <f t="shared" si="1"/>
        <v>0</v>
      </c>
      <c r="L82" s="352">
        <f t="shared" si="2"/>
        <v>0</v>
      </c>
      <c r="M82" s="353">
        <f t="shared" si="4"/>
        <v>0</v>
      </c>
      <c r="N82" s="352">
        <f t="shared" si="5"/>
        <v>0</v>
      </c>
      <c r="O82" s="352">
        <f t="shared" si="3"/>
        <v>0</v>
      </c>
      <c r="P82" s="354">
        <f t="shared" si="6"/>
        <v>0</v>
      </c>
      <c r="Q82" s="299"/>
      <c r="R82" s="26"/>
      <c r="S82" s="16"/>
    </row>
    <row r="83" spans="4:19" ht="15" customHeight="1" thickBot="1" x14ac:dyDescent="0.3">
      <c r="D83" s="729"/>
      <c r="E83" s="356"/>
      <c r="F83" s="263"/>
      <c r="G83" s="264"/>
      <c r="H83" s="265"/>
      <c r="I83" s="266"/>
      <c r="J83" s="357">
        <f t="shared" ref="J83" si="24">G83*I83</f>
        <v>0</v>
      </c>
      <c r="K83" s="271">
        <f t="shared" si="1"/>
        <v>0</v>
      </c>
      <c r="L83" s="272">
        <f t="shared" si="2"/>
        <v>0</v>
      </c>
      <c r="M83" s="195">
        <f t="shared" si="4"/>
        <v>0</v>
      </c>
      <c r="N83" s="272">
        <f t="shared" si="5"/>
        <v>0</v>
      </c>
      <c r="O83" s="272">
        <f t="shared" si="3"/>
        <v>0</v>
      </c>
      <c r="P83" s="273">
        <f t="shared" si="6"/>
        <v>0</v>
      </c>
      <c r="Q83" s="274"/>
      <c r="R83" s="26"/>
    </row>
    <row r="84" spans="4:19" ht="14.4" thickTop="1" thickBot="1" x14ac:dyDescent="0.3">
      <c r="D84" s="728"/>
      <c r="E84" s="277"/>
      <c r="F84" s="255"/>
      <c r="G84" s="256"/>
      <c r="H84" s="257"/>
      <c r="I84" s="258"/>
      <c r="J84" s="350">
        <f>G84*I84</f>
        <v>0</v>
      </c>
      <c r="K84" s="351">
        <f t="shared" si="1"/>
        <v>0</v>
      </c>
      <c r="L84" s="352">
        <f t="shared" si="2"/>
        <v>0</v>
      </c>
      <c r="M84" s="353">
        <f t="shared" si="4"/>
        <v>0</v>
      </c>
      <c r="N84" s="352">
        <f t="shared" si="5"/>
        <v>0</v>
      </c>
      <c r="O84" s="352">
        <f t="shared" si="3"/>
        <v>0</v>
      </c>
      <c r="P84" s="354">
        <f t="shared" si="6"/>
        <v>0</v>
      </c>
      <c r="Q84" s="299"/>
      <c r="R84" s="26"/>
      <c r="S84" s="16"/>
    </row>
    <row r="85" spans="4:19" ht="15" customHeight="1" thickBot="1" x14ac:dyDescent="0.3">
      <c r="D85" s="729"/>
      <c r="E85" s="356"/>
      <c r="F85" s="263"/>
      <c r="G85" s="264"/>
      <c r="H85" s="265"/>
      <c r="I85" s="266"/>
      <c r="J85" s="357">
        <f t="shared" ref="J85" si="25">G85*I85</f>
        <v>0</v>
      </c>
      <c r="K85" s="271">
        <f t="shared" si="1"/>
        <v>0</v>
      </c>
      <c r="L85" s="272">
        <f t="shared" si="2"/>
        <v>0</v>
      </c>
      <c r="M85" s="195">
        <f t="shared" si="4"/>
        <v>0</v>
      </c>
      <c r="N85" s="272">
        <f t="shared" si="5"/>
        <v>0</v>
      </c>
      <c r="O85" s="272">
        <f t="shared" si="3"/>
        <v>0</v>
      </c>
      <c r="P85" s="273">
        <f t="shared" si="6"/>
        <v>0</v>
      </c>
      <c r="Q85" s="274"/>
      <c r="R85" s="26"/>
    </row>
    <row r="86" spans="4:19" ht="14.4" thickTop="1" thickBot="1" x14ac:dyDescent="0.3">
      <c r="D86" s="728"/>
      <c r="E86" s="277"/>
      <c r="F86" s="255"/>
      <c r="G86" s="256"/>
      <c r="H86" s="257"/>
      <c r="I86" s="258"/>
      <c r="J86" s="350">
        <f>G86*I86</f>
        <v>0</v>
      </c>
      <c r="K86" s="351">
        <f t="shared" si="1"/>
        <v>0</v>
      </c>
      <c r="L86" s="352">
        <f t="shared" si="2"/>
        <v>0</v>
      </c>
      <c r="M86" s="353">
        <f t="shared" si="4"/>
        <v>0</v>
      </c>
      <c r="N86" s="352">
        <f t="shared" si="5"/>
        <v>0</v>
      </c>
      <c r="O86" s="352">
        <f t="shared" si="3"/>
        <v>0</v>
      </c>
      <c r="P86" s="354">
        <f t="shared" si="6"/>
        <v>0</v>
      </c>
      <c r="Q86" s="299"/>
      <c r="R86" s="26"/>
      <c r="S86" s="16"/>
    </row>
    <row r="87" spans="4:19" ht="15" customHeight="1" thickBot="1" x14ac:dyDescent="0.3">
      <c r="D87" s="729"/>
      <c r="E87" s="356"/>
      <c r="F87" s="263"/>
      <c r="G87" s="264"/>
      <c r="H87" s="265"/>
      <c r="I87" s="266"/>
      <c r="J87" s="357">
        <f t="shared" ref="J87" si="26">G87*I87</f>
        <v>0</v>
      </c>
      <c r="K87" s="271">
        <f t="shared" si="1"/>
        <v>0</v>
      </c>
      <c r="L87" s="272">
        <f t="shared" si="2"/>
        <v>0</v>
      </c>
      <c r="M87" s="195">
        <f t="shared" si="4"/>
        <v>0</v>
      </c>
      <c r="N87" s="272">
        <f t="shared" si="5"/>
        <v>0</v>
      </c>
      <c r="O87" s="272">
        <f t="shared" si="3"/>
        <v>0</v>
      </c>
      <c r="P87" s="273">
        <f t="shared" si="6"/>
        <v>0</v>
      </c>
      <c r="Q87" s="274"/>
      <c r="R87" s="26"/>
    </row>
    <row r="88" spans="4:19" ht="14.4" thickTop="1" thickBot="1" x14ac:dyDescent="0.3">
      <c r="D88" s="728"/>
      <c r="E88" s="277"/>
      <c r="F88" s="255"/>
      <c r="G88" s="256"/>
      <c r="H88" s="257"/>
      <c r="I88" s="258"/>
      <c r="J88" s="350">
        <f>G88*I88</f>
        <v>0</v>
      </c>
      <c r="K88" s="351">
        <f t="shared" si="1"/>
        <v>0</v>
      </c>
      <c r="L88" s="352">
        <f t="shared" si="2"/>
        <v>0</v>
      </c>
      <c r="M88" s="353">
        <f t="shared" si="4"/>
        <v>0</v>
      </c>
      <c r="N88" s="352">
        <f t="shared" si="5"/>
        <v>0</v>
      </c>
      <c r="O88" s="352">
        <f t="shared" si="3"/>
        <v>0</v>
      </c>
      <c r="P88" s="354">
        <f t="shared" si="6"/>
        <v>0</v>
      </c>
      <c r="Q88" s="299"/>
      <c r="R88" s="26"/>
      <c r="S88" s="16"/>
    </row>
    <row r="89" spans="4:19" ht="15" customHeight="1" thickBot="1" x14ac:dyDescent="0.3">
      <c r="D89" s="729"/>
      <c r="E89" s="356"/>
      <c r="F89" s="263"/>
      <c r="G89" s="264"/>
      <c r="H89" s="265"/>
      <c r="I89" s="266"/>
      <c r="J89" s="357">
        <f t="shared" ref="J89:J90" si="27">G89*I89</f>
        <v>0</v>
      </c>
      <c r="K89" s="271">
        <f t="shared" si="1"/>
        <v>0</v>
      </c>
      <c r="L89" s="272">
        <f t="shared" si="2"/>
        <v>0</v>
      </c>
      <c r="M89" s="195">
        <f t="shared" si="4"/>
        <v>0</v>
      </c>
      <c r="N89" s="272">
        <f t="shared" si="5"/>
        <v>0</v>
      </c>
      <c r="O89" s="272">
        <f t="shared" si="3"/>
        <v>0</v>
      </c>
      <c r="P89" s="273">
        <f t="shared" si="6"/>
        <v>0</v>
      </c>
      <c r="Q89" s="274"/>
      <c r="R89" s="26"/>
    </row>
    <row r="90" spans="4:19" ht="14.4" thickTop="1" thickBot="1" x14ac:dyDescent="0.3">
      <c r="D90" s="730"/>
      <c r="E90" s="358"/>
      <c r="F90" s="190"/>
      <c r="G90" s="191"/>
      <c r="H90" s="192"/>
      <c r="I90" s="193"/>
      <c r="J90" s="276">
        <f t="shared" si="27"/>
        <v>0</v>
      </c>
      <c r="K90" s="351">
        <f t="shared" si="1"/>
        <v>0</v>
      </c>
      <c r="L90" s="352">
        <f t="shared" si="2"/>
        <v>0</v>
      </c>
      <c r="M90" s="353">
        <f t="shared" si="4"/>
        <v>0</v>
      </c>
      <c r="N90" s="352">
        <f t="shared" si="5"/>
        <v>0</v>
      </c>
      <c r="O90" s="352">
        <f t="shared" si="3"/>
        <v>0</v>
      </c>
      <c r="P90" s="354">
        <f t="shared" si="6"/>
        <v>0</v>
      </c>
      <c r="Q90" s="262"/>
      <c r="R90" s="26"/>
    </row>
    <row r="91" spans="4:19" ht="13.8" thickBot="1" x14ac:dyDescent="0.3">
      <c r="D91" s="729"/>
      <c r="E91" s="349"/>
      <c r="F91" s="246"/>
      <c r="G91" s="247"/>
      <c r="H91" s="248"/>
      <c r="I91" s="249"/>
      <c r="J91" s="294">
        <f>G91*I91</f>
        <v>0</v>
      </c>
      <c r="K91" s="251">
        <f t="shared" si="1"/>
        <v>0</v>
      </c>
      <c r="L91" s="252">
        <f t="shared" si="2"/>
        <v>0</v>
      </c>
      <c r="M91" s="196">
        <f t="shared" si="4"/>
        <v>0</v>
      </c>
      <c r="N91" s="252">
        <f t="shared" si="5"/>
        <v>0</v>
      </c>
      <c r="O91" s="252">
        <f t="shared" si="3"/>
        <v>0</v>
      </c>
      <c r="P91" s="253">
        <f t="shared" si="6"/>
        <v>0</v>
      </c>
      <c r="Q91" s="299"/>
      <c r="R91" s="26"/>
      <c r="S91" s="82">
        <f>21*16</f>
        <v>336</v>
      </c>
    </row>
    <row r="92" spans="4:19" ht="14.4" thickTop="1" thickBot="1" x14ac:dyDescent="0.3">
      <c r="D92" s="730"/>
      <c r="E92" s="277"/>
      <c r="F92" s="255"/>
      <c r="G92" s="256"/>
      <c r="H92" s="257"/>
      <c r="I92" s="258"/>
      <c r="J92" s="350">
        <f>G92*I92</f>
        <v>0</v>
      </c>
      <c r="K92" s="259">
        <f t="shared" si="1"/>
        <v>0</v>
      </c>
      <c r="L92" s="260">
        <f t="shared" si="2"/>
        <v>0</v>
      </c>
      <c r="M92" s="219">
        <f t="shared" si="4"/>
        <v>0</v>
      </c>
      <c r="N92" s="260">
        <f t="shared" si="5"/>
        <v>0</v>
      </c>
      <c r="O92" s="260">
        <f t="shared" si="3"/>
        <v>0</v>
      </c>
      <c r="P92" s="261">
        <f t="shared" si="6"/>
        <v>0</v>
      </c>
      <c r="Q92" s="299"/>
      <c r="R92" s="26"/>
    </row>
    <row r="93" spans="4:19" ht="15" customHeight="1" thickBot="1" x14ac:dyDescent="0.3">
      <c r="D93" s="731"/>
      <c r="E93" s="356"/>
      <c r="F93" s="263"/>
      <c r="G93" s="264"/>
      <c r="H93" s="265"/>
      <c r="I93" s="266"/>
      <c r="J93" s="357">
        <f t="shared" ref="J93" si="28">G93*I93</f>
        <v>0</v>
      </c>
      <c r="K93" s="267">
        <f t="shared" si="1"/>
        <v>0</v>
      </c>
      <c r="L93" s="268">
        <f t="shared" si="2"/>
        <v>0</v>
      </c>
      <c r="M93" s="222">
        <f t="shared" si="4"/>
        <v>0</v>
      </c>
      <c r="N93" s="268">
        <f t="shared" si="5"/>
        <v>0</v>
      </c>
      <c r="O93" s="268">
        <f t="shared" si="3"/>
        <v>0</v>
      </c>
      <c r="P93" s="269">
        <f t="shared" si="6"/>
        <v>0</v>
      </c>
      <c r="Q93" s="270"/>
      <c r="R93" s="26"/>
    </row>
    <row r="94" spans="4:19" ht="14.4" thickTop="1" thickBot="1" x14ac:dyDescent="0.3">
      <c r="D94" s="728"/>
      <c r="E94" s="277"/>
      <c r="F94" s="255"/>
      <c r="G94" s="256"/>
      <c r="H94" s="257"/>
      <c r="I94" s="258"/>
      <c r="J94" s="350">
        <f>G94*I94</f>
        <v>0</v>
      </c>
      <c r="K94" s="351">
        <f t="shared" si="1"/>
        <v>0</v>
      </c>
      <c r="L94" s="352">
        <f t="shared" si="2"/>
        <v>0</v>
      </c>
      <c r="M94" s="353">
        <f t="shared" si="4"/>
        <v>0</v>
      </c>
      <c r="N94" s="352">
        <f t="shared" si="5"/>
        <v>0</v>
      </c>
      <c r="O94" s="352">
        <f t="shared" si="3"/>
        <v>0</v>
      </c>
      <c r="P94" s="354">
        <f t="shared" si="6"/>
        <v>0</v>
      </c>
      <c r="Q94" s="299"/>
      <c r="R94" s="26"/>
      <c r="S94" s="16"/>
    </row>
    <row r="95" spans="4:19" ht="15" customHeight="1" thickBot="1" x14ac:dyDescent="0.3">
      <c r="D95" s="729"/>
      <c r="E95" s="356"/>
      <c r="F95" s="263"/>
      <c r="G95" s="264"/>
      <c r="H95" s="265"/>
      <c r="I95" s="266"/>
      <c r="J95" s="357">
        <f t="shared" ref="J95" si="29">G95*I95</f>
        <v>0</v>
      </c>
      <c r="K95" s="271">
        <f t="shared" si="1"/>
        <v>0</v>
      </c>
      <c r="L95" s="272">
        <f t="shared" si="2"/>
        <v>0</v>
      </c>
      <c r="M95" s="195">
        <f t="shared" si="4"/>
        <v>0</v>
      </c>
      <c r="N95" s="272">
        <f t="shared" si="5"/>
        <v>0</v>
      </c>
      <c r="O95" s="272">
        <f t="shared" si="3"/>
        <v>0</v>
      </c>
      <c r="P95" s="273">
        <f t="shared" si="6"/>
        <v>0</v>
      </c>
      <c r="Q95" s="274"/>
      <c r="R95" s="26"/>
    </row>
    <row r="96" spans="4:19" ht="14.4" thickTop="1" thickBot="1" x14ac:dyDescent="0.3">
      <c r="D96" s="728"/>
      <c r="E96" s="277"/>
      <c r="F96" s="255"/>
      <c r="G96" s="256"/>
      <c r="H96" s="257"/>
      <c r="I96" s="258"/>
      <c r="J96" s="350">
        <f>G96*I96</f>
        <v>0</v>
      </c>
      <c r="K96" s="351">
        <f t="shared" si="1"/>
        <v>0</v>
      </c>
      <c r="L96" s="352">
        <f t="shared" si="2"/>
        <v>0</v>
      </c>
      <c r="M96" s="353">
        <f t="shared" si="4"/>
        <v>0</v>
      </c>
      <c r="N96" s="352">
        <f t="shared" si="5"/>
        <v>0</v>
      </c>
      <c r="O96" s="352">
        <f t="shared" si="3"/>
        <v>0</v>
      </c>
      <c r="P96" s="354">
        <f t="shared" si="6"/>
        <v>0</v>
      </c>
      <c r="Q96" s="299"/>
      <c r="R96" s="26"/>
      <c r="S96" s="16"/>
    </row>
    <row r="97" spans="4:19" ht="15" customHeight="1" thickBot="1" x14ac:dyDescent="0.3">
      <c r="D97" s="729"/>
      <c r="E97" s="356"/>
      <c r="F97" s="263"/>
      <c r="G97" s="264"/>
      <c r="H97" s="265"/>
      <c r="I97" s="266"/>
      <c r="J97" s="357">
        <f t="shared" ref="J97" si="30">G97*I97</f>
        <v>0</v>
      </c>
      <c r="K97" s="271">
        <f t="shared" si="1"/>
        <v>0</v>
      </c>
      <c r="L97" s="272">
        <f t="shared" si="2"/>
        <v>0</v>
      </c>
      <c r="M97" s="195">
        <f t="shared" si="4"/>
        <v>0</v>
      </c>
      <c r="N97" s="272">
        <f t="shared" si="5"/>
        <v>0</v>
      </c>
      <c r="O97" s="272">
        <f t="shared" si="3"/>
        <v>0</v>
      </c>
      <c r="P97" s="273">
        <f t="shared" si="6"/>
        <v>0</v>
      </c>
      <c r="Q97" s="274"/>
      <c r="R97" s="26"/>
    </row>
    <row r="98" spans="4:19" ht="14.4" thickTop="1" thickBot="1" x14ac:dyDescent="0.3">
      <c r="D98" s="728"/>
      <c r="E98" s="277"/>
      <c r="F98" s="255"/>
      <c r="G98" s="256"/>
      <c r="H98" s="257"/>
      <c r="I98" s="258"/>
      <c r="J98" s="350">
        <f>G98*I98</f>
        <v>0</v>
      </c>
      <c r="K98" s="351">
        <f t="shared" si="1"/>
        <v>0</v>
      </c>
      <c r="L98" s="352">
        <f t="shared" si="2"/>
        <v>0</v>
      </c>
      <c r="M98" s="353">
        <f t="shared" si="4"/>
        <v>0</v>
      </c>
      <c r="N98" s="352">
        <f t="shared" si="5"/>
        <v>0</v>
      </c>
      <c r="O98" s="352">
        <f t="shared" si="3"/>
        <v>0</v>
      </c>
      <c r="P98" s="354">
        <f t="shared" si="6"/>
        <v>0</v>
      </c>
      <c r="Q98" s="299"/>
      <c r="R98" s="26"/>
      <c r="S98" s="16"/>
    </row>
    <row r="99" spans="4:19" ht="15" customHeight="1" thickBot="1" x14ac:dyDescent="0.3">
      <c r="D99" s="729"/>
      <c r="E99" s="356"/>
      <c r="F99" s="263"/>
      <c r="G99" s="264"/>
      <c r="H99" s="265"/>
      <c r="I99" s="266"/>
      <c r="J99" s="357">
        <f t="shared" ref="J99:J100" si="31">G99*I99</f>
        <v>0</v>
      </c>
      <c r="K99" s="271">
        <f t="shared" si="1"/>
        <v>0</v>
      </c>
      <c r="L99" s="272">
        <f t="shared" si="2"/>
        <v>0</v>
      </c>
      <c r="M99" s="195">
        <f t="shared" si="4"/>
        <v>0</v>
      </c>
      <c r="N99" s="272">
        <f t="shared" si="5"/>
        <v>0</v>
      </c>
      <c r="O99" s="272">
        <f t="shared" si="3"/>
        <v>0</v>
      </c>
      <c r="P99" s="273">
        <f t="shared" si="6"/>
        <v>0</v>
      </c>
      <c r="Q99" s="274"/>
      <c r="R99" s="26"/>
    </row>
    <row r="100" spans="4:19" ht="14.4" thickTop="1" thickBot="1" x14ac:dyDescent="0.3">
      <c r="D100" s="730"/>
      <c r="E100" s="358"/>
      <c r="F100" s="190"/>
      <c r="G100" s="191"/>
      <c r="H100" s="192"/>
      <c r="I100" s="193"/>
      <c r="J100" s="276">
        <f t="shared" si="31"/>
        <v>0</v>
      </c>
      <c r="K100" s="351">
        <f t="shared" si="1"/>
        <v>0</v>
      </c>
      <c r="L100" s="352">
        <f t="shared" si="2"/>
        <v>0</v>
      </c>
      <c r="M100" s="353">
        <f t="shared" si="4"/>
        <v>0</v>
      </c>
      <c r="N100" s="352">
        <f t="shared" si="5"/>
        <v>0</v>
      </c>
      <c r="O100" s="352">
        <f t="shared" si="3"/>
        <v>0</v>
      </c>
      <c r="P100" s="354">
        <f t="shared" si="6"/>
        <v>0</v>
      </c>
      <c r="Q100" s="262"/>
      <c r="R100" s="26"/>
    </row>
    <row r="101" spans="4:19" ht="13.8" thickBot="1" x14ac:dyDescent="0.3">
      <c r="D101" s="729"/>
      <c r="E101" s="349"/>
      <c r="F101" s="246"/>
      <c r="G101" s="247"/>
      <c r="H101" s="248"/>
      <c r="I101" s="249"/>
      <c r="J101" s="294">
        <f>G101*I101</f>
        <v>0</v>
      </c>
      <c r="K101" s="251">
        <f t="shared" si="1"/>
        <v>0</v>
      </c>
      <c r="L101" s="252">
        <f t="shared" si="2"/>
        <v>0</v>
      </c>
      <c r="M101" s="196">
        <f t="shared" si="4"/>
        <v>0</v>
      </c>
      <c r="N101" s="252">
        <f t="shared" si="5"/>
        <v>0</v>
      </c>
      <c r="O101" s="252">
        <f t="shared" si="3"/>
        <v>0</v>
      </c>
      <c r="P101" s="253">
        <f t="shared" si="6"/>
        <v>0</v>
      </c>
      <c r="Q101" s="299"/>
      <c r="R101" s="26"/>
      <c r="S101" s="82">
        <f>21*16</f>
        <v>336</v>
      </c>
    </row>
    <row r="102" spans="4:19" ht="14.4" thickTop="1" thickBot="1" x14ac:dyDescent="0.3">
      <c r="D102" s="730"/>
      <c r="E102" s="277"/>
      <c r="F102" s="255"/>
      <c r="G102" s="256"/>
      <c r="H102" s="257"/>
      <c r="I102" s="258"/>
      <c r="J102" s="350">
        <f>G102*I102</f>
        <v>0</v>
      </c>
      <c r="K102" s="259">
        <f t="shared" si="1"/>
        <v>0</v>
      </c>
      <c r="L102" s="260">
        <f t="shared" si="2"/>
        <v>0</v>
      </c>
      <c r="M102" s="219">
        <f t="shared" si="4"/>
        <v>0</v>
      </c>
      <c r="N102" s="260">
        <f t="shared" si="5"/>
        <v>0</v>
      </c>
      <c r="O102" s="260">
        <f t="shared" si="3"/>
        <v>0</v>
      </c>
      <c r="P102" s="261">
        <f t="shared" si="6"/>
        <v>0</v>
      </c>
      <c r="Q102" s="299"/>
      <c r="R102" s="26"/>
    </row>
    <row r="103" spans="4:19" ht="15" customHeight="1" thickBot="1" x14ac:dyDescent="0.3">
      <c r="D103" s="731"/>
      <c r="E103" s="356"/>
      <c r="F103" s="263"/>
      <c r="G103" s="264"/>
      <c r="H103" s="265"/>
      <c r="I103" s="266"/>
      <c r="J103" s="357">
        <f t="shared" ref="J103" si="32">G103*I103</f>
        <v>0</v>
      </c>
      <c r="K103" s="267">
        <f t="shared" si="1"/>
        <v>0</v>
      </c>
      <c r="L103" s="268">
        <f t="shared" si="2"/>
        <v>0</v>
      </c>
      <c r="M103" s="222">
        <f t="shared" si="4"/>
        <v>0</v>
      </c>
      <c r="N103" s="268">
        <f t="shared" si="5"/>
        <v>0</v>
      </c>
      <c r="O103" s="268">
        <f t="shared" si="3"/>
        <v>0</v>
      </c>
      <c r="P103" s="269">
        <f t="shared" ref="P103:P139" si="33">IF($H103=16,$J103*$B$29,0)</f>
        <v>0</v>
      </c>
      <c r="Q103" s="270"/>
      <c r="R103" s="26"/>
    </row>
    <row r="104" spans="4:19" ht="14.4" thickTop="1" thickBot="1" x14ac:dyDescent="0.3">
      <c r="D104" s="728"/>
      <c r="E104" s="277"/>
      <c r="F104" s="255"/>
      <c r="G104" s="256"/>
      <c r="H104" s="257"/>
      <c r="I104" s="258"/>
      <c r="J104" s="350">
        <f>G104*I104</f>
        <v>0</v>
      </c>
      <c r="K104" s="351">
        <f t="shared" si="1"/>
        <v>0</v>
      </c>
      <c r="L104" s="352">
        <f t="shared" si="2"/>
        <v>0</v>
      </c>
      <c r="M104" s="353">
        <f t="shared" si="4"/>
        <v>0</v>
      </c>
      <c r="N104" s="352">
        <f t="shared" si="5"/>
        <v>0</v>
      </c>
      <c r="O104" s="352">
        <f t="shared" si="3"/>
        <v>0</v>
      </c>
      <c r="P104" s="354">
        <f t="shared" si="33"/>
        <v>0</v>
      </c>
      <c r="Q104" s="299"/>
      <c r="R104" s="26"/>
      <c r="S104" s="16"/>
    </row>
    <row r="105" spans="4:19" ht="15" customHeight="1" thickBot="1" x14ac:dyDescent="0.3">
      <c r="D105" s="729"/>
      <c r="E105" s="356"/>
      <c r="F105" s="263"/>
      <c r="G105" s="264"/>
      <c r="H105" s="265"/>
      <c r="I105" s="266"/>
      <c r="J105" s="357">
        <f t="shared" ref="J105" si="34">G105*I105</f>
        <v>0</v>
      </c>
      <c r="K105" s="271">
        <f t="shared" si="1"/>
        <v>0</v>
      </c>
      <c r="L105" s="272">
        <f t="shared" si="2"/>
        <v>0</v>
      </c>
      <c r="M105" s="195">
        <f t="shared" si="4"/>
        <v>0</v>
      </c>
      <c r="N105" s="272">
        <f t="shared" si="5"/>
        <v>0</v>
      </c>
      <c r="O105" s="272">
        <f t="shared" si="3"/>
        <v>0</v>
      </c>
      <c r="P105" s="273">
        <f t="shared" si="33"/>
        <v>0</v>
      </c>
      <c r="Q105" s="274"/>
      <c r="R105" s="26"/>
    </row>
    <row r="106" spans="4:19" ht="14.4" thickTop="1" thickBot="1" x14ac:dyDescent="0.3">
      <c r="D106" s="728"/>
      <c r="E106" s="277"/>
      <c r="F106" s="255"/>
      <c r="G106" s="256"/>
      <c r="H106" s="257"/>
      <c r="I106" s="258"/>
      <c r="J106" s="350">
        <f>G106*I106</f>
        <v>0</v>
      </c>
      <c r="K106" s="351">
        <f t="shared" si="1"/>
        <v>0</v>
      </c>
      <c r="L106" s="352">
        <f t="shared" si="2"/>
        <v>0</v>
      </c>
      <c r="M106" s="353">
        <f t="shared" si="4"/>
        <v>0</v>
      </c>
      <c r="N106" s="352">
        <f t="shared" si="5"/>
        <v>0</v>
      </c>
      <c r="O106" s="352">
        <f t="shared" si="3"/>
        <v>0</v>
      </c>
      <c r="P106" s="354">
        <f t="shared" si="33"/>
        <v>0</v>
      </c>
      <c r="Q106" s="299"/>
      <c r="R106" s="26"/>
      <c r="S106" s="16"/>
    </row>
    <row r="107" spans="4:19" ht="15" customHeight="1" thickBot="1" x14ac:dyDescent="0.3">
      <c r="D107" s="729"/>
      <c r="E107" s="356"/>
      <c r="F107" s="263"/>
      <c r="G107" s="264"/>
      <c r="H107" s="265"/>
      <c r="I107" s="266"/>
      <c r="J107" s="357">
        <f t="shared" ref="J107" si="35">G107*I107</f>
        <v>0</v>
      </c>
      <c r="K107" s="271">
        <f t="shared" si="1"/>
        <v>0</v>
      </c>
      <c r="L107" s="272">
        <f t="shared" si="2"/>
        <v>0</v>
      </c>
      <c r="M107" s="195">
        <f t="shared" si="4"/>
        <v>0</v>
      </c>
      <c r="N107" s="272">
        <f t="shared" si="5"/>
        <v>0</v>
      </c>
      <c r="O107" s="272">
        <f t="shared" si="3"/>
        <v>0</v>
      </c>
      <c r="P107" s="273">
        <f t="shared" si="33"/>
        <v>0</v>
      </c>
      <c r="Q107" s="274"/>
      <c r="R107" s="26"/>
    </row>
    <row r="108" spans="4:19" ht="14.4" thickTop="1" thickBot="1" x14ac:dyDescent="0.3">
      <c r="D108" s="728"/>
      <c r="E108" s="277"/>
      <c r="F108" s="255"/>
      <c r="G108" s="256"/>
      <c r="H108" s="257"/>
      <c r="I108" s="258"/>
      <c r="J108" s="350">
        <f>G108*I108</f>
        <v>0</v>
      </c>
      <c r="K108" s="351">
        <f t="shared" si="1"/>
        <v>0</v>
      </c>
      <c r="L108" s="352">
        <f t="shared" si="2"/>
        <v>0</v>
      </c>
      <c r="M108" s="353">
        <f t="shared" si="4"/>
        <v>0</v>
      </c>
      <c r="N108" s="352">
        <f t="shared" si="5"/>
        <v>0</v>
      </c>
      <c r="O108" s="352">
        <f t="shared" si="3"/>
        <v>0</v>
      </c>
      <c r="P108" s="354">
        <f t="shared" si="33"/>
        <v>0</v>
      </c>
      <c r="Q108" s="299"/>
      <c r="R108" s="26"/>
      <c r="S108" s="16"/>
    </row>
    <row r="109" spans="4:19" ht="15" customHeight="1" thickBot="1" x14ac:dyDescent="0.3">
      <c r="D109" s="729"/>
      <c r="E109" s="356"/>
      <c r="F109" s="263"/>
      <c r="G109" s="264"/>
      <c r="H109" s="265"/>
      <c r="I109" s="266"/>
      <c r="J109" s="357">
        <f t="shared" ref="J109" si="36">G109*I109</f>
        <v>0</v>
      </c>
      <c r="K109" s="271">
        <f t="shared" si="1"/>
        <v>0</v>
      </c>
      <c r="L109" s="272">
        <f t="shared" si="2"/>
        <v>0</v>
      </c>
      <c r="M109" s="195">
        <f t="shared" si="4"/>
        <v>0</v>
      </c>
      <c r="N109" s="272">
        <f t="shared" si="5"/>
        <v>0</v>
      </c>
      <c r="O109" s="272">
        <f t="shared" si="3"/>
        <v>0</v>
      </c>
      <c r="P109" s="273">
        <f t="shared" si="33"/>
        <v>0</v>
      </c>
      <c r="Q109" s="274"/>
      <c r="R109" s="26"/>
    </row>
    <row r="110" spans="4:19" ht="14.4" thickTop="1" thickBot="1" x14ac:dyDescent="0.3">
      <c r="D110" s="728"/>
      <c r="E110" s="277"/>
      <c r="F110" s="255"/>
      <c r="G110" s="256"/>
      <c r="H110" s="257"/>
      <c r="I110" s="258"/>
      <c r="J110" s="350">
        <f>G110*I110</f>
        <v>0</v>
      </c>
      <c r="K110" s="351">
        <f t="shared" si="1"/>
        <v>0</v>
      </c>
      <c r="L110" s="352">
        <f t="shared" si="2"/>
        <v>0</v>
      </c>
      <c r="M110" s="353">
        <f t="shared" si="4"/>
        <v>0</v>
      </c>
      <c r="N110" s="352">
        <f t="shared" si="5"/>
        <v>0</v>
      </c>
      <c r="O110" s="352">
        <f t="shared" si="3"/>
        <v>0</v>
      </c>
      <c r="P110" s="354">
        <f t="shared" si="33"/>
        <v>0</v>
      </c>
      <c r="Q110" s="299"/>
      <c r="R110" s="26"/>
      <c r="S110" s="16"/>
    </row>
    <row r="111" spans="4:19" ht="15" customHeight="1" thickBot="1" x14ac:dyDescent="0.3">
      <c r="D111" s="729"/>
      <c r="E111" s="356"/>
      <c r="F111" s="263"/>
      <c r="G111" s="264"/>
      <c r="H111" s="265"/>
      <c r="I111" s="266"/>
      <c r="J111" s="357">
        <f t="shared" ref="J111:J112" si="37">G111*I111</f>
        <v>0</v>
      </c>
      <c r="K111" s="271">
        <f t="shared" si="1"/>
        <v>0</v>
      </c>
      <c r="L111" s="272">
        <f t="shared" si="2"/>
        <v>0</v>
      </c>
      <c r="M111" s="195">
        <f t="shared" si="4"/>
        <v>0</v>
      </c>
      <c r="N111" s="272">
        <f t="shared" si="5"/>
        <v>0</v>
      </c>
      <c r="O111" s="272">
        <f t="shared" si="3"/>
        <v>0</v>
      </c>
      <c r="P111" s="273">
        <f t="shared" si="33"/>
        <v>0</v>
      </c>
      <c r="Q111" s="274"/>
      <c r="R111" s="26"/>
    </row>
    <row r="112" spans="4:19" ht="14.4" thickTop="1" thickBot="1" x14ac:dyDescent="0.3">
      <c r="D112" s="730"/>
      <c r="E112" s="358"/>
      <c r="F112" s="190"/>
      <c r="G112" s="191"/>
      <c r="H112" s="192"/>
      <c r="I112" s="193"/>
      <c r="J112" s="276">
        <f t="shared" si="37"/>
        <v>0</v>
      </c>
      <c r="K112" s="351">
        <f t="shared" si="1"/>
        <v>0</v>
      </c>
      <c r="L112" s="352">
        <f t="shared" si="2"/>
        <v>0</v>
      </c>
      <c r="M112" s="353">
        <f t="shared" si="4"/>
        <v>0</v>
      </c>
      <c r="N112" s="352">
        <f t="shared" si="5"/>
        <v>0</v>
      </c>
      <c r="O112" s="352">
        <f t="shared" si="3"/>
        <v>0</v>
      </c>
      <c r="P112" s="354">
        <f t="shared" si="33"/>
        <v>0</v>
      </c>
      <c r="Q112" s="262"/>
      <c r="R112" s="26"/>
    </row>
    <row r="113" spans="4:19" ht="13.8" thickBot="1" x14ac:dyDescent="0.3">
      <c r="D113" s="729"/>
      <c r="E113" s="349"/>
      <c r="F113" s="246"/>
      <c r="G113" s="247"/>
      <c r="H113" s="248"/>
      <c r="I113" s="249"/>
      <c r="J113" s="294">
        <f>G113*I113</f>
        <v>0</v>
      </c>
      <c r="K113" s="251">
        <f t="shared" si="1"/>
        <v>0</v>
      </c>
      <c r="L113" s="252">
        <f t="shared" si="2"/>
        <v>0</v>
      </c>
      <c r="M113" s="196">
        <f t="shared" si="4"/>
        <v>0</v>
      </c>
      <c r="N113" s="252">
        <f t="shared" si="5"/>
        <v>0</v>
      </c>
      <c r="O113" s="252">
        <f t="shared" si="3"/>
        <v>0</v>
      </c>
      <c r="P113" s="253">
        <f t="shared" si="33"/>
        <v>0</v>
      </c>
      <c r="Q113" s="299"/>
      <c r="R113" s="26"/>
      <c r="S113" s="82">
        <f>21*16</f>
        <v>336</v>
      </c>
    </row>
    <row r="114" spans="4:19" ht="14.4" thickTop="1" thickBot="1" x14ac:dyDescent="0.3">
      <c r="D114" s="730"/>
      <c r="E114" s="277"/>
      <c r="F114" s="255"/>
      <c r="G114" s="256"/>
      <c r="H114" s="257"/>
      <c r="I114" s="258"/>
      <c r="J114" s="350">
        <f>G114*I114</f>
        <v>0</v>
      </c>
      <c r="K114" s="259">
        <f t="shared" si="1"/>
        <v>0</v>
      </c>
      <c r="L114" s="260">
        <f t="shared" si="2"/>
        <v>0</v>
      </c>
      <c r="M114" s="219">
        <f t="shared" si="4"/>
        <v>0</v>
      </c>
      <c r="N114" s="260">
        <f t="shared" si="5"/>
        <v>0</v>
      </c>
      <c r="O114" s="260">
        <f t="shared" si="3"/>
        <v>0</v>
      </c>
      <c r="P114" s="261">
        <f t="shared" si="33"/>
        <v>0</v>
      </c>
      <c r="Q114" s="299"/>
      <c r="R114" s="26"/>
    </row>
    <row r="115" spans="4:19" ht="15" customHeight="1" thickBot="1" x14ac:dyDescent="0.3">
      <c r="D115" s="731"/>
      <c r="E115" s="356"/>
      <c r="F115" s="263"/>
      <c r="G115" s="264"/>
      <c r="H115" s="265"/>
      <c r="I115" s="266"/>
      <c r="J115" s="357">
        <f t="shared" ref="J115" si="38">G115*I115</f>
        <v>0</v>
      </c>
      <c r="K115" s="267">
        <f t="shared" si="1"/>
        <v>0</v>
      </c>
      <c r="L115" s="268">
        <f t="shared" si="2"/>
        <v>0</v>
      </c>
      <c r="M115" s="222">
        <f t="shared" si="4"/>
        <v>0</v>
      </c>
      <c r="N115" s="268">
        <f t="shared" si="5"/>
        <v>0</v>
      </c>
      <c r="O115" s="268">
        <f t="shared" si="3"/>
        <v>0</v>
      </c>
      <c r="P115" s="269">
        <f t="shared" si="33"/>
        <v>0</v>
      </c>
      <c r="Q115" s="270"/>
      <c r="R115" s="26"/>
    </row>
    <row r="116" spans="4:19" ht="14.4" thickTop="1" thickBot="1" x14ac:dyDescent="0.3">
      <c r="D116" s="728"/>
      <c r="E116" s="277"/>
      <c r="F116" s="255"/>
      <c r="G116" s="256"/>
      <c r="H116" s="257"/>
      <c r="I116" s="258"/>
      <c r="J116" s="350">
        <f>G116*I116</f>
        <v>0</v>
      </c>
      <c r="K116" s="351">
        <f t="shared" si="1"/>
        <v>0</v>
      </c>
      <c r="L116" s="352">
        <f t="shared" si="2"/>
        <v>0</v>
      </c>
      <c r="M116" s="353">
        <f t="shared" si="4"/>
        <v>0</v>
      </c>
      <c r="N116" s="352">
        <f t="shared" si="5"/>
        <v>0</v>
      </c>
      <c r="O116" s="352">
        <f t="shared" si="3"/>
        <v>0</v>
      </c>
      <c r="P116" s="354">
        <f t="shared" si="33"/>
        <v>0</v>
      </c>
      <c r="Q116" s="299"/>
      <c r="R116" s="26"/>
      <c r="S116" s="16"/>
    </row>
    <row r="117" spans="4:19" ht="15" customHeight="1" thickBot="1" x14ac:dyDescent="0.3">
      <c r="D117" s="729"/>
      <c r="E117" s="356"/>
      <c r="F117" s="263"/>
      <c r="G117" s="264"/>
      <c r="H117" s="265"/>
      <c r="I117" s="266"/>
      <c r="J117" s="357">
        <f t="shared" ref="J117" si="39">G117*I117</f>
        <v>0</v>
      </c>
      <c r="K117" s="271">
        <f t="shared" si="1"/>
        <v>0</v>
      </c>
      <c r="L117" s="272">
        <f t="shared" si="2"/>
        <v>0</v>
      </c>
      <c r="M117" s="195">
        <f t="shared" si="4"/>
        <v>0</v>
      </c>
      <c r="N117" s="272">
        <f t="shared" si="5"/>
        <v>0</v>
      </c>
      <c r="O117" s="272">
        <f t="shared" si="3"/>
        <v>0</v>
      </c>
      <c r="P117" s="273">
        <f t="shared" si="33"/>
        <v>0</v>
      </c>
      <c r="Q117" s="274"/>
      <c r="R117" s="26"/>
    </row>
    <row r="118" spans="4:19" ht="14.4" thickTop="1" thickBot="1" x14ac:dyDescent="0.3">
      <c r="D118" s="728"/>
      <c r="E118" s="277"/>
      <c r="F118" s="255"/>
      <c r="G118" s="256"/>
      <c r="H118" s="257"/>
      <c r="I118" s="258"/>
      <c r="J118" s="350">
        <f>G118*I118</f>
        <v>0</v>
      </c>
      <c r="K118" s="351">
        <f t="shared" si="1"/>
        <v>0</v>
      </c>
      <c r="L118" s="352">
        <f t="shared" si="2"/>
        <v>0</v>
      </c>
      <c r="M118" s="353">
        <f t="shared" si="4"/>
        <v>0</v>
      </c>
      <c r="N118" s="352">
        <f t="shared" si="5"/>
        <v>0</v>
      </c>
      <c r="O118" s="352">
        <f t="shared" si="3"/>
        <v>0</v>
      </c>
      <c r="P118" s="354">
        <f t="shared" si="33"/>
        <v>0</v>
      </c>
      <c r="Q118" s="299"/>
      <c r="R118" s="26"/>
      <c r="S118" s="16"/>
    </row>
    <row r="119" spans="4:19" ht="15" customHeight="1" thickBot="1" x14ac:dyDescent="0.3">
      <c r="D119" s="729"/>
      <c r="E119" s="356"/>
      <c r="F119" s="263"/>
      <c r="G119" s="264"/>
      <c r="H119" s="265"/>
      <c r="I119" s="266"/>
      <c r="J119" s="357">
        <f t="shared" ref="J119" si="40">G119*I119</f>
        <v>0</v>
      </c>
      <c r="K119" s="271">
        <f t="shared" si="1"/>
        <v>0</v>
      </c>
      <c r="L119" s="272">
        <f t="shared" si="2"/>
        <v>0</v>
      </c>
      <c r="M119" s="195">
        <f t="shared" si="4"/>
        <v>0</v>
      </c>
      <c r="N119" s="272">
        <f t="shared" si="5"/>
        <v>0</v>
      </c>
      <c r="O119" s="272">
        <f t="shared" si="3"/>
        <v>0</v>
      </c>
      <c r="P119" s="273">
        <f t="shared" si="33"/>
        <v>0</v>
      </c>
      <c r="Q119" s="274"/>
      <c r="R119" s="26"/>
    </row>
    <row r="120" spans="4:19" ht="14.4" thickTop="1" thickBot="1" x14ac:dyDescent="0.3">
      <c r="D120" s="728"/>
      <c r="E120" s="277"/>
      <c r="F120" s="255"/>
      <c r="G120" s="256"/>
      <c r="H120" s="257"/>
      <c r="I120" s="258"/>
      <c r="J120" s="350">
        <f>G120*I120</f>
        <v>0</v>
      </c>
      <c r="K120" s="351">
        <f t="shared" si="1"/>
        <v>0</v>
      </c>
      <c r="L120" s="352">
        <f t="shared" si="2"/>
        <v>0</v>
      </c>
      <c r="M120" s="353">
        <f t="shared" si="4"/>
        <v>0</v>
      </c>
      <c r="N120" s="352">
        <f t="shared" si="5"/>
        <v>0</v>
      </c>
      <c r="O120" s="352">
        <f t="shared" si="3"/>
        <v>0</v>
      </c>
      <c r="P120" s="354">
        <f t="shared" si="33"/>
        <v>0</v>
      </c>
      <c r="Q120" s="299"/>
      <c r="R120" s="26"/>
      <c r="S120" s="16"/>
    </row>
    <row r="121" spans="4:19" ht="15" customHeight="1" thickBot="1" x14ac:dyDescent="0.3">
      <c r="D121" s="729"/>
      <c r="E121" s="356"/>
      <c r="F121" s="263"/>
      <c r="G121" s="264"/>
      <c r="H121" s="265"/>
      <c r="I121" s="266"/>
      <c r="J121" s="357">
        <f t="shared" ref="J121" si="41">G121*I121</f>
        <v>0</v>
      </c>
      <c r="K121" s="271">
        <f t="shared" si="1"/>
        <v>0</v>
      </c>
      <c r="L121" s="272">
        <f t="shared" si="2"/>
        <v>0</v>
      </c>
      <c r="M121" s="195">
        <f t="shared" si="4"/>
        <v>0</v>
      </c>
      <c r="N121" s="272">
        <f t="shared" si="5"/>
        <v>0</v>
      </c>
      <c r="O121" s="272">
        <f t="shared" si="3"/>
        <v>0</v>
      </c>
      <c r="P121" s="273">
        <f t="shared" si="33"/>
        <v>0</v>
      </c>
      <c r="Q121" s="274"/>
      <c r="R121" s="26"/>
    </row>
    <row r="122" spans="4:19" ht="14.4" thickTop="1" thickBot="1" x14ac:dyDescent="0.3">
      <c r="D122" s="728"/>
      <c r="E122" s="277"/>
      <c r="F122" s="255"/>
      <c r="G122" s="256"/>
      <c r="H122" s="257"/>
      <c r="I122" s="258"/>
      <c r="J122" s="350">
        <f>G122*I122</f>
        <v>0</v>
      </c>
      <c r="K122" s="351">
        <f t="shared" si="1"/>
        <v>0</v>
      </c>
      <c r="L122" s="352">
        <f t="shared" si="2"/>
        <v>0</v>
      </c>
      <c r="M122" s="353">
        <f t="shared" si="4"/>
        <v>0</v>
      </c>
      <c r="N122" s="352">
        <f t="shared" si="5"/>
        <v>0</v>
      </c>
      <c r="O122" s="352">
        <f t="shared" si="3"/>
        <v>0</v>
      </c>
      <c r="P122" s="354">
        <f t="shared" si="33"/>
        <v>0</v>
      </c>
      <c r="Q122" s="299"/>
      <c r="R122" s="26"/>
      <c r="S122" s="16"/>
    </row>
    <row r="123" spans="4:19" ht="15" customHeight="1" thickBot="1" x14ac:dyDescent="0.3">
      <c r="D123" s="729"/>
      <c r="E123" s="356"/>
      <c r="F123" s="263"/>
      <c r="G123" s="264"/>
      <c r="H123" s="265"/>
      <c r="I123" s="266"/>
      <c r="J123" s="357">
        <f t="shared" ref="J123:J124" si="42">G123*I123</f>
        <v>0</v>
      </c>
      <c r="K123" s="271">
        <f t="shared" si="1"/>
        <v>0</v>
      </c>
      <c r="L123" s="272">
        <f t="shared" si="2"/>
        <v>0</v>
      </c>
      <c r="M123" s="195">
        <f t="shared" si="4"/>
        <v>0</v>
      </c>
      <c r="N123" s="272">
        <f t="shared" si="5"/>
        <v>0</v>
      </c>
      <c r="O123" s="272">
        <f t="shared" si="3"/>
        <v>0</v>
      </c>
      <c r="P123" s="273">
        <f t="shared" si="33"/>
        <v>0</v>
      </c>
      <c r="Q123" s="274"/>
      <c r="R123" s="26"/>
    </row>
    <row r="124" spans="4:19" ht="14.4" thickTop="1" thickBot="1" x14ac:dyDescent="0.3">
      <c r="D124" s="730"/>
      <c r="E124" s="358"/>
      <c r="F124" s="190"/>
      <c r="G124" s="191"/>
      <c r="H124" s="192"/>
      <c r="I124" s="193"/>
      <c r="J124" s="276">
        <f t="shared" si="42"/>
        <v>0</v>
      </c>
      <c r="K124" s="351">
        <f t="shared" si="1"/>
        <v>0</v>
      </c>
      <c r="L124" s="352">
        <f t="shared" si="2"/>
        <v>0</v>
      </c>
      <c r="M124" s="353">
        <f t="shared" si="4"/>
        <v>0</v>
      </c>
      <c r="N124" s="352">
        <f t="shared" si="5"/>
        <v>0</v>
      </c>
      <c r="O124" s="352">
        <f t="shared" si="3"/>
        <v>0</v>
      </c>
      <c r="P124" s="354">
        <f t="shared" si="33"/>
        <v>0</v>
      </c>
      <c r="Q124" s="262"/>
      <c r="R124" s="26"/>
    </row>
    <row r="125" spans="4:19" ht="13.8" thickBot="1" x14ac:dyDescent="0.3">
      <c r="D125" s="729"/>
      <c r="E125" s="349"/>
      <c r="F125" s="246"/>
      <c r="G125" s="247"/>
      <c r="H125" s="248"/>
      <c r="I125" s="249"/>
      <c r="J125" s="294">
        <f>G125*I125</f>
        <v>0</v>
      </c>
      <c r="K125" s="251">
        <f t="shared" si="1"/>
        <v>0</v>
      </c>
      <c r="L125" s="252">
        <f t="shared" si="2"/>
        <v>0</v>
      </c>
      <c r="M125" s="196">
        <f t="shared" si="4"/>
        <v>0</v>
      </c>
      <c r="N125" s="252">
        <f t="shared" si="5"/>
        <v>0</v>
      </c>
      <c r="O125" s="252">
        <f t="shared" si="3"/>
        <v>0</v>
      </c>
      <c r="P125" s="253">
        <f t="shared" si="33"/>
        <v>0</v>
      </c>
      <c r="Q125" s="299"/>
      <c r="R125" s="26"/>
      <c r="S125" s="82">
        <f>21*16</f>
        <v>336</v>
      </c>
    </row>
    <row r="126" spans="4:19" ht="14.4" thickTop="1" thickBot="1" x14ac:dyDescent="0.3">
      <c r="D126" s="730"/>
      <c r="E126" s="277"/>
      <c r="F126" s="255"/>
      <c r="G126" s="256"/>
      <c r="H126" s="257"/>
      <c r="I126" s="258"/>
      <c r="J126" s="350">
        <f>G126*I126</f>
        <v>0</v>
      </c>
      <c r="K126" s="259">
        <f t="shared" si="1"/>
        <v>0</v>
      </c>
      <c r="L126" s="260">
        <f t="shared" si="2"/>
        <v>0</v>
      </c>
      <c r="M126" s="219">
        <f t="shared" si="4"/>
        <v>0</v>
      </c>
      <c r="N126" s="260">
        <f t="shared" si="5"/>
        <v>0</v>
      </c>
      <c r="O126" s="260">
        <f t="shared" si="3"/>
        <v>0</v>
      </c>
      <c r="P126" s="261">
        <f t="shared" si="33"/>
        <v>0</v>
      </c>
      <c r="Q126" s="299"/>
      <c r="R126" s="26"/>
    </row>
    <row r="127" spans="4:19" ht="15" customHeight="1" thickBot="1" x14ac:dyDescent="0.3">
      <c r="D127" s="731"/>
      <c r="E127" s="356"/>
      <c r="F127" s="263"/>
      <c r="G127" s="264"/>
      <c r="H127" s="265"/>
      <c r="I127" s="266"/>
      <c r="J127" s="357">
        <f t="shared" ref="J127" si="43">G127*I127</f>
        <v>0</v>
      </c>
      <c r="K127" s="267">
        <f t="shared" si="1"/>
        <v>0</v>
      </c>
      <c r="L127" s="268">
        <f t="shared" si="2"/>
        <v>0</v>
      </c>
      <c r="M127" s="222">
        <f t="shared" si="4"/>
        <v>0</v>
      </c>
      <c r="N127" s="268">
        <f t="shared" si="5"/>
        <v>0</v>
      </c>
      <c r="O127" s="268">
        <f t="shared" si="3"/>
        <v>0</v>
      </c>
      <c r="P127" s="269">
        <f t="shared" si="33"/>
        <v>0</v>
      </c>
      <c r="Q127" s="270"/>
      <c r="R127" s="26"/>
    </row>
    <row r="128" spans="4:19" ht="14.4" thickTop="1" thickBot="1" x14ac:dyDescent="0.3">
      <c r="D128" s="728"/>
      <c r="E128" s="277"/>
      <c r="F128" s="255"/>
      <c r="G128" s="256"/>
      <c r="H128" s="257"/>
      <c r="I128" s="258"/>
      <c r="J128" s="350">
        <f>G128*I128</f>
        <v>0</v>
      </c>
      <c r="K128" s="351">
        <f t="shared" si="1"/>
        <v>0</v>
      </c>
      <c r="L128" s="352">
        <f t="shared" si="2"/>
        <v>0</v>
      </c>
      <c r="M128" s="353">
        <f t="shared" si="4"/>
        <v>0</v>
      </c>
      <c r="N128" s="352">
        <f t="shared" si="5"/>
        <v>0</v>
      </c>
      <c r="O128" s="352">
        <f t="shared" si="3"/>
        <v>0</v>
      </c>
      <c r="P128" s="354">
        <f t="shared" si="33"/>
        <v>0</v>
      </c>
      <c r="Q128" s="299"/>
      <c r="R128" s="26"/>
      <c r="S128" s="16"/>
    </row>
    <row r="129" spans="4:19" ht="15" customHeight="1" thickBot="1" x14ac:dyDescent="0.3">
      <c r="D129" s="729"/>
      <c r="E129" s="356"/>
      <c r="F129" s="263"/>
      <c r="G129" s="264"/>
      <c r="H129" s="265"/>
      <c r="I129" s="266"/>
      <c r="J129" s="357">
        <f t="shared" ref="J129" si="44">G129*I129</f>
        <v>0</v>
      </c>
      <c r="K129" s="271">
        <f t="shared" si="1"/>
        <v>0</v>
      </c>
      <c r="L129" s="272">
        <f t="shared" si="2"/>
        <v>0</v>
      </c>
      <c r="M129" s="195">
        <f t="shared" si="4"/>
        <v>0</v>
      </c>
      <c r="N129" s="272">
        <f t="shared" si="5"/>
        <v>0</v>
      </c>
      <c r="O129" s="272">
        <f t="shared" si="3"/>
        <v>0</v>
      </c>
      <c r="P129" s="273">
        <f t="shared" si="33"/>
        <v>0</v>
      </c>
      <c r="Q129" s="274"/>
      <c r="R129" s="26"/>
    </row>
    <row r="130" spans="4:19" ht="14.4" thickTop="1" thickBot="1" x14ac:dyDescent="0.3">
      <c r="D130" s="728"/>
      <c r="E130" s="277"/>
      <c r="F130" s="255"/>
      <c r="G130" s="256"/>
      <c r="H130" s="257"/>
      <c r="I130" s="258"/>
      <c r="J130" s="350">
        <f>G130*I130</f>
        <v>0</v>
      </c>
      <c r="K130" s="351">
        <f t="shared" si="1"/>
        <v>0</v>
      </c>
      <c r="L130" s="352">
        <f t="shared" si="2"/>
        <v>0</v>
      </c>
      <c r="M130" s="353">
        <f t="shared" si="4"/>
        <v>0</v>
      </c>
      <c r="N130" s="352">
        <f t="shared" si="5"/>
        <v>0</v>
      </c>
      <c r="O130" s="352">
        <f t="shared" si="3"/>
        <v>0</v>
      </c>
      <c r="P130" s="354">
        <f t="shared" si="33"/>
        <v>0</v>
      </c>
      <c r="Q130" s="299"/>
      <c r="R130" s="26"/>
      <c r="S130" s="16"/>
    </row>
    <row r="131" spans="4:19" ht="15" customHeight="1" thickBot="1" x14ac:dyDescent="0.3">
      <c r="D131" s="729"/>
      <c r="E131" s="356"/>
      <c r="F131" s="263"/>
      <c r="G131" s="264"/>
      <c r="H131" s="265"/>
      <c r="I131" s="266"/>
      <c r="J131" s="357">
        <f t="shared" ref="J131" si="45">G131*I131</f>
        <v>0</v>
      </c>
      <c r="K131" s="271">
        <f t="shared" si="1"/>
        <v>0</v>
      </c>
      <c r="L131" s="272">
        <f t="shared" si="2"/>
        <v>0</v>
      </c>
      <c r="M131" s="195">
        <f t="shared" si="4"/>
        <v>0</v>
      </c>
      <c r="N131" s="272">
        <f t="shared" si="5"/>
        <v>0</v>
      </c>
      <c r="O131" s="272">
        <f t="shared" si="3"/>
        <v>0</v>
      </c>
      <c r="P131" s="273">
        <f t="shared" si="33"/>
        <v>0</v>
      </c>
      <c r="Q131" s="274"/>
      <c r="R131" s="26"/>
    </row>
    <row r="132" spans="4:19" ht="14.4" thickTop="1" thickBot="1" x14ac:dyDescent="0.3">
      <c r="D132" s="728"/>
      <c r="E132" s="277"/>
      <c r="F132" s="255"/>
      <c r="G132" s="256"/>
      <c r="H132" s="257"/>
      <c r="I132" s="258"/>
      <c r="J132" s="350">
        <f>G132*I132</f>
        <v>0</v>
      </c>
      <c r="K132" s="351">
        <f t="shared" si="1"/>
        <v>0</v>
      </c>
      <c r="L132" s="352">
        <f t="shared" si="2"/>
        <v>0</v>
      </c>
      <c r="M132" s="353">
        <f t="shared" si="4"/>
        <v>0</v>
      </c>
      <c r="N132" s="352">
        <f t="shared" si="5"/>
        <v>0</v>
      </c>
      <c r="O132" s="352">
        <f t="shared" si="3"/>
        <v>0</v>
      </c>
      <c r="P132" s="354">
        <f t="shared" si="33"/>
        <v>0</v>
      </c>
      <c r="Q132" s="299"/>
      <c r="R132" s="26"/>
      <c r="S132" s="16"/>
    </row>
    <row r="133" spans="4:19" ht="15" customHeight="1" thickBot="1" x14ac:dyDescent="0.3">
      <c r="D133" s="729"/>
      <c r="E133" s="356"/>
      <c r="F133" s="263"/>
      <c r="G133" s="264"/>
      <c r="H133" s="265"/>
      <c r="I133" s="266"/>
      <c r="J133" s="357">
        <f t="shared" ref="J133" si="46">G133*I133</f>
        <v>0</v>
      </c>
      <c r="K133" s="271">
        <f t="shared" si="1"/>
        <v>0</v>
      </c>
      <c r="L133" s="272">
        <f t="shared" si="2"/>
        <v>0</v>
      </c>
      <c r="M133" s="195">
        <f t="shared" si="4"/>
        <v>0</v>
      </c>
      <c r="N133" s="272">
        <f t="shared" si="5"/>
        <v>0</v>
      </c>
      <c r="O133" s="272">
        <f t="shared" si="3"/>
        <v>0</v>
      </c>
      <c r="P133" s="273">
        <f t="shared" si="33"/>
        <v>0</v>
      </c>
      <c r="Q133" s="274"/>
      <c r="R133" s="26"/>
    </row>
    <row r="134" spans="4:19" ht="14.4" thickTop="1" thickBot="1" x14ac:dyDescent="0.3">
      <c r="D134" s="728"/>
      <c r="E134" s="277"/>
      <c r="F134" s="255"/>
      <c r="G134" s="256"/>
      <c r="H134" s="257"/>
      <c r="I134" s="258"/>
      <c r="J134" s="350">
        <f>G134*I134</f>
        <v>0</v>
      </c>
      <c r="K134" s="351">
        <f t="shared" si="1"/>
        <v>0</v>
      </c>
      <c r="L134" s="352">
        <f t="shared" si="2"/>
        <v>0</v>
      </c>
      <c r="M134" s="353">
        <f t="shared" si="4"/>
        <v>0</v>
      </c>
      <c r="N134" s="352">
        <f t="shared" si="5"/>
        <v>0</v>
      </c>
      <c r="O134" s="352">
        <f t="shared" si="3"/>
        <v>0</v>
      </c>
      <c r="P134" s="354">
        <f t="shared" si="33"/>
        <v>0</v>
      </c>
      <c r="Q134" s="299"/>
      <c r="R134" s="26"/>
      <c r="S134" s="16"/>
    </row>
    <row r="135" spans="4:19" ht="15" customHeight="1" thickBot="1" x14ac:dyDescent="0.3">
      <c r="D135" s="729"/>
      <c r="E135" s="356"/>
      <c r="F135" s="263"/>
      <c r="G135" s="264"/>
      <c r="H135" s="265"/>
      <c r="I135" s="266"/>
      <c r="J135" s="357">
        <f t="shared" si="7"/>
        <v>0</v>
      </c>
      <c r="K135" s="271">
        <f t="shared" si="1"/>
        <v>0</v>
      </c>
      <c r="L135" s="272">
        <f t="shared" si="2"/>
        <v>0</v>
      </c>
      <c r="M135" s="195">
        <f t="shared" si="4"/>
        <v>0</v>
      </c>
      <c r="N135" s="272">
        <f t="shared" si="5"/>
        <v>0</v>
      </c>
      <c r="O135" s="272">
        <f t="shared" si="3"/>
        <v>0</v>
      </c>
      <c r="P135" s="273">
        <f t="shared" si="33"/>
        <v>0</v>
      </c>
      <c r="Q135" s="274"/>
      <c r="R135" s="26"/>
    </row>
    <row r="136" spans="4:19" ht="14.4" thickTop="1" thickBot="1" x14ac:dyDescent="0.3">
      <c r="D136" s="730"/>
      <c r="E136" s="358"/>
      <c r="F136" s="190"/>
      <c r="G136" s="191"/>
      <c r="H136" s="192"/>
      <c r="I136" s="193"/>
      <c r="J136" s="276">
        <f t="shared" si="7"/>
        <v>0</v>
      </c>
      <c r="K136" s="351">
        <f t="shared" si="1"/>
        <v>0</v>
      </c>
      <c r="L136" s="352">
        <f t="shared" si="2"/>
        <v>0</v>
      </c>
      <c r="M136" s="353">
        <f t="shared" si="4"/>
        <v>0</v>
      </c>
      <c r="N136" s="352">
        <f t="shared" si="5"/>
        <v>0</v>
      </c>
      <c r="O136" s="352">
        <f t="shared" si="3"/>
        <v>0</v>
      </c>
      <c r="P136" s="354">
        <f t="shared" si="33"/>
        <v>0</v>
      </c>
      <c r="Q136" s="262"/>
      <c r="R136" s="26"/>
    </row>
    <row r="137" spans="4:19" ht="13.8" thickBot="1" x14ac:dyDescent="0.3">
      <c r="D137" s="729"/>
      <c r="E137" s="349"/>
      <c r="F137" s="246"/>
      <c r="G137" s="247"/>
      <c r="H137" s="248"/>
      <c r="I137" s="249"/>
      <c r="J137" s="294">
        <f>G137*I137</f>
        <v>0</v>
      </c>
      <c r="K137" s="251">
        <f t="shared" si="1"/>
        <v>0</v>
      </c>
      <c r="L137" s="252">
        <f t="shared" si="2"/>
        <v>0</v>
      </c>
      <c r="M137" s="196">
        <f t="shared" si="4"/>
        <v>0</v>
      </c>
      <c r="N137" s="252">
        <f t="shared" si="5"/>
        <v>0</v>
      </c>
      <c r="O137" s="252">
        <f t="shared" si="3"/>
        <v>0</v>
      </c>
      <c r="P137" s="253">
        <f t="shared" si="33"/>
        <v>0</v>
      </c>
      <c r="Q137" s="299"/>
      <c r="R137" s="26"/>
      <c r="S137" s="82">
        <f>21*16</f>
        <v>336</v>
      </c>
    </row>
    <row r="138" spans="4:19" ht="14.4" thickTop="1" thickBot="1" x14ac:dyDescent="0.3">
      <c r="D138" s="730"/>
      <c r="E138" s="277"/>
      <c r="F138" s="255"/>
      <c r="G138" s="256"/>
      <c r="H138" s="257"/>
      <c r="I138" s="258"/>
      <c r="J138" s="350">
        <f>G138*I138</f>
        <v>0</v>
      </c>
      <c r="K138" s="259">
        <f t="shared" si="1"/>
        <v>0</v>
      </c>
      <c r="L138" s="260">
        <f t="shared" si="2"/>
        <v>0</v>
      </c>
      <c r="M138" s="219">
        <f t="shared" si="4"/>
        <v>0</v>
      </c>
      <c r="N138" s="260">
        <f t="shared" si="5"/>
        <v>0</v>
      </c>
      <c r="O138" s="260">
        <f t="shared" si="3"/>
        <v>0</v>
      </c>
      <c r="P138" s="261">
        <f t="shared" si="33"/>
        <v>0</v>
      </c>
      <c r="Q138" s="299"/>
      <c r="R138" s="26"/>
    </row>
    <row r="139" spans="4:19" ht="15" customHeight="1" thickBot="1" x14ac:dyDescent="0.3">
      <c r="D139" s="731"/>
      <c r="E139" s="356"/>
      <c r="F139" s="263"/>
      <c r="G139" s="264"/>
      <c r="H139" s="265"/>
      <c r="I139" s="266"/>
      <c r="J139" s="357">
        <f t="shared" si="7"/>
        <v>0</v>
      </c>
      <c r="K139" s="267">
        <f t="shared" si="1"/>
        <v>0</v>
      </c>
      <c r="L139" s="268">
        <f t="shared" si="2"/>
        <v>0</v>
      </c>
      <c r="M139" s="222">
        <f t="shared" si="4"/>
        <v>0</v>
      </c>
      <c r="N139" s="268">
        <f t="shared" si="5"/>
        <v>0</v>
      </c>
      <c r="O139" s="268">
        <f t="shared" si="3"/>
        <v>0</v>
      </c>
      <c r="P139" s="269">
        <f t="shared" si="33"/>
        <v>0</v>
      </c>
      <c r="Q139" s="270"/>
      <c r="R139" s="26"/>
    </row>
    <row r="140" spans="4:19" ht="15" customHeight="1" thickTop="1" thickBot="1" x14ac:dyDescent="0.3">
      <c r="D140" s="86"/>
      <c r="E140" s="86"/>
      <c r="F140" s="93"/>
      <c r="G140" s="93"/>
      <c r="H140" s="93"/>
      <c r="I140" s="93"/>
      <c r="J140" s="93"/>
      <c r="K140" s="87"/>
      <c r="L140" s="87"/>
      <c r="M140" s="87"/>
      <c r="N140" s="87"/>
      <c r="O140" s="87"/>
      <c r="P140" s="87"/>
      <c r="R140" s="26"/>
    </row>
    <row r="141" spans="4:19" ht="15" customHeight="1" thickTop="1" thickBot="1" x14ac:dyDescent="0.3">
      <c r="D141" s="88"/>
      <c r="E141" s="89"/>
      <c r="F141" s="90"/>
      <c r="G141" s="90"/>
      <c r="H141" s="90"/>
      <c r="I141" s="90"/>
      <c r="J141" s="99" t="s">
        <v>59</v>
      </c>
      <c r="K141" s="91">
        <f t="shared" ref="K141:P141" si="47">SUM(K25:K140)</f>
        <v>1213.1812</v>
      </c>
      <c r="L141" s="92">
        <f t="shared" si="47"/>
        <v>0</v>
      </c>
      <c r="M141" s="92">
        <f t="shared" si="47"/>
        <v>0</v>
      </c>
      <c r="N141" s="92">
        <f t="shared" si="47"/>
        <v>4166.2307999999994</v>
      </c>
      <c r="O141" s="92">
        <f t="shared" si="47"/>
        <v>0</v>
      </c>
      <c r="P141" s="120">
        <f t="shared" si="47"/>
        <v>0</v>
      </c>
      <c r="R141" s="26"/>
    </row>
    <row r="142" spans="4:19" ht="15" customHeight="1" thickTop="1" x14ac:dyDescent="0.25">
      <c r="D142" s="86"/>
      <c r="E142" s="86"/>
      <c r="K142" s="86"/>
      <c r="L142" s="86"/>
      <c r="M142" s="86"/>
      <c r="N142" s="86"/>
      <c r="O142" s="86"/>
      <c r="P142" s="86"/>
      <c r="R142" s="26"/>
    </row>
    <row r="143" spans="4:19" ht="15" customHeight="1" x14ac:dyDescent="0.25">
      <c r="D143" s="86"/>
      <c r="E143" s="86"/>
      <c r="J143" s="285">
        <f>J25+J28+J29+J31+J32+J38+J134+J136+J138+J139</f>
        <v>3770.5999999999995</v>
      </c>
      <c r="K143" s="86"/>
      <c r="L143" s="86"/>
      <c r="M143" s="86"/>
      <c r="N143" s="86"/>
      <c r="O143" s="86"/>
      <c r="P143" s="86"/>
      <c r="R143" s="26"/>
    </row>
    <row r="144" spans="4:19" ht="15" customHeight="1" x14ac:dyDescent="0.25">
      <c r="J144" s="285">
        <f>J26+J34+J35+J37+J135+J137</f>
        <v>2196.3999999999996</v>
      </c>
      <c r="R144" s="26"/>
    </row>
    <row r="145" spans="18:18" ht="15" customHeight="1" x14ac:dyDescent="0.25">
      <c r="R145" s="26"/>
    </row>
    <row r="146" spans="18:18" ht="15" customHeight="1" x14ac:dyDescent="0.25">
      <c r="R146" s="26"/>
    </row>
    <row r="147" spans="18:18" ht="15" customHeight="1" x14ac:dyDescent="0.25">
      <c r="R147" s="26"/>
    </row>
    <row r="148" spans="18:18" ht="15" customHeight="1" x14ac:dyDescent="0.25">
      <c r="R148" s="26"/>
    </row>
    <row r="149" spans="18:18" ht="15" customHeight="1" x14ac:dyDescent="0.25">
      <c r="R149" s="26"/>
    </row>
    <row r="150" spans="18:18" ht="15" customHeight="1" x14ac:dyDescent="0.25">
      <c r="R150" s="26"/>
    </row>
    <row r="151" spans="18:18" ht="15" customHeight="1" x14ac:dyDescent="0.25">
      <c r="R151" s="26"/>
    </row>
    <row r="152" spans="18:18" ht="15" customHeight="1" x14ac:dyDescent="0.25">
      <c r="R152" s="26"/>
    </row>
    <row r="153" spans="18:18" ht="15" customHeight="1" x14ac:dyDescent="0.25">
      <c r="R153" s="26"/>
    </row>
    <row r="154" spans="18:18" ht="15" customHeight="1" x14ac:dyDescent="0.25">
      <c r="R154" s="26"/>
    </row>
    <row r="155" spans="18:18" ht="15" customHeight="1" x14ac:dyDescent="0.25">
      <c r="R155" s="26"/>
    </row>
    <row r="156" spans="18:18" ht="15" customHeight="1" x14ac:dyDescent="0.25">
      <c r="R156" s="26"/>
    </row>
    <row r="157" spans="18:18" ht="15" customHeight="1" x14ac:dyDescent="0.25">
      <c r="R157" s="26"/>
    </row>
    <row r="158" spans="18:18" ht="15" customHeight="1" x14ac:dyDescent="0.25">
      <c r="R158" s="26"/>
    </row>
    <row r="159" spans="18:18" ht="15" customHeight="1" x14ac:dyDescent="0.25">
      <c r="R159" s="26"/>
    </row>
    <row r="160" spans="18:18" ht="15" customHeight="1" x14ac:dyDescent="0.25">
      <c r="R160" s="26"/>
    </row>
    <row r="161" spans="18:18" ht="15" customHeight="1" x14ac:dyDescent="0.25">
      <c r="R161" s="26"/>
    </row>
    <row r="162" spans="18:18" ht="15" customHeight="1" x14ac:dyDescent="0.25">
      <c r="R162" s="26"/>
    </row>
    <row r="163" spans="18:18" ht="15" customHeight="1" x14ac:dyDescent="0.25">
      <c r="R163" s="26"/>
    </row>
    <row r="164" spans="18:18" ht="15" customHeight="1" x14ac:dyDescent="0.25">
      <c r="R164" s="26"/>
    </row>
    <row r="165" spans="18:18" ht="15" customHeight="1" x14ac:dyDescent="0.25">
      <c r="R165" s="26"/>
    </row>
    <row r="166" spans="18:18" ht="15" customHeight="1" x14ac:dyDescent="0.25">
      <c r="R166" s="26"/>
    </row>
    <row r="167" spans="18:18" ht="15" customHeight="1" x14ac:dyDescent="0.25">
      <c r="R167" s="26"/>
    </row>
    <row r="168" spans="18:18" ht="15" customHeight="1" x14ac:dyDescent="0.25">
      <c r="R168" s="26"/>
    </row>
    <row r="169" spans="18:18" ht="15" customHeight="1" x14ac:dyDescent="0.25">
      <c r="R169" s="26"/>
    </row>
    <row r="177" spans="18:18" x14ac:dyDescent="0.25">
      <c r="R177" s="26"/>
    </row>
    <row r="178" spans="18:18" x14ac:dyDescent="0.25">
      <c r="R178" s="26"/>
    </row>
    <row r="179" spans="18:18" x14ac:dyDescent="0.25">
      <c r="R179" s="26"/>
    </row>
    <row r="180" spans="18:18" x14ac:dyDescent="0.25">
      <c r="R180" s="26"/>
    </row>
    <row r="181" spans="18:18" ht="10.5" customHeight="1" x14ac:dyDescent="0.25"/>
  </sheetData>
  <mergeCells count="85">
    <mergeCell ref="D6:Q6"/>
    <mergeCell ref="D27:P27"/>
    <mergeCell ref="D1:Q1"/>
    <mergeCell ref="D2:Q2"/>
    <mergeCell ref="D3:Q3"/>
    <mergeCell ref="D4:Q4"/>
    <mergeCell ref="D5:Q5"/>
    <mergeCell ref="D20:Q20"/>
    <mergeCell ref="D8:K8"/>
    <mergeCell ref="D9:K9"/>
    <mergeCell ref="D10:Q10"/>
    <mergeCell ref="D12:Q12"/>
    <mergeCell ref="D13:Q13"/>
    <mergeCell ref="D14:Q14"/>
    <mergeCell ref="D15:J17"/>
    <mergeCell ref="K15:Q15"/>
    <mergeCell ref="L16:P16"/>
    <mergeCell ref="Q16:Q17"/>
    <mergeCell ref="D18:J18"/>
    <mergeCell ref="D46:D47"/>
    <mergeCell ref="D21:Q21"/>
    <mergeCell ref="D22:J22"/>
    <mergeCell ref="K22:P22"/>
    <mergeCell ref="Q22:Q23"/>
    <mergeCell ref="D24:P24"/>
    <mergeCell ref="D25:D26"/>
    <mergeCell ref="D28:D29"/>
    <mergeCell ref="D31:D32"/>
    <mergeCell ref="D34:D35"/>
    <mergeCell ref="D37:D38"/>
    <mergeCell ref="D43:D44"/>
    <mergeCell ref="D30:P30"/>
    <mergeCell ref="D33:P33"/>
    <mergeCell ref="D36:P36"/>
    <mergeCell ref="D39:P39"/>
    <mergeCell ref="D62:D63"/>
    <mergeCell ref="D40:D41"/>
    <mergeCell ref="D42:P42"/>
    <mergeCell ref="D45:P45"/>
    <mergeCell ref="D48:P48"/>
    <mergeCell ref="D51:P51"/>
    <mergeCell ref="D64:D65"/>
    <mergeCell ref="D66:D67"/>
    <mergeCell ref="D68:D69"/>
    <mergeCell ref="D70:D71"/>
    <mergeCell ref="D52:D53"/>
    <mergeCell ref="D54:D55"/>
    <mergeCell ref="D56:D57"/>
    <mergeCell ref="D58:D59"/>
    <mergeCell ref="D60:D61"/>
    <mergeCell ref="D86:D87"/>
    <mergeCell ref="D88:D89"/>
    <mergeCell ref="D90:D91"/>
    <mergeCell ref="D92:D93"/>
    <mergeCell ref="D94:D95"/>
    <mergeCell ref="D76:D77"/>
    <mergeCell ref="D78:D79"/>
    <mergeCell ref="D80:D81"/>
    <mergeCell ref="D82:D83"/>
    <mergeCell ref="D84:D85"/>
    <mergeCell ref="D72:D73"/>
    <mergeCell ref="D49:D50"/>
    <mergeCell ref="D120:D121"/>
    <mergeCell ref="D98:D99"/>
    <mergeCell ref="D100:D101"/>
    <mergeCell ref="D102:D103"/>
    <mergeCell ref="D104:D105"/>
    <mergeCell ref="D106:D107"/>
    <mergeCell ref="D108:D109"/>
    <mergeCell ref="D110:D111"/>
    <mergeCell ref="D112:D113"/>
    <mergeCell ref="D114:D115"/>
    <mergeCell ref="D116:D117"/>
    <mergeCell ref="D118:D119"/>
    <mergeCell ref="D96:D97"/>
    <mergeCell ref="D74:D75"/>
    <mergeCell ref="D134:D135"/>
    <mergeCell ref="D136:D137"/>
    <mergeCell ref="D138:D139"/>
    <mergeCell ref="D122:D123"/>
    <mergeCell ref="D124:D125"/>
    <mergeCell ref="D126:D127"/>
    <mergeCell ref="D128:D129"/>
    <mergeCell ref="D130:D131"/>
    <mergeCell ref="D132:D13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3" fitToHeight="5" orientation="portrait" r:id="rId1"/>
  <headerFooter>
    <oddFooter>&amp;C&amp;8Rua Ferreira Pena, 1.109 – Centro – Manaus/AM – Cel: (0**92) 98415-0793, Fone: (0**92) 3306-0045 – e-mail: enge.ifam@ifam.edu.br 
DIRETORIA DE INFRAESTURURA - DINFRA&amp;R&amp;9Página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5">
    <tabColor theme="3" tint="0.59999389629810485"/>
    <pageSetUpPr fitToPage="1"/>
  </sheetPr>
  <dimension ref="A1:X327"/>
  <sheetViews>
    <sheetView view="pageBreakPreview" topLeftCell="A16" zoomScale="90" zoomScaleNormal="100" zoomScaleSheetLayoutView="90" workbookViewId="0">
      <pane ySplit="8" topLeftCell="A201" activePane="bottomLeft" state="frozen"/>
      <selection activeCell="A16" sqref="A16"/>
      <selection pane="bottomLeft" activeCell="R18" sqref="R18:W18"/>
    </sheetView>
  </sheetViews>
  <sheetFormatPr defaultColWidth="9.109375" defaultRowHeight="13.2" x14ac:dyDescent="0.25"/>
  <cols>
    <col min="1" max="1" width="5.44140625" style="82" customWidth="1"/>
    <col min="2" max="3" width="9.109375" style="82" customWidth="1"/>
    <col min="4" max="4" width="9.109375" style="82"/>
    <col min="5" max="5" width="14.6640625" style="82" customWidth="1"/>
    <col min="6" max="8" width="9.109375" style="82"/>
    <col min="9" max="9" width="10.33203125" style="82" bestFit="1" customWidth="1"/>
    <col min="10" max="10" width="14.33203125" style="82" bestFit="1" customWidth="1"/>
    <col min="11" max="16" width="9.109375" style="82"/>
    <col min="17" max="17" width="15.44140625" style="82" customWidth="1"/>
    <col min="18" max="16384" width="9.109375" style="82"/>
  </cols>
  <sheetData>
    <row r="1" spans="1:17" ht="12.9" customHeight="1" x14ac:dyDescent="0.25">
      <c r="B1" s="83"/>
      <c r="C1" s="83"/>
      <c r="D1" s="656" t="s">
        <v>36</v>
      </c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</row>
    <row r="2" spans="1:17" ht="12.9" customHeight="1" x14ac:dyDescent="0.25">
      <c r="B2" s="83"/>
      <c r="C2" s="83"/>
      <c r="D2" s="656" t="s">
        <v>37</v>
      </c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</row>
    <row r="3" spans="1:17" ht="12.9" customHeight="1" x14ac:dyDescent="0.25">
      <c r="B3" s="83"/>
      <c r="C3" s="83"/>
      <c r="D3" s="656" t="s">
        <v>39</v>
      </c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</row>
    <row r="4" spans="1:17" ht="12.9" customHeight="1" x14ac:dyDescent="0.25">
      <c r="B4" s="83"/>
      <c r="C4" s="83"/>
      <c r="D4" s="656" t="s">
        <v>38</v>
      </c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</row>
    <row r="5" spans="1:17" ht="12.9" customHeight="1" x14ac:dyDescent="0.25">
      <c r="B5" s="83"/>
      <c r="C5" s="83"/>
      <c r="D5" s="656" t="s">
        <v>109</v>
      </c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</row>
    <row r="6" spans="1:17" ht="12.9" customHeight="1" x14ac:dyDescent="0.25">
      <c r="B6" s="83"/>
      <c r="C6" s="83"/>
      <c r="D6" s="656" t="s">
        <v>110</v>
      </c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</row>
    <row r="7" spans="1:17" ht="5.0999999999999996" customHeight="1" x14ac:dyDescent="0.25">
      <c r="B7" s="83"/>
      <c r="C7" s="83"/>
      <c r="D7" s="84"/>
      <c r="E7" s="84"/>
      <c r="F7" s="84"/>
      <c r="G7" s="84"/>
      <c r="H7" s="84"/>
      <c r="I7" s="84"/>
      <c r="J7" s="84"/>
      <c r="K7" s="84"/>
      <c r="L7" s="84"/>
      <c r="M7" s="110"/>
      <c r="N7" s="84"/>
      <c r="O7" s="84"/>
      <c r="P7" s="84"/>
      <c r="Q7" s="84"/>
    </row>
    <row r="8" spans="1:17" ht="12.9" customHeight="1" x14ac:dyDescent="0.25">
      <c r="B8" s="83"/>
      <c r="C8" s="83"/>
      <c r="D8" s="696" t="s">
        <v>1239</v>
      </c>
      <c r="E8" s="696"/>
      <c r="F8" s="696"/>
      <c r="G8" s="696"/>
      <c r="H8" s="696"/>
      <c r="I8" s="696"/>
      <c r="J8" s="696"/>
      <c r="K8" s="696"/>
      <c r="L8" s="84"/>
      <c r="M8" s="110"/>
      <c r="N8" s="84"/>
      <c r="O8" s="84"/>
      <c r="P8" s="84"/>
    </row>
    <row r="9" spans="1:17" ht="12.9" customHeight="1" x14ac:dyDescent="0.25">
      <c r="A9" s="84"/>
      <c r="B9" s="84"/>
      <c r="C9" s="84"/>
      <c r="D9" s="657" t="s">
        <v>1240</v>
      </c>
      <c r="E9" s="657"/>
      <c r="F9" s="657"/>
      <c r="G9" s="657"/>
      <c r="H9" s="657"/>
      <c r="I9" s="657"/>
      <c r="J9" s="657"/>
      <c r="K9" s="657"/>
      <c r="L9" s="467"/>
      <c r="M9" s="188"/>
    </row>
    <row r="10" spans="1:17" ht="12.9" customHeight="1" x14ac:dyDescent="0.25">
      <c r="A10" s="110"/>
      <c r="B10" s="110"/>
      <c r="C10" s="110"/>
      <c r="D10" s="754" t="s">
        <v>91</v>
      </c>
      <c r="E10" s="754"/>
      <c r="F10" s="754"/>
      <c r="G10" s="754"/>
      <c r="H10" s="754"/>
      <c r="I10" s="754"/>
      <c r="J10" s="754"/>
      <c r="K10" s="754"/>
      <c r="L10" s="754"/>
      <c r="M10" s="754"/>
      <c r="N10" s="754"/>
      <c r="O10" s="754"/>
      <c r="P10" s="754"/>
      <c r="Q10" s="754"/>
    </row>
    <row r="11" spans="1:17" ht="5.0999999999999996" customHeight="1" thickBot="1" x14ac:dyDescent="0.3">
      <c r="A11" s="84"/>
      <c r="B11" s="84"/>
      <c r="C11" s="84"/>
      <c r="D11" s="96"/>
      <c r="E11" s="77"/>
      <c r="F11" s="77"/>
      <c r="G11" s="77"/>
      <c r="H11" s="77"/>
      <c r="I11" s="77"/>
      <c r="J11" s="77"/>
      <c r="K11" s="77"/>
      <c r="L11" s="77"/>
      <c r="M11" s="111"/>
    </row>
    <row r="12" spans="1:17" s="16" customFormat="1" ht="16.5" customHeight="1" thickTop="1" x14ac:dyDescent="0.25">
      <c r="D12" s="755" t="s">
        <v>58</v>
      </c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7"/>
    </row>
    <row r="13" spans="1:17" s="16" customFormat="1" ht="15.75" customHeight="1" x14ac:dyDescent="0.25">
      <c r="D13" s="758" t="str">
        <f>D8</f>
        <v>Obra: Construção do Campus de Manicoré</v>
      </c>
      <c r="E13" s="759"/>
      <c r="F13" s="759"/>
      <c r="G13" s="759"/>
      <c r="H13" s="759"/>
      <c r="I13" s="759"/>
      <c r="J13" s="759"/>
      <c r="K13" s="759"/>
      <c r="L13" s="759"/>
      <c r="M13" s="759"/>
      <c r="N13" s="759"/>
      <c r="O13" s="759"/>
      <c r="P13" s="759"/>
      <c r="Q13" s="760"/>
    </row>
    <row r="14" spans="1:17" s="16" customFormat="1" ht="15.75" customHeight="1" thickBot="1" x14ac:dyDescent="0.3">
      <c r="D14" s="761" t="s">
        <v>22</v>
      </c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3"/>
    </row>
    <row r="15" spans="1:17" s="16" customFormat="1" ht="15" customHeight="1" x14ac:dyDescent="0.25">
      <c r="D15" s="764" t="s">
        <v>17</v>
      </c>
      <c r="E15" s="765"/>
      <c r="F15" s="765"/>
      <c r="G15" s="765"/>
      <c r="H15" s="765"/>
      <c r="I15" s="765"/>
      <c r="J15" s="765"/>
      <c r="K15" s="770" t="s">
        <v>41</v>
      </c>
      <c r="L15" s="771"/>
      <c r="M15" s="771"/>
      <c r="N15" s="771"/>
      <c r="O15" s="771"/>
      <c r="P15" s="771"/>
      <c r="Q15" s="772"/>
    </row>
    <row r="16" spans="1:17" s="16" customFormat="1" ht="15" customHeight="1" x14ac:dyDescent="0.25">
      <c r="D16" s="766"/>
      <c r="E16" s="767"/>
      <c r="F16" s="767"/>
      <c r="G16" s="767"/>
      <c r="H16" s="767"/>
      <c r="I16" s="767"/>
      <c r="J16" s="767"/>
      <c r="K16" s="78" t="s">
        <v>43</v>
      </c>
      <c r="L16" s="735" t="s">
        <v>40</v>
      </c>
      <c r="M16" s="736"/>
      <c r="N16" s="736"/>
      <c r="O16" s="736"/>
      <c r="P16" s="736"/>
      <c r="Q16" s="737" t="s">
        <v>46</v>
      </c>
    </row>
    <row r="17" spans="1:24" s="16" customFormat="1" ht="15.75" customHeight="1" thickBot="1" x14ac:dyDescent="0.3">
      <c r="C17" s="16">
        <f>265.6*B21</f>
        <v>65.072000000000003</v>
      </c>
      <c r="D17" s="768"/>
      <c r="E17" s="769"/>
      <c r="F17" s="769"/>
      <c r="G17" s="769"/>
      <c r="H17" s="769"/>
      <c r="I17" s="769"/>
      <c r="J17" s="769"/>
      <c r="K17" s="59">
        <v>5</v>
      </c>
      <c r="L17" s="21">
        <v>6.3</v>
      </c>
      <c r="M17" s="21">
        <v>8</v>
      </c>
      <c r="N17" s="21">
        <v>10</v>
      </c>
      <c r="O17" s="21">
        <v>12.5</v>
      </c>
      <c r="P17" s="67">
        <v>16</v>
      </c>
      <c r="Q17" s="738"/>
      <c r="R17" s="59">
        <v>5</v>
      </c>
      <c r="S17" s="21">
        <v>6.3</v>
      </c>
      <c r="T17" s="21">
        <v>8</v>
      </c>
      <c r="U17" s="21">
        <v>10</v>
      </c>
      <c r="V17" s="21">
        <v>12.5</v>
      </c>
      <c r="W17" s="67">
        <v>16</v>
      </c>
      <c r="X17" s="16" t="s">
        <v>112</v>
      </c>
    </row>
    <row r="18" spans="1:24" s="16" customFormat="1" ht="12.75" customHeight="1" thickBot="1" x14ac:dyDescent="0.3">
      <c r="D18" s="739" t="s">
        <v>1237</v>
      </c>
      <c r="E18" s="740"/>
      <c r="F18" s="740"/>
      <c r="G18" s="740"/>
      <c r="H18" s="740"/>
      <c r="I18" s="740"/>
      <c r="J18" s="740"/>
      <c r="K18" s="101">
        <f t="shared" ref="K18:P18" si="0">K287</f>
        <v>22.397759999999998</v>
      </c>
      <c r="L18" s="102">
        <f t="shared" si="0"/>
        <v>223.72910000000002</v>
      </c>
      <c r="M18" s="102">
        <f t="shared" si="0"/>
        <v>3153.9802</v>
      </c>
      <c r="N18" s="102">
        <f t="shared" si="0"/>
        <v>199.43908000000002</v>
      </c>
      <c r="O18" s="102">
        <f t="shared" si="0"/>
        <v>898.06490999999983</v>
      </c>
      <c r="P18" s="103">
        <f t="shared" si="0"/>
        <v>403.33680000000004</v>
      </c>
      <c r="Q18" s="104">
        <f>SUM(K18:P18)</f>
        <v>4900.9478499999996</v>
      </c>
      <c r="R18" s="16">
        <v>22.397759999999998</v>
      </c>
      <c r="S18" s="16">
        <v>223.72910000000002</v>
      </c>
      <c r="T18" s="16">
        <v>3153.9802</v>
      </c>
      <c r="U18" s="16">
        <v>199.43908000000002</v>
      </c>
      <c r="V18" s="16">
        <v>898.06490999999983</v>
      </c>
      <c r="W18" s="16">
        <v>403.33680000000004</v>
      </c>
    </row>
    <row r="19" spans="1:24" ht="13.8" thickBot="1" x14ac:dyDescent="0.3">
      <c r="A19" s="16" t="s">
        <v>31</v>
      </c>
      <c r="B19" s="16">
        <v>0.11</v>
      </c>
      <c r="R19" s="547">
        <f>K18-R18</f>
        <v>0</v>
      </c>
      <c r="S19" s="547">
        <f t="shared" ref="S19:W19" si="1">L18-S18</f>
        <v>0</v>
      </c>
      <c r="T19" s="547">
        <f t="shared" si="1"/>
        <v>0</v>
      </c>
      <c r="U19" s="547">
        <f t="shared" si="1"/>
        <v>0</v>
      </c>
      <c r="V19" s="547">
        <f t="shared" si="1"/>
        <v>0</v>
      </c>
      <c r="W19" s="547">
        <f t="shared" si="1"/>
        <v>0</v>
      </c>
    </row>
    <row r="20" spans="1:24" s="16" customFormat="1" ht="13.8" thickTop="1" x14ac:dyDescent="0.25">
      <c r="A20" s="16" t="s">
        <v>23</v>
      </c>
      <c r="B20" s="16">
        <v>0.154</v>
      </c>
      <c r="D20" s="751" t="s">
        <v>1238</v>
      </c>
      <c r="E20" s="752"/>
      <c r="F20" s="752"/>
      <c r="G20" s="752"/>
      <c r="H20" s="752"/>
      <c r="I20" s="752"/>
      <c r="J20" s="752"/>
      <c r="K20" s="752"/>
      <c r="L20" s="752"/>
      <c r="M20" s="752"/>
      <c r="N20" s="752"/>
      <c r="O20" s="752"/>
      <c r="P20" s="752"/>
      <c r="Q20" s="753"/>
    </row>
    <row r="21" spans="1:24" s="16" customFormat="1" ht="13.8" thickBot="1" x14ac:dyDescent="0.3">
      <c r="A21" s="16" t="s">
        <v>24</v>
      </c>
      <c r="B21" s="16">
        <v>0.245</v>
      </c>
      <c r="D21" s="741" t="str">
        <f>D8</f>
        <v>Obra: Construção do Campus de Manicoré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3"/>
    </row>
    <row r="22" spans="1:24" s="16" customFormat="1" ht="15" customHeight="1" x14ac:dyDescent="0.25">
      <c r="A22" s="16" t="s">
        <v>25</v>
      </c>
      <c r="B22" s="16">
        <v>0.39500000000000002</v>
      </c>
      <c r="D22" s="744" t="s">
        <v>17</v>
      </c>
      <c r="E22" s="745"/>
      <c r="F22" s="745"/>
      <c r="G22" s="745"/>
      <c r="H22" s="745"/>
      <c r="I22" s="745"/>
      <c r="J22" s="745"/>
      <c r="K22" s="746" t="s">
        <v>41</v>
      </c>
      <c r="L22" s="747"/>
      <c r="M22" s="747"/>
      <c r="N22" s="747"/>
      <c r="O22" s="747"/>
      <c r="P22" s="748"/>
      <c r="Q22" s="749" t="s">
        <v>45</v>
      </c>
    </row>
    <row r="23" spans="1:24" s="16" customFormat="1" ht="13.8" thickBot="1" x14ac:dyDescent="0.3">
      <c r="A23" s="16" t="s">
        <v>26</v>
      </c>
      <c r="B23" s="16">
        <v>0.61699999999999999</v>
      </c>
      <c r="D23" s="68" t="s">
        <v>44</v>
      </c>
      <c r="E23" s="70" t="s">
        <v>47</v>
      </c>
      <c r="F23" s="166" t="s">
        <v>19</v>
      </c>
      <c r="G23" s="167" t="s">
        <v>20</v>
      </c>
      <c r="H23" s="167" t="s">
        <v>21</v>
      </c>
      <c r="I23" s="168" t="s">
        <v>32</v>
      </c>
      <c r="J23" s="168" t="s">
        <v>33</v>
      </c>
      <c r="K23" s="169">
        <v>5</v>
      </c>
      <c r="L23" s="170">
        <v>6.3</v>
      </c>
      <c r="M23" s="170">
        <v>8</v>
      </c>
      <c r="N23" s="170">
        <v>10</v>
      </c>
      <c r="O23" s="170">
        <v>12.5</v>
      </c>
      <c r="P23" s="171">
        <v>16</v>
      </c>
      <c r="Q23" s="750"/>
    </row>
    <row r="24" spans="1:24" s="16" customFormat="1" ht="13.8" thickBot="1" x14ac:dyDescent="0.3">
      <c r="D24" s="732" t="s">
        <v>195</v>
      </c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4"/>
      <c r="Q24" s="526"/>
    </row>
    <row r="25" spans="1:24" s="16" customFormat="1" ht="25.2" customHeight="1" thickBot="1" x14ac:dyDescent="0.3">
      <c r="A25" s="16" t="s">
        <v>27</v>
      </c>
      <c r="B25" s="16">
        <v>0.96299999999999997</v>
      </c>
      <c r="C25" s="34"/>
      <c r="D25" s="730" t="s">
        <v>1243</v>
      </c>
      <c r="E25" s="275" t="s">
        <v>1237</v>
      </c>
      <c r="F25" s="190">
        <v>15</v>
      </c>
      <c r="G25" s="191">
        <f>6*6</f>
        <v>36</v>
      </c>
      <c r="H25" s="192">
        <v>8</v>
      </c>
      <c r="I25" s="193">
        <v>2.56</v>
      </c>
      <c r="J25" s="276">
        <f t="shared" ref="J25:J31" si="2">G25*I25</f>
        <v>92.16</v>
      </c>
      <c r="K25" s="65">
        <f t="shared" ref="K25:K285" si="3">IF($H25=5,$J25*$B$20,0)</f>
        <v>0</v>
      </c>
      <c r="L25" s="64">
        <f t="shared" ref="L25:L285" si="4">IF($H25=6.3,$J25*$B$21,0)</f>
        <v>0</v>
      </c>
      <c r="M25" s="64">
        <f t="shared" ref="M25:M30" si="5">IF($H25=8,$J25*$B$22,0)</f>
        <v>36.403199999999998</v>
      </c>
      <c r="N25" s="64">
        <f t="shared" ref="N25:N30" si="6">IF($H25=10,$J25*$B$23,0)</f>
        <v>0</v>
      </c>
      <c r="O25" s="64">
        <f t="shared" ref="O25:O285" si="7">IF($H25=12.5,$J25*$B$25,0)</f>
        <v>0</v>
      </c>
      <c r="P25" s="121">
        <f t="shared" ref="P25:P30" si="8">IF($H25=16,$J25*$B$31,0)</f>
        <v>0</v>
      </c>
      <c r="Q25" s="69"/>
      <c r="S25" s="16">
        <f>SUMIF($H$25:$H$359,8,$J$25:$J$359)</f>
        <v>7984.7599999999993</v>
      </c>
    </row>
    <row r="26" spans="1:24" s="16" customFormat="1" ht="25.2" customHeight="1" thickBot="1" x14ac:dyDescent="0.3">
      <c r="C26" s="34"/>
      <c r="D26" s="729"/>
      <c r="E26" s="349" t="s">
        <v>1237</v>
      </c>
      <c r="F26" s="246">
        <v>16</v>
      </c>
      <c r="G26" s="247">
        <f>6*2</f>
        <v>12</v>
      </c>
      <c r="H26" s="248">
        <v>8</v>
      </c>
      <c r="I26" s="249">
        <v>2.6</v>
      </c>
      <c r="J26" s="294">
        <f t="shared" si="2"/>
        <v>31.200000000000003</v>
      </c>
      <c r="K26" s="296">
        <f t="shared" si="3"/>
        <v>0</v>
      </c>
      <c r="L26" s="297">
        <f t="shared" si="4"/>
        <v>0</v>
      </c>
      <c r="M26" s="295">
        <f t="shared" si="5"/>
        <v>12.324000000000002</v>
      </c>
      <c r="N26" s="297">
        <f t="shared" si="6"/>
        <v>0</v>
      </c>
      <c r="O26" s="297">
        <f t="shared" si="7"/>
        <v>0</v>
      </c>
      <c r="P26" s="298">
        <f t="shared" si="8"/>
        <v>0</v>
      </c>
      <c r="Q26" s="250"/>
    </row>
    <row r="27" spans="1:24" s="16" customFormat="1" ht="13.8" thickTop="1" x14ac:dyDescent="0.25">
      <c r="C27" s="34"/>
      <c r="D27" s="728" t="s">
        <v>1244</v>
      </c>
      <c r="E27" s="773" t="s">
        <v>1237</v>
      </c>
      <c r="F27" s="255">
        <v>11</v>
      </c>
      <c r="G27" s="256">
        <f>2*2</f>
        <v>4</v>
      </c>
      <c r="H27" s="257">
        <v>6.3</v>
      </c>
      <c r="I27" s="258">
        <v>2.1800000000000002</v>
      </c>
      <c r="J27" s="350">
        <f t="shared" si="2"/>
        <v>8.7200000000000006</v>
      </c>
      <c r="K27" s="351">
        <f t="shared" si="3"/>
        <v>0</v>
      </c>
      <c r="L27" s="352">
        <f t="shared" si="4"/>
        <v>2.1364000000000001</v>
      </c>
      <c r="M27" s="353">
        <f t="shared" si="5"/>
        <v>0</v>
      </c>
      <c r="N27" s="352">
        <f t="shared" si="6"/>
        <v>0</v>
      </c>
      <c r="O27" s="352">
        <f t="shared" si="7"/>
        <v>0</v>
      </c>
      <c r="P27" s="354">
        <f t="shared" si="8"/>
        <v>0</v>
      </c>
      <c r="Q27" s="250"/>
    </row>
    <row r="28" spans="1:24" s="16" customFormat="1" ht="14.4" customHeight="1" x14ac:dyDescent="0.25">
      <c r="C28" s="34"/>
      <c r="D28" s="729"/>
      <c r="E28" s="774"/>
      <c r="F28" s="532">
        <v>12</v>
      </c>
      <c r="G28" s="533">
        <f>5*2</f>
        <v>10</v>
      </c>
      <c r="H28" s="534">
        <v>8</v>
      </c>
      <c r="I28" s="535">
        <v>4.96</v>
      </c>
      <c r="J28" s="536">
        <f t="shared" si="2"/>
        <v>49.6</v>
      </c>
      <c r="K28" s="296">
        <f t="shared" si="3"/>
        <v>0</v>
      </c>
      <c r="L28" s="297">
        <f t="shared" si="4"/>
        <v>0</v>
      </c>
      <c r="M28" s="295">
        <f t="shared" si="5"/>
        <v>19.592000000000002</v>
      </c>
      <c r="N28" s="297">
        <f t="shared" si="6"/>
        <v>0</v>
      </c>
      <c r="O28" s="297">
        <f t="shared" si="7"/>
        <v>0</v>
      </c>
      <c r="P28" s="298">
        <f t="shared" si="8"/>
        <v>0</v>
      </c>
      <c r="Q28" s="250"/>
    </row>
    <row r="29" spans="1:24" s="16" customFormat="1" ht="14.4" customHeight="1" x14ac:dyDescent="0.25">
      <c r="C29" s="34"/>
      <c r="D29" s="729"/>
      <c r="E29" s="774"/>
      <c r="F29" s="532">
        <v>13</v>
      </c>
      <c r="G29" s="533">
        <f>4*2</f>
        <v>8</v>
      </c>
      <c r="H29" s="534">
        <v>8</v>
      </c>
      <c r="I29" s="535">
        <v>1.93</v>
      </c>
      <c r="J29" s="536">
        <f t="shared" si="2"/>
        <v>15.44</v>
      </c>
      <c r="K29" s="296">
        <f t="shared" si="3"/>
        <v>0</v>
      </c>
      <c r="L29" s="297">
        <f t="shared" si="4"/>
        <v>0</v>
      </c>
      <c r="M29" s="295">
        <f t="shared" si="5"/>
        <v>6.0987999999999998</v>
      </c>
      <c r="N29" s="297">
        <f t="shared" si="6"/>
        <v>0</v>
      </c>
      <c r="O29" s="297">
        <f t="shared" si="7"/>
        <v>0</v>
      </c>
      <c r="P29" s="298">
        <f t="shared" si="8"/>
        <v>0</v>
      </c>
      <c r="Q29" s="250"/>
    </row>
    <row r="30" spans="1:24" s="16" customFormat="1" ht="14.4" customHeight="1" x14ac:dyDescent="0.25">
      <c r="C30" s="34"/>
      <c r="D30" s="729"/>
      <c r="E30" s="774"/>
      <c r="F30" s="532">
        <v>14</v>
      </c>
      <c r="G30" s="533">
        <f>8*2</f>
        <v>16</v>
      </c>
      <c r="H30" s="534">
        <v>8</v>
      </c>
      <c r="I30" s="535">
        <v>2.2200000000000002</v>
      </c>
      <c r="J30" s="536">
        <f t="shared" si="2"/>
        <v>35.520000000000003</v>
      </c>
      <c r="K30" s="296">
        <f t="shared" si="3"/>
        <v>0</v>
      </c>
      <c r="L30" s="297">
        <f t="shared" si="4"/>
        <v>0</v>
      </c>
      <c r="M30" s="295">
        <f t="shared" si="5"/>
        <v>14.030400000000002</v>
      </c>
      <c r="N30" s="297">
        <f t="shared" si="6"/>
        <v>0</v>
      </c>
      <c r="O30" s="297">
        <f t="shared" si="7"/>
        <v>0</v>
      </c>
      <c r="P30" s="298">
        <f t="shared" si="8"/>
        <v>0</v>
      </c>
      <c r="Q30" s="250"/>
    </row>
    <row r="31" spans="1:24" s="16" customFormat="1" ht="15" customHeight="1" thickBot="1" x14ac:dyDescent="0.3">
      <c r="A31" s="16" t="s">
        <v>28</v>
      </c>
      <c r="B31" s="16">
        <v>1.5780000000000001</v>
      </c>
      <c r="C31" s="34"/>
      <c r="D31" s="729"/>
      <c r="E31" s="775"/>
      <c r="F31" s="263">
        <v>36</v>
      </c>
      <c r="G31" s="247">
        <f>8*2</f>
        <v>16</v>
      </c>
      <c r="H31" s="248">
        <v>12.5</v>
      </c>
      <c r="I31" s="249">
        <v>2.65</v>
      </c>
      <c r="J31" s="294">
        <f t="shared" si="2"/>
        <v>42.4</v>
      </c>
      <c r="K31" s="221">
        <f t="shared" si="3"/>
        <v>0</v>
      </c>
      <c r="L31" s="222">
        <f t="shared" si="4"/>
        <v>0</v>
      </c>
      <c r="M31" s="222">
        <f t="shared" ref="M31:M285" si="9">IF($H31=8,$J31*$B$22,0)</f>
        <v>0</v>
      </c>
      <c r="N31" s="222">
        <f t="shared" ref="N31:N285" si="10">IF($H31=10,$J31*$B$23,0)</f>
        <v>0</v>
      </c>
      <c r="O31" s="222">
        <f t="shared" si="7"/>
        <v>40.831199999999995</v>
      </c>
      <c r="P31" s="355">
        <f t="shared" ref="P31:P42" si="11">IF($H31=16,$J31*$B$31,0)</f>
        <v>0</v>
      </c>
      <c r="Q31" s="250"/>
      <c r="S31" s="16">
        <f>SUMIF($H$25:$H$359,10,$J$25:$J$359)</f>
        <v>323.24</v>
      </c>
    </row>
    <row r="32" spans="1:24" s="16" customFormat="1" ht="13.8" thickBot="1" x14ac:dyDescent="0.3">
      <c r="D32" s="732" t="s">
        <v>196</v>
      </c>
      <c r="E32" s="733"/>
      <c r="F32" s="733"/>
      <c r="G32" s="733"/>
      <c r="H32" s="733"/>
      <c r="I32" s="733"/>
      <c r="J32" s="733"/>
      <c r="K32" s="733"/>
      <c r="L32" s="733"/>
      <c r="M32" s="733"/>
      <c r="N32" s="733"/>
      <c r="O32" s="733"/>
      <c r="P32" s="734"/>
      <c r="Q32" s="529"/>
    </row>
    <row r="33" spans="1:19" s="16" customFormat="1" ht="14.4" thickTop="1" thickBot="1" x14ac:dyDescent="0.3">
      <c r="A33" s="16" t="s">
        <v>29</v>
      </c>
      <c r="B33" s="16">
        <v>2.4660000000000002</v>
      </c>
      <c r="C33" s="34"/>
      <c r="D33" s="730" t="s">
        <v>1268</v>
      </c>
      <c r="E33" s="358" t="s">
        <v>1237</v>
      </c>
      <c r="F33" s="255">
        <v>11</v>
      </c>
      <c r="G33" s="256">
        <f>15*7</f>
        <v>105</v>
      </c>
      <c r="H33" s="257">
        <v>8</v>
      </c>
      <c r="I33" s="258">
        <v>2.56</v>
      </c>
      <c r="J33" s="350">
        <f t="shared" ref="J33:J285" si="12">G33*I33</f>
        <v>268.8</v>
      </c>
      <c r="K33" s="259">
        <f t="shared" si="3"/>
        <v>0</v>
      </c>
      <c r="L33" s="260">
        <f t="shared" si="4"/>
        <v>0</v>
      </c>
      <c r="M33" s="219">
        <f t="shared" si="9"/>
        <v>106.17600000000002</v>
      </c>
      <c r="N33" s="260">
        <f t="shared" si="10"/>
        <v>0</v>
      </c>
      <c r="O33" s="260">
        <f t="shared" si="7"/>
        <v>0</v>
      </c>
      <c r="P33" s="261">
        <f t="shared" si="11"/>
        <v>0</v>
      </c>
      <c r="Q33" s="262"/>
      <c r="S33" s="16">
        <f>SUMIF($H$25:$H$359,12.5,$J$25:$J$359)</f>
        <v>932.57000000000016</v>
      </c>
    </row>
    <row r="34" spans="1:19" s="16" customFormat="1" ht="13.8" thickBot="1" x14ac:dyDescent="0.3">
      <c r="C34" s="34"/>
      <c r="D34" s="729"/>
      <c r="E34" s="531" t="s">
        <v>1237</v>
      </c>
      <c r="F34" s="532">
        <v>12</v>
      </c>
      <c r="G34" s="533">
        <f>15*2</f>
        <v>30</v>
      </c>
      <c r="H34" s="534">
        <v>8</v>
      </c>
      <c r="I34" s="535">
        <v>2.6</v>
      </c>
      <c r="J34" s="536">
        <f t="shared" ref="J34" si="13">G34*I34</f>
        <v>78</v>
      </c>
      <c r="K34" s="296">
        <f t="shared" si="3"/>
        <v>0</v>
      </c>
      <c r="L34" s="297">
        <f t="shared" si="4"/>
        <v>0</v>
      </c>
      <c r="M34" s="295">
        <f t="shared" si="9"/>
        <v>30.810000000000002</v>
      </c>
      <c r="N34" s="297">
        <f t="shared" si="10"/>
        <v>0</v>
      </c>
      <c r="O34" s="297">
        <f t="shared" si="7"/>
        <v>0</v>
      </c>
      <c r="P34" s="298">
        <f t="shared" si="11"/>
        <v>0</v>
      </c>
      <c r="Q34" s="299"/>
    </row>
    <row r="35" spans="1:19" s="16" customFormat="1" ht="13.8" thickBot="1" x14ac:dyDescent="0.3">
      <c r="C35" s="34"/>
      <c r="D35" s="729"/>
      <c r="E35" s="349" t="s">
        <v>1237</v>
      </c>
      <c r="F35" s="246">
        <v>13</v>
      </c>
      <c r="G35" s="247">
        <f>15*2</f>
        <v>30</v>
      </c>
      <c r="H35" s="248">
        <v>8</v>
      </c>
      <c r="I35" s="249">
        <v>2.08</v>
      </c>
      <c r="J35" s="294">
        <f t="shared" si="12"/>
        <v>62.400000000000006</v>
      </c>
      <c r="K35" s="296">
        <f t="shared" si="3"/>
        <v>0</v>
      </c>
      <c r="L35" s="297">
        <f t="shared" si="4"/>
        <v>0</v>
      </c>
      <c r="M35" s="295">
        <f t="shared" si="9"/>
        <v>24.648000000000003</v>
      </c>
      <c r="N35" s="297">
        <f t="shared" si="10"/>
        <v>0</v>
      </c>
      <c r="O35" s="297">
        <f t="shared" si="7"/>
        <v>0</v>
      </c>
      <c r="P35" s="298">
        <f t="shared" si="11"/>
        <v>0</v>
      </c>
      <c r="Q35" s="299"/>
    </row>
    <row r="36" spans="1:19" s="16" customFormat="1" ht="13.8" thickBot="1" x14ac:dyDescent="0.3">
      <c r="D36" s="732" t="s">
        <v>1284</v>
      </c>
      <c r="E36" s="733"/>
      <c r="F36" s="733"/>
      <c r="G36" s="733"/>
      <c r="H36" s="733"/>
      <c r="I36" s="733"/>
      <c r="J36" s="733"/>
      <c r="K36" s="733"/>
      <c r="L36" s="733"/>
      <c r="M36" s="733"/>
      <c r="N36" s="733"/>
      <c r="O36" s="733"/>
      <c r="P36" s="734"/>
      <c r="Q36" s="543"/>
    </row>
    <row r="37" spans="1:19" s="16" customFormat="1" ht="14.4" thickTop="1" thickBot="1" x14ac:dyDescent="0.3">
      <c r="C37" s="34"/>
      <c r="D37" s="728" t="s">
        <v>1285</v>
      </c>
      <c r="E37" s="358" t="s">
        <v>1237</v>
      </c>
      <c r="F37" s="255">
        <v>1</v>
      </c>
      <c r="G37" s="256">
        <f>6*4</f>
        <v>24</v>
      </c>
      <c r="H37" s="257">
        <v>5</v>
      </c>
      <c r="I37" s="258">
        <v>2.66</v>
      </c>
      <c r="J37" s="350">
        <f t="shared" si="12"/>
        <v>63.84</v>
      </c>
      <c r="K37" s="351">
        <f t="shared" si="3"/>
        <v>9.8313600000000001</v>
      </c>
      <c r="L37" s="352">
        <f t="shared" si="4"/>
        <v>0</v>
      </c>
      <c r="M37" s="353">
        <f t="shared" si="9"/>
        <v>0</v>
      </c>
      <c r="N37" s="352">
        <f t="shared" si="10"/>
        <v>0</v>
      </c>
      <c r="O37" s="352">
        <f t="shared" si="7"/>
        <v>0</v>
      </c>
      <c r="P37" s="354">
        <f t="shared" si="11"/>
        <v>0</v>
      </c>
      <c r="Q37" s="299"/>
    </row>
    <row r="38" spans="1:19" s="16" customFormat="1" ht="13.8" thickBot="1" x14ac:dyDescent="0.3">
      <c r="C38" s="34"/>
      <c r="D38" s="729"/>
      <c r="E38" s="545" t="s">
        <v>1237</v>
      </c>
      <c r="F38" s="550">
        <v>13</v>
      </c>
      <c r="G38" s="551">
        <f>6*5</f>
        <v>30</v>
      </c>
      <c r="H38" s="552">
        <v>8</v>
      </c>
      <c r="I38" s="553">
        <v>6</v>
      </c>
      <c r="J38" s="536">
        <f t="shared" ref="J38:J39" si="14">G38*I38</f>
        <v>180</v>
      </c>
      <c r="K38" s="296">
        <f t="shared" si="3"/>
        <v>0</v>
      </c>
      <c r="L38" s="297">
        <f t="shared" si="4"/>
        <v>0</v>
      </c>
      <c r="M38" s="295">
        <f t="shared" si="9"/>
        <v>71.100000000000009</v>
      </c>
      <c r="N38" s="297">
        <f t="shared" si="10"/>
        <v>0</v>
      </c>
      <c r="O38" s="297">
        <f t="shared" si="7"/>
        <v>0</v>
      </c>
      <c r="P38" s="298">
        <f t="shared" si="11"/>
        <v>0</v>
      </c>
      <c r="Q38" s="299"/>
    </row>
    <row r="39" spans="1:19" s="16" customFormat="1" ht="13.8" thickBot="1" x14ac:dyDescent="0.3">
      <c r="C39" s="34"/>
      <c r="D39" s="729"/>
      <c r="E39" s="549" t="s">
        <v>1237</v>
      </c>
      <c r="F39" s="550">
        <v>14</v>
      </c>
      <c r="G39" s="551">
        <f>6*4</f>
        <v>24</v>
      </c>
      <c r="H39" s="552">
        <v>8</v>
      </c>
      <c r="I39" s="553">
        <v>2.19</v>
      </c>
      <c r="J39" s="536">
        <f t="shared" si="14"/>
        <v>52.56</v>
      </c>
      <c r="K39" s="296">
        <f t="shared" si="3"/>
        <v>0</v>
      </c>
      <c r="L39" s="297">
        <f t="shared" si="4"/>
        <v>0</v>
      </c>
      <c r="M39" s="295">
        <f t="shared" si="9"/>
        <v>20.761200000000002</v>
      </c>
      <c r="N39" s="297">
        <f t="shared" si="10"/>
        <v>0</v>
      </c>
      <c r="O39" s="297">
        <f t="shared" si="7"/>
        <v>0</v>
      </c>
      <c r="P39" s="298">
        <f t="shared" si="11"/>
        <v>0</v>
      </c>
      <c r="Q39" s="299"/>
    </row>
    <row r="40" spans="1:19" s="16" customFormat="1" ht="13.8" thickBot="1" x14ac:dyDescent="0.3">
      <c r="C40" s="34"/>
      <c r="D40" s="729"/>
      <c r="E40" s="545" t="s">
        <v>1237</v>
      </c>
      <c r="F40" s="550">
        <v>15</v>
      </c>
      <c r="G40" s="551">
        <f>6*9</f>
        <v>54</v>
      </c>
      <c r="H40" s="552">
        <v>8</v>
      </c>
      <c r="I40" s="553">
        <v>2.84</v>
      </c>
      <c r="J40" s="536">
        <f t="shared" si="12"/>
        <v>153.35999999999999</v>
      </c>
      <c r="K40" s="296">
        <f t="shared" si="3"/>
        <v>0</v>
      </c>
      <c r="L40" s="297">
        <f t="shared" si="4"/>
        <v>0</v>
      </c>
      <c r="M40" s="295">
        <f t="shared" si="9"/>
        <v>60.577199999999998</v>
      </c>
      <c r="N40" s="297">
        <f t="shared" si="10"/>
        <v>0</v>
      </c>
      <c r="O40" s="297">
        <f t="shared" si="7"/>
        <v>0</v>
      </c>
      <c r="P40" s="298">
        <f t="shared" si="11"/>
        <v>0</v>
      </c>
      <c r="Q40" s="299"/>
    </row>
    <row r="41" spans="1:19" ht="13.8" thickBot="1" x14ac:dyDescent="0.3">
      <c r="A41" s="16" t="s">
        <v>30</v>
      </c>
      <c r="B41" s="16">
        <v>3.85</v>
      </c>
      <c r="D41" s="729"/>
      <c r="E41" s="356" t="s">
        <v>1237</v>
      </c>
      <c r="F41" s="263">
        <v>37</v>
      </c>
      <c r="G41" s="264">
        <f>6*7</f>
        <v>42</v>
      </c>
      <c r="H41" s="265">
        <v>12.5</v>
      </c>
      <c r="I41" s="266">
        <v>3.01</v>
      </c>
      <c r="J41" s="357">
        <f t="shared" si="12"/>
        <v>126.41999999999999</v>
      </c>
      <c r="K41" s="267">
        <f t="shared" si="3"/>
        <v>0</v>
      </c>
      <c r="L41" s="268">
        <f t="shared" si="4"/>
        <v>0</v>
      </c>
      <c r="M41" s="222">
        <f t="shared" si="9"/>
        <v>0</v>
      </c>
      <c r="N41" s="268">
        <f t="shared" si="10"/>
        <v>0</v>
      </c>
      <c r="O41" s="268">
        <f t="shared" si="7"/>
        <v>121.74245999999998</v>
      </c>
      <c r="P41" s="269">
        <f t="shared" si="11"/>
        <v>0</v>
      </c>
      <c r="Q41" s="270"/>
      <c r="R41" s="85"/>
      <c r="S41" s="16"/>
    </row>
    <row r="42" spans="1:19" ht="14.4" thickTop="1" thickBot="1" x14ac:dyDescent="0.3">
      <c r="D42" s="730" t="s">
        <v>1286</v>
      </c>
      <c r="E42" s="358" t="s">
        <v>1237</v>
      </c>
      <c r="F42" s="190">
        <v>16</v>
      </c>
      <c r="G42" s="191">
        <f>2*5</f>
        <v>10</v>
      </c>
      <c r="H42" s="192">
        <v>8</v>
      </c>
      <c r="I42" s="193">
        <v>2.56</v>
      </c>
      <c r="J42" s="350">
        <f t="shared" si="12"/>
        <v>25.6</v>
      </c>
      <c r="K42" s="251">
        <f t="shared" si="3"/>
        <v>0</v>
      </c>
      <c r="L42" s="252">
        <f t="shared" si="4"/>
        <v>0</v>
      </c>
      <c r="M42" s="196">
        <f t="shared" si="9"/>
        <v>10.112000000000002</v>
      </c>
      <c r="N42" s="252">
        <f t="shared" si="10"/>
        <v>0</v>
      </c>
      <c r="O42" s="252">
        <f t="shared" si="7"/>
        <v>0</v>
      </c>
      <c r="P42" s="253">
        <f t="shared" si="11"/>
        <v>0</v>
      </c>
      <c r="Q42" s="254"/>
      <c r="R42" s="26"/>
      <c r="S42" s="16"/>
    </row>
    <row r="43" spans="1:19" ht="13.8" thickBot="1" x14ac:dyDescent="0.3">
      <c r="D43" s="729"/>
      <c r="E43" s="349" t="s">
        <v>1237</v>
      </c>
      <c r="F43" s="246">
        <v>17</v>
      </c>
      <c r="G43" s="247">
        <f>2*2</f>
        <v>4</v>
      </c>
      <c r="H43" s="248">
        <v>8</v>
      </c>
      <c r="I43" s="249">
        <v>2.6</v>
      </c>
      <c r="J43" s="294">
        <f>G43*I43</f>
        <v>10.4</v>
      </c>
      <c r="K43" s="251">
        <f t="shared" si="3"/>
        <v>0</v>
      </c>
      <c r="L43" s="252">
        <f t="shared" si="4"/>
        <v>0</v>
      </c>
      <c r="M43" s="196">
        <f t="shared" si="9"/>
        <v>4.1080000000000005</v>
      </c>
      <c r="N43" s="252">
        <f t="shared" si="10"/>
        <v>0</v>
      </c>
      <c r="O43" s="252">
        <f t="shared" si="7"/>
        <v>0</v>
      </c>
      <c r="P43" s="253">
        <f t="shared" ref="P43:P285" si="15">IF($H43=16,$J43*$B$31,0)</f>
        <v>0</v>
      </c>
      <c r="Q43" s="299"/>
      <c r="R43" s="26"/>
      <c r="S43" s="16"/>
    </row>
    <row r="44" spans="1:19" ht="14.4" thickTop="1" thickBot="1" x14ac:dyDescent="0.3">
      <c r="D44" s="728" t="s">
        <v>1287</v>
      </c>
      <c r="E44" s="277"/>
      <c r="F44" s="255">
        <v>2</v>
      </c>
      <c r="G44" s="256">
        <v>8</v>
      </c>
      <c r="H44" s="257">
        <v>5</v>
      </c>
      <c r="I44" s="258">
        <v>2.4</v>
      </c>
      <c r="J44" s="350">
        <f>G44*I44</f>
        <v>19.2</v>
      </c>
      <c r="K44" s="351">
        <f t="shared" si="3"/>
        <v>2.9567999999999999</v>
      </c>
      <c r="L44" s="352">
        <f t="shared" si="4"/>
        <v>0</v>
      </c>
      <c r="M44" s="353">
        <f t="shared" si="9"/>
        <v>0</v>
      </c>
      <c r="N44" s="352">
        <f t="shared" si="10"/>
        <v>0</v>
      </c>
      <c r="O44" s="352">
        <f t="shared" si="7"/>
        <v>0</v>
      </c>
      <c r="P44" s="354">
        <f t="shared" si="15"/>
        <v>0</v>
      </c>
      <c r="Q44" s="299"/>
      <c r="R44" s="26"/>
      <c r="S44" s="16"/>
    </row>
    <row r="45" spans="1:19" s="16" customFormat="1" ht="13.8" thickBot="1" x14ac:dyDescent="0.3">
      <c r="C45" s="34"/>
      <c r="D45" s="729"/>
      <c r="E45" s="549" t="s">
        <v>1237</v>
      </c>
      <c r="F45" s="550">
        <v>18</v>
      </c>
      <c r="G45" s="551">
        <v>5</v>
      </c>
      <c r="H45" s="552">
        <v>8</v>
      </c>
      <c r="I45" s="553">
        <v>4.96</v>
      </c>
      <c r="J45" s="536">
        <f t="shared" ref="J45:J47" si="16">G45*I45</f>
        <v>24.8</v>
      </c>
      <c r="K45" s="296">
        <f t="shared" si="3"/>
        <v>0</v>
      </c>
      <c r="L45" s="297">
        <f t="shared" si="4"/>
        <v>0</v>
      </c>
      <c r="M45" s="295">
        <f t="shared" si="9"/>
        <v>9.7960000000000012</v>
      </c>
      <c r="N45" s="297">
        <f t="shared" si="10"/>
        <v>0</v>
      </c>
      <c r="O45" s="297">
        <f t="shared" si="7"/>
        <v>0</v>
      </c>
      <c r="P45" s="298">
        <f t="shared" si="15"/>
        <v>0</v>
      </c>
      <c r="Q45" s="299"/>
    </row>
    <row r="46" spans="1:19" s="16" customFormat="1" ht="13.8" thickBot="1" x14ac:dyDescent="0.3">
      <c r="C46" s="34"/>
      <c r="D46" s="729"/>
      <c r="E46" s="549" t="s">
        <v>1237</v>
      </c>
      <c r="F46" s="550">
        <v>19</v>
      </c>
      <c r="G46" s="551">
        <v>4</v>
      </c>
      <c r="H46" s="552">
        <v>8</v>
      </c>
      <c r="I46" s="553">
        <v>1.93</v>
      </c>
      <c r="J46" s="536">
        <f t="shared" si="16"/>
        <v>7.72</v>
      </c>
      <c r="K46" s="296">
        <f t="shared" si="3"/>
        <v>0</v>
      </c>
      <c r="L46" s="297">
        <f t="shared" si="4"/>
        <v>0</v>
      </c>
      <c r="M46" s="295">
        <f t="shared" si="9"/>
        <v>3.0493999999999999</v>
      </c>
      <c r="N46" s="297">
        <f t="shared" si="10"/>
        <v>0</v>
      </c>
      <c r="O46" s="297">
        <f t="shared" si="7"/>
        <v>0</v>
      </c>
      <c r="P46" s="298">
        <f t="shared" si="15"/>
        <v>0</v>
      </c>
      <c r="Q46" s="299"/>
    </row>
    <row r="47" spans="1:19" s="16" customFormat="1" ht="13.8" thickBot="1" x14ac:dyDescent="0.3">
      <c r="C47" s="34"/>
      <c r="D47" s="729"/>
      <c r="E47" s="545" t="s">
        <v>1237</v>
      </c>
      <c r="F47" s="550">
        <v>20</v>
      </c>
      <c r="G47" s="551">
        <v>8</v>
      </c>
      <c r="H47" s="552">
        <v>8</v>
      </c>
      <c r="I47" s="553">
        <v>2.12</v>
      </c>
      <c r="J47" s="536">
        <f t="shared" si="16"/>
        <v>16.96</v>
      </c>
      <c r="K47" s="296">
        <f t="shared" si="3"/>
        <v>0</v>
      </c>
      <c r="L47" s="297">
        <f t="shared" si="4"/>
        <v>0</v>
      </c>
      <c r="M47" s="295">
        <f t="shared" si="9"/>
        <v>6.6992000000000003</v>
      </c>
      <c r="N47" s="297">
        <f t="shared" si="10"/>
        <v>0</v>
      </c>
      <c r="O47" s="297">
        <f t="shared" si="7"/>
        <v>0</v>
      </c>
      <c r="P47" s="298">
        <f t="shared" si="15"/>
        <v>0</v>
      </c>
      <c r="Q47" s="299"/>
    </row>
    <row r="48" spans="1:19" ht="15" customHeight="1" thickBot="1" x14ac:dyDescent="0.3">
      <c r="D48" s="729"/>
      <c r="E48" s="356"/>
      <c r="F48" s="263">
        <v>39</v>
      </c>
      <c r="G48" s="264">
        <v>4</v>
      </c>
      <c r="H48" s="265">
        <v>16</v>
      </c>
      <c r="I48" s="266">
        <v>2.54</v>
      </c>
      <c r="J48" s="357">
        <f t="shared" ref="J48" si="17">G48*I48</f>
        <v>10.16</v>
      </c>
      <c r="K48" s="271">
        <f t="shared" si="3"/>
        <v>0</v>
      </c>
      <c r="L48" s="272">
        <f t="shared" si="4"/>
        <v>0</v>
      </c>
      <c r="M48" s="195">
        <f t="shared" si="9"/>
        <v>0</v>
      </c>
      <c r="N48" s="272">
        <f t="shared" si="10"/>
        <v>0</v>
      </c>
      <c r="O48" s="272">
        <f t="shared" si="7"/>
        <v>0</v>
      </c>
      <c r="P48" s="273">
        <f t="shared" si="15"/>
        <v>16.03248</v>
      </c>
      <c r="Q48" s="274"/>
      <c r="R48" s="26"/>
    </row>
    <row r="49" spans="1:19" ht="14.4" thickTop="1" thickBot="1" x14ac:dyDescent="0.3">
      <c r="D49" s="728" t="s">
        <v>1308</v>
      </c>
      <c r="E49" s="548" t="s">
        <v>1237</v>
      </c>
      <c r="F49" s="255">
        <v>1</v>
      </c>
      <c r="G49" s="256">
        <f>5*2</f>
        <v>10</v>
      </c>
      <c r="H49" s="257">
        <v>5</v>
      </c>
      <c r="I49" s="258">
        <v>2.4</v>
      </c>
      <c r="J49" s="350">
        <f>G49*I49</f>
        <v>24</v>
      </c>
      <c r="K49" s="351">
        <f t="shared" si="3"/>
        <v>3.6959999999999997</v>
      </c>
      <c r="L49" s="352">
        <f t="shared" si="4"/>
        <v>0</v>
      </c>
      <c r="M49" s="353">
        <f t="shared" si="9"/>
        <v>0</v>
      </c>
      <c r="N49" s="352">
        <f t="shared" si="10"/>
        <v>0</v>
      </c>
      <c r="O49" s="352">
        <f t="shared" si="7"/>
        <v>0</v>
      </c>
      <c r="P49" s="354">
        <f t="shared" si="15"/>
        <v>0</v>
      </c>
      <c r="Q49" s="299"/>
      <c r="R49" s="26"/>
      <c r="S49" s="16"/>
    </row>
    <row r="50" spans="1:19" s="16" customFormat="1" ht="13.8" thickBot="1" x14ac:dyDescent="0.3">
      <c r="C50" s="34"/>
      <c r="D50" s="729"/>
      <c r="E50" s="549" t="s">
        <v>1237</v>
      </c>
      <c r="F50" s="550">
        <v>8</v>
      </c>
      <c r="G50" s="551">
        <f>5*5</f>
        <v>25</v>
      </c>
      <c r="H50" s="552">
        <v>8</v>
      </c>
      <c r="I50" s="553">
        <v>4.96</v>
      </c>
      <c r="J50" s="536">
        <f t="shared" ref="J50:J52" si="18">G50*I50</f>
        <v>124</v>
      </c>
      <c r="K50" s="296">
        <f t="shared" si="3"/>
        <v>0</v>
      </c>
      <c r="L50" s="297">
        <f t="shared" si="4"/>
        <v>0</v>
      </c>
      <c r="M50" s="295">
        <f t="shared" si="9"/>
        <v>48.980000000000004</v>
      </c>
      <c r="N50" s="297">
        <f t="shared" si="10"/>
        <v>0</v>
      </c>
      <c r="O50" s="297">
        <f t="shared" si="7"/>
        <v>0</v>
      </c>
      <c r="P50" s="298">
        <f t="shared" si="15"/>
        <v>0</v>
      </c>
      <c r="Q50" s="299"/>
    </row>
    <row r="51" spans="1:19" s="16" customFormat="1" ht="13.8" thickBot="1" x14ac:dyDescent="0.3">
      <c r="C51" s="34"/>
      <c r="D51" s="729"/>
      <c r="E51" s="549" t="s">
        <v>1237</v>
      </c>
      <c r="F51" s="550">
        <v>9</v>
      </c>
      <c r="G51" s="551">
        <f>5*4</f>
        <v>20</v>
      </c>
      <c r="H51" s="552">
        <v>8</v>
      </c>
      <c r="I51" s="553">
        <v>1.93</v>
      </c>
      <c r="J51" s="536">
        <f t="shared" ref="J51" si="19">G51*I51</f>
        <v>38.6</v>
      </c>
      <c r="K51" s="296">
        <f t="shared" si="3"/>
        <v>0</v>
      </c>
      <c r="L51" s="297">
        <f t="shared" si="4"/>
        <v>0</v>
      </c>
      <c r="M51" s="295">
        <f t="shared" si="9"/>
        <v>15.247000000000002</v>
      </c>
      <c r="N51" s="297">
        <f t="shared" si="10"/>
        <v>0</v>
      </c>
      <c r="O51" s="297">
        <f t="shared" si="7"/>
        <v>0</v>
      </c>
      <c r="P51" s="298">
        <f t="shared" si="15"/>
        <v>0</v>
      </c>
      <c r="Q51" s="299"/>
    </row>
    <row r="52" spans="1:19" s="16" customFormat="1" ht="13.8" thickBot="1" x14ac:dyDescent="0.3">
      <c r="C52" s="34"/>
      <c r="D52" s="729"/>
      <c r="E52" s="549" t="s">
        <v>1237</v>
      </c>
      <c r="F52" s="550">
        <v>10</v>
      </c>
      <c r="G52" s="551">
        <f>5*8</f>
        <v>40</v>
      </c>
      <c r="H52" s="552">
        <v>8</v>
      </c>
      <c r="I52" s="553">
        <v>2.3199999999999998</v>
      </c>
      <c r="J52" s="536">
        <f t="shared" si="18"/>
        <v>92.8</v>
      </c>
      <c r="K52" s="296">
        <f t="shared" si="3"/>
        <v>0</v>
      </c>
      <c r="L52" s="297">
        <f t="shared" si="4"/>
        <v>0</v>
      </c>
      <c r="M52" s="295">
        <f t="shared" si="9"/>
        <v>36.655999999999999</v>
      </c>
      <c r="N52" s="297">
        <f t="shared" si="10"/>
        <v>0</v>
      </c>
      <c r="O52" s="297">
        <f t="shared" si="7"/>
        <v>0</v>
      </c>
      <c r="P52" s="298">
        <f t="shared" si="15"/>
        <v>0</v>
      </c>
      <c r="Q52" s="299"/>
    </row>
    <row r="53" spans="1:19" ht="15" customHeight="1" thickBot="1" x14ac:dyDescent="0.3">
      <c r="D53" s="729"/>
      <c r="E53" s="356" t="s">
        <v>1237</v>
      </c>
      <c r="F53" s="263">
        <v>12</v>
      </c>
      <c r="G53" s="264">
        <f>5*4</f>
        <v>20</v>
      </c>
      <c r="H53" s="265">
        <v>16</v>
      </c>
      <c r="I53" s="266">
        <v>2.74</v>
      </c>
      <c r="J53" s="357">
        <f t="shared" ref="J53" si="20">G53*I53</f>
        <v>54.800000000000004</v>
      </c>
      <c r="K53" s="271">
        <f t="shared" si="3"/>
        <v>0</v>
      </c>
      <c r="L53" s="272">
        <f t="shared" si="4"/>
        <v>0</v>
      </c>
      <c r="M53" s="195">
        <f t="shared" si="9"/>
        <v>0</v>
      </c>
      <c r="N53" s="272">
        <f t="shared" si="10"/>
        <v>0</v>
      </c>
      <c r="O53" s="272">
        <f t="shared" si="7"/>
        <v>0</v>
      </c>
      <c r="P53" s="273">
        <f t="shared" si="15"/>
        <v>86.474400000000017</v>
      </c>
      <c r="Q53" s="274"/>
      <c r="R53" s="26"/>
    </row>
    <row r="54" spans="1:19" ht="16.95" customHeight="1" thickTop="1" thickBot="1" x14ac:dyDescent="0.3">
      <c r="D54" s="728" t="s">
        <v>1312</v>
      </c>
      <c r="E54" s="548" t="s">
        <v>1237</v>
      </c>
      <c r="F54" s="255">
        <v>1</v>
      </c>
      <c r="G54" s="256">
        <f>8*2</f>
        <v>16</v>
      </c>
      <c r="H54" s="257">
        <v>5</v>
      </c>
      <c r="I54" s="258">
        <v>2.4</v>
      </c>
      <c r="J54" s="350">
        <f>G54*I54</f>
        <v>38.4</v>
      </c>
      <c r="K54" s="351">
        <f t="shared" si="3"/>
        <v>5.9135999999999997</v>
      </c>
      <c r="L54" s="352">
        <f t="shared" si="4"/>
        <v>0</v>
      </c>
      <c r="M54" s="353">
        <f t="shared" si="9"/>
        <v>0</v>
      </c>
      <c r="N54" s="352">
        <f t="shared" si="10"/>
        <v>0</v>
      </c>
      <c r="O54" s="352">
        <f t="shared" si="7"/>
        <v>0</v>
      </c>
      <c r="P54" s="354">
        <f t="shared" si="15"/>
        <v>0</v>
      </c>
      <c r="Q54" s="299"/>
      <c r="R54" s="26"/>
      <c r="S54" s="16"/>
    </row>
    <row r="55" spans="1:19" s="16" customFormat="1" ht="16.95" customHeight="1" thickBot="1" x14ac:dyDescent="0.3">
      <c r="C55" s="34"/>
      <c r="D55" s="729"/>
      <c r="E55" s="549" t="s">
        <v>1237</v>
      </c>
      <c r="F55" s="550">
        <v>11</v>
      </c>
      <c r="G55" s="551">
        <f>8*5</f>
        <v>40</v>
      </c>
      <c r="H55" s="552">
        <v>8</v>
      </c>
      <c r="I55" s="553">
        <v>4.96</v>
      </c>
      <c r="J55" s="536">
        <f t="shared" ref="J55:J58" si="21">G55*I55</f>
        <v>198.4</v>
      </c>
      <c r="K55" s="296">
        <f t="shared" si="3"/>
        <v>0</v>
      </c>
      <c r="L55" s="297">
        <f t="shared" si="4"/>
        <v>0</v>
      </c>
      <c r="M55" s="295">
        <f t="shared" si="9"/>
        <v>78.368000000000009</v>
      </c>
      <c r="N55" s="297">
        <f t="shared" si="10"/>
        <v>0</v>
      </c>
      <c r="O55" s="297">
        <f t="shared" si="7"/>
        <v>0</v>
      </c>
      <c r="P55" s="298">
        <f t="shared" si="15"/>
        <v>0</v>
      </c>
      <c r="Q55" s="299"/>
    </row>
    <row r="56" spans="1:19" s="16" customFormat="1" ht="16.95" customHeight="1" thickBot="1" x14ac:dyDescent="0.3">
      <c r="C56" s="34"/>
      <c r="D56" s="729"/>
      <c r="E56" s="549" t="s">
        <v>1237</v>
      </c>
      <c r="F56" s="550">
        <v>12</v>
      </c>
      <c r="G56" s="551">
        <f>8*5</f>
        <v>40</v>
      </c>
      <c r="H56" s="552">
        <v>8</v>
      </c>
      <c r="I56" s="553">
        <v>1.93</v>
      </c>
      <c r="J56" s="536">
        <f t="shared" si="21"/>
        <v>77.2</v>
      </c>
      <c r="K56" s="296">
        <f t="shared" si="3"/>
        <v>0</v>
      </c>
      <c r="L56" s="297">
        <f t="shared" si="4"/>
        <v>0</v>
      </c>
      <c r="M56" s="295">
        <f t="shared" si="9"/>
        <v>30.494000000000003</v>
      </c>
      <c r="N56" s="297">
        <f t="shared" si="10"/>
        <v>0</v>
      </c>
      <c r="O56" s="297">
        <f t="shared" si="7"/>
        <v>0</v>
      </c>
      <c r="P56" s="298">
        <f t="shared" si="15"/>
        <v>0</v>
      </c>
      <c r="Q56" s="299"/>
    </row>
    <row r="57" spans="1:19" s="16" customFormat="1" ht="16.95" customHeight="1" thickBot="1" x14ac:dyDescent="0.3">
      <c r="C57" s="34"/>
      <c r="D57" s="729"/>
      <c r="E57" s="549" t="s">
        <v>1237</v>
      </c>
      <c r="F57" s="550">
        <v>13</v>
      </c>
      <c r="G57" s="551">
        <f>8*8</f>
        <v>64</v>
      </c>
      <c r="H57" s="552">
        <v>8</v>
      </c>
      <c r="I57" s="553">
        <v>2.2200000000000002</v>
      </c>
      <c r="J57" s="536">
        <f t="shared" si="21"/>
        <v>142.08000000000001</v>
      </c>
      <c r="K57" s="296">
        <f t="shared" si="3"/>
        <v>0</v>
      </c>
      <c r="L57" s="297">
        <f t="shared" si="4"/>
        <v>0</v>
      </c>
      <c r="M57" s="295">
        <f t="shared" si="9"/>
        <v>56.121600000000008</v>
      </c>
      <c r="N57" s="297">
        <f t="shared" si="10"/>
        <v>0</v>
      </c>
      <c r="O57" s="297">
        <f t="shared" si="7"/>
        <v>0</v>
      </c>
      <c r="P57" s="298">
        <f t="shared" si="15"/>
        <v>0</v>
      </c>
      <c r="Q57" s="299"/>
    </row>
    <row r="58" spans="1:19" ht="16.95" customHeight="1" thickBot="1" x14ac:dyDescent="0.3">
      <c r="D58" s="729"/>
      <c r="E58" s="356" t="s">
        <v>1237</v>
      </c>
      <c r="F58" s="263">
        <v>14</v>
      </c>
      <c r="G58" s="264">
        <f>8*9</f>
        <v>72</v>
      </c>
      <c r="H58" s="265">
        <v>12.5</v>
      </c>
      <c r="I58" s="266">
        <v>2.65</v>
      </c>
      <c r="J58" s="357">
        <f t="shared" si="21"/>
        <v>190.79999999999998</v>
      </c>
      <c r="K58" s="271">
        <f t="shared" si="3"/>
        <v>0</v>
      </c>
      <c r="L58" s="272">
        <f t="shared" si="4"/>
        <v>0</v>
      </c>
      <c r="M58" s="195">
        <f t="shared" si="9"/>
        <v>0</v>
      </c>
      <c r="N58" s="272">
        <f t="shared" si="10"/>
        <v>0</v>
      </c>
      <c r="O58" s="272">
        <f t="shared" si="7"/>
        <v>183.74039999999997</v>
      </c>
      <c r="P58" s="273">
        <f t="shared" si="15"/>
        <v>0</v>
      </c>
      <c r="Q58" s="274"/>
      <c r="R58" s="26"/>
    </row>
    <row r="59" spans="1:19" s="16" customFormat="1" ht="14.4" thickTop="1" thickBot="1" x14ac:dyDescent="0.3">
      <c r="D59" s="732" t="s">
        <v>323</v>
      </c>
      <c r="E59" s="733"/>
      <c r="F59" s="733"/>
      <c r="G59" s="733"/>
      <c r="H59" s="733"/>
      <c r="I59" s="733"/>
      <c r="J59" s="733"/>
      <c r="K59" s="733"/>
      <c r="L59" s="733"/>
      <c r="M59" s="733"/>
      <c r="N59" s="733"/>
      <c r="O59" s="733"/>
      <c r="P59" s="734"/>
      <c r="Q59" s="555"/>
    </row>
    <row r="60" spans="1:19" s="16" customFormat="1" ht="14.4" thickTop="1" thickBot="1" x14ac:dyDescent="0.3">
      <c r="C60" s="34"/>
      <c r="D60" s="728" t="s">
        <v>1341</v>
      </c>
      <c r="E60" s="358" t="s">
        <v>1237</v>
      </c>
      <c r="F60" s="255">
        <v>11</v>
      </c>
      <c r="G60" s="256">
        <v>2</v>
      </c>
      <c r="H60" s="257">
        <v>6.3</v>
      </c>
      <c r="I60" s="258">
        <v>2.1800000000000002</v>
      </c>
      <c r="J60" s="350">
        <f t="shared" ref="J60:J64" si="22">G60*I60</f>
        <v>4.3600000000000003</v>
      </c>
      <c r="K60" s="351">
        <f t="shared" si="3"/>
        <v>0</v>
      </c>
      <c r="L60" s="352">
        <f t="shared" si="4"/>
        <v>1.0682</v>
      </c>
      <c r="M60" s="353">
        <f t="shared" si="9"/>
        <v>0</v>
      </c>
      <c r="N60" s="352">
        <f t="shared" si="10"/>
        <v>0</v>
      </c>
      <c r="O60" s="352">
        <f t="shared" si="7"/>
        <v>0</v>
      </c>
      <c r="P60" s="354">
        <f t="shared" ref="P60:P82" si="23">IF($H60=16,$J60*$B$31,0)</f>
        <v>0</v>
      </c>
      <c r="Q60" s="299"/>
    </row>
    <row r="61" spans="1:19" s="16" customFormat="1" ht="13.8" thickBot="1" x14ac:dyDescent="0.3">
      <c r="C61" s="34"/>
      <c r="D61" s="729"/>
      <c r="E61" s="556" t="s">
        <v>1237</v>
      </c>
      <c r="F61" s="550">
        <v>13</v>
      </c>
      <c r="G61" s="551">
        <v>5</v>
      </c>
      <c r="H61" s="552">
        <v>8</v>
      </c>
      <c r="I61" s="553">
        <v>4.96</v>
      </c>
      <c r="J61" s="536">
        <f t="shared" si="22"/>
        <v>24.8</v>
      </c>
      <c r="K61" s="296">
        <f t="shared" si="3"/>
        <v>0</v>
      </c>
      <c r="L61" s="297">
        <f t="shared" si="4"/>
        <v>0</v>
      </c>
      <c r="M61" s="295">
        <f t="shared" si="9"/>
        <v>9.7960000000000012</v>
      </c>
      <c r="N61" s="297">
        <f t="shared" si="10"/>
        <v>0</v>
      </c>
      <c r="O61" s="297">
        <f t="shared" si="7"/>
        <v>0</v>
      </c>
      <c r="P61" s="298">
        <f t="shared" si="23"/>
        <v>0</v>
      </c>
      <c r="Q61" s="299"/>
    </row>
    <row r="62" spans="1:19" s="16" customFormat="1" ht="13.8" thickBot="1" x14ac:dyDescent="0.3">
      <c r="C62" s="34"/>
      <c r="D62" s="729"/>
      <c r="E62" s="549" t="s">
        <v>1237</v>
      </c>
      <c r="F62" s="550">
        <v>14</v>
      </c>
      <c r="G62" s="551">
        <v>4</v>
      </c>
      <c r="H62" s="552">
        <v>8</v>
      </c>
      <c r="I62" s="553">
        <v>1.93</v>
      </c>
      <c r="J62" s="536">
        <f t="shared" si="22"/>
        <v>7.72</v>
      </c>
      <c r="K62" s="296">
        <f t="shared" si="3"/>
        <v>0</v>
      </c>
      <c r="L62" s="297">
        <f t="shared" si="4"/>
        <v>0</v>
      </c>
      <c r="M62" s="295">
        <f t="shared" si="9"/>
        <v>3.0493999999999999</v>
      </c>
      <c r="N62" s="297">
        <f t="shared" si="10"/>
        <v>0</v>
      </c>
      <c r="O62" s="297">
        <f t="shared" si="7"/>
        <v>0</v>
      </c>
      <c r="P62" s="298">
        <f t="shared" si="23"/>
        <v>0</v>
      </c>
      <c r="Q62" s="299"/>
    </row>
    <row r="63" spans="1:19" s="16" customFormat="1" ht="13.8" thickBot="1" x14ac:dyDescent="0.3">
      <c r="C63" s="34"/>
      <c r="D63" s="729"/>
      <c r="E63" s="556" t="s">
        <v>1237</v>
      </c>
      <c r="F63" s="550">
        <v>15</v>
      </c>
      <c r="G63" s="551">
        <v>8</v>
      </c>
      <c r="H63" s="552">
        <v>8</v>
      </c>
      <c r="I63" s="553">
        <v>2.3199999999999998</v>
      </c>
      <c r="J63" s="536">
        <f t="shared" si="22"/>
        <v>18.559999999999999</v>
      </c>
      <c r="K63" s="296">
        <f t="shared" si="3"/>
        <v>0</v>
      </c>
      <c r="L63" s="297">
        <f t="shared" si="4"/>
        <v>0</v>
      </c>
      <c r="M63" s="295">
        <f t="shared" si="9"/>
        <v>7.3311999999999999</v>
      </c>
      <c r="N63" s="297">
        <f t="shared" si="10"/>
        <v>0</v>
      </c>
      <c r="O63" s="297">
        <f t="shared" si="7"/>
        <v>0</v>
      </c>
      <c r="P63" s="298">
        <f t="shared" si="23"/>
        <v>0</v>
      </c>
      <c r="Q63" s="299"/>
    </row>
    <row r="64" spans="1:19" ht="13.8" thickBot="1" x14ac:dyDescent="0.3">
      <c r="A64" s="16"/>
      <c r="B64" s="16"/>
      <c r="D64" s="729"/>
      <c r="E64" s="356" t="s">
        <v>1237</v>
      </c>
      <c r="F64" s="263">
        <v>25</v>
      </c>
      <c r="G64" s="264">
        <v>5</v>
      </c>
      <c r="H64" s="265">
        <v>12.5</v>
      </c>
      <c r="I64" s="266">
        <v>2.75</v>
      </c>
      <c r="J64" s="357">
        <f t="shared" si="22"/>
        <v>13.75</v>
      </c>
      <c r="K64" s="267">
        <f t="shared" si="3"/>
        <v>0</v>
      </c>
      <c r="L64" s="268">
        <f t="shared" si="4"/>
        <v>0</v>
      </c>
      <c r="M64" s="222">
        <f t="shared" si="9"/>
        <v>0</v>
      </c>
      <c r="N64" s="268">
        <f t="shared" si="10"/>
        <v>0</v>
      </c>
      <c r="O64" s="268">
        <f t="shared" si="7"/>
        <v>13.241249999999999</v>
      </c>
      <c r="P64" s="269">
        <f t="shared" si="23"/>
        <v>0</v>
      </c>
      <c r="Q64" s="270"/>
      <c r="R64" s="85"/>
      <c r="S64" s="16"/>
    </row>
    <row r="65" spans="1:19" s="16" customFormat="1" ht="14.4" thickTop="1" thickBot="1" x14ac:dyDescent="0.3">
      <c r="C65" s="34"/>
      <c r="D65" s="728" t="s">
        <v>1343</v>
      </c>
      <c r="E65" s="358" t="s">
        <v>1237</v>
      </c>
      <c r="F65" s="255">
        <v>11</v>
      </c>
      <c r="G65" s="256">
        <f>3*2</f>
        <v>6</v>
      </c>
      <c r="H65" s="257">
        <v>6.3</v>
      </c>
      <c r="I65" s="258">
        <v>2.1800000000000002</v>
      </c>
      <c r="J65" s="350">
        <f t="shared" ref="J65:J69" si="24">G65*I65</f>
        <v>13.080000000000002</v>
      </c>
      <c r="K65" s="351">
        <f t="shared" si="3"/>
        <v>0</v>
      </c>
      <c r="L65" s="352">
        <f t="shared" si="4"/>
        <v>3.2046000000000006</v>
      </c>
      <c r="M65" s="353">
        <f t="shared" si="9"/>
        <v>0</v>
      </c>
      <c r="N65" s="352">
        <f t="shared" si="10"/>
        <v>0</v>
      </c>
      <c r="O65" s="352">
        <f t="shared" si="7"/>
        <v>0</v>
      </c>
      <c r="P65" s="354">
        <f t="shared" si="23"/>
        <v>0</v>
      </c>
      <c r="Q65" s="299"/>
    </row>
    <row r="66" spans="1:19" s="16" customFormat="1" ht="13.8" thickBot="1" x14ac:dyDescent="0.3">
      <c r="C66" s="34"/>
      <c r="D66" s="729"/>
      <c r="E66" s="556" t="s">
        <v>1237</v>
      </c>
      <c r="F66" s="550">
        <v>13</v>
      </c>
      <c r="G66" s="551">
        <f>3*5</f>
        <v>15</v>
      </c>
      <c r="H66" s="552">
        <v>8</v>
      </c>
      <c r="I66" s="553">
        <v>4.96</v>
      </c>
      <c r="J66" s="536">
        <f t="shared" si="24"/>
        <v>74.400000000000006</v>
      </c>
      <c r="K66" s="296">
        <f t="shared" si="3"/>
        <v>0</v>
      </c>
      <c r="L66" s="297">
        <f t="shared" si="4"/>
        <v>0</v>
      </c>
      <c r="M66" s="295">
        <f t="shared" si="9"/>
        <v>29.388000000000005</v>
      </c>
      <c r="N66" s="297">
        <f t="shared" si="10"/>
        <v>0</v>
      </c>
      <c r="O66" s="297">
        <f t="shared" si="7"/>
        <v>0</v>
      </c>
      <c r="P66" s="298">
        <f t="shared" si="23"/>
        <v>0</v>
      </c>
      <c r="Q66" s="299"/>
    </row>
    <row r="67" spans="1:19" s="16" customFormat="1" ht="13.8" thickBot="1" x14ac:dyDescent="0.3">
      <c r="C67" s="34"/>
      <c r="D67" s="729"/>
      <c r="E67" s="549" t="s">
        <v>1237</v>
      </c>
      <c r="F67" s="550">
        <v>14</v>
      </c>
      <c r="G67" s="551">
        <f>3*5</f>
        <v>15</v>
      </c>
      <c r="H67" s="552">
        <v>8</v>
      </c>
      <c r="I67" s="553">
        <v>1.93</v>
      </c>
      <c r="J67" s="536">
        <f t="shared" si="24"/>
        <v>28.95</v>
      </c>
      <c r="K67" s="296">
        <f t="shared" si="3"/>
        <v>0</v>
      </c>
      <c r="L67" s="297">
        <f t="shared" si="4"/>
        <v>0</v>
      </c>
      <c r="M67" s="295">
        <f t="shared" si="9"/>
        <v>11.43525</v>
      </c>
      <c r="N67" s="297">
        <f t="shared" si="10"/>
        <v>0</v>
      </c>
      <c r="O67" s="297">
        <f t="shared" si="7"/>
        <v>0</v>
      </c>
      <c r="P67" s="298">
        <f t="shared" si="23"/>
        <v>0</v>
      </c>
      <c r="Q67" s="299"/>
    </row>
    <row r="68" spans="1:19" s="16" customFormat="1" ht="13.8" thickBot="1" x14ac:dyDescent="0.3">
      <c r="C68" s="34"/>
      <c r="D68" s="729"/>
      <c r="E68" s="556" t="s">
        <v>1237</v>
      </c>
      <c r="F68" s="550">
        <v>16</v>
      </c>
      <c r="G68" s="551">
        <f>3*8</f>
        <v>24</v>
      </c>
      <c r="H68" s="552">
        <v>8</v>
      </c>
      <c r="I68" s="553">
        <v>2.2200000000000002</v>
      </c>
      <c r="J68" s="536">
        <f t="shared" si="24"/>
        <v>53.28</v>
      </c>
      <c r="K68" s="296">
        <f t="shared" si="3"/>
        <v>0</v>
      </c>
      <c r="L68" s="297">
        <f t="shared" si="4"/>
        <v>0</v>
      </c>
      <c r="M68" s="295">
        <f t="shared" si="9"/>
        <v>21.0456</v>
      </c>
      <c r="N68" s="297">
        <f t="shared" si="10"/>
        <v>0</v>
      </c>
      <c r="O68" s="297">
        <f t="shared" si="7"/>
        <v>0</v>
      </c>
      <c r="P68" s="298">
        <f t="shared" si="23"/>
        <v>0</v>
      </c>
      <c r="Q68" s="299"/>
    </row>
    <row r="69" spans="1:19" ht="13.8" thickBot="1" x14ac:dyDescent="0.3">
      <c r="A69" s="16"/>
      <c r="B69" s="16"/>
      <c r="D69" s="729"/>
      <c r="E69" s="356" t="s">
        <v>1237</v>
      </c>
      <c r="F69" s="263">
        <v>27</v>
      </c>
      <c r="G69" s="264">
        <f>3*6</f>
        <v>18</v>
      </c>
      <c r="H69" s="265">
        <v>16</v>
      </c>
      <c r="I69" s="266">
        <v>2.64</v>
      </c>
      <c r="J69" s="357">
        <f t="shared" si="24"/>
        <v>47.52</v>
      </c>
      <c r="K69" s="267">
        <f t="shared" si="3"/>
        <v>0</v>
      </c>
      <c r="L69" s="268">
        <f t="shared" si="4"/>
        <v>0</v>
      </c>
      <c r="M69" s="222">
        <f t="shared" si="9"/>
        <v>0</v>
      </c>
      <c r="N69" s="268">
        <f t="shared" si="10"/>
        <v>0</v>
      </c>
      <c r="O69" s="268">
        <f t="shared" si="7"/>
        <v>0</v>
      </c>
      <c r="P69" s="269">
        <f t="shared" si="23"/>
        <v>74.986560000000011</v>
      </c>
      <c r="Q69" s="270"/>
      <c r="R69" s="85"/>
      <c r="S69" s="16"/>
    </row>
    <row r="70" spans="1:19" s="16" customFormat="1" ht="14.4" thickTop="1" thickBot="1" x14ac:dyDescent="0.3">
      <c r="C70" s="34"/>
      <c r="D70" s="728" t="s">
        <v>1346</v>
      </c>
      <c r="E70" s="358" t="s">
        <v>1237</v>
      </c>
      <c r="F70" s="255">
        <v>12</v>
      </c>
      <c r="G70" s="256">
        <f>2*4</f>
        <v>8</v>
      </c>
      <c r="H70" s="257">
        <v>6.3</v>
      </c>
      <c r="I70" s="258">
        <v>2.44</v>
      </c>
      <c r="J70" s="350">
        <f t="shared" ref="J70:J74" si="25">G70*I70</f>
        <v>19.52</v>
      </c>
      <c r="K70" s="351">
        <f t="shared" si="3"/>
        <v>0</v>
      </c>
      <c r="L70" s="352">
        <f t="shared" si="4"/>
        <v>4.7824</v>
      </c>
      <c r="M70" s="353">
        <f t="shared" si="9"/>
        <v>0</v>
      </c>
      <c r="N70" s="352">
        <f t="shared" si="10"/>
        <v>0</v>
      </c>
      <c r="O70" s="352">
        <f t="shared" si="7"/>
        <v>0</v>
      </c>
      <c r="P70" s="354">
        <f t="shared" si="23"/>
        <v>0</v>
      </c>
      <c r="Q70" s="299"/>
    </row>
    <row r="71" spans="1:19" s="16" customFormat="1" ht="13.8" thickBot="1" x14ac:dyDescent="0.3">
      <c r="C71" s="34"/>
      <c r="D71" s="729"/>
      <c r="E71" s="556" t="s">
        <v>1237</v>
      </c>
      <c r="F71" s="550">
        <v>20</v>
      </c>
      <c r="G71" s="551">
        <f>2*5</f>
        <v>10</v>
      </c>
      <c r="H71" s="552">
        <v>8</v>
      </c>
      <c r="I71" s="553">
        <v>6</v>
      </c>
      <c r="J71" s="536">
        <f t="shared" si="25"/>
        <v>60</v>
      </c>
      <c r="K71" s="296">
        <f t="shared" si="3"/>
        <v>0</v>
      </c>
      <c r="L71" s="297">
        <f t="shared" si="4"/>
        <v>0</v>
      </c>
      <c r="M71" s="295">
        <f t="shared" si="9"/>
        <v>23.700000000000003</v>
      </c>
      <c r="N71" s="297">
        <f t="shared" si="10"/>
        <v>0</v>
      </c>
      <c r="O71" s="297">
        <f t="shared" si="7"/>
        <v>0</v>
      </c>
      <c r="P71" s="298">
        <f t="shared" si="23"/>
        <v>0</v>
      </c>
      <c r="Q71" s="299"/>
    </row>
    <row r="72" spans="1:19" s="16" customFormat="1" ht="13.8" thickBot="1" x14ac:dyDescent="0.3">
      <c r="C72" s="34"/>
      <c r="D72" s="729"/>
      <c r="E72" s="549" t="s">
        <v>1237</v>
      </c>
      <c r="F72" s="550">
        <v>21</v>
      </c>
      <c r="G72" s="551">
        <f>2*4</f>
        <v>8</v>
      </c>
      <c r="H72" s="552">
        <v>8</v>
      </c>
      <c r="I72" s="553">
        <v>2.19</v>
      </c>
      <c r="J72" s="536">
        <f t="shared" si="25"/>
        <v>17.52</v>
      </c>
      <c r="K72" s="296">
        <f t="shared" si="3"/>
        <v>0</v>
      </c>
      <c r="L72" s="297">
        <f t="shared" si="4"/>
        <v>0</v>
      </c>
      <c r="M72" s="295">
        <f t="shared" si="9"/>
        <v>6.9203999999999999</v>
      </c>
      <c r="N72" s="297">
        <f t="shared" si="10"/>
        <v>0</v>
      </c>
      <c r="O72" s="297">
        <f t="shared" si="7"/>
        <v>0</v>
      </c>
      <c r="P72" s="298">
        <f t="shared" si="23"/>
        <v>0</v>
      </c>
      <c r="Q72" s="299"/>
    </row>
    <row r="73" spans="1:19" s="16" customFormat="1" ht="13.8" thickBot="1" x14ac:dyDescent="0.3">
      <c r="C73" s="34"/>
      <c r="D73" s="729"/>
      <c r="E73" s="556" t="s">
        <v>1237</v>
      </c>
      <c r="F73" s="550">
        <v>22</v>
      </c>
      <c r="G73" s="551">
        <f>2*9</f>
        <v>18</v>
      </c>
      <c r="H73" s="552">
        <v>8</v>
      </c>
      <c r="I73" s="553">
        <v>2.84</v>
      </c>
      <c r="J73" s="536">
        <f t="shared" si="25"/>
        <v>51.12</v>
      </c>
      <c r="K73" s="296">
        <f t="shared" si="3"/>
        <v>0</v>
      </c>
      <c r="L73" s="297">
        <f t="shared" si="4"/>
        <v>0</v>
      </c>
      <c r="M73" s="295">
        <f t="shared" si="9"/>
        <v>20.192399999999999</v>
      </c>
      <c r="N73" s="297">
        <f t="shared" si="10"/>
        <v>0</v>
      </c>
      <c r="O73" s="297">
        <f t="shared" si="7"/>
        <v>0</v>
      </c>
      <c r="P73" s="298">
        <f t="shared" si="23"/>
        <v>0</v>
      </c>
      <c r="Q73" s="299"/>
    </row>
    <row r="74" spans="1:19" ht="13.8" thickBot="1" x14ac:dyDescent="0.3">
      <c r="A74" s="16"/>
      <c r="B74" s="16"/>
      <c r="D74" s="729"/>
      <c r="E74" s="356" t="s">
        <v>1237</v>
      </c>
      <c r="F74" s="263">
        <v>28</v>
      </c>
      <c r="G74" s="264">
        <f>2*4</f>
        <v>8</v>
      </c>
      <c r="H74" s="265">
        <v>16</v>
      </c>
      <c r="I74" s="266">
        <v>3</v>
      </c>
      <c r="J74" s="357">
        <f t="shared" si="25"/>
        <v>24</v>
      </c>
      <c r="K74" s="267">
        <f t="shared" si="3"/>
        <v>0</v>
      </c>
      <c r="L74" s="268">
        <f t="shared" si="4"/>
        <v>0</v>
      </c>
      <c r="M74" s="222">
        <f t="shared" si="9"/>
        <v>0</v>
      </c>
      <c r="N74" s="268">
        <f t="shared" si="10"/>
        <v>0</v>
      </c>
      <c r="O74" s="268">
        <f t="shared" si="7"/>
        <v>0</v>
      </c>
      <c r="P74" s="269">
        <f t="shared" si="23"/>
        <v>37.872</v>
      </c>
      <c r="Q74" s="270"/>
      <c r="R74" s="85"/>
      <c r="S74" s="16"/>
    </row>
    <row r="75" spans="1:19" s="16" customFormat="1" ht="14.4" thickTop="1" thickBot="1" x14ac:dyDescent="0.3">
      <c r="C75" s="34"/>
      <c r="D75" s="728" t="s">
        <v>1349</v>
      </c>
      <c r="E75" s="358" t="s">
        <v>1237</v>
      </c>
      <c r="F75" s="255">
        <v>17</v>
      </c>
      <c r="G75" s="256">
        <v>7</v>
      </c>
      <c r="H75" s="257">
        <v>8</v>
      </c>
      <c r="I75" s="258">
        <v>3.6</v>
      </c>
      <c r="J75" s="350">
        <f t="shared" ref="J75:J82" si="26">G75*I75</f>
        <v>25.2</v>
      </c>
      <c r="K75" s="351">
        <f t="shared" si="3"/>
        <v>0</v>
      </c>
      <c r="L75" s="352">
        <f t="shared" si="4"/>
        <v>0</v>
      </c>
      <c r="M75" s="353">
        <f t="shared" si="9"/>
        <v>9.9540000000000006</v>
      </c>
      <c r="N75" s="352">
        <f t="shared" si="10"/>
        <v>0</v>
      </c>
      <c r="O75" s="352">
        <f t="shared" si="7"/>
        <v>0</v>
      </c>
      <c r="P75" s="354">
        <f t="shared" si="23"/>
        <v>0</v>
      </c>
      <c r="Q75" s="299"/>
    </row>
    <row r="76" spans="1:19" s="16" customFormat="1" ht="13.8" thickBot="1" x14ac:dyDescent="0.3">
      <c r="C76" s="34"/>
      <c r="D76" s="729"/>
      <c r="E76" s="556" t="s">
        <v>1237</v>
      </c>
      <c r="F76" s="550">
        <v>18</v>
      </c>
      <c r="G76" s="551">
        <v>2</v>
      </c>
      <c r="H76" s="552">
        <v>8</v>
      </c>
      <c r="I76" s="553">
        <v>3.74</v>
      </c>
      <c r="J76" s="536">
        <f t="shared" si="26"/>
        <v>7.48</v>
      </c>
      <c r="K76" s="296">
        <f t="shared" si="3"/>
        <v>0</v>
      </c>
      <c r="L76" s="297">
        <f t="shared" si="4"/>
        <v>0</v>
      </c>
      <c r="M76" s="295">
        <f t="shared" si="9"/>
        <v>2.9546000000000001</v>
      </c>
      <c r="N76" s="297">
        <f t="shared" si="10"/>
        <v>0</v>
      </c>
      <c r="O76" s="297">
        <f t="shared" si="7"/>
        <v>0</v>
      </c>
      <c r="P76" s="298">
        <f t="shared" si="23"/>
        <v>0</v>
      </c>
      <c r="Q76" s="299"/>
    </row>
    <row r="77" spans="1:19" s="16" customFormat="1" ht="13.8" thickBot="1" x14ac:dyDescent="0.3">
      <c r="C77" s="34"/>
      <c r="D77" s="729"/>
      <c r="E77" s="549" t="s">
        <v>1237</v>
      </c>
      <c r="F77" s="550">
        <v>19</v>
      </c>
      <c r="G77" s="551">
        <v>2</v>
      </c>
      <c r="H77" s="552">
        <v>8</v>
      </c>
      <c r="I77" s="553">
        <v>3</v>
      </c>
      <c r="J77" s="536">
        <f t="shared" si="26"/>
        <v>6</v>
      </c>
      <c r="K77" s="296">
        <f t="shared" si="3"/>
        <v>0</v>
      </c>
      <c r="L77" s="297">
        <f t="shared" si="4"/>
        <v>0</v>
      </c>
      <c r="M77" s="295">
        <f t="shared" si="9"/>
        <v>2.37</v>
      </c>
      <c r="N77" s="297">
        <f t="shared" si="10"/>
        <v>0</v>
      </c>
      <c r="O77" s="297">
        <f t="shared" si="7"/>
        <v>0</v>
      </c>
      <c r="P77" s="298">
        <f t="shared" si="23"/>
        <v>0</v>
      </c>
      <c r="Q77" s="299"/>
    </row>
    <row r="78" spans="1:19" s="16" customFormat="1" ht="14.4" thickTop="1" thickBot="1" x14ac:dyDescent="0.3">
      <c r="C78" s="34"/>
      <c r="D78" s="728" t="s">
        <v>1351</v>
      </c>
      <c r="E78" s="358" t="s">
        <v>1237</v>
      </c>
      <c r="F78" s="255">
        <v>5</v>
      </c>
      <c r="G78" s="256">
        <v>4</v>
      </c>
      <c r="H78" s="257">
        <v>6.3</v>
      </c>
      <c r="I78" s="258">
        <v>2.44</v>
      </c>
      <c r="J78" s="350">
        <f t="shared" si="26"/>
        <v>9.76</v>
      </c>
      <c r="K78" s="351">
        <f t="shared" si="3"/>
        <v>0</v>
      </c>
      <c r="L78" s="352">
        <f t="shared" si="4"/>
        <v>2.3912</v>
      </c>
      <c r="M78" s="353">
        <f t="shared" si="9"/>
        <v>0</v>
      </c>
      <c r="N78" s="352">
        <f t="shared" si="10"/>
        <v>0</v>
      </c>
      <c r="O78" s="352">
        <f t="shared" si="7"/>
        <v>0</v>
      </c>
      <c r="P78" s="354">
        <f t="shared" si="23"/>
        <v>0</v>
      </c>
      <c r="Q78" s="299"/>
    </row>
    <row r="79" spans="1:19" s="16" customFormat="1" ht="13.8" thickBot="1" x14ac:dyDescent="0.3">
      <c r="C79" s="34"/>
      <c r="D79" s="729"/>
      <c r="E79" s="556" t="s">
        <v>1237</v>
      </c>
      <c r="F79" s="550">
        <v>6</v>
      </c>
      <c r="G79" s="551">
        <v>9</v>
      </c>
      <c r="H79" s="552">
        <v>6.3</v>
      </c>
      <c r="I79" s="553">
        <v>2.74</v>
      </c>
      <c r="J79" s="536">
        <f t="shared" si="26"/>
        <v>24.660000000000004</v>
      </c>
      <c r="K79" s="296">
        <f t="shared" si="3"/>
        <v>0</v>
      </c>
      <c r="L79" s="297">
        <f t="shared" si="4"/>
        <v>6.0417000000000005</v>
      </c>
      <c r="M79" s="295">
        <f t="shared" si="9"/>
        <v>0</v>
      </c>
      <c r="N79" s="297">
        <f t="shared" si="10"/>
        <v>0</v>
      </c>
      <c r="O79" s="297">
        <f t="shared" si="7"/>
        <v>0</v>
      </c>
      <c r="P79" s="298">
        <f t="shared" si="23"/>
        <v>0</v>
      </c>
      <c r="Q79" s="299"/>
    </row>
    <row r="80" spans="1:19" s="16" customFormat="1" ht="13.8" thickBot="1" x14ac:dyDescent="0.3">
      <c r="C80" s="34"/>
      <c r="D80" s="729"/>
      <c r="E80" s="549" t="s">
        <v>1237</v>
      </c>
      <c r="F80" s="550">
        <v>7</v>
      </c>
      <c r="G80" s="551">
        <v>5</v>
      </c>
      <c r="H80" s="552">
        <v>8</v>
      </c>
      <c r="I80" s="553">
        <v>6</v>
      </c>
      <c r="J80" s="536">
        <f t="shared" si="26"/>
        <v>30</v>
      </c>
      <c r="K80" s="296">
        <f t="shared" si="3"/>
        <v>0</v>
      </c>
      <c r="L80" s="297">
        <f t="shared" si="4"/>
        <v>0</v>
      </c>
      <c r="M80" s="295">
        <f t="shared" si="9"/>
        <v>11.850000000000001</v>
      </c>
      <c r="N80" s="297">
        <f t="shared" si="10"/>
        <v>0</v>
      </c>
      <c r="O80" s="297">
        <f t="shared" si="7"/>
        <v>0</v>
      </c>
      <c r="P80" s="298">
        <f t="shared" si="23"/>
        <v>0</v>
      </c>
      <c r="Q80" s="299"/>
    </row>
    <row r="81" spans="1:19" s="16" customFormat="1" ht="13.8" thickBot="1" x14ac:dyDescent="0.3">
      <c r="C81" s="34"/>
      <c r="D81" s="729"/>
      <c r="E81" s="556" t="s">
        <v>1237</v>
      </c>
      <c r="F81" s="550">
        <v>8</v>
      </c>
      <c r="G81" s="551">
        <v>4</v>
      </c>
      <c r="H81" s="552">
        <v>8</v>
      </c>
      <c r="I81" s="553">
        <v>2.19</v>
      </c>
      <c r="J81" s="536">
        <f t="shared" si="26"/>
        <v>8.76</v>
      </c>
      <c r="K81" s="296">
        <f t="shared" si="3"/>
        <v>0</v>
      </c>
      <c r="L81" s="297">
        <f t="shared" si="4"/>
        <v>0</v>
      </c>
      <c r="M81" s="295">
        <f t="shared" si="9"/>
        <v>3.4601999999999999</v>
      </c>
      <c r="N81" s="297">
        <f t="shared" si="10"/>
        <v>0</v>
      </c>
      <c r="O81" s="297">
        <f t="shared" si="7"/>
        <v>0</v>
      </c>
      <c r="P81" s="298">
        <f t="shared" si="23"/>
        <v>0</v>
      </c>
      <c r="Q81" s="299"/>
    </row>
    <row r="82" spans="1:19" ht="13.8" thickBot="1" x14ac:dyDescent="0.3">
      <c r="A82" s="16"/>
      <c r="B82" s="16"/>
      <c r="D82" s="729"/>
      <c r="E82" s="356" t="s">
        <v>1237</v>
      </c>
      <c r="F82" s="263">
        <v>58</v>
      </c>
      <c r="G82" s="264">
        <v>4</v>
      </c>
      <c r="H82" s="265">
        <v>16</v>
      </c>
      <c r="I82" s="266">
        <v>2.9</v>
      </c>
      <c r="J82" s="357">
        <f t="shared" si="26"/>
        <v>11.6</v>
      </c>
      <c r="K82" s="267">
        <f t="shared" si="3"/>
        <v>0</v>
      </c>
      <c r="L82" s="268">
        <f t="shared" si="4"/>
        <v>0</v>
      </c>
      <c r="M82" s="222">
        <f t="shared" si="9"/>
        <v>0</v>
      </c>
      <c r="N82" s="268">
        <f t="shared" si="10"/>
        <v>0</v>
      </c>
      <c r="O82" s="268">
        <f t="shared" si="7"/>
        <v>0</v>
      </c>
      <c r="P82" s="269">
        <f t="shared" si="23"/>
        <v>18.3048</v>
      </c>
      <c r="Q82" s="270"/>
      <c r="R82" s="85"/>
      <c r="S82" s="16"/>
    </row>
    <row r="83" spans="1:19" ht="39" customHeight="1" thickTop="1" thickBot="1" x14ac:dyDescent="0.3">
      <c r="D83" s="728" t="s">
        <v>1375</v>
      </c>
      <c r="E83" s="277" t="s">
        <v>1237</v>
      </c>
      <c r="F83" s="255">
        <v>15</v>
      </c>
      <c r="G83" s="256">
        <f>9*6</f>
        <v>54</v>
      </c>
      <c r="H83" s="257">
        <v>8</v>
      </c>
      <c r="I83" s="258">
        <v>2.56</v>
      </c>
      <c r="J83" s="350">
        <f>G83*I83</f>
        <v>138.24</v>
      </c>
      <c r="K83" s="351">
        <f t="shared" si="3"/>
        <v>0</v>
      </c>
      <c r="L83" s="352">
        <f t="shared" si="4"/>
        <v>0</v>
      </c>
      <c r="M83" s="353">
        <f t="shared" si="9"/>
        <v>54.604800000000004</v>
      </c>
      <c r="N83" s="352">
        <f t="shared" si="10"/>
        <v>0</v>
      </c>
      <c r="O83" s="352">
        <f t="shared" si="7"/>
        <v>0</v>
      </c>
      <c r="P83" s="354">
        <f t="shared" si="15"/>
        <v>0</v>
      </c>
      <c r="Q83" s="299"/>
      <c r="R83" s="26"/>
      <c r="S83" s="16"/>
    </row>
    <row r="84" spans="1:19" ht="39" customHeight="1" thickBot="1" x14ac:dyDescent="0.3">
      <c r="D84" s="729"/>
      <c r="E84" s="356" t="s">
        <v>1237</v>
      </c>
      <c r="F84" s="263">
        <v>16</v>
      </c>
      <c r="G84" s="264">
        <f>9*2</f>
        <v>18</v>
      </c>
      <c r="H84" s="265">
        <v>8</v>
      </c>
      <c r="I84" s="266">
        <v>2.6</v>
      </c>
      <c r="J84" s="357">
        <f t="shared" ref="J84:J117" si="27">G84*I84</f>
        <v>46.800000000000004</v>
      </c>
      <c r="K84" s="271">
        <f t="shared" si="3"/>
        <v>0</v>
      </c>
      <c r="L84" s="272">
        <f t="shared" si="4"/>
        <v>0</v>
      </c>
      <c r="M84" s="195">
        <f t="shared" si="9"/>
        <v>18.486000000000004</v>
      </c>
      <c r="N84" s="272">
        <f t="shared" si="10"/>
        <v>0</v>
      </c>
      <c r="O84" s="272">
        <f t="shared" si="7"/>
        <v>0</v>
      </c>
      <c r="P84" s="273">
        <f t="shared" si="15"/>
        <v>0</v>
      </c>
      <c r="Q84" s="274"/>
      <c r="R84" s="26"/>
    </row>
    <row r="85" spans="1:19" s="16" customFormat="1" ht="14.4" thickTop="1" thickBot="1" x14ac:dyDescent="0.3">
      <c r="D85" s="732" t="s">
        <v>422</v>
      </c>
      <c r="E85" s="733"/>
      <c r="F85" s="733"/>
      <c r="G85" s="733"/>
      <c r="H85" s="733"/>
      <c r="I85" s="733"/>
      <c r="J85" s="733"/>
      <c r="K85" s="733"/>
      <c r="L85" s="733"/>
      <c r="M85" s="733"/>
      <c r="N85" s="733"/>
      <c r="O85" s="733"/>
      <c r="P85" s="734"/>
      <c r="Q85" s="571"/>
    </row>
    <row r="86" spans="1:19" s="16" customFormat="1" ht="14.4" thickTop="1" thickBot="1" x14ac:dyDescent="0.3">
      <c r="C86" s="34"/>
      <c r="D86" s="728" t="s">
        <v>1408</v>
      </c>
      <c r="E86" s="358" t="s">
        <v>1237</v>
      </c>
      <c r="F86" s="255">
        <v>9</v>
      </c>
      <c r="G86" s="256">
        <v>2</v>
      </c>
      <c r="H86" s="257">
        <v>8</v>
      </c>
      <c r="I86" s="258">
        <v>3.08</v>
      </c>
      <c r="J86" s="350">
        <f t="shared" ref="J86:J102" si="28">G86*I86</f>
        <v>6.16</v>
      </c>
      <c r="K86" s="351">
        <f t="shared" si="3"/>
        <v>0</v>
      </c>
      <c r="L86" s="352">
        <f t="shared" si="4"/>
        <v>0</v>
      </c>
      <c r="M86" s="353">
        <f t="shared" si="9"/>
        <v>2.4332000000000003</v>
      </c>
      <c r="N86" s="352">
        <f t="shared" si="10"/>
        <v>0</v>
      </c>
      <c r="O86" s="352">
        <f t="shared" si="7"/>
        <v>0</v>
      </c>
      <c r="P86" s="354">
        <f t="shared" si="15"/>
        <v>0</v>
      </c>
      <c r="Q86" s="299"/>
    </row>
    <row r="87" spans="1:19" s="16" customFormat="1" ht="13.8" thickBot="1" x14ac:dyDescent="0.3">
      <c r="C87" s="34"/>
      <c r="D87" s="729"/>
      <c r="E87" s="572" t="s">
        <v>1237</v>
      </c>
      <c r="F87" s="550">
        <v>8</v>
      </c>
      <c r="G87" s="551">
        <v>5</v>
      </c>
      <c r="H87" s="552">
        <v>8</v>
      </c>
      <c r="I87" s="553">
        <v>2.96</v>
      </c>
      <c r="J87" s="536">
        <f t="shared" si="28"/>
        <v>14.8</v>
      </c>
      <c r="K87" s="296">
        <f t="shared" si="3"/>
        <v>0</v>
      </c>
      <c r="L87" s="297">
        <f t="shared" si="4"/>
        <v>0</v>
      </c>
      <c r="M87" s="295">
        <f t="shared" si="9"/>
        <v>5.846000000000001</v>
      </c>
      <c r="N87" s="297">
        <f t="shared" si="10"/>
        <v>0</v>
      </c>
      <c r="O87" s="297">
        <f t="shared" si="7"/>
        <v>0</v>
      </c>
      <c r="P87" s="298">
        <f t="shared" si="15"/>
        <v>0</v>
      </c>
      <c r="Q87" s="299"/>
    </row>
    <row r="88" spans="1:19" s="16" customFormat="1" ht="14.4" thickTop="1" thickBot="1" x14ac:dyDescent="0.3">
      <c r="C88" s="34"/>
      <c r="D88" s="728" t="s">
        <v>1409</v>
      </c>
      <c r="E88" s="358" t="s">
        <v>1237</v>
      </c>
      <c r="F88" s="255">
        <v>6</v>
      </c>
      <c r="G88" s="256">
        <v>2</v>
      </c>
      <c r="H88" s="257">
        <v>6.3</v>
      </c>
      <c r="I88" s="258">
        <v>2.2799999999999998</v>
      </c>
      <c r="J88" s="350">
        <f t="shared" si="28"/>
        <v>4.5599999999999996</v>
      </c>
      <c r="K88" s="351">
        <f t="shared" si="3"/>
        <v>0</v>
      </c>
      <c r="L88" s="352">
        <f t="shared" si="4"/>
        <v>1.1172</v>
      </c>
      <c r="M88" s="353">
        <f t="shared" si="9"/>
        <v>0</v>
      </c>
      <c r="N88" s="352">
        <f t="shared" si="10"/>
        <v>0</v>
      </c>
      <c r="O88" s="352">
        <f t="shared" si="7"/>
        <v>0</v>
      </c>
      <c r="P88" s="354">
        <f t="shared" si="15"/>
        <v>0</v>
      </c>
      <c r="Q88" s="299"/>
    </row>
    <row r="89" spans="1:19" s="16" customFormat="1" ht="13.8" thickBot="1" x14ac:dyDescent="0.3">
      <c r="C89" s="34"/>
      <c r="D89" s="729"/>
      <c r="E89" s="572" t="s">
        <v>1237</v>
      </c>
      <c r="F89" s="550">
        <v>10</v>
      </c>
      <c r="G89" s="551">
        <v>5</v>
      </c>
      <c r="H89" s="552">
        <v>8</v>
      </c>
      <c r="I89" s="553">
        <v>5.36</v>
      </c>
      <c r="J89" s="536">
        <f t="shared" si="28"/>
        <v>26.8</v>
      </c>
      <c r="K89" s="296">
        <f t="shared" si="3"/>
        <v>0</v>
      </c>
      <c r="L89" s="297">
        <f t="shared" si="4"/>
        <v>0</v>
      </c>
      <c r="M89" s="295">
        <f t="shared" si="9"/>
        <v>10.586</v>
      </c>
      <c r="N89" s="297">
        <f t="shared" si="10"/>
        <v>0</v>
      </c>
      <c r="O89" s="297">
        <f t="shared" si="7"/>
        <v>0</v>
      </c>
      <c r="P89" s="298">
        <f t="shared" si="15"/>
        <v>0</v>
      </c>
      <c r="Q89" s="299"/>
    </row>
    <row r="90" spans="1:19" s="16" customFormat="1" ht="13.8" thickBot="1" x14ac:dyDescent="0.3">
      <c r="C90" s="34"/>
      <c r="D90" s="729"/>
      <c r="E90" s="549" t="s">
        <v>1237</v>
      </c>
      <c r="F90" s="550">
        <v>11</v>
      </c>
      <c r="G90" s="551">
        <v>4</v>
      </c>
      <c r="H90" s="552">
        <v>8</v>
      </c>
      <c r="I90" s="553">
        <v>2.0299999999999998</v>
      </c>
      <c r="J90" s="536">
        <f t="shared" si="28"/>
        <v>8.1199999999999992</v>
      </c>
      <c r="K90" s="296">
        <f t="shared" si="3"/>
        <v>0</v>
      </c>
      <c r="L90" s="297">
        <f t="shared" si="4"/>
        <v>0</v>
      </c>
      <c r="M90" s="295">
        <f t="shared" si="9"/>
        <v>3.2073999999999998</v>
      </c>
      <c r="N90" s="297">
        <f t="shared" si="10"/>
        <v>0</v>
      </c>
      <c r="O90" s="297">
        <f t="shared" si="7"/>
        <v>0</v>
      </c>
      <c r="P90" s="298">
        <f t="shared" si="15"/>
        <v>0</v>
      </c>
      <c r="Q90" s="299"/>
    </row>
    <row r="91" spans="1:19" s="16" customFormat="1" ht="13.8" thickBot="1" x14ac:dyDescent="0.3">
      <c r="C91" s="34"/>
      <c r="D91" s="729"/>
      <c r="E91" s="572" t="s">
        <v>1237</v>
      </c>
      <c r="F91" s="550">
        <v>12</v>
      </c>
      <c r="G91" s="551">
        <v>9</v>
      </c>
      <c r="H91" s="552">
        <v>8</v>
      </c>
      <c r="I91" s="553">
        <v>2.52</v>
      </c>
      <c r="J91" s="536">
        <f t="shared" si="28"/>
        <v>22.68</v>
      </c>
      <c r="K91" s="296">
        <f t="shared" si="3"/>
        <v>0</v>
      </c>
      <c r="L91" s="297">
        <f t="shared" si="4"/>
        <v>0</v>
      </c>
      <c r="M91" s="295">
        <f t="shared" si="9"/>
        <v>8.9586000000000006</v>
      </c>
      <c r="N91" s="297">
        <f t="shared" si="10"/>
        <v>0</v>
      </c>
      <c r="O91" s="297">
        <f t="shared" si="7"/>
        <v>0</v>
      </c>
      <c r="P91" s="298">
        <f t="shared" si="15"/>
        <v>0</v>
      </c>
      <c r="Q91" s="299"/>
    </row>
    <row r="92" spans="1:19" ht="13.8" thickBot="1" x14ac:dyDescent="0.3">
      <c r="A92" s="16"/>
      <c r="B92" s="16"/>
      <c r="D92" s="729"/>
      <c r="E92" s="356" t="s">
        <v>1237</v>
      </c>
      <c r="F92" s="263">
        <v>16</v>
      </c>
      <c r="G92" s="264">
        <v>8</v>
      </c>
      <c r="H92" s="265">
        <v>10</v>
      </c>
      <c r="I92" s="266">
        <v>2.86</v>
      </c>
      <c r="J92" s="357">
        <f t="shared" si="28"/>
        <v>22.88</v>
      </c>
      <c r="K92" s="267">
        <f t="shared" si="3"/>
        <v>0</v>
      </c>
      <c r="L92" s="268">
        <f t="shared" si="4"/>
        <v>0</v>
      </c>
      <c r="M92" s="222">
        <f t="shared" si="9"/>
        <v>0</v>
      </c>
      <c r="N92" s="268">
        <f t="shared" si="10"/>
        <v>14.116959999999999</v>
      </c>
      <c r="O92" s="268">
        <f t="shared" si="7"/>
        <v>0</v>
      </c>
      <c r="P92" s="269">
        <f t="shared" si="15"/>
        <v>0</v>
      </c>
      <c r="Q92" s="270"/>
      <c r="R92" s="85"/>
      <c r="S92" s="16"/>
    </row>
    <row r="93" spans="1:19" s="16" customFormat="1" ht="14.4" thickTop="1" thickBot="1" x14ac:dyDescent="0.3">
      <c r="C93" s="34"/>
      <c r="D93" s="728" t="s">
        <v>1411</v>
      </c>
      <c r="E93" s="358" t="s">
        <v>1237</v>
      </c>
      <c r="F93" s="255">
        <v>7</v>
      </c>
      <c r="G93" s="256">
        <v>2</v>
      </c>
      <c r="H93" s="257">
        <v>6.3</v>
      </c>
      <c r="I93" s="258">
        <v>2.1800000000000002</v>
      </c>
      <c r="J93" s="350">
        <f t="shared" si="28"/>
        <v>4.3600000000000003</v>
      </c>
      <c r="K93" s="351">
        <f t="shared" si="3"/>
        <v>0</v>
      </c>
      <c r="L93" s="352">
        <f t="shared" si="4"/>
        <v>1.0682</v>
      </c>
      <c r="M93" s="353">
        <f t="shared" si="9"/>
        <v>0</v>
      </c>
      <c r="N93" s="352">
        <f t="shared" si="10"/>
        <v>0</v>
      </c>
      <c r="O93" s="352">
        <f t="shared" si="7"/>
        <v>0</v>
      </c>
      <c r="P93" s="354">
        <f t="shared" si="15"/>
        <v>0</v>
      </c>
      <c r="Q93" s="299"/>
    </row>
    <row r="94" spans="1:19" s="16" customFormat="1" ht="13.8" thickBot="1" x14ac:dyDescent="0.3">
      <c r="C94" s="34"/>
      <c r="D94" s="729"/>
      <c r="E94" s="572" t="s">
        <v>1237</v>
      </c>
      <c r="F94" s="550">
        <v>13</v>
      </c>
      <c r="G94" s="551">
        <v>4</v>
      </c>
      <c r="H94" s="552">
        <v>8</v>
      </c>
      <c r="I94" s="553">
        <v>4.96</v>
      </c>
      <c r="J94" s="536">
        <f t="shared" si="28"/>
        <v>19.84</v>
      </c>
      <c r="K94" s="296">
        <f t="shared" si="3"/>
        <v>0</v>
      </c>
      <c r="L94" s="297">
        <f t="shared" si="4"/>
        <v>0</v>
      </c>
      <c r="M94" s="295">
        <f t="shared" si="9"/>
        <v>7.8368000000000002</v>
      </c>
      <c r="N94" s="297">
        <f t="shared" si="10"/>
        <v>0</v>
      </c>
      <c r="O94" s="297">
        <f t="shared" si="7"/>
        <v>0</v>
      </c>
      <c r="P94" s="298">
        <f t="shared" si="15"/>
        <v>0</v>
      </c>
      <c r="Q94" s="299"/>
    </row>
    <row r="95" spans="1:19" s="16" customFormat="1" ht="13.8" thickBot="1" x14ac:dyDescent="0.3">
      <c r="C95" s="34"/>
      <c r="D95" s="729"/>
      <c r="E95" s="549" t="s">
        <v>1237</v>
      </c>
      <c r="F95" s="550">
        <v>14</v>
      </c>
      <c r="G95" s="551">
        <v>5</v>
      </c>
      <c r="H95" s="552">
        <v>8</v>
      </c>
      <c r="I95" s="553">
        <v>1.93</v>
      </c>
      <c r="J95" s="536">
        <f t="shared" si="28"/>
        <v>9.65</v>
      </c>
      <c r="K95" s="296">
        <f t="shared" si="3"/>
        <v>0</v>
      </c>
      <c r="L95" s="297">
        <f t="shared" si="4"/>
        <v>0</v>
      </c>
      <c r="M95" s="295">
        <f t="shared" si="9"/>
        <v>3.8117500000000004</v>
      </c>
      <c r="N95" s="297">
        <f t="shared" si="10"/>
        <v>0</v>
      </c>
      <c r="O95" s="297">
        <f t="shared" si="7"/>
        <v>0</v>
      </c>
      <c r="P95" s="298">
        <f t="shared" si="15"/>
        <v>0</v>
      </c>
      <c r="Q95" s="299"/>
    </row>
    <row r="96" spans="1:19" s="16" customFormat="1" ht="13.8" thickBot="1" x14ac:dyDescent="0.3">
      <c r="C96" s="34"/>
      <c r="D96" s="729"/>
      <c r="E96" s="572" t="s">
        <v>1237</v>
      </c>
      <c r="F96" s="550">
        <v>15</v>
      </c>
      <c r="G96" s="551">
        <v>8</v>
      </c>
      <c r="H96" s="552">
        <v>8</v>
      </c>
      <c r="I96" s="553">
        <v>2.02</v>
      </c>
      <c r="J96" s="536">
        <f t="shared" si="28"/>
        <v>16.16</v>
      </c>
      <c r="K96" s="296">
        <f t="shared" si="3"/>
        <v>0</v>
      </c>
      <c r="L96" s="297">
        <f t="shared" si="4"/>
        <v>0</v>
      </c>
      <c r="M96" s="295">
        <f t="shared" si="9"/>
        <v>6.3832000000000004</v>
      </c>
      <c r="N96" s="297">
        <f t="shared" si="10"/>
        <v>0</v>
      </c>
      <c r="O96" s="297">
        <f t="shared" si="7"/>
        <v>0</v>
      </c>
      <c r="P96" s="298">
        <f t="shared" si="15"/>
        <v>0</v>
      </c>
      <c r="Q96" s="299"/>
    </row>
    <row r="97" spans="1:19" ht="13.8" thickBot="1" x14ac:dyDescent="0.3">
      <c r="A97" s="16"/>
      <c r="B97" s="16"/>
      <c r="D97" s="729"/>
      <c r="E97" s="356" t="s">
        <v>1237</v>
      </c>
      <c r="F97" s="263">
        <v>18</v>
      </c>
      <c r="G97" s="264">
        <v>9</v>
      </c>
      <c r="H97" s="265">
        <v>12.5</v>
      </c>
      <c r="I97" s="266">
        <v>2.4500000000000002</v>
      </c>
      <c r="J97" s="357">
        <f t="shared" si="28"/>
        <v>22.05</v>
      </c>
      <c r="K97" s="267">
        <f t="shared" si="3"/>
        <v>0</v>
      </c>
      <c r="L97" s="268">
        <f t="shared" si="4"/>
        <v>0</v>
      </c>
      <c r="M97" s="222">
        <f t="shared" si="9"/>
        <v>0</v>
      </c>
      <c r="N97" s="268">
        <f t="shared" si="10"/>
        <v>0</v>
      </c>
      <c r="O97" s="268">
        <f t="shared" si="7"/>
        <v>21.23415</v>
      </c>
      <c r="P97" s="269">
        <f t="shared" si="15"/>
        <v>0</v>
      </c>
      <c r="Q97" s="270"/>
      <c r="R97" s="85"/>
      <c r="S97" s="16"/>
    </row>
    <row r="98" spans="1:19" s="16" customFormat="1" ht="14.4" thickTop="1" thickBot="1" x14ac:dyDescent="0.3">
      <c r="C98" s="34"/>
      <c r="D98" s="728" t="s">
        <v>1413</v>
      </c>
      <c r="E98" s="358" t="s">
        <v>1237</v>
      </c>
      <c r="F98" s="255">
        <v>11</v>
      </c>
      <c r="G98" s="256">
        <f>3*2</f>
        <v>6</v>
      </c>
      <c r="H98" s="257">
        <v>6.3</v>
      </c>
      <c r="I98" s="258">
        <v>2.1800000000000002</v>
      </c>
      <c r="J98" s="350">
        <f t="shared" si="28"/>
        <v>13.080000000000002</v>
      </c>
      <c r="K98" s="351">
        <f t="shared" si="3"/>
        <v>0</v>
      </c>
      <c r="L98" s="352">
        <f t="shared" si="4"/>
        <v>3.2046000000000006</v>
      </c>
      <c r="M98" s="353">
        <f t="shared" si="9"/>
        <v>0</v>
      </c>
      <c r="N98" s="352">
        <f t="shared" si="10"/>
        <v>0</v>
      </c>
      <c r="O98" s="352">
        <f t="shared" si="7"/>
        <v>0</v>
      </c>
      <c r="P98" s="354">
        <f t="shared" si="15"/>
        <v>0</v>
      </c>
      <c r="Q98" s="299"/>
    </row>
    <row r="99" spans="1:19" s="16" customFormat="1" ht="13.8" thickBot="1" x14ac:dyDescent="0.3">
      <c r="C99" s="34"/>
      <c r="D99" s="729"/>
      <c r="E99" s="572" t="s">
        <v>1237</v>
      </c>
      <c r="F99" s="550">
        <v>13</v>
      </c>
      <c r="G99" s="551">
        <f>3*5</f>
        <v>15</v>
      </c>
      <c r="H99" s="552">
        <v>8</v>
      </c>
      <c r="I99" s="553">
        <v>4.96</v>
      </c>
      <c r="J99" s="536">
        <f t="shared" si="28"/>
        <v>74.400000000000006</v>
      </c>
      <c r="K99" s="296">
        <f t="shared" si="3"/>
        <v>0</v>
      </c>
      <c r="L99" s="297">
        <f t="shared" si="4"/>
        <v>0</v>
      </c>
      <c r="M99" s="295">
        <f t="shared" si="9"/>
        <v>29.388000000000005</v>
      </c>
      <c r="N99" s="297">
        <f t="shared" si="10"/>
        <v>0</v>
      </c>
      <c r="O99" s="297">
        <f t="shared" si="7"/>
        <v>0</v>
      </c>
      <c r="P99" s="298">
        <f t="shared" si="15"/>
        <v>0</v>
      </c>
      <c r="Q99" s="299"/>
    </row>
    <row r="100" spans="1:19" s="16" customFormat="1" ht="13.8" thickBot="1" x14ac:dyDescent="0.3">
      <c r="C100" s="34"/>
      <c r="D100" s="729"/>
      <c r="E100" s="549" t="s">
        <v>1237</v>
      </c>
      <c r="F100" s="550">
        <v>14</v>
      </c>
      <c r="G100" s="551">
        <f>3*5</f>
        <v>15</v>
      </c>
      <c r="H100" s="552">
        <v>8</v>
      </c>
      <c r="I100" s="553">
        <v>1.93</v>
      </c>
      <c r="J100" s="536">
        <f t="shared" si="28"/>
        <v>28.95</v>
      </c>
      <c r="K100" s="296">
        <f t="shared" si="3"/>
        <v>0</v>
      </c>
      <c r="L100" s="297">
        <f t="shared" si="4"/>
        <v>0</v>
      </c>
      <c r="M100" s="295">
        <f t="shared" si="9"/>
        <v>11.43525</v>
      </c>
      <c r="N100" s="297">
        <f t="shared" si="10"/>
        <v>0</v>
      </c>
      <c r="O100" s="297">
        <f t="shared" si="7"/>
        <v>0</v>
      </c>
      <c r="P100" s="298">
        <f t="shared" si="15"/>
        <v>0</v>
      </c>
      <c r="Q100" s="299"/>
    </row>
    <row r="101" spans="1:19" s="16" customFormat="1" ht="13.8" thickBot="1" x14ac:dyDescent="0.3">
      <c r="C101" s="34"/>
      <c r="D101" s="729"/>
      <c r="E101" s="572" t="s">
        <v>1237</v>
      </c>
      <c r="F101" s="550">
        <v>15</v>
      </c>
      <c r="G101" s="551">
        <f>3*8</f>
        <v>24</v>
      </c>
      <c r="H101" s="552">
        <v>8</v>
      </c>
      <c r="I101" s="553">
        <v>2.2200000000000002</v>
      </c>
      <c r="J101" s="536">
        <f t="shared" si="28"/>
        <v>53.28</v>
      </c>
      <c r="K101" s="296">
        <f t="shared" si="3"/>
        <v>0</v>
      </c>
      <c r="L101" s="297">
        <f t="shared" si="4"/>
        <v>0</v>
      </c>
      <c r="M101" s="295">
        <f t="shared" si="9"/>
        <v>21.0456</v>
      </c>
      <c r="N101" s="297">
        <f t="shared" si="10"/>
        <v>0</v>
      </c>
      <c r="O101" s="297">
        <f t="shared" si="7"/>
        <v>0</v>
      </c>
      <c r="P101" s="298">
        <f t="shared" si="15"/>
        <v>0</v>
      </c>
      <c r="Q101" s="299"/>
    </row>
    <row r="102" spans="1:19" ht="13.8" thickBot="1" x14ac:dyDescent="0.3">
      <c r="A102" s="16"/>
      <c r="B102" s="16"/>
      <c r="D102" s="729"/>
      <c r="E102" s="356" t="s">
        <v>1237</v>
      </c>
      <c r="F102" s="263">
        <v>29</v>
      </c>
      <c r="G102" s="264">
        <f>3*6</f>
        <v>18</v>
      </c>
      <c r="H102" s="265">
        <v>16</v>
      </c>
      <c r="I102" s="266">
        <v>2.64</v>
      </c>
      <c r="J102" s="357">
        <f t="shared" si="28"/>
        <v>47.52</v>
      </c>
      <c r="K102" s="267">
        <f t="shared" si="3"/>
        <v>0</v>
      </c>
      <c r="L102" s="268">
        <f t="shared" si="4"/>
        <v>0</v>
      </c>
      <c r="M102" s="222">
        <f t="shared" si="9"/>
        <v>0</v>
      </c>
      <c r="N102" s="268">
        <f t="shared" si="10"/>
        <v>0</v>
      </c>
      <c r="O102" s="268">
        <f t="shared" si="7"/>
        <v>0</v>
      </c>
      <c r="P102" s="269">
        <f t="shared" si="15"/>
        <v>74.986560000000011</v>
      </c>
      <c r="Q102" s="270"/>
      <c r="R102" s="85"/>
      <c r="S102" s="16"/>
    </row>
    <row r="103" spans="1:19" s="16" customFormat="1" ht="14.4" thickTop="1" thickBot="1" x14ac:dyDescent="0.3">
      <c r="C103" s="34"/>
      <c r="D103" s="728" t="s">
        <v>1416</v>
      </c>
      <c r="E103" s="358" t="s">
        <v>1237</v>
      </c>
      <c r="F103" s="255">
        <v>16</v>
      </c>
      <c r="G103" s="256">
        <f>2*5</f>
        <v>10</v>
      </c>
      <c r="H103" s="257">
        <v>8</v>
      </c>
      <c r="I103" s="258">
        <v>2.8</v>
      </c>
      <c r="J103" s="350">
        <f t="shared" si="27"/>
        <v>28</v>
      </c>
      <c r="K103" s="351">
        <f t="shared" si="3"/>
        <v>0</v>
      </c>
      <c r="L103" s="352">
        <f t="shared" si="4"/>
        <v>0</v>
      </c>
      <c r="M103" s="353">
        <f t="shared" si="9"/>
        <v>11.06</v>
      </c>
      <c r="N103" s="352">
        <f t="shared" si="10"/>
        <v>0</v>
      </c>
      <c r="O103" s="352">
        <f t="shared" si="7"/>
        <v>0</v>
      </c>
      <c r="P103" s="354">
        <f t="shared" si="15"/>
        <v>0</v>
      </c>
      <c r="Q103" s="299"/>
    </row>
    <row r="104" spans="1:19" s="16" customFormat="1" ht="13.8" thickBot="1" x14ac:dyDescent="0.3">
      <c r="C104" s="34"/>
      <c r="D104" s="729"/>
      <c r="E104" s="572" t="s">
        <v>1237</v>
      </c>
      <c r="F104" s="550">
        <v>17</v>
      </c>
      <c r="G104" s="551">
        <f>2*2</f>
        <v>4</v>
      </c>
      <c r="H104" s="552">
        <v>8</v>
      </c>
      <c r="I104" s="553">
        <v>2.86</v>
      </c>
      <c r="J104" s="536">
        <f t="shared" si="27"/>
        <v>11.44</v>
      </c>
      <c r="K104" s="296">
        <f t="shared" si="3"/>
        <v>0</v>
      </c>
      <c r="L104" s="297">
        <f t="shared" si="4"/>
        <v>0</v>
      </c>
      <c r="M104" s="295">
        <f t="shared" si="9"/>
        <v>4.5187999999999997</v>
      </c>
      <c r="N104" s="297">
        <f t="shared" si="10"/>
        <v>0</v>
      </c>
      <c r="O104" s="297">
        <f t="shared" si="7"/>
        <v>0</v>
      </c>
      <c r="P104" s="298">
        <f t="shared" si="15"/>
        <v>0</v>
      </c>
      <c r="Q104" s="299"/>
    </row>
    <row r="105" spans="1:19" s="16" customFormat="1" ht="14.4" thickTop="1" thickBot="1" x14ac:dyDescent="0.3">
      <c r="C105" s="34"/>
      <c r="D105" s="728" t="s">
        <v>1418</v>
      </c>
      <c r="E105" s="358" t="s">
        <v>1237</v>
      </c>
      <c r="F105" s="255">
        <v>12</v>
      </c>
      <c r="G105" s="256">
        <v>4</v>
      </c>
      <c r="H105" s="257">
        <v>6.3</v>
      </c>
      <c r="I105" s="258">
        <v>2.44</v>
      </c>
      <c r="J105" s="350">
        <f t="shared" ref="J105:J109" si="29">G105*I105</f>
        <v>9.76</v>
      </c>
      <c r="K105" s="351">
        <f t="shared" si="3"/>
        <v>0</v>
      </c>
      <c r="L105" s="352">
        <f t="shared" si="4"/>
        <v>2.3912</v>
      </c>
      <c r="M105" s="353">
        <f t="shared" si="9"/>
        <v>0</v>
      </c>
      <c r="N105" s="352">
        <f t="shared" si="10"/>
        <v>0</v>
      </c>
      <c r="O105" s="352">
        <f t="shared" si="7"/>
        <v>0</v>
      </c>
      <c r="P105" s="354">
        <f t="shared" si="15"/>
        <v>0</v>
      </c>
      <c r="Q105" s="299"/>
    </row>
    <row r="106" spans="1:19" s="16" customFormat="1" ht="13.8" thickBot="1" x14ac:dyDescent="0.3">
      <c r="C106" s="34"/>
      <c r="D106" s="729"/>
      <c r="E106" s="572" t="s">
        <v>1237</v>
      </c>
      <c r="F106" s="550">
        <v>18</v>
      </c>
      <c r="G106" s="551">
        <v>5</v>
      </c>
      <c r="H106" s="552">
        <v>8</v>
      </c>
      <c r="I106" s="553">
        <v>6</v>
      </c>
      <c r="J106" s="536">
        <f t="shared" si="29"/>
        <v>30</v>
      </c>
      <c r="K106" s="296">
        <f t="shared" si="3"/>
        <v>0</v>
      </c>
      <c r="L106" s="297">
        <f t="shared" si="4"/>
        <v>0</v>
      </c>
      <c r="M106" s="295">
        <f t="shared" si="9"/>
        <v>11.850000000000001</v>
      </c>
      <c r="N106" s="297">
        <f t="shared" si="10"/>
        <v>0</v>
      </c>
      <c r="O106" s="297">
        <f t="shared" si="7"/>
        <v>0</v>
      </c>
      <c r="P106" s="298">
        <f t="shared" si="15"/>
        <v>0</v>
      </c>
      <c r="Q106" s="299"/>
    </row>
    <row r="107" spans="1:19" s="16" customFormat="1" ht="13.8" thickBot="1" x14ac:dyDescent="0.3">
      <c r="C107" s="34"/>
      <c r="D107" s="729"/>
      <c r="E107" s="549" t="s">
        <v>1237</v>
      </c>
      <c r="F107" s="550">
        <v>19</v>
      </c>
      <c r="G107" s="551">
        <v>4</v>
      </c>
      <c r="H107" s="552">
        <v>8</v>
      </c>
      <c r="I107" s="553">
        <v>2.19</v>
      </c>
      <c r="J107" s="536">
        <f t="shared" si="29"/>
        <v>8.76</v>
      </c>
      <c r="K107" s="296">
        <f t="shared" si="3"/>
        <v>0</v>
      </c>
      <c r="L107" s="297">
        <f t="shared" si="4"/>
        <v>0</v>
      </c>
      <c r="M107" s="295">
        <f t="shared" si="9"/>
        <v>3.4601999999999999</v>
      </c>
      <c r="N107" s="297">
        <f t="shared" si="10"/>
        <v>0</v>
      </c>
      <c r="O107" s="297">
        <f t="shared" si="7"/>
        <v>0</v>
      </c>
      <c r="P107" s="298">
        <f t="shared" si="15"/>
        <v>0</v>
      </c>
      <c r="Q107" s="299"/>
    </row>
    <row r="108" spans="1:19" s="16" customFormat="1" ht="13.8" thickBot="1" x14ac:dyDescent="0.3">
      <c r="C108" s="34"/>
      <c r="D108" s="729"/>
      <c r="E108" s="572" t="s">
        <v>1237</v>
      </c>
      <c r="F108" s="550">
        <v>20</v>
      </c>
      <c r="G108" s="551">
        <v>9</v>
      </c>
      <c r="H108" s="552">
        <v>8</v>
      </c>
      <c r="I108" s="553">
        <v>2.74</v>
      </c>
      <c r="J108" s="536">
        <f t="shared" si="29"/>
        <v>24.660000000000004</v>
      </c>
      <c r="K108" s="296">
        <f t="shared" si="3"/>
        <v>0</v>
      </c>
      <c r="L108" s="297">
        <f t="shared" si="4"/>
        <v>0</v>
      </c>
      <c r="M108" s="295">
        <f t="shared" si="9"/>
        <v>9.7407000000000021</v>
      </c>
      <c r="N108" s="297">
        <f t="shared" si="10"/>
        <v>0</v>
      </c>
      <c r="O108" s="297">
        <f t="shared" si="7"/>
        <v>0</v>
      </c>
      <c r="P108" s="298">
        <f t="shared" si="15"/>
        <v>0</v>
      </c>
      <c r="Q108" s="299"/>
    </row>
    <row r="109" spans="1:19" ht="13.8" thickBot="1" x14ac:dyDescent="0.3">
      <c r="A109" s="16"/>
      <c r="B109" s="16"/>
      <c r="D109" s="729"/>
      <c r="E109" s="356" t="s">
        <v>1237</v>
      </c>
      <c r="F109" s="263">
        <v>28</v>
      </c>
      <c r="G109" s="264">
        <v>5</v>
      </c>
      <c r="H109" s="265">
        <v>12.5</v>
      </c>
      <c r="I109" s="266">
        <v>2.91</v>
      </c>
      <c r="J109" s="357">
        <f t="shared" si="29"/>
        <v>14.55</v>
      </c>
      <c r="K109" s="267">
        <f t="shared" si="3"/>
        <v>0</v>
      </c>
      <c r="L109" s="268">
        <f t="shared" si="4"/>
        <v>0</v>
      </c>
      <c r="M109" s="222">
        <f t="shared" si="9"/>
        <v>0</v>
      </c>
      <c r="N109" s="268">
        <f t="shared" si="10"/>
        <v>0</v>
      </c>
      <c r="O109" s="268">
        <f t="shared" si="7"/>
        <v>14.011649999999999</v>
      </c>
      <c r="P109" s="269">
        <f t="shared" si="15"/>
        <v>0</v>
      </c>
      <c r="Q109" s="270"/>
      <c r="R109" s="85"/>
      <c r="S109" s="16"/>
    </row>
    <row r="110" spans="1:19" s="16" customFormat="1" ht="30" customHeight="1" thickTop="1" thickBot="1" x14ac:dyDescent="0.3">
      <c r="C110" s="34"/>
      <c r="D110" s="728" t="s">
        <v>1456</v>
      </c>
      <c r="E110" s="358" t="s">
        <v>1237</v>
      </c>
      <c r="F110" s="255">
        <v>14</v>
      </c>
      <c r="G110" s="256">
        <f>19*7</f>
        <v>133</v>
      </c>
      <c r="H110" s="257">
        <v>8</v>
      </c>
      <c r="I110" s="258">
        <v>2.56</v>
      </c>
      <c r="J110" s="350">
        <f t="shared" ref="J110:J112" si="30">G110*I110</f>
        <v>340.48</v>
      </c>
      <c r="K110" s="351">
        <f t="shared" si="3"/>
        <v>0</v>
      </c>
      <c r="L110" s="352">
        <f t="shared" si="4"/>
        <v>0</v>
      </c>
      <c r="M110" s="353">
        <f t="shared" si="9"/>
        <v>134.48960000000002</v>
      </c>
      <c r="N110" s="352">
        <f t="shared" si="10"/>
        <v>0</v>
      </c>
      <c r="O110" s="352">
        <f t="shared" si="7"/>
        <v>0</v>
      </c>
      <c r="P110" s="354">
        <f t="shared" si="15"/>
        <v>0</v>
      </c>
      <c r="Q110" s="299"/>
    </row>
    <row r="111" spans="1:19" s="16" customFormat="1" ht="30" customHeight="1" thickBot="1" x14ac:dyDescent="0.3">
      <c r="C111" s="34"/>
      <c r="D111" s="729"/>
      <c r="E111" s="572" t="s">
        <v>1237</v>
      </c>
      <c r="F111" s="550">
        <v>15</v>
      </c>
      <c r="G111" s="551">
        <f>19*2</f>
        <v>38</v>
      </c>
      <c r="H111" s="552">
        <v>8</v>
      </c>
      <c r="I111" s="553">
        <v>2.6</v>
      </c>
      <c r="J111" s="536">
        <f t="shared" si="30"/>
        <v>98.8</v>
      </c>
      <c r="K111" s="296">
        <f t="shared" si="3"/>
        <v>0</v>
      </c>
      <c r="L111" s="297">
        <f t="shared" si="4"/>
        <v>0</v>
      </c>
      <c r="M111" s="295">
        <f t="shared" si="9"/>
        <v>39.026000000000003</v>
      </c>
      <c r="N111" s="297">
        <f t="shared" si="10"/>
        <v>0</v>
      </c>
      <c r="O111" s="297">
        <f t="shared" si="7"/>
        <v>0</v>
      </c>
      <c r="P111" s="298">
        <f t="shared" si="15"/>
        <v>0</v>
      </c>
      <c r="Q111" s="299"/>
    </row>
    <row r="112" spans="1:19" s="16" customFormat="1" ht="30" customHeight="1" thickBot="1" x14ac:dyDescent="0.3">
      <c r="C112" s="34"/>
      <c r="D112" s="729"/>
      <c r="E112" s="549" t="s">
        <v>1237</v>
      </c>
      <c r="F112" s="550">
        <v>16</v>
      </c>
      <c r="G112" s="551">
        <f>19*2</f>
        <v>38</v>
      </c>
      <c r="H112" s="552">
        <v>8</v>
      </c>
      <c r="I112" s="553">
        <v>2.08</v>
      </c>
      <c r="J112" s="536">
        <f t="shared" si="30"/>
        <v>79.040000000000006</v>
      </c>
      <c r="K112" s="296">
        <f t="shared" si="3"/>
        <v>0</v>
      </c>
      <c r="L112" s="297">
        <f t="shared" si="4"/>
        <v>0</v>
      </c>
      <c r="M112" s="295">
        <f t="shared" si="9"/>
        <v>31.220800000000004</v>
      </c>
      <c r="N112" s="297">
        <f t="shared" si="10"/>
        <v>0</v>
      </c>
      <c r="O112" s="297">
        <f t="shared" si="7"/>
        <v>0</v>
      </c>
      <c r="P112" s="298">
        <f t="shared" si="15"/>
        <v>0</v>
      </c>
      <c r="Q112" s="299"/>
    </row>
    <row r="113" spans="1:19" s="16" customFormat="1" ht="14.4" thickTop="1" thickBot="1" x14ac:dyDescent="0.3">
      <c r="C113" s="34"/>
      <c r="D113" s="728" t="s">
        <v>1468</v>
      </c>
      <c r="E113" s="358" t="s">
        <v>1237</v>
      </c>
      <c r="F113" s="255">
        <v>5</v>
      </c>
      <c r="G113" s="256">
        <f>5*4</f>
        <v>20</v>
      </c>
      <c r="H113" s="257">
        <v>6.3</v>
      </c>
      <c r="I113" s="258">
        <v>2.44</v>
      </c>
      <c r="J113" s="350">
        <f t="shared" si="27"/>
        <v>48.8</v>
      </c>
      <c r="K113" s="351">
        <f t="shared" si="3"/>
        <v>0</v>
      </c>
      <c r="L113" s="352">
        <f t="shared" si="4"/>
        <v>11.956</v>
      </c>
      <c r="M113" s="353">
        <f t="shared" si="9"/>
        <v>0</v>
      </c>
      <c r="N113" s="352">
        <f t="shared" si="10"/>
        <v>0</v>
      </c>
      <c r="O113" s="352">
        <f t="shared" si="7"/>
        <v>0</v>
      </c>
      <c r="P113" s="354">
        <f t="shared" si="15"/>
        <v>0</v>
      </c>
      <c r="Q113" s="299"/>
    </row>
    <row r="114" spans="1:19" s="16" customFormat="1" ht="13.8" thickBot="1" x14ac:dyDescent="0.3">
      <c r="C114" s="34"/>
      <c r="D114" s="729"/>
      <c r="E114" s="572" t="s">
        <v>1237</v>
      </c>
      <c r="F114" s="550">
        <v>6</v>
      </c>
      <c r="G114" s="551">
        <f>5*5</f>
        <v>25</v>
      </c>
      <c r="H114" s="552">
        <v>8</v>
      </c>
      <c r="I114" s="553">
        <v>6</v>
      </c>
      <c r="J114" s="536">
        <f t="shared" si="27"/>
        <v>150</v>
      </c>
      <c r="K114" s="296">
        <f t="shared" si="3"/>
        <v>0</v>
      </c>
      <c r="L114" s="297">
        <f t="shared" si="4"/>
        <v>0</v>
      </c>
      <c r="M114" s="295">
        <f t="shared" si="9"/>
        <v>59.25</v>
      </c>
      <c r="N114" s="297">
        <f t="shared" si="10"/>
        <v>0</v>
      </c>
      <c r="O114" s="297">
        <f t="shared" si="7"/>
        <v>0</v>
      </c>
      <c r="P114" s="298">
        <f t="shared" si="15"/>
        <v>0</v>
      </c>
      <c r="Q114" s="299"/>
    </row>
    <row r="115" spans="1:19" s="16" customFormat="1" ht="13.8" thickBot="1" x14ac:dyDescent="0.3">
      <c r="C115" s="34"/>
      <c r="D115" s="729"/>
      <c r="E115" s="549" t="s">
        <v>1237</v>
      </c>
      <c r="F115" s="550">
        <v>7</v>
      </c>
      <c r="G115" s="551">
        <f>5*4</f>
        <v>20</v>
      </c>
      <c r="H115" s="552">
        <v>8</v>
      </c>
      <c r="I115" s="553">
        <v>2.19</v>
      </c>
      <c r="J115" s="536">
        <f t="shared" si="27"/>
        <v>43.8</v>
      </c>
      <c r="K115" s="296">
        <f t="shared" si="3"/>
        <v>0</v>
      </c>
      <c r="L115" s="297">
        <f t="shared" si="4"/>
        <v>0</v>
      </c>
      <c r="M115" s="295">
        <f t="shared" si="9"/>
        <v>17.300999999999998</v>
      </c>
      <c r="N115" s="297">
        <f t="shared" si="10"/>
        <v>0</v>
      </c>
      <c r="O115" s="297">
        <f t="shared" si="7"/>
        <v>0</v>
      </c>
      <c r="P115" s="298">
        <f t="shared" si="15"/>
        <v>0</v>
      </c>
      <c r="Q115" s="299"/>
    </row>
    <row r="116" spans="1:19" s="16" customFormat="1" ht="13.8" thickBot="1" x14ac:dyDescent="0.3">
      <c r="C116" s="34"/>
      <c r="D116" s="729"/>
      <c r="E116" s="572" t="s">
        <v>1237</v>
      </c>
      <c r="F116" s="550">
        <v>8</v>
      </c>
      <c r="G116" s="551">
        <f>5*9</f>
        <v>45</v>
      </c>
      <c r="H116" s="552">
        <v>8</v>
      </c>
      <c r="I116" s="553">
        <v>2.84</v>
      </c>
      <c r="J116" s="536">
        <f t="shared" si="27"/>
        <v>127.8</v>
      </c>
      <c r="K116" s="296">
        <f t="shared" si="3"/>
        <v>0</v>
      </c>
      <c r="L116" s="297">
        <f t="shared" si="4"/>
        <v>0</v>
      </c>
      <c r="M116" s="295">
        <f t="shared" si="9"/>
        <v>50.481000000000002</v>
      </c>
      <c r="N116" s="297">
        <f t="shared" si="10"/>
        <v>0</v>
      </c>
      <c r="O116" s="297">
        <f t="shared" si="7"/>
        <v>0</v>
      </c>
      <c r="P116" s="298">
        <f t="shared" si="15"/>
        <v>0</v>
      </c>
      <c r="Q116" s="299"/>
    </row>
    <row r="117" spans="1:19" ht="13.8" thickBot="1" x14ac:dyDescent="0.3">
      <c r="A117" s="16"/>
      <c r="B117" s="16"/>
      <c r="D117" s="729"/>
      <c r="E117" s="356" t="s">
        <v>1237</v>
      </c>
      <c r="F117" s="263">
        <v>10</v>
      </c>
      <c r="G117" s="264">
        <f>5*7</f>
        <v>35</v>
      </c>
      <c r="H117" s="265">
        <v>12.5</v>
      </c>
      <c r="I117" s="266">
        <v>3.01</v>
      </c>
      <c r="J117" s="357">
        <f t="shared" si="27"/>
        <v>105.35</v>
      </c>
      <c r="K117" s="267">
        <f t="shared" si="3"/>
        <v>0</v>
      </c>
      <c r="L117" s="268">
        <f t="shared" si="4"/>
        <v>0</v>
      </c>
      <c r="M117" s="222">
        <f t="shared" si="9"/>
        <v>0</v>
      </c>
      <c r="N117" s="268">
        <f t="shared" si="10"/>
        <v>0</v>
      </c>
      <c r="O117" s="268">
        <f t="shared" si="7"/>
        <v>101.45204999999999</v>
      </c>
      <c r="P117" s="269">
        <f t="shared" si="15"/>
        <v>0</v>
      </c>
      <c r="Q117" s="270"/>
      <c r="R117" s="85"/>
      <c r="S117" s="16"/>
    </row>
    <row r="118" spans="1:19" s="16" customFormat="1" ht="14.4" thickTop="1" thickBot="1" x14ac:dyDescent="0.3">
      <c r="D118" s="732" t="s">
        <v>583</v>
      </c>
      <c r="E118" s="733"/>
      <c r="F118" s="733"/>
      <c r="G118" s="733"/>
      <c r="H118" s="733"/>
      <c r="I118" s="733"/>
      <c r="J118" s="733"/>
      <c r="K118" s="733"/>
      <c r="L118" s="733"/>
      <c r="M118" s="733"/>
      <c r="N118" s="733"/>
      <c r="O118" s="733"/>
      <c r="P118" s="734"/>
      <c r="Q118" s="576"/>
    </row>
    <row r="119" spans="1:19" s="16" customFormat="1" ht="14.4" thickTop="1" thickBot="1" x14ac:dyDescent="0.3">
      <c r="C119" s="34"/>
      <c r="D119" s="728" t="s">
        <v>1522</v>
      </c>
      <c r="E119" s="358" t="s">
        <v>1237</v>
      </c>
      <c r="F119" s="255">
        <v>10</v>
      </c>
      <c r="G119" s="256">
        <f>2*2</f>
        <v>4</v>
      </c>
      <c r="H119" s="257">
        <v>6.3</v>
      </c>
      <c r="I119" s="258">
        <v>2.1800000000000002</v>
      </c>
      <c r="J119" s="350">
        <f t="shared" ref="J119:J128" si="31">G119*I119</f>
        <v>8.7200000000000006</v>
      </c>
      <c r="K119" s="351">
        <f t="shared" si="3"/>
        <v>0</v>
      </c>
      <c r="L119" s="352">
        <f t="shared" si="4"/>
        <v>2.1364000000000001</v>
      </c>
      <c r="M119" s="353">
        <f t="shared" si="9"/>
        <v>0</v>
      </c>
      <c r="N119" s="352">
        <f t="shared" si="10"/>
        <v>0</v>
      </c>
      <c r="O119" s="352">
        <f t="shared" si="7"/>
        <v>0</v>
      </c>
      <c r="P119" s="354">
        <f t="shared" si="15"/>
        <v>0</v>
      </c>
      <c r="Q119" s="299"/>
    </row>
    <row r="120" spans="1:19" s="16" customFormat="1" ht="13.8" thickBot="1" x14ac:dyDescent="0.3">
      <c r="C120" s="34"/>
      <c r="D120" s="729"/>
      <c r="E120" s="574" t="s">
        <v>1237</v>
      </c>
      <c r="F120" s="550">
        <v>12</v>
      </c>
      <c r="G120" s="551">
        <f>2*5</f>
        <v>10</v>
      </c>
      <c r="H120" s="552">
        <v>8</v>
      </c>
      <c r="I120" s="553">
        <v>4.96</v>
      </c>
      <c r="J120" s="536">
        <f t="shared" si="31"/>
        <v>49.6</v>
      </c>
      <c r="K120" s="296">
        <f t="shared" si="3"/>
        <v>0</v>
      </c>
      <c r="L120" s="297">
        <f t="shared" si="4"/>
        <v>0</v>
      </c>
      <c r="M120" s="295">
        <f t="shared" si="9"/>
        <v>19.592000000000002</v>
      </c>
      <c r="N120" s="297">
        <f t="shared" si="10"/>
        <v>0</v>
      </c>
      <c r="O120" s="297">
        <f t="shared" si="7"/>
        <v>0</v>
      </c>
      <c r="P120" s="298">
        <f t="shared" si="15"/>
        <v>0</v>
      </c>
      <c r="Q120" s="299"/>
    </row>
    <row r="121" spans="1:19" s="16" customFormat="1" ht="13.8" thickBot="1" x14ac:dyDescent="0.3">
      <c r="C121" s="34"/>
      <c r="D121" s="729"/>
      <c r="E121" s="549" t="s">
        <v>1237</v>
      </c>
      <c r="F121" s="550">
        <v>13</v>
      </c>
      <c r="G121" s="551">
        <f>2*4</f>
        <v>8</v>
      </c>
      <c r="H121" s="552">
        <v>8</v>
      </c>
      <c r="I121" s="553">
        <v>1.93</v>
      </c>
      <c r="J121" s="536">
        <f t="shared" si="31"/>
        <v>15.44</v>
      </c>
      <c r="K121" s="296">
        <f t="shared" si="3"/>
        <v>0</v>
      </c>
      <c r="L121" s="297">
        <f t="shared" si="4"/>
        <v>0</v>
      </c>
      <c r="M121" s="295">
        <f t="shared" si="9"/>
        <v>6.0987999999999998</v>
      </c>
      <c r="N121" s="297">
        <f t="shared" si="10"/>
        <v>0</v>
      </c>
      <c r="O121" s="297">
        <f t="shared" si="7"/>
        <v>0</v>
      </c>
      <c r="P121" s="298">
        <f t="shared" si="15"/>
        <v>0</v>
      </c>
      <c r="Q121" s="299"/>
    </row>
    <row r="122" spans="1:19" s="16" customFormat="1" ht="13.8" thickBot="1" x14ac:dyDescent="0.3">
      <c r="C122" s="34"/>
      <c r="D122" s="729"/>
      <c r="E122" s="574" t="s">
        <v>1237</v>
      </c>
      <c r="F122" s="550">
        <v>14</v>
      </c>
      <c r="G122" s="551">
        <f>2*8</f>
        <v>16</v>
      </c>
      <c r="H122" s="552">
        <v>8</v>
      </c>
      <c r="I122" s="553">
        <v>2.3199999999999998</v>
      </c>
      <c r="J122" s="536">
        <f t="shared" si="31"/>
        <v>37.119999999999997</v>
      </c>
      <c r="K122" s="296">
        <f t="shared" si="3"/>
        <v>0</v>
      </c>
      <c r="L122" s="297">
        <f t="shared" si="4"/>
        <v>0</v>
      </c>
      <c r="M122" s="295">
        <f t="shared" si="9"/>
        <v>14.6624</v>
      </c>
      <c r="N122" s="297">
        <f t="shared" si="10"/>
        <v>0</v>
      </c>
      <c r="O122" s="297">
        <f t="shared" si="7"/>
        <v>0</v>
      </c>
      <c r="P122" s="298">
        <f t="shared" si="15"/>
        <v>0</v>
      </c>
      <c r="Q122" s="299"/>
    </row>
    <row r="123" spans="1:19" ht="13.8" thickBot="1" x14ac:dyDescent="0.3">
      <c r="A123" s="16"/>
      <c r="B123" s="16"/>
      <c r="D123" s="729"/>
      <c r="E123" s="356" t="s">
        <v>1237</v>
      </c>
      <c r="F123" s="263">
        <v>27</v>
      </c>
      <c r="G123" s="264">
        <f>2*5</f>
        <v>10</v>
      </c>
      <c r="H123" s="265">
        <v>12.5</v>
      </c>
      <c r="I123" s="266">
        <v>2.75</v>
      </c>
      <c r="J123" s="357">
        <f t="shared" si="31"/>
        <v>27.5</v>
      </c>
      <c r="K123" s="267">
        <f t="shared" si="3"/>
        <v>0</v>
      </c>
      <c r="L123" s="268">
        <f t="shared" si="4"/>
        <v>0</v>
      </c>
      <c r="M123" s="222">
        <f t="shared" si="9"/>
        <v>0</v>
      </c>
      <c r="N123" s="268">
        <f t="shared" si="10"/>
        <v>0</v>
      </c>
      <c r="O123" s="268">
        <f t="shared" si="7"/>
        <v>26.482499999999998</v>
      </c>
      <c r="P123" s="269">
        <f t="shared" si="15"/>
        <v>0</v>
      </c>
      <c r="Q123" s="270"/>
      <c r="R123" s="85"/>
      <c r="S123" s="16"/>
    </row>
    <row r="124" spans="1:19" s="16" customFormat="1" ht="14.4" thickTop="1" thickBot="1" x14ac:dyDescent="0.3">
      <c r="C124" s="34"/>
      <c r="D124" s="728" t="s">
        <v>1525</v>
      </c>
      <c r="E124" s="358" t="s">
        <v>1237</v>
      </c>
      <c r="F124" s="255">
        <v>10</v>
      </c>
      <c r="G124" s="256">
        <f>5*2</f>
        <v>10</v>
      </c>
      <c r="H124" s="257">
        <v>6.3</v>
      </c>
      <c r="I124" s="258">
        <v>2.1800000000000002</v>
      </c>
      <c r="J124" s="350">
        <f t="shared" si="31"/>
        <v>21.8</v>
      </c>
      <c r="K124" s="351">
        <f t="shared" si="3"/>
        <v>0</v>
      </c>
      <c r="L124" s="352">
        <f t="shared" si="4"/>
        <v>5.3410000000000002</v>
      </c>
      <c r="M124" s="353">
        <f t="shared" si="9"/>
        <v>0</v>
      </c>
      <c r="N124" s="352">
        <f t="shared" si="10"/>
        <v>0</v>
      </c>
      <c r="O124" s="352">
        <f t="shared" si="7"/>
        <v>0</v>
      </c>
      <c r="P124" s="354">
        <f t="shared" si="15"/>
        <v>0</v>
      </c>
      <c r="Q124" s="299"/>
    </row>
    <row r="125" spans="1:19" s="16" customFormat="1" ht="13.8" thickBot="1" x14ac:dyDescent="0.3">
      <c r="C125" s="34"/>
      <c r="D125" s="729"/>
      <c r="E125" s="574" t="s">
        <v>1237</v>
      </c>
      <c r="F125" s="550">
        <v>12</v>
      </c>
      <c r="G125" s="551">
        <f>5*5</f>
        <v>25</v>
      </c>
      <c r="H125" s="552">
        <v>8</v>
      </c>
      <c r="I125" s="553">
        <v>4.96</v>
      </c>
      <c r="J125" s="536">
        <f t="shared" si="31"/>
        <v>124</v>
      </c>
      <c r="K125" s="296">
        <f t="shared" si="3"/>
        <v>0</v>
      </c>
      <c r="L125" s="297">
        <f t="shared" si="4"/>
        <v>0</v>
      </c>
      <c r="M125" s="295">
        <f t="shared" si="9"/>
        <v>48.980000000000004</v>
      </c>
      <c r="N125" s="297">
        <f t="shared" si="10"/>
        <v>0</v>
      </c>
      <c r="O125" s="297">
        <f t="shared" si="7"/>
        <v>0</v>
      </c>
      <c r="P125" s="298">
        <f t="shared" si="15"/>
        <v>0</v>
      </c>
      <c r="Q125" s="299"/>
    </row>
    <row r="126" spans="1:19" s="16" customFormat="1" ht="13.8" thickBot="1" x14ac:dyDescent="0.3">
      <c r="C126" s="34"/>
      <c r="D126" s="729"/>
      <c r="E126" s="549" t="s">
        <v>1237</v>
      </c>
      <c r="F126" s="550">
        <v>13</v>
      </c>
      <c r="G126" s="551">
        <f>5*5</f>
        <v>25</v>
      </c>
      <c r="H126" s="552">
        <v>8</v>
      </c>
      <c r="I126" s="553">
        <v>1.93</v>
      </c>
      <c r="J126" s="536">
        <f t="shared" si="31"/>
        <v>48.25</v>
      </c>
      <c r="K126" s="296">
        <f t="shared" si="3"/>
        <v>0</v>
      </c>
      <c r="L126" s="297">
        <f t="shared" si="4"/>
        <v>0</v>
      </c>
      <c r="M126" s="295">
        <f t="shared" si="9"/>
        <v>19.05875</v>
      </c>
      <c r="N126" s="297">
        <f t="shared" si="10"/>
        <v>0</v>
      </c>
      <c r="O126" s="297">
        <f t="shared" si="7"/>
        <v>0</v>
      </c>
      <c r="P126" s="298">
        <f t="shared" si="15"/>
        <v>0</v>
      </c>
      <c r="Q126" s="299"/>
    </row>
    <row r="127" spans="1:19" s="16" customFormat="1" ht="13.8" thickBot="1" x14ac:dyDescent="0.3">
      <c r="C127" s="34"/>
      <c r="D127" s="729"/>
      <c r="E127" s="574" t="s">
        <v>1237</v>
      </c>
      <c r="F127" s="550">
        <v>15</v>
      </c>
      <c r="G127" s="551">
        <f>5*8</f>
        <v>40</v>
      </c>
      <c r="H127" s="552">
        <v>8</v>
      </c>
      <c r="I127" s="553">
        <v>2.2200000000000002</v>
      </c>
      <c r="J127" s="536">
        <f t="shared" si="31"/>
        <v>88.800000000000011</v>
      </c>
      <c r="K127" s="296">
        <f t="shared" si="3"/>
        <v>0</v>
      </c>
      <c r="L127" s="297">
        <f t="shared" si="4"/>
        <v>0</v>
      </c>
      <c r="M127" s="295">
        <f t="shared" si="9"/>
        <v>35.076000000000008</v>
      </c>
      <c r="N127" s="297">
        <f t="shared" si="10"/>
        <v>0</v>
      </c>
      <c r="O127" s="297">
        <f t="shared" si="7"/>
        <v>0</v>
      </c>
      <c r="P127" s="298">
        <f t="shared" si="15"/>
        <v>0</v>
      </c>
      <c r="Q127" s="299"/>
    </row>
    <row r="128" spans="1:19" ht="13.8" thickBot="1" x14ac:dyDescent="0.3">
      <c r="A128" s="16"/>
      <c r="B128" s="16"/>
      <c r="D128" s="729"/>
      <c r="E128" s="356" t="s">
        <v>1237</v>
      </c>
      <c r="F128" s="263">
        <v>28</v>
      </c>
      <c r="G128" s="264">
        <f>5*9</f>
        <v>45</v>
      </c>
      <c r="H128" s="265">
        <v>12.5</v>
      </c>
      <c r="I128" s="266">
        <v>2.65</v>
      </c>
      <c r="J128" s="357">
        <f t="shared" si="31"/>
        <v>119.25</v>
      </c>
      <c r="K128" s="267">
        <f t="shared" si="3"/>
        <v>0</v>
      </c>
      <c r="L128" s="268">
        <f t="shared" si="4"/>
        <v>0</v>
      </c>
      <c r="M128" s="222">
        <f t="shared" si="9"/>
        <v>0</v>
      </c>
      <c r="N128" s="268">
        <f t="shared" si="10"/>
        <v>0</v>
      </c>
      <c r="O128" s="268">
        <f t="shared" si="7"/>
        <v>114.83775</v>
      </c>
      <c r="P128" s="269">
        <f t="shared" si="15"/>
        <v>0</v>
      </c>
      <c r="Q128" s="270"/>
      <c r="R128" s="85"/>
      <c r="S128" s="16"/>
    </row>
    <row r="129" spans="1:22" s="16" customFormat="1" ht="14.4" thickTop="1" thickBot="1" x14ac:dyDescent="0.3">
      <c r="C129" s="34"/>
      <c r="D129" s="728" t="s">
        <v>1529</v>
      </c>
      <c r="E129" s="358" t="s">
        <v>1237</v>
      </c>
      <c r="F129" s="255">
        <v>11</v>
      </c>
      <c r="G129" s="256">
        <f>2*4</f>
        <v>8</v>
      </c>
      <c r="H129" s="257">
        <v>6.3</v>
      </c>
      <c r="I129" s="258">
        <v>2.44</v>
      </c>
      <c r="J129" s="350">
        <f t="shared" ref="J129:J143" si="32">G129*I129</f>
        <v>19.52</v>
      </c>
      <c r="K129" s="351">
        <f t="shared" si="3"/>
        <v>0</v>
      </c>
      <c r="L129" s="352">
        <f t="shared" si="4"/>
        <v>4.7824</v>
      </c>
      <c r="M129" s="353">
        <f t="shared" si="9"/>
        <v>0</v>
      </c>
      <c r="N129" s="352">
        <f t="shared" si="10"/>
        <v>0</v>
      </c>
      <c r="O129" s="352">
        <f t="shared" si="7"/>
        <v>0</v>
      </c>
      <c r="P129" s="354">
        <f t="shared" si="15"/>
        <v>0</v>
      </c>
      <c r="Q129" s="299"/>
    </row>
    <row r="130" spans="1:22" s="16" customFormat="1" ht="13.8" thickBot="1" x14ac:dyDescent="0.3">
      <c r="C130" s="34"/>
      <c r="D130" s="729"/>
      <c r="E130" s="574" t="s">
        <v>1237</v>
      </c>
      <c r="F130" s="550">
        <v>18</v>
      </c>
      <c r="G130" s="551">
        <f>2*5</f>
        <v>10</v>
      </c>
      <c r="H130" s="552">
        <v>8</v>
      </c>
      <c r="I130" s="553">
        <v>6</v>
      </c>
      <c r="J130" s="536">
        <f t="shared" si="32"/>
        <v>60</v>
      </c>
      <c r="K130" s="296">
        <f t="shared" si="3"/>
        <v>0</v>
      </c>
      <c r="L130" s="297">
        <f t="shared" si="4"/>
        <v>0</v>
      </c>
      <c r="M130" s="295">
        <f t="shared" si="9"/>
        <v>23.700000000000003</v>
      </c>
      <c r="N130" s="297">
        <f t="shared" si="10"/>
        <v>0</v>
      </c>
      <c r="O130" s="297">
        <f t="shared" si="7"/>
        <v>0</v>
      </c>
      <c r="P130" s="298">
        <f t="shared" si="15"/>
        <v>0</v>
      </c>
      <c r="Q130" s="299"/>
    </row>
    <row r="131" spans="1:22" s="16" customFormat="1" ht="13.8" thickBot="1" x14ac:dyDescent="0.3">
      <c r="C131" s="34"/>
      <c r="D131" s="729"/>
      <c r="E131" s="549" t="s">
        <v>1237</v>
      </c>
      <c r="F131" s="550">
        <v>19</v>
      </c>
      <c r="G131" s="551">
        <f>2*4</f>
        <v>8</v>
      </c>
      <c r="H131" s="552">
        <v>8</v>
      </c>
      <c r="I131" s="553">
        <v>2.19</v>
      </c>
      <c r="J131" s="536">
        <f t="shared" si="32"/>
        <v>17.52</v>
      </c>
      <c r="K131" s="296">
        <f t="shared" si="3"/>
        <v>0</v>
      </c>
      <c r="L131" s="297">
        <f t="shared" si="4"/>
        <v>0</v>
      </c>
      <c r="M131" s="295">
        <f t="shared" si="9"/>
        <v>6.9203999999999999</v>
      </c>
      <c r="N131" s="297">
        <f t="shared" si="10"/>
        <v>0</v>
      </c>
      <c r="O131" s="297">
        <f t="shared" si="7"/>
        <v>0</v>
      </c>
      <c r="P131" s="298">
        <f t="shared" si="15"/>
        <v>0</v>
      </c>
      <c r="Q131" s="299"/>
    </row>
    <row r="132" spans="1:22" s="16" customFormat="1" ht="13.8" thickBot="1" x14ac:dyDescent="0.3">
      <c r="C132" s="34"/>
      <c r="D132" s="729"/>
      <c r="E132" s="574" t="s">
        <v>1237</v>
      </c>
      <c r="F132" s="550">
        <v>20</v>
      </c>
      <c r="G132" s="551">
        <f>2*9</f>
        <v>18</v>
      </c>
      <c r="H132" s="552">
        <v>8</v>
      </c>
      <c r="I132" s="553">
        <v>2.84</v>
      </c>
      <c r="J132" s="536">
        <f t="shared" si="32"/>
        <v>51.12</v>
      </c>
      <c r="K132" s="296">
        <f t="shared" si="3"/>
        <v>0</v>
      </c>
      <c r="L132" s="297">
        <f t="shared" si="4"/>
        <v>0</v>
      </c>
      <c r="M132" s="295">
        <f t="shared" si="9"/>
        <v>20.192399999999999</v>
      </c>
      <c r="N132" s="297">
        <f t="shared" si="10"/>
        <v>0</v>
      </c>
      <c r="O132" s="297">
        <f t="shared" si="7"/>
        <v>0</v>
      </c>
      <c r="P132" s="298">
        <f t="shared" si="15"/>
        <v>0</v>
      </c>
      <c r="Q132" s="299"/>
    </row>
    <row r="133" spans="1:22" ht="13.8" thickBot="1" x14ac:dyDescent="0.3">
      <c r="A133" s="16"/>
      <c r="B133" s="16"/>
      <c r="D133" s="729"/>
      <c r="E133" s="356" t="s">
        <v>1237</v>
      </c>
      <c r="F133" s="263">
        <v>30</v>
      </c>
      <c r="G133" s="264">
        <f>2*4</f>
        <v>8</v>
      </c>
      <c r="H133" s="265">
        <v>16</v>
      </c>
      <c r="I133" s="266">
        <v>3</v>
      </c>
      <c r="J133" s="357">
        <f t="shared" si="32"/>
        <v>24</v>
      </c>
      <c r="K133" s="267">
        <f t="shared" si="3"/>
        <v>0</v>
      </c>
      <c r="L133" s="268">
        <f t="shared" si="4"/>
        <v>0</v>
      </c>
      <c r="M133" s="222">
        <f t="shared" si="9"/>
        <v>0</v>
      </c>
      <c r="N133" s="268">
        <f t="shared" si="10"/>
        <v>0</v>
      </c>
      <c r="O133" s="268">
        <f t="shared" si="7"/>
        <v>0</v>
      </c>
      <c r="P133" s="269">
        <f t="shared" si="15"/>
        <v>37.872</v>
      </c>
      <c r="Q133" s="270"/>
      <c r="R133" s="85"/>
      <c r="S133" s="16"/>
    </row>
    <row r="134" spans="1:22" s="16" customFormat="1" ht="14.4" thickTop="1" thickBot="1" x14ac:dyDescent="0.3">
      <c r="C134" s="34"/>
      <c r="D134" s="728" t="s">
        <v>1530</v>
      </c>
      <c r="E134" s="358" t="s">
        <v>1237</v>
      </c>
      <c r="F134" s="255">
        <v>16</v>
      </c>
      <c r="G134" s="256">
        <v>7</v>
      </c>
      <c r="H134" s="257">
        <v>8</v>
      </c>
      <c r="I134" s="258">
        <v>3.6</v>
      </c>
      <c r="J134" s="350">
        <f t="shared" si="32"/>
        <v>25.2</v>
      </c>
      <c r="K134" s="351">
        <f t="shared" si="3"/>
        <v>0</v>
      </c>
      <c r="L134" s="352">
        <f t="shared" si="4"/>
        <v>0</v>
      </c>
      <c r="M134" s="353">
        <f t="shared" si="9"/>
        <v>9.9540000000000006</v>
      </c>
      <c r="N134" s="352">
        <f t="shared" si="10"/>
        <v>0</v>
      </c>
      <c r="O134" s="352">
        <f t="shared" si="7"/>
        <v>0</v>
      </c>
      <c r="P134" s="354">
        <f t="shared" si="15"/>
        <v>0</v>
      </c>
      <c r="Q134" s="299"/>
    </row>
    <row r="135" spans="1:22" s="16" customFormat="1" ht="13.8" thickBot="1" x14ac:dyDescent="0.3">
      <c r="C135" s="34"/>
      <c r="D135" s="729"/>
      <c r="E135" s="574" t="s">
        <v>1237</v>
      </c>
      <c r="F135" s="550">
        <v>17</v>
      </c>
      <c r="G135" s="551">
        <v>2</v>
      </c>
      <c r="H135" s="552">
        <v>8</v>
      </c>
      <c r="I135" s="553">
        <v>3.74</v>
      </c>
      <c r="J135" s="536">
        <f t="shared" si="32"/>
        <v>7.48</v>
      </c>
      <c r="K135" s="296">
        <f t="shared" si="3"/>
        <v>0</v>
      </c>
      <c r="L135" s="297">
        <f t="shared" si="4"/>
        <v>0</v>
      </c>
      <c r="M135" s="295">
        <f t="shared" si="9"/>
        <v>2.9546000000000001</v>
      </c>
      <c r="N135" s="297">
        <f t="shared" si="10"/>
        <v>0</v>
      </c>
      <c r="O135" s="297">
        <f t="shared" si="7"/>
        <v>0</v>
      </c>
      <c r="P135" s="298">
        <f t="shared" si="15"/>
        <v>0</v>
      </c>
      <c r="Q135" s="299"/>
    </row>
    <row r="136" spans="1:22" s="16" customFormat="1" ht="57" customHeight="1" thickTop="1" thickBot="1" x14ac:dyDescent="0.3">
      <c r="C136" s="34"/>
      <c r="D136" s="728" t="s">
        <v>1568</v>
      </c>
      <c r="E136" s="358" t="s">
        <v>1237</v>
      </c>
      <c r="F136" s="255">
        <v>15</v>
      </c>
      <c r="G136" s="256">
        <f>17*6</f>
        <v>102</v>
      </c>
      <c r="H136" s="257">
        <v>8</v>
      </c>
      <c r="I136" s="258">
        <v>2.56</v>
      </c>
      <c r="J136" s="350">
        <f t="shared" si="32"/>
        <v>261.12</v>
      </c>
      <c r="K136" s="351">
        <f t="shared" si="3"/>
        <v>0</v>
      </c>
      <c r="L136" s="352">
        <f t="shared" si="4"/>
        <v>0</v>
      </c>
      <c r="M136" s="353">
        <f t="shared" si="9"/>
        <v>103.14240000000001</v>
      </c>
      <c r="N136" s="352">
        <f t="shared" si="10"/>
        <v>0</v>
      </c>
      <c r="O136" s="352">
        <f t="shared" si="7"/>
        <v>0</v>
      </c>
      <c r="P136" s="354">
        <f t="shared" si="15"/>
        <v>0</v>
      </c>
      <c r="Q136" s="299"/>
    </row>
    <row r="137" spans="1:22" s="16" customFormat="1" ht="57" customHeight="1" thickBot="1" x14ac:dyDescent="0.3">
      <c r="C137" s="34"/>
      <c r="D137" s="729"/>
      <c r="E137" s="574" t="s">
        <v>1237</v>
      </c>
      <c r="F137" s="550">
        <v>16</v>
      </c>
      <c r="G137" s="551">
        <f>17*2</f>
        <v>34</v>
      </c>
      <c r="H137" s="552">
        <v>8</v>
      </c>
      <c r="I137" s="553">
        <v>2.6</v>
      </c>
      <c r="J137" s="536">
        <f t="shared" si="32"/>
        <v>88.4</v>
      </c>
      <c r="K137" s="296">
        <f t="shared" si="3"/>
        <v>0</v>
      </c>
      <c r="L137" s="297">
        <f t="shared" si="4"/>
        <v>0</v>
      </c>
      <c r="M137" s="295">
        <f t="shared" si="9"/>
        <v>34.918000000000006</v>
      </c>
      <c r="N137" s="297">
        <f t="shared" si="10"/>
        <v>0</v>
      </c>
      <c r="O137" s="297">
        <f t="shared" si="7"/>
        <v>0</v>
      </c>
      <c r="P137" s="298">
        <f t="shared" si="15"/>
        <v>0</v>
      </c>
      <c r="Q137" s="299"/>
      <c r="S137" s="16" t="s">
        <v>1580</v>
      </c>
      <c r="T137" s="16" t="s">
        <v>1581</v>
      </c>
      <c r="U137" s="16" t="s">
        <v>1582</v>
      </c>
      <c r="V137" s="16" t="s">
        <v>1583</v>
      </c>
    </row>
    <row r="138" spans="1:22" s="16" customFormat="1" ht="14.4" thickTop="1" thickBot="1" x14ac:dyDescent="0.3">
      <c r="C138" s="34"/>
      <c r="D138" s="728" t="s">
        <v>1579</v>
      </c>
      <c r="E138" s="358" t="s">
        <v>1237</v>
      </c>
      <c r="F138" s="255">
        <v>8</v>
      </c>
      <c r="G138" s="256">
        <f>4*9</f>
        <v>36</v>
      </c>
      <c r="H138" s="257">
        <v>6.3</v>
      </c>
      <c r="I138" s="258">
        <f>4*15.59+G138*0.42</f>
        <v>77.48</v>
      </c>
      <c r="J138" s="350">
        <f>I138</f>
        <v>77.48</v>
      </c>
      <c r="K138" s="351">
        <f t="shared" si="3"/>
        <v>0</v>
      </c>
      <c r="L138" s="352">
        <f t="shared" si="4"/>
        <v>18.982600000000001</v>
      </c>
      <c r="M138" s="353">
        <f t="shared" si="9"/>
        <v>0</v>
      </c>
      <c r="N138" s="352">
        <f t="shared" si="10"/>
        <v>0</v>
      </c>
      <c r="O138" s="352">
        <f t="shared" si="7"/>
        <v>0</v>
      </c>
      <c r="P138" s="354">
        <f t="shared" si="15"/>
        <v>0</v>
      </c>
      <c r="Q138" s="299"/>
      <c r="S138" s="16">
        <v>0.76</v>
      </c>
      <c r="T138" s="16">
        <v>0.18</v>
      </c>
      <c r="U138" s="16">
        <v>1.19</v>
      </c>
      <c r="V138" s="16">
        <v>0.1</v>
      </c>
    </row>
    <row r="139" spans="1:22" s="16" customFormat="1" ht="13.8" thickBot="1" x14ac:dyDescent="0.3">
      <c r="C139" s="34"/>
      <c r="D139" s="729"/>
      <c r="E139" s="574" t="s">
        <v>1237</v>
      </c>
      <c r="F139" s="550">
        <v>9</v>
      </c>
      <c r="G139" s="551">
        <f>4*10</f>
        <v>40</v>
      </c>
      <c r="H139" s="552">
        <v>6.3</v>
      </c>
      <c r="I139" s="553">
        <f>4*15.56+G139*0.42</f>
        <v>79.040000000000006</v>
      </c>
      <c r="J139" s="536">
        <f>I139</f>
        <v>79.040000000000006</v>
      </c>
      <c r="K139" s="296">
        <f t="shared" si="3"/>
        <v>0</v>
      </c>
      <c r="L139" s="297">
        <f t="shared" si="4"/>
        <v>19.364800000000002</v>
      </c>
      <c r="M139" s="295">
        <f t="shared" si="9"/>
        <v>0</v>
      </c>
      <c r="N139" s="297">
        <f t="shared" si="10"/>
        <v>0</v>
      </c>
      <c r="O139" s="297">
        <f t="shared" si="7"/>
        <v>0</v>
      </c>
      <c r="P139" s="298">
        <f t="shared" si="15"/>
        <v>0</v>
      </c>
      <c r="Q139" s="299"/>
      <c r="S139" s="16">
        <v>1.22</v>
      </c>
      <c r="T139" s="16">
        <v>1.38</v>
      </c>
      <c r="U139" s="16">
        <v>1.6</v>
      </c>
      <c r="V139" s="16">
        <v>1.31</v>
      </c>
    </row>
    <row r="140" spans="1:22" s="16" customFormat="1" ht="13.8" thickBot="1" x14ac:dyDescent="0.3">
      <c r="C140" s="34"/>
      <c r="D140" s="729"/>
      <c r="E140" s="549" t="s">
        <v>1237</v>
      </c>
      <c r="F140" s="550">
        <v>10</v>
      </c>
      <c r="G140" s="551">
        <f>4*5</f>
        <v>20</v>
      </c>
      <c r="H140" s="552">
        <v>8</v>
      </c>
      <c r="I140" s="553">
        <v>5.83</v>
      </c>
      <c r="J140" s="536">
        <f t="shared" si="32"/>
        <v>116.6</v>
      </c>
      <c r="K140" s="296">
        <f t="shared" si="3"/>
        <v>0</v>
      </c>
      <c r="L140" s="297">
        <f t="shared" si="4"/>
        <v>0</v>
      </c>
      <c r="M140" s="295">
        <f t="shared" si="9"/>
        <v>46.057000000000002</v>
      </c>
      <c r="N140" s="297">
        <f t="shared" si="10"/>
        <v>0</v>
      </c>
      <c r="O140" s="297">
        <f t="shared" si="7"/>
        <v>0</v>
      </c>
      <c r="P140" s="298">
        <f t="shared" si="15"/>
        <v>0</v>
      </c>
      <c r="Q140" s="299"/>
      <c r="S140" s="16">
        <v>1.68</v>
      </c>
      <c r="T140" s="16">
        <v>2.08</v>
      </c>
      <c r="U140" s="16">
        <v>2.02</v>
      </c>
      <c r="V140" s="16">
        <v>1.96</v>
      </c>
    </row>
    <row r="141" spans="1:22" s="16" customFormat="1" x14ac:dyDescent="0.25">
      <c r="C141" s="34"/>
      <c r="D141" s="729"/>
      <c r="E141" s="579" t="s">
        <v>1237</v>
      </c>
      <c r="F141" s="550">
        <v>11</v>
      </c>
      <c r="G141" s="551">
        <f>4*9</f>
        <v>36</v>
      </c>
      <c r="H141" s="552">
        <v>8</v>
      </c>
      <c r="I141" s="553">
        <f>4*14.83+G141*0.18</f>
        <v>65.8</v>
      </c>
      <c r="J141" s="536">
        <f t="shared" ref="J141:J142" si="33">I141</f>
        <v>65.8</v>
      </c>
      <c r="K141" s="296">
        <f t="shared" si="3"/>
        <v>0</v>
      </c>
      <c r="L141" s="297">
        <f t="shared" si="4"/>
        <v>0</v>
      </c>
      <c r="M141" s="295">
        <f t="shared" si="9"/>
        <v>25.991</v>
      </c>
      <c r="N141" s="297">
        <f t="shared" si="10"/>
        <v>0</v>
      </c>
      <c r="O141" s="297">
        <f t="shared" si="7"/>
        <v>0</v>
      </c>
      <c r="P141" s="298">
        <f t="shared" si="15"/>
        <v>0</v>
      </c>
      <c r="Q141" s="299"/>
      <c r="S141" s="16">
        <v>2.15</v>
      </c>
      <c r="T141" s="16">
        <v>2.77</v>
      </c>
      <c r="U141" s="16">
        <v>2.4300000000000002</v>
      </c>
      <c r="V141" s="16">
        <v>2.62</v>
      </c>
    </row>
    <row r="142" spans="1:22" s="16" customFormat="1" ht="13.8" thickBot="1" x14ac:dyDescent="0.3">
      <c r="C142" s="34"/>
      <c r="D142" s="729"/>
      <c r="E142" s="574" t="s">
        <v>1237</v>
      </c>
      <c r="F142" s="550">
        <v>12</v>
      </c>
      <c r="G142" s="551">
        <f>4*10</f>
        <v>40</v>
      </c>
      <c r="H142" s="552">
        <v>8</v>
      </c>
      <c r="I142" s="553">
        <f>4*13.7+G142*0.18</f>
        <v>62</v>
      </c>
      <c r="J142" s="536">
        <f t="shared" si="33"/>
        <v>62</v>
      </c>
      <c r="K142" s="296">
        <f t="shared" si="3"/>
        <v>0</v>
      </c>
      <c r="L142" s="297">
        <f t="shared" si="4"/>
        <v>0</v>
      </c>
      <c r="M142" s="295">
        <f t="shared" si="9"/>
        <v>24.490000000000002</v>
      </c>
      <c r="N142" s="297">
        <f t="shared" si="10"/>
        <v>0</v>
      </c>
      <c r="O142" s="297">
        <f t="shared" si="7"/>
        <v>0</v>
      </c>
      <c r="P142" s="298">
        <f t="shared" si="15"/>
        <v>0</v>
      </c>
      <c r="Q142" s="299"/>
      <c r="S142" s="16">
        <v>2.59</v>
      </c>
      <c r="T142" s="16">
        <v>3.29</v>
      </c>
      <c r="U142" s="16">
        <v>2.85</v>
      </c>
      <c r="V142" s="16">
        <v>3.29</v>
      </c>
    </row>
    <row r="143" spans="1:22" ht="13.8" thickBot="1" x14ac:dyDescent="0.3">
      <c r="A143" s="16"/>
      <c r="B143" s="16"/>
      <c r="D143" s="729"/>
      <c r="E143" s="356" t="s">
        <v>1237</v>
      </c>
      <c r="F143" s="263">
        <v>13</v>
      </c>
      <c r="G143" s="264">
        <f>4*27</f>
        <v>108</v>
      </c>
      <c r="H143" s="265">
        <v>10</v>
      </c>
      <c r="I143" s="266">
        <v>2.5</v>
      </c>
      <c r="J143" s="357">
        <f t="shared" si="32"/>
        <v>270</v>
      </c>
      <c r="K143" s="267">
        <f t="shared" si="3"/>
        <v>0</v>
      </c>
      <c r="L143" s="268">
        <f t="shared" si="4"/>
        <v>0</v>
      </c>
      <c r="M143" s="222">
        <f t="shared" si="9"/>
        <v>0</v>
      </c>
      <c r="N143" s="268">
        <f t="shared" si="10"/>
        <v>166.59</v>
      </c>
      <c r="O143" s="268">
        <f t="shared" si="7"/>
        <v>0</v>
      </c>
      <c r="P143" s="269">
        <f t="shared" si="15"/>
        <v>0</v>
      </c>
      <c r="Q143" s="270"/>
      <c r="R143" s="85"/>
      <c r="S143" s="16">
        <v>3.07</v>
      </c>
      <c r="T143" s="82">
        <v>3.29</v>
      </c>
      <c r="U143" s="82">
        <v>3.27</v>
      </c>
      <c r="V143" s="82">
        <v>3.29</v>
      </c>
    </row>
    <row r="144" spans="1:22" s="16" customFormat="1" ht="14.4" thickTop="1" thickBot="1" x14ac:dyDescent="0.3">
      <c r="D144" s="732" t="s">
        <v>740</v>
      </c>
      <c r="E144" s="733"/>
      <c r="F144" s="733"/>
      <c r="G144" s="733"/>
      <c r="H144" s="733"/>
      <c r="I144" s="733"/>
      <c r="J144" s="733"/>
      <c r="K144" s="733"/>
      <c r="L144" s="733"/>
      <c r="M144" s="733"/>
      <c r="N144" s="733"/>
      <c r="O144" s="733"/>
      <c r="P144" s="734"/>
      <c r="Q144" s="581"/>
    </row>
    <row r="145" spans="1:22" s="16" customFormat="1" ht="14.4" thickTop="1" thickBot="1" x14ac:dyDescent="0.3">
      <c r="C145" s="34"/>
      <c r="D145" s="728" t="s">
        <v>1636</v>
      </c>
      <c r="E145" s="358" t="s">
        <v>1237</v>
      </c>
      <c r="F145" s="255">
        <v>9</v>
      </c>
      <c r="G145" s="256">
        <v>9</v>
      </c>
      <c r="H145" s="257">
        <v>6.3</v>
      </c>
      <c r="I145" s="258">
        <f>15.59+G145*0.42</f>
        <v>19.37</v>
      </c>
      <c r="J145" s="350">
        <f>I145</f>
        <v>19.37</v>
      </c>
      <c r="K145" s="351">
        <f t="shared" si="3"/>
        <v>0</v>
      </c>
      <c r="L145" s="352">
        <f t="shared" si="4"/>
        <v>4.7456500000000004</v>
      </c>
      <c r="M145" s="353">
        <f t="shared" si="9"/>
        <v>0</v>
      </c>
      <c r="N145" s="352">
        <f t="shared" si="10"/>
        <v>0</v>
      </c>
      <c r="O145" s="352">
        <f t="shared" si="7"/>
        <v>0</v>
      </c>
      <c r="P145" s="354">
        <f t="shared" si="15"/>
        <v>0</v>
      </c>
      <c r="Q145" s="299"/>
      <c r="S145" s="16">
        <v>3.53</v>
      </c>
      <c r="T145" s="16">
        <v>2.95</v>
      </c>
      <c r="U145" s="16">
        <v>3.68</v>
      </c>
      <c r="V145" s="16">
        <v>3.2</v>
      </c>
    </row>
    <row r="146" spans="1:22" s="16" customFormat="1" ht="13.8" thickBot="1" x14ac:dyDescent="0.3">
      <c r="C146" s="34"/>
      <c r="D146" s="729"/>
      <c r="E146" s="574" t="s">
        <v>1237</v>
      </c>
      <c r="F146" s="550">
        <v>10</v>
      </c>
      <c r="G146" s="551">
        <v>10</v>
      </c>
      <c r="H146" s="552">
        <v>6.3</v>
      </c>
      <c r="I146" s="553">
        <f>15.56+G146*0.42</f>
        <v>19.760000000000002</v>
      </c>
      <c r="J146" s="536">
        <f>I146</f>
        <v>19.760000000000002</v>
      </c>
      <c r="K146" s="296">
        <f t="shared" si="3"/>
        <v>0</v>
      </c>
      <c r="L146" s="297">
        <f t="shared" si="4"/>
        <v>4.8412000000000006</v>
      </c>
      <c r="M146" s="295">
        <f t="shared" si="9"/>
        <v>0</v>
      </c>
      <c r="N146" s="297">
        <f t="shared" si="10"/>
        <v>0</v>
      </c>
      <c r="O146" s="297">
        <f t="shared" si="7"/>
        <v>0</v>
      </c>
      <c r="P146" s="298">
        <f t="shared" si="15"/>
        <v>0</v>
      </c>
      <c r="Q146" s="299"/>
      <c r="S146" s="16">
        <v>3.62</v>
      </c>
      <c r="T146" s="16">
        <v>2.27</v>
      </c>
      <c r="U146" s="16">
        <v>3.52</v>
      </c>
      <c r="V146" s="16">
        <v>2.54</v>
      </c>
    </row>
    <row r="147" spans="1:22" s="16" customFormat="1" ht="13.8" thickBot="1" x14ac:dyDescent="0.3">
      <c r="C147" s="34"/>
      <c r="D147" s="729"/>
      <c r="E147" s="549" t="s">
        <v>1237</v>
      </c>
      <c r="F147" s="550">
        <v>13</v>
      </c>
      <c r="G147" s="551">
        <v>5</v>
      </c>
      <c r="H147" s="552">
        <v>8</v>
      </c>
      <c r="I147" s="553">
        <v>5.83</v>
      </c>
      <c r="J147" s="536">
        <f t="shared" ref="J147" si="34">G147*I147</f>
        <v>29.15</v>
      </c>
      <c r="K147" s="296">
        <f t="shared" si="3"/>
        <v>0</v>
      </c>
      <c r="L147" s="297">
        <f t="shared" si="4"/>
        <v>0</v>
      </c>
      <c r="M147" s="295">
        <f t="shared" si="9"/>
        <v>11.514250000000001</v>
      </c>
      <c r="N147" s="297">
        <f t="shared" si="10"/>
        <v>0</v>
      </c>
      <c r="O147" s="297">
        <f t="shared" si="7"/>
        <v>0</v>
      </c>
      <c r="P147" s="298">
        <f t="shared" si="15"/>
        <v>0</v>
      </c>
      <c r="Q147" s="299"/>
      <c r="S147" s="16">
        <v>3.16</v>
      </c>
      <c r="T147" s="16">
        <v>1.57</v>
      </c>
      <c r="U147" s="16">
        <v>3.1</v>
      </c>
      <c r="V147" s="16">
        <v>1.88</v>
      </c>
    </row>
    <row r="148" spans="1:22" s="16" customFormat="1" ht="13.8" thickBot="1" x14ac:dyDescent="0.3">
      <c r="C148" s="34"/>
      <c r="D148" s="729"/>
      <c r="E148" s="549" t="s">
        <v>1237</v>
      </c>
      <c r="F148" s="550">
        <v>14</v>
      </c>
      <c r="G148" s="551">
        <v>9</v>
      </c>
      <c r="H148" s="552">
        <v>8</v>
      </c>
      <c r="I148" s="553">
        <f>14.83+G148*0.18</f>
        <v>16.45</v>
      </c>
      <c r="J148" s="536">
        <f t="shared" ref="J148:J149" si="35">I148</f>
        <v>16.45</v>
      </c>
      <c r="K148" s="296">
        <f t="shared" si="3"/>
        <v>0</v>
      </c>
      <c r="L148" s="297">
        <f t="shared" si="4"/>
        <v>0</v>
      </c>
      <c r="M148" s="295">
        <f t="shared" si="9"/>
        <v>6.4977499999999999</v>
      </c>
      <c r="N148" s="297">
        <f t="shared" si="10"/>
        <v>0</v>
      </c>
      <c r="O148" s="297">
        <f t="shared" si="7"/>
        <v>0</v>
      </c>
      <c r="P148" s="298">
        <f t="shared" si="15"/>
        <v>0</v>
      </c>
      <c r="Q148" s="299"/>
      <c r="S148" s="16">
        <v>3.16</v>
      </c>
      <c r="T148" s="16">
        <v>1.57</v>
      </c>
      <c r="U148" s="16">
        <v>3.1</v>
      </c>
      <c r="V148" s="16">
        <v>1.88</v>
      </c>
    </row>
    <row r="149" spans="1:22" s="16" customFormat="1" ht="13.8" thickBot="1" x14ac:dyDescent="0.3">
      <c r="C149" s="34"/>
      <c r="D149" s="729"/>
      <c r="E149" s="574" t="s">
        <v>1237</v>
      </c>
      <c r="F149" s="550">
        <v>15</v>
      </c>
      <c r="G149" s="551">
        <v>10</v>
      </c>
      <c r="H149" s="552">
        <v>8</v>
      </c>
      <c r="I149" s="553">
        <f>13.7+G149*0.18</f>
        <v>15.5</v>
      </c>
      <c r="J149" s="536">
        <f t="shared" si="35"/>
        <v>15.5</v>
      </c>
      <c r="K149" s="296">
        <f t="shared" si="3"/>
        <v>0</v>
      </c>
      <c r="L149" s="297">
        <f t="shared" si="4"/>
        <v>0</v>
      </c>
      <c r="M149" s="295">
        <f t="shared" si="9"/>
        <v>6.1225000000000005</v>
      </c>
      <c r="N149" s="297">
        <f t="shared" si="10"/>
        <v>0</v>
      </c>
      <c r="O149" s="297">
        <f t="shared" si="7"/>
        <v>0</v>
      </c>
      <c r="P149" s="298">
        <f t="shared" si="15"/>
        <v>0</v>
      </c>
      <c r="Q149" s="299"/>
      <c r="S149" s="16">
        <f>SUM(S138:S148)/2</f>
        <v>12.47</v>
      </c>
      <c r="T149" s="16">
        <v>0.54</v>
      </c>
      <c r="U149" s="16">
        <f>SUM(U138:U148)/2</f>
        <v>13.38</v>
      </c>
      <c r="V149" s="16">
        <v>1.21</v>
      </c>
    </row>
    <row r="150" spans="1:22" ht="13.8" thickBot="1" x14ac:dyDescent="0.3">
      <c r="A150" s="16"/>
      <c r="B150" s="16"/>
      <c r="D150" s="729"/>
      <c r="E150" s="356" t="s">
        <v>1237</v>
      </c>
      <c r="F150" s="263">
        <v>16</v>
      </c>
      <c r="G150" s="264">
        <v>27</v>
      </c>
      <c r="H150" s="265">
        <v>8</v>
      </c>
      <c r="I150" s="266">
        <v>2.61</v>
      </c>
      <c r="J150" s="357">
        <f t="shared" ref="J150" si="36">G150*I150</f>
        <v>70.47</v>
      </c>
      <c r="K150" s="267">
        <f t="shared" si="3"/>
        <v>0</v>
      </c>
      <c r="L150" s="268">
        <f t="shared" si="4"/>
        <v>0</v>
      </c>
      <c r="M150" s="222">
        <f t="shared" si="9"/>
        <v>27.835650000000001</v>
      </c>
      <c r="N150" s="268">
        <f t="shared" si="10"/>
        <v>0</v>
      </c>
      <c r="O150" s="268">
        <f t="shared" si="7"/>
        <v>0</v>
      </c>
      <c r="P150" s="269">
        <f t="shared" si="15"/>
        <v>0</v>
      </c>
      <c r="Q150" s="270"/>
      <c r="R150" s="85"/>
      <c r="S150" s="16"/>
      <c r="T150" s="82">
        <f>SUM(T138:T149)/2</f>
        <v>10.944999999999999</v>
      </c>
      <c r="V150" s="82">
        <f>SUM(V138:V149)/2</f>
        <v>11.639999999999999</v>
      </c>
    </row>
    <row r="151" spans="1:22" s="16" customFormat="1" ht="14.4" thickTop="1" thickBot="1" x14ac:dyDescent="0.3">
      <c r="C151" s="34"/>
      <c r="D151" s="728" t="s">
        <v>1638</v>
      </c>
      <c r="E151" s="358" t="s">
        <v>1237</v>
      </c>
      <c r="F151" s="255">
        <v>11</v>
      </c>
      <c r="G151" s="256">
        <v>2</v>
      </c>
      <c r="H151" s="257">
        <v>6.3</v>
      </c>
      <c r="I151" s="258">
        <v>2.2799999999999998</v>
      </c>
      <c r="J151" s="350">
        <f t="shared" ref="J151:J185" si="37">G151*I151</f>
        <v>4.5599999999999996</v>
      </c>
      <c r="K151" s="351">
        <f t="shared" si="3"/>
        <v>0</v>
      </c>
      <c r="L151" s="352">
        <f t="shared" si="4"/>
        <v>1.1172</v>
      </c>
      <c r="M151" s="353">
        <f t="shared" si="9"/>
        <v>0</v>
      </c>
      <c r="N151" s="352">
        <f t="shared" si="10"/>
        <v>0</v>
      </c>
      <c r="O151" s="352">
        <f t="shared" si="7"/>
        <v>0</v>
      </c>
      <c r="P151" s="354">
        <f t="shared" si="15"/>
        <v>0</v>
      </c>
      <c r="Q151" s="299"/>
    </row>
    <row r="152" spans="1:22" s="16" customFormat="1" ht="13.8" thickBot="1" x14ac:dyDescent="0.3">
      <c r="C152" s="34"/>
      <c r="D152" s="729"/>
      <c r="E152" s="582" t="s">
        <v>1237</v>
      </c>
      <c r="F152" s="550">
        <v>17</v>
      </c>
      <c r="G152" s="551">
        <v>5</v>
      </c>
      <c r="H152" s="552">
        <v>8</v>
      </c>
      <c r="I152" s="553">
        <v>5.36</v>
      </c>
      <c r="J152" s="536">
        <f t="shared" si="37"/>
        <v>26.8</v>
      </c>
      <c r="K152" s="296">
        <f t="shared" si="3"/>
        <v>0</v>
      </c>
      <c r="L152" s="297">
        <f t="shared" si="4"/>
        <v>0</v>
      </c>
      <c r="M152" s="295">
        <f t="shared" si="9"/>
        <v>10.586</v>
      </c>
      <c r="N152" s="297">
        <f t="shared" si="10"/>
        <v>0</v>
      </c>
      <c r="O152" s="297">
        <f t="shared" si="7"/>
        <v>0</v>
      </c>
      <c r="P152" s="298">
        <f t="shared" si="15"/>
        <v>0</v>
      </c>
      <c r="Q152" s="299"/>
    </row>
    <row r="153" spans="1:22" s="16" customFormat="1" ht="13.8" thickBot="1" x14ac:dyDescent="0.3">
      <c r="C153" s="34"/>
      <c r="D153" s="729"/>
      <c r="E153" s="549" t="s">
        <v>1237</v>
      </c>
      <c r="F153" s="550">
        <v>18</v>
      </c>
      <c r="G153" s="551">
        <v>4</v>
      </c>
      <c r="H153" s="552">
        <v>8</v>
      </c>
      <c r="I153" s="553">
        <v>2.0299999999999998</v>
      </c>
      <c r="J153" s="536">
        <f t="shared" si="37"/>
        <v>8.1199999999999992</v>
      </c>
      <c r="K153" s="296">
        <f t="shared" si="3"/>
        <v>0</v>
      </c>
      <c r="L153" s="297">
        <f t="shared" si="4"/>
        <v>0</v>
      </c>
      <c r="M153" s="295">
        <f t="shared" si="9"/>
        <v>3.2073999999999998</v>
      </c>
      <c r="N153" s="297">
        <f t="shared" si="10"/>
        <v>0</v>
      </c>
      <c r="O153" s="297">
        <f t="shared" si="7"/>
        <v>0</v>
      </c>
      <c r="P153" s="298">
        <f t="shared" si="15"/>
        <v>0</v>
      </c>
      <c r="Q153" s="299"/>
    </row>
    <row r="154" spans="1:22" s="16" customFormat="1" ht="13.8" thickBot="1" x14ac:dyDescent="0.3">
      <c r="C154" s="34"/>
      <c r="D154" s="729"/>
      <c r="E154" s="582" t="s">
        <v>1237</v>
      </c>
      <c r="F154" s="550">
        <v>19</v>
      </c>
      <c r="G154" s="551">
        <v>9</v>
      </c>
      <c r="H154" s="552">
        <v>8</v>
      </c>
      <c r="I154" s="553">
        <v>2.42</v>
      </c>
      <c r="J154" s="536">
        <f t="shared" si="37"/>
        <v>21.78</v>
      </c>
      <c r="K154" s="296">
        <f t="shared" si="3"/>
        <v>0</v>
      </c>
      <c r="L154" s="297">
        <f t="shared" si="4"/>
        <v>0</v>
      </c>
      <c r="M154" s="295">
        <f t="shared" si="9"/>
        <v>8.6031000000000013</v>
      </c>
      <c r="N154" s="297">
        <f t="shared" si="10"/>
        <v>0</v>
      </c>
      <c r="O154" s="297">
        <f t="shared" si="7"/>
        <v>0</v>
      </c>
      <c r="P154" s="298">
        <f t="shared" si="15"/>
        <v>0</v>
      </c>
      <c r="Q154" s="299"/>
    </row>
    <row r="155" spans="1:22" ht="13.8" thickBot="1" x14ac:dyDescent="0.3">
      <c r="A155" s="16"/>
      <c r="B155" s="16"/>
      <c r="D155" s="729"/>
      <c r="E155" s="356" t="s">
        <v>1237</v>
      </c>
      <c r="F155" s="263">
        <v>23</v>
      </c>
      <c r="G155" s="264">
        <v>11</v>
      </c>
      <c r="H155" s="265">
        <v>10</v>
      </c>
      <c r="I155" s="266">
        <v>2.76</v>
      </c>
      <c r="J155" s="357">
        <f t="shared" si="37"/>
        <v>30.36</v>
      </c>
      <c r="K155" s="267">
        <f t="shared" si="3"/>
        <v>0</v>
      </c>
      <c r="L155" s="268">
        <f t="shared" si="4"/>
        <v>0</v>
      </c>
      <c r="M155" s="222">
        <f t="shared" si="9"/>
        <v>0</v>
      </c>
      <c r="N155" s="268">
        <f t="shared" si="10"/>
        <v>18.732119999999998</v>
      </c>
      <c r="O155" s="268">
        <f t="shared" si="7"/>
        <v>0</v>
      </c>
      <c r="P155" s="269">
        <f t="shared" si="15"/>
        <v>0</v>
      </c>
      <c r="Q155" s="270"/>
      <c r="R155" s="85"/>
      <c r="S155" s="16"/>
    </row>
    <row r="156" spans="1:22" s="16" customFormat="1" ht="14.4" thickTop="1" thickBot="1" x14ac:dyDescent="0.3">
      <c r="C156" s="34"/>
      <c r="D156" s="728" t="s">
        <v>1640</v>
      </c>
      <c r="E156" s="358" t="s">
        <v>1237</v>
      </c>
      <c r="F156" s="255">
        <v>12</v>
      </c>
      <c r="G156" s="256">
        <f>2*2</f>
        <v>4</v>
      </c>
      <c r="H156" s="257">
        <v>6.3</v>
      </c>
      <c r="I156" s="258">
        <v>2.1800000000000002</v>
      </c>
      <c r="J156" s="350">
        <f t="shared" si="37"/>
        <v>8.7200000000000006</v>
      </c>
      <c r="K156" s="351">
        <f t="shared" si="3"/>
        <v>0</v>
      </c>
      <c r="L156" s="352">
        <f t="shared" si="4"/>
        <v>2.1364000000000001</v>
      </c>
      <c r="M156" s="353">
        <f t="shared" si="9"/>
        <v>0</v>
      </c>
      <c r="N156" s="352">
        <f t="shared" si="10"/>
        <v>0</v>
      </c>
      <c r="O156" s="352">
        <f t="shared" si="7"/>
        <v>0</v>
      </c>
      <c r="P156" s="354">
        <f t="shared" si="15"/>
        <v>0</v>
      </c>
      <c r="Q156" s="299"/>
    </row>
    <row r="157" spans="1:22" s="16" customFormat="1" ht="13.8" thickBot="1" x14ac:dyDescent="0.3">
      <c r="C157" s="34"/>
      <c r="D157" s="729"/>
      <c r="E157" s="582" t="s">
        <v>1237</v>
      </c>
      <c r="F157" s="550">
        <v>20</v>
      </c>
      <c r="G157" s="551">
        <f>2*5</f>
        <v>10</v>
      </c>
      <c r="H157" s="552">
        <v>8</v>
      </c>
      <c r="I157" s="553">
        <v>4.96</v>
      </c>
      <c r="J157" s="536">
        <f t="shared" si="37"/>
        <v>49.6</v>
      </c>
      <c r="K157" s="296">
        <f t="shared" si="3"/>
        <v>0</v>
      </c>
      <c r="L157" s="297">
        <f t="shared" si="4"/>
        <v>0</v>
      </c>
      <c r="M157" s="295">
        <f t="shared" si="9"/>
        <v>19.592000000000002</v>
      </c>
      <c r="N157" s="297">
        <f t="shared" si="10"/>
        <v>0</v>
      </c>
      <c r="O157" s="297">
        <f t="shared" si="7"/>
        <v>0</v>
      </c>
      <c r="P157" s="298">
        <f t="shared" si="15"/>
        <v>0</v>
      </c>
      <c r="Q157" s="299"/>
    </row>
    <row r="158" spans="1:22" s="16" customFormat="1" ht="13.8" thickBot="1" x14ac:dyDescent="0.3">
      <c r="C158" s="34"/>
      <c r="D158" s="729"/>
      <c r="E158" s="549" t="s">
        <v>1237</v>
      </c>
      <c r="F158" s="550">
        <v>21</v>
      </c>
      <c r="G158" s="551">
        <f>2*4</f>
        <v>8</v>
      </c>
      <c r="H158" s="552">
        <v>8</v>
      </c>
      <c r="I158" s="553">
        <v>1.93</v>
      </c>
      <c r="J158" s="536">
        <f t="shared" si="37"/>
        <v>15.44</v>
      </c>
      <c r="K158" s="296">
        <f t="shared" si="3"/>
        <v>0</v>
      </c>
      <c r="L158" s="297">
        <f t="shared" si="4"/>
        <v>0</v>
      </c>
      <c r="M158" s="295">
        <f t="shared" si="9"/>
        <v>6.0987999999999998</v>
      </c>
      <c r="N158" s="297">
        <f t="shared" si="10"/>
        <v>0</v>
      </c>
      <c r="O158" s="297">
        <f t="shared" si="7"/>
        <v>0</v>
      </c>
      <c r="P158" s="298">
        <f t="shared" si="15"/>
        <v>0</v>
      </c>
      <c r="Q158" s="299"/>
    </row>
    <row r="159" spans="1:22" s="16" customFormat="1" ht="13.8" thickBot="1" x14ac:dyDescent="0.3">
      <c r="C159" s="34"/>
      <c r="D159" s="729"/>
      <c r="E159" s="582" t="s">
        <v>1237</v>
      </c>
      <c r="F159" s="550">
        <v>22</v>
      </c>
      <c r="G159" s="551">
        <f>2*8</f>
        <v>16</v>
      </c>
      <c r="H159" s="552">
        <v>8</v>
      </c>
      <c r="I159" s="553">
        <v>2.3199999999999998</v>
      </c>
      <c r="J159" s="536">
        <f t="shared" si="37"/>
        <v>37.119999999999997</v>
      </c>
      <c r="K159" s="296">
        <f t="shared" si="3"/>
        <v>0</v>
      </c>
      <c r="L159" s="297">
        <f t="shared" si="4"/>
        <v>0</v>
      </c>
      <c r="M159" s="295">
        <f t="shared" si="9"/>
        <v>14.6624</v>
      </c>
      <c r="N159" s="297">
        <f t="shared" si="10"/>
        <v>0</v>
      </c>
      <c r="O159" s="297">
        <f t="shared" si="7"/>
        <v>0</v>
      </c>
      <c r="P159" s="298">
        <f t="shared" si="15"/>
        <v>0</v>
      </c>
      <c r="Q159" s="299"/>
    </row>
    <row r="160" spans="1:22" ht="13.8" thickBot="1" x14ac:dyDescent="0.3">
      <c r="A160" s="16"/>
      <c r="B160" s="16"/>
      <c r="D160" s="729"/>
      <c r="E160" s="356" t="s">
        <v>1237</v>
      </c>
      <c r="F160" s="263">
        <v>24</v>
      </c>
      <c r="G160" s="264">
        <f>2*5</f>
        <v>10</v>
      </c>
      <c r="H160" s="265">
        <v>12.5</v>
      </c>
      <c r="I160" s="266">
        <v>2.75</v>
      </c>
      <c r="J160" s="357">
        <f t="shared" si="37"/>
        <v>27.5</v>
      </c>
      <c r="K160" s="267">
        <f t="shared" si="3"/>
        <v>0</v>
      </c>
      <c r="L160" s="268">
        <f t="shared" si="4"/>
        <v>0</v>
      </c>
      <c r="M160" s="222">
        <f t="shared" si="9"/>
        <v>0</v>
      </c>
      <c r="N160" s="268">
        <f t="shared" si="10"/>
        <v>0</v>
      </c>
      <c r="O160" s="268">
        <f t="shared" si="7"/>
        <v>26.482499999999998</v>
      </c>
      <c r="P160" s="269">
        <f t="shared" si="15"/>
        <v>0</v>
      </c>
      <c r="Q160" s="270"/>
      <c r="R160" s="85"/>
      <c r="S160" s="16"/>
    </row>
    <row r="161" spans="1:19" s="16" customFormat="1" ht="14.4" thickTop="1" thickBot="1" x14ac:dyDescent="0.3">
      <c r="C161" s="34"/>
      <c r="D161" s="728" t="s">
        <v>1643</v>
      </c>
      <c r="E161" s="358" t="s">
        <v>1237</v>
      </c>
      <c r="F161" s="255">
        <v>10</v>
      </c>
      <c r="G161" s="256">
        <v>2</v>
      </c>
      <c r="H161" s="257">
        <v>6.3</v>
      </c>
      <c r="I161" s="258">
        <v>1.78</v>
      </c>
      <c r="J161" s="350">
        <f t="shared" ref="J161:J181" si="38">G161*I161</f>
        <v>3.56</v>
      </c>
      <c r="K161" s="351">
        <f t="shared" si="3"/>
        <v>0</v>
      </c>
      <c r="L161" s="352">
        <f t="shared" si="4"/>
        <v>0.87219999999999998</v>
      </c>
      <c r="M161" s="353">
        <f t="shared" si="9"/>
        <v>0</v>
      </c>
      <c r="N161" s="352">
        <f t="shared" si="10"/>
        <v>0</v>
      </c>
      <c r="O161" s="352">
        <f t="shared" si="7"/>
        <v>0</v>
      </c>
      <c r="P161" s="354">
        <f t="shared" si="15"/>
        <v>0</v>
      </c>
      <c r="Q161" s="299"/>
    </row>
    <row r="162" spans="1:19" s="16" customFormat="1" ht="13.8" thickBot="1" x14ac:dyDescent="0.3">
      <c r="C162" s="34"/>
      <c r="D162" s="729"/>
      <c r="E162" s="582" t="s">
        <v>1237</v>
      </c>
      <c r="F162" s="550">
        <v>13</v>
      </c>
      <c r="G162" s="551">
        <v>5</v>
      </c>
      <c r="H162" s="552">
        <v>8</v>
      </c>
      <c r="I162" s="553">
        <v>3.96</v>
      </c>
      <c r="J162" s="536">
        <f t="shared" si="38"/>
        <v>19.8</v>
      </c>
      <c r="K162" s="296">
        <f t="shared" si="3"/>
        <v>0</v>
      </c>
      <c r="L162" s="297">
        <f t="shared" si="4"/>
        <v>0</v>
      </c>
      <c r="M162" s="295">
        <f t="shared" si="9"/>
        <v>7.8210000000000006</v>
      </c>
      <c r="N162" s="297">
        <f t="shared" si="10"/>
        <v>0</v>
      </c>
      <c r="O162" s="297">
        <f t="shared" si="7"/>
        <v>0</v>
      </c>
      <c r="P162" s="298">
        <f t="shared" si="15"/>
        <v>0</v>
      </c>
      <c r="Q162" s="299"/>
    </row>
    <row r="163" spans="1:19" s="16" customFormat="1" ht="13.8" thickBot="1" x14ac:dyDescent="0.3">
      <c r="C163" s="34"/>
      <c r="D163" s="729"/>
      <c r="E163" s="549" t="s">
        <v>1237</v>
      </c>
      <c r="F163" s="550">
        <v>14</v>
      </c>
      <c r="G163" s="551">
        <v>4</v>
      </c>
      <c r="H163" s="552">
        <v>8</v>
      </c>
      <c r="I163" s="553">
        <v>1.53</v>
      </c>
      <c r="J163" s="536">
        <f t="shared" si="38"/>
        <v>6.12</v>
      </c>
      <c r="K163" s="296">
        <f t="shared" si="3"/>
        <v>0</v>
      </c>
      <c r="L163" s="297">
        <f t="shared" si="4"/>
        <v>0</v>
      </c>
      <c r="M163" s="295">
        <f t="shared" si="9"/>
        <v>2.4174000000000002</v>
      </c>
      <c r="N163" s="297">
        <f t="shared" si="10"/>
        <v>0</v>
      </c>
      <c r="O163" s="297">
        <f t="shared" si="7"/>
        <v>0</v>
      </c>
      <c r="P163" s="298">
        <f t="shared" si="15"/>
        <v>0</v>
      </c>
      <c r="Q163" s="299"/>
    </row>
    <row r="164" spans="1:19" s="16" customFormat="1" ht="13.8" thickBot="1" x14ac:dyDescent="0.3">
      <c r="C164" s="34"/>
      <c r="D164" s="729"/>
      <c r="E164" s="582" t="s">
        <v>1237</v>
      </c>
      <c r="F164" s="550">
        <v>15</v>
      </c>
      <c r="G164" s="551">
        <v>7</v>
      </c>
      <c r="H164" s="552">
        <v>8</v>
      </c>
      <c r="I164" s="553">
        <v>1.72</v>
      </c>
      <c r="J164" s="536">
        <f t="shared" si="38"/>
        <v>12.04</v>
      </c>
      <c r="K164" s="296">
        <f t="shared" si="3"/>
        <v>0</v>
      </c>
      <c r="L164" s="297">
        <f t="shared" si="4"/>
        <v>0</v>
      </c>
      <c r="M164" s="295">
        <f t="shared" si="9"/>
        <v>4.7557999999999998</v>
      </c>
      <c r="N164" s="297">
        <f t="shared" si="10"/>
        <v>0</v>
      </c>
      <c r="O164" s="297">
        <f t="shared" si="7"/>
        <v>0</v>
      </c>
      <c r="P164" s="298">
        <f t="shared" si="15"/>
        <v>0</v>
      </c>
      <c r="Q164" s="299"/>
    </row>
    <row r="165" spans="1:19" ht="13.8" thickBot="1" x14ac:dyDescent="0.3">
      <c r="A165" s="16"/>
      <c r="B165" s="16"/>
      <c r="D165" s="729"/>
      <c r="E165" s="356" t="s">
        <v>1237</v>
      </c>
      <c r="F165" s="263">
        <v>24</v>
      </c>
      <c r="G165" s="264">
        <v>6</v>
      </c>
      <c r="H165" s="265">
        <v>12.5</v>
      </c>
      <c r="I165" s="266">
        <v>1.95</v>
      </c>
      <c r="J165" s="357">
        <f t="shared" si="38"/>
        <v>11.7</v>
      </c>
      <c r="K165" s="267">
        <f t="shared" si="3"/>
        <v>0</v>
      </c>
      <c r="L165" s="268">
        <f t="shared" si="4"/>
        <v>0</v>
      </c>
      <c r="M165" s="222">
        <f t="shared" si="9"/>
        <v>0</v>
      </c>
      <c r="N165" s="268">
        <f t="shared" si="10"/>
        <v>0</v>
      </c>
      <c r="O165" s="268">
        <f t="shared" si="7"/>
        <v>11.267099999999999</v>
      </c>
      <c r="P165" s="269">
        <f t="shared" si="15"/>
        <v>0</v>
      </c>
      <c r="Q165" s="270"/>
      <c r="R165" s="85"/>
      <c r="S165" s="16"/>
    </row>
    <row r="166" spans="1:19" s="16" customFormat="1" ht="14.4" thickTop="1" thickBot="1" x14ac:dyDescent="0.3">
      <c r="C166" s="34"/>
      <c r="D166" s="728" t="s">
        <v>1645</v>
      </c>
      <c r="E166" s="358" t="s">
        <v>1237</v>
      </c>
      <c r="F166" s="255">
        <v>11</v>
      </c>
      <c r="G166" s="256">
        <f>5*2</f>
        <v>10</v>
      </c>
      <c r="H166" s="257">
        <v>6.3</v>
      </c>
      <c r="I166" s="258">
        <v>2.1800000000000002</v>
      </c>
      <c r="J166" s="350">
        <f t="shared" si="38"/>
        <v>21.8</v>
      </c>
      <c r="K166" s="351">
        <f t="shared" si="3"/>
        <v>0</v>
      </c>
      <c r="L166" s="352">
        <f t="shared" si="4"/>
        <v>5.3410000000000002</v>
      </c>
      <c r="M166" s="353">
        <f t="shared" si="9"/>
        <v>0</v>
      </c>
      <c r="N166" s="352">
        <f t="shared" si="10"/>
        <v>0</v>
      </c>
      <c r="O166" s="352">
        <f t="shared" si="7"/>
        <v>0</v>
      </c>
      <c r="P166" s="354">
        <f t="shared" si="15"/>
        <v>0</v>
      </c>
      <c r="Q166" s="299"/>
    </row>
    <row r="167" spans="1:19" s="16" customFormat="1" ht="13.8" thickBot="1" x14ac:dyDescent="0.3">
      <c r="C167" s="34"/>
      <c r="D167" s="729"/>
      <c r="E167" s="582" t="s">
        <v>1237</v>
      </c>
      <c r="F167" s="550">
        <v>16</v>
      </c>
      <c r="G167" s="551">
        <f>5*5</f>
        <v>25</v>
      </c>
      <c r="H167" s="552">
        <v>8</v>
      </c>
      <c r="I167" s="553">
        <v>4.96</v>
      </c>
      <c r="J167" s="536">
        <f t="shared" si="38"/>
        <v>124</v>
      </c>
      <c r="K167" s="296">
        <f t="shared" si="3"/>
        <v>0</v>
      </c>
      <c r="L167" s="297">
        <f t="shared" si="4"/>
        <v>0</v>
      </c>
      <c r="M167" s="295">
        <f t="shared" si="9"/>
        <v>48.980000000000004</v>
      </c>
      <c r="N167" s="297">
        <f t="shared" si="10"/>
        <v>0</v>
      </c>
      <c r="O167" s="297">
        <f t="shared" si="7"/>
        <v>0</v>
      </c>
      <c r="P167" s="298">
        <f t="shared" si="15"/>
        <v>0</v>
      </c>
      <c r="Q167" s="299"/>
    </row>
    <row r="168" spans="1:19" s="16" customFormat="1" ht="13.8" thickBot="1" x14ac:dyDescent="0.3">
      <c r="C168" s="34"/>
      <c r="D168" s="729"/>
      <c r="E168" s="549" t="s">
        <v>1237</v>
      </c>
      <c r="F168" s="550">
        <v>17</v>
      </c>
      <c r="G168" s="551">
        <f>5*5</f>
        <v>25</v>
      </c>
      <c r="H168" s="552">
        <v>8</v>
      </c>
      <c r="I168" s="553">
        <v>1.93</v>
      </c>
      <c r="J168" s="536">
        <f t="shared" si="38"/>
        <v>48.25</v>
      </c>
      <c r="K168" s="296">
        <f t="shared" si="3"/>
        <v>0</v>
      </c>
      <c r="L168" s="297">
        <f t="shared" si="4"/>
        <v>0</v>
      </c>
      <c r="M168" s="295">
        <f t="shared" si="9"/>
        <v>19.05875</v>
      </c>
      <c r="N168" s="297">
        <f t="shared" si="10"/>
        <v>0</v>
      </c>
      <c r="O168" s="297">
        <f t="shared" si="7"/>
        <v>0</v>
      </c>
      <c r="P168" s="298">
        <f t="shared" si="15"/>
        <v>0</v>
      </c>
      <c r="Q168" s="299"/>
    </row>
    <row r="169" spans="1:19" s="16" customFormat="1" ht="13.8" thickBot="1" x14ac:dyDescent="0.3">
      <c r="C169" s="34"/>
      <c r="D169" s="729"/>
      <c r="E169" s="582" t="s">
        <v>1237</v>
      </c>
      <c r="F169" s="550">
        <v>18</v>
      </c>
      <c r="G169" s="551">
        <f>5*8</f>
        <v>40</v>
      </c>
      <c r="H169" s="552">
        <v>8</v>
      </c>
      <c r="I169" s="553">
        <v>2.2200000000000002</v>
      </c>
      <c r="J169" s="536">
        <f t="shared" si="38"/>
        <v>88.800000000000011</v>
      </c>
      <c r="K169" s="296">
        <f t="shared" si="3"/>
        <v>0</v>
      </c>
      <c r="L169" s="297">
        <f t="shared" si="4"/>
        <v>0</v>
      </c>
      <c r="M169" s="295">
        <f t="shared" si="9"/>
        <v>35.076000000000008</v>
      </c>
      <c r="N169" s="297">
        <f t="shared" si="10"/>
        <v>0</v>
      </c>
      <c r="O169" s="297">
        <f t="shared" si="7"/>
        <v>0</v>
      </c>
      <c r="P169" s="298">
        <f t="shared" si="15"/>
        <v>0</v>
      </c>
      <c r="Q169" s="299"/>
    </row>
    <row r="170" spans="1:19" ht="13.8" thickBot="1" x14ac:dyDescent="0.3">
      <c r="A170" s="16"/>
      <c r="B170" s="16"/>
      <c r="D170" s="729"/>
      <c r="E170" s="356" t="s">
        <v>1237</v>
      </c>
      <c r="F170" s="263">
        <v>25</v>
      </c>
      <c r="G170" s="264">
        <f>5*9</f>
        <v>45</v>
      </c>
      <c r="H170" s="265">
        <v>12.5</v>
      </c>
      <c r="I170" s="266">
        <v>2.65</v>
      </c>
      <c r="J170" s="357">
        <f t="shared" si="38"/>
        <v>119.25</v>
      </c>
      <c r="K170" s="267">
        <f t="shared" si="3"/>
        <v>0</v>
      </c>
      <c r="L170" s="268">
        <f t="shared" si="4"/>
        <v>0</v>
      </c>
      <c r="M170" s="222">
        <f t="shared" si="9"/>
        <v>0</v>
      </c>
      <c r="N170" s="268">
        <f t="shared" si="10"/>
        <v>0</v>
      </c>
      <c r="O170" s="268">
        <f t="shared" si="7"/>
        <v>114.83775</v>
      </c>
      <c r="P170" s="269">
        <f t="shared" si="15"/>
        <v>0</v>
      </c>
      <c r="Q170" s="270"/>
      <c r="R170" s="85"/>
      <c r="S170" s="16"/>
    </row>
    <row r="171" spans="1:19" s="16" customFormat="1" ht="14.4" thickTop="1" thickBot="1" x14ac:dyDescent="0.3">
      <c r="C171" s="34"/>
      <c r="D171" s="728" t="s">
        <v>1648</v>
      </c>
      <c r="E171" s="358" t="s">
        <v>1237</v>
      </c>
      <c r="F171" s="255">
        <v>12</v>
      </c>
      <c r="G171" s="256">
        <f>3*4</f>
        <v>12</v>
      </c>
      <c r="H171" s="257">
        <v>6.3</v>
      </c>
      <c r="I171" s="258">
        <v>2.44</v>
      </c>
      <c r="J171" s="350">
        <f t="shared" si="38"/>
        <v>29.28</v>
      </c>
      <c r="K171" s="351">
        <f t="shared" si="3"/>
        <v>0</v>
      </c>
      <c r="L171" s="352">
        <f t="shared" si="4"/>
        <v>7.1736000000000004</v>
      </c>
      <c r="M171" s="353">
        <f t="shared" si="9"/>
        <v>0</v>
      </c>
      <c r="N171" s="352">
        <f t="shared" si="10"/>
        <v>0</v>
      </c>
      <c r="O171" s="352">
        <f t="shared" si="7"/>
        <v>0</v>
      </c>
      <c r="P171" s="354">
        <f t="shared" si="15"/>
        <v>0</v>
      </c>
      <c r="Q171" s="299"/>
    </row>
    <row r="172" spans="1:19" s="16" customFormat="1" ht="13.8" thickBot="1" x14ac:dyDescent="0.3">
      <c r="C172" s="34"/>
      <c r="D172" s="729"/>
      <c r="E172" s="582" t="s">
        <v>1237</v>
      </c>
      <c r="F172" s="550">
        <v>19</v>
      </c>
      <c r="G172" s="551">
        <f>3*5</f>
        <v>15</v>
      </c>
      <c r="H172" s="552">
        <v>8</v>
      </c>
      <c r="I172" s="553">
        <v>6</v>
      </c>
      <c r="J172" s="536">
        <f t="shared" si="38"/>
        <v>90</v>
      </c>
      <c r="K172" s="296">
        <f t="shared" si="3"/>
        <v>0</v>
      </c>
      <c r="L172" s="297">
        <f t="shared" si="4"/>
        <v>0</v>
      </c>
      <c r="M172" s="295">
        <f t="shared" si="9"/>
        <v>35.550000000000004</v>
      </c>
      <c r="N172" s="297">
        <f t="shared" si="10"/>
        <v>0</v>
      </c>
      <c r="O172" s="297">
        <f t="shared" si="7"/>
        <v>0</v>
      </c>
      <c r="P172" s="298">
        <f t="shared" si="15"/>
        <v>0</v>
      </c>
      <c r="Q172" s="299"/>
    </row>
    <row r="173" spans="1:19" s="16" customFormat="1" ht="13.8" thickBot="1" x14ac:dyDescent="0.3">
      <c r="C173" s="34"/>
      <c r="D173" s="729"/>
      <c r="E173" s="549" t="s">
        <v>1237</v>
      </c>
      <c r="F173" s="550">
        <v>20</v>
      </c>
      <c r="G173" s="551">
        <f>3*4</f>
        <v>12</v>
      </c>
      <c r="H173" s="552">
        <v>8</v>
      </c>
      <c r="I173" s="553">
        <v>2.19</v>
      </c>
      <c r="J173" s="536">
        <f t="shared" si="38"/>
        <v>26.28</v>
      </c>
      <c r="K173" s="296">
        <f t="shared" si="3"/>
        <v>0</v>
      </c>
      <c r="L173" s="297">
        <f t="shared" si="4"/>
        <v>0</v>
      </c>
      <c r="M173" s="295">
        <f t="shared" si="9"/>
        <v>10.380600000000001</v>
      </c>
      <c r="N173" s="297">
        <f t="shared" si="10"/>
        <v>0</v>
      </c>
      <c r="O173" s="297">
        <f t="shared" si="7"/>
        <v>0</v>
      </c>
      <c r="P173" s="298">
        <f t="shared" si="15"/>
        <v>0</v>
      </c>
      <c r="Q173" s="299"/>
    </row>
    <row r="174" spans="1:19" s="16" customFormat="1" ht="13.8" thickBot="1" x14ac:dyDescent="0.3">
      <c r="C174" s="34"/>
      <c r="D174" s="729"/>
      <c r="E174" s="582" t="s">
        <v>1237</v>
      </c>
      <c r="F174" s="550">
        <v>21</v>
      </c>
      <c r="G174" s="551">
        <f>3*9</f>
        <v>27</v>
      </c>
      <c r="H174" s="552">
        <v>8</v>
      </c>
      <c r="I174" s="553">
        <v>2.84</v>
      </c>
      <c r="J174" s="536">
        <f t="shared" si="38"/>
        <v>76.679999999999993</v>
      </c>
      <c r="K174" s="296">
        <f t="shared" si="3"/>
        <v>0</v>
      </c>
      <c r="L174" s="297">
        <f t="shared" si="4"/>
        <v>0</v>
      </c>
      <c r="M174" s="295">
        <f t="shared" si="9"/>
        <v>30.288599999999999</v>
      </c>
      <c r="N174" s="297">
        <f t="shared" si="10"/>
        <v>0</v>
      </c>
      <c r="O174" s="297">
        <f t="shared" si="7"/>
        <v>0</v>
      </c>
      <c r="P174" s="298">
        <f t="shared" si="15"/>
        <v>0</v>
      </c>
      <c r="Q174" s="299"/>
    </row>
    <row r="175" spans="1:19" ht="13.8" thickBot="1" x14ac:dyDescent="0.3">
      <c r="A175" s="16"/>
      <c r="B175" s="16"/>
      <c r="D175" s="729"/>
      <c r="E175" s="356" t="s">
        <v>1237</v>
      </c>
      <c r="F175" s="263">
        <v>26</v>
      </c>
      <c r="G175" s="264">
        <f>3*4</f>
        <v>12</v>
      </c>
      <c r="H175" s="265">
        <v>16</v>
      </c>
      <c r="I175" s="266">
        <v>3</v>
      </c>
      <c r="J175" s="357">
        <f t="shared" si="38"/>
        <v>36</v>
      </c>
      <c r="K175" s="267">
        <f t="shared" si="3"/>
        <v>0</v>
      </c>
      <c r="L175" s="268">
        <f t="shared" si="4"/>
        <v>0</v>
      </c>
      <c r="M175" s="222">
        <f t="shared" si="9"/>
        <v>0</v>
      </c>
      <c r="N175" s="268">
        <f t="shared" si="10"/>
        <v>0</v>
      </c>
      <c r="O175" s="268">
        <f t="shared" si="7"/>
        <v>0</v>
      </c>
      <c r="P175" s="269">
        <f t="shared" si="15"/>
        <v>56.808</v>
      </c>
      <c r="Q175" s="270"/>
      <c r="R175" s="85"/>
      <c r="S175" s="16"/>
    </row>
    <row r="176" spans="1:19" s="16" customFormat="1" ht="14.4" thickTop="1" thickBot="1" x14ac:dyDescent="0.3">
      <c r="C176" s="34"/>
      <c r="D176" s="728" t="s">
        <v>1651</v>
      </c>
      <c r="E176" s="358" t="s">
        <v>1237</v>
      </c>
      <c r="F176" s="255">
        <v>7</v>
      </c>
      <c r="G176" s="256">
        <f>3*9</f>
        <v>27</v>
      </c>
      <c r="H176" s="257">
        <v>6.3</v>
      </c>
      <c r="I176" s="258">
        <f>3*15.59+G176*0.42</f>
        <v>58.11</v>
      </c>
      <c r="J176" s="350">
        <f t="shared" ref="J176:J177" si="39">I176</f>
        <v>58.11</v>
      </c>
      <c r="K176" s="351">
        <f t="shared" si="3"/>
        <v>0</v>
      </c>
      <c r="L176" s="352">
        <f t="shared" si="4"/>
        <v>14.23695</v>
      </c>
      <c r="M176" s="353">
        <f t="shared" si="9"/>
        <v>0</v>
      </c>
      <c r="N176" s="352">
        <f t="shared" si="10"/>
        <v>0</v>
      </c>
      <c r="O176" s="352">
        <f t="shared" si="7"/>
        <v>0</v>
      </c>
      <c r="P176" s="354">
        <f t="shared" si="15"/>
        <v>0</v>
      </c>
      <c r="Q176" s="299"/>
    </row>
    <row r="177" spans="1:19" s="16" customFormat="1" ht="13.8" thickBot="1" x14ac:dyDescent="0.3">
      <c r="C177" s="34"/>
      <c r="D177" s="729"/>
      <c r="E177" s="582" t="s">
        <v>1237</v>
      </c>
      <c r="F177" s="550">
        <v>10</v>
      </c>
      <c r="G177" s="551">
        <f>3*10</f>
        <v>30</v>
      </c>
      <c r="H177" s="552">
        <v>6.3</v>
      </c>
      <c r="I177" s="553">
        <f>3*15.56+G177*0.42</f>
        <v>59.28</v>
      </c>
      <c r="J177" s="536">
        <f t="shared" si="39"/>
        <v>59.28</v>
      </c>
      <c r="K177" s="296">
        <f t="shared" si="3"/>
        <v>0</v>
      </c>
      <c r="L177" s="297">
        <f t="shared" si="4"/>
        <v>14.5236</v>
      </c>
      <c r="M177" s="295">
        <f t="shared" si="9"/>
        <v>0</v>
      </c>
      <c r="N177" s="297">
        <f t="shared" si="10"/>
        <v>0</v>
      </c>
      <c r="O177" s="297">
        <f t="shared" si="7"/>
        <v>0</v>
      </c>
      <c r="P177" s="298">
        <f t="shared" si="15"/>
        <v>0</v>
      </c>
      <c r="Q177" s="299"/>
    </row>
    <row r="178" spans="1:19" s="16" customFormat="1" ht="13.8" thickBot="1" x14ac:dyDescent="0.3">
      <c r="C178" s="34"/>
      <c r="D178" s="729"/>
      <c r="E178" s="549" t="s">
        <v>1237</v>
      </c>
      <c r="F178" s="550">
        <v>11</v>
      </c>
      <c r="G178" s="551">
        <f>3*5</f>
        <v>15</v>
      </c>
      <c r="H178" s="552">
        <v>8</v>
      </c>
      <c r="I178" s="553">
        <v>5.83</v>
      </c>
      <c r="J178" s="536">
        <f t="shared" ref="J178" si="40">G178*I178</f>
        <v>87.45</v>
      </c>
      <c r="K178" s="296">
        <f t="shared" ref="K178:K181" si="41">IF($H178=5,$J178*$B$20,0)</f>
        <v>0</v>
      </c>
      <c r="L178" s="297">
        <f t="shared" ref="L178:L181" si="42">IF($H178=6.3,$J178*$B$21,0)</f>
        <v>0</v>
      </c>
      <c r="M178" s="295">
        <f t="shared" si="9"/>
        <v>34.542750000000005</v>
      </c>
      <c r="N178" s="297">
        <f t="shared" si="10"/>
        <v>0</v>
      </c>
      <c r="O178" s="297">
        <f t="shared" ref="O178:O181" si="43">IF($H178=12.5,$J178*$B$25,0)</f>
        <v>0</v>
      </c>
      <c r="P178" s="298">
        <f t="shared" si="15"/>
        <v>0</v>
      </c>
      <c r="Q178" s="299"/>
    </row>
    <row r="179" spans="1:19" s="16" customFormat="1" ht="13.8" thickBot="1" x14ac:dyDescent="0.3">
      <c r="C179" s="34"/>
      <c r="D179" s="729"/>
      <c r="E179" s="549" t="s">
        <v>1237</v>
      </c>
      <c r="F179" s="550">
        <v>12</v>
      </c>
      <c r="G179" s="551">
        <f>3*9</f>
        <v>27</v>
      </c>
      <c r="H179" s="552">
        <v>8</v>
      </c>
      <c r="I179" s="553">
        <f>3*14.83+G179*0.18</f>
        <v>49.35</v>
      </c>
      <c r="J179" s="536">
        <f t="shared" ref="J179:J180" si="44">I179</f>
        <v>49.35</v>
      </c>
      <c r="K179" s="296">
        <f t="shared" si="41"/>
        <v>0</v>
      </c>
      <c r="L179" s="297">
        <f t="shared" si="42"/>
        <v>0</v>
      </c>
      <c r="M179" s="295">
        <f t="shared" si="9"/>
        <v>19.49325</v>
      </c>
      <c r="N179" s="297">
        <f t="shared" si="10"/>
        <v>0</v>
      </c>
      <c r="O179" s="297">
        <f t="shared" si="43"/>
        <v>0</v>
      </c>
      <c r="P179" s="298">
        <f t="shared" si="15"/>
        <v>0</v>
      </c>
      <c r="Q179" s="299"/>
    </row>
    <row r="180" spans="1:19" s="16" customFormat="1" ht="13.8" thickBot="1" x14ac:dyDescent="0.3">
      <c r="C180" s="34"/>
      <c r="D180" s="729"/>
      <c r="E180" s="582" t="s">
        <v>1237</v>
      </c>
      <c r="F180" s="550">
        <v>13</v>
      </c>
      <c r="G180" s="551">
        <f>3*10</f>
        <v>30</v>
      </c>
      <c r="H180" s="552">
        <v>8</v>
      </c>
      <c r="I180" s="553">
        <f>3*13.7+G180*0.18</f>
        <v>46.499999999999993</v>
      </c>
      <c r="J180" s="536">
        <f t="shared" si="44"/>
        <v>46.499999999999993</v>
      </c>
      <c r="K180" s="296">
        <f t="shared" si="41"/>
        <v>0</v>
      </c>
      <c r="L180" s="297">
        <f t="shared" si="42"/>
        <v>0</v>
      </c>
      <c r="M180" s="295">
        <f t="shared" si="9"/>
        <v>18.3675</v>
      </c>
      <c r="N180" s="297">
        <f t="shared" si="10"/>
        <v>0</v>
      </c>
      <c r="O180" s="297">
        <f t="shared" si="43"/>
        <v>0</v>
      </c>
      <c r="P180" s="298">
        <f t="shared" si="15"/>
        <v>0</v>
      </c>
      <c r="Q180" s="299"/>
    </row>
    <row r="181" spans="1:19" ht="13.8" thickBot="1" x14ac:dyDescent="0.3">
      <c r="A181" s="16"/>
      <c r="B181" s="16"/>
      <c r="D181" s="729"/>
      <c r="E181" s="356" t="s">
        <v>1237</v>
      </c>
      <c r="F181" s="263">
        <v>52</v>
      </c>
      <c r="G181" s="264">
        <f>3*15</f>
        <v>45</v>
      </c>
      <c r="H181" s="265">
        <v>12.5</v>
      </c>
      <c r="I181" s="266">
        <v>2.4900000000000002</v>
      </c>
      <c r="J181" s="357">
        <f t="shared" si="38"/>
        <v>112.05000000000001</v>
      </c>
      <c r="K181" s="267">
        <f t="shared" si="41"/>
        <v>0</v>
      </c>
      <c r="L181" s="268">
        <f t="shared" si="42"/>
        <v>0</v>
      </c>
      <c r="M181" s="222">
        <f t="shared" si="9"/>
        <v>0</v>
      </c>
      <c r="N181" s="268">
        <f t="shared" si="10"/>
        <v>0</v>
      </c>
      <c r="O181" s="268">
        <f t="shared" si="43"/>
        <v>107.90415</v>
      </c>
      <c r="P181" s="269">
        <f t="shared" si="15"/>
        <v>0</v>
      </c>
      <c r="Q181" s="270"/>
      <c r="R181" s="85"/>
      <c r="S181" s="16"/>
    </row>
    <row r="182" spans="1:19" s="16" customFormat="1" ht="14.4" thickTop="1" thickBot="1" x14ac:dyDescent="0.3">
      <c r="C182" s="34"/>
      <c r="D182" s="728" t="s">
        <v>1654</v>
      </c>
      <c r="E182" s="358" t="s">
        <v>1237</v>
      </c>
      <c r="F182" s="255">
        <v>9</v>
      </c>
      <c r="G182" s="256">
        <v>7</v>
      </c>
      <c r="H182" s="257">
        <v>8</v>
      </c>
      <c r="I182" s="258">
        <v>3.6</v>
      </c>
      <c r="J182" s="350">
        <f t="shared" si="37"/>
        <v>25.2</v>
      </c>
      <c r="K182" s="351">
        <f t="shared" si="3"/>
        <v>0</v>
      </c>
      <c r="L182" s="352">
        <f t="shared" si="4"/>
        <v>0</v>
      </c>
      <c r="M182" s="353">
        <f t="shared" si="9"/>
        <v>9.9540000000000006</v>
      </c>
      <c r="N182" s="352">
        <f t="shared" si="10"/>
        <v>0</v>
      </c>
      <c r="O182" s="352">
        <f t="shared" si="7"/>
        <v>0</v>
      </c>
      <c r="P182" s="354">
        <f t="shared" si="15"/>
        <v>0</v>
      </c>
      <c r="Q182" s="299"/>
    </row>
    <row r="183" spans="1:19" s="16" customFormat="1" ht="13.8" thickBot="1" x14ac:dyDescent="0.3">
      <c r="C183" s="34"/>
      <c r="D183" s="729"/>
      <c r="E183" s="582" t="s">
        <v>1237</v>
      </c>
      <c r="F183" s="550">
        <v>10</v>
      </c>
      <c r="G183" s="551">
        <v>2</v>
      </c>
      <c r="H183" s="552">
        <v>8</v>
      </c>
      <c r="I183" s="553">
        <v>3.74</v>
      </c>
      <c r="J183" s="536">
        <f t="shared" si="37"/>
        <v>7.48</v>
      </c>
      <c r="K183" s="296">
        <f t="shared" si="3"/>
        <v>0</v>
      </c>
      <c r="L183" s="297">
        <f t="shared" si="4"/>
        <v>0</v>
      </c>
      <c r="M183" s="295">
        <f t="shared" si="9"/>
        <v>2.9546000000000001</v>
      </c>
      <c r="N183" s="297">
        <f t="shared" si="10"/>
        <v>0</v>
      </c>
      <c r="O183" s="297">
        <f t="shared" si="7"/>
        <v>0</v>
      </c>
      <c r="P183" s="298">
        <f t="shared" si="15"/>
        <v>0</v>
      </c>
      <c r="Q183" s="299"/>
    </row>
    <row r="184" spans="1:19" s="16" customFormat="1" ht="123.6" customHeight="1" thickTop="1" thickBot="1" x14ac:dyDescent="0.3">
      <c r="C184" s="34"/>
      <c r="D184" s="728" t="s">
        <v>1701</v>
      </c>
      <c r="E184" s="358" t="s">
        <v>1237</v>
      </c>
      <c r="F184" s="255">
        <v>16</v>
      </c>
      <c r="G184" s="256">
        <f>25*6</f>
        <v>150</v>
      </c>
      <c r="H184" s="257">
        <v>8</v>
      </c>
      <c r="I184" s="258">
        <v>2.56</v>
      </c>
      <c r="J184" s="350">
        <f t="shared" si="37"/>
        <v>384</v>
      </c>
      <c r="K184" s="351">
        <f t="shared" si="3"/>
        <v>0</v>
      </c>
      <c r="L184" s="352">
        <f t="shared" si="4"/>
        <v>0</v>
      </c>
      <c r="M184" s="353">
        <f t="shared" si="9"/>
        <v>151.68</v>
      </c>
      <c r="N184" s="352">
        <f t="shared" si="10"/>
        <v>0</v>
      </c>
      <c r="O184" s="352">
        <f t="shared" si="7"/>
        <v>0</v>
      </c>
      <c r="P184" s="354">
        <f t="shared" si="15"/>
        <v>0</v>
      </c>
      <c r="Q184" s="299"/>
    </row>
    <row r="185" spans="1:19" s="16" customFormat="1" ht="123.6" customHeight="1" thickBot="1" x14ac:dyDescent="0.3">
      <c r="C185" s="34"/>
      <c r="D185" s="729"/>
      <c r="E185" s="582" t="s">
        <v>1237</v>
      </c>
      <c r="F185" s="550">
        <v>17</v>
      </c>
      <c r="G185" s="551">
        <f>25*2</f>
        <v>50</v>
      </c>
      <c r="H185" s="552">
        <v>8</v>
      </c>
      <c r="I185" s="553">
        <v>2.6</v>
      </c>
      <c r="J185" s="536">
        <f t="shared" si="37"/>
        <v>130</v>
      </c>
      <c r="K185" s="296">
        <f t="shared" si="3"/>
        <v>0</v>
      </c>
      <c r="L185" s="297">
        <f t="shared" si="4"/>
        <v>0</v>
      </c>
      <c r="M185" s="295">
        <f t="shared" si="9"/>
        <v>51.35</v>
      </c>
      <c r="N185" s="297">
        <f t="shared" si="10"/>
        <v>0</v>
      </c>
      <c r="O185" s="297">
        <f t="shared" si="7"/>
        <v>0</v>
      </c>
      <c r="P185" s="298">
        <f t="shared" si="15"/>
        <v>0</v>
      </c>
      <c r="Q185" s="299"/>
    </row>
    <row r="186" spans="1:19" s="16" customFormat="1" ht="13.8" thickBot="1" x14ac:dyDescent="0.3">
      <c r="D186" s="732" t="s">
        <v>930</v>
      </c>
      <c r="E186" s="733"/>
      <c r="F186" s="733"/>
      <c r="G186" s="733"/>
      <c r="H186" s="733"/>
      <c r="I186" s="733"/>
      <c r="J186" s="733"/>
      <c r="K186" s="733"/>
      <c r="L186" s="733"/>
      <c r="M186" s="733"/>
      <c r="N186" s="733"/>
      <c r="O186" s="733"/>
      <c r="P186" s="734"/>
      <c r="Q186" s="585"/>
    </row>
    <row r="187" spans="1:19" s="16" customFormat="1" ht="14.4" thickTop="1" thickBot="1" x14ac:dyDescent="0.3">
      <c r="C187" s="34"/>
      <c r="D187" s="728" t="s">
        <v>1793</v>
      </c>
      <c r="E187" s="358" t="s">
        <v>1237</v>
      </c>
      <c r="F187" s="255">
        <v>29</v>
      </c>
      <c r="G187" s="256">
        <f>27*7</f>
        <v>189</v>
      </c>
      <c r="H187" s="257">
        <v>8</v>
      </c>
      <c r="I187" s="258">
        <v>2.56</v>
      </c>
      <c r="J187" s="350">
        <f t="shared" ref="J187:J189" si="45">G187*I187</f>
        <v>483.84000000000003</v>
      </c>
      <c r="K187" s="351">
        <f t="shared" si="3"/>
        <v>0</v>
      </c>
      <c r="L187" s="352">
        <f t="shared" si="4"/>
        <v>0</v>
      </c>
      <c r="M187" s="353">
        <f t="shared" si="9"/>
        <v>191.11680000000001</v>
      </c>
      <c r="N187" s="352">
        <f t="shared" si="10"/>
        <v>0</v>
      </c>
      <c r="O187" s="352">
        <f t="shared" si="7"/>
        <v>0</v>
      </c>
      <c r="P187" s="354">
        <f t="shared" si="15"/>
        <v>0</v>
      </c>
      <c r="Q187" s="299"/>
    </row>
    <row r="188" spans="1:19" s="16" customFormat="1" ht="13.8" thickBot="1" x14ac:dyDescent="0.3">
      <c r="C188" s="34"/>
      <c r="D188" s="729"/>
      <c r="E188" s="582" t="s">
        <v>1237</v>
      </c>
      <c r="F188" s="550">
        <v>30</v>
      </c>
      <c r="G188" s="551">
        <f>27*2</f>
        <v>54</v>
      </c>
      <c r="H188" s="552">
        <v>8</v>
      </c>
      <c r="I188" s="553">
        <v>2.6</v>
      </c>
      <c r="J188" s="536">
        <f t="shared" si="45"/>
        <v>140.4</v>
      </c>
      <c r="K188" s="296">
        <f t="shared" si="3"/>
        <v>0</v>
      </c>
      <c r="L188" s="297">
        <f t="shared" si="4"/>
        <v>0</v>
      </c>
      <c r="M188" s="295">
        <f t="shared" si="9"/>
        <v>55.458000000000006</v>
      </c>
      <c r="N188" s="297">
        <f t="shared" si="10"/>
        <v>0</v>
      </c>
      <c r="O188" s="297">
        <f t="shared" si="7"/>
        <v>0</v>
      </c>
      <c r="P188" s="298">
        <f t="shared" si="15"/>
        <v>0</v>
      </c>
      <c r="Q188" s="299"/>
    </row>
    <row r="189" spans="1:19" ht="13.8" thickBot="1" x14ac:dyDescent="0.3">
      <c r="A189" s="16"/>
      <c r="B189" s="16"/>
      <c r="D189" s="729"/>
      <c r="E189" s="356" t="s">
        <v>1237</v>
      </c>
      <c r="F189" s="263">
        <v>31</v>
      </c>
      <c r="G189" s="264">
        <f>27*2</f>
        <v>54</v>
      </c>
      <c r="H189" s="265">
        <v>8</v>
      </c>
      <c r="I189" s="266">
        <v>2.08</v>
      </c>
      <c r="J189" s="357">
        <f t="shared" si="45"/>
        <v>112.32000000000001</v>
      </c>
      <c r="K189" s="267">
        <f t="shared" si="3"/>
        <v>0</v>
      </c>
      <c r="L189" s="268">
        <f t="shared" si="4"/>
        <v>0</v>
      </c>
      <c r="M189" s="222">
        <f t="shared" si="9"/>
        <v>44.366400000000006</v>
      </c>
      <c r="N189" s="268">
        <f t="shared" si="10"/>
        <v>0</v>
      </c>
      <c r="O189" s="268">
        <f t="shared" si="7"/>
        <v>0</v>
      </c>
      <c r="P189" s="269">
        <f t="shared" si="15"/>
        <v>0</v>
      </c>
      <c r="Q189" s="270"/>
      <c r="R189" s="85"/>
      <c r="S189" s="16"/>
    </row>
    <row r="190" spans="1:19" s="16" customFormat="1" ht="14.4" thickTop="1" thickBot="1" x14ac:dyDescent="0.3">
      <c r="D190" s="732" t="s">
        <v>1985</v>
      </c>
      <c r="E190" s="733"/>
      <c r="F190" s="733"/>
      <c r="G190" s="733"/>
      <c r="H190" s="733"/>
      <c r="I190" s="733"/>
      <c r="J190" s="733"/>
      <c r="K190" s="733"/>
      <c r="L190" s="733"/>
      <c r="M190" s="733"/>
      <c r="N190" s="733"/>
      <c r="O190" s="733"/>
      <c r="P190" s="734"/>
      <c r="Q190" s="595"/>
    </row>
    <row r="191" spans="1:19" s="16" customFormat="1" ht="14.4" thickTop="1" thickBot="1" x14ac:dyDescent="0.3">
      <c r="C191" s="34"/>
      <c r="D191" s="728" t="s">
        <v>1986</v>
      </c>
      <c r="E191" s="358" t="s">
        <v>1237</v>
      </c>
      <c r="F191" s="255">
        <v>4</v>
      </c>
      <c r="G191" s="256">
        <v>6</v>
      </c>
      <c r="H191" s="257">
        <v>6.3</v>
      </c>
      <c r="I191" s="258">
        <v>2.56</v>
      </c>
      <c r="J191" s="350">
        <f t="shared" ref="J191:J195" si="46">G191*I191</f>
        <v>15.36</v>
      </c>
      <c r="K191" s="351">
        <f t="shared" si="3"/>
        <v>0</v>
      </c>
      <c r="L191" s="352">
        <f t="shared" si="4"/>
        <v>3.7631999999999999</v>
      </c>
      <c r="M191" s="353">
        <f t="shared" si="9"/>
        <v>0</v>
      </c>
      <c r="N191" s="352">
        <f t="shared" si="10"/>
        <v>0</v>
      </c>
      <c r="O191" s="352">
        <f t="shared" si="7"/>
        <v>0</v>
      </c>
      <c r="P191" s="354">
        <f t="shared" si="15"/>
        <v>0</v>
      </c>
      <c r="Q191" s="299"/>
    </row>
    <row r="192" spans="1:19" s="16" customFormat="1" ht="13.8" thickBot="1" x14ac:dyDescent="0.3">
      <c r="C192" s="34"/>
      <c r="D192" s="729"/>
      <c r="E192" s="582" t="s">
        <v>1237</v>
      </c>
      <c r="F192" s="550">
        <v>5</v>
      </c>
      <c r="G192" s="551">
        <v>2</v>
      </c>
      <c r="H192" s="552">
        <v>6.3</v>
      </c>
      <c r="I192" s="553">
        <v>3.32</v>
      </c>
      <c r="J192" s="536">
        <f t="shared" si="46"/>
        <v>6.64</v>
      </c>
      <c r="K192" s="296">
        <f t="shared" si="3"/>
        <v>0</v>
      </c>
      <c r="L192" s="297">
        <f t="shared" si="4"/>
        <v>1.6267999999999998</v>
      </c>
      <c r="M192" s="295">
        <f t="shared" si="9"/>
        <v>0</v>
      </c>
      <c r="N192" s="297">
        <f t="shared" si="10"/>
        <v>0</v>
      </c>
      <c r="O192" s="297">
        <f t="shared" si="7"/>
        <v>0</v>
      </c>
      <c r="P192" s="298">
        <f t="shared" si="15"/>
        <v>0</v>
      </c>
      <c r="Q192" s="299"/>
    </row>
    <row r="193" spans="1:19" s="16" customFormat="1" ht="13.8" thickBot="1" x14ac:dyDescent="0.3">
      <c r="C193" s="34"/>
      <c r="D193" s="729"/>
      <c r="E193" s="549" t="s">
        <v>1237</v>
      </c>
      <c r="F193" s="550"/>
      <c r="G193" s="551"/>
      <c r="H193" s="552"/>
      <c r="I193" s="553"/>
      <c r="J193" s="536">
        <f t="shared" si="46"/>
        <v>0</v>
      </c>
      <c r="K193" s="296">
        <f t="shared" si="3"/>
        <v>0</v>
      </c>
      <c r="L193" s="297">
        <f t="shared" si="4"/>
        <v>0</v>
      </c>
      <c r="M193" s="295">
        <f t="shared" si="9"/>
        <v>0</v>
      </c>
      <c r="N193" s="297">
        <f t="shared" si="10"/>
        <v>0</v>
      </c>
      <c r="O193" s="297">
        <f t="shared" si="7"/>
        <v>0</v>
      </c>
      <c r="P193" s="298">
        <f t="shared" si="15"/>
        <v>0</v>
      </c>
      <c r="Q193" s="299"/>
    </row>
    <row r="194" spans="1:19" s="16" customFormat="1" ht="13.8" thickBot="1" x14ac:dyDescent="0.3">
      <c r="C194" s="34"/>
      <c r="D194" s="729"/>
      <c r="E194" s="582" t="s">
        <v>1237</v>
      </c>
      <c r="F194" s="550"/>
      <c r="G194" s="551"/>
      <c r="H194" s="552"/>
      <c r="I194" s="553"/>
      <c r="J194" s="536">
        <f t="shared" si="46"/>
        <v>0</v>
      </c>
      <c r="K194" s="296">
        <f t="shared" si="3"/>
        <v>0</v>
      </c>
      <c r="L194" s="297">
        <f t="shared" si="4"/>
        <v>0</v>
      </c>
      <c r="M194" s="295">
        <f t="shared" si="9"/>
        <v>0</v>
      </c>
      <c r="N194" s="297">
        <f t="shared" si="10"/>
        <v>0</v>
      </c>
      <c r="O194" s="297">
        <f t="shared" si="7"/>
        <v>0</v>
      </c>
      <c r="P194" s="298">
        <f t="shared" si="15"/>
        <v>0</v>
      </c>
      <c r="Q194" s="299"/>
    </row>
    <row r="195" spans="1:19" ht="13.8" thickBot="1" x14ac:dyDescent="0.3">
      <c r="A195" s="16"/>
      <c r="B195" s="16"/>
      <c r="D195" s="729"/>
      <c r="E195" s="356" t="s">
        <v>1237</v>
      </c>
      <c r="F195" s="263"/>
      <c r="G195" s="264"/>
      <c r="H195" s="265"/>
      <c r="I195" s="266"/>
      <c r="J195" s="357">
        <f t="shared" si="46"/>
        <v>0</v>
      </c>
      <c r="K195" s="267">
        <f t="shared" si="3"/>
        <v>0</v>
      </c>
      <c r="L195" s="268">
        <f t="shared" si="4"/>
        <v>0</v>
      </c>
      <c r="M195" s="222">
        <f t="shared" si="9"/>
        <v>0</v>
      </c>
      <c r="N195" s="268">
        <f t="shared" si="10"/>
        <v>0</v>
      </c>
      <c r="O195" s="268">
        <f t="shared" si="7"/>
        <v>0</v>
      </c>
      <c r="P195" s="269">
        <f t="shared" si="15"/>
        <v>0</v>
      </c>
      <c r="Q195" s="270"/>
      <c r="R195" s="85"/>
      <c r="S195" s="16"/>
    </row>
    <row r="196" spans="1:19" ht="56.25" customHeight="1" thickTop="1" thickBot="1" x14ac:dyDescent="0.3">
      <c r="D196" s="728" t="s">
        <v>2015</v>
      </c>
      <c r="E196" s="358" t="s">
        <v>1237</v>
      </c>
      <c r="F196" s="255">
        <v>20</v>
      </c>
      <c r="G196" s="256">
        <f>32*2</f>
        <v>64</v>
      </c>
      <c r="H196" s="257">
        <v>6.3</v>
      </c>
      <c r="I196" s="258">
        <v>2.6</v>
      </c>
      <c r="J196" s="350">
        <f>G196*I196</f>
        <v>166.4</v>
      </c>
      <c r="K196" s="351">
        <f t="shared" si="3"/>
        <v>0</v>
      </c>
      <c r="L196" s="352">
        <f t="shared" si="4"/>
        <v>40.768000000000001</v>
      </c>
      <c r="M196" s="353">
        <f t="shared" si="9"/>
        <v>0</v>
      </c>
      <c r="N196" s="352">
        <f t="shared" si="10"/>
        <v>0</v>
      </c>
      <c r="O196" s="352">
        <f t="shared" si="7"/>
        <v>0</v>
      </c>
      <c r="P196" s="354">
        <f t="shared" si="15"/>
        <v>0</v>
      </c>
      <c r="Q196" s="299"/>
      <c r="R196" s="26"/>
      <c r="S196" s="16"/>
    </row>
    <row r="197" spans="1:19" ht="56.25" customHeight="1" thickBot="1" x14ac:dyDescent="0.3">
      <c r="D197" s="729"/>
      <c r="E197" s="597" t="s">
        <v>1237</v>
      </c>
      <c r="F197" s="550">
        <v>21</v>
      </c>
      <c r="G197" s="551">
        <f>32*2</f>
        <v>64</v>
      </c>
      <c r="H197" s="552">
        <v>6.3</v>
      </c>
      <c r="I197" s="553">
        <v>2.08</v>
      </c>
      <c r="J197" s="536">
        <f t="shared" ref="J197" si="47">G197*I197</f>
        <v>133.12</v>
      </c>
      <c r="K197" s="271">
        <f t="shared" si="3"/>
        <v>0</v>
      </c>
      <c r="L197" s="272">
        <f t="shared" si="4"/>
        <v>32.614400000000003</v>
      </c>
      <c r="M197" s="195">
        <f t="shared" si="9"/>
        <v>0</v>
      </c>
      <c r="N197" s="272">
        <f t="shared" si="10"/>
        <v>0</v>
      </c>
      <c r="O197" s="272">
        <f t="shared" si="7"/>
        <v>0</v>
      </c>
      <c r="P197" s="273">
        <f t="shared" si="15"/>
        <v>0</v>
      </c>
      <c r="Q197" s="274"/>
      <c r="R197" s="26"/>
    </row>
    <row r="198" spans="1:19" ht="56.25" customHeight="1" thickBot="1" x14ac:dyDescent="0.3">
      <c r="D198" s="729"/>
      <c r="E198" s="356" t="s">
        <v>1237</v>
      </c>
      <c r="F198" s="263">
        <v>22</v>
      </c>
      <c r="G198" s="264">
        <f>32*7</f>
        <v>224</v>
      </c>
      <c r="H198" s="265">
        <v>8</v>
      </c>
      <c r="I198" s="266">
        <v>2.56</v>
      </c>
      <c r="J198" s="357">
        <f t="shared" ref="J198:J200" si="48">G198*I198</f>
        <v>573.44000000000005</v>
      </c>
      <c r="K198" s="271">
        <f t="shared" si="3"/>
        <v>0</v>
      </c>
      <c r="L198" s="272">
        <f t="shared" si="4"/>
        <v>0</v>
      </c>
      <c r="M198" s="195">
        <f t="shared" si="9"/>
        <v>226.50880000000004</v>
      </c>
      <c r="N198" s="272">
        <f t="shared" si="10"/>
        <v>0</v>
      </c>
      <c r="O198" s="272">
        <f t="shared" si="7"/>
        <v>0</v>
      </c>
      <c r="P198" s="273">
        <f t="shared" si="15"/>
        <v>0</v>
      </c>
      <c r="Q198" s="274"/>
      <c r="R198" s="26"/>
    </row>
    <row r="199" spans="1:19" s="16" customFormat="1" ht="14.4" thickTop="1" thickBot="1" x14ac:dyDescent="0.3">
      <c r="D199" s="732" t="s">
        <v>2115</v>
      </c>
      <c r="E199" s="733"/>
      <c r="F199" s="733"/>
      <c r="G199" s="733"/>
      <c r="H199" s="733"/>
      <c r="I199" s="733"/>
      <c r="J199" s="733"/>
      <c r="K199" s="733"/>
      <c r="L199" s="733"/>
      <c r="M199" s="733"/>
      <c r="N199" s="733"/>
      <c r="O199" s="733"/>
      <c r="P199" s="734"/>
      <c r="Q199" s="648"/>
    </row>
    <row r="200" spans="1:19" ht="14.4" thickTop="1" thickBot="1" x14ac:dyDescent="0.3">
      <c r="D200" s="730" t="s">
        <v>2137</v>
      </c>
      <c r="E200" s="358" t="s">
        <v>1237</v>
      </c>
      <c r="F200" s="190">
        <v>6</v>
      </c>
      <c r="G200" s="191">
        <v>6</v>
      </c>
      <c r="H200" s="192">
        <v>8</v>
      </c>
      <c r="I200" s="193">
        <v>2.56</v>
      </c>
      <c r="J200" s="276">
        <f t="shared" si="48"/>
        <v>15.36</v>
      </c>
      <c r="K200" s="351">
        <f t="shared" si="3"/>
        <v>0</v>
      </c>
      <c r="L200" s="352">
        <f t="shared" si="4"/>
        <v>0</v>
      </c>
      <c r="M200" s="353">
        <f t="shared" si="9"/>
        <v>6.0671999999999997</v>
      </c>
      <c r="N200" s="352">
        <f t="shared" si="10"/>
        <v>0</v>
      </c>
      <c r="O200" s="352">
        <f t="shared" si="7"/>
        <v>0</v>
      </c>
      <c r="P200" s="354">
        <f t="shared" si="15"/>
        <v>0</v>
      </c>
      <c r="Q200" s="262"/>
      <c r="R200" s="26"/>
    </row>
    <row r="201" spans="1:19" ht="13.8" thickBot="1" x14ac:dyDescent="0.3">
      <c r="D201" s="729"/>
      <c r="E201" s="349" t="s">
        <v>1237</v>
      </c>
      <c r="F201" s="246">
        <v>7</v>
      </c>
      <c r="G201" s="247">
        <v>2</v>
      </c>
      <c r="H201" s="248">
        <v>8</v>
      </c>
      <c r="I201" s="249">
        <v>3.3</v>
      </c>
      <c r="J201" s="294">
        <f>G201*I201</f>
        <v>6.6</v>
      </c>
      <c r="K201" s="251">
        <f t="shared" si="3"/>
        <v>0</v>
      </c>
      <c r="L201" s="252">
        <f t="shared" si="4"/>
        <v>0</v>
      </c>
      <c r="M201" s="196">
        <f t="shared" si="9"/>
        <v>2.6069999999999998</v>
      </c>
      <c r="N201" s="252">
        <f t="shared" si="10"/>
        <v>0</v>
      </c>
      <c r="O201" s="252">
        <f t="shared" si="7"/>
        <v>0</v>
      </c>
      <c r="P201" s="253">
        <f t="shared" si="15"/>
        <v>0</v>
      </c>
      <c r="Q201" s="299"/>
      <c r="R201" s="26"/>
      <c r="S201" s="82">
        <f>21*16</f>
        <v>336</v>
      </c>
    </row>
    <row r="202" spans="1:19" ht="14.4" thickTop="1" thickBot="1" x14ac:dyDescent="0.3">
      <c r="D202" s="730" t="s">
        <v>2138</v>
      </c>
      <c r="E202" s="358" t="s">
        <v>1237</v>
      </c>
      <c r="F202" s="190">
        <v>6</v>
      </c>
      <c r="G202" s="191">
        <v>6</v>
      </c>
      <c r="H202" s="192">
        <v>8</v>
      </c>
      <c r="I202" s="193">
        <v>2.56</v>
      </c>
      <c r="J202" s="350">
        <f>G202*I202</f>
        <v>15.36</v>
      </c>
      <c r="K202" s="259">
        <f t="shared" si="3"/>
        <v>0</v>
      </c>
      <c r="L202" s="260">
        <f t="shared" si="4"/>
        <v>0</v>
      </c>
      <c r="M202" s="219">
        <f t="shared" si="9"/>
        <v>6.0671999999999997</v>
      </c>
      <c r="N202" s="260">
        <f t="shared" si="10"/>
        <v>0</v>
      </c>
      <c r="O202" s="260">
        <f t="shared" si="7"/>
        <v>0</v>
      </c>
      <c r="P202" s="261">
        <f t="shared" si="15"/>
        <v>0</v>
      </c>
      <c r="Q202" s="299"/>
      <c r="R202" s="26"/>
    </row>
    <row r="203" spans="1:19" ht="15" customHeight="1" thickBot="1" x14ac:dyDescent="0.3">
      <c r="D203" s="729"/>
      <c r="E203" s="349" t="s">
        <v>1237</v>
      </c>
      <c r="F203" s="246">
        <v>7</v>
      </c>
      <c r="G203" s="247">
        <v>2</v>
      </c>
      <c r="H203" s="248">
        <v>8</v>
      </c>
      <c r="I203" s="249">
        <v>3.3</v>
      </c>
      <c r="J203" s="357">
        <f t="shared" ref="J203" si="49">G203*I203</f>
        <v>6.6</v>
      </c>
      <c r="K203" s="267">
        <f t="shared" si="3"/>
        <v>0</v>
      </c>
      <c r="L203" s="268">
        <f t="shared" si="4"/>
        <v>0</v>
      </c>
      <c r="M203" s="222">
        <f t="shared" si="9"/>
        <v>2.6069999999999998</v>
      </c>
      <c r="N203" s="268">
        <f t="shared" si="10"/>
        <v>0</v>
      </c>
      <c r="O203" s="268">
        <f t="shared" si="7"/>
        <v>0</v>
      </c>
      <c r="P203" s="269">
        <f t="shared" si="15"/>
        <v>0</v>
      </c>
      <c r="Q203" s="270"/>
      <c r="R203" s="26"/>
    </row>
    <row r="204" spans="1:19" ht="14.4" thickTop="1" thickBot="1" x14ac:dyDescent="0.3">
      <c r="D204" s="728" t="s">
        <v>2139</v>
      </c>
      <c r="E204" s="358" t="s">
        <v>1237</v>
      </c>
      <c r="F204" s="190">
        <v>6</v>
      </c>
      <c r="G204" s="191">
        <v>6</v>
      </c>
      <c r="H204" s="192">
        <v>8</v>
      </c>
      <c r="I204" s="193">
        <v>2.56</v>
      </c>
      <c r="J204" s="350">
        <f>G204*I204</f>
        <v>15.36</v>
      </c>
      <c r="K204" s="351">
        <f t="shared" si="3"/>
        <v>0</v>
      </c>
      <c r="L204" s="352">
        <f t="shared" si="4"/>
        <v>0</v>
      </c>
      <c r="M204" s="353">
        <f t="shared" si="9"/>
        <v>6.0671999999999997</v>
      </c>
      <c r="N204" s="352">
        <f t="shared" si="10"/>
        <v>0</v>
      </c>
      <c r="O204" s="352">
        <f t="shared" si="7"/>
        <v>0</v>
      </c>
      <c r="P204" s="354">
        <f t="shared" si="15"/>
        <v>0</v>
      </c>
      <c r="Q204" s="299"/>
      <c r="R204" s="26"/>
      <c r="S204" s="16"/>
    </row>
    <row r="205" spans="1:19" ht="15" customHeight="1" thickBot="1" x14ac:dyDescent="0.3">
      <c r="D205" s="729"/>
      <c r="E205" s="349" t="s">
        <v>1237</v>
      </c>
      <c r="F205" s="246">
        <v>7</v>
      </c>
      <c r="G205" s="247">
        <v>2</v>
      </c>
      <c r="H205" s="248">
        <v>8</v>
      </c>
      <c r="I205" s="249">
        <v>3.3</v>
      </c>
      <c r="J205" s="357">
        <f t="shared" ref="J205" si="50">G205*I205</f>
        <v>6.6</v>
      </c>
      <c r="K205" s="271">
        <f t="shared" si="3"/>
        <v>0</v>
      </c>
      <c r="L205" s="272">
        <f t="shared" si="4"/>
        <v>0</v>
      </c>
      <c r="M205" s="195">
        <f t="shared" si="9"/>
        <v>2.6069999999999998</v>
      </c>
      <c r="N205" s="272">
        <f t="shared" si="10"/>
        <v>0</v>
      </c>
      <c r="O205" s="272">
        <f t="shared" si="7"/>
        <v>0</v>
      </c>
      <c r="P205" s="273">
        <f t="shared" si="15"/>
        <v>0</v>
      </c>
      <c r="Q205" s="274"/>
      <c r="R205" s="26"/>
    </row>
    <row r="206" spans="1:19" ht="93.75" customHeight="1" thickTop="1" thickBot="1" x14ac:dyDescent="0.3">
      <c r="D206" s="728" t="s">
        <v>2211</v>
      </c>
      <c r="E206" s="358" t="s">
        <v>1237</v>
      </c>
      <c r="F206" s="255">
        <v>10</v>
      </c>
      <c r="G206" s="256">
        <f>21*5</f>
        <v>105</v>
      </c>
      <c r="H206" s="257">
        <v>8</v>
      </c>
      <c r="I206" s="258">
        <v>2.56</v>
      </c>
      <c r="J206" s="350">
        <f>G206*I206</f>
        <v>268.8</v>
      </c>
      <c r="K206" s="351">
        <f t="shared" si="3"/>
        <v>0</v>
      </c>
      <c r="L206" s="352">
        <f t="shared" si="4"/>
        <v>0</v>
      </c>
      <c r="M206" s="353">
        <f t="shared" si="9"/>
        <v>106.17600000000002</v>
      </c>
      <c r="N206" s="352">
        <f t="shared" si="10"/>
        <v>0</v>
      </c>
      <c r="O206" s="352">
        <f t="shared" si="7"/>
        <v>0</v>
      </c>
      <c r="P206" s="354">
        <f t="shared" si="15"/>
        <v>0</v>
      </c>
      <c r="Q206" s="299"/>
      <c r="R206" s="26"/>
      <c r="S206" s="16"/>
    </row>
    <row r="207" spans="1:19" ht="93.75" customHeight="1" thickBot="1" x14ac:dyDescent="0.3">
      <c r="D207" s="729"/>
      <c r="E207" s="349" t="s">
        <v>1237</v>
      </c>
      <c r="F207" s="263">
        <v>11</v>
      </c>
      <c r="G207" s="264">
        <f>21*2</f>
        <v>42</v>
      </c>
      <c r="H207" s="265">
        <v>8</v>
      </c>
      <c r="I207" s="266">
        <v>2.6</v>
      </c>
      <c r="J207" s="357">
        <f t="shared" ref="J207" si="51">G207*I207</f>
        <v>109.2</v>
      </c>
      <c r="K207" s="271">
        <f t="shared" si="3"/>
        <v>0</v>
      </c>
      <c r="L207" s="272">
        <f t="shared" si="4"/>
        <v>0</v>
      </c>
      <c r="M207" s="195">
        <f t="shared" si="9"/>
        <v>43.134</v>
      </c>
      <c r="N207" s="272">
        <f t="shared" si="10"/>
        <v>0</v>
      </c>
      <c r="O207" s="272">
        <f t="shared" si="7"/>
        <v>0</v>
      </c>
      <c r="P207" s="273">
        <f t="shared" si="15"/>
        <v>0</v>
      </c>
      <c r="Q207" s="274"/>
      <c r="R207" s="26"/>
    </row>
    <row r="208" spans="1:19" ht="14.4" thickTop="1" thickBot="1" x14ac:dyDescent="0.3">
      <c r="D208" s="728"/>
      <c r="E208" s="277"/>
      <c r="F208" s="255"/>
      <c r="G208" s="256"/>
      <c r="H208" s="257"/>
      <c r="I208" s="258"/>
      <c r="J208" s="350">
        <f>G208*I208</f>
        <v>0</v>
      </c>
      <c r="K208" s="351">
        <f t="shared" si="3"/>
        <v>0</v>
      </c>
      <c r="L208" s="352">
        <f t="shared" si="4"/>
        <v>0</v>
      </c>
      <c r="M208" s="353">
        <f t="shared" si="9"/>
        <v>0</v>
      </c>
      <c r="N208" s="352">
        <f t="shared" si="10"/>
        <v>0</v>
      </c>
      <c r="O208" s="352">
        <f t="shared" si="7"/>
        <v>0</v>
      </c>
      <c r="P208" s="354">
        <f t="shared" si="15"/>
        <v>0</v>
      </c>
      <c r="Q208" s="299"/>
      <c r="R208" s="26"/>
      <c r="S208" s="16"/>
    </row>
    <row r="209" spans="4:19" ht="15" customHeight="1" thickBot="1" x14ac:dyDescent="0.3">
      <c r="D209" s="729"/>
      <c r="E209" s="356"/>
      <c r="F209" s="263"/>
      <c r="G209" s="264"/>
      <c r="H209" s="265"/>
      <c r="I209" s="266"/>
      <c r="J209" s="357">
        <f t="shared" ref="J209" si="52">G209*I209</f>
        <v>0</v>
      </c>
      <c r="K209" s="271">
        <f t="shared" si="3"/>
        <v>0</v>
      </c>
      <c r="L209" s="272">
        <f t="shared" si="4"/>
        <v>0</v>
      </c>
      <c r="M209" s="195">
        <f t="shared" si="9"/>
        <v>0</v>
      </c>
      <c r="N209" s="272">
        <f t="shared" si="10"/>
        <v>0</v>
      </c>
      <c r="O209" s="272">
        <f t="shared" si="7"/>
        <v>0</v>
      </c>
      <c r="P209" s="273">
        <f t="shared" si="15"/>
        <v>0</v>
      </c>
      <c r="Q209" s="274"/>
      <c r="R209" s="26"/>
    </row>
    <row r="210" spans="4:19" ht="14.4" thickTop="1" thickBot="1" x14ac:dyDescent="0.3">
      <c r="D210" s="728"/>
      <c r="E210" s="277"/>
      <c r="F210" s="255"/>
      <c r="G210" s="256"/>
      <c r="H210" s="257"/>
      <c r="I210" s="258"/>
      <c r="J210" s="350">
        <f>G210*I210</f>
        <v>0</v>
      </c>
      <c r="K210" s="351">
        <f t="shared" si="3"/>
        <v>0</v>
      </c>
      <c r="L210" s="352">
        <f t="shared" si="4"/>
        <v>0</v>
      </c>
      <c r="M210" s="353">
        <f t="shared" si="9"/>
        <v>0</v>
      </c>
      <c r="N210" s="352">
        <f t="shared" si="10"/>
        <v>0</v>
      </c>
      <c r="O210" s="352">
        <f t="shared" si="7"/>
        <v>0</v>
      </c>
      <c r="P210" s="354">
        <f t="shared" si="15"/>
        <v>0</v>
      </c>
      <c r="Q210" s="299"/>
      <c r="R210" s="26"/>
      <c r="S210" s="16"/>
    </row>
    <row r="211" spans="4:19" ht="15" customHeight="1" thickBot="1" x14ac:dyDescent="0.3">
      <c r="D211" s="729"/>
      <c r="E211" s="356"/>
      <c r="F211" s="263"/>
      <c r="G211" s="264"/>
      <c r="H211" s="265"/>
      <c r="I211" s="266"/>
      <c r="J211" s="357">
        <f t="shared" ref="J211:J212" si="53">G211*I211</f>
        <v>0</v>
      </c>
      <c r="K211" s="271">
        <f t="shared" si="3"/>
        <v>0</v>
      </c>
      <c r="L211" s="272">
        <f t="shared" si="4"/>
        <v>0</v>
      </c>
      <c r="M211" s="195">
        <f t="shared" si="9"/>
        <v>0</v>
      </c>
      <c r="N211" s="272">
        <f t="shared" si="10"/>
        <v>0</v>
      </c>
      <c r="O211" s="272">
        <f t="shared" si="7"/>
        <v>0</v>
      </c>
      <c r="P211" s="273">
        <f t="shared" si="15"/>
        <v>0</v>
      </c>
      <c r="Q211" s="274"/>
      <c r="R211" s="26"/>
    </row>
    <row r="212" spans="4:19" ht="14.4" thickTop="1" thickBot="1" x14ac:dyDescent="0.3">
      <c r="D212" s="730"/>
      <c r="E212" s="358"/>
      <c r="F212" s="190"/>
      <c r="G212" s="191"/>
      <c r="H212" s="192"/>
      <c r="I212" s="193"/>
      <c r="J212" s="276">
        <f t="shared" si="53"/>
        <v>0</v>
      </c>
      <c r="K212" s="351">
        <f t="shared" si="3"/>
        <v>0</v>
      </c>
      <c r="L212" s="352">
        <f t="shared" si="4"/>
        <v>0</v>
      </c>
      <c r="M212" s="353">
        <f t="shared" si="9"/>
        <v>0</v>
      </c>
      <c r="N212" s="352">
        <f t="shared" si="10"/>
        <v>0</v>
      </c>
      <c r="O212" s="352">
        <f t="shared" si="7"/>
        <v>0</v>
      </c>
      <c r="P212" s="354">
        <f t="shared" si="15"/>
        <v>0</v>
      </c>
      <c r="Q212" s="262"/>
      <c r="R212" s="26"/>
    </row>
    <row r="213" spans="4:19" ht="13.8" thickBot="1" x14ac:dyDescent="0.3">
      <c r="D213" s="729"/>
      <c r="E213" s="349"/>
      <c r="F213" s="246"/>
      <c r="G213" s="247"/>
      <c r="H213" s="248"/>
      <c r="I213" s="249"/>
      <c r="J213" s="294">
        <f>G213*I213</f>
        <v>0</v>
      </c>
      <c r="K213" s="251">
        <f t="shared" si="3"/>
        <v>0</v>
      </c>
      <c r="L213" s="252">
        <f t="shared" si="4"/>
        <v>0</v>
      </c>
      <c r="M213" s="196">
        <f t="shared" si="9"/>
        <v>0</v>
      </c>
      <c r="N213" s="252">
        <f t="shared" si="10"/>
        <v>0</v>
      </c>
      <c r="O213" s="252">
        <f t="shared" si="7"/>
        <v>0</v>
      </c>
      <c r="P213" s="253">
        <f t="shared" si="15"/>
        <v>0</v>
      </c>
      <c r="Q213" s="299"/>
      <c r="R213" s="26"/>
      <c r="S213" s="82">
        <f>21*16</f>
        <v>336</v>
      </c>
    </row>
    <row r="214" spans="4:19" ht="14.4" thickTop="1" thickBot="1" x14ac:dyDescent="0.3">
      <c r="D214" s="730"/>
      <c r="E214" s="277"/>
      <c r="F214" s="255"/>
      <c r="G214" s="256"/>
      <c r="H214" s="257"/>
      <c r="I214" s="258"/>
      <c r="J214" s="350">
        <f>G214*I214</f>
        <v>0</v>
      </c>
      <c r="K214" s="259">
        <f t="shared" si="3"/>
        <v>0</v>
      </c>
      <c r="L214" s="260">
        <f t="shared" si="4"/>
        <v>0</v>
      </c>
      <c r="M214" s="219">
        <f t="shared" si="9"/>
        <v>0</v>
      </c>
      <c r="N214" s="260">
        <f t="shared" si="10"/>
        <v>0</v>
      </c>
      <c r="O214" s="260">
        <f t="shared" si="7"/>
        <v>0</v>
      </c>
      <c r="P214" s="261">
        <f t="shared" si="15"/>
        <v>0</v>
      </c>
      <c r="Q214" s="299"/>
      <c r="R214" s="26"/>
    </row>
    <row r="215" spans="4:19" ht="15" customHeight="1" thickBot="1" x14ac:dyDescent="0.3">
      <c r="D215" s="731"/>
      <c r="E215" s="356"/>
      <c r="F215" s="263"/>
      <c r="G215" s="264"/>
      <c r="H215" s="265"/>
      <c r="I215" s="266"/>
      <c r="J215" s="357">
        <f t="shared" ref="J215" si="54">G215*I215</f>
        <v>0</v>
      </c>
      <c r="K215" s="267">
        <f t="shared" si="3"/>
        <v>0</v>
      </c>
      <c r="L215" s="268">
        <f t="shared" si="4"/>
        <v>0</v>
      </c>
      <c r="M215" s="222">
        <f t="shared" si="9"/>
        <v>0</v>
      </c>
      <c r="N215" s="268">
        <f t="shared" si="10"/>
        <v>0</v>
      </c>
      <c r="O215" s="268">
        <f t="shared" si="7"/>
        <v>0</v>
      </c>
      <c r="P215" s="269">
        <f t="shared" si="15"/>
        <v>0</v>
      </c>
      <c r="Q215" s="270"/>
      <c r="R215" s="26"/>
    </row>
    <row r="216" spans="4:19" ht="14.4" thickTop="1" thickBot="1" x14ac:dyDescent="0.3">
      <c r="D216" s="728"/>
      <c r="E216" s="277"/>
      <c r="F216" s="255"/>
      <c r="G216" s="256"/>
      <c r="H216" s="257"/>
      <c r="I216" s="258"/>
      <c r="J216" s="350">
        <f>G216*I216</f>
        <v>0</v>
      </c>
      <c r="K216" s="351">
        <f t="shared" si="3"/>
        <v>0</v>
      </c>
      <c r="L216" s="352">
        <f t="shared" si="4"/>
        <v>0</v>
      </c>
      <c r="M216" s="353">
        <f t="shared" si="9"/>
        <v>0</v>
      </c>
      <c r="N216" s="352">
        <f t="shared" si="10"/>
        <v>0</v>
      </c>
      <c r="O216" s="352">
        <f t="shared" si="7"/>
        <v>0</v>
      </c>
      <c r="P216" s="354">
        <f t="shared" si="15"/>
        <v>0</v>
      </c>
      <c r="Q216" s="299"/>
      <c r="R216" s="26"/>
      <c r="S216" s="16"/>
    </row>
    <row r="217" spans="4:19" ht="15" customHeight="1" thickBot="1" x14ac:dyDescent="0.3">
      <c r="D217" s="729"/>
      <c r="E217" s="356"/>
      <c r="F217" s="263"/>
      <c r="G217" s="264"/>
      <c r="H217" s="265"/>
      <c r="I217" s="266"/>
      <c r="J217" s="357">
        <f t="shared" ref="J217" si="55">G217*I217</f>
        <v>0</v>
      </c>
      <c r="K217" s="271">
        <f t="shared" si="3"/>
        <v>0</v>
      </c>
      <c r="L217" s="272">
        <f t="shared" si="4"/>
        <v>0</v>
      </c>
      <c r="M217" s="195">
        <f t="shared" si="9"/>
        <v>0</v>
      </c>
      <c r="N217" s="272">
        <f t="shared" si="10"/>
        <v>0</v>
      </c>
      <c r="O217" s="272">
        <f t="shared" si="7"/>
        <v>0</v>
      </c>
      <c r="P217" s="273">
        <f t="shared" si="15"/>
        <v>0</v>
      </c>
      <c r="Q217" s="274"/>
      <c r="R217" s="26"/>
    </row>
    <row r="218" spans="4:19" ht="14.4" thickTop="1" thickBot="1" x14ac:dyDescent="0.3">
      <c r="D218" s="728"/>
      <c r="E218" s="277"/>
      <c r="F218" s="255"/>
      <c r="G218" s="256"/>
      <c r="H218" s="257"/>
      <c r="I218" s="258"/>
      <c r="J218" s="350">
        <f>G218*I218</f>
        <v>0</v>
      </c>
      <c r="K218" s="351">
        <f t="shared" si="3"/>
        <v>0</v>
      </c>
      <c r="L218" s="352">
        <f t="shared" si="4"/>
        <v>0</v>
      </c>
      <c r="M218" s="353">
        <f t="shared" si="9"/>
        <v>0</v>
      </c>
      <c r="N218" s="352">
        <f t="shared" si="10"/>
        <v>0</v>
      </c>
      <c r="O218" s="352">
        <f t="shared" si="7"/>
        <v>0</v>
      </c>
      <c r="P218" s="354">
        <f t="shared" si="15"/>
        <v>0</v>
      </c>
      <c r="Q218" s="299"/>
      <c r="R218" s="26"/>
      <c r="S218" s="16"/>
    </row>
    <row r="219" spans="4:19" ht="15" customHeight="1" thickBot="1" x14ac:dyDescent="0.3">
      <c r="D219" s="729"/>
      <c r="E219" s="356"/>
      <c r="F219" s="263"/>
      <c r="G219" s="264"/>
      <c r="H219" s="265"/>
      <c r="I219" s="266"/>
      <c r="J219" s="357">
        <f t="shared" ref="J219" si="56">G219*I219</f>
        <v>0</v>
      </c>
      <c r="K219" s="271">
        <f t="shared" si="3"/>
        <v>0</v>
      </c>
      <c r="L219" s="272">
        <f t="shared" si="4"/>
        <v>0</v>
      </c>
      <c r="M219" s="195">
        <f t="shared" si="9"/>
        <v>0</v>
      </c>
      <c r="N219" s="272">
        <f t="shared" si="10"/>
        <v>0</v>
      </c>
      <c r="O219" s="272">
        <f t="shared" si="7"/>
        <v>0</v>
      </c>
      <c r="P219" s="273">
        <f t="shared" si="15"/>
        <v>0</v>
      </c>
      <c r="Q219" s="274"/>
      <c r="R219" s="26"/>
    </row>
    <row r="220" spans="4:19" ht="14.4" thickTop="1" thickBot="1" x14ac:dyDescent="0.3">
      <c r="D220" s="728"/>
      <c r="E220" s="277"/>
      <c r="F220" s="255"/>
      <c r="G220" s="256"/>
      <c r="H220" s="257"/>
      <c r="I220" s="258"/>
      <c r="J220" s="350">
        <f>G220*I220</f>
        <v>0</v>
      </c>
      <c r="K220" s="351">
        <f t="shared" si="3"/>
        <v>0</v>
      </c>
      <c r="L220" s="352">
        <f t="shared" si="4"/>
        <v>0</v>
      </c>
      <c r="M220" s="353">
        <f t="shared" si="9"/>
        <v>0</v>
      </c>
      <c r="N220" s="352">
        <f t="shared" si="10"/>
        <v>0</v>
      </c>
      <c r="O220" s="352">
        <f t="shared" si="7"/>
        <v>0</v>
      </c>
      <c r="P220" s="354">
        <f t="shared" si="15"/>
        <v>0</v>
      </c>
      <c r="Q220" s="299"/>
      <c r="R220" s="26"/>
      <c r="S220" s="16"/>
    </row>
    <row r="221" spans="4:19" ht="15" customHeight="1" thickBot="1" x14ac:dyDescent="0.3">
      <c r="D221" s="729"/>
      <c r="E221" s="356"/>
      <c r="F221" s="263"/>
      <c r="G221" s="264"/>
      <c r="H221" s="265"/>
      <c r="I221" s="266"/>
      <c r="J221" s="357">
        <f t="shared" ref="J221" si="57">G221*I221</f>
        <v>0</v>
      </c>
      <c r="K221" s="271">
        <f t="shared" si="3"/>
        <v>0</v>
      </c>
      <c r="L221" s="272">
        <f t="shared" si="4"/>
        <v>0</v>
      </c>
      <c r="M221" s="195">
        <f t="shared" si="9"/>
        <v>0</v>
      </c>
      <c r="N221" s="272">
        <f t="shared" si="10"/>
        <v>0</v>
      </c>
      <c r="O221" s="272">
        <f t="shared" si="7"/>
        <v>0</v>
      </c>
      <c r="P221" s="273">
        <f t="shared" si="15"/>
        <v>0</v>
      </c>
      <c r="Q221" s="274"/>
      <c r="R221" s="26"/>
    </row>
    <row r="222" spans="4:19" ht="14.4" thickTop="1" thickBot="1" x14ac:dyDescent="0.3">
      <c r="D222" s="728"/>
      <c r="E222" s="277"/>
      <c r="F222" s="255"/>
      <c r="G222" s="256"/>
      <c r="H222" s="257"/>
      <c r="I222" s="258"/>
      <c r="J222" s="350">
        <f>G222*I222</f>
        <v>0</v>
      </c>
      <c r="K222" s="351">
        <f t="shared" si="3"/>
        <v>0</v>
      </c>
      <c r="L222" s="352">
        <f t="shared" si="4"/>
        <v>0</v>
      </c>
      <c r="M222" s="353">
        <f t="shared" si="9"/>
        <v>0</v>
      </c>
      <c r="N222" s="352">
        <f t="shared" si="10"/>
        <v>0</v>
      </c>
      <c r="O222" s="352">
        <f t="shared" si="7"/>
        <v>0</v>
      </c>
      <c r="P222" s="354">
        <f t="shared" si="15"/>
        <v>0</v>
      </c>
      <c r="Q222" s="299"/>
      <c r="R222" s="26"/>
      <c r="S222" s="16"/>
    </row>
    <row r="223" spans="4:19" ht="15" customHeight="1" thickBot="1" x14ac:dyDescent="0.3">
      <c r="D223" s="729"/>
      <c r="E223" s="356"/>
      <c r="F223" s="263"/>
      <c r="G223" s="264"/>
      <c r="H223" s="265"/>
      <c r="I223" s="266"/>
      <c r="J223" s="357">
        <f t="shared" ref="J223:J224" si="58">G223*I223</f>
        <v>0</v>
      </c>
      <c r="K223" s="271">
        <f t="shared" si="3"/>
        <v>0</v>
      </c>
      <c r="L223" s="272">
        <f t="shared" si="4"/>
        <v>0</v>
      </c>
      <c r="M223" s="195">
        <f t="shared" si="9"/>
        <v>0</v>
      </c>
      <c r="N223" s="272">
        <f t="shared" si="10"/>
        <v>0</v>
      </c>
      <c r="O223" s="272">
        <f t="shared" si="7"/>
        <v>0</v>
      </c>
      <c r="P223" s="273">
        <f t="shared" si="15"/>
        <v>0</v>
      </c>
      <c r="Q223" s="274"/>
      <c r="R223" s="26"/>
    </row>
    <row r="224" spans="4:19" ht="14.4" thickTop="1" thickBot="1" x14ac:dyDescent="0.3">
      <c r="D224" s="730"/>
      <c r="E224" s="358"/>
      <c r="F224" s="190"/>
      <c r="G224" s="191"/>
      <c r="H224" s="192"/>
      <c r="I224" s="193"/>
      <c r="J224" s="276">
        <f t="shared" si="58"/>
        <v>0</v>
      </c>
      <c r="K224" s="351">
        <f t="shared" si="3"/>
        <v>0</v>
      </c>
      <c r="L224" s="352">
        <f t="shared" si="4"/>
        <v>0</v>
      </c>
      <c r="M224" s="353">
        <f t="shared" si="9"/>
        <v>0</v>
      </c>
      <c r="N224" s="352">
        <f t="shared" si="10"/>
        <v>0</v>
      </c>
      <c r="O224" s="352">
        <f t="shared" si="7"/>
        <v>0</v>
      </c>
      <c r="P224" s="354">
        <f t="shared" si="15"/>
        <v>0</v>
      </c>
      <c r="Q224" s="262"/>
      <c r="R224" s="26"/>
    </row>
    <row r="225" spans="4:19" ht="13.8" thickBot="1" x14ac:dyDescent="0.3">
      <c r="D225" s="729"/>
      <c r="E225" s="349"/>
      <c r="F225" s="246"/>
      <c r="G225" s="247"/>
      <c r="H225" s="248"/>
      <c r="I225" s="249"/>
      <c r="J225" s="294">
        <f>G225*I225</f>
        <v>0</v>
      </c>
      <c r="K225" s="251">
        <f t="shared" si="3"/>
        <v>0</v>
      </c>
      <c r="L225" s="252">
        <f t="shared" si="4"/>
        <v>0</v>
      </c>
      <c r="M225" s="196">
        <f t="shared" si="9"/>
        <v>0</v>
      </c>
      <c r="N225" s="252">
        <f t="shared" si="10"/>
        <v>0</v>
      </c>
      <c r="O225" s="252">
        <f t="shared" si="7"/>
        <v>0</v>
      </c>
      <c r="P225" s="253">
        <f t="shared" si="15"/>
        <v>0</v>
      </c>
      <c r="Q225" s="299"/>
      <c r="R225" s="26"/>
      <c r="S225" s="82">
        <f>21*16</f>
        <v>336</v>
      </c>
    </row>
    <row r="226" spans="4:19" ht="14.4" thickTop="1" thickBot="1" x14ac:dyDescent="0.3">
      <c r="D226" s="730"/>
      <c r="E226" s="277"/>
      <c r="F226" s="255"/>
      <c r="G226" s="256"/>
      <c r="H226" s="257"/>
      <c r="I226" s="258"/>
      <c r="J226" s="350">
        <f>G226*I226</f>
        <v>0</v>
      </c>
      <c r="K226" s="259">
        <f t="shared" si="3"/>
        <v>0</v>
      </c>
      <c r="L226" s="260">
        <f t="shared" si="4"/>
        <v>0</v>
      </c>
      <c r="M226" s="219">
        <f t="shared" si="9"/>
        <v>0</v>
      </c>
      <c r="N226" s="260">
        <f t="shared" si="10"/>
        <v>0</v>
      </c>
      <c r="O226" s="260">
        <f t="shared" si="7"/>
        <v>0</v>
      </c>
      <c r="P226" s="261">
        <f t="shared" si="15"/>
        <v>0</v>
      </c>
      <c r="Q226" s="299"/>
      <c r="R226" s="26"/>
    </row>
    <row r="227" spans="4:19" ht="15" customHeight="1" thickBot="1" x14ac:dyDescent="0.3">
      <c r="D227" s="731"/>
      <c r="E227" s="356"/>
      <c r="F227" s="263"/>
      <c r="G227" s="264"/>
      <c r="H227" s="265"/>
      <c r="I227" s="266"/>
      <c r="J227" s="357">
        <f t="shared" ref="J227" si="59">G227*I227</f>
        <v>0</v>
      </c>
      <c r="K227" s="267">
        <f t="shared" si="3"/>
        <v>0</v>
      </c>
      <c r="L227" s="268">
        <f t="shared" si="4"/>
        <v>0</v>
      </c>
      <c r="M227" s="222">
        <f t="shared" si="9"/>
        <v>0</v>
      </c>
      <c r="N227" s="268">
        <f t="shared" si="10"/>
        <v>0</v>
      </c>
      <c r="O227" s="268">
        <f t="shared" si="7"/>
        <v>0</v>
      </c>
      <c r="P227" s="269">
        <f t="shared" si="15"/>
        <v>0</v>
      </c>
      <c r="Q227" s="270"/>
      <c r="R227" s="26"/>
    </row>
    <row r="228" spans="4:19" ht="14.4" thickTop="1" thickBot="1" x14ac:dyDescent="0.3">
      <c r="D228" s="728"/>
      <c r="E228" s="277"/>
      <c r="F228" s="255"/>
      <c r="G228" s="256"/>
      <c r="H228" s="257"/>
      <c r="I228" s="258"/>
      <c r="J228" s="350">
        <f>G228*I228</f>
        <v>0</v>
      </c>
      <c r="K228" s="351">
        <f t="shared" si="3"/>
        <v>0</v>
      </c>
      <c r="L228" s="352">
        <f t="shared" si="4"/>
        <v>0</v>
      </c>
      <c r="M228" s="353">
        <f t="shared" si="9"/>
        <v>0</v>
      </c>
      <c r="N228" s="352">
        <f t="shared" si="10"/>
        <v>0</v>
      </c>
      <c r="O228" s="352">
        <f t="shared" si="7"/>
        <v>0</v>
      </c>
      <c r="P228" s="354">
        <f t="shared" si="15"/>
        <v>0</v>
      </c>
      <c r="Q228" s="299"/>
      <c r="R228" s="26"/>
      <c r="S228" s="16"/>
    </row>
    <row r="229" spans="4:19" ht="15" customHeight="1" thickBot="1" x14ac:dyDescent="0.3">
      <c r="D229" s="729"/>
      <c r="E229" s="356"/>
      <c r="F229" s="263"/>
      <c r="G229" s="264"/>
      <c r="H229" s="265"/>
      <c r="I229" s="266"/>
      <c r="J229" s="357">
        <f t="shared" ref="J229" si="60">G229*I229</f>
        <v>0</v>
      </c>
      <c r="K229" s="271">
        <f t="shared" si="3"/>
        <v>0</v>
      </c>
      <c r="L229" s="272">
        <f t="shared" si="4"/>
        <v>0</v>
      </c>
      <c r="M229" s="195">
        <f t="shared" si="9"/>
        <v>0</v>
      </c>
      <c r="N229" s="272">
        <f t="shared" si="10"/>
        <v>0</v>
      </c>
      <c r="O229" s="272">
        <f t="shared" si="7"/>
        <v>0</v>
      </c>
      <c r="P229" s="273">
        <f t="shared" si="15"/>
        <v>0</v>
      </c>
      <c r="Q229" s="274"/>
      <c r="R229" s="26"/>
    </row>
    <row r="230" spans="4:19" ht="14.4" thickTop="1" thickBot="1" x14ac:dyDescent="0.3">
      <c r="D230" s="728"/>
      <c r="E230" s="277"/>
      <c r="F230" s="255"/>
      <c r="G230" s="256"/>
      <c r="H230" s="257"/>
      <c r="I230" s="258"/>
      <c r="J230" s="350">
        <f>G230*I230</f>
        <v>0</v>
      </c>
      <c r="K230" s="351">
        <f t="shared" si="3"/>
        <v>0</v>
      </c>
      <c r="L230" s="352">
        <f t="shared" si="4"/>
        <v>0</v>
      </c>
      <c r="M230" s="353">
        <f t="shared" si="9"/>
        <v>0</v>
      </c>
      <c r="N230" s="352">
        <f t="shared" si="10"/>
        <v>0</v>
      </c>
      <c r="O230" s="352">
        <f t="shared" si="7"/>
        <v>0</v>
      </c>
      <c r="P230" s="354">
        <f t="shared" si="15"/>
        <v>0</v>
      </c>
      <c r="Q230" s="299"/>
      <c r="R230" s="26"/>
      <c r="S230" s="16"/>
    </row>
    <row r="231" spans="4:19" ht="15" customHeight="1" thickBot="1" x14ac:dyDescent="0.3">
      <c r="D231" s="729"/>
      <c r="E231" s="356"/>
      <c r="F231" s="263"/>
      <c r="G231" s="264"/>
      <c r="H231" s="265"/>
      <c r="I231" s="266"/>
      <c r="J231" s="357">
        <f t="shared" ref="J231" si="61">G231*I231</f>
        <v>0</v>
      </c>
      <c r="K231" s="271">
        <f t="shared" si="3"/>
        <v>0</v>
      </c>
      <c r="L231" s="272">
        <f t="shared" si="4"/>
        <v>0</v>
      </c>
      <c r="M231" s="195">
        <f t="shared" si="9"/>
        <v>0</v>
      </c>
      <c r="N231" s="272">
        <f t="shared" si="10"/>
        <v>0</v>
      </c>
      <c r="O231" s="272">
        <f t="shared" si="7"/>
        <v>0</v>
      </c>
      <c r="P231" s="273">
        <f t="shared" si="15"/>
        <v>0</v>
      </c>
      <c r="Q231" s="274"/>
      <c r="R231" s="26"/>
    </row>
    <row r="232" spans="4:19" ht="14.4" thickTop="1" thickBot="1" x14ac:dyDescent="0.3">
      <c r="D232" s="728"/>
      <c r="E232" s="277"/>
      <c r="F232" s="255"/>
      <c r="G232" s="256"/>
      <c r="H232" s="257"/>
      <c r="I232" s="258"/>
      <c r="J232" s="350">
        <f>G232*I232</f>
        <v>0</v>
      </c>
      <c r="K232" s="351">
        <f t="shared" si="3"/>
        <v>0</v>
      </c>
      <c r="L232" s="352">
        <f t="shared" si="4"/>
        <v>0</v>
      </c>
      <c r="M232" s="353">
        <f t="shared" si="9"/>
        <v>0</v>
      </c>
      <c r="N232" s="352">
        <f t="shared" si="10"/>
        <v>0</v>
      </c>
      <c r="O232" s="352">
        <f t="shared" si="7"/>
        <v>0</v>
      </c>
      <c r="P232" s="354">
        <f t="shared" si="15"/>
        <v>0</v>
      </c>
      <c r="Q232" s="299"/>
      <c r="R232" s="26"/>
      <c r="S232" s="16"/>
    </row>
    <row r="233" spans="4:19" ht="15" customHeight="1" thickBot="1" x14ac:dyDescent="0.3">
      <c r="D233" s="729"/>
      <c r="E233" s="356"/>
      <c r="F233" s="263"/>
      <c r="G233" s="264"/>
      <c r="H233" s="265"/>
      <c r="I233" s="266"/>
      <c r="J233" s="357">
        <f t="shared" ref="J233" si="62">G233*I233</f>
        <v>0</v>
      </c>
      <c r="K233" s="271">
        <f t="shared" si="3"/>
        <v>0</v>
      </c>
      <c r="L233" s="272">
        <f t="shared" si="4"/>
        <v>0</v>
      </c>
      <c r="M233" s="195">
        <f t="shared" si="9"/>
        <v>0</v>
      </c>
      <c r="N233" s="272">
        <f t="shared" si="10"/>
        <v>0</v>
      </c>
      <c r="O233" s="272">
        <f t="shared" si="7"/>
        <v>0</v>
      </c>
      <c r="P233" s="273">
        <f t="shared" si="15"/>
        <v>0</v>
      </c>
      <c r="Q233" s="274"/>
      <c r="R233" s="26"/>
    </row>
    <row r="234" spans="4:19" ht="14.4" thickTop="1" thickBot="1" x14ac:dyDescent="0.3">
      <c r="D234" s="728"/>
      <c r="E234" s="277"/>
      <c r="F234" s="255"/>
      <c r="G234" s="256"/>
      <c r="H234" s="257"/>
      <c r="I234" s="258"/>
      <c r="J234" s="350">
        <f>G234*I234</f>
        <v>0</v>
      </c>
      <c r="K234" s="351">
        <f t="shared" si="3"/>
        <v>0</v>
      </c>
      <c r="L234" s="352">
        <f t="shared" si="4"/>
        <v>0</v>
      </c>
      <c r="M234" s="353">
        <f t="shared" si="9"/>
        <v>0</v>
      </c>
      <c r="N234" s="352">
        <f t="shared" si="10"/>
        <v>0</v>
      </c>
      <c r="O234" s="352">
        <f t="shared" si="7"/>
        <v>0</v>
      </c>
      <c r="P234" s="354">
        <f t="shared" si="15"/>
        <v>0</v>
      </c>
      <c r="Q234" s="299"/>
      <c r="R234" s="26"/>
      <c r="S234" s="16"/>
    </row>
    <row r="235" spans="4:19" ht="15" customHeight="1" thickBot="1" x14ac:dyDescent="0.3">
      <c r="D235" s="729"/>
      <c r="E235" s="356"/>
      <c r="F235" s="263"/>
      <c r="G235" s="264"/>
      <c r="H235" s="265"/>
      <c r="I235" s="266"/>
      <c r="J235" s="357">
        <f t="shared" ref="J235:J236" si="63">G235*I235</f>
        <v>0</v>
      </c>
      <c r="K235" s="271">
        <f t="shared" si="3"/>
        <v>0</v>
      </c>
      <c r="L235" s="272">
        <f t="shared" si="4"/>
        <v>0</v>
      </c>
      <c r="M235" s="195">
        <f t="shared" si="9"/>
        <v>0</v>
      </c>
      <c r="N235" s="272">
        <f t="shared" si="10"/>
        <v>0</v>
      </c>
      <c r="O235" s="272">
        <f t="shared" si="7"/>
        <v>0</v>
      </c>
      <c r="P235" s="273">
        <f t="shared" si="15"/>
        <v>0</v>
      </c>
      <c r="Q235" s="274"/>
      <c r="R235" s="26"/>
    </row>
    <row r="236" spans="4:19" ht="14.4" thickTop="1" thickBot="1" x14ac:dyDescent="0.3">
      <c r="D236" s="730"/>
      <c r="E236" s="358"/>
      <c r="F236" s="190"/>
      <c r="G236" s="191"/>
      <c r="H236" s="192"/>
      <c r="I236" s="193"/>
      <c r="J236" s="276">
        <f t="shared" si="63"/>
        <v>0</v>
      </c>
      <c r="K236" s="351">
        <f t="shared" si="3"/>
        <v>0</v>
      </c>
      <c r="L236" s="352">
        <f t="shared" si="4"/>
        <v>0</v>
      </c>
      <c r="M236" s="353">
        <f t="shared" si="9"/>
        <v>0</v>
      </c>
      <c r="N236" s="352">
        <f t="shared" si="10"/>
        <v>0</v>
      </c>
      <c r="O236" s="352">
        <f t="shared" si="7"/>
        <v>0</v>
      </c>
      <c r="P236" s="354">
        <f t="shared" si="15"/>
        <v>0</v>
      </c>
      <c r="Q236" s="262"/>
      <c r="R236" s="26"/>
    </row>
    <row r="237" spans="4:19" ht="13.8" thickBot="1" x14ac:dyDescent="0.3">
      <c r="D237" s="729"/>
      <c r="E237" s="349"/>
      <c r="F237" s="246"/>
      <c r="G237" s="247"/>
      <c r="H237" s="248"/>
      <c r="I237" s="249"/>
      <c r="J237" s="294">
        <f>G237*I237</f>
        <v>0</v>
      </c>
      <c r="K237" s="251">
        <f t="shared" si="3"/>
        <v>0</v>
      </c>
      <c r="L237" s="252">
        <f t="shared" si="4"/>
        <v>0</v>
      </c>
      <c r="M237" s="196">
        <f t="shared" si="9"/>
        <v>0</v>
      </c>
      <c r="N237" s="252">
        <f t="shared" si="10"/>
        <v>0</v>
      </c>
      <c r="O237" s="252">
        <f t="shared" si="7"/>
        <v>0</v>
      </c>
      <c r="P237" s="253">
        <f t="shared" si="15"/>
        <v>0</v>
      </c>
      <c r="Q237" s="299"/>
      <c r="R237" s="26"/>
      <c r="S237" s="82">
        <f>21*16</f>
        <v>336</v>
      </c>
    </row>
    <row r="238" spans="4:19" ht="14.4" thickTop="1" thickBot="1" x14ac:dyDescent="0.3">
      <c r="D238" s="730"/>
      <c r="E238" s="277"/>
      <c r="F238" s="255"/>
      <c r="G238" s="256"/>
      <c r="H238" s="257"/>
      <c r="I238" s="258"/>
      <c r="J238" s="350">
        <f>G238*I238</f>
        <v>0</v>
      </c>
      <c r="K238" s="259">
        <f t="shared" si="3"/>
        <v>0</v>
      </c>
      <c r="L238" s="260">
        <f t="shared" si="4"/>
        <v>0</v>
      </c>
      <c r="M238" s="219">
        <f t="shared" si="9"/>
        <v>0</v>
      </c>
      <c r="N238" s="260">
        <f t="shared" si="10"/>
        <v>0</v>
      </c>
      <c r="O238" s="260">
        <f t="shared" si="7"/>
        <v>0</v>
      </c>
      <c r="P238" s="261">
        <f t="shared" si="15"/>
        <v>0</v>
      </c>
      <c r="Q238" s="299"/>
      <c r="R238" s="26"/>
    </row>
    <row r="239" spans="4:19" ht="15" customHeight="1" thickBot="1" x14ac:dyDescent="0.3">
      <c r="D239" s="731"/>
      <c r="E239" s="356"/>
      <c r="F239" s="263"/>
      <c r="G239" s="264"/>
      <c r="H239" s="265"/>
      <c r="I239" s="266"/>
      <c r="J239" s="357">
        <f t="shared" ref="J239" si="64">G239*I239</f>
        <v>0</v>
      </c>
      <c r="K239" s="267">
        <f t="shared" si="3"/>
        <v>0</v>
      </c>
      <c r="L239" s="268">
        <f t="shared" si="4"/>
        <v>0</v>
      </c>
      <c r="M239" s="222">
        <f t="shared" si="9"/>
        <v>0</v>
      </c>
      <c r="N239" s="268">
        <f t="shared" si="10"/>
        <v>0</v>
      </c>
      <c r="O239" s="268">
        <f t="shared" si="7"/>
        <v>0</v>
      </c>
      <c r="P239" s="269">
        <f t="shared" si="15"/>
        <v>0</v>
      </c>
      <c r="Q239" s="270"/>
      <c r="R239" s="26"/>
    </row>
    <row r="240" spans="4:19" ht="14.4" thickTop="1" thickBot="1" x14ac:dyDescent="0.3">
      <c r="D240" s="728"/>
      <c r="E240" s="277"/>
      <c r="F240" s="255"/>
      <c r="G240" s="256"/>
      <c r="H240" s="257"/>
      <c r="I240" s="258"/>
      <c r="J240" s="350">
        <f>G240*I240</f>
        <v>0</v>
      </c>
      <c r="K240" s="351">
        <f t="shared" si="3"/>
        <v>0</v>
      </c>
      <c r="L240" s="352">
        <f t="shared" si="4"/>
        <v>0</v>
      </c>
      <c r="M240" s="353">
        <f t="shared" si="9"/>
        <v>0</v>
      </c>
      <c r="N240" s="352">
        <f t="shared" si="10"/>
        <v>0</v>
      </c>
      <c r="O240" s="352">
        <f t="shared" si="7"/>
        <v>0</v>
      </c>
      <c r="P240" s="354">
        <f t="shared" si="15"/>
        <v>0</v>
      </c>
      <c r="Q240" s="299"/>
      <c r="R240" s="26"/>
      <c r="S240" s="16"/>
    </row>
    <row r="241" spans="4:19" ht="15" customHeight="1" thickBot="1" x14ac:dyDescent="0.3">
      <c r="D241" s="729"/>
      <c r="E241" s="356"/>
      <c r="F241" s="263"/>
      <c r="G241" s="264"/>
      <c r="H241" s="265"/>
      <c r="I241" s="266"/>
      <c r="J241" s="357">
        <f t="shared" ref="J241" si="65">G241*I241</f>
        <v>0</v>
      </c>
      <c r="K241" s="271">
        <f t="shared" si="3"/>
        <v>0</v>
      </c>
      <c r="L241" s="272">
        <f t="shared" si="4"/>
        <v>0</v>
      </c>
      <c r="M241" s="195">
        <f t="shared" si="9"/>
        <v>0</v>
      </c>
      <c r="N241" s="272">
        <f t="shared" si="10"/>
        <v>0</v>
      </c>
      <c r="O241" s="272">
        <f t="shared" si="7"/>
        <v>0</v>
      </c>
      <c r="P241" s="273">
        <f t="shared" si="15"/>
        <v>0</v>
      </c>
      <c r="Q241" s="274"/>
      <c r="R241" s="26"/>
    </row>
    <row r="242" spans="4:19" ht="14.4" thickTop="1" thickBot="1" x14ac:dyDescent="0.3">
      <c r="D242" s="728"/>
      <c r="E242" s="277"/>
      <c r="F242" s="255"/>
      <c r="G242" s="256"/>
      <c r="H242" s="257"/>
      <c r="I242" s="258"/>
      <c r="J242" s="350">
        <f>G242*I242</f>
        <v>0</v>
      </c>
      <c r="K242" s="351">
        <f t="shared" si="3"/>
        <v>0</v>
      </c>
      <c r="L242" s="352">
        <f t="shared" si="4"/>
        <v>0</v>
      </c>
      <c r="M242" s="353">
        <f t="shared" si="9"/>
        <v>0</v>
      </c>
      <c r="N242" s="352">
        <f t="shared" si="10"/>
        <v>0</v>
      </c>
      <c r="O242" s="352">
        <f t="shared" si="7"/>
        <v>0</v>
      </c>
      <c r="P242" s="354">
        <f t="shared" si="15"/>
        <v>0</v>
      </c>
      <c r="Q242" s="299"/>
      <c r="R242" s="26"/>
      <c r="S242" s="16"/>
    </row>
    <row r="243" spans="4:19" ht="15" customHeight="1" thickBot="1" x14ac:dyDescent="0.3">
      <c r="D243" s="729"/>
      <c r="E243" s="356"/>
      <c r="F243" s="263"/>
      <c r="G243" s="264"/>
      <c r="H243" s="265"/>
      <c r="I243" s="266"/>
      <c r="J243" s="357">
        <f t="shared" ref="J243" si="66">G243*I243</f>
        <v>0</v>
      </c>
      <c r="K243" s="271">
        <f t="shared" si="3"/>
        <v>0</v>
      </c>
      <c r="L243" s="272">
        <f t="shared" si="4"/>
        <v>0</v>
      </c>
      <c r="M243" s="195">
        <f t="shared" si="9"/>
        <v>0</v>
      </c>
      <c r="N243" s="272">
        <f t="shared" si="10"/>
        <v>0</v>
      </c>
      <c r="O243" s="272">
        <f t="shared" si="7"/>
        <v>0</v>
      </c>
      <c r="P243" s="273">
        <f t="shared" si="15"/>
        <v>0</v>
      </c>
      <c r="Q243" s="274"/>
      <c r="R243" s="26"/>
    </row>
    <row r="244" spans="4:19" ht="14.4" thickTop="1" thickBot="1" x14ac:dyDescent="0.3">
      <c r="D244" s="728"/>
      <c r="E244" s="277"/>
      <c r="F244" s="255"/>
      <c r="G244" s="256"/>
      <c r="H244" s="257"/>
      <c r="I244" s="258"/>
      <c r="J244" s="350">
        <f>G244*I244</f>
        <v>0</v>
      </c>
      <c r="K244" s="351">
        <f t="shared" si="3"/>
        <v>0</v>
      </c>
      <c r="L244" s="352">
        <f t="shared" si="4"/>
        <v>0</v>
      </c>
      <c r="M244" s="353">
        <f t="shared" si="9"/>
        <v>0</v>
      </c>
      <c r="N244" s="352">
        <f t="shared" si="10"/>
        <v>0</v>
      </c>
      <c r="O244" s="352">
        <f t="shared" si="7"/>
        <v>0</v>
      </c>
      <c r="P244" s="354">
        <f t="shared" si="15"/>
        <v>0</v>
      </c>
      <c r="Q244" s="299"/>
      <c r="R244" s="26"/>
      <c r="S244" s="16"/>
    </row>
    <row r="245" spans="4:19" ht="15" customHeight="1" thickBot="1" x14ac:dyDescent="0.3">
      <c r="D245" s="729"/>
      <c r="E245" s="356"/>
      <c r="F245" s="263"/>
      <c r="G245" s="264"/>
      <c r="H245" s="265"/>
      <c r="I245" s="266"/>
      <c r="J245" s="357">
        <f t="shared" ref="J245:J246" si="67">G245*I245</f>
        <v>0</v>
      </c>
      <c r="K245" s="271">
        <f t="shared" si="3"/>
        <v>0</v>
      </c>
      <c r="L245" s="272">
        <f t="shared" si="4"/>
        <v>0</v>
      </c>
      <c r="M245" s="195">
        <f t="shared" si="9"/>
        <v>0</v>
      </c>
      <c r="N245" s="272">
        <f t="shared" si="10"/>
        <v>0</v>
      </c>
      <c r="O245" s="272">
        <f t="shared" si="7"/>
        <v>0</v>
      </c>
      <c r="P245" s="273">
        <f t="shared" si="15"/>
        <v>0</v>
      </c>
      <c r="Q245" s="274"/>
      <c r="R245" s="26"/>
    </row>
    <row r="246" spans="4:19" ht="14.4" thickTop="1" thickBot="1" x14ac:dyDescent="0.3">
      <c r="D246" s="730"/>
      <c r="E246" s="358"/>
      <c r="F246" s="190"/>
      <c r="G246" s="191"/>
      <c r="H246" s="192"/>
      <c r="I246" s="193"/>
      <c r="J246" s="276">
        <f t="shared" si="67"/>
        <v>0</v>
      </c>
      <c r="K246" s="351">
        <f t="shared" si="3"/>
        <v>0</v>
      </c>
      <c r="L246" s="352">
        <f t="shared" si="4"/>
        <v>0</v>
      </c>
      <c r="M246" s="353">
        <f t="shared" si="9"/>
        <v>0</v>
      </c>
      <c r="N246" s="352">
        <f t="shared" si="10"/>
        <v>0</v>
      </c>
      <c r="O246" s="352">
        <f t="shared" si="7"/>
        <v>0</v>
      </c>
      <c r="P246" s="354">
        <f t="shared" si="15"/>
        <v>0</v>
      </c>
      <c r="Q246" s="262"/>
      <c r="R246" s="26"/>
    </row>
    <row r="247" spans="4:19" ht="13.8" thickBot="1" x14ac:dyDescent="0.3">
      <c r="D247" s="729"/>
      <c r="E247" s="349"/>
      <c r="F247" s="246"/>
      <c r="G247" s="247"/>
      <c r="H247" s="248"/>
      <c r="I247" s="249"/>
      <c r="J247" s="294">
        <f>G247*I247</f>
        <v>0</v>
      </c>
      <c r="K247" s="251">
        <f t="shared" si="3"/>
        <v>0</v>
      </c>
      <c r="L247" s="252">
        <f t="shared" si="4"/>
        <v>0</v>
      </c>
      <c r="M247" s="196">
        <f t="shared" si="9"/>
        <v>0</v>
      </c>
      <c r="N247" s="252">
        <f t="shared" si="10"/>
        <v>0</v>
      </c>
      <c r="O247" s="252">
        <f t="shared" si="7"/>
        <v>0</v>
      </c>
      <c r="P247" s="253">
        <f t="shared" si="15"/>
        <v>0</v>
      </c>
      <c r="Q247" s="299"/>
      <c r="R247" s="26"/>
      <c r="S247" s="82">
        <f>21*16</f>
        <v>336</v>
      </c>
    </row>
    <row r="248" spans="4:19" ht="14.4" thickTop="1" thickBot="1" x14ac:dyDescent="0.3">
      <c r="D248" s="730"/>
      <c r="E248" s="277"/>
      <c r="F248" s="255"/>
      <c r="G248" s="256"/>
      <c r="H248" s="257"/>
      <c r="I248" s="258"/>
      <c r="J248" s="350">
        <f>G248*I248</f>
        <v>0</v>
      </c>
      <c r="K248" s="259">
        <f t="shared" si="3"/>
        <v>0</v>
      </c>
      <c r="L248" s="260">
        <f t="shared" si="4"/>
        <v>0</v>
      </c>
      <c r="M248" s="219">
        <f t="shared" si="9"/>
        <v>0</v>
      </c>
      <c r="N248" s="260">
        <f t="shared" si="10"/>
        <v>0</v>
      </c>
      <c r="O248" s="260">
        <f t="shared" si="7"/>
        <v>0</v>
      </c>
      <c r="P248" s="261">
        <f t="shared" si="15"/>
        <v>0</v>
      </c>
      <c r="Q248" s="299"/>
      <c r="R248" s="26"/>
    </row>
    <row r="249" spans="4:19" ht="15" customHeight="1" thickBot="1" x14ac:dyDescent="0.3">
      <c r="D249" s="731"/>
      <c r="E249" s="356"/>
      <c r="F249" s="263"/>
      <c r="G249" s="264"/>
      <c r="H249" s="265"/>
      <c r="I249" s="266"/>
      <c r="J249" s="357">
        <f t="shared" ref="J249" si="68">G249*I249</f>
        <v>0</v>
      </c>
      <c r="K249" s="267">
        <f t="shared" si="3"/>
        <v>0</v>
      </c>
      <c r="L249" s="268">
        <f t="shared" si="4"/>
        <v>0</v>
      </c>
      <c r="M249" s="222">
        <f t="shared" si="9"/>
        <v>0</v>
      </c>
      <c r="N249" s="268">
        <f t="shared" si="10"/>
        <v>0</v>
      </c>
      <c r="O249" s="268">
        <f t="shared" si="7"/>
        <v>0</v>
      </c>
      <c r="P249" s="269">
        <f t="shared" si="15"/>
        <v>0</v>
      </c>
      <c r="Q249" s="270"/>
      <c r="R249" s="26"/>
    </row>
    <row r="250" spans="4:19" ht="14.4" thickTop="1" thickBot="1" x14ac:dyDescent="0.3">
      <c r="D250" s="728"/>
      <c r="E250" s="277"/>
      <c r="F250" s="255"/>
      <c r="G250" s="256"/>
      <c r="H250" s="257"/>
      <c r="I250" s="258"/>
      <c r="J250" s="350">
        <f>G250*I250</f>
        <v>0</v>
      </c>
      <c r="K250" s="351">
        <f t="shared" si="3"/>
        <v>0</v>
      </c>
      <c r="L250" s="352">
        <f t="shared" si="4"/>
        <v>0</v>
      </c>
      <c r="M250" s="353">
        <f t="shared" si="9"/>
        <v>0</v>
      </c>
      <c r="N250" s="352">
        <f t="shared" si="10"/>
        <v>0</v>
      </c>
      <c r="O250" s="352">
        <f t="shared" si="7"/>
        <v>0</v>
      </c>
      <c r="P250" s="354">
        <f t="shared" si="15"/>
        <v>0</v>
      </c>
      <c r="Q250" s="299"/>
      <c r="R250" s="26"/>
      <c r="S250" s="16"/>
    </row>
    <row r="251" spans="4:19" ht="15" customHeight="1" thickBot="1" x14ac:dyDescent="0.3">
      <c r="D251" s="729"/>
      <c r="E251" s="356"/>
      <c r="F251" s="263"/>
      <c r="G251" s="264"/>
      <c r="H251" s="265"/>
      <c r="I251" s="266"/>
      <c r="J251" s="357">
        <f t="shared" ref="J251" si="69">G251*I251</f>
        <v>0</v>
      </c>
      <c r="K251" s="271">
        <f t="shared" si="3"/>
        <v>0</v>
      </c>
      <c r="L251" s="272">
        <f t="shared" si="4"/>
        <v>0</v>
      </c>
      <c r="M251" s="195">
        <f t="shared" si="9"/>
        <v>0</v>
      </c>
      <c r="N251" s="272">
        <f t="shared" si="10"/>
        <v>0</v>
      </c>
      <c r="O251" s="272">
        <f t="shared" si="7"/>
        <v>0</v>
      </c>
      <c r="P251" s="273">
        <f t="shared" si="15"/>
        <v>0</v>
      </c>
      <c r="Q251" s="274"/>
      <c r="R251" s="26"/>
    </row>
    <row r="252" spans="4:19" ht="14.4" thickTop="1" thickBot="1" x14ac:dyDescent="0.3">
      <c r="D252" s="728"/>
      <c r="E252" s="277"/>
      <c r="F252" s="255"/>
      <c r="G252" s="256"/>
      <c r="H252" s="257"/>
      <c r="I252" s="258"/>
      <c r="J252" s="350">
        <f>G252*I252</f>
        <v>0</v>
      </c>
      <c r="K252" s="351">
        <f t="shared" si="3"/>
        <v>0</v>
      </c>
      <c r="L252" s="352">
        <f t="shared" si="4"/>
        <v>0</v>
      </c>
      <c r="M252" s="353">
        <f t="shared" si="9"/>
        <v>0</v>
      </c>
      <c r="N252" s="352">
        <f t="shared" si="10"/>
        <v>0</v>
      </c>
      <c r="O252" s="352">
        <f t="shared" si="7"/>
        <v>0</v>
      </c>
      <c r="P252" s="354">
        <f t="shared" si="15"/>
        <v>0</v>
      </c>
      <c r="Q252" s="299"/>
      <c r="R252" s="26"/>
      <c r="S252" s="16"/>
    </row>
    <row r="253" spans="4:19" ht="15" customHeight="1" thickBot="1" x14ac:dyDescent="0.3">
      <c r="D253" s="729"/>
      <c r="E253" s="356"/>
      <c r="F253" s="263"/>
      <c r="G253" s="264"/>
      <c r="H253" s="265"/>
      <c r="I253" s="266"/>
      <c r="J253" s="357">
        <f t="shared" ref="J253" si="70">G253*I253</f>
        <v>0</v>
      </c>
      <c r="K253" s="271">
        <f t="shared" si="3"/>
        <v>0</v>
      </c>
      <c r="L253" s="272">
        <f t="shared" si="4"/>
        <v>0</v>
      </c>
      <c r="M253" s="195">
        <f t="shared" si="9"/>
        <v>0</v>
      </c>
      <c r="N253" s="272">
        <f t="shared" si="10"/>
        <v>0</v>
      </c>
      <c r="O253" s="272">
        <f t="shared" si="7"/>
        <v>0</v>
      </c>
      <c r="P253" s="273">
        <f t="shared" si="15"/>
        <v>0</v>
      </c>
      <c r="Q253" s="274"/>
      <c r="R253" s="26"/>
    </row>
    <row r="254" spans="4:19" ht="14.4" thickTop="1" thickBot="1" x14ac:dyDescent="0.3">
      <c r="D254" s="728"/>
      <c r="E254" s="277"/>
      <c r="F254" s="255"/>
      <c r="G254" s="256"/>
      <c r="H254" s="257"/>
      <c r="I254" s="258"/>
      <c r="J254" s="350">
        <f>G254*I254</f>
        <v>0</v>
      </c>
      <c r="K254" s="351">
        <f t="shared" si="3"/>
        <v>0</v>
      </c>
      <c r="L254" s="352">
        <f t="shared" si="4"/>
        <v>0</v>
      </c>
      <c r="M254" s="353">
        <f t="shared" si="9"/>
        <v>0</v>
      </c>
      <c r="N254" s="352">
        <f t="shared" si="10"/>
        <v>0</v>
      </c>
      <c r="O254" s="352">
        <f t="shared" si="7"/>
        <v>0</v>
      </c>
      <c r="P254" s="354">
        <f t="shared" si="15"/>
        <v>0</v>
      </c>
      <c r="Q254" s="299"/>
      <c r="R254" s="26"/>
      <c r="S254" s="16"/>
    </row>
    <row r="255" spans="4:19" ht="15" customHeight="1" thickBot="1" x14ac:dyDescent="0.3">
      <c r="D255" s="729"/>
      <c r="E255" s="356"/>
      <c r="F255" s="263"/>
      <c r="G255" s="264"/>
      <c r="H255" s="265"/>
      <c r="I255" s="266"/>
      <c r="J255" s="357">
        <f t="shared" ref="J255" si="71">G255*I255</f>
        <v>0</v>
      </c>
      <c r="K255" s="271">
        <f t="shared" si="3"/>
        <v>0</v>
      </c>
      <c r="L255" s="272">
        <f t="shared" si="4"/>
        <v>0</v>
      </c>
      <c r="M255" s="195">
        <f t="shared" si="9"/>
        <v>0</v>
      </c>
      <c r="N255" s="272">
        <f t="shared" si="10"/>
        <v>0</v>
      </c>
      <c r="O255" s="272">
        <f t="shared" si="7"/>
        <v>0</v>
      </c>
      <c r="P255" s="273">
        <f t="shared" si="15"/>
        <v>0</v>
      </c>
      <c r="Q255" s="274"/>
      <c r="R255" s="26"/>
    </row>
    <row r="256" spans="4:19" ht="14.4" thickTop="1" thickBot="1" x14ac:dyDescent="0.3">
      <c r="D256" s="728"/>
      <c r="E256" s="277"/>
      <c r="F256" s="255"/>
      <c r="G256" s="256"/>
      <c r="H256" s="257"/>
      <c r="I256" s="258"/>
      <c r="J256" s="350">
        <f>G256*I256</f>
        <v>0</v>
      </c>
      <c r="K256" s="351">
        <f t="shared" si="3"/>
        <v>0</v>
      </c>
      <c r="L256" s="352">
        <f t="shared" si="4"/>
        <v>0</v>
      </c>
      <c r="M256" s="353">
        <f t="shared" si="9"/>
        <v>0</v>
      </c>
      <c r="N256" s="352">
        <f t="shared" si="10"/>
        <v>0</v>
      </c>
      <c r="O256" s="352">
        <f t="shared" si="7"/>
        <v>0</v>
      </c>
      <c r="P256" s="354">
        <f t="shared" si="15"/>
        <v>0</v>
      </c>
      <c r="Q256" s="299"/>
      <c r="R256" s="26"/>
      <c r="S256" s="16"/>
    </row>
    <row r="257" spans="4:19" ht="15" customHeight="1" thickBot="1" x14ac:dyDescent="0.3">
      <c r="D257" s="729"/>
      <c r="E257" s="356"/>
      <c r="F257" s="263"/>
      <c r="G257" s="264"/>
      <c r="H257" s="265"/>
      <c r="I257" s="266"/>
      <c r="J257" s="357">
        <f t="shared" ref="J257:J258" si="72">G257*I257</f>
        <v>0</v>
      </c>
      <c r="K257" s="271">
        <f t="shared" si="3"/>
        <v>0</v>
      </c>
      <c r="L257" s="272">
        <f t="shared" si="4"/>
        <v>0</v>
      </c>
      <c r="M257" s="195">
        <f t="shared" si="9"/>
        <v>0</v>
      </c>
      <c r="N257" s="272">
        <f t="shared" si="10"/>
        <v>0</v>
      </c>
      <c r="O257" s="272">
        <f t="shared" si="7"/>
        <v>0</v>
      </c>
      <c r="P257" s="273">
        <f t="shared" si="15"/>
        <v>0</v>
      </c>
      <c r="Q257" s="274"/>
      <c r="R257" s="26"/>
    </row>
    <row r="258" spans="4:19" ht="14.4" thickTop="1" thickBot="1" x14ac:dyDescent="0.3">
      <c r="D258" s="730"/>
      <c r="E258" s="358"/>
      <c r="F258" s="190"/>
      <c r="G258" s="191"/>
      <c r="H258" s="192"/>
      <c r="I258" s="193"/>
      <c r="J258" s="276">
        <f t="shared" si="72"/>
        <v>0</v>
      </c>
      <c r="K258" s="351">
        <f t="shared" si="3"/>
        <v>0</v>
      </c>
      <c r="L258" s="352">
        <f t="shared" si="4"/>
        <v>0</v>
      </c>
      <c r="M258" s="353">
        <f t="shared" si="9"/>
        <v>0</v>
      </c>
      <c r="N258" s="352">
        <f t="shared" si="10"/>
        <v>0</v>
      </c>
      <c r="O258" s="352">
        <f t="shared" si="7"/>
        <v>0</v>
      </c>
      <c r="P258" s="354">
        <f t="shared" si="15"/>
        <v>0</v>
      </c>
      <c r="Q258" s="262"/>
      <c r="R258" s="26"/>
    </row>
    <row r="259" spans="4:19" ht="13.8" thickBot="1" x14ac:dyDescent="0.3">
      <c r="D259" s="729"/>
      <c r="E259" s="349"/>
      <c r="F259" s="246"/>
      <c r="G259" s="247"/>
      <c r="H259" s="248"/>
      <c r="I259" s="249"/>
      <c r="J259" s="294">
        <f>G259*I259</f>
        <v>0</v>
      </c>
      <c r="K259" s="251">
        <f t="shared" si="3"/>
        <v>0</v>
      </c>
      <c r="L259" s="252">
        <f t="shared" si="4"/>
        <v>0</v>
      </c>
      <c r="M259" s="196">
        <f t="shared" si="9"/>
        <v>0</v>
      </c>
      <c r="N259" s="252">
        <f t="shared" si="10"/>
        <v>0</v>
      </c>
      <c r="O259" s="252">
        <f t="shared" si="7"/>
        <v>0</v>
      </c>
      <c r="P259" s="253">
        <f t="shared" si="15"/>
        <v>0</v>
      </c>
      <c r="Q259" s="299"/>
      <c r="R259" s="26"/>
      <c r="S259" s="82">
        <f>21*16</f>
        <v>336</v>
      </c>
    </row>
    <row r="260" spans="4:19" ht="14.4" thickTop="1" thickBot="1" x14ac:dyDescent="0.3">
      <c r="D260" s="730"/>
      <c r="E260" s="277"/>
      <c r="F260" s="255"/>
      <c r="G260" s="256"/>
      <c r="H260" s="257"/>
      <c r="I260" s="258"/>
      <c r="J260" s="350">
        <f>G260*I260</f>
        <v>0</v>
      </c>
      <c r="K260" s="259">
        <f t="shared" si="3"/>
        <v>0</v>
      </c>
      <c r="L260" s="260">
        <f t="shared" si="4"/>
        <v>0</v>
      </c>
      <c r="M260" s="219">
        <f t="shared" si="9"/>
        <v>0</v>
      </c>
      <c r="N260" s="260">
        <f t="shared" si="10"/>
        <v>0</v>
      </c>
      <c r="O260" s="260">
        <f t="shared" si="7"/>
        <v>0</v>
      </c>
      <c r="P260" s="261">
        <f t="shared" si="15"/>
        <v>0</v>
      </c>
      <c r="Q260" s="299"/>
      <c r="R260" s="26"/>
    </row>
    <row r="261" spans="4:19" ht="15" customHeight="1" thickBot="1" x14ac:dyDescent="0.3">
      <c r="D261" s="731"/>
      <c r="E261" s="356"/>
      <c r="F261" s="263"/>
      <c r="G261" s="264"/>
      <c r="H261" s="265"/>
      <c r="I261" s="266"/>
      <c r="J261" s="357">
        <f t="shared" ref="J261" si="73">G261*I261</f>
        <v>0</v>
      </c>
      <c r="K261" s="267">
        <f t="shared" si="3"/>
        <v>0</v>
      </c>
      <c r="L261" s="268">
        <f t="shared" si="4"/>
        <v>0</v>
      </c>
      <c r="M261" s="222">
        <f t="shared" si="9"/>
        <v>0</v>
      </c>
      <c r="N261" s="268">
        <f t="shared" si="10"/>
        <v>0</v>
      </c>
      <c r="O261" s="268">
        <f t="shared" si="7"/>
        <v>0</v>
      </c>
      <c r="P261" s="269">
        <f t="shared" si="15"/>
        <v>0</v>
      </c>
      <c r="Q261" s="270"/>
      <c r="R261" s="26"/>
    </row>
    <row r="262" spans="4:19" ht="14.4" thickTop="1" thickBot="1" x14ac:dyDescent="0.3">
      <c r="D262" s="728"/>
      <c r="E262" s="277"/>
      <c r="F262" s="255"/>
      <c r="G262" s="256"/>
      <c r="H262" s="257"/>
      <c r="I262" s="258"/>
      <c r="J262" s="350">
        <f>G262*I262</f>
        <v>0</v>
      </c>
      <c r="K262" s="351">
        <f t="shared" si="3"/>
        <v>0</v>
      </c>
      <c r="L262" s="352">
        <f t="shared" si="4"/>
        <v>0</v>
      </c>
      <c r="M262" s="353">
        <f t="shared" si="9"/>
        <v>0</v>
      </c>
      <c r="N262" s="352">
        <f t="shared" si="10"/>
        <v>0</v>
      </c>
      <c r="O262" s="352">
        <f t="shared" si="7"/>
        <v>0</v>
      </c>
      <c r="P262" s="354">
        <f t="shared" si="15"/>
        <v>0</v>
      </c>
      <c r="Q262" s="299"/>
      <c r="R262" s="26"/>
      <c r="S262" s="16"/>
    </row>
    <row r="263" spans="4:19" ht="15" customHeight="1" thickBot="1" x14ac:dyDescent="0.3">
      <c r="D263" s="729"/>
      <c r="E263" s="356"/>
      <c r="F263" s="263"/>
      <c r="G263" s="264"/>
      <c r="H263" s="265"/>
      <c r="I263" s="266"/>
      <c r="J263" s="357">
        <f t="shared" ref="J263" si="74">G263*I263</f>
        <v>0</v>
      </c>
      <c r="K263" s="271">
        <f t="shared" si="3"/>
        <v>0</v>
      </c>
      <c r="L263" s="272">
        <f t="shared" si="4"/>
        <v>0</v>
      </c>
      <c r="M263" s="195">
        <f t="shared" si="9"/>
        <v>0</v>
      </c>
      <c r="N263" s="272">
        <f t="shared" si="10"/>
        <v>0</v>
      </c>
      <c r="O263" s="272">
        <f t="shared" si="7"/>
        <v>0</v>
      </c>
      <c r="P263" s="273">
        <f t="shared" si="15"/>
        <v>0</v>
      </c>
      <c r="Q263" s="274"/>
      <c r="R263" s="26"/>
    </row>
    <row r="264" spans="4:19" ht="14.4" thickTop="1" thickBot="1" x14ac:dyDescent="0.3">
      <c r="D264" s="728"/>
      <c r="E264" s="277"/>
      <c r="F264" s="255"/>
      <c r="G264" s="256"/>
      <c r="H264" s="257"/>
      <c r="I264" s="258"/>
      <c r="J264" s="350">
        <f>G264*I264</f>
        <v>0</v>
      </c>
      <c r="K264" s="351">
        <f t="shared" si="3"/>
        <v>0</v>
      </c>
      <c r="L264" s="352">
        <f t="shared" si="4"/>
        <v>0</v>
      </c>
      <c r="M264" s="353">
        <f t="shared" si="9"/>
        <v>0</v>
      </c>
      <c r="N264" s="352">
        <f t="shared" si="10"/>
        <v>0</v>
      </c>
      <c r="O264" s="352">
        <f t="shared" si="7"/>
        <v>0</v>
      </c>
      <c r="P264" s="354">
        <f t="shared" si="15"/>
        <v>0</v>
      </c>
      <c r="Q264" s="299"/>
      <c r="R264" s="26"/>
      <c r="S264" s="16"/>
    </row>
    <row r="265" spans="4:19" ht="15" customHeight="1" thickBot="1" x14ac:dyDescent="0.3">
      <c r="D265" s="729"/>
      <c r="E265" s="356"/>
      <c r="F265" s="263"/>
      <c r="G265" s="264"/>
      <c r="H265" s="265"/>
      <c r="I265" s="266"/>
      <c r="J265" s="357">
        <f t="shared" ref="J265" si="75">G265*I265</f>
        <v>0</v>
      </c>
      <c r="K265" s="271">
        <f t="shared" si="3"/>
        <v>0</v>
      </c>
      <c r="L265" s="272">
        <f t="shared" si="4"/>
        <v>0</v>
      </c>
      <c r="M265" s="195">
        <f t="shared" si="9"/>
        <v>0</v>
      </c>
      <c r="N265" s="272">
        <f t="shared" si="10"/>
        <v>0</v>
      </c>
      <c r="O265" s="272">
        <f t="shared" si="7"/>
        <v>0</v>
      </c>
      <c r="P265" s="273">
        <f t="shared" si="15"/>
        <v>0</v>
      </c>
      <c r="Q265" s="274"/>
      <c r="R265" s="26"/>
    </row>
    <row r="266" spans="4:19" ht="14.4" thickTop="1" thickBot="1" x14ac:dyDescent="0.3">
      <c r="D266" s="728"/>
      <c r="E266" s="277"/>
      <c r="F266" s="255"/>
      <c r="G266" s="256"/>
      <c r="H266" s="257"/>
      <c r="I266" s="258"/>
      <c r="J266" s="350">
        <f>G266*I266</f>
        <v>0</v>
      </c>
      <c r="K266" s="351">
        <f t="shared" si="3"/>
        <v>0</v>
      </c>
      <c r="L266" s="352">
        <f t="shared" si="4"/>
        <v>0</v>
      </c>
      <c r="M266" s="353">
        <f t="shared" si="9"/>
        <v>0</v>
      </c>
      <c r="N266" s="352">
        <f t="shared" si="10"/>
        <v>0</v>
      </c>
      <c r="O266" s="352">
        <f t="shared" si="7"/>
        <v>0</v>
      </c>
      <c r="P266" s="354">
        <f t="shared" si="15"/>
        <v>0</v>
      </c>
      <c r="Q266" s="299"/>
      <c r="R266" s="26"/>
      <c r="S266" s="16"/>
    </row>
    <row r="267" spans="4:19" ht="15" customHeight="1" thickBot="1" x14ac:dyDescent="0.3">
      <c r="D267" s="729"/>
      <c r="E267" s="356"/>
      <c r="F267" s="263"/>
      <c r="G267" s="264"/>
      <c r="H267" s="265"/>
      <c r="I267" s="266"/>
      <c r="J267" s="357">
        <f t="shared" ref="J267" si="76">G267*I267</f>
        <v>0</v>
      </c>
      <c r="K267" s="271">
        <f t="shared" si="3"/>
        <v>0</v>
      </c>
      <c r="L267" s="272">
        <f t="shared" si="4"/>
        <v>0</v>
      </c>
      <c r="M267" s="195">
        <f t="shared" si="9"/>
        <v>0</v>
      </c>
      <c r="N267" s="272">
        <f t="shared" si="10"/>
        <v>0</v>
      </c>
      <c r="O267" s="272">
        <f t="shared" si="7"/>
        <v>0</v>
      </c>
      <c r="P267" s="273">
        <f t="shared" si="15"/>
        <v>0</v>
      </c>
      <c r="Q267" s="274"/>
      <c r="R267" s="26"/>
    </row>
    <row r="268" spans="4:19" ht="14.4" thickTop="1" thickBot="1" x14ac:dyDescent="0.3">
      <c r="D268" s="728"/>
      <c r="E268" s="277"/>
      <c r="F268" s="255"/>
      <c r="G268" s="256"/>
      <c r="H268" s="257"/>
      <c r="I268" s="258"/>
      <c r="J268" s="350">
        <f>G268*I268</f>
        <v>0</v>
      </c>
      <c r="K268" s="351">
        <f t="shared" si="3"/>
        <v>0</v>
      </c>
      <c r="L268" s="352">
        <f t="shared" si="4"/>
        <v>0</v>
      </c>
      <c r="M268" s="353">
        <f t="shared" si="9"/>
        <v>0</v>
      </c>
      <c r="N268" s="352">
        <f t="shared" si="10"/>
        <v>0</v>
      </c>
      <c r="O268" s="352">
        <f t="shared" si="7"/>
        <v>0</v>
      </c>
      <c r="P268" s="354">
        <f t="shared" si="15"/>
        <v>0</v>
      </c>
      <c r="Q268" s="299"/>
      <c r="R268" s="26"/>
      <c r="S268" s="16"/>
    </row>
    <row r="269" spans="4:19" ht="15" customHeight="1" thickBot="1" x14ac:dyDescent="0.3">
      <c r="D269" s="729"/>
      <c r="E269" s="356"/>
      <c r="F269" s="263"/>
      <c r="G269" s="264"/>
      <c r="H269" s="265"/>
      <c r="I269" s="266"/>
      <c r="J269" s="357">
        <f t="shared" ref="J269:J270" si="77">G269*I269</f>
        <v>0</v>
      </c>
      <c r="K269" s="271">
        <f t="shared" si="3"/>
        <v>0</v>
      </c>
      <c r="L269" s="272">
        <f t="shared" si="4"/>
        <v>0</v>
      </c>
      <c r="M269" s="195">
        <f t="shared" si="9"/>
        <v>0</v>
      </c>
      <c r="N269" s="272">
        <f t="shared" si="10"/>
        <v>0</v>
      </c>
      <c r="O269" s="272">
        <f t="shared" si="7"/>
        <v>0</v>
      </c>
      <c r="P269" s="273">
        <f t="shared" si="15"/>
        <v>0</v>
      </c>
      <c r="Q269" s="274"/>
      <c r="R269" s="26"/>
    </row>
    <row r="270" spans="4:19" ht="14.4" thickTop="1" thickBot="1" x14ac:dyDescent="0.3">
      <c r="D270" s="730"/>
      <c r="E270" s="358"/>
      <c r="F270" s="190"/>
      <c r="G270" s="191"/>
      <c r="H270" s="192"/>
      <c r="I270" s="193"/>
      <c r="J270" s="276">
        <f t="shared" si="77"/>
        <v>0</v>
      </c>
      <c r="K270" s="351">
        <f t="shared" si="3"/>
        <v>0</v>
      </c>
      <c r="L270" s="352">
        <f t="shared" si="4"/>
        <v>0</v>
      </c>
      <c r="M270" s="353">
        <f t="shared" si="9"/>
        <v>0</v>
      </c>
      <c r="N270" s="352">
        <f t="shared" si="10"/>
        <v>0</v>
      </c>
      <c r="O270" s="352">
        <f t="shared" si="7"/>
        <v>0</v>
      </c>
      <c r="P270" s="354">
        <f t="shared" si="15"/>
        <v>0</v>
      </c>
      <c r="Q270" s="262"/>
      <c r="R270" s="26"/>
    </row>
    <row r="271" spans="4:19" ht="13.8" thickBot="1" x14ac:dyDescent="0.3">
      <c r="D271" s="729"/>
      <c r="E271" s="349"/>
      <c r="F271" s="246"/>
      <c r="G271" s="247"/>
      <c r="H271" s="248"/>
      <c r="I271" s="249"/>
      <c r="J271" s="294">
        <f>G271*I271</f>
        <v>0</v>
      </c>
      <c r="K271" s="251">
        <f t="shared" si="3"/>
        <v>0</v>
      </c>
      <c r="L271" s="252">
        <f t="shared" si="4"/>
        <v>0</v>
      </c>
      <c r="M271" s="196">
        <f t="shared" si="9"/>
        <v>0</v>
      </c>
      <c r="N271" s="252">
        <f t="shared" si="10"/>
        <v>0</v>
      </c>
      <c r="O271" s="252">
        <f t="shared" si="7"/>
        <v>0</v>
      </c>
      <c r="P271" s="253">
        <f t="shared" si="15"/>
        <v>0</v>
      </c>
      <c r="Q271" s="299"/>
      <c r="R271" s="26"/>
      <c r="S271" s="82">
        <f>21*16</f>
        <v>336</v>
      </c>
    </row>
    <row r="272" spans="4:19" ht="14.4" thickTop="1" thickBot="1" x14ac:dyDescent="0.3">
      <c r="D272" s="730"/>
      <c r="E272" s="277"/>
      <c r="F272" s="255"/>
      <c r="G272" s="256"/>
      <c r="H272" s="257"/>
      <c r="I272" s="258"/>
      <c r="J272" s="350">
        <f>G272*I272</f>
        <v>0</v>
      </c>
      <c r="K272" s="259">
        <f t="shared" si="3"/>
        <v>0</v>
      </c>
      <c r="L272" s="260">
        <f t="shared" si="4"/>
        <v>0</v>
      </c>
      <c r="M272" s="219">
        <f t="shared" si="9"/>
        <v>0</v>
      </c>
      <c r="N272" s="260">
        <f t="shared" si="10"/>
        <v>0</v>
      </c>
      <c r="O272" s="260">
        <f t="shared" si="7"/>
        <v>0</v>
      </c>
      <c r="P272" s="261">
        <f t="shared" si="15"/>
        <v>0</v>
      </c>
      <c r="Q272" s="299"/>
      <c r="R272" s="26"/>
    </row>
    <row r="273" spans="4:19" ht="15" customHeight="1" thickBot="1" x14ac:dyDescent="0.3">
      <c r="D273" s="731"/>
      <c r="E273" s="356"/>
      <c r="F273" s="263"/>
      <c r="G273" s="264"/>
      <c r="H273" s="265"/>
      <c r="I273" s="266"/>
      <c r="J273" s="357">
        <f t="shared" ref="J273" si="78">G273*I273</f>
        <v>0</v>
      </c>
      <c r="K273" s="267">
        <f t="shared" si="3"/>
        <v>0</v>
      </c>
      <c r="L273" s="268">
        <f t="shared" si="4"/>
        <v>0</v>
      </c>
      <c r="M273" s="222">
        <f t="shared" si="9"/>
        <v>0</v>
      </c>
      <c r="N273" s="268">
        <f t="shared" si="10"/>
        <v>0</v>
      </c>
      <c r="O273" s="268">
        <f t="shared" si="7"/>
        <v>0</v>
      </c>
      <c r="P273" s="269">
        <f t="shared" si="15"/>
        <v>0</v>
      </c>
      <c r="Q273" s="270"/>
      <c r="R273" s="26"/>
    </row>
    <row r="274" spans="4:19" ht="14.4" thickTop="1" thickBot="1" x14ac:dyDescent="0.3">
      <c r="D274" s="728"/>
      <c r="E274" s="277"/>
      <c r="F274" s="255"/>
      <c r="G274" s="256"/>
      <c r="H274" s="257"/>
      <c r="I274" s="258"/>
      <c r="J274" s="350">
        <f>G274*I274</f>
        <v>0</v>
      </c>
      <c r="K274" s="351">
        <f t="shared" si="3"/>
        <v>0</v>
      </c>
      <c r="L274" s="352">
        <f t="shared" si="4"/>
        <v>0</v>
      </c>
      <c r="M274" s="353">
        <f t="shared" si="9"/>
        <v>0</v>
      </c>
      <c r="N274" s="352">
        <f t="shared" si="10"/>
        <v>0</v>
      </c>
      <c r="O274" s="352">
        <f t="shared" si="7"/>
        <v>0</v>
      </c>
      <c r="P274" s="354">
        <f t="shared" si="15"/>
        <v>0</v>
      </c>
      <c r="Q274" s="299"/>
      <c r="R274" s="26"/>
      <c r="S274" s="16"/>
    </row>
    <row r="275" spans="4:19" ht="15" customHeight="1" thickBot="1" x14ac:dyDescent="0.3">
      <c r="D275" s="729"/>
      <c r="E275" s="356"/>
      <c r="F275" s="263"/>
      <c r="G275" s="264"/>
      <c r="H275" s="265"/>
      <c r="I275" s="266"/>
      <c r="J275" s="357">
        <f t="shared" ref="J275" si="79">G275*I275</f>
        <v>0</v>
      </c>
      <c r="K275" s="271">
        <f t="shared" si="3"/>
        <v>0</v>
      </c>
      <c r="L275" s="272">
        <f t="shared" si="4"/>
        <v>0</v>
      </c>
      <c r="M275" s="195">
        <f t="shared" si="9"/>
        <v>0</v>
      </c>
      <c r="N275" s="272">
        <f t="shared" si="10"/>
        <v>0</v>
      </c>
      <c r="O275" s="272">
        <f t="shared" si="7"/>
        <v>0</v>
      </c>
      <c r="P275" s="273">
        <f t="shared" si="15"/>
        <v>0</v>
      </c>
      <c r="Q275" s="274"/>
      <c r="R275" s="26"/>
    </row>
    <row r="276" spans="4:19" ht="14.4" thickTop="1" thickBot="1" x14ac:dyDescent="0.3">
      <c r="D276" s="728"/>
      <c r="E276" s="277"/>
      <c r="F276" s="255"/>
      <c r="G276" s="256"/>
      <c r="H276" s="257"/>
      <c r="I276" s="258"/>
      <c r="J276" s="350">
        <f>G276*I276</f>
        <v>0</v>
      </c>
      <c r="K276" s="351">
        <f t="shared" si="3"/>
        <v>0</v>
      </c>
      <c r="L276" s="352">
        <f t="shared" si="4"/>
        <v>0</v>
      </c>
      <c r="M276" s="353">
        <f t="shared" si="9"/>
        <v>0</v>
      </c>
      <c r="N276" s="352">
        <f t="shared" si="10"/>
        <v>0</v>
      </c>
      <c r="O276" s="352">
        <f t="shared" si="7"/>
        <v>0</v>
      </c>
      <c r="P276" s="354">
        <f t="shared" si="15"/>
        <v>0</v>
      </c>
      <c r="Q276" s="299"/>
      <c r="R276" s="26"/>
      <c r="S276" s="16"/>
    </row>
    <row r="277" spans="4:19" ht="15" customHeight="1" thickBot="1" x14ac:dyDescent="0.3">
      <c r="D277" s="729"/>
      <c r="E277" s="356"/>
      <c r="F277" s="263"/>
      <c r="G277" s="264"/>
      <c r="H277" s="265"/>
      <c r="I277" s="266"/>
      <c r="J277" s="357">
        <f t="shared" ref="J277" si="80">G277*I277</f>
        <v>0</v>
      </c>
      <c r="K277" s="271">
        <f t="shared" si="3"/>
        <v>0</v>
      </c>
      <c r="L277" s="272">
        <f t="shared" si="4"/>
        <v>0</v>
      </c>
      <c r="M277" s="195">
        <f t="shared" si="9"/>
        <v>0</v>
      </c>
      <c r="N277" s="272">
        <f t="shared" si="10"/>
        <v>0</v>
      </c>
      <c r="O277" s="272">
        <f t="shared" si="7"/>
        <v>0</v>
      </c>
      <c r="P277" s="273">
        <f t="shared" si="15"/>
        <v>0</v>
      </c>
      <c r="Q277" s="274"/>
      <c r="R277" s="26"/>
    </row>
    <row r="278" spans="4:19" ht="14.4" thickTop="1" thickBot="1" x14ac:dyDescent="0.3">
      <c r="D278" s="728"/>
      <c r="E278" s="277"/>
      <c r="F278" s="255"/>
      <c r="G278" s="256"/>
      <c r="H278" s="257"/>
      <c r="I278" s="258"/>
      <c r="J278" s="350">
        <f>G278*I278</f>
        <v>0</v>
      </c>
      <c r="K278" s="351">
        <f t="shared" si="3"/>
        <v>0</v>
      </c>
      <c r="L278" s="352">
        <f t="shared" si="4"/>
        <v>0</v>
      </c>
      <c r="M278" s="353">
        <f t="shared" si="9"/>
        <v>0</v>
      </c>
      <c r="N278" s="352">
        <f t="shared" si="10"/>
        <v>0</v>
      </c>
      <c r="O278" s="352">
        <f t="shared" si="7"/>
        <v>0</v>
      </c>
      <c r="P278" s="354">
        <f t="shared" si="15"/>
        <v>0</v>
      </c>
      <c r="Q278" s="299"/>
      <c r="R278" s="26"/>
      <c r="S278" s="16"/>
    </row>
    <row r="279" spans="4:19" ht="15" customHeight="1" thickBot="1" x14ac:dyDescent="0.3">
      <c r="D279" s="729"/>
      <c r="E279" s="356"/>
      <c r="F279" s="263"/>
      <c r="G279" s="264"/>
      <c r="H279" s="265"/>
      <c r="I279" s="266"/>
      <c r="J279" s="357">
        <f t="shared" ref="J279" si="81">G279*I279</f>
        <v>0</v>
      </c>
      <c r="K279" s="271">
        <f t="shared" si="3"/>
        <v>0</v>
      </c>
      <c r="L279" s="272">
        <f t="shared" si="4"/>
        <v>0</v>
      </c>
      <c r="M279" s="195">
        <f t="shared" si="9"/>
        <v>0</v>
      </c>
      <c r="N279" s="272">
        <f t="shared" si="10"/>
        <v>0</v>
      </c>
      <c r="O279" s="272">
        <f t="shared" si="7"/>
        <v>0</v>
      </c>
      <c r="P279" s="273">
        <f t="shared" si="15"/>
        <v>0</v>
      </c>
      <c r="Q279" s="274"/>
      <c r="R279" s="26"/>
    </row>
    <row r="280" spans="4:19" ht="14.4" thickTop="1" thickBot="1" x14ac:dyDescent="0.3">
      <c r="D280" s="728"/>
      <c r="E280" s="277"/>
      <c r="F280" s="255"/>
      <c r="G280" s="256"/>
      <c r="H280" s="257"/>
      <c r="I280" s="258"/>
      <c r="J280" s="350">
        <f>G280*I280</f>
        <v>0</v>
      </c>
      <c r="K280" s="351">
        <f t="shared" si="3"/>
        <v>0</v>
      </c>
      <c r="L280" s="352">
        <f t="shared" si="4"/>
        <v>0</v>
      </c>
      <c r="M280" s="353">
        <f t="shared" si="9"/>
        <v>0</v>
      </c>
      <c r="N280" s="352">
        <f t="shared" si="10"/>
        <v>0</v>
      </c>
      <c r="O280" s="352">
        <f t="shared" si="7"/>
        <v>0</v>
      </c>
      <c r="P280" s="354">
        <f t="shared" si="15"/>
        <v>0</v>
      </c>
      <c r="Q280" s="299"/>
      <c r="R280" s="26"/>
      <c r="S280" s="16"/>
    </row>
    <row r="281" spans="4:19" ht="15" customHeight="1" thickBot="1" x14ac:dyDescent="0.3">
      <c r="D281" s="729"/>
      <c r="E281" s="356"/>
      <c r="F281" s="263"/>
      <c r="G281" s="264"/>
      <c r="H281" s="265"/>
      <c r="I281" s="266"/>
      <c r="J281" s="357">
        <f t="shared" si="12"/>
        <v>0</v>
      </c>
      <c r="K281" s="271">
        <f t="shared" si="3"/>
        <v>0</v>
      </c>
      <c r="L281" s="272">
        <f t="shared" si="4"/>
        <v>0</v>
      </c>
      <c r="M281" s="195">
        <f t="shared" si="9"/>
        <v>0</v>
      </c>
      <c r="N281" s="272">
        <f t="shared" si="10"/>
        <v>0</v>
      </c>
      <c r="O281" s="272">
        <f t="shared" si="7"/>
        <v>0</v>
      </c>
      <c r="P281" s="273">
        <f t="shared" si="15"/>
        <v>0</v>
      </c>
      <c r="Q281" s="274"/>
      <c r="R281" s="26"/>
    </row>
    <row r="282" spans="4:19" ht="14.4" thickTop="1" thickBot="1" x14ac:dyDescent="0.3">
      <c r="D282" s="730"/>
      <c r="E282" s="358"/>
      <c r="F282" s="190"/>
      <c r="G282" s="191"/>
      <c r="H282" s="192"/>
      <c r="I282" s="193"/>
      <c r="J282" s="276">
        <f t="shared" si="12"/>
        <v>0</v>
      </c>
      <c r="K282" s="351">
        <f t="shared" si="3"/>
        <v>0</v>
      </c>
      <c r="L282" s="352">
        <f t="shared" si="4"/>
        <v>0</v>
      </c>
      <c r="M282" s="353">
        <f t="shared" si="9"/>
        <v>0</v>
      </c>
      <c r="N282" s="352">
        <f t="shared" si="10"/>
        <v>0</v>
      </c>
      <c r="O282" s="352">
        <f t="shared" si="7"/>
        <v>0</v>
      </c>
      <c r="P282" s="354">
        <f t="shared" si="15"/>
        <v>0</v>
      </c>
      <c r="Q282" s="262"/>
      <c r="R282" s="26"/>
    </row>
    <row r="283" spans="4:19" ht="13.8" thickBot="1" x14ac:dyDescent="0.3">
      <c r="D283" s="729"/>
      <c r="E283" s="349"/>
      <c r="F283" s="246"/>
      <c r="G283" s="247"/>
      <c r="H283" s="248"/>
      <c r="I283" s="249"/>
      <c r="J283" s="294">
        <f>G283*I283</f>
        <v>0</v>
      </c>
      <c r="K283" s="251">
        <f t="shared" si="3"/>
        <v>0</v>
      </c>
      <c r="L283" s="252">
        <f t="shared" si="4"/>
        <v>0</v>
      </c>
      <c r="M283" s="196">
        <f t="shared" si="9"/>
        <v>0</v>
      </c>
      <c r="N283" s="252">
        <f t="shared" si="10"/>
        <v>0</v>
      </c>
      <c r="O283" s="252">
        <f t="shared" si="7"/>
        <v>0</v>
      </c>
      <c r="P283" s="253">
        <f t="shared" si="15"/>
        <v>0</v>
      </c>
      <c r="Q283" s="299"/>
      <c r="R283" s="26"/>
      <c r="S283" s="82">
        <f>21*16</f>
        <v>336</v>
      </c>
    </row>
    <row r="284" spans="4:19" ht="14.4" thickTop="1" thickBot="1" x14ac:dyDescent="0.3">
      <c r="D284" s="730"/>
      <c r="E284" s="277"/>
      <c r="F284" s="255"/>
      <c r="G284" s="256"/>
      <c r="H284" s="257"/>
      <c r="I284" s="258"/>
      <c r="J284" s="350">
        <f>G284*I284</f>
        <v>0</v>
      </c>
      <c r="K284" s="259">
        <f t="shared" si="3"/>
        <v>0</v>
      </c>
      <c r="L284" s="260">
        <f t="shared" si="4"/>
        <v>0</v>
      </c>
      <c r="M284" s="219">
        <f t="shared" si="9"/>
        <v>0</v>
      </c>
      <c r="N284" s="260">
        <f t="shared" si="10"/>
        <v>0</v>
      </c>
      <c r="O284" s="260">
        <f t="shared" si="7"/>
        <v>0</v>
      </c>
      <c r="P284" s="261">
        <f t="shared" si="15"/>
        <v>0</v>
      </c>
      <c r="Q284" s="299"/>
      <c r="R284" s="26"/>
    </row>
    <row r="285" spans="4:19" ht="15" customHeight="1" thickBot="1" x14ac:dyDescent="0.3">
      <c r="D285" s="731"/>
      <c r="E285" s="356"/>
      <c r="F285" s="263"/>
      <c r="G285" s="264"/>
      <c r="H285" s="265"/>
      <c r="I285" s="266"/>
      <c r="J285" s="357">
        <f t="shared" si="12"/>
        <v>0</v>
      </c>
      <c r="K285" s="267">
        <f t="shared" si="3"/>
        <v>0</v>
      </c>
      <c r="L285" s="268">
        <f t="shared" si="4"/>
        <v>0</v>
      </c>
      <c r="M285" s="222">
        <f t="shared" si="9"/>
        <v>0</v>
      </c>
      <c r="N285" s="268">
        <f t="shared" si="10"/>
        <v>0</v>
      </c>
      <c r="O285" s="268">
        <f t="shared" si="7"/>
        <v>0</v>
      </c>
      <c r="P285" s="269">
        <f t="shared" si="15"/>
        <v>0</v>
      </c>
      <c r="Q285" s="270"/>
      <c r="R285" s="26"/>
    </row>
    <row r="286" spans="4:19" ht="15" customHeight="1" thickTop="1" thickBot="1" x14ac:dyDescent="0.3">
      <c r="D286" s="86"/>
      <c r="E286" s="86"/>
      <c r="F286" s="93"/>
      <c r="G286" s="93"/>
      <c r="H286" s="93"/>
      <c r="I286" s="93"/>
      <c r="J286" s="93"/>
      <c r="K286" s="87"/>
      <c r="L286" s="87"/>
      <c r="M286" s="87"/>
      <c r="N286" s="87"/>
      <c r="O286" s="87"/>
      <c r="P286" s="87"/>
      <c r="R286" s="26"/>
    </row>
    <row r="287" spans="4:19" ht="15" customHeight="1" thickTop="1" thickBot="1" x14ac:dyDescent="0.3">
      <c r="D287" s="88"/>
      <c r="E287" s="89"/>
      <c r="F287" s="90"/>
      <c r="G287" s="90"/>
      <c r="H287" s="90"/>
      <c r="I287" s="90"/>
      <c r="J287" s="99" t="s">
        <v>59</v>
      </c>
      <c r="K287" s="91">
        <f t="shared" ref="K287:P287" si="82">SUM(K25:K286)</f>
        <v>22.397759999999998</v>
      </c>
      <c r="L287" s="92">
        <f t="shared" si="82"/>
        <v>223.72910000000002</v>
      </c>
      <c r="M287" s="92">
        <f t="shared" si="82"/>
        <v>3153.9802</v>
      </c>
      <c r="N287" s="92">
        <f t="shared" si="82"/>
        <v>199.43908000000002</v>
      </c>
      <c r="O287" s="92">
        <f t="shared" si="82"/>
        <v>898.06490999999983</v>
      </c>
      <c r="P287" s="120">
        <f t="shared" si="82"/>
        <v>403.33680000000004</v>
      </c>
      <c r="R287" s="26"/>
    </row>
    <row r="288" spans="4:19" ht="15" customHeight="1" thickTop="1" x14ac:dyDescent="0.25">
      <c r="D288" s="86"/>
      <c r="E288" s="86"/>
      <c r="K288" s="86"/>
      <c r="L288" s="86"/>
      <c r="M288" s="86"/>
      <c r="N288" s="86"/>
      <c r="O288" s="86"/>
      <c r="P288" s="86"/>
      <c r="R288" s="26"/>
    </row>
    <row r="289" spans="4:18" ht="15" customHeight="1" x14ac:dyDescent="0.25">
      <c r="D289" s="86"/>
      <c r="E289" s="86"/>
      <c r="J289" s="285">
        <f>J25+J27+J31+J33+J35+J43+J280+J282+J284+J285</f>
        <v>484.88</v>
      </c>
      <c r="K289" s="86"/>
      <c r="L289" s="86"/>
      <c r="M289" s="86"/>
      <c r="N289" s="86"/>
      <c r="O289" s="86"/>
      <c r="P289" s="86"/>
      <c r="R289" s="26"/>
    </row>
    <row r="290" spans="4:18" ht="15" customHeight="1" x14ac:dyDescent="0.25">
      <c r="J290" s="285">
        <f>J26+J37+J41+J42+J281+J283</f>
        <v>247.05999999999997</v>
      </c>
      <c r="R290" s="26"/>
    </row>
    <row r="291" spans="4:18" ht="15" customHeight="1" x14ac:dyDescent="0.25">
      <c r="R291" s="26"/>
    </row>
    <row r="292" spans="4:18" ht="15" customHeight="1" x14ac:dyDescent="0.25">
      <c r="R292" s="26"/>
    </row>
    <row r="293" spans="4:18" ht="15" customHeight="1" x14ac:dyDescent="0.25">
      <c r="R293" s="26"/>
    </row>
    <row r="294" spans="4:18" ht="15" customHeight="1" x14ac:dyDescent="0.25">
      <c r="R294" s="26"/>
    </row>
    <row r="295" spans="4:18" ht="15" customHeight="1" x14ac:dyDescent="0.25">
      <c r="R295" s="26"/>
    </row>
    <row r="296" spans="4:18" ht="15" customHeight="1" x14ac:dyDescent="0.25">
      <c r="R296" s="26"/>
    </row>
    <row r="297" spans="4:18" ht="15" customHeight="1" x14ac:dyDescent="0.25">
      <c r="R297" s="26"/>
    </row>
    <row r="298" spans="4:18" ht="15" customHeight="1" x14ac:dyDescent="0.25">
      <c r="R298" s="26"/>
    </row>
    <row r="299" spans="4:18" ht="15" customHeight="1" x14ac:dyDescent="0.25">
      <c r="R299" s="26"/>
    </row>
    <row r="300" spans="4:18" ht="15" customHeight="1" x14ac:dyDescent="0.25">
      <c r="R300" s="26"/>
    </row>
    <row r="301" spans="4:18" ht="15" customHeight="1" x14ac:dyDescent="0.25">
      <c r="R301" s="26"/>
    </row>
    <row r="302" spans="4:18" ht="15" customHeight="1" x14ac:dyDescent="0.25">
      <c r="R302" s="26"/>
    </row>
    <row r="303" spans="4:18" ht="15" customHeight="1" x14ac:dyDescent="0.25">
      <c r="R303" s="26"/>
    </row>
    <row r="304" spans="4:18" ht="15" customHeight="1" x14ac:dyDescent="0.25">
      <c r="R304" s="26"/>
    </row>
    <row r="305" spans="18:18" ht="15" customHeight="1" x14ac:dyDescent="0.25">
      <c r="R305" s="26"/>
    </row>
    <row r="306" spans="18:18" ht="15" customHeight="1" x14ac:dyDescent="0.25">
      <c r="R306" s="26"/>
    </row>
    <row r="307" spans="18:18" ht="15" customHeight="1" x14ac:dyDescent="0.25">
      <c r="R307" s="26"/>
    </row>
    <row r="308" spans="18:18" ht="15" customHeight="1" x14ac:dyDescent="0.25">
      <c r="R308" s="26"/>
    </row>
    <row r="309" spans="18:18" ht="15" customHeight="1" x14ac:dyDescent="0.25">
      <c r="R309" s="26"/>
    </row>
    <row r="310" spans="18:18" ht="15" customHeight="1" x14ac:dyDescent="0.25">
      <c r="R310" s="26"/>
    </row>
    <row r="311" spans="18:18" ht="15" customHeight="1" x14ac:dyDescent="0.25">
      <c r="R311" s="26"/>
    </row>
    <row r="312" spans="18:18" ht="15" customHeight="1" x14ac:dyDescent="0.25">
      <c r="R312" s="26"/>
    </row>
    <row r="313" spans="18:18" ht="15" customHeight="1" x14ac:dyDescent="0.25">
      <c r="R313" s="26"/>
    </row>
    <row r="314" spans="18:18" ht="15" customHeight="1" x14ac:dyDescent="0.25">
      <c r="R314" s="26"/>
    </row>
    <row r="315" spans="18:18" ht="15" customHeight="1" x14ac:dyDescent="0.25">
      <c r="R315" s="26"/>
    </row>
    <row r="323" spans="18:18" x14ac:dyDescent="0.25">
      <c r="R323" s="26"/>
    </row>
    <row r="324" spans="18:18" x14ac:dyDescent="0.25">
      <c r="R324" s="26"/>
    </row>
    <row r="325" spans="18:18" x14ac:dyDescent="0.25">
      <c r="R325" s="26"/>
    </row>
    <row r="326" spans="18:18" x14ac:dyDescent="0.25">
      <c r="R326" s="26"/>
    </row>
    <row r="327" spans="18:18" ht="10.5" customHeight="1" x14ac:dyDescent="0.25"/>
  </sheetData>
  <mergeCells count="116">
    <mergeCell ref="D199:P199"/>
    <mergeCell ref="D70:D74"/>
    <mergeCell ref="D75:D77"/>
    <mergeCell ref="D78:D82"/>
    <mergeCell ref="D59:P59"/>
    <mergeCell ref="D60:D64"/>
    <mergeCell ref="D65:D69"/>
    <mergeCell ref="D110:D112"/>
    <mergeCell ref="D103:D104"/>
    <mergeCell ref="D105:D109"/>
    <mergeCell ref="D86:D87"/>
    <mergeCell ref="D88:D92"/>
    <mergeCell ref="D93:D97"/>
    <mergeCell ref="D98:D102"/>
    <mergeCell ref="D138:D143"/>
    <mergeCell ref="D145:D150"/>
    <mergeCell ref="D119:D123"/>
    <mergeCell ref="D124:D128"/>
    <mergeCell ref="D129:D133"/>
    <mergeCell ref="D134:D135"/>
    <mergeCell ref="D136:D137"/>
    <mergeCell ref="D85:P85"/>
    <mergeCell ref="D113:D117"/>
    <mergeCell ref="D118:P118"/>
    <mergeCell ref="D54:D58"/>
    <mergeCell ref="D8:K8"/>
    <mergeCell ref="D9:K9"/>
    <mergeCell ref="D25:D26"/>
    <mergeCell ref="D27:D31"/>
    <mergeCell ref="D33:D35"/>
    <mergeCell ref="D12:Q12"/>
    <mergeCell ref="D13:Q13"/>
    <mergeCell ref="D14:Q14"/>
    <mergeCell ref="D15:J17"/>
    <mergeCell ref="K15:Q15"/>
    <mergeCell ref="L16:P16"/>
    <mergeCell ref="Q16:Q17"/>
    <mergeCell ref="D10:Q10"/>
    <mergeCell ref="D32:P32"/>
    <mergeCell ref="E27:E31"/>
    <mergeCell ref="D6:Q6"/>
    <mergeCell ref="D1:Q1"/>
    <mergeCell ref="D2:Q2"/>
    <mergeCell ref="D3:Q3"/>
    <mergeCell ref="D4:Q4"/>
    <mergeCell ref="D5:Q5"/>
    <mergeCell ref="D37:D41"/>
    <mergeCell ref="D42:D43"/>
    <mergeCell ref="D18:J18"/>
    <mergeCell ref="D20:Q20"/>
    <mergeCell ref="D21:Q21"/>
    <mergeCell ref="D22:J22"/>
    <mergeCell ref="K22:P22"/>
    <mergeCell ref="Q22:Q23"/>
    <mergeCell ref="D24:P24"/>
    <mergeCell ref="D36:P36"/>
    <mergeCell ref="D266:D267"/>
    <mergeCell ref="D268:D269"/>
    <mergeCell ref="D270:D271"/>
    <mergeCell ref="D282:D283"/>
    <mergeCell ref="D284:D285"/>
    <mergeCell ref="D278:D279"/>
    <mergeCell ref="D274:D275"/>
    <mergeCell ref="D276:D277"/>
    <mergeCell ref="D280:D281"/>
    <mergeCell ref="D238:D239"/>
    <mergeCell ref="D220:D221"/>
    <mergeCell ref="D222:D223"/>
    <mergeCell ref="D224:D225"/>
    <mergeCell ref="D226:D227"/>
    <mergeCell ref="D228:D229"/>
    <mergeCell ref="D272:D273"/>
    <mergeCell ref="D44:D48"/>
    <mergeCell ref="D240:D241"/>
    <mergeCell ref="D242:D243"/>
    <mergeCell ref="D244:D245"/>
    <mergeCell ref="D246:D247"/>
    <mergeCell ref="D248:D249"/>
    <mergeCell ref="D250:D251"/>
    <mergeCell ref="D252:D253"/>
    <mergeCell ref="D254:D255"/>
    <mergeCell ref="D256:D257"/>
    <mergeCell ref="D258:D259"/>
    <mergeCell ref="D260:D261"/>
    <mergeCell ref="D49:D53"/>
    <mergeCell ref="D83:D84"/>
    <mergeCell ref="D196:D198"/>
    <mergeCell ref="D262:D263"/>
    <mergeCell ref="D264:D265"/>
    <mergeCell ref="D232:D233"/>
    <mergeCell ref="D234:D235"/>
    <mergeCell ref="D236:D237"/>
    <mergeCell ref="D210:D211"/>
    <mergeCell ref="D212:D213"/>
    <mergeCell ref="D214:D215"/>
    <mergeCell ref="D216:D217"/>
    <mergeCell ref="D218:D219"/>
    <mergeCell ref="D200:D201"/>
    <mergeCell ref="D202:D203"/>
    <mergeCell ref="D204:D205"/>
    <mergeCell ref="D206:D207"/>
    <mergeCell ref="D208:D209"/>
    <mergeCell ref="D230:D231"/>
    <mergeCell ref="D144:P144"/>
    <mergeCell ref="D151:D155"/>
    <mergeCell ref="D156:D160"/>
    <mergeCell ref="D187:D189"/>
    <mergeCell ref="D191:D195"/>
    <mergeCell ref="D182:D183"/>
    <mergeCell ref="D184:D185"/>
    <mergeCell ref="D161:D165"/>
    <mergeCell ref="D166:D170"/>
    <mergeCell ref="D171:D175"/>
    <mergeCell ref="D176:D181"/>
    <mergeCell ref="D186:P186"/>
    <mergeCell ref="D190:P19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6" fitToHeight="5" orientation="portrait" r:id="rId1"/>
  <headerFooter>
    <oddFooter>&amp;C&amp;8Rua Ferreira Pena, 1.109 – Centro – Manaus/AM – Cel: (0**92) 98415-0793, Fone: (0**92) 3306-0045 – e-mail: enge.ifam@ifam.edu.br 
DIRETORIA DE INFRAESTURURA - DINFRA&amp;R&amp;9Página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E2226-8FD9-49BD-88FB-8145F36D3D2C}">
  <sheetPr>
    <tabColor theme="3" tint="0.59999389629810485"/>
    <pageSetUpPr fitToPage="1"/>
  </sheetPr>
  <dimension ref="A1:AG2198"/>
  <sheetViews>
    <sheetView showGridLines="0" view="pageBreakPreview" topLeftCell="A13" zoomScale="80" zoomScaleNormal="100" zoomScaleSheetLayoutView="80" workbookViewId="0">
      <pane ySplit="12" topLeftCell="A1810" activePane="bottomLeft" state="frozen"/>
      <selection activeCell="A13" sqref="A13"/>
      <selection pane="bottomLeft" activeCell="S17" sqref="S17:Y19"/>
    </sheetView>
  </sheetViews>
  <sheetFormatPr defaultColWidth="9.109375" defaultRowHeight="13.2" x14ac:dyDescent="0.25"/>
  <cols>
    <col min="1" max="4" width="9.109375" style="82"/>
    <col min="5" max="5" width="14.6640625" style="82" customWidth="1"/>
    <col min="6" max="8" width="9.109375" style="82"/>
    <col min="9" max="9" width="10.33203125" style="82" bestFit="1" customWidth="1"/>
    <col min="10" max="10" width="14.33203125" style="82" bestFit="1" customWidth="1"/>
    <col min="11" max="17" width="9.109375" style="82"/>
    <col min="18" max="18" width="15.44140625" style="82" customWidth="1"/>
    <col min="19" max="19" width="9.109375" style="85"/>
    <col min="20" max="25" width="9.109375" style="82" customWidth="1"/>
    <col min="26" max="26" width="12.6640625" style="82" customWidth="1"/>
    <col min="27" max="16384" width="9.109375" style="82"/>
  </cols>
  <sheetData>
    <row r="1" spans="1:33" ht="12.9" customHeight="1" x14ac:dyDescent="0.25">
      <c r="B1" s="83"/>
      <c r="C1" s="83"/>
      <c r="D1" s="656" t="s">
        <v>36</v>
      </c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</row>
    <row r="2" spans="1:33" ht="12.9" customHeight="1" x14ac:dyDescent="0.25">
      <c r="B2" s="83"/>
      <c r="C2" s="83"/>
      <c r="D2" s="656" t="s">
        <v>106</v>
      </c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  <c r="R2" s="656"/>
    </row>
    <row r="3" spans="1:33" ht="12.9" customHeight="1" x14ac:dyDescent="0.25">
      <c r="B3" s="83"/>
      <c r="C3" s="83"/>
      <c r="D3" s="656" t="s">
        <v>107</v>
      </c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</row>
    <row r="4" spans="1:33" ht="12.9" customHeight="1" x14ac:dyDescent="0.25">
      <c r="B4" s="83"/>
      <c r="C4" s="83"/>
      <c r="D4" s="656" t="s">
        <v>108</v>
      </c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  <c r="R4" s="656"/>
    </row>
    <row r="5" spans="1:33" ht="12.9" customHeight="1" x14ac:dyDescent="0.25">
      <c r="B5" s="83"/>
      <c r="C5" s="83"/>
      <c r="D5" s="656" t="s">
        <v>109</v>
      </c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  <c r="R5" s="656"/>
    </row>
    <row r="6" spans="1:33" ht="12.9" customHeight="1" x14ac:dyDescent="0.25">
      <c r="B6" s="83"/>
      <c r="C6" s="83"/>
      <c r="D6" s="656" t="s">
        <v>110</v>
      </c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  <c r="R6" s="656"/>
    </row>
    <row r="7" spans="1:33" ht="5.0999999999999996" customHeight="1" x14ac:dyDescent="0.25">
      <c r="B7" s="83"/>
      <c r="C7" s="83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</row>
    <row r="8" spans="1:33" ht="12.9" customHeight="1" x14ac:dyDescent="0.25">
      <c r="B8" s="83"/>
      <c r="C8" s="83"/>
      <c r="D8" s="696" t="s">
        <v>160</v>
      </c>
      <c r="E8" s="696"/>
      <c r="F8" s="696"/>
      <c r="G8" s="696"/>
      <c r="H8" s="696"/>
      <c r="I8" s="696"/>
      <c r="J8" s="696"/>
      <c r="K8" s="696"/>
      <c r="L8" s="359"/>
      <c r="M8" s="359"/>
      <c r="N8" s="359"/>
      <c r="O8" s="359"/>
      <c r="P8" s="359"/>
      <c r="Q8" s="359"/>
      <c r="R8" s="98"/>
    </row>
    <row r="9" spans="1:33" ht="12.9" customHeight="1" x14ac:dyDescent="0.25">
      <c r="A9" s="110"/>
      <c r="B9" s="110"/>
      <c r="C9" s="110"/>
      <c r="D9" s="657" t="s">
        <v>161</v>
      </c>
      <c r="E9" s="657"/>
      <c r="F9" s="657"/>
      <c r="G9" s="657"/>
      <c r="H9" s="657"/>
      <c r="I9" s="657"/>
      <c r="J9" s="657"/>
      <c r="K9" s="657"/>
      <c r="L9" s="468"/>
      <c r="M9" s="468"/>
      <c r="N9" s="360"/>
      <c r="O9" s="360"/>
      <c r="P9" s="360"/>
      <c r="Q9" s="360"/>
      <c r="R9" s="360"/>
    </row>
    <row r="10" spans="1:33" ht="12.9" customHeight="1" x14ac:dyDescent="0.25">
      <c r="A10" s="110"/>
      <c r="B10" s="110"/>
      <c r="C10" s="110"/>
      <c r="D10" s="754" t="s">
        <v>91</v>
      </c>
      <c r="E10" s="754"/>
      <c r="F10" s="754"/>
      <c r="G10" s="754"/>
      <c r="H10" s="754"/>
      <c r="I10" s="754"/>
      <c r="J10" s="754"/>
      <c r="K10" s="754"/>
      <c r="L10" s="754"/>
      <c r="M10" s="754"/>
      <c r="N10" s="754"/>
      <c r="O10" s="754"/>
      <c r="P10" s="754"/>
      <c r="Q10" s="754"/>
      <c r="R10" s="754"/>
    </row>
    <row r="11" spans="1:33" ht="5.0999999999999996" customHeight="1" thickBot="1" x14ac:dyDescent="0.3">
      <c r="A11" s="110"/>
      <c r="B11" s="110"/>
      <c r="C11" s="110"/>
      <c r="D11" s="108"/>
      <c r="E11" s="97"/>
      <c r="F11" s="97"/>
      <c r="G11" s="97"/>
      <c r="H11" s="97"/>
      <c r="I11" s="97"/>
      <c r="J11" s="97"/>
      <c r="K11" s="97"/>
      <c r="L11" s="97"/>
      <c r="M11" s="97"/>
      <c r="N11" s="98"/>
    </row>
    <row r="12" spans="1:33" s="16" customFormat="1" ht="16.5" customHeight="1" thickTop="1" x14ac:dyDescent="0.25">
      <c r="D12" s="755" t="s">
        <v>111</v>
      </c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6"/>
      <c r="R12" s="757"/>
      <c r="S12" s="348"/>
    </row>
    <row r="13" spans="1:33" s="16" customFormat="1" ht="15.75" customHeight="1" thickBot="1" x14ac:dyDescent="0.3">
      <c r="D13" s="761" t="s">
        <v>22</v>
      </c>
      <c r="E13" s="762"/>
      <c r="F13" s="762"/>
      <c r="G13" s="762"/>
      <c r="H13" s="762"/>
      <c r="I13" s="762"/>
      <c r="J13" s="762"/>
      <c r="K13" s="762"/>
      <c r="L13" s="762"/>
      <c r="M13" s="762"/>
      <c r="N13" s="762"/>
      <c r="O13" s="762"/>
      <c r="P13" s="762"/>
      <c r="Q13" s="762"/>
      <c r="R13" s="763"/>
      <c r="S13" s="348"/>
    </row>
    <row r="14" spans="1:33" s="16" customFormat="1" ht="15" customHeight="1" x14ac:dyDescent="0.25">
      <c r="D14" s="764" t="s">
        <v>17</v>
      </c>
      <c r="E14" s="765"/>
      <c r="F14" s="765"/>
      <c r="G14" s="765"/>
      <c r="H14" s="765"/>
      <c r="I14" s="765"/>
      <c r="J14" s="765"/>
      <c r="K14" s="770" t="s">
        <v>41</v>
      </c>
      <c r="L14" s="771"/>
      <c r="M14" s="771"/>
      <c r="N14" s="771"/>
      <c r="O14" s="771"/>
      <c r="P14" s="771"/>
      <c r="Q14" s="771"/>
      <c r="R14" s="772"/>
      <c r="S14" s="348"/>
    </row>
    <row r="15" spans="1:33" s="16" customFormat="1" ht="15" customHeight="1" x14ac:dyDescent="0.25">
      <c r="D15" s="766"/>
      <c r="E15" s="767"/>
      <c r="F15" s="767"/>
      <c r="G15" s="767"/>
      <c r="H15" s="767"/>
      <c r="I15" s="767"/>
      <c r="J15" s="767"/>
      <c r="K15" s="347" t="s">
        <v>43</v>
      </c>
      <c r="L15" s="735" t="s">
        <v>40</v>
      </c>
      <c r="M15" s="736"/>
      <c r="N15" s="736"/>
      <c r="O15" s="736"/>
      <c r="P15" s="736"/>
      <c r="Q15" s="558"/>
      <c r="R15" s="737" t="s">
        <v>46</v>
      </c>
      <c r="S15" s="348"/>
    </row>
    <row r="16" spans="1:33" s="16" customFormat="1" ht="15.75" customHeight="1" thickBot="1" x14ac:dyDescent="0.3">
      <c r="D16" s="768"/>
      <c r="E16" s="769"/>
      <c r="F16" s="769"/>
      <c r="G16" s="769"/>
      <c r="H16" s="769"/>
      <c r="I16" s="769"/>
      <c r="J16" s="769"/>
      <c r="K16" s="59">
        <v>5</v>
      </c>
      <c r="L16" s="21">
        <v>6.3</v>
      </c>
      <c r="M16" s="21">
        <v>8</v>
      </c>
      <c r="N16" s="21">
        <v>10</v>
      </c>
      <c r="O16" s="21">
        <v>12.5</v>
      </c>
      <c r="P16" s="67">
        <v>16</v>
      </c>
      <c r="Q16" s="67">
        <v>20</v>
      </c>
      <c r="R16" s="738"/>
      <c r="S16" s="348"/>
      <c r="AA16" s="16">
        <v>5</v>
      </c>
      <c r="AB16" s="16">
        <v>6.3</v>
      </c>
      <c r="AC16" s="16">
        <v>8</v>
      </c>
      <c r="AD16" s="16">
        <v>10</v>
      </c>
      <c r="AE16" s="16">
        <v>12.5</v>
      </c>
      <c r="AF16" s="16">
        <v>16</v>
      </c>
      <c r="AG16" s="16">
        <v>20</v>
      </c>
    </row>
    <row r="17" spans="1:33" s="16" customFormat="1" ht="12.75" customHeight="1" thickBot="1" x14ac:dyDescent="0.3">
      <c r="C17" s="16" t="s">
        <v>112</v>
      </c>
      <c r="D17" s="739" t="s">
        <v>94</v>
      </c>
      <c r="E17" s="740"/>
      <c r="F17" s="740"/>
      <c r="G17" s="740"/>
      <c r="H17" s="740"/>
      <c r="I17" s="740"/>
      <c r="J17" s="740"/>
      <c r="K17" s="361">
        <f>K2195</f>
        <v>568.18453999999906</v>
      </c>
      <c r="L17" s="362">
        <f t="shared" ref="L17:P19" si="0">L2195</f>
        <v>0</v>
      </c>
      <c r="M17" s="362">
        <f t="shared" si="0"/>
        <v>4.6452</v>
      </c>
      <c r="N17" s="362">
        <f t="shared" si="0"/>
        <v>781.02327999999943</v>
      </c>
      <c r="O17" s="362">
        <f t="shared" si="0"/>
        <v>680.34023999999988</v>
      </c>
      <c r="P17" s="363">
        <f t="shared" si="0"/>
        <v>861.90359999999976</v>
      </c>
      <c r="Q17" s="363">
        <f t="shared" ref="Q17" si="1">Q2195</f>
        <v>549.17820000000006</v>
      </c>
      <c r="R17" s="364">
        <f>SUM(K17:Q17)</f>
        <v>3445.2750599999981</v>
      </c>
      <c r="S17" s="348">
        <v>568.18453999999906</v>
      </c>
      <c r="T17" s="16">
        <v>0</v>
      </c>
      <c r="U17" s="16">
        <v>4.6452</v>
      </c>
      <c r="V17" s="16">
        <v>781.02327999999943</v>
      </c>
      <c r="W17" s="16">
        <v>680.34023999999988</v>
      </c>
      <c r="X17" s="16">
        <v>861.90359999999976</v>
      </c>
      <c r="Y17" s="16">
        <v>549.17820000000006</v>
      </c>
      <c r="AA17" s="287">
        <f t="shared" ref="AA17:AG17" si="2">K17-S17</f>
        <v>0</v>
      </c>
      <c r="AB17" s="287">
        <f t="shared" si="2"/>
        <v>0</v>
      </c>
      <c r="AC17" s="287">
        <f t="shared" si="2"/>
        <v>0</v>
      </c>
      <c r="AD17" s="287">
        <f t="shared" si="2"/>
        <v>0</v>
      </c>
      <c r="AE17" s="287">
        <f t="shared" si="2"/>
        <v>0</v>
      </c>
      <c r="AF17" s="287">
        <f t="shared" si="2"/>
        <v>0</v>
      </c>
      <c r="AG17" s="287">
        <f t="shared" si="2"/>
        <v>0</v>
      </c>
    </row>
    <row r="18" spans="1:33" s="16" customFormat="1" ht="12.75" customHeight="1" thickBot="1" x14ac:dyDescent="0.3">
      <c r="D18" s="739" t="s">
        <v>1269</v>
      </c>
      <c r="E18" s="740"/>
      <c r="F18" s="740"/>
      <c r="G18" s="740"/>
      <c r="H18" s="740"/>
      <c r="I18" s="740"/>
      <c r="J18" s="740"/>
      <c r="K18" s="361">
        <f>K2196</f>
        <v>1800.7589599999967</v>
      </c>
      <c r="L18" s="362">
        <f t="shared" si="0"/>
        <v>0</v>
      </c>
      <c r="M18" s="362">
        <f t="shared" si="0"/>
        <v>3.3574999999999999</v>
      </c>
      <c r="N18" s="362">
        <f t="shared" si="0"/>
        <v>1921.20226</v>
      </c>
      <c r="O18" s="362">
        <f t="shared" si="0"/>
        <v>1719.84096</v>
      </c>
      <c r="P18" s="363">
        <f t="shared" si="0"/>
        <v>2133.0457200000005</v>
      </c>
      <c r="Q18" s="363">
        <f t="shared" ref="Q18" si="3">Q2196</f>
        <v>1279.3608000000002</v>
      </c>
      <c r="R18" s="364">
        <f>SUM(K18:Q18)</f>
        <v>8857.5661999999975</v>
      </c>
      <c r="S18" s="348">
        <v>1800.7589599999967</v>
      </c>
      <c r="T18" s="16">
        <v>0</v>
      </c>
      <c r="U18" s="16">
        <v>3.3574999999999999</v>
      </c>
      <c r="V18" s="16">
        <v>1921.20226</v>
      </c>
      <c r="W18" s="16">
        <v>1719.84096</v>
      </c>
      <c r="X18" s="16">
        <v>2133.0457200000005</v>
      </c>
      <c r="Y18" s="16">
        <v>1279.3608000000002</v>
      </c>
      <c r="AA18" s="287">
        <f>K18-S18</f>
        <v>0</v>
      </c>
      <c r="AB18" s="287">
        <f t="shared" ref="AB18" si="4">L18-T18</f>
        <v>0</v>
      </c>
      <c r="AC18" s="287">
        <f t="shared" ref="AC18" si="5">M18-U18</f>
        <v>0</v>
      </c>
      <c r="AD18" s="287">
        <f t="shared" ref="AD18" si="6">N18-V18</f>
        <v>0</v>
      </c>
      <c r="AE18" s="287">
        <f t="shared" ref="AE18" si="7">O18-W18</f>
        <v>0</v>
      </c>
      <c r="AF18" s="287">
        <f t="shared" ref="AF18:AG18" si="8">P18-X18</f>
        <v>0</v>
      </c>
      <c r="AG18" s="287">
        <f t="shared" si="8"/>
        <v>0</v>
      </c>
    </row>
    <row r="19" spans="1:33" s="16" customFormat="1" ht="12.75" customHeight="1" thickBot="1" x14ac:dyDescent="0.3">
      <c r="D19" s="739" t="s">
        <v>1270</v>
      </c>
      <c r="E19" s="740"/>
      <c r="F19" s="740"/>
      <c r="G19" s="740"/>
      <c r="H19" s="740"/>
      <c r="I19" s="740"/>
      <c r="J19" s="740"/>
      <c r="K19" s="361">
        <f>K2197</f>
        <v>345.17559999999992</v>
      </c>
      <c r="L19" s="362">
        <f t="shared" si="0"/>
        <v>0</v>
      </c>
      <c r="M19" s="362">
        <f t="shared" si="0"/>
        <v>0</v>
      </c>
      <c r="N19" s="362">
        <f t="shared" si="0"/>
        <v>291.49547999999993</v>
      </c>
      <c r="O19" s="362">
        <f t="shared" si="0"/>
        <v>408.5045999999997</v>
      </c>
      <c r="P19" s="363">
        <f t="shared" si="0"/>
        <v>339.45936000000012</v>
      </c>
      <c r="Q19" s="363">
        <f t="shared" ref="Q19" si="9">Q2197</f>
        <v>266.62392</v>
      </c>
      <c r="R19" s="364">
        <f>SUM(K19:Q19)</f>
        <v>1651.2589599999997</v>
      </c>
      <c r="S19" s="530">
        <v>345.17559999999992</v>
      </c>
      <c r="T19" s="16">
        <v>0</v>
      </c>
      <c r="U19" s="16">
        <v>0</v>
      </c>
      <c r="V19" s="16">
        <v>291.49547999999993</v>
      </c>
      <c r="W19" s="16">
        <v>408.5045999999997</v>
      </c>
      <c r="X19" s="16">
        <v>339.45936000000012</v>
      </c>
      <c r="Y19" s="16">
        <v>266.62392</v>
      </c>
      <c r="AA19" s="287">
        <f>K19-S19</f>
        <v>0</v>
      </c>
      <c r="AB19" s="287">
        <f t="shared" ref="AB19" si="10">L19-T19</f>
        <v>0</v>
      </c>
      <c r="AC19" s="287">
        <f t="shared" ref="AC19" si="11">M19-U19</f>
        <v>0</v>
      </c>
      <c r="AD19" s="287">
        <f t="shared" ref="AD19" si="12">N19-V19</f>
        <v>0</v>
      </c>
      <c r="AE19" s="287">
        <f t="shared" ref="AE19" si="13">O19-W19</f>
        <v>0</v>
      </c>
      <c r="AF19" s="287">
        <f t="shared" ref="AF19:AG19" si="14">P19-X19</f>
        <v>0</v>
      </c>
      <c r="AG19" s="287">
        <f t="shared" si="14"/>
        <v>0</v>
      </c>
    </row>
    <row r="20" spans="1:33" ht="13.8" thickBot="1" x14ac:dyDescent="0.3">
      <c r="A20" s="16" t="s">
        <v>31</v>
      </c>
      <c r="B20" s="16">
        <v>0.109</v>
      </c>
      <c r="K20" s="547"/>
      <c r="L20" s="547"/>
      <c r="M20" s="547"/>
      <c r="N20" s="547"/>
      <c r="O20" s="547"/>
      <c r="P20" s="547"/>
      <c r="Q20" s="547"/>
      <c r="S20" s="546"/>
      <c r="T20" s="546"/>
      <c r="U20" s="546"/>
      <c r="V20" s="546"/>
      <c r="W20" s="546"/>
      <c r="X20" s="546"/>
      <c r="Y20" s="546"/>
    </row>
    <row r="21" spans="1:33" s="16" customFormat="1" ht="13.8" thickTop="1" x14ac:dyDescent="0.25">
      <c r="A21" s="16" t="s">
        <v>23</v>
      </c>
      <c r="B21" s="16">
        <v>0.154</v>
      </c>
      <c r="D21" s="751" t="s">
        <v>163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3"/>
      <c r="S21" s="348"/>
    </row>
    <row r="22" spans="1:33" s="16" customFormat="1" ht="13.8" thickBot="1" x14ac:dyDescent="0.3">
      <c r="A22" s="16" t="s">
        <v>24</v>
      </c>
      <c r="B22" s="16">
        <v>0.245</v>
      </c>
      <c r="D22" s="741" t="str">
        <f>D8</f>
        <v>Obra: Construção de Cozinha Industrial e Refeitório do Campus Itacoatiara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3"/>
      <c r="S22" s="348"/>
    </row>
    <row r="23" spans="1:33" s="16" customFormat="1" ht="15" customHeight="1" x14ac:dyDescent="0.25">
      <c r="A23" s="16" t="s">
        <v>25</v>
      </c>
      <c r="B23" s="16">
        <v>0.39500000000000002</v>
      </c>
      <c r="D23" s="744" t="s">
        <v>17</v>
      </c>
      <c r="E23" s="745"/>
      <c r="F23" s="745"/>
      <c r="G23" s="745"/>
      <c r="H23" s="745"/>
      <c r="I23" s="745"/>
      <c r="J23" s="745"/>
      <c r="K23" s="746" t="s">
        <v>41</v>
      </c>
      <c r="L23" s="747"/>
      <c r="M23" s="747"/>
      <c r="N23" s="747"/>
      <c r="O23" s="747"/>
      <c r="P23" s="748"/>
      <c r="Q23" s="559"/>
      <c r="R23" s="749" t="s">
        <v>45</v>
      </c>
      <c r="S23" s="348"/>
    </row>
    <row r="24" spans="1:33" s="16" customFormat="1" x14ac:dyDescent="0.25">
      <c r="A24" s="16" t="s">
        <v>26</v>
      </c>
      <c r="B24" s="16">
        <v>0.61699999999999999</v>
      </c>
      <c r="D24" s="68" t="s">
        <v>44</v>
      </c>
      <c r="E24" s="70" t="s">
        <v>47</v>
      </c>
      <c r="F24" s="166" t="s">
        <v>19</v>
      </c>
      <c r="G24" s="167" t="s">
        <v>20</v>
      </c>
      <c r="H24" s="167" t="s">
        <v>21</v>
      </c>
      <c r="I24" s="168" t="s">
        <v>32</v>
      </c>
      <c r="J24" s="168" t="s">
        <v>33</v>
      </c>
      <c r="K24" s="169">
        <v>5</v>
      </c>
      <c r="L24" s="170">
        <v>6.3</v>
      </c>
      <c r="M24" s="170">
        <v>8</v>
      </c>
      <c r="N24" s="170">
        <v>10</v>
      </c>
      <c r="O24" s="170">
        <v>12.5</v>
      </c>
      <c r="P24" s="171">
        <v>16</v>
      </c>
      <c r="Q24" s="171">
        <v>20</v>
      </c>
      <c r="R24" s="749"/>
      <c r="S24" s="348"/>
    </row>
    <row r="25" spans="1:33" s="16" customFormat="1" ht="15.75" customHeight="1" thickBot="1" x14ac:dyDescent="0.3">
      <c r="D25" s="778" t="s">
        <v>195</v>
      </c>
      <c r="E25" s="779"/>
      <c r="F25" s="779"/>
      <c r="G25" s="779"/>
      <c r="H25" s="779"/>
      <c r="I25" s="779"/>
      <c r="J25" s="779"/>
      <c r="K25" s="779"/>
      <c r="L25" s="779"/>
      <c r="M25" s="779"/>
      <c r="N25" s="779"/>
      <c r="O25" s="779"/>
      <c r="P25" s="779"/>
      <c r="Q25" s="779"/>
      <c r="R25" s="779"/>
      <c r="S25" s="527"/>
    </row>
    <row r="26" spans="1:33" s="16" customFormat="1" x14ac:dyDescent="0.25">
      <c r="A26" s="16" t="s">
        <v>27</v>
      </c>
      <c r="B26" s="16">
        <v>0.96299999999999997</v>
      </c>
      <c r="C26" s="34"/>
      <c r="D26" s="730" t="s">
        <v>1245</v>
      </c>
      <c r="E26" s="365" t="s">
        <v>49</v>
      </c>
      <c r="F26" s="366">
        <v>1</v>
      </c>
      <c r="G26" s="367">
        <f>4*6</f>
        <v>24</v>
      </c>
      <c r="H26" s="368">
        <v>5</v>
      </c>
      <c r="I26" s="369">
        <v>0.34</v>
      </c>
      <c r="J26" s="370">
        <f>G26*I26</f>
        <v>8.16</v>
      </c>
      <c r="K26" s="65">
        <f t="shared" ref="K26:K2192" si="15">IF($H26=5,$J26*$B$21,0)</f>
        <v>1.25664</v>
      </c>
      <c r="L26" s="64">
        <f t="shared" ref="L26:L2192" si="16">IF($H26=6.3,$J26*$B$22,0)</f>
        <v>0</v>
      </c>
      <c r="M26" s="63">
        <f t="shared" ref="M26:M2192" si="17">IF($H26=8,$J26*$B$23,0)</f>
        <v>0</v>
      </c>
      <c r="N26" s="64">
        <f t="shared" ref="N26:N2192" si="18">IF($H26=10,$J26*$B$24,0)</f>
        <v>0</v>
      </c>
      <c r="O26" s="64">
        <f t="shared" ref="O26:O2192" si="19">IF($H26=12.5,$J26*$B$26,0)</f>
        <v>0</v>
      </c>
      <c r="P26" s="64">
        <f>IF($H26=16,$J26*$B$27,0)</f>
        <v>0</v>
      </c>
      <c r="Q26" s="560">
        <f>IF($H26=20,$J26*$B$28,0)</f>
        <v>0</v>
      </c>
      <c r="R26" s="172"/>
      <c r="S26" s="348"/>
    </row>
    <row r="27" spans="1:33" s="16" customFormat="1" ht="15" customHeight="1" x14ac:dyDescent="0.25">
      <c r="A27" s="16" t="s">
        <v>28</v>
      </c>
      <c r="B27" s="16">
        <v>1.5780000000000001</v>
      </c>
      <c r="C27" s="34">
        <f>J27*13</f>
        <v>213.72000000000003</v>
      </c>
      <c r="D27" s="729"/>
      <c r="E27" s="371" t="s">
        <v>49</v>
      </c>
      <c r="F27" s="372">
        <v>2</v>
      </c>
      <c r="G27" s="373">
        <f>4*3</f>
        <v>12</v>
      </c>
      <c r="H27" s="374">
        <v>5</v>
      </c>
      <c r="I27" s="375">
        <v>1.37</v>
      </c>
      <c r="J27" s="376">
        <f>G27*I27</f>
        <v>16.440000000000001</v>
      </c>
      <c r="K27" s="66">
        <f t="shared" si="15"/>
        <v>2.5317600000000002</v>
      </c>
      <c r="L27" s="63">
        <f t="shared" si="16"/>
        <v>0</v>
      </c>
      <c r="M27" s="63">
        <f t="shared" si="17"/>
        <v>0</v>
      </c>
      <c r="N27" s="63">
        <f t="shared" si="18"/>
        <v>0</v>
      </c>
      <c r="O27" s="63">
        <f t="shared" si="19"/>
        <v>0</v>
      </c>
      <c r="P27" s="63">
        <f t="shared" ref="P27:P2192" si="20">IF($H27=16,$J27*$B$27,0)</f>
        <v>0</v>
      </c>
      <c r="Q27" s="561">
        <f t="shared" ref="Q27:Q90" si="21">IF($H27=20,$J27*$B$28,0)</f>
        <v>0</v>
      </c>
      <c r="R27" s="173"/>
      <c r="S27" s="348"/>
    </row>
    <row r="28" spans="1:33" s="16" customFormat="1" ht="15" customHeight="1" x14ac:dyDescent="0.25">
      <c r="A28" s="567">
        <v>20</v>
      </c>
      <c r="B28" s="16">
        <v>2.4660000000000002</v>
      </c>
      <c r="C28" s="34"/>
      <c r="D28" s="729"/>
      <c r="E28" s="371" t="s">
        <v>49</v>
      </c>
      <c r="F28" s="372">
        <v>3</v>
      </c>
      <c r="G28" s="373">
        <f>4*6</f>
        <v>24</v>
      </c>
      <c r="H28" s="374">
        <v>5</v>
      </c>
      <c r="I28" s="375">
        <v>0.94</v>
      </c>
      <c r="J28" s="376">
        <f>G28*I28</f>
        <v>22.56</v>
      </c>
      <c r="K28" s="66">
        <f t="shared" si="15"/>
        <v>3.4742399999999996</v>
      </c>
      <c r="L28" s="63">
        <f t="shared" si="16"/>
        <v>0</v>
      </c>
      <c r="M28" s="63">
        <f t="shared" si="17"/>
        <v>0</v>
      </c>
      <c r="N28" s="63">
        <f t="shared" si="18"/>
        <v>0</v>
      </c>
      <c r="O28" s="63">
        <f t="shared" si="19"/>
        <v>0</v>
      </c>
      <c r="P28" s="63">
        <f t="shared" si="20"/>
        <v>0</v>
      </c>
      <c r="Q28" s="561">
        <f t="shared" si="21"/>
        <v>0</v>
      </c>
      <c r="R28" s="173"/>
      <c r="S28" s="348"/>
      <c r="Z28" s="82"/>
    </row>
    <row r="29" spans="1:33" s="16" customFormat="1" ht="15" customHeight="1" x14ac:dyDescent="0.25">
      <c r="B29" s="16">
        <v>3.8530000000000002</v>
      </c>
      <c r="C29" s="34"/>
      <c r="D29" s="729"/>
      <c r="E29" s="371" t="s">
        <v>49</v>
      </c>
      <c r="F29" s="372">
        <v>39</v>
      </c>
      <c r="G29" s="373">
        <f>4*8</f>
        <v>32</v>
      </c>
      <c r="H29" s="374">
        <v>16</v>
      </c>
      <c r="I29" s="375">
        <v>1.55</v>
      </c>
      <c r="J29" s="376">
        <f t="shared" ref="J29:J2192" si="22">G29*I29</f>
        <v>49.6</v>
      </c>
      <c r="K29" s="66">
        <f t="shared" si="15"/>
        <v>0</v>
      </c>
      <c r="L29" s="63">
        <f t="shared" si="16"/>
        <v>0</v>
      </c>
      <c r="M29" s="63">
        <f t="shared" si="17"/>
        <v>0</v>
      </c>
      <c r="N29" s="63">
        <f t="shared" si="18"/>
        <v>0</v>
      </c>
      <c r="O29" s="63">
        <f t="shared" si="19"/>
        <v>0</v>
      </c>
      <c r="P29" s="63">
        <f t="shared" si="20"/>
        <v>78.268799999999999</v>
      </c>
      <c r="Q29" s="561">
        <f t="shared" si="21"/>
        <v>0</v>
      </c>
      <c r="R29" s="173"/>
      <c r="S29" s="348"/>
      <c r="Z29" s="82"/>
    </row>
    <row r="30" spans="1:33" s="16" customFormat="1" ht="15" customHeight="1" x14ac:dyDescent="0.25">
      <c r="C30" s="34"/>
      <c r="D30" s="729"/>
      <c r="E30" s="371" t="s">
        <v>113</v>
      </c>
      <c r="F30" s="372">
        <v>1</v>
      </c>
      <c r="G30" s="373">
        <f>4*27</f>
        <v>108</v>
      </c>
      <c r="H30" s="374">
        <v>5</v>
      </c>
      <c r="I30" s="375">
        <v>0.34</v>
      </c>
      <c r="J30" s="376">
        <f t="shared" si="22"/>
        <v>36.720000000000006</v>
      </c>
      <c r="K30" s="66">
        <f t="shared" si="15"/>
        <v>5.6548800000000012</v>
      </c>
      <c r="L30" s="63">
        <f t="shared" si="16"/>
        <v>0</v>
      </c>
      <c r="M30" s="63">
        <f t="shared" si="17"/>
        <v>0</v>
      </c>
      <c r="N30" s="63">
        <f t="shared" si="18"/>
        <v>0</v>
      </c>
      <c r="O30" s="63">
        <f t="shared" si="19"/>
        <v>0</v>
      </c>
      <c r="P30" s="63">
        <f t="shared" si="20"/>
        <v>0</v>
      </c>
      <c r="Q30" s="562">
        <f t="shared" si="21"/>
        <v>0</v>
      </c>
      <c r="R30" s="377"/>
      <c r="S30" s="348"/>
      <c r="Z30" s="82"/>
    </row>
    <row r="31" spans="1:33" s="16" customFormat="1" ht="15" customHeight="1" x14ac:dyDescent="0.25">
      <c r="C31" s="34"/>
      <c r="D31" s="729"/>
      <c r="E31" s="371" t="s">
        <v>113</v>
      </c>
      <c r="F31" s="372">
        <v>2</v>
      </c>
      <c r="G31" s="373">
        <f>4*23</f>
        <v>92</v>
      </c>
      <c r="H31" s="374">
        <v>5</v>
      </c>
      <c r="I31" s="375">
        <v>1.37</v>
      </c>
      <c r="J31" s="376">
        <f t="shared" ref="J31" si="23">G31*I31</f>
        <v>126.04</v>
      </c>
      <c r="K31" s="66">
        <f t="shared" si="15"/>
        <v>19.410160000000001</v>
      </c>
      <c r="L31" s="63">
        <f t="shared" si="16"/>
        <v>0</v>
      </c>
      <c r="M31" s="63">
        <f t="shared" si="17"/>
        <v>0</v>
      </c>
      <c r="N31" s="63">
        <f t="shared" si="18"/>
        <v>0</v>
      </c>
      <c r="O31" s="63">
        <f t="shared" si="19"/>
        <v>0</v>
      </c>
      <c r="P31" s="63">
        <f t="shared" si="20"/>
        <v>0</v>
      </c>
      <c r="Q31" s="562">
        <f t="shared" si="21"/>
        <v>0</v>
      </c>
      <c r="R31" s="377"/>
      <c r="S31" s="348"/>
      <c r="Z31" s="82"/>
    </row>
    <row r="32" spans="1:33" s="16" customFormat="1" ht="15" customHeight="1" x14ac:dyDescent="0.25">
      <c r="C32" s="34"/>
      <c r="D32" s="729"/>
      <c r="E32" s="371" t="s">
        <v>113</v>
      </c>
      <c r="F32" s="372">
        <v>3</v>
      </c>
      <c r="G32" s="373">
        <f>4*8</f>
        <v>32</v>
      </c>
      <c r="H32" s="374">
        <v>5</v>
      </c>
      <c r="I32" s="375">
        <v>0.94</v>
      </c>
      <c r="J32" s="376">
        <f t="shared" si="22"/>
        <v>30.08</v>
      </c>
      <c r="K32" s="66">
        <f t="shared" si="15"/>
        <v>4.63232</v>
      </c>
      <c r="L32" s="63">
        <f t="shared" si="16"/>
        <v>0</v>
      </c>
      <c r="M32" s="63">
        <f t="shared" si="17"/>
        <v>0</v>
      </c>
      <c r="N32" s="63">
        <f t="shared" si="18"/>
        <v>0</v>
      </c>
      <c r="O32" s="63">
        <f t="shared" si="19"/>
        <v>0</v>
      </c>
      <c r="P32" s="63">
        <f t="shared" si="20"/>
        <v>0</v>
      </c>
      <c r="Q32" s="562">
        <f t="shared" si="21"/>
        <v>0</v>
      </c>
      <c r="R32" s="377"/>
      <c r="S32" s="348"/>
      <c r="Z32" s="82"/>
    </row>
    <row r="33" spans="3:28" s="16" customFormat="1" ht="15" customHeight="1" x14ac:dyDescent="0.25">
      <c r="C33" s="34"/>
      <c r="D33" s="729"/>
      <c r="E33" s="378" t="s">
        <v>113</v>
      </c>
      <c r="F33" s="379">
        <v>33</v>
      </c>
      <c r="G33" s="380">
        <f>4*8</f>
        <v>32</v>
      </c>
      <c r="H33" s="381">
        <v>16</v>
      </c>
      <c r="I33" s="382">
        <v>3.98</v>
      </c>
      <c r="J33" s="383">
        <f t="shared" si="22"/>
        <v>127.36</v>
      </c>
      <c r="K33" s="194">
        <f t="shared" si="15"/>
        <v>0</v>
      </c>
      <c r="L33" s="195">
        <f t="shared" si="16"/>
        <v>0</v>
      </c>
      <c r="M33" s="63">
        <f t="shared" si="17"/>
        <v>0</v>
      </c>
      <c r="N33" s="195">
        <f t="shared" si="18"/>
        <v>0</v>
      </c>
      <c r="O33" s="195">
        <f t="shared" si="19"/>
        <v>0</v>
      </c>
      <c r="P33" s="195">
        <f t="shared" si="20"/>
        <v>200.97408000000001</v>
      </c>
      <c r="Q33" s="562">
        <f t="shared" si="21"/>
        <v>0</v>
      </c>
      <c r="R33" s="377"/>
      <c r="S33" s="348"/>
      <c r="Z33" s="82"/>
    </row>
    <row r="34" spans="3:28" s="16" customFormat="1" ht="15" customHeight="1" x14ac:dyDescent="0.25">
      <c r="C34" s="34"/>
      <c r="D34" s="525"/>
      <c r="E34" s="371" t="s">
        <v>184</v>
      </c>
      <c r="F34" s="372">
        <v>1</v>
      </c>
      <c r="G34" s="373">
        <f>4*9</f>
        <v>36</v>
      </c>
      <c r="H34" s="374">
        <v>5</v>
      </c>
      <c r="I34" s="375">
        <v>0.34</v>
      </c>
      <c r="J34" s="376">
        <f t="shared" si="22"/>
        <v>12.24</v>
      </c>
      <c r="K34" s="66">
        <f t="shared" si="15"/>
        <v>1.88496</v>
      </c>
      <c r="L34" s="63">
        <f t="shared" si="16"/>
        <v>0</v>
      </c>
      <c r="M34" s="63">
        <f t="shared" si="17"/>
        <v>0</v>
      </c>
      <c r="N34" s="63">
        <f t="shared" si="18"/>
        <v>0</v>
      </c>
      <c r="O34" s="63">
        <f t="shared" si="19"/>
        <v>0</v>
      </c>
      <c r="P34" s="63">
        <f t="shared" si="20"/>
        <v>0</v>
      </c>
      <c r="Q34" s="562">
        <f t="shared" si="21"/>
        <v>0</v>
      </c>
      <c r="R34" s="377"/>
      <c r="S34" s="527"/>
      <c r="Z34" s="82"/>
    </row>
    <row r="35" spans="3:28" s="16" customFormat="1" ht="15" customHeight="1" x14ac:dyDescent="0.25">
      <c r="C35" s="34"/>
      <c r="D35" s="525"/>
      <c r="E35" s="371" t="s">
        <v>184</v>
      </c>
      <c r="F35" s="372">
        <v>2</v>
      </c>
      <c r="G35" s="373">
        <f>4*7</f>
        <v>28</v>
      </c>
      <c r="H35" s="374">
        <v>5</v>
      </c>
      <c r="I35" s="375">
        <v>1.37</v>
      </c>
      <c r="J35" s="376">
        <f t="shared" ref="J35:J37" si="24">G35*I35</f>
        <v>38.36</v>
      </c>
      <c r="K35" s="66">
        <f t="shared" si="15"/>
        <v>5.9074400000000002</v>
      </c>
      <c r="L35" s="63">
        <f t="shared" si="16"/>
        <v>0</v>
      </c>
      <c r="M35" s="63">
        <f t="shared" si="17"/>
        <v>0</v>
      </c>
      <c r="N35" s="63">
        <f t="shared" si="18"/>
        <v>0</v>
      </c>
      <c r="O35" s="63">
        <f t="shared" si="19"/>
        <v>0</v>
      </c>
      <c r="P35" s="63">
        <f t="shared" si="20"/>
        <v>0</v>
      </c>
      <c r="Q35" s="562">
        <f t="shared" si="21"/>
        <v>0</v>
      </c>
      <c r="R35" s="377"/>
      <c r="S35" s="527"/>
      <c r="Z35" s="82"/>
    </row>
    <row r="36" spans="3:28" s="16" customFormat="1" ht="15" customHeight="1" x14ac:dyDescent="0.25">
      <c r="C36" s="34"/>
      <c r="D36" s="525"/>
      <c r="E36" s="371" t="s">
        <v>184</v>
      </c>
      <c r="F36" s="372">
        <v>3</v>
      </c>
      <c r="G36" s="373">
        <f>4*4</f>
        <v>16</v>
      </c>
      <c r="H36" s="374">
        <v>5</v>
      </c>
      <c r="I36" s="375">
        <v>0.94</v>
      </c>
      <c r="J36" s="376">
        <f t="shared" si="24"/>
        <v>15.04</v>
      </c>
      <c r="K36" s="66">
        <f t="shared" si="15"/>
        <v>2.31616</v>
      </c>
      <c r="L36" s="63">
        <f t="shared" si="16"/>
        <v>0</v>
      </c>
      <c r="M36" s="63">
        <f t="shared" si="17"/>
        <v>0</v>
      </c>
      <c r="N36" s="63">
        <f t="shared" si="18"/>
        <v>0</v>
      </c>
      <c r="O36" s="63">
        <f t="shared" si="19"/>
        <v>0</v>
      </c>
      <c r="P36" s="63">
        <f t="shared" si="20"/>
        <v>0</v>
      </c>
      <c r="Q36" s="562">
        <f t="shared" si="21"/>
        <v>0</v>
      </c>
      <c r="R36" s="377"/>
      <c r="S36" s="527"/>
      <c r="Z36" s="82"/>
    </row>
    <row r="37" spans="3:28" s="16" customFormat="1" ht="15" customHeight="1" thickBot="1" x14ac:dyDescent="0.3">
      <c r="C37" s="34"/>
      <c r="D37" s="525"/>
      <c r="E37" s="371" t="s">
        <v>184</v>
      </c>
      <c r="F37" s="372">
        <v>21</v>
      </c>
      <c r="G37" s="373">
        <f>4*8</f>
        <v>32</v>
      </c>
      <c r="H37" s="374">
        <v>16</v>
      </c>
      <c r="I37" s="375">
        <v>1.02</v>
      </c>
      <c r="J37" s="376">
        <f t="shared" si="24"/>
        <v>32.64</v>
      </c>
      <c r="K37" s="66">
        <f t="shared" si="15"/>
        <v>0</v>
      </c>
      <c r="L37" s="63">
        <f t="shared" si="16"/>
        <v>0</v>
      </c>
      <c r="M37" s="63">
        <f t="shared" si="17"/>
        <v>0</v>
      </c>
      <c r="N37" s="63">
        <f t="shared" si="18"/>
        <v>0</v>
      </c>
      <c r="O37" s="63">
        <f t="shared" si="19"/>
        <v>0</v>
      </c>
      <c r="P37" s="63">
        <f t="shared" si="20"/>
        <v>51.505920000000003</v>
      </c>
      <c r="Q37" s="562">
        <f t="shared" si="21"/>
        <v>0</v>
      </c>
      <c r="R37" s="377"/>
      <c r="S37" s="527"/>
      <c r="Z37" s="82"/>
    </row>
    <row r="38" spans="3:28" ht="13.8" thickTop="1" x14ac:dyDescent="0.25">
      <c r="D38" s="728" t="s">
        <v>1246</v>
      </c>
      <c r="E38" s="384" t="s">
        <v>49</v>
      </c>
      <c r="F38" s="385">
        <v>4</v>
      </c>
      <c r="G38" s="386">
        <f>7*2</f>
        <v>14</v>
      </c>
      <c r="H38" s="387">
        <v>5</v>
      </c>
      <c r="I38" s="387">
        <v>0.28999999999999998</v>
      </c>
      <c r="J38" s="389">
        <f t="shared" si="22"/>
        <v>4.0599999999999996</v>
      </c>
      <c r="K38" s="218">
        <f t="shared" si="15"/>
        <v>0.62523999999999991</v>
      </c>
      <c r="L38" s="219">
        <f t="shared" si="16"/>
        <v>0</v>
      </c>
      <c r="M38" s="219">
        <f t="shared" si="17"/>
        <v>0</v>
      </c>
      <c r="N38" s="219">
        <f t="shared" si="18"/>
        <v>0</v>
      </c>
      <c r="O38" s="219">
        <f t="shared" si="19"/>
        <v>0</v>
      </c>
      <c r="P38" s="219">
        <f t="shared" si="20"/>
        <v>0</v>
      </c>
      <c r="Q38" s="563">
        <f t="shared" si="21"/>
        <v>0</v>
      </c>
      <c r="R38" s="220"/>
      <c r="S38" s="348"/>
      <c r="T38" s="16"/>
      <c r="U38" s="16"/>
      <c r="V38" s="16"/>
      <c r="W38" s="16"/>
      <c r="X38" s="16"/>
      <c r="Y38" s="16"/>
    </row>
    <row r="39" spans="3:28" ht="15" customHeight="1" x14ac:dyDescent="0.25">
      <c r="D39" s="729"/>
      <c r="E39" s="371" t="s">
        <v>49</v>
      </c>
      <c r="F39" s="372">
        <v>5</v>
      </c>
      <c r="G39" s="373">
        <f>4*2</f>
        <v>8</v>
      </c>
      <c r="H39" s="374">
        <v>5</v>
      </c>
      <c r="I39" s="374">
        <v>1.07</v>
      </c>
      <c r="J39" s="376">
        <f t="shared" si="22"/>
        <v>8.56</v>
      </c>
      <c r="K39" s="66">
        <f t="shared" si="15"/>
        <v>1.3182400000000001</v>
      </c>
      <c r="L39" s="63">
        <f t="shared" si="16"/>
        <v>0</v>
      </c>
      <c r="M39" s="63">
        <f t="shared" si="17"/>
        <v>0</v>
      </c>
      <c r="N39" s="63">
        <f t="shared" si="18"/>
        <v>0</v>
      </c>
      <c r="O39" s="63">
        <f t="shared" si="19"/>
        <v>0</v>
      </c>
      <c r="P39" s="63">
        <f t="shared" si="20"/>
        <v>0</v>
      </c>
      <c r="Q39" s="561">
        <f t="shared" si="21"/>
        <v>0</v>
      </c>
      <c r="R39" s="174"/>
      <c r="T39" s="16"/>
      <c r="U39" s="16"/>
      <c r="V39" s="16"/>
      <c r="W39" s="16"/>
    </row>
    <row r="40" spans="3:28" ht="15" customHeight="1" x14ac:dyDescent="0.25">
      <c r="D40" s="729"/>
      <c r="E40" s="371" t="s">
        <v>49</v>
      </c>
      <c r="F40" s="372">
        <v>6</v>
      </c>
      <c r="G40" s="373">
        <f>6*2</f>
        <v>12</v>
      </c>
      <c r="H40" s="374">
        <v>5</v>
      </c>
      <c r="I40" s="374">
        <v>0.74</v>
      </c>
      <c r="J40" s="376">
        <f t="shared" si="22"/>
        <v>8.879999999999999</v>
      </c>
      <c r="K40" s="66">
        <f t="shared" si="15"/>
        <v>1.3675199999999998</v>
      </c>
      <c r="L40" s="63">
        <f t="shared" si="16"/>
        <v>0</v>
      </c>
      <c r="M40" s="63">
        <f t="shared" si="17"/>
        <v>0</v>
      </c>
      <c r="N40" s="63">
        <f t="shared" si="18"/>
        <v>0</v>
      </c>
      <c r="O40" s="63">
        <f t="shared" si="19"/>
        <v>0</v>
      </c>
      <c r="P40" s="63">
        <f t="shared" si="20"/>
        <v>0</v>
      </c>
      <c r="Q40" s="561">
        <f t="shared" si="21"/>
        <v>0</v>
      </c>
      <c r="R40" s="174"/>
      <c r="T40" s="348"/>
      <c r="U40" s="348"/>
      <c r="V40" s="348"/>
      <c r="W40" s="16"/>
    </row>
    <row r="41" spans="3:28" ht="15" customHeight="1" x14ac:dyDescent="0.25">
      <c r="D41" s="729"/>
      <c r="E41" s="371" t="s">
        <v>49</v>
      </c>
      <c r="F41" s="372">
        <v>37</v>
      </c>
      <c r="G41" s="373">
        <f>6*2</f>
        <v>12</v>
      </c>
      <c r="H41" s="374">
        <v>12.5</v>
      </c>
      <c r="I41" s="374">
        <v>1.45</v>
      </c>
      <c r="J41" s="376">
        <f t="shared" ref="J41:J42" si="25">G41*I41</f>
        <v>17.399999999999999</v>
      </c>
      <c r="K41" s="66">
        <f t="shared" si="15"/>
        <v>0</v>
      </c>
      <c r="L41" s="63">
        <f t="shared" si="16"/>
        <v>0</v>
      </c>
      <c r="M41" s="63">
        <f t="shared" si="17"/>
        <v>0</v>
      </c>
      <c r="N41" s="63">
        <f t="shared" si="18"/>
        <v>0</v>
      </c>
      <c r="O41" s="63">
        <f t="shared" si="19"/>
        <v>16.7562</v>
      </c>
      <c r="P41" s="63">
        <f t="shared" si="20"/>
        <v>0</v>
      </c>
      <c r="Q41" s="561">
        <f t="shared" si="21"/>
        <v>0</v>
      </c>
      <c r="R41" s="174"/>
    </row>
    <row r="42" spans="3:28" ht="15" customHeight="1" x14ac:dyDescent="0.25">
      <c r="D42" s="729"/>
      <c r="E42" s="371" t="s">
        <v>113</v>
      </c>
      <c r="F42" s="372">
        <v>4</v>
      </c>
      <c r="G42" s="373">
        <f>2*24</f>
        <v>48</v>
      </c>
      <c r="H42" s="374">
        <v>5</v>
      </c>
      <c r="I42" s="375">
        <v>0.28999999999999998</v>
      </c>
      <c r="J42" s="376">
        <f t="shared" si="25"/>
        <v>13.919999999999998</v>
      </c>
      <c r="K42" s="66">
        <f t="shared" si="15"/>
        <v>2.1436799999999998</v>
      </c>
      <c r="L42" s="63">
        <f t="shared" si="16"/>
        <v>0</v>
      </c>
      <c r="M42" s="63">
        <f t="shared" si="17"/>
        <v>0</v>
      </c>
      <c r="N42" s="63">
        <f t="shared" si="18"/>
        <v>0</v>
      </c>
      <c r="O42" s="63">
        <f t="shared" si="19"/>
        <v>0</v>
      </c>
      <c r="P42" s="63">
        <f t="shared" si="20"/>
        <v>0</v>
      </c>
      <c r="Q42" s="561">
        <f t="shared" si="21"/>
        <v>0</v>
      </c>
      <c r="R42" s="174"/>
    </row>
    <row r="43" spans="3:28" ht="15" customHeight="1" x14ac:dyDescent="0.25">
      <c r="D43" s="729"/>
      <c r="E43" s="371" t="s">
        <v>113</v>
      </c>
      <c r="F43" s="372">
        <v>5</v>
      </c>
      <c r="G43" s="373">
        <f>2*20</f>
        <v>40</v>
      </c>
      <c r="H43" s="374">
        <v>5</v>
      </c>
      <c r="I43" s="375">
        <v>1.07</v>
      </c>
      <c r="J43" s="376">
        <f t="shared" si="22"/>
        <v>42.800000000000004</v>
      </c>
      <c r="K43" s="66">
        <f t="shared" si="15"/>
        <v>6.5912000000000006</v>
      </c>
      <c r="L43" s="63">
        <f t="shared" si="16"/>
        <v>0</v>
      </c>
      <c r="M43" s="63">
        <f t="shared" si="17"/>
        <v>0</v>
      </c>
      <c r="N43" s="63">
        <f t="shared" si="18"/>
        <v>0</v>
      </c>
      <c r="O43" s="63">
        <f t="shared" si="19"/>
        <v>0</v>
      </c>
      <c r="P43" s="63">
        <f t="shared" si="20"/>
        <v>0</v>
      </c>
      <c r="Q43" s="561">
        <f t="shared" si="21"/>
        <v>0</v>
      </c>
      <c r="R43" s="174"/>
    </row>
    <row r="44" spans="3:28" ht="15" customHeight="1" x14ac:dyDescent="0.25">
      <c r="D44" s="729"/>
      <c r="E44" s="371" t="s">
        <v>113</v>
      </c>
      <c r="F44" s="372">
        <v>6</v>
      </c>
      <c r="G44" s="373">
        <f>2*8</f>
        <v>16</v>
      </c>
      <c r="H44" s="374">
        <v>5</v>
      </c>
      <c r="I44" s="375">
        <v>0.74</v>
      </c>
      <c r="J44" s="376">
        <f t="shared" si="22"/>
        <v>11.84</v>
      </c>
      <c r="K44" s="66">
        <f t="shared" si="15"/>
        <v>1.8233599999999999</v>
      </c>
      <c r="L44" s="63">
        <f t="shared" si="16"/>
        <v>0</v>
      </c>
      <c r="M44" s="63">
        <f t="shared" si="17"/>
        <v>0</v>
      </c>
      <c r="N44" s="63">
        <f t="shared" si="18"/>
        <v>0</v>
      </c>
      <c r="O44" s="63">
        <f t="shared" si="19"/>
        <v>0</v>
      </c>
      <c r="P44" s="63">
        <f t="shared" si="20"/>
        <v>0</v>
      </c>
      <c r="Q44" s="561">
        <f t="shared" si="21"/>
        <v>0</v>
      </c>
      <c r="R44" s="174"/>
    </row>
    <row r="45" spans="3:28" ht="15" customHeight="1" x14ac:dyDescent="0.25">
      <c r="D45" s="729"/>
      <c r="E45" s="378" t="s">
        <v>113</v>
      </c>
      <c r="F45" s="379">
        <v>26</v>
      </c>
      <c r="G45" s="380">
        <f>2*6</f>
        <v>12</v>
      </c>
      <c r="H45" s="381">
        <v>12.5</v>
      </c>
      <c r="I45" s="382">
        <v>3.87</v>
      </c>
      <c r="J45" s="383">
        <f t="shared" si="22"/>
        <v>46.44</v>
      </c>
      <c r="K45" s="194">
        <f t="shared" si="15"/>
        <v>0</v>
      </c>
      <c r="L45" s="195">
        <f t="shared" si="16"/>
        <v>0</v>
      </c>
      <c r="M45" s="195">
        <f t="shared" si="17"/>
        <v>0</v>
      </c>
      <c r="N45" s="195">
        <f t="shared" si="18"/>
        <v>0</v>
      </c>
      <c r="O45" s="195">
        <f t="shared" si="19"/>
        <v>44.721719999999998</v>
      </c>
      <c r="P45" s="195">
        <f t="shared" si="20"/>
        <v>0</v>
      </c>
      <c r="Q45" s="562">
        <f t="shared" si="21"/>
        <v>0</v>
      </c>
      <c r="R45" s="402"/>
      <c r="AB45" s="187"/>
    </row>
    <row r="46" spans="3:28" s="16" customFormat="1" ht="15" customHeight="1" x14ac:dyDescent="0.25">
      <c r="C46" s="34"/>
      <c r="D46" s="729"/>
      <c r="E46" s="371" t="s">
        <v>184</v>
      </c>
      <c r="F46" s="372">
        <v>4</v>
      </c>
      <c r="G46" s="373">
        <f>2*7</f>
        <v>14</v>
      </c>
      <c r="H46" s="374">
        <v>5</v>
      </c>
      <c r="I46" s="375">
        <v>0.28999999999999998</v>
      </c>
      <c r="J46" s="376">
        <f t="shared" ref="J46:J49" si="26">G46*I46</f>
        <v>4.0599999999999996</v>
      </c>
      <c r="K46" s="66">
        <f t="shared" si="15"/>
        <v>0.62523999999999991</v>
      </c>
      <c r="L46" s="63">
        <f t="shared" si="16"/>
        <v>0</v>
      </c>
      <c r="M46" s="63">
        <f t="shared" si="17"/>
        <v>0</v>
      </c>
      <c r="N46" s="63">
        <f t="shared" si="18"/>
        <v>0</v>
      </c>
      <c r="O46" s="63">
        <f t="shared" si="19"/>
        <v>0</v>
      </c>
      <c r="P46" s="63">
        <f t="shared" si="20"/>
        <v>0</v>
      </c>
      <c r="Q46" s="562">
        <f t="shared" si="21"/>
        <v>0</v>
      </c>
      <c r="R46" s="377"/>
      <c r="S46" s="527"/>
      <c r="Z46" s="82"/>
    </row>
    <row r="47" spans="3:28" s="16" customFormat="1" ht="15" customHeight="1" x14ac:dyDescent="0.25">
      <c r="C47" s="34"/>
      <c r="D47" s="729"/>
      <c r="E47" s="371" t="s">
        <v>184</v>
      </c>
      <c r="F47" s="372">
        <v>5</v>
      </c>
      <c r="G47" s="373">
        <f>2*6</f>
        <v>12</v>
      </c>
      <c r="H47" s="374">
        <v>5</v>
      </c>
      <c r="I47" s="375">
        <v>1.07</v>
      </c>
      <c r="J47" s="376">
        <f t="shared" si="26"/>
        <v>12.84</v>
      </c>
      <c r="K47" s="66">
        <f t="shared" si="15"/>
        <v>1.97736</v>
      </c>
      <c r="L47" s="63">
        <f t="shared" si="16"/>
        <v>0</v>
      </c>
      <c r="M47" s="63">
        <f t="shared" si="17"/>
        <v>0</v>
      </c>
      <c r="N47" s="63">
        <f t="shared" si="18"/>
        <v>0</v>
      </c>
      <c r="O47" s="63">
        <f t="shared" si="19"/>
        <v>0</v>
      </c>
      <c r="P47" s="63">
        <f t="shared" si="20"/>
        <v>0</v>
      </c>
      <c r="Q47" s="562">
        <f t="shared" si="21"/>
        <v>0</v>
      </c>
      <c r="R47" s="377"/>
      <c r="S47" s="527"/>
      <c r="Z47" s="82"/>
    </row>
    <row r="48" spans="3:28" s="16" customFormat="1" ht="15" customHeight="1" x14ac:dyDescent="0.25">
      <c r="C48" s="34"/>
      <c r="D48" s="729"/>
      <c r="E48" s="371" t="s">
        <v>184</v>
      </c>
      <c r="F48" s="372">
        <v>6</v>
      </c>
      <c r="G48" s="373">
        <f>2*2</f>
        <v>4</v>
      </c>
      <c r="H48" s="374">
        <v>5</v>
      </c>
      <c r="I48" s="375">
        <v>0.74</v>
      </c>
      <c r="J48" s="376">
        <f t="shared" si="26"/>
        <v>2.96</v>
      </c>
      <c r="K48" s="66">
        <f t="shared" si="15"/>
        <v>0.45583999999999997</v>
      </c>
      <c r="L48" s="63">
        <f t="shared" si="16"/>
        <v>0</v>
      </c>
      <c r="M48" s="63">
        <f t="shared" si="17"/>
        <v>0</v>
      </c>
      <c r="N48" s="63">
        <f t="shared" si="18"/>
        <v>0</v>
      </c>
      <c r="O48" s="63">
        <f t="shared" si="19"/>
        <v>0</v>
      </c>
      <c r="P48" s="63">
        <f t="shared" si="20"/>
        <v>0</v>
      </c>
      <c r="Q48" s="562">
        <f t="shared" si="21"/>
        <v>0</v>
      </c>
      <c r="R48" s="377"/>
      <c r="S48" s="527"/>
      <c r="Z48" s="82"/>
    </row>
    <row r="49" spans="3:26" s="16" customFormat="1" ht="15" customHeight="1" thickBot="1" x14ac:dyDescent="0.3">
      <c r="C49" s="34"/>
      <c r="D49" s="731"/>
      <c r="E49" s="390" t="s">
        <v>184</v>
      </c>
      <c r="F49" s="391">
        <v>20</v>
      </c>
      <c r="G49" s="392">
        <f>2*6</f>
        <v>12</v>
      </c>
      <c r="H49" s="393">
        <v>12.5</v>
      </c>
      <c r="I49" s="394">
        <v>1.02</v>
      </c>
      <c r="J49" s="395">
        <f t="shared" si="26"/>
        <v>12.24</v>
      </c>
      <c r="K49" s="221">
        <f t="shared" si="15"/>
        <v>0</v>
      </c>
      <c r="L49" s="222">
        <f t="shared" si="16"/>
        <v>0</v>
      </c>
      <c r="M49" s="222">
        <f t="shared" si="17"/>
        <v>0</v>
      </c>
      <c r="N49" s="222">
        <f t="shared" si="18"/>
        <v>0</v>
      </c>
      <c r="O49" s="222">
        <f t="shared" si="19"/>
        <v>11.78712</v>
      </c>
      <c r="P49" s="222">
        <f t="shared" si="20"/>
        <v>0</v>
      </c>
      <c r="Q49" s="564">
        <f t="shared" si="21"/>
        <v>0</v>
      </c>
      <c r="R49" s="539"/>
      <c r="S49" s="527"/>
      <c r="Z49" s="82"/>
    </row>
    <row r="50" spans="3:26" ht="13.8" thickTop="1" x14ac:dyDescent="0.25">
      <c r="D50" s="780" t="s">
        <v>1247</v>
      </c>
      <c r="E50" s="396" t="s">
        <v>49</v>
      </c>
      <c r="F50" s="403">
        <v>7</v>
      </c>
      <c r="G50" s="397">
        <f>9*2</f>
        <v>18</v>
      </c>
      <c r="H50" s="398">
        <v>5</v>
      </c>
      <c r="I50" s="399">
        <v>0.34</v>
      </c>
      <c r="J50" s="400">
        <f t="shared" si="22"/>
        <v>6.12</v>
      </c>
      <c r="K50" s="401">
        <f t="shared" si="15"/>
        <v>0.94247999999999998</v>
      </c>
      <c r="L50" s="196">
        <f t="shared" si="16"/>
        <v>0</v>
      </c>
      <c r="M50" s="196">
        <f t="shared" si="17"/>
        <v>0</v>
      </c>
      <c r="N50" s="196">
        <f t="shared" si="18"/>
        <v>0</v>
      </c>
      <c r="O50" s="196">
        <f t="shared" si="19"/>
        <v>0</v>
      </c>
      <c r="P50" s="196">
        <f t="shared" si="20"/>
        <v>0</v>
      </c>
      <c r="Q50" s="565">
        <f t="shared" si="21"/>
        <v>0</v>
      </c>
      <c r="R50" s="197"/>
    </row>
    <row r="51" spans="3:26" ht="15" customHeight="1" x14ac:dyDescent="0.25">
      <c r="D51" s="781"/>
      <c r="E51" s="371" t="s">
        <v>49</v>
      </c>
      <c r="F51" s="372">
        <v>8</v>
      </c>
      <c r="G51" s="373">
        <f>5*2</f>
        <v>10</v>
      </c>
      <c r="H51" s="374">
        <v>5</v>
      </c>
      <c r="I51" s="375">
        <v>1.17</v>
      </c>
      <c r="J51" s="376">
        <f t="shared" si="22"/>
        <v>11.7</v>
      </c>
      <c r="K51" s="66">
        <f t="shared" si="15"/>
        <v>1.8017999999999998</v>
      </c>
      <c r="L51" s="63">
        <f t="shared" si="16"/>
        <v>0</v>
      </c>
      <c r="M51" s="63">
        <f t="shared" si="17"/>
        <v>0</v>
      </c>
      <c r="N51" s="63">
        <f t="shared" si="18"/>
        <v>0</v>
      </c>
      <c r="O51" s="63">
        <f t="shared" si="19"/>
        <v>0</v>
      </c>
      <c r="P51" s="63">
        <f t="shared" si="20"/>
        <v>0</v>
      </c>
      <c r="Q51" s="561">
        <f t="shared" si="21"/>
        <v>0</v>
      </c>
      <c r="R51" s="174"/>
      <c r="S51" s="26"/>
    </row>
    <row r="52" spans="3:26" ht="15" customHeight="1" x14ac:dyDescent="0.25">
      <c r="D52" s="781"/>
      <c r="E52" s="371" t="s">
        <v>49</v>
      </c>
      <c r="F52" s="372">
        <v>9</v>
      </c>
      <c r="G52" s="373">
        <f>8*2</f>
        <v>16</v>
      </c>
      <c r="H52" s="374">
        <v>5</v>
      </c>
      <c r="I52" s="375">
        <v>0.84</v>
      </c>
      <c r="J52" s="376">
        <f t="shared" si="22"/>
        <v>13.44</v>
      </c>
      <c r="K52" s="66">
        <f t="shared" si="15"/>
        <v>2.06976</v>
      </c>
      <c r="L52" s="63">
        <f t="shared" si="16"/>
        <v>0</v>
      </c>
      <c r="M52" s="63">
        <f t="shared" si="17"/>
        <v>0</v>
      </c>
      <c r="N52" s="63">
        <f t="shared" si="18"/>
        <v>0</v>
      </c>
      <c r="O52" s="63">
        <f t="shared" si="19"/>
        <v>0</v>
      </c>
      <c r="P52" s="63">
        <f t="shared" si="20"/>
        <v>0</v>
      </c>
      <c r="Q52" s="561">
        <f t="shared" si="21"/>
        <v>0</v>
      </c>
      <c r="R52" s="174"/>
      <c r="S52" s="26"/>
    </row>
    <row r="53" spans="3:26" ht="15" customHeight="1" x14ac:dyDescent="0.25">
      <c r="D53" s="781"/>
      <c r="E53" s="371" t="s">
        <v>49</v>
      </c>
      <c r="F53" s="372">
        <v>38</v>
      </c>
      <c r="G53" s="373">
        <f>6*2</f>
        <v>12</v>
      </c>
      <c r="H53" s="374">
        <v>12.5</v>
      </c>
      <c r="I53" s="375">
        <v>1.5</v>
      </c>
      <c r="J53" s="376">
        <f t="shared" ref="J53" si="27">G53*I53</f>
        <v>18</v>
      </c>
      <c r="K53" s="66">
        <f t="shared" si="15"/>
        <v>0</v>
      </c>
      <c r="L53" s="63">
        <f t="shared" si="16"/>
        <v>0</v>
      </c>
      <c r="M53" s="63">
        <f t="shared" si="17"/>
        <v>0</v>
      </c>
      <c r="N53" s="63">
        <f t="shared" si="18"/>
        <v>0</v>
      </c>
      <c r="O53" s="63">
        <f t="shared" si="19"/>
        <v>17.334</v>
      </c>
      <c r="P53" s="63">
        <f t="shared" si="20"/>
        <v>0</v>
      </c>
      <c r="Q53" s="561">
        <f t="shared" si="21"/>
        <v>0</v>
      </c>
      <c r="R53" s="174"/>
      <c r="S53" s="26"/>
    </row>
    <row r="54" spans="3:26" ht="15" customHeight="1" x14ac:dyDescent="0.25">
      <c r="D54" s="781"/>
      <c r="E54" s="371" t="s">
        <v>113</v>
      </c>
      <c r="F54" s="372">
        <v>7</v>
      </c>
      <c r="G54" s="373">
        <f>2*27</f>
        <v>54</v>
      </c>
      <c r="H54" s="374">
        <v>5</v>
      </c>
      <c r="I54" s="375">
        <v>0.34</v>
      </c>
      <c r="J54" s="376">
        <f t="shared" si="22"/>
        <v>18.360000000000003</v>
      </c>
      <c r="K54" s="66">
        <f t="shared" si="15"/>
        <v>2.8274400000000006</v>
      </c>
      <c r="L54" s="63">
        <f t="shared" si="16"/>
        <v>0</v>
      </c>
      <c r="M54" s="63">
        <f t="shared" si="17"/>
        <v>0</v>
      </c>
      <c r="N54" s="63">
        <f t="shared" si="18"/>
        <v>0</v>
      </c>
      <c r="O54" s="63">
        <f t="shared" si="19"/>
        <v>0</v>
      </c>
      <c r="P54" s="63">
        <f t="shared" si="20"/>
        <v>0</v>
      </c>
      <c r="Q54" s="561">
        <f t="shared" si="21"/>
        <v>0</v>
      </c>
      <c r="R54" s="174"/>
      <c r="S54" s="26"/>
    </row>
    <row r="55" spans="3:26" ht="15" customHeight="1" x14ac:dyDescent="0.25">
      <c r="D55" s="781"/>
      <c r="E55" s="371" t="s">
        <v>113</v>
      </c>
      <c r="F55" s="372">
        <v>8</v>
      </c>
      <c r="G55" s="373">
        <f>2*23</f>
        <v>46</v>
      </c>
      <c r="H55" s="374">
        <v>5</v>
      </c>
      <c r="I55" s="375">
        <v>1.17</v>
      </c>
      <c r="J55" s="376">
        <f t="shared" ref="J55" si="28">G55*I55</f>
        <v>53.819999999999993</v>
      </c>
      <c r="K55" s="66">
        <f t="shared" si="15"/>
        <v>8.2882799999999985</v>
      </c>
      <c r="L55" s="63">
        <f t="shared" si="16"/>
        <v>0</v>
      </c>
      <c r="M55" s="63">
        <f t="shared" si="17"/>
        <v>0</v>
      </c>
      <c r="N55" s="63">
        <f t="shared" si="18"/>
        <v>0</v>
      </c>
      <c r="O55" s="63">
        <f t="shared" si="19"/>
        <v>0</v>
      </c>
      <c r="P55" s="63">
        <f t="shared" si="20"/>
        <v>0</v>
      </c>
      <c r="Q55" s="561">
        <f t="shared" si="21"/>
        <v>0</v>
      </c>
      <c r="R55" s="174"/>
      <c r="S55" s="26"/>
    </row>
    <row r="56" spans="3:26" ht="15" customHeight="1" x14ac:dyDescent="0.25">
      <c r="D56" s="781"/>
      <c r="E56" s="371" t="s">
        <v>113</v>
      </c>
      <c r="F56" s="372">
        <v>9</v>
      </c>
      <c r="G56" s="373">
        <f>2*8</f>
        <v>16</v>
      </c>
      <c r="H56" s="374">
        <v>5</v>
      </c>
      <c r="I56" s="375">
        <v>0.84</v>
      </c>
      <c r="J56" s="376">
        <f t="shared" si="22"/>
        <v>13.44</v>
      </c>
      <c r="K56" s="66">
        <f t="shared" si="15"/>
        <v>2.06976</v>
      </c>
      <c r="L56" s="63">
        <f t="shared" si="16"/>
        <v>0</v>
      </c>
      <c r="M56" s="63">
        <f t="shared" si="17"/>
        <v>0</v>
      </c>
      <c r="N56" s="63">
        <f t="shared" si="18"/>
        <v>0</v>
      </c>
      <c r="O56" s="63">
        <f t="shared" si="19"/>
        <v>0</v>
      </c>
      <c r="P56" s="63">
        <f t="shared" si="20"/>
        <v>0</v>
      </c>
      <c r="Q56" s="561">
        <f t="shared" si="21"/>
        <v>0</v>
      </c>
      <c r="R56" s="174"/>
      <c r="S56" s="26"/>
    </row>
    <row r="57" spans="3:26" ht="15" customHeight="1" x14ac:dyDescent="0.25">
      <c r="D57" s="782"/>
      <c r="E57" s="378" t="s">
        <v>113</v>
      </c>
      <c r="F57" s="379">
        <v>26</v>
      </c>
      <c r="G57" s="380">
        <f>2*6</f>
        <v>12</v>
      </c>
      <c r="H57" s="381">
        <v>12.5</v>
      </c>
      <c r="I57" s="382">
        <v>3.87</v>
      </c>
      <c r="J57" s="383">
        <f t="shared" si="22"/>
        <v>46.44</v>
      </c>
      <c r="K57" s="194">
        <f t="shared" si="15"/>
        <v>0</v>
      </c>
      <c r="L57" s="195">
        <f t="shared" si="16"/>
        <v>0</v>
      </c>
      <c r="M57" s="195">
        <f t="shared" si="17"/>
        <v>0</v>
      </c>
      <c r="N57" s="195">
        <f t="shared" si="18"/>
        <v>0</v>
      </c>
      <c r="O57" s="195">
        <f t="shared" si="19"/>
        <v>44.721719999999998</v>
      </c>
      <c r="P57" s="195">
        <f t="shared" si="20"/>
        <v>0</v>
      </c>
      <c r="Q57" s="562">
        <f t="shared" si="21"/>
        <v>0</v>
      </c>
      <c r="R57" s="402"/>
      <c r="S57" s="26"/>
    </row>
    <row r="58" spans="3:26" s="16" customFormat="1" ht="15" customHeight="1" x14ac:dyDescent="0.25">
      <c r="C58" s="34"/>
      <c r="D58" s="540"/>
      <c r="E58" s="371" t="s">
        <v>184</v>
      </c>
      <c r="F58" s="372">
        <v>7</v>
      </c>
      <c r="G58" s="373">
        <f>2*7</f>
        <v>14</v>
      </c>
      <c r="H58" s="374">
        <v>5</v>
      </c>
      <c r="I58" s="375">
        <v>0.34</v>
      </c>
      <c r="J58" s="376">
        <f t="shared" si="22"/>
        <v>4.7600000000000007</v>
      </c>
      <c r="K58" s="66">
        <f t="shared" si="15"/>
        <v>0.73304000000000014</v>
      </c>
      <c r="L58" s="63">
        <f t="shared" si="16"/>
        <v>0</v>
      </c>
      <c r="M58" s="63">
        <f t="shared" si="17"/>
        <v>0</v>
      </c>
      <c r="N58" s="63">
        <f t="shared" si="18"/>
        <v>0</v>
      </c>
      <c r="O58" s="63">
        <f t="shared" si="19"/>
        <v>0</v>
      </c>
      <c r="P58" s="63">
        <f t="shared" si="20"/>
        <v>0</v>
      </c>
      <c r="Q58" s="562">
        <f t="shared" si="21"/>
        <v>0</v>
      </c>
      <c r="R58" s="377"/>
      <c r="S58" s="527"/>
      <c r="Z58" s="82"/>
    </row>
    <row r="59" spans="3:26" s="16" customFormat="1" ht="15" customHeight="1" x14ac:dyDescent="0.25">
      <c r="C59" s="34"/>
      <c r="D59" s="540"/>
      <c r="E59" s="371" t="s">
        <v>184</v>
      </c>
      <c r="F59" s="372">
        <v>8</v>
      </c>
      <c r="G59" s="373">
        <f>2*6</f>
        <v>12</v>
      </c>
      <c r="H59" s="374">
        <v>5</v>
      </c>
      <c r="I59" s="375">
        <v>1.17</v>
      </c>
      <c r="J59" s="376">
        <f t="shared" si="22"/>
        <v>14.04</v>
      </c>
      <c r="K59" s="66">
        <f t="shared" si="15"/>
        <v>2.1621599999999996</v>
      </c>
      <c r="L59" s="63">
        <f t="shared" si="16"/>
        <v>0</v>
      </c>
      <c r="M59" s="63">
        <f t="shared" si="17"/>
        <v>0</v>
      </c>
      <c r="N59" s="63">
        <f t="shared" si="18"/>
        <v>0</v>
      </c>
      <c r="O59" s="63">
        <f t="shared" si="19"/>
        <v>0</v>
      </c>
      <c r="P59" s="63">
        <f t="shared" si="20"/>
        <v>0</v>
      </c>
      <c r="Q59" s="562">
        <f t="shared" si="21"/>
        <v>0</v>
      </c>
      <c r="R59" s="377"/>
      <c r="S59" s="527"/>
      <c r="Z59" s="82"/>
    </row>
    <row r="60" spans="3:26" s="16" customFormat="1" ht="15" customHeight="1" x14ac:dyDescent="0.25">
      <c r="C60" s="34"/>
      <c r="D60" s="540"/>
      <c r="E60" s="371" t="s">
        <v>184</v>
      </c>
      <c r="F60" s="372">
        <v>9</v>
      </c>
      <c r="G60" s="373">
        <f>2*2</f>
        <v>4</v>
      </c>
      <c r="H60" s="374">
        <v>5</v>
      </c>
      <c r="I60" s="375">
        <v>0.84</v>
      </c>
      <c r="J60" s="376">
        <f t="shared" si="22"/>
        <v>3.36</v>
      </c>
      <c r="K60" s="66">
        <f t="shared" si="15"/>
        <v>0.51744000000000001</v>
      </c>
      <c r="L60" s="63">
        <f t="shared" si="16"/>
        <v>0</v>
      </c>
      <c r="M60" s="63">
        <f t="shared" si="17"/>
        <v>0</v>
      </c>
      <c r="N60" s="63">
        <f t="shared" si="18"/>
        <v>0</v>
      </c>
      <c r="O60" s="63">
        <f t="shared" si="19"/>
        <v>0</v>
      </c>
      <c r="P60" s="63">
        <f t="shared" si="20"/>
        <v>0</v>
      </c>
      <c r="Q60" s="562">
        <f t="shared" si="21"/>
        <v>0</v>
      </c>
      <c r="R60" s="377"/>
      <c r="S60" s="527"/>
      <c r="Z60" s="82"/>
    </row>
    <row r="61" spans="3:26" s="16" customFormat="1" ht="15" customHeight="1" thickBot="1" x14ac:dyDescent="0.3">
      <c r="C61" s="34"/>
      <c r="D61" s="540"/>
      <c r="E61" s="390" t="s">
        <v>184</v>
      </c>
      <c r="F61" s="391">
        <v>20</v>
      </c>
      <c r="G61" s="392">
        <f>2*6</f>
        <v>12</v>
      </c>
      <c r="H61" s="393">
        <v>12.5</v>
      </c>
      <c r="I61" s="394">
        <v>1.02</v>
      </c>
      <c r="J61" s="395">
        <f t="shared" si="22"/>
        <v>12.24</v>
      </c>
      <c r="K61" s="221">
        <f t="shared" si="15"/>
        <v>0</v>
      </c>
      <c r="L61" s="222">
        <f t="shared" si="16"/>
        <v>0</v>
      </c>
      <c r="M61" s="222">
        <f t="shared" si="17"/>
        <v>0</v>
      </c>
      <c r="N61" s="222">
        <f t="shared" si="18"/>
        <v>0</v>
      </c>
      <c r="O61" s="222">
        <f t="shared" si="19"/>
        <v>11.78712</v>
      </c>
      <c r="P61" s="222">
        <f t="shared" si="20"/>
        <v>0</v>
      </c>
      <c r="Q61" s="564">
        <f t="shared" si="21"/>
        <v>0</v>
      </c>
      <c r="R61" s="539"/>
      <c r="S61" s="527"/>
      <c r="Z61" s="82"/>
    </row>
    <row r="62" spans="3:26" s="16" customFormat="1" ht="15" customHeight="1" thickTop="1" x14ac:dyDescent="0.25">
      <c r="C62" s="34"/>
      <c r="D62" s="728" t="s">
        <v>1259</v>
      </c>
      <c r="E62" s="396" t="s">
        <v>184</v>
      </c>
      <c r="F62" s="403">
        <v>10</v>
      </c>
      <c r="G62" s="397">
        <f>2*8</f>
        <v>16</v>
      </c>
      <c r="H62" s="398">
        <v>5</v>
      </c>
      <c r="I62" s="399">
        <v>0.87</v>
      </c>
      <c r="J62" s="400">
        <f t="shared" ref="J62:J72" si="29">G62*I62</f>
        <v>13.92</v>
      </c>
      <c r="K62" s="401">
        <f t="shared" si="15"/>
        <v>2.1436799999999998</v>
      </c>
      <c r="L62" s="196">
        <f t="shared" si="16"/>
        <v>0</v>
      </c>
      <c r="M62" s="196">
        <f t="shared" si="17"/>
        <v>0</v>
      </c>
      <c r="N62" s="196">
        <f t="shared" si="18"/>
        <v>0</v>
      </c>
      <c r="O62" s="196">
        <f t="shared" si="19"/>
        <v>0</v>
      </c>
      <c r="P62" s="196">
        <f t="shared" si="20"/>
        <v>0</v>
      </c>
      <c r="Q62" s="566">
        <f t="shared" si="21"/>
        <v>0</v>
      </c>
      <c r="R62" s="538"/>
      <c r="S62" s="527"/>
      <c r="Z62" s="82"/>
    </row>
    <row r="63" spans="3:26" s="16" customFormat="1" ht="15" customHeight="1" x14ac:dyDescent="0.25">
      <c r="C63" s="34"/>
      <c r="D63" s="729"/>
      <c r="E63" s="371" t="s">
        <v>184</v>
      </c>
      <c r="F63" s="372">
        <v>11</v>
      </c>
      <c r="G63" s="373">
        <f>2*4</f>
        <v>8</v>
      </c>
      <c r="H63" s="374">
        <v>5</v>
      </c>
      <c r="I63" s="375">
        <v>0.69</v>
      </c>
      <c r="J63" s="376">
        <f t="shared" si="29"/>
        <v>5.52</v>
      </c>
      <c r="K63" s="66">
        <f t="shared" si="15"/>
        <v>0.85007999999999995</v>
      </c>
      <c r="L63" s="63">
        <f t="shared" si="16"/>
        <v>0</v>
      </c>
      <c r="M63" s="63">
        <f t="shared" si="17"/>
        <v>0</v>
      </c>
      <c r="N63" s="63">
        <f t="shared" si="18"/>
        <v>0</v>
      </c>
      <c r="O63" s="63">
        <f t="shared" si="19"/>
        <v>0</v>
      </c>
      <c r="P63" s="63">
        <f t="shared" si="20"/>
        <v>0</v>
      </c>
      <c r="Q63" s="562">
        <f t="shared" si="21"/>
        <v>0</v>
      </c>
      <c r="R63" s="377"/>
      <c r="S63" s="527"/>
      <c r="Z63" s="82"/>
    </row>
    <row r="64" spans="3:26" s="16" customFormat="1" ht="15" customHeight="1" thickBot="1" x14ac:dyDescent="0.3">
      <c r="C64" s="34"/>
      <c r="D64" s="731"/>
      <c r="E64" s="390" t="s">
        <v>184</v>
      </c>
      <c r="F64" s="391">
        <v>19</v>
      </c>
      <c r="G64" s="392">
        <f>2*4</f>
        <v>8</v>
      </c>
      <c r="H64" s="393">
        <v>10</v>
      </c>
      <c r="I64" s="394">
        <v>1.02</v>
      </c>
      <c r="J64" s="395">
        <f t="shared" si="29"/>
        <v>8.16</v>
      </c>
      <c r="K64" s="221">
        <f t="shared" si="15"/>
        <v>0</v>
      </c>
      <c r="L64" s="222">
        <f t="shared" si="16"/>
        <v>0</v>
      </c>
      <c r="M64" s="222">
        <f t="shared" si="17"/>
        <v>0</v>
      </c>
      <c r="N64" s="222">
        <f t="shared" si="18"/>
        <v>5.0347200000000001</v>
      </c>
      <c r="O64" s="222">
        <f t="shared" si="19"/>
        <v>0</v>
      </c>
      <c r="P64" s="222">
        <f t="shared" si="20"/>
        <v>0</v>
      </c>
      <c r="Q64" s="564">
        <f t="shared" si="21"/>
        <v>0</v>
      </c>
      <c r="R64" s="539"/>
      <c r="S64" s="527"/>
      <c r="Z64" s="82"/>
    </row>
    <row r="65" spans="1:28" s="16" customFormat="1" ht="15.6" customHeight="1" thickTop="1" thickBot="1" x14ac:dyDescent="0.3">
      <c r="D65" s="776" t="s">
        <v>196</v>
      </c>
      <c r="E65" s="777"/>
      <c r="F65" s="777"/>
      <c r="G65" s="777"/>
      <c r="H65" s="777"/>
      <c r="I65" s="777"/>
      <c r="J65" s="777"/>
      <c r="K65" s="777"/>
      <c r="L65" s="777"/>
      <c r="M65" s="777"/>
      <c r="N65" s="777"/>
      <c r="O65" s="777"/>
      <c r="P65" s="777"/>
      <c r="Q65" s="777"/>
      <c r="R65" s="777"/>
      <c r="S65" s="530"/>
    </row>
    <row r="66" spans="1:28" ht="13.8" thickTop="1" x14ac:dyDescent="0.25">
      <c r="D66" s="728" t="s">
        <v>1271</v>
      </c>
      <c r="E66" s="384" t="s">
        <v>49</v>
      </c>
      <c r="F66" s="385">
        <v>1</v>
      </c>
      <c r="G66" s="386">
        <f>12</f>
        <v>12</v>
      </c>
      <c r="H66" s="387">
        <v>5</v>
      </c>
      <c r="I66" s="388">
        <v>0.24</v>
      </c>
      <c r="J66" s="389">
        <f t="shared" si="29"/>
        <v>2.88</v>
      </c>
      <c r="K66" s="218">
        <f t="shared" si="15"/>
        <v>0.44351999999999997</v>
      </c>
      <c r="L66" s="219">
        <f t="shared" si="16"/>
        <v>0</v>
      </c>
      <c r="M66" s="219">
        <f t="shared" si="17"/>
        <v>0</v>
      </c>
      <c r="N66" s="219">
        <f t="shared" si="18"/>
        <v>0</v>
      </c>
      <c r="O66" s="219">
        <f t="shared" si="19"/>
        <v>0</v>
      </c>
      <c r="P66" s="219">
        <f t="shared" si="20"/>
        <v>0</v>
      </c>
      <c r="Q66" s="563">
        <f t="shared" si="21"/>
        <v>0</v>
      </c>
      <c r="R66" s="220"/>
    </row>
    <row r="67" spans="1:28" s="85" customFormat="1" x14ac:dyDescent="0.25">
      <c r="A67" s="82"/>
      <c r="B67" s="82"/>
      <c r="C67" s="82"/>
      <c r="D67" s="729"/>
      <c r="E67" s="371" t="s">
        <v>49</v>
      </c>
      <c r="F67" s="372">
        <v>2</v>
      </c>
      <c r="G67" s="373">
        <v>12</v>
      </c>
      <c r="H67" s="374">
        <v>5</v>
      </c>
      <c r="I67" s="375">
        <v>0.64</v>
      </c>
      <c r="J67" s="376">
        <f t="shared" si="29"/>
        <v>7.68</v>
      </c>
      <c r="K67" s="66">
        <f t="shared" si="15"/>
        <v>1.18272</v>
      </c>
      <c r="L67" s="63">
        <f t="shared" si="16"/>
        <v>0</v>
      </c>
      <c r="M67" s="63">
        <f t="shared" si="17"/>
        <v>0</v>
      </c>
      <c r="N67" s="63">
        <f t="shared" si="18"/>
        <v>0</v>
      </c>
      <c r="O67" s="63">
        <f t="shared" si="19"/>
        <v>0</v>
      </c>
      <c r="P67" s="63">
        <f t="shared" si="20"/>
        <v>0</v>
      </c>
      <c r="Q67" s="561">
        <f t="shared" si="21"/>
        <v>0</v>
      </c>
      <c r="R67" s="174"/>
      <c r="T67" s="82"/>
      <c r="U67" s="82"/>
      <c r="V67" s="82"/>
      <c r="W67" s="82"/>
      <c r="X67" s="82"/>
      <c r="Y67" s="82"/>
      <c r="Z67" s="82"/>
      <c r="AA67" s="82"/>
      <c r="AB67" s="82"/>
    </row>
    <row r="68" spans="1:28" s="85" customFormat="1" x14ac:dyDescent="0.25">
      <c r="A68" s="82"/>
      <c r="B68" s="82"/>
      <c r="C68" s="82"/>
      <c r="D68" s="729"/>
      <c r="E68" s="371" t="s">
        <v>49</v>
      </c>
      <c r="F68" s="372">
        <v>14</v>
      </c>
      <c r="G68" s="373">
        <v>8</v>
      </c>
      <c r="H68" s="374">
        <v>12.5</v>
      </c>
      <c r="I68" s="375">
        <v>1.45</v>
      </c>
      <c r="J68" s="376">
        <f t="shared" si="29"/>
        <v>11.6</v>
      </c>
      <c r="K68" s="66">
        <f t="shared" si="15"/>
        <v>0</v>
      </c>
      <c r="L68" s="63">
        <f t="shared" si="16"/>
        <v>0</v>
      </c>
      <c r="M68" s="63">
        <f t="shared" si="17"/>
        <v>0</v>
      </c>
      <c r="N68" s="63">
        <f t="shared" si="18"/>
        <v>0</v>
      </c>
      <c r="O68" s="63">
        <f t="shared" si="19"/>
        <v>11.1708</v>
      </c>
      <c r="P68" s="63">
        <f t="shared" si="20"/>
        <v>0</v>
      </c>
      <c r="Q68" s="561">
        <f t="shared" si="21"/>
        <v>0</v>
      </c>
      <c r="R68" s="174"/>
      <c r="T68" s="82"/>
      <c r="U68" s="82"/>
      <c r="V68" s="82"/>
      <c r="W68" s="82"/>
      <c r="X68" s="82"/>
      <c r="Y68" s="82"/>
      <c r="Z68" s="82"/>
      <c r="AA68" s="82"/>
      <c r="AB68" s="82"/>
    </row>
    <row r="69" spans="1:28" s="85" customFormat="1" x14ac:dyDescent="0.25">
      <c r="A69" s="82"/>
      <c r="B69" s="82"/>
      <c r="C69" s="82"/>
      <c r="D69" s="729"/>
      <c r="E69" s="371" t="s">
        <v>113</v>
      </c>
      <c r="F69" s="372">
        <v>1</v>
      </c>
      <c r="G69" s="373">
        <v>48</v>
      </c>
      <c r="H69" s="374">
        <v>5</v>
      </c>
      <c r="I69" s="375">
        <v>0.24</v>
      </c>
      <c r="J69" s="376">
        <f t="shared" si="29"/>
        <v>11.52</v>
      </c>
      <c r="K69" s="66">
        <f t="shared" si="15"/>
        <v>1.7740799999999999</v>
      </c>
      <c r="L69" s="63">
        <f t="shared" si="16"/>
        <v>0</v>
      </c>
      <c r="M69" s="63">
        <f t="shared" si="17"/>
        <v>0</v>
      </c>
      <c r="N69" s="63">
        <f t="shared" si="18"/>
        <v>0</v>
      </c>
      <c r="O69" s="63">
        <f t="shared" si="19"/>
        <v>0</v>
      </c>
      <c r="P69" s="63">
        <f t="shared" si="20"/>
        <v>0</v>
      </c>
      <c r="Q69" s="561">
        <f t="shared" si="21"/>
        <v>0</v>
      </c>
      <c r="R69" s="174"/>
      <c r="T69" s="82"/>
      <c r="U69" s="82"/>
      <c r="V69" s="82"/>
      <c r="W69" s="82"/>
      <c r="X69" s="82"/>
      <c r="Y69" s="82"/>
      <c r="Z69" s="82"/>
      <c r="AA69" s="82"/>
      <c r="AB69" s="82"/>
    </row>
    <row r="70" spans="1:28" s="85" customFormat="1" x14ac:dyDescent="0.25">
      <c r="A70" s="82"/>
      <c r="B70" s="82"/>
      <c r="C70" s="82"/>
      <c r="D70" s="729"/>
      <c r="E70" s="371" t="s">
        <v>113</v>
      </c>
      <c r="F70" s="372">
        <v>2</v>
      </c>
      <c r="G70" s="373">
        <v>20</v>
      </c>
      <c r="H70" s="374">
        <v>5</v>
      </c>
      <c r="I70" s="375">
        <v>0.97</v>
      </c>
      <c r="J70" s="376">
        <f t="shared" si="29"/>
        <v>19.399999999999999</v>
      </c>
      <c r="K70" s="66">
        <f t="shared" si="15"/>
        <v>2.9875999999999996</v>
      </c>
      <c r="L70" s="63">
        <f t="shared" si="16"/>
        <v>0</v>
      </c>
      <c r="M70" s="63">
        <f t="shared" si="17"/>
        <v>0</v>
      </c>
      <c r="N70" s="63">
        <f t="shared" si="18"/>
        <v>0</v>
      </c>
      <c r="O70" s="63">
        <f t="shared" si="19"/>
        <v>0</v>
      </c>
      <c r="P70" s="63">
        <f t="shared" si="20"/>
        <v>0</v>
      </c>
      <c r="Q70" s="561">
        <f t="shared" si="21"/>
        <v>0</v>
      </c>
      <c r="R70" s="174"/>
      <c r="T70" s="82"/>
      <c r="U70" s="82"/>
      <c r="V70" s="82"/>
      <c r="W70" s="82"/>
      <c r="X70" s="82"/>
      <c r="Y70" s="82"/>
      <c r="Z70" s="82"/>
      <c r="AA70" s="82"/>
      <c r="AB70" s="82"/>
    </row>
    <row r="71" spans="1:28" s="85" customFormat="1" x14ac:dyDescent="0.25">
      <c r="A71" s="82"/>
      <c r="B71" s="82"/>
      <c r="C71" s="82"/>
      <c r="D71" s="729"/>
      <c r="E71" s="371" t="s">
        <v>113</v>
      </c>
      <c r="F71" s="372">
        <v>3</v>
      </c>
      <c r="G71" s="373">
        <v>8</v>
      </c>
      <c r="H71" s="374">
        <v>5</v>
      </c>
      <c r="I71" s="375">
        <v>0.64</v>
      </c>
      <c r="J71" s="376">
        <f t="shared" si="29"/>
        <v>5.12</v>
      </c>
      <c r="K71" s="66">
        <f t="shared" si="15"/>
        <v>0.78847999999999996</v>
      </c>
      <c r="L71" s="63">
        <f t="shared" si="16"/>
        <v>0</v>
      </c>
      <c r="M71" s="63">
        <f t="shared" si="17"/>
        <v>0</v>
      </c>
      <c r="N71" s="63">
        <f t="shared" si="18"/>
        <v>0</v>
      </c>
      <c r="O71" s="63">
        <f t="shared" si="19"/>
        <v>0</v>
      </c>
      <c r="P71" s="63">
        <f t="shared" si="20"/>
        <v>0</v>
      </c>
      <c r="Q71" s="561">
        <f t="shared" si="21"/>
        <v>0</v>
      </c>
      <c r="R71" s="174"/>
      <c r="T71" s="82"/>
      <c r="U71" s="82"/>
      <c r="V71" s="82"/>
      <c r="W71" s="82"/>
      <c r="X71" s="82"/>
      <c r="Y71" s="82"/>
      <c r="Z71" s="82"/>
      <c r="AA71" s="82"/>
      <c r="AB71" s="82"/>
    </row>
    <row r="72" spans="1:28" s="85" customFormat="1" x14ac:dyDescent="0.25">
      <c r="A72" s="82"/>
      <c r="B72" s="82"/>
      <c r="C72" s="82"/>
      <c r="D72" s="729"/>
      <c r="E72" s="371" t="s">
        <v>113</v>
      </c>
      <c r="F72" s="372">
        <v>40</v>
      </c>
      <c r="G72" s="373">
        <v>8</v>
      </c>
      <c r="H72" s="374">
        <v>12.5</v>
      </c>
      <c r="I72" s="375">
        <v>3.42</v>
      </c>
      <c r="J72" s="376">
        <f t="shared" si="29"/>
        <v>27.36</v>
      </c>
      <c r="K72" s="66">
        <f t="shared" si="15"/>
        <v>0</v>
      </c>
      <c r="L72" s="63">
        <f t="shared" si="16"/>
        <v>0</v>
      </c>
      <c r="M72" s="63">
        <f t="shared" si="17"/>
        <v>0</v>
      </c>
      <c r="N72" s="63">
        <f t="shared" si="18"/>
        <v>0</v>
      </c>
      <c r="O72" s="63">
        <f t="shared" si="19"/>
        <v>26.347679999999997</v>
      </c>
      <c r="P72" s="63">
        <f t="shared" si="20"/>
        <v>0</v>
      </c>
      <c r="Q72" s="561">
        <f t="shared" si="21"/>
        <v>0</v>
      </c>
      <c r="R72" s="174"/>
      <c r="T72" s="82"/>
      <c r="U72" s="82"/>
      <c r="V72" s="82"/>
      <c r="W72" s="82"/>
      <c r="X72" s="82"/>
      <c r="Y72" s="82"/>
      <c r="Z72" s="82"/>
      <c r="AA72" s="82"/>
      <c r="AB72" s="82"/>
    </row>
    <row r="73" spans="1:28" s="85" customFormat="1" x14ac:dyDescent="0.25">
      <c r="A73" s="82"/>
      <c r="B73" s="82"/>
      <c r="C73" s="82"/>
      <c r="D73" s="729"/>
      <c r="E73" s="396" t="s">
        <v>184</v>
      </c>
      <c r="F73" s="403"/>
      <c r="G73" s="397"/>
      <c r="H73" s="398"/>
      <c r="I73" s="399"/>
      <c r="J73" s="400">
        <f t="shared" ref="J73:J84" si="30">G73*I73</f>
        <v>0</v>
      </c>
      <c r="K73" s="401">
        <f t="shared" si="15"/>
        <v>0</v>
      </c>
      <c r="L73" s="196">
        <f t="shared" si="16"/>
        <v>0</v>
      </c>
      <c r="M73" s="196">
        <f t="shared" si="17"/>
        <v>0</v>
      </c>
      <c r="N73" s="196">
        <f t="shared" si="18"/>
        <v>0</v>
      </c>
      <c r="O73" s="196">
        <f t="shared" si="19"/>
        <v>0</v>
      </c>
      <c r="P73" s="196">
        <f t="shared" si="20"/>
        <v>0</v>
      </c>
      <c r="Q73" s="566">
        <f t="shared" si="21"/>
        <v>0</v>
      </c>
      <c r="R73" s="538"/>
      <c r="T73" s="82"/>
      <c r="U73" s="82"/>
      <c r="V73" s="82"/>
      <c r="W73" s="82"/>
      <c r="X73" s="82"/>
      <c r="Y73" s="82"/>
      <c r="Z73" s="82"/>
      <c r="AA73" s="82"/>
      <c r="AB73" s="82"/>
    </row>
    <row r="74" spans="1:28" s="85" customFormat="1" x14ac:dyDescent="0.25">
      <c r="A74" s="82"/>
      <c r="B74" s="82"/>
      <c r="C74" s="82"/>
      <c r="D74" s="729"/>
      <c r="E74" s="371" t="s">
        <v>184</v>
      </c>
      <c r="F74" s="372"/>
      <c r="G74" s="373"/>
      <c r="H74" s="374"/>
      <c r="I74" s="375"/>
      <c r="J74" s="376">
        <f t="shared" si="30"/>
        <v>0</v>
      </c>
      <c r="K74" s="66">
        <f t="shared" si="15"/>
        <v>0</v>
      </c>
      <c r="L74" s="63">
        <f t="shared" si="16"/>
        <v>0</v>
      </c>
      <c r="M74" s="63">
        <f t="shared" si="17"/>
        <v>0</v>
      </c>
      <c r="N74" s="63">
        <f t="shared" si="18"/>
        <v>0</v>
      </c>
      <c r="O74" s="63">
        <f t="shared" si="19"/>
        <v>0</v>
      </c>
      <c r="P74" s="63">
        <f t="shared" si="20"/>
        <v>0</v>
      </c>
      <c r="Q74" s="562">
        <f t="shared" si="21"/>
        <v>0</v>
      </c>
      <c r="R74" s="377"/>
      <c r="T74" s="82"/>
      <c r="U74" s="82"/>
      <c r="V74" s="82"/>
      <c r="W74" s="82"/>
      <c r="X74" s="82"/>
      <c r="Y74" s="82"/>
      <c r="Z74" s="82"/>
      <c r="AA74" s="82"/>
      <c r="AB74" s="82"/>
    </row>
    <row r="75" spans="1:28" s="85" customFormat="1" x14ac:dyDescent="0.25">
      <c r="A75" s="82"/>
      <c r="B75" s="82"/>
      <c r="C75" s="82"/>
      <c r="D75" s="729"/>
      <c r="E75" s="371" t="s">
        <v>184</v>
      </c>
      <c r="F75" s="372"/>
      <c r="G75" s="373"/>
      <c r="H75" s="374"/>
      <c r="I75" s="375"/>
      <c r="J75" s="376">
        <f t="shared" si="30"/>
        <v>0</v>
      </c>
      <c r="K75" s="66">
        <f t="shared" si="15"/>
        <v>0</v>
      </c>
      <c r="L75" s="63">
        <f t="shared" si="16"/>
        <v>0</v>
      </c>
      <c r="M75" s="63">
        <f t="shared" si="17"/>
        <v>0</v>
      </c>
      <c r="N75" s="63">
        <f t="shared" si="18"/>
        <v>0</v>
      </c>
      <c r="O75" s="63">
        <f t="shared" si="19"/>
        <v>0</v>
      </c>
      <c r="P75" s="63">
        <f t="shared" si="20"/>
        <v>0</v>
      </c>
      <c r="Q75" s="562">
        <f t="shared" si="21"/>
        <v>0</v>
      </c>
      <c r="R75" s="377"/>
      <c r="T75" s="82"/>
      <c r="U75" s="82"/>
      <c r="V75" s="82"/>
      <c r="W75" s="82"/>
      <c r="X75" s="82"/>
      <c r="Y75" s="82"/>
      <c r="Z75" s="82"/>
      <c r="AA75" s="82"/>
      <c r="AB75" s="82"/>
    </row>
    <row r="76" spans="1:28" s="85" customFormat="1" ht="13.8" thickBot="1" x14ac:dyDescent="0.3">
      <c r="A76" s="82"/>
      <c r="B76" s="82"/>
      <c r="C76" s="82"/>
      <c r="D76" s="731"/>
      <c r="E76" s="390" t="s">
        <v>184</v>
      </c>
      <c r="F76" s="391"/>
      <c r="G76" s="392"/>
      <c r="H76" s="393"/>
      <c r="I76" s="394"/>
      <c r="J76" s="395">
        <f t="shared" si="30"/>
        <v>0</v>
      </c>
      <c r="K76" s="221">
        <f t="shared" si="15"/>
        <v>0</v>
      </c>
      <c r="L76" s="222">
        <f t="shared" si="16"/>
        <v>0</v>
      </c>
      <c r="M76" s="222">
        <f t="shared" si="17"/>
        <v>0</v>
      </c>
      <c r="N76" s="222">
        <f t="shared" si="18"/>
        <v>0</v>
      </c>
      <c r="O76" s="222">
        <f t="shared" si="19"/>
        <v>0</v>
      </c>
      <c r="P76" s="222">
        <f t="shared" si="20"/>
        <v>0</v>
      </c>
      <c r="Q76" s="564">
        <f t="shared" si="21"/>
        <v>0</v>
      </c>
      <c r="R76" s="539"/>
      <c r="T76" s="82"/>
      <c r="U76" s="82"/>
      <c r="V76" s="82"/>
      <c r="W76" s="82"/>
      <c r="X76" s="82"/>
      <c r="Y76" s="82"/>
      <c r="Z76" s="82"/>
      <c r="AA76" s="82"/>
      <c r="AB76" s="82"/>
    </row>
    <row r="77" spans="1:28" s="85" customFormat="1" ht="13.8" thickTop="1" x14ac:dyDescent="0.25">
      <c r="A77" s="82"/>
      <c r="B77" s="82"/>
      <c r="C77" s="82"/>
      <c r="D77" s="728" t="s">
        <v>1272</v>
      </c>
      <c r="E77" s="384" t="s">
        <v>49</v>
      </c>
      <c r="F77" s="385">
        <v>3</v>
      </c>
      <c r="G77" s="386">
        <f>4*14</f>
        <v>56</v>
      </c>
      <c r="H77" s="387">
        <v>5</v>
      </c>
      <c r="I77" s="388">
        <v>0.28999999999999998</v>
      </c>
      <c r="J77" s="389">
        <f t="shared" si="30"/>
        <v>16.239999999999998</v>
      </c>
      <c r="K77" s="218">
        <f t="shared" si="15"/>
        <v>2.5009599999999996</v>
      </c>
      <c r="L77" s="219">
        <f t="shared" si="16"/>
        <v>0</v>
      </c>
      <c r="M77" s="219">
        <f t="shared" si="17"/>
        <v>0</v>
      </c>
      <c r="N77" s="219">
        <f t="shared" si="18"/>
        <v>0</v>
      </c>
      <c r="O77" s="219">
        <f t="shared" si="19"/>
        <v>0</v>
      </c>
      <c r="P77" s="219">
        <f t="shared" si="20"/>
        <v>0</v>
      </c>
      <c r="Q77" s="563">
        <f t="shared" si="21"/>
        <v>0</v>
      </c>
      <c r="R77" s="220"/>
      <c r="T77" s="82"/>
      <c r="U77" s="82"/>
      <c r="V77" s="82"/>
      <c r="W77" s="82"/>
      <c r="X77" s="82"/>
      <c r="Y77" s="82"/>
      <c r="Z77" s="82"/>
      <c r="AA77" s="82"/>
      <c r="AB77" s="82"/>
    </row>
    <row r="78" spans="1:28" s="85" customFormat="1" x14ac:dyDescent="0.25">
      <c r="A78" s="82"/>
      <c r="B78" s="82"/>
      <c r="C78" s="82"/>
      <c r="D78" s="729"/>
      <c r="E78" s="371" t="s">
        <v>49</v>
      </c>
      <c r="F78" s="372">
        <v>4</v>
      </c>
      <c r="G78" s="373">
        <f>4*4</f>
        <v>16</v>
      </c>
      <c r="H78" s="374">
        <v>5</v>
      </c>
      <c r="I78" s="375">
        <v>1.07</v>
      </c>
      <c r="J78" s="376">
        <f t="shared" si="30"/>
        <v>17.12</v>
      </c>
      <c r="K78" s="66">
        <f t="shared" si="15"/>
        <v>2.6364800000000002</v>
      </c>
      <c r="L78" s="63">
        <f t="shared" si="16"/>
        <v>0</v>
      </c>
      <c r="M78" s="63">
        <f t="shared" si="17"/>
        <v>0</v>
      </c>
      <c r="N78" s="63">
        <f t="shared" si="18"/>
        <v>0</v>
      </c>
      <c r="O78" s="63">
        <f t="shared" si="19"/>
        <v>0</v>
      </c>
      <c r="P78" s="63">
        <f t="shared" si="20"/>
        <v>0</v>
      </c>
      <c r="Q78" s="561">
        <f t="shared" si="21"/>
        <v>0</v>
      </c>
      <c r="R78" s="174"/>
      <c r="T78" s="82"/>
      <c r="U78" s="82"/>
      <c r="V78" s="82"/>
      <c r="W78" s="82"/>
      <c r="X78" s="82"/>
      <c r="Y78" s="82"/>
      <c r="Z78" s="82"/>
      <c r="AA78" s="82"/>
      <c r="AB78" s="82"/>
    </row>
    <row r="79" spans="1:28" s="85" customFormat="1" x14ac:dyDescent="0.25">
      <c r="A79" s="82"/>
      <c r="B79" s="82"/>
      <c r="C79" s="82"/>
      <c r="D79" s="729"/>
      <c r="E79" s="371" t="s">
        <v>49</v>
      </c>
      <c r="F79" s="372">
        <v>5</v>
      </c>
      <c r="G79" s="373">
        <f>4*6</f>
        <v>24</v>
      </c>
      <c r="H79" s="374">
        <v>5</v>
      </c>
      <c r="I79" s="375">
        <v>0.74</v>
      </c>
      <c r="J79" s="376">
        <f t="shared" si="30"/>
        <v>17.759999999999998</v>
      </c>
      <c r="K79" s="66">
        <f t="shared" si="15"/>
        <v>2.7350399999999997</v>
      </c>
      <c r="L79" s="63">
        <f t="shared" si="16"/>
        <v>0</v>
      </c>
      <c r="M79" s="63">
        <f t="shared" si="17"/>
        <v>0</v>
      </c>
      <c r="N79" s="63">
        <f t="shared" si="18"/>
        <v>0</v>
      </c>
      <c r="O79" s="63">
        <f t="shared" si="19"/>
        <v>0</v>
      </c>
      <c r="P79" s="63">
        <f t="shared" si="20"/>
        <v>0</v>
      </c>
      <c r="Q79" s="561">
        <f t="shared" si="21"/>
        <v>0</v>
      </c>
      <c r="R79" s="174"/>
      <c r="T79" s="82"/>
      <c r="U79" s="82"/>
      <c r="V79" s="82"/>
      <c r="W79" s="82"/>
      <c r="X79" s="82"/>
      <c r="Y79" s="82"/>
      <c r="Z79" s="82"/>
      <c r="AA79" s="82"/>
      <c r="AB79" s="82"/>
    </row>
    <row r="80" spans="1:28" s="85" customFormat="1" x14ac:dyDescent="0.25">
      <c r="A80" s="82"/>
      <c r="B80" s="82"/>
      <c r="C80" s="82"/>
      <c r="D80" s="729"/>
      <c r="E80" s="371" t="s">
        <v>49</v>
      </c>
      <c r="F80" s="372">
        <v>14</v>
      </c>
      <c r="G80" s="373">
        <f>4*8</f>
        <v>32</v>
      </c>
      <c r="H80" s="374">
        <v>12.5</v>
      </c>
      <c r="I80" s="375">
        <v>1.45</v>
      </c>
      <c r="J80" s="376">
        <f t="shared" si="30"/>
        <v>46.4</v>
      </c>
      <c r="K80" s="66">
        <f t="shared" si="15"/>
        <v>0</v>
      </c>
      <c r="L80" s="63">
        <f t="shared" si="16"/>
        <v>0</v>
      </c>
      <c r="M80" s="63">
        <f t="shared" si="17"/>
        <v>0</v>
      </c>
      <c r="N80" s="63">
        <f t="shared" si="18"/>
        <v>0</v>
      </c>
      <c r="O80" s="63">
        <f t="shared" si="19"/>
        <v>44.683199999999999</v>
      </c>
      <c r="P80" s="63">
        <f t="shared" si="20"/>
        <v>0</v>
      </c>
      <c r="Q80" s="561">
        <f t="shared" si="21"/>
        <v>0</v>
      </c>
      <c r="R80" s="174"/>
      <c r="T80" s="82"/>
      <c r="U80" s="82"/>
      <c r="V80" s="82"/>
      <c r="W80" s="82"/>
      <c r="X80" s="82"/>
      <c r="Y80" s="82"/>
      <c r="Z80" s="82"/>
      <c r="AA80" s="82"/>
      <c r="AB80" s="82"/>
    </row>
    <row r="81" spans="1:28" s="85" customFormat="1" x14ac:dyDescent="0.25">
      <c r="A81" s="82"/>
      <c r="B81" s="82"/>
      <c r="C81" s="82"/>
      <c r="D81" s="729"/>
      <c r="E81" s="371" t="s">
        <v>113</v>
      </c>
      <c r="F81" s="372">
        <v>4</v>
      </c>
      <c r="G81" s="373">
        <f>4*48</f>
        <v>192</v>
      </c>
      <c r="H81" s="374">
        <v>5</v>
      </c>
      <c r="I81" s="375">
        <v>0.28999999999999998</v>
      </c>
      <c r="J81" s="376">
        <f t="shared" si="30"/>
        <v>55.679999999999993</v>
      </c>
      <c r="K81" s="66">
        <f t="shared" si="15"/>
        <v>8.5747199999999992</v>
      </c>
      <c r="L81" s="63">
        <f t="shared" si="16"/>
        <v>0</v>
      </c>
      <c r="M81" s="63">
        <f t="shared" si="17"/>
        <v>0</v>
      </c>
      <c r="N81" s="63">
        <f t="shared" si="18"/>
        <v>0</v>
      </c>
      <c r="O81" s="63">
        <f t="shared" si="19"/>
        <v>0</v>
      </c>
      <c r="P81" s="63">
        <f t="shared" si="20"/>
        <v>0</v>
      </c>
      <c r="Q81" s="561">
        <f t="shared" si="21"/>
        <v>0</v>
      </c>
      <c r="R81" s="174"/>
      <c r="T81" s="82"/>
      <c r="U81" s="82"/>
      <c r="V81" s="82"/>
      <c r="W81" s="82"/>
      <c r="X81" s="82"/>
      <c r="Y81" s="82"/>
      <c r="Z81" s="82"/>
      <c r="AA81" s="82"/>
      <c r="AB81" s="82"/>
    </row>
    <row r="82" spans="1:28" s="85" customFormat="1" x14ac:dyDescent="0.25">
      <c r="A82" s="82"/>
      <c r="B82" s="82"/>
      <c r="C82" s="82"/>
      <c r="D82" s="729"/>
      <c r="E82" s="371" t="s">
        <v>113</v>
      </c>
      <c r="F82" s="372">
        <v>5</v>
      </c>
      <c r="G82" s="373">
        <f>4*20</f>
        <v>80</v>
      </c>
      <c r="H82" s="374">
        <v>5</v>
      </c>
      <c r="I82" s="375">
        <v>1.07</v>
      </c>
      <c r="J82" s="376">
        <f t="shared" si="30"/>
        <v>85.600000000000009</v>
      </c>
      <c r="K82" s="66">
        <f t="shared" si="15"/>
        <v>13.182400000000001</v>
      </c>
      <c r="L82" s="63">
        <f t="shared" si="16"/>
        <v>0</v>
      </c>
      <c r="M82" s="63">
        <f t="shared" si="17"/>
        <v>0</v>
      </c>
      <c r="N82" s="63">
        <f t="shared" si="18"/>
        <v>0</v>
      </c>
      <c r="O82" s="63">
        <f t="shared" si="19"/>
        <v>0</v>
      </c>
      <c r="P82" s="63">
        <f t="shared" si="20"/>
        <v>0</v>
      </c>
      <c r="Q82" s="561">
        <f t="shared" si="21"/>
        <v>0</v>
      </c>
      <c r="R82" s="174"/>
      <c r="T82" s="82"/>
      <c r="U82" s="82"/>
      <c r="V82" s="82"/>
      <c r="W82" s="82"/>
      <c r="X82" s="82"/>
      <c r="Y82" s="82"/>
      <c r="Z82" s="82"/>
      <c r="AA82" s="82"/>
      <c r="AB82" s="82"/>
    </row>
    <row r="83" spans="1:28" s="85" customFormat="1" x14ac:dyDescent="0.25">
      <c r="A83" s="82"/>
      <c r="B83" s="82"/>
      <c r="C83" s="82"/>
      <c r="D83" s="729"/>
      <c r="E83" s="371" t="s">
        <v>113</v>
      </c>
      <c r="F83" s="372">
        <v>6</v>
      </c>
      <c r="G83" s="373">
        <f>4*8</f>
        <v>32</v>
      </c>
      <c r="H83" s="374">
        <v>5</v>
      </c>
      <c r="I83" s="375">
        <v>0.74</v>
      </c>
      <c r="J83" s="376">
        <f t="shared" si="30"/>
        <v>23.68</v>
      </c>
      <c r="K83" s="66">
        <f t="shared" si="15"/>
        <v>3.6467199999999997</v>
      </c>
      <c r="L83" s="63">
        <f t="shared" si="16"/>
        <v>0</v>
      </c>
      <c r="M83" s="63">
        <f t="shared" si="17"/>
        <v>0</v>
      </c>
      <c r="N83" s="63">
        <f t="shared" si="18"/>
        <v>0</v>
      </c>
      <c r="O83" s="63">
        <f t="shared" si="19"/>
        <v>0</v>
      </c>
      <c r="P83" s="63">
        <f t="shared" si="20"/>
        <v>0</v>
      </c>
      <c r="Q83" s="561">
        <f t="shared" si="21"/>
        <v>0</v>
      </c>
      <c r="R83" s="174"/>
      <c r="T83" s="82"/>
      <c r="U83" s="82"/>
      <c r="V83" s="82"/>
      <c r="W83" s="82"/>
      <c r="X83" s="82"/>
      <c r="Y83" s="82"/>
      <c r="Z83" s="82"/>
      <c r="AA83" s="82"/>
      <c r="AB83" s="82"/>
    </row>
    <row r="84" spans="1:28" s="85" customFormat="1" x14ac:dyDescent="0.25">
      <c r="A84" s="82"/>
      <c r="B84" s="82"/>
      <c r="C84" s="82"/>
      <c r="D84" s="729"/>
      <c r="E84" s="371" t="s">
        <v>113</v>
      </c>
      <c r="F84" s="372">
        <v>40</v>
      </c>
      <c r="G84" s="373">
        <f>4*8</f>
        <v>32</v>
      </c>
      <c r="H84" s="374">
        <v>12.5</v>
      </c>
      <c r="I84" s="375">
        <v>3.42</v>
      </c>
      <c r="J84" s="376">
        <f t="shared" si="30"/>
        <v>109.44</v>
      </c>
      <c r="K84" s="66">
        <f t="shared" si="15"/>
        <v>0</v>
      </c>
      <c r="L84" s="63">
        <f t="shared" si="16"/>
        <v>0</v>
      </c>
      <c r="M84" s="63">
        <f t="shared" si="17"/>
        <v>0</v>
      </c>
      <c r="N84" s="63">
        <f t="shared" si="18"/>
        <v>0</v>
      </c>
      <c r="O84" s="63">
        <f t="shared" si="19"/>
        <v>105.39071999999999</v>
      </c>
      <c r="P84" s="63">
        <f t="shared" si="20"/>
        <v>0</v>
      </c>
      <c r="Q84" s="561">
        <f t="shared" si="21"/>
        <v>0</v>
      </c>
      <c r="R84" s="174"/>
      <c r="T84" s="82"/>
      <c r="U84" s="82"/>
      <c r="V84" s="82"/>
      <c r="W84" s="82"/>
      <c r="X84" s="82"/>
      <c r="Y84" s="82"/>
      <c r="Z84" s="82"/>
      <c r="AA84" s="82"/>
      <c r="AB84" s="82"/>
    </row>
    <row r="85" spans="1:28" s="85" customFormat="1" x14ac:dyDescent="0.25">
      <c r="A85" s="82"/>
      <c r="B85" s="82"/>
      <c r="C85" s="82"/>
      <c r="D85" s="729"/>
      <c r="E85" s="396" t="s">
        <v>184</v>
      </c>
      <c r="F85" s="403"/>
      <c r="G85" s="397"/>
      <c r="H85" s="398"/>
      <c r="I85" s="399"/>
      <c r="J85" s="400">
        <f t="shared" ref="J85:J757" si="31">G85*I85</f>
        <v>0</v>
      </c>
      <c r="K85" s="401">
        <f t="shared" si="15"/>
        <v>0</v>
      </c>
      <c r="L85" s="196">
        <f t="shared" si="16"/>
        <v>0</v>
      </c>
      <c r="M85" s="196">
        <f t="shared" si="17"/>
        <v>0</v>
      </c>
      <c r="N85" s="196">
        <f t="shared" si="18"/>
        <v>0</v>
      </c>
      <c r="O85" s="196">
        <f t="shared" si="19"/>
        <v>0</v>
      </c>
      <c r="P85" s="196">
        <f t="shared" si="20"/>
        <v>0</v>
      </c>
      <c r="Q85" s="566">
        <f t="shared" si="21"/>
        <v>0</v>
      </c>
      <c r="R85" s="538"/>
      <c r="T85" s="82"/>
      <c r="U85" s="82"/>
      <c r="V85" s="82"/>
      <c r="W85" s="82"/>
      <c r="X85" s="82"/>
      <c r="Y85" s="82"/>
      <c r="Z85" s="82"/>
      <c r="AA85" s="82"/>
      <c r="AB85" s="82"/>
    </row>
    <row r="86" spans="1:28" s="85" customFormat="1" x14ac:dyDescent="0.25">
      <c r="A86" s="82"/>
      <c r="B86" s="82"/>
      <c r="C86" s="82"/>
      <c r="D86" s="729"/>
      <c r="E86" s="371" t="s">
        <v>184</v>
      </c>
      <c r="F86" s="372"/>
      <c r="G86" s="373"/>
      <c r="H86" s="374"/>
      <c r="I86" s="375"/>
      <c r="J86" s="376">
        <f t="shared" si="31"/>
        <v>0</v>
      </c>
      <c r="K86" s="66">
        <f t="shared" si="15"/>
        <v>0</v>
      </c>
      <c r="L86" s="63">
        <f t="shared" si="16"/>
        <v>0</v>
      </c>
      <c r="M86" s="63">
        <f t="shared" si="17"/>
        <v>0</v>
      </c>
      <c r="N86" s="63">
        <f t="shared" si="18"/>
        <v>0</v>
      </c>
      <c r="O86" s="63">
        <f t="shared" si="19"/>
        <v>0</v>
      </c>
      <c r="P86" s="63">
        <f t="shared" si="20"/>
        <v>0</v>
      </c>
      <c r="Q86" s="562">
        <f t="shared" si="21"/>
        <v>0</v>
      </c>
      <c r="R86" s="377"/>
      <c r="T86" s="82"/>
      <c r="U86" s="82"/>
      <c r="V86" s="82"/>
      <c r="W86" s="82"/>
      <c r="X86" s="82"/>
      <c r="Y86" s="82"/>
      <c r="Z86" s="82"/>
      <c r="AA86" s="82"/>
      <c r="AB86" s="82"/>
    </row>
    <row r="87" spans="1:28" s="85" customFormat="1" x14ac:dyDescent="0.25">
      <c r="A87" s="82"/>
      <c r="B87" s="82"/>
      <c r="C87" s="82"/>
      <c r="D87" s="729"/>
      <c r="E87" s="371" t="s">
        <v>184</v>
      </c>
      <c r="F87" s="372"/>
      <c r="G87" s="373"/>
      <c r="H87" s="374"/>
      <c r="I87" s="375"/>
      <c r="J87" s="376">
        <f t="shared" si="31"/>
        <v>0</v>
      </c>
      <c r="K87" s="66">
        <f t="shared" si="15"/>
        <v>0</v>
      </c>
      <c r="L87" s="63">
        <f t="shared" si="16"/>
        <v>0</v>
      </c>
      <c r="M87" s="63">
        <f t="shared" si="17"/>
        <v>0</v>
      </c>
      <c r="N87" s="63">
        <f t="shared" si="18"/>
        <v>0</v>
      </c>
      <c r="O87" s="63">
        <f t="shared" si="19"/>
        <v>0</v>
      </c>
      <c r="P87" s="63">
        <f t="shared" si="20"/>
        <v>0</v>
      </c>
      <c r="Q87" s="562">
        <f t="shared" si="21"/>
        <v>0</v>
      </c>
      <c r="R87" s="377"/>
      <c r="T87" s="82"/>
      <c r="U87" s="82"/>
      <c r="V87" s="82"/>
      <c r="W87" s="82"/>
      <c r="X87" s="82"/>
      <c r="Y87" s="82"/>
      <c r="Z87" s="82"/>
      <c r="AA87" s="82"/>
      <c r="AB87" s="82"/>
    </row>
    <row r="88" spans="1:28" s="85" customFormat="1" ht="13.8" thickBot="1" x14ac:dyDescent="0.3">
      <c r="A88" s="82"/>
      <c r="B88" s="82"/>
      <c r="C88" s="82"/>
      <c r="D88" s="731"/>
      <c r="E88" s="390" t="s">
        <v>184</v>
      </c>
      <c r="F88" s="391"/>
      <c r="G88" s="392"/>
      <c r="H88" s="393"/>
      <c r="I88" s="394"/>
      <c r="J88" s="395">
        <f t="shared" si="31"/>
        <v>0</v>
      </c>
      <c r="K88" s="221">
        <f t="shared" si="15"/>
        <v>0</v>
      </c>
      <c r="L88" s="222">
        <f t="shared" si="16"/>
        <v>0</v>
      </c>
      <c r="M88" s="222">
        <f t="shared" si="17"/>
        <v>0</v>
      </c>
      <c r="N88" s="222">
        <f t="shared" si="18"/>
        <v>0</v>
      </c>
      <c r="O88" s="222">
        <f t="shared" si="19"/>
        <v>0</v>
      </c>
      <c r="P88" s="222">
        <f t="shared" si="20"/>
        <v>0</v>
      </c>
      <c r="Q88" s="564">
        <f t="shared" si="21"/>
        <v>0</v>
      </c>
      <c r="R88" s="539"/>
      <c r="T88" s="82"/>
      <c r="U88" s="82"/>
      <c r="V88" s="82"/>
      <c r="W88" s="82"/>
      <c r="X88" s="82"/>
      <c r="Y88" s="82"/>
      <c r="Z88" s="82"/>
      <c r="AA88" s="82"/>
      <c r="AB88" s="82"/>
    </row>
    <row r="89" spans="1:28" s="85" customFormat="1" ht="13.8" thickTop="1" x14ac:dyDescent="0.25">
      <c r="A89" s="82"/>
      <c r="B89" s="82"/>
      <c r="C89" s="82"/>
      <c r="D89" s="728" t="s">
        <v>1273</v>
      </c>
      <c r="E89" s="384" t="s">
        <v>49</v>
      </c>
      <c r="F89" s="385">
        <v>1</v>
      </c>
      <c r="G89" s="386">
        <f>7*14</f>
        <v>98</v>
      </c>
      <c r="H89" s="387">
        <v>5</v>
      </c>
      <c r="I89" s="388">
        <v>0.24</v>
      </c>
      <c r="J89" s="389">
        <f t="shared" ref="J89:J699" si="32">G89*I89</f>
        <v>23.52</v>
      </c>
      <c r="K89" s="218">
        <f t="shared" si="15"/>
        <v>3.62208</v>
      </c>
      <c r="L89" s="219">
        <f t="shared" si="16"/>
        <v>0</v>
      </c>
      <c r="M89" s="219">
        <f t="shared" si="17"/>
        <v>0</v>
      </c>
      <c r="N89" s="219">
        <f t="shared" si="18"/>
        <v>0</v>
      </c>
      <c r="O89" s="219">
        <f t="shared" si="19"/>
        <v>0</v>
      </c>
      <c r="P89" s="219">
        <f t="shared" si="20"/>
        <v>0</v>
      </c>
      <c r="Q89" s="563">
        <f t="shared" si="21"/>
        <v>0</v>
      </c>
      <c r="R89" s="220"/>
      <c r="T89" s="82"/>
      <c r="U89" s="82"/>
      <c r="V89" s="82"/>
      <c r="W89" s="82"/>
      <c r="X89" s="82"/>
      <c r="Y89" s="82"/>
      <c r="Z89" s="82"/>
      <c r="AA89" s="82"/>
      <c r="AB89" s="82"/>
    </row>
    <row r="90" spans="1:28" s="85" customFormat="1" x14ac:dyDescent="0.25">
      <c r="A90" s="82"/>
      <c r="B90" s="82"/>
      <c r="C90" s="82"/>
      <c r="D90" s="729"/>
      <c r="E90" s="371" t="s">
        <v>49</v>
      </c>
      <c r="F90" s="372">
        <v>2</v>
      </c>
      <c r="G90" s="373">
        <f>7*6</f>
        <v>42</v>
      </c>
      <c r="H90" s="374">
        <v>5</v>
      </c>
      <c r="I90" s="375">
        <v>0.64</v>
      </c>
      <c r="J90" s="376">
        <f t="shared" si="32"/>
        <v>26.88</v>
      </c>
      <c r="K90" s="66">
        <f t="shared" si="15"/>
        <v>4.1395200000000001</v>
      </c>
      <c r="L90" s="63">
        <f t="shared" si="16"/>
        <v>0</v>
      </c>
      <c r="M90" s="63">
        <f t="shared" si="17"/>
        <v>0</v>
      </c>
      <c r="N90" s="63">
        <f t="shared" si="18"/>
        <v>0</v>
      </c>
      <c r="O90" s="63">
        <f t="shared" si="19"/>
        <v>0</v>
      </c>
      <c r="P90" s="63">
        <f t="shared" si="20"/>
        <v>0</v>
      </c>
      <c r="Q90" s="561">
        <f t="shared" si="21"/>
        <v>0</v>
      </c>
      <c r="R90" s="174"/>
      <c r="T90" s="82"/>
      <c r="U90" s="82"/>
      <c r="V90" s="82"/>
      <c r="W90" s="82"/>
      <c r="X90" s="82"/>
      <c r="Y90" s="82"/>
      <c r="Z90" s="82"/>
      <c r="AA90" s="82"/>
      <c r="AB90" s="82"/>
    </row>
    <row r="91" spans="1:28" s="85" customFormat="1" x14ac:dyDescent="0.25">
      <c r="A91" s="82"/>
      <c r="B91" s="82"/>
      <c r="C91" s="82"/>
      <c r="D91" s="729"/>
      <c r="E91" s="371" t="s">
        <v>49</v>
      </c>
      <c r="F91" s="372">
        <v>6</v>
      </c>
      <c r="G91" s="373">
        <f>7*4</f>
        <v>28</v>
      </c>
      <c r="H91" s="374">
        <v>5</v>
      </c>
      <c r="I91" s="375">
        <v>0.97</v>
      </c>
      <c r="J91" s="376">
        <f t="shared" si="32"/>
        <v>27.16</v>
      </c>
      <c r="K91" s="66">
        <f t="shared" si="15"/>
        <v>4.1826400000000001</v>
      </c>
      <c r="L91" s="63">
        <f t="shared" si="16"/>
        <v>0</v>
      </c>
      <c r="M91" s="63">
        <f t="shared" si="17"/>
        <v>0</v>
      </c>
      <c r="N91" s="63">
        <f t="shared" si="18"/>
        <v>0</v>
      </c>
      <c r="O91" s="63">
        <f t="shared" si="19"/>
        <v>0</v>
      </c>
      <c r="P91" s="63">
        <f t="shared" si="20"/>
        <v>0</v>
      </c>
      <c r="Q91" s="561">
        <f t="shared" ref="Q91:Q154" si="33">IF($H91=20,$J91*$B$28,0)</f>
        <v>0</v>
      </c>
      <c r="R91" s="174"/>
      <c r="T91" s="82"/>
      <c r="U91" s="82"/>
      <c r="V91" s="82"/>
      <c r="W91" s="82"/>
      <c r="X91" s="82"/>
      <c r="Y91" s="82"/>
      <c r="Z91" s="82"/>
      <c r="AA91" s="82"/>
      <c r="AB91" s="82"/>
    </row>
    <row r="92" spans="1:28" s="85" customFormat="1" x14ac:dyDescent="0.25">
      <c r="A92" s="82"/>
      <c r="B92" s="82"/>
      <c r="C92" s="82"/>
      <c r="D92" s="729"/>
      <c r="E92" s="371" t="s">
        <v>49</v>
      </c>
      <c r="F92" s="372">
        <v>14</v>
      </c>
      <c r="G92" s="373">
        <f>7*8</f>
        <v>56</v>
      </c>
      <c r="H92" s="374">
        <v>12.5</v>
      </c>
      <c r="I92" s="375">
        <v>1.45</v>
      </c>
      <c r="J92" s="376">
        <f t="shared" si="32"/>
        <v>81.2</v>
      </c>
      <c r="K92" s="66">
        <f t="shared" si="15"/>
        <v>0</v>
      </c>
      <c r="L92" s="63">
        <f t="shared" si="16"/>
        <v>0</v>
      </c>
      <c r="M92" s="63">
        <f t="shared" si="17"/>
        <v>0</v>
      </c>
      <c r="N92" s="63">
        <f t="shared" si="18"/>
        <v>0</v>
      </c>
      <c r="O92" s="63">
        <f t="shared" si="19"/>
        <v>78.195599999999999</v>
      </c>
      <c r="P92" s="63">
        <f t="shared" si="20"/>
        <v>0</v>
      </c>
      <c r="Q92" s="561">
        <f t="shared" si="33"/>
        <v>0</v>
      </c>
      <c r="R92" s="174"/>
      <c r="T92" s="82"/>
      <c r="U92" s="82"/>
      <c r="V92" s="82"/>
      <c r="W92" s="82"/>
      <c r="X92" s="82"/>
      <c r="Y92" s="82"/>
      <c r="Z92" s="82"/>
      <c r="AA92" s="82"/>
      <c r="AB92" s="82"/>
    </row>
    <row r="93" spans="1:28" s="85" customFormat="1" x14ac:dyDescent="0.25">
      <c r="A93" s="82"/>
      <c r="B93" s="82"/>
      <c r="C93" s="82"/>
      <c r="D93" s="729"/>
      <c r="E93" s="371" t="s">
        <v>113</v>
      </c>
      <c r="F93" s="372">
        <v>1</v>
      </c>
      <c r="G93" s="373">
        <f>7*48</f>
        <v>336</v>
      </c>
      <c r="H93" s="374">
        <v>5</v>
      </c>
      <c r="I93" s="375">
        <v>0.24</v>
      </c>
      <c r="J93" s="376">
        <f t="shared" si="32"/>
        <v>80.64</v>
      </c>
      <c r="K93" s="66">
        <f t="shared" si="15"/>
        <v>12.418559999999999</v>
      </c>
      <c r="L93" s="63">
        <f t="shared" si="16"/>
        <v>0</v>
      </c>
      <c r="M93" s="63">
        <f t="shared" si="17"/>
        <v>0</v>
      </c>
      <c r="N93" s="63">
        <f t="shared" si="18"/>
        <v>0</v>
      </c>
      <c r="O93" s="63">
        <f t="shared" si="19"/>
        <v>0</v>
      </c>
      <c r="P93" s="63">
        <f t="shared" si="20"/>
        <v>0</v>
      </c>
      <c r="Q93" s="561">
        <f t="shared" si="33"/>
        <v>0</v>
      </c>
      <c r="R93" s="174"/>
      <c r="T93" s="82"/>
      <c r="U93" s="82"/>
      <c r="V93" s="82"/>
      <c r="W93" s="82"/>
      <c r="X93" s="82"/>
      <c r="Y93" s="82"/>
      <c r="Z93" s="82"/>
      <c r="AA93" s="82"/>
      <c r="AB93" s="82"/>
    </row>
    <row r="94" spans="1:28" s="85" customFormat="1" x14ac:dyDescent="0.25">
      <c r="A94" s="82"/>
      <c r="B94" s="82"/>
      <c r="C94" s="82"/>
      <c r="D94" s="729"/>
      <c r="E94" s="371" t="s">
        <v>113</v>
      </c>
      <c r="F94" s="372">
        <v>2</v>
      </c>
      <c r="G94" s="373">
        <f>7*20</f>
        <v>140</v>
      </c>
      <c r="H94" s="374">
        <v>5</v>
      </c>
      <c r="I94" s="375">
        <v>0.97</v>
      </c>
      <c r="J94" s="376">
        <f t="shared" si="32"/>
        <v>135.79999999999998</v>
      </c>
      <c r="K94" s="66">
        <f t="shared" si="15"/>
        <v>20.913199999999996</v>
      </c>
      <c r="L94" s="63">
        <f t="shared" si="16"/>
        <v>0</v>
      </c>
      <c r="M94" s="63">
        <f t="shared" si="17"/>
        <v>0</v>
      </c>
      <c r="N94" s="63">
        <f t="shared" si="18"/>
        <v>0</v>
      </c>
      <c r="O94" s="63">
        <f t="shared" si="19"/>
        <v>0</v>
      </c>
      <c r="P94" s="63">
        <f t="shared" si="20"/>
        <v>0</v>
      </c>
      <c r="Q94" s="561">
        <f t="shared" si="33"/>
        <v>0</v>
      </c>
      <c r="R94" s="174"/>
      <c r="T94" s="82"/>
      <c r="U94" s="82"/>
      <c r="V94" s="82"/>
      <c r="W94" s="82"/>
      <c r="X94" s="82"/>
      <c r="Y94" s="82"/>
      <c r="Z94" s="82"/>
      <c r="AA94" s="82"/>
      <c r="AB94" s="82"/>
    </row>
    <row r="95" spans="1:28" s="85" customFormat="1" x14ac:dyDescent="0.25">
      <c r="A95" s="82"/>
      <c r="B95" s="82"/>
      <c r="C95" s="82"/>
      <c r="D95" s="729"/>
      <c r="E95" s="371" t="s">
        <v>113</v>
      </c>
      <c r="F95" s="372">
        <v>3</v>
      </c>
      <c r="G95" s="373">
        <f>7*8</f>
        <v>56</v>
      </c>
      <c r="H95" s="374">
        <v>5</v>
      </c>
      <c r="I95" s="375">
        <v>0.64</v>
      </c>
      <c r="J95" s="376">
        <f t="shared" si="32"/>
        <v>35.840000000000003</v>
      </c>
      <c r="K95" s="66">
        <f t="shared" si="15"/>
        <v>5.5193600000000007</v>
      </c>
      <c r="L95" s="63">
        <f t="shared" si="16"/>
        <v>0</v>
      </c>
      <c r="M95" s="63">
        <f t="shared" si="17"/>
        <v>0</v>
      </c>
      <c r="N95" s="63">
        <f t="shared" si="18"/>
        <v>0</v>
      </c>
      <c r="O95" s="63">
        <f t="shared" si="19"/>
        <v>0</v>
      </c>
      <c r="P95" s="63">
        <f t="shared" si="20"/>
        <v>0</v>
      </c>
      <c r="Q95" s="561">
        <f t="shared" si="33"/>
        <v>0</v>
      </c>
      <c r="R95" s="174"/>
      <c r="T95" s="82"/>
      <c r="U95" s="82"/>
      <c r="V95" s="82"/>
      <c r="W95" s="82"/>
      <c r="X95" s="82"/>
      <c r="Y95" s="82"/>
      <c r="Z95" s="82"/>
      <c r="AA95" s="82"/>
      <c r="AB95" s="82"/>
    </row>
    <row r="96" spans="1:28" s="85" customFormat="1" x14ac:dyDescent="0.25">
      <c r="A96" s="82"/>
      <c r="B96" s="82"/>
      <c r="C96" s="82"/>
      <c r="D96" s="729"/>
      <c r="E96" s="371" t="s">
        <v>113</v>
      </c>
      <c r="F96" s="372">
        <v>40</v>
      </c>
      <c r="G96" s="373">
        <f>7*8</f>
        <v>56</v>
      </c>
      <c r="H96" s="374">
        <v>12.5</v>
      </c>
      <c r="I96" s="375">
        <v>3.42</v>
      </c>
      <c r="J96" s="376">
        <f t="shared" si="32"/>
        <v>191.51999999999998</v>
      </c>
      <c r="K96" s="66">
        <f t="shared" si="15"/>
        <v>0</v>
      </c>
      <c r="L96" s="63">
        <f t="shared" si="16"/>
        <v>0</v>
      </c>
      <c r="M96" s="63">
        <f t="shared" si="17"/>
        <v>0</v>
      </c>
      <c r="N96" s="63">
        <f t="shared" si="18"/>
        <v>0</v>
      </c>
      <c r="O96" s="63">
        <f t="shared" si="19"/>
        <v>184.43375999999998</v>
      </c>
      <c r="P96" s="63">
        <f t="shared" si="20"/>
        <v>0</v>
      </c>
      <c r="Q96" s="561">
        <f t="shared" si="33"/>
        <v>0</v>
      </c>
      <c r="R96" s="174"/>
      <c r="T96" s="82"/>
      <c r="U96" s="82"/>
      <c r="V96" s="82"/>
      <c r="W96" s="82"/>
      <c r="X96" s="82"/>
      <c r="Y96" s="82"/>
      <c r="Z96" s="82"/>
      <c r="AA96" s="82"/>
      <c r="AB96" s="82"/>
    </row>
    <row r="97" spans="1:28" s="85" customFormat="1" x14ac:dyDescent="0.25">
      <c r="A97" s="82"/>
      <c r="B97" s="82"/>
      <c r="C97" s="82"/>
      <c r="D97" s="729"/>
      <c r="E97" s="396" t="s">
        <v>184</v>
      </c>
      <c r="F97" s="403"/>
      <c r="G97" s="397"/>
      <c r="H97" s="398"/>
      <c r="I97" s="399"/>
      <c r="J97" s="400">
        <f t="shared" si="32"/>
        <v>0</v>
      </c>
      <c r="K97" s="401">
        <f t="shared" si="15"/>
        <v>0</v>
      </c>
      <c r="L97" s="196">
        <f t="shared" si="16"/>
        <v>0</v>
      </c>
      <c r="M97" s="196">
        <f t="shared" si="17"/>
        <v>0</v>
      </c>
      <c r="N97" s="196">
        <f t="shared" si="18"/>
        <v>0</v>
      </c>
      <c r="O97" s="196">
        <f t="shared" si="19"/>
        <v>0</v>
      </c>
      <c r="P97" s="196">
        <f t="shared" si="20"/>
        <v>0</v>
      </c>
      <c r="Q97" s="566">
        <f t="shared" si="33"/>
        <v>0</v>
      </c>
      <c r="R97" s="538"/>
      <c r="T97" s="82"/>
      <c r="U97" s="82"/>
      <c r="V97" s="82"/>
      <c r="W97" s="82"/>
      <c r="X97" s="82"/>
      <c r="Y97" s="82"/>
      <c r="Z97" s="82"/>
      <c r="AA97" s="82"/>
      <c r="AB97" s="82"/>
    </row>
    <row r="98" spans="1:28" s="85" customFormat="1" x14ac:dyDescent="0.25">
      <c r="A98" s="82"/>
      <c r="B98" s="82"/>
      <c r="C98" s="82"/>
      <c r="D98" s="729"/>
      <c r="E98" s="371" t="s">
        <v>184</v>
      </c>
      <c r="F98" s="372"/>
      <c r="G98" s="373"/>
      <c r="H98" s="374"/>
      <c r="I98" s="375"/>
      <c r="J98" s="376">
        <f t="shared" si="32"/>
        <v>0</v>
      </c>
      <c r="K98" s="66">
        <f t="shared" si="15"/>
        <v>0</v>
      </c>
      <c r="L98" s="63">
        <f t="shared" si="16"/>
        <v>0</v>
      </c>
      <c r="M98" s="63">
        <f t="shared" si="17"/>
        <v>0</v>
      </c>
      <c r="N98" s="63">
        <f t="shared" si="18"/>
        <v>0</v>
      </c>
      <c r="O98" s="63">
        <f t="shared" si="19"/>
        <v>0</v>
      </c>
      <c r="P98" s="63">
        <f t="shared" si="20"/>
        <v>0</v>
      </c>
      <c r="Q98" s="562">
        <f t="shared" si="33"/>
        <v>0</v>
      </c>
      <c r="R98" s="377"/>
      <c r="T98" s="82"/>
      <c r="U98" s="82"/>
      <c r="V98" s="82"/>
      <c r="W98" s="82"/>
      <c r="X98" s="82"/>
      <c r="Y98" s="82"/>
      <c r="Z98" s="82"/>
      <c r="AA98" s="82"/>
      <c r="AB98" s="82"/>
    </row>
    <row r="99" spans="1:28" s="85" customFormat="1" x14ac:dyDescent="0.25">
      <c r="A99" s="82"/>
      <c r="B99" s="82"/>
      <c r="C99" s="82"/>
      <c r="D99" s="729"/>
      <c r="E99" s="371" t="s">
        <v>184</v>
      </c>
      <c r="F99" s="372"/>
      <c r="G99" s="373"/>
      <c r="H99" s="374"/>
      <c r="I99" s="375"/>
      <c r="J99" s="376">
        <f t="shared" si="32"/>
        <v>0</v>
      </c>
      <c r="K99" s="66">
        <f t="shared" si="15"/>
        <v>0</v>
      </c>
      <c r="L99" s="63">
        <f t="shared" si="16"/>
        <v>0</v>
      </c>
      <c r="M99" s="63">
        <f t="shared" si="17"/>
        <v>0</v>
      </c>
      <c r="N99" s="63">
        <f t="shared" si="18"/>
        <v>0</v>
      </c>
      <c r="O99" s="63">
        <f t="shared" si="19"/>
        <v>0</v>
      </c>
      <c r="P99" s="63">
        <f t="shared" si="20"/>
        <v>0</v>
      </c>
      <c r="Q99" s="562">
        <f t="shared" si="33"/>
        <v>0</v>
      </c>
      <c r="R99" s="377"/>
      <c r="T99" s="82"/>
      <c r="U99" s="82"/>
      <c r="V99" s="82"/>
      <c r="W99" s="82"/>
      <c r="X99" s="82"/>
      <c r="Y99" s="82"/>
      <c r="Z99" s="82"/>
      <c r="AA99" s="82"/>
      <c r="AB99" s="82"/>
    </row>
    <row r="100" spans="1:28" s="85" customFormat="1" ht="13.8" thickBot="1" x14ac:dyDescent="0.3">
      <c r="A100" s="82"/>
      <c r="B100" s="82"/>
      <c r="C100" s="82"/>
      <c r="D100" s="731"/>
      <c r="E100" s="390" t="s">
        <v>184</v>
      </c>
      <c r="F100" s="391"/>
      <c r="G100" s="392"/>
      <c r="H100" s="393"/>
      <c r="I100" s="394"/>
      <c r="J100" s="395">
        <f t="shared" si="32"/>
        <v>0</v>
      </c>
      <c r="K100" s="221">
        <f t="shared" si="15"/>
        <v>0</v>
      </c>
      <c r="L100" s="222">
        <f t="shared" si="16"/>
        <v>0</v>
      </c>
      <c r="M100" s="222">
        <f t="shared" si="17"/>
        <v>0</v>
      </c>
      <c r="N100" s="222">
        <f t="shared" si="18"/>
        <v>0</v>
      </c>
      <c r="O100" s="222">
        <f t="shared" si="19"/>
        <v>0</v>
      </c>
      <c r="P100" s="222">
        <f t="shared" si="20"/>
        <v>0</v>
      </c>
      <c r="Q100" s="564">
        <f t="shared" si="33"/>
        <v>0</v>
      </c>
      <c r="R100" s="539"/>
      <c r="T100" s="82"/>
      <c r="U100" s="82"/>
      <c r="V100" s="82"/>
      <c r="W100" s="82"/>
      <c r="X100" s="82"/>
      <c r="Y100" s="82"/>
      <c r="Z100" s="82"/>
      <c r="AA100" s="82"/>
      <c r="AB100" s="82"/>
    </row>
    <row r="101" spans="1:28" s="85" customFormat="1" ht="13.8" thickTop="1" x14ac:dyDescent="0.25">
      <c r="A101" s="82"/>
      <c r="B101" s="82"/>
      <c r="C101" s="82"/>
      <c r="D101" s="728" t="s">
        <v>1274</v>
      </c>
      <c r="E101" s="384" t="s">
        <v>49</v>
      </c>
      <c r="F101" s="385">
        <v>2</v>
      </c>
      <c r="G101" s="386">
        <v>6</v>
      </c>
      <c r="H101" s="387">
        <v>5</v>
      </c>
      <c r="I101" s="388">
        <v>0.64</v>
      </c>
      <c r="J101" s="389">
        <f t="shared" si="32"/>
        <v>3.84</v>
      </c>
      <c r="K101" s="218">
        <f t="shared" si="15"/>
        <v>0.59136</v>
      </c>
      <c r="L101" s="219">
        <f t="shared" si="16"/>
        <v>0</v>
      </c>
      <c r="M101" s="219">
        <f t="shared" si="17"/>
        <v>0</v>
      </c>
      <c r="N101" s="219">
        <f t="shared" si="18"/>
        <v>0</v>
      </c>
      <c r="O101" s="219">
        <f t="shared" si="19"/>
        <v>0</v>
      </c>
      <c r="P101" s="219">
        <f t="shared" si="20"/>
        <v>0</v>
      </c>
      <c r="Q101" s="563">
        <f t="shared" si="33"/>
        <v>0</v>
      </c>
      <c r="R101" s="220"/>
      <c r="T101" s="82"/>
      <c r="U101" s="82"/>
      <c r="V101" s="82"/>
      <c r="W101" s="82"/>
      <c r="X101" s="82"/>
      <c r="Y101" s="82"/>
      <c r="Z101" s="82"/>
      <c r="AA101" s="82"/>
      <c r="AB101" s="82"/>
    </row>
    <row r="102" spans="1:28" s="85" customFormat="1" x14ac:dyDescent="0.25">
      <c r="A102" s="82"/>
      <c r="B102" s="82"/>
      <c r="C102" s="82"/>
      <c r="D102" s="729"/>
      <c r="E102" s="371" t="s">
        <v>49</v>
      </c>
      <c r="F102" s="372">
        <v>6</v>
      </c>
      <c r="G102" s="373">
        <v>4</v>
      </c>
      <c r="H102" s="374">
        <v>5</v>
      </c>
      <c r="I102" s="375">
        <v>0.97</v>
      </c>
      <c r="J102" s="376">
        <f t="shared" si="32"/>
        <v>3.88</v>
      </c>
      <c r="K102" s="66">
        <f t="shared" si="15"/>
        <v>0.59751999999999994</v>
      </c>
      <c r="L102" s="63">
        <f t="shared" si="16"/>
        <v>0</v>
      </c>
      <c r="M102" s="63">
        <f t="shared" si="17"/>
        <v>0</v>
      </c>
      <c r="N102" s="63">
        <f t="shared" si="18"/>
        <v>0</v>
      </c>
      <c r="O102" s="63">
        <f t="shared" si="19"/>
        <v>0</v>
      </c>
      <c r="P102" s="63">
        <f t="shared" si="20"/>
        <v>0</v>
      </c>
      <c r="Q102" s="561">
        <f t="shared" si="33"/>
        <v>0</v>
      </c>
      <c r="R102" s="174"/>
      <c r="T102" s="82"/>
      <c r="U102" s="82"/>
      <c r="V102" s="82"/>
      <c r="W102" s="82"/>
      <c r="X102" s="82"/>
      <c r="Y102" s="82"/>
      <c r="Z102" s="82"/>
      <c r="AA102" s="82"/>
      <c r="AB102" s="82"/>
    </row>
    <row r="103" spans="1:28" s="85" customFormat="1" x14ac:dyDescent="0.25">
      <c r="A103" s="82"/>
      <c r="B103" s="82"/>
      <c r="C103" s="82"/>
      <c r="D103" s="729"/>
      <c r="E103" s="371" t="s">
        <v>49</v>
      </c>
      <c r="F103" s="372">
        <v>7</v>
      </c>
      <c r="G103" s="373">
        <v>14</v>
      </c>
      <c r="H103" s="374">
        <v>5</v>
      </c>
      <c r="I103" s="375">
        <v>0.24</v>
      </c>
      <c r="J103" s="376">
        <f t="shared" si="32"/>
        <v>3.36</v>
      </c>
      <c r="K103" s="66">
        <f t="shared" si="15"/>
        <v>0.51744000000000001</v>
      </c>
      <c r="L103" s="63">
        <f t="shared" si="16"/>
        <v>0</v>
      </c>
      <c r="M103" s="63">
        <f t="shared" si="17"/>
        <v>0</v>
      </c>
      <c r="N103" s="63">
        <f t="shared" si="18"/>
        <v>0</v>
      </c>
      <c r="O103" s="63">
        <f t="shared" si="19"/>
        <v>0</v>
      </c>
      <c r="P103" s="63">
        <f t="shared" si="20"/>
        <v>0</v>
      </c>
      <c r="Q103" s="561">
        <f t="shared" si="33"/>
        <v>0</v>
      </c>
      <c r="R103" s="174"/>
      <c r="T103" s="82"/>
      <c r="U103" s="82"/>
      <c r="V103" s="82"/>
      <c r="W103" s="82"/>
      <c r="X103" s="82"/>
      <c r="Y103" s="82"/>
      <c r="Z103" s="82"/>
      <c r="AA103" s="82"/>
      <c r="AB103" s="82"/>
    </row>
    <row r="104" spans="1:28" s="85" customFormat="1" x14ac:dyDescent="0.25">
      <c r="A104" s="82"/>
      <c r="B104" s="82"/>
      <c r="C104" s="82"/>
      <c r="D104" s="729"/>
      <c r="E104" s="371" t="s">
        <v>49</v>
      </c>
      <c r="F104" s="372">
        <v>15</v>
      </c>
      <c r="G104" s="373">
        <v>8</v>
      </c>
      <c r="H104" s="374">
        <v>16</v>
      </c>
      <c r="I104" s="375">
        <v>1.55</v>
      </c>
      <c r="J104" s="376">
        <f t="shared" si="32"/>
        <v>12.4</v>
      </c>
      <c r="K104" s="66">
        <f t="shared" si="15"/>
        <v>0</v>
      </c>
      <c r="L104" s="63">
        <f t="shared" si="16"/>
        <v>0</v>
      </c>
      <c r="M104" s="63">
        <f t="shared" si="17"/>
        <v>0</v>
      </c>
      <c r="N104" s="63">
        <f t="shared" si="18"/>
        <v>0</v>
      </c>
      <c r="O104" s="63">
        <f t="shared" si="19"/>
        <v>0</v>
      </c>
      <c r="P104" s="63">
        <f t="shared" si="20"/>
        <v>19.5672</v>
      </c>
      <c r="Q104" s="561">
        <f t="shared" si="33"/>
        <v>0</v>
      </c>
      <c r="R104" s="174"/>
      <c r="T104" s="82"/>
      <c r="U104" s="82"/>
      <c r="V104" s="82"/>
      <c r="W104" s="82"/>
      <c r="X104" s="82"/>
      <c r="Y104" s="82"/>
      <c r="Z104" s="82"/>
      <c r="AA104" s="82"/>
      <c r="AB104" s="82"/>
    </row>
    <row r="105" spans="1:28" s="85" customFormat="1" x14ac:dyDescent="0.25">
      <c r="A105" s="82"/>
      <c r="B105" s="82"/>
      <c r="C105" s="82"/>
      <c r="D105" s="729"/>
      <c r="E105" s="371" t="s">
        <v>113</v>
      </c>
      <c r="F105" s="372">
        <v>2</v>
      </c>
      <c r="G105" s="373">
        <v>20</v>
      </c>
      <c r="H105" s="374">
        <v>5</v>
      </c>
      <c r="I105" s="375">
        <v>0.97</v>
      </c>
      <c r="J105" s="376">
        <f t="shared" si="32"/>
        <v>19.399999999999999</v>
      </c>
      <c r="K105" s="66">
        <f t="shared" si="15"/>
        <v>2.9875999999999996</v>
      </c>
      <c r="L105" s="63">
        <f t="shared" si="16"/>
        <v>0</v>
      </c>
      <c r="M105" s="63">
        <f t="shared" si="17"/>
        <v>0</v>
      </c>
      <c r="N105" s="63">
        <f t="shared" si="18"/>
        <v>0</v>
      </c>
      <c r="O105" s="63">
        <f t="shared" si="19"/>
        <v>0</v>
      </c>
      <c r="P105" s="63">
        <f t="shared" si="20"/>
        <v>0</v>
      </c>
      <c r="Q105" s="561">
        <f t="shared" si="33"/>
        <v>0</v>
      </c>
      <c r="R105" s="174"/>
      <c r="T105" s="82"/>
      <c r="U105" s="82"/>
      <c r="V105" s="82"/>
      <c r="W105" s="82"/>
      <c r="X105" s="82"/>
      <c r="Y105" s="82"/>
      <c r="Z105" s="82"/>
      <c r="AA105" s="82"/>
      <c r="AB105" s="82"/>
    </row>
    <row r="106" spans="1:28" s="85" customFormat="1" x14ac:dyDescent="0.25">
      <c r="A106" s="82"/>
      <c r="B106" s="82"/>
      <c r="C106" s="82"/>
      <c r="D106" s="729"/>
      <c r="E106" s="371" t="s">
        <v>113</v>
      </c>
      <c r="F106" s="372">
        <v>3</v>
      </c>
      <c r="G106" s="373">
        <v>8</v>
      </c>
      <c r="H106" s="374">
        <v>5</v>
      </c>
      <c r="I106" s="375">
        <v>0.64</v>
      </c>
      <c r="J106" s="376">
        <f t="shared" si="32"/>
        <v>5.12</v>
      </c>
      <c r="K106" s="66">
        <f t="shared" si="15"/>
        <v>0.78847999999999996</v>
      </c>
      <c r="L106" s="63">
        <f t="shared" si="16"/>
        <v>0</v>
      </c>
      <c r="M106" s="63">
        <f t="shared" si="17"/>
        <v>0</v>
      </c>
      <c r="N106" s="63">
        <f t="shared" si="18"/>
        <v>0</v>
      </c>
      <c r="O106" s="63">
        <f t="shared" si="19"/>
        <v>0</v>
      </c>
      <c r="P106" s="63">
        <f t="shared" si="20"/>
        <v>0</v>
      </c>
      <c r="Q106" s="561">
        <f t="shared" si="33"/>
        <v>0</v>
      </c>
      <c r="R106" s="174"/>
      <c r="T106" s="82"/>
      <c r="U106" s="82"/>
      <c r="V106" s="82"/>
      <c r="W106" s="82"/>
      <c r="X106" s="82"/>
      <c r="Y106" s="82"/>
      <c r="Z106" s="82"/>
      <c r="AA106" s="82"/>
      <c r="AB106" s="82"/>
    </row>
    <row r="107" spans="1:28" s="85" customFormat="1" x14ac:dyDescent="0.25">
      <c r="A107" s="82"/>
      <c r="B107" s="82"/>
      <c r="C107" s="82"/>
      <c r="D107" s="729"/>
      <c r="E107" s="371" t="s">
        <v>113</v>
      </c>
      <c r="F107" s="372">
        <v>7</v>
      </c>
      <c r="G107" s="373">
        <v>48</v>
      </c>
      <c r="H107" s="374">
        <v>5</v>
      </c>
      <c r="I107" s="375">
        <v>0.24</v>
      </c>
      <c r="J107" s="376">
        <f t="shared" si="32"/>
        <v>11.52</v>
      </c>
      <c r="K107" s="66">
        <f t="shared" si="15"/>
        <v>1.7740799999999999</v>
      </c>
      <c r="L107" s="63">
        <f t="shared" si="16"/>
        <v>0</v>
      </c>
      <c r="M107" s="63">
        <f t="shared" si="17"/>
        <v>0</v>
      </c>
      <c r="N107" s="63">
        <f t="shared" si="18"/>
        <v>0</v>
      </c>
      <c r="O107" s="63">
        <f t="shared" si="19"/>
        <v>0</v>
      </c>
      <c r="P107" s="63">
        <f t="shared" si="20"/>
        <v>0</v>
      </c>
      <c r="Q107" s="561">
        <f t="shared" si="33"/>
        <v>0</v>
      </c>
      <c r="R107" s="174"/>
      <c r="T107" s="82"/>
      <c r="U107" s="82"/>
      <c r="V107" s="82"/>
      <c r="W107" s="82"/>
      <c r="X107" s="82"/>
      <c r="Y107" s="82"/>
      <c r="Z107" s="82"/>
      <c r="AA107" s="82"/>
      <c r="AB107" s="82"/>
    </row>
    <row r="108" spans="1:28" s="85" customFormat="1" x14ac:dyDescent="0.25">
      <c r="A108" s="82"/>
      <c r="B108" s="82"/>
      <c r="C108" s="82"/>
      <c r="D108" s="729"/>
      <c r="E108" s="371" t="s">
        <v>113</v>
      </c>
      <c r="F108" s="372">
        <v>56</v>
      </c>
      <c r="G108" s="373">
        <v>8</v>
      </c>
      <c r="H108" s="374">
        <v>16</v>
      </c>
      <c r="I108" s="375">
        <v>3.42</v>
      </c>
      <c r="J108" s="376">
        <f t="shared" si="32"/>
        <v>27.36</v>
      </c>
      <c r="K108" s="66">
        <f t="shared" si="15"/>
        <v>0</v>
      </c>
      <c r="L108" s="63">
        <f t="shared" si="16"/>
        <v>0</v>
      </c>
      <c r="M108" s="63">
        <f t="shared" si="17"/>
        <v>0</v>
      </c>
      <c r="N108" s="63">
        <f t="shared" si="18"/>
        <v>0</v>
      </c>
      <c r="O108" s="63">
        <f t="shared" si="19"/>
        <v>0</v>
      </c>
      <c r="P108" s="63">
        <f t="shared" si="20"/>
        <v>43.174080000000004</v>
      </c>
      <c r="Q108" s="561">
        <f t="shared" si="33"/>
        <v>0</v>
      </c>
      <c r="R108" s="174"/>
      <c r="T108" s="82"/>
      <c r="U108" s="82"/>
      <c r="V108" s="82"/>
      <c r="W108" s="82"/>
      <c r="X108" s="82"/>
      <c r="Y108" s="82"/>
      <c r="Z108" s="82"/>
      <c r="AA108" s="82"/>
      <c r="AB108" s="82"/>
    </row>
    <row r="109" spans="1:28" s="85" customFormat="1" x14ac:dyDescent="0.25">
      <c r="A109" s="82"/>
      <c r="B109" s="82"/>
      <c r="C109" s="82"/>
      <c r="D109" s="729"/>
      <c r="E109" s="396" t="s">
        <v>184</v>
      </c>
      <c r="F109" s="403"/>
      <c r="G109" s="397"/>
      <c r="H109" s="398"/>
      <c r="I109" s="399"/>
      <c r="J109" s="400">
        <f t="shared" si="32"/>
        <v>0</v>
      </c>
      <c r="K109" s="401">
        <f t="shared" si="15"/>
        <v>0</v>
      </c>
      <c r="L109" s="196">
        <f t="shared" si="16"/>
        <v>0</v>
      </c>
      <c r="M109" s="196">
        <f t="shared" si="17"/>
        <v>0</v>
      </c>
      <c r="N109" s="196">
        <f t="shared" si="18"/>
        <v>0</v>
      </c>
      <c r="O109" s="196">
        <f t="shared" si="19"/>
        <v>0</v>
      </c>
      <c r="P109" s="196">
        <f t="shared" si="20"/>
        <v>0</v>
      </c>
      <c r="Q109" s="566">
        <f t="shared" si="33"/>
        <v>0</v>
      </c>
      <c r="R109" s="538"/>
      <c r="T109" s="82"/>
      <c r="U109" s="82"/>
      <c r="V109" s="82"/>
      <c r="W109" s="82"/>
      <c r="X109" s="82"/>
      <c r="Y109" s="82"/>
      <c r="Z109" s="82"/>
      <c r="AA109" s="82"/>
      <c r="AB109" s="82"/>
    </row>
    <row r="110" spans="1:28" s="85" customFormat="1" x14ac:dyDescent="0.25">
      <c r="A110" s="82"/>
      <c r="B110" s="82"/>
      <c r="C110" s="82"/>
      <c r="D110" s="729"/>
      <c r="E110" s="371" t="s">
        <v>184</v>
      </c>
      <c r="F110" s="372"/>
      <c r="G110" s="373"/>
      <c r="H110" s="374"/>
      <c r="I110" s="375"/>
      <c r="J110" s="376">
        <f t="shared" si="32"/>
        <v>0</v>
      </c>
      <c r="K110" s="66">
        <f t="shared" si="15"/>
        <v>0</v>
      </c>
      <c r="L110" s="63">
        <f t="shared" si="16"/>
        <v>0</v>
      </c>
      <c r="M110" s="63">
        <f t="shared" si="17"/>
        <v>0</v>
      </c>
      <c r="N110" s="63">
        <f t="shared" si="18"/>
        <v>0</v>
      </c>
      <c r="O110" s="63">
        <f t="shared" si="19"/>
        <v>0</v>
      </c>
      <c r="P110" s="63">
        <f t="shared" si="20"/>
        <v>0</v>
      </c>
      <c r="Q110" s="562">
        <f t="shared" si="33"/>
        <v>0</v>
      </c>
      <c r="R110" s="377"/>
      <c r="T110" s="82"/>
      <c r="U110" s="82"/>
      <c r="V110" s="82"/>
      <c r="W110" s="82"/>
      <c r="X110" s="82"/>
      <c r="Y110" s="82"/>
      <c r="Z110" s="82"/>
      <c r="AA110" s="82"/>
      <c r="AB110" s="82"/>
    </row>
    <row r="111" spans="1:28" s="85" customFormat="1" x14ac:dyDescent="0.25">
      <c r="A111" s="82"/>
      <c r="B111" s="82"/>
      <c r="C111" s="82"/>
      <c r="D111" s="729"/>
      <c r="E111" s="371" t="s">
        <v>184</v>
      </c>
      <c r="F111" s="372"/>
      <c r="G111" s="373"/>
      <c r="H111" s="374"/>
      <c r="I111" s="375"/>
      <c r="J111" s="376">
        <f t="shared" si="32"/>
        <v>0</v>
      </c>
      <c r="K111" s="66">
        <f t="shared" si="15"/>
        <v>0</v>
      </c>
      <c r="L111" s="63">
        <f t="shared" si="16"/>
        <v>0</v>
      </c>
      <c r="M111" s="63">
        <f t="shared" si="17"/>
        <v>0</v>
      </c>
      <c r="N111" s="63">
        <f t="shared" si="18"/>
        <v>0</v>
      </c>
      <c r="O111" s="63">
        <f t="shared" si="19"/>
        <v>0</v>
      </c>
      <c r="P111" s="63">
        <f t="shared" si="20"/>
        <v>0</v>
      </c>
      <c r="Q111" s="562">
        <f t="shared" si="33"/>
        <v>0</v>
      </c>
      <c r="R111" s="377"/>
      <c r="T111" s="82"/>
      <c r="U111" s="82"/>
      <c r="V111" s="82"/>
      <c r="W111" s="82"/>
      <c r="X111" s="82"/>
      <c r="Y111" s="82"/>
      <c r="Z111" s="82"/>
      <c r="AA111" s="82"/>
      <c r="AB111" s="82"/>
    </row>
    <row r="112" spans="1:28" s="85" customFormat="1" ht="13.8" thickBot="1" x14ac:dyDescent="0.3">
      <c r="A112" s="82"/>
      <c r="B112" s="82"/>
      <c r="C112" s="82"/>
      <c r="D112" s="731"/>
      <c r="E112" s="390" t="s">
        <v>184</v>
      </c>
      <c r="F112" s="391"/>
      <c r="G112" s="392"/>
      <c r="H112" s="393"/>
      <c r="I112" s="394"/>
      <c r="J112" s="395">
        <f t="shared" si="32"/>
        <v>0</v>
      </c>
      <c r="K112" s="221">
        <f t="shared" si="15"/>
        <v>0</v>
      </c>
      <c r="L112" s="222">
        <f t="shared" si="16"/>
        <v>0</v>
      </c>
      <c r="M112" s="222">
        <f t="shared" si="17"/>
        <v>0</v>
      </c>
      <c r="N112" s="222">
        <f t="shared" si="18"/>
        <v>0</v>
      </c>
      <c r="O112" s="222">
        <f t="shared" si="19"/>
        <v>0</v>
      </c>
      <c r="P112" s="222">
        <f t="shared" si="20"/>
        <v>0</v>
      </c>
      <c r="Q112" s="564">
        <f t="shared" si="33"/>
        <v>0</v>
      </c>
      <c r="R112" s="539"/>
      <c r="T112" s="82"/>
      <c r="U112" s="82"/>
      <c r="V112" s="82"/>
      <c r="W112" s="82"/>
      <c r="X112" s="82"/>
      <c r="Y112" s="82"/>
      <c r="Z112" s="82"/>
      <c r="AA112" s="82"/>
      <c r="AB112" s="82"/>
    </row>
    <row r="113" spans="1:28" s="85" customFormat="1" ht="13.8" thickTop="1" x14ac:dyDescent="0.25">
      <c r="A113" s="82"/>
      <c r="B113" s="82"/>
      <c r="C113" s="82"/>
      <c r="D113" s="728" t="s">
        <v>379</v>
      </c>
      <c r="E113" s="384" t="s">
        <v>49</v>
      </c>
      <c r="F113" s="385">
        <v>7</v>
      </c>
      <c r="G113" s="386">
        <v>14</v>
      </c>
      <c r="H113" s="387">
        <v>5</v>
      </c>
      <c r="I113" s="388">
        <v>0.24</v>
      </c>
      <c r="J113" s="389">
        <f t="shared" si="32"/>
        <v>3.36</v>
      </c>
      <c r="K113" s="218">
        <f t="shared" ref="K113:K342" si="34">IF($H113=5,$J113*$B$21,0)</f>
        <v>0.51744000000000001</v>
      </c>
      <c r="L113" s="219">
        <f t="shared" ref="L113:L342" si="35">IF($H113=6.3,$J113*$B$22,0)</f>
        <v>0</v>
      </c>
      <c r="M113" s="219">
        <f t="shared" ref="M113:M342" si="36">IF($H113=8,$J113*$B$23,0)</f>
        <v>0</v>
      </c>
      <c r="N113" s="219">
        <f t="shared" ref="N113:N342" si="37">IF($H113=10,$J113*$B$24,0)</f>
        <v>0</v>
      </c>
      <c r="O113" s="219">
        <f t="shared" ref="O113:O342" si="38">IF($H113=12.5,$J113*$B$26,0)</f>
        <v>0</v>
      </c>
      <c r="P113" s="219">
        <f t="shared" ref="P113:P342" si="39">IF($H113=16,$J113*$B$27,0)</f>
        <v>0</v>
      </c>
      <c r="Q113" s="563">
        <f t="shared" si="33"/>
        <v>0</v>
      </c>
      <c r="R113" s="220"/>
      <c r="T113" s="82"/>
      <c r="U113" s="82"/>
      <c r="V113" s="82"/>
      <c r="W113" s="82"/>
      <c r="X113" s="82"/>
      <c r="Y113" s="82"/>
      <c r="Z113" s="82"/>
      <c r="AA113" s="82"/>
      <c r="AB113" s="82"/>
    </row>
    <row r="114" spans="1:28" s="85" customFormat="1" x14ac:dyDescent="0.25">
      <c r="A114" s="82"/>
      <c r="B114" s="82"/>
      <c r="C114" s="82"/>
      <c r="D114" s="729"/>
      <c r="E114" s="371" t="s">
        <v>49</v>
      </c>
      <c r="F114" s="372">
        <v>8</v>
      </c>
      <c r="G114" s="373">
        <v>4</v>
      </c>
      <c r="H114" s="374">
        <v>5</v>
      </c>
      <c r="I114" s="375">
        <v>1.17</v>
      </c>
      <c r="J114" s="376">
        <f t="shared" si="32"/>
        <v>4.68</v>
      </c>
      <c r="K114" s="66">
        <f t="shared" si="34"/>
        <v>0.72071999999999992</v>
      </c>
      <c r="L114" s="63">
        <f t="shared" si="35"/>
        <v>0</v>
      </c>
      <c r="M114" s="63">
        <f t="shared" si="36"/>
        <v>0</v>
      </c>
      <c r="N114" s="63">
        <f t="shared" si="37"/>
        <v>0</v>
      </c>
      <c r="O114" s="63">
        <f t="shared" si="38"/>
        <v>0</v>
      </c>
      <c r="P114" s="63">
        <f t="shared" si="39"/>
        <v>0</v>
      </c>
      <c r="Q114" s="561">
        <f t="shared" si="33"/>
        <v>0</v>
      </c>
      <c r="R114" s="174"/>
      <c r="T114" s="82"/>
      <c r="U114" s="82"/>
      <c r="V114" s="82"/>
      <c r="W114" s="82"/>
      <c r="X114" s="82"/>
      <c r="Y114" s="82"/>
      <c r="Z114" s="82"/>
      <c r="AA114" s="82"/>
      <c r="AB114" s="82"/>
    </row>
    <row r="115" spans="1:28" s="85" customFormat="1" x14ac:dyDescent="0.25">
      <c r="A115" s="82"/>
      <c r="B115" s="82"/>
      <c r="C115" s="82"/>
      <c r="D115" s="729"/>
      <c r="E115" s="371" t="s">
        <v>49</v>
      </c>
      <c r="F115" s="372">
        <v>9</v>
      </c>
      <c r="G115" s="373">
        <v>6</v>
      </c>
      <c r="H115" s="374">
        <v>5</v>
      </c>
      <c r="I115" s="375">
        <v>0.74</v>
      </c>
      <c r="J115" s="376">
        <f t="shared" si="32"/>
        <v>4.4399999999999995</v>
      </c>
      <c r="K115" s="66">
        <f t="shared" si="34"/>
        <v>0.68375999999999992</v>
      </c>
      <c r="L115" s="63">
        <f t="shared" si="35"/>
        <v>0</v>
      </c>
      <c r="M115" s="63">
        <f t="shared" si="36"/>
        <v>0</v>
      </c>
      <c r="N115" s="63">
        <f t="shared" si="37"/>
        <v>0</v>
      </c>
      <c r="O115" s="63">
        <f t="shared" si="38"/>
        <v>0</v>
      </c>
      <c r="P115" s="63">
        <f t="shared" si="39"/>
        <v>0</v>
      </c>
      <c r="Q115" s="561">
        <f t="shared" si="33"/>
        <v>0</v>
      </c>
      <c r="R115" s="174"/>
      <c r="T115" s="82"/>
      <c r="U115" s="82"/>
      <c r="V115" s="82"/>
      <c r="W115" s="82"/>
      <c r="X115" s="82"/>
      <c r="Y115" s="82"/>
      <c r="Z115" s="82"/>
      <c r="AA115" s="82"/>
      <c r="AB115" s="82"/>
    </row>
    <row r="116" spans="1:28" s="85" customFormat="1" x14ac:dyDescent="0.25">
      <c r="A116" s="82"/>
      <c r="B116" s="82"/>
      <c r="C116" s="82"/>
      <c r="D116" s="729"/>
      <c r="E116" s="371" t="s">
        <v>49</v>
      </c>
      <c r="F116" s="372">
        <v>15</v>
      </c>
      <c r="G116" s="373">
        <v>8</v>
      </c>
      <c r="H116" s="374">
        <v>16</v>
      </c>
      <c r="I116" s="375">
        <v>1.55</v>
      </c>
      <c r="J116" s="376">
        <f t="shared" si="32"/>
        <v>12.4</v>
      </c>
      <c r="K116" s="66">
        <f t="shared" si="34"/>
        <v>0</v>
      </c>
      <c r="L116" s="63">
        <f t="shared" si="35"/>
        <v>0</v>
      </c>
      <c r="M116" s="63">
        <f t="shared" si="36"/>
        <v>0</v>
      </c>
      <c r="N116" s="63">
        <f t="shared" si="37"/>
        <v>0</v>
      </c>
      <c r="O116" s="63">
        <f t="shared" si="38"/>
        <v>0</v>
      </c>
      <c r="P116" s="63">
        <f t="shared" si="39"/>
        <v>19.5672</v>
      </c>
      <c r="Q116" s="561">
        <f t="shared" si="33"/>
        <v>0</v>
      </c>
      <c r="R116" s="174"/>
      <c r="T116" s="82"/>
      <c r="U116" s="82"/>
      <c r="V116" s="82"/>
      <c r="W116" s="82"/>
      <c r="X116" s="82"/>
      <c r="Y116" s="82"/>
      <c r="Z116" s="82"/>
      <c r="AA116" s="82"/>
      <c r="AB116" s="82"/>
    </row>
    <row r="117" spans="1:28" s="85" customFormat="1" x14ac:dyDescent="0.25">
      <c r="A117" s="82"/>
      <c r="B117" s="82"/>
      <c r="C117" s="82"/>
      <c r="D117" s="729"/>
      <c r="E117" s="371" t="s">
        <v>113</v>
      </c>
      <c r="F117" s="372">
        <v>7</v>
      </c>
      <c r="G117" s="373">
        <v>48</v>
      </c>
      <c r="H117" s="374">
        <v>5</v>
      </c>
      <c r="I117" s="375">
        <v>0.24</v>
      </c>
      <c r="J117" s="376">
        <f t="shared" si="32"/>
        <v>11.52</v>
      </c>
      <c r="K117" s="66">
        <f t="shared" si="34"/>
        <v>1.7740799999999999</v>
      </c>
      <c r="L117" s="63">
        <f t="shared" si="35"/>
        <v>0</v>
      </c>
      <c r="M117" s="63">
        <f t="shared" si="36"/>
        <v>0</v>
      </c>
      <c r="N117" s="63">
        <f t="shared" si="37"/>
        <v>0</v>
      </c>
      <c r="O117" s="63">
        <f t="shared" si="38"/>
        <v>0</v>
      </c>
      <c r="P117" s="63">
        <f t="shared" si="39"/>
        <v>0</v>
      </c>
      <c r="Q117" s="561">
        <f t="shared" si="33"/>
        <v>0</v>
      </c>
      <c r="R117" s="174"/>
      <c r="T117" s="82"/>
      <c r="U117" s="82"/>
      <c r="V117" s="82"/>
      <c r="W117" s="82"/>
      <c r="X117" s="82"/>
      <c r="Y117" s="82"/>
      <c r="Z117" s="82"/>
      <c r="AA117" s="82"/>
      <c r="AB117" s="82"/>
    </row>
    <row r="118" spans="1:28" s="85" customFormat="1" x14ac:dyDescent="0.25">
      <c r="A118" s="82"/>
      <c r="B118" s="82"/>
      <c r="C118" s="82"/>
      <c r="D118" s="729"/>
      <c r="E118" s="371" t="s">
        <v>113</v>
      </c>
      <c r="F118" s="372">
        <v>8</v>
      </c>
      <c r="G118" s="373">
        <v>20</v>
      </c>
      <c r="H118" s="374">
        <v>5</v>
      </c>
      <c r="I118" s="375">
        <v>1.17</v>
      </c>
      <c r="J118" s="376">
        <f t="shared" si="32"/>
        <v>23.4</v>
      </c>
      <c r="K118" s="66">
        <f t="shared" si="34"/>
        <v>3.6035999999999997</v>
      </c>
      <c r="L118" s="63">
        <f t="shared" si="35"/>
        <v>0</v>
      </c>
      <c r="M118" s="63">
        <f t="shared" si="36"/>
        <v>0</v>
      </c>
      <c r="N118" s="63">
        <f t="shared" si="37"/>
        <v>0</v>
      </c>
      <c r="O118" s="63">
        <f t="shared" si="38"/>
        <v>0</v>
      </c>
      <c r="P118" s="63">
        <f t="shared" si="39"/>
        <v>0</v>
      </c>
      <c r="Q118" s="561">
        <f t="shared" si="33"/>
        <v>0</v>
      </c>
      <c r="R118" s="174"/>
      <c r="T118" s="82"/>
      <c r="U118" s="82"/>
      <c r="V118" s="82"/>
      <c r="W118" s="82"/>
      <c r="X118" s="82"/>
      <c r="Y118" s="82"/>
      <c r="Z118" s="82"/>
      <c r="AA118" s="82"/>
      <c r="AB118" s="82"/>
    </row>
    <row r="119" spans="1:28" s="85" customFormat="1" x14ac:dyDescent="0.25">
      <c r="A119" s="82"/>
      <c r="B119" s="82"/>
      <c r="C119" s="82"/>
      <c r="D119" s="729"/>
      <c r="E119" s="371" t="s">
        <v>113</v>
      </c>
      <c r="F119" s="372">
        <v>9</v>
      </c>
      <c r="G119" s="373">
        <v>8</v>
      </c>
      <c r="H119" s="374">
        <v>5</v>
      </c>
      <c r="I119" s="375">
        <v>0.74</v>
      </c>
      <c r="J119" s="376">
        <f t="shared" si="32"/>
        <v>5.92</v>
      </c>
      <c r="K119" s="66">
        <f t="shared" si="34"/>
        <v>0.91167999999999993</v>
      </c>
      <c r="L119" s="63">
        <f t="shared" si="35"/>
        <v>0</v>
      </c>
      <c r="M119" s="63">
        <f t="shared" si="36"/>
        <v>0</v>
      </c>
      <c r="N119" s="63">
        <f t="shared" si="37"/>
        <v>0</v>
      </c>
      <c r="O119" s="63">
        <f t="shared" si="38"/>
        <v>0</v>
      </c>
      <c r="P119" s="63">
        <f t="shared" si="39"/>
        <v>0</v>
      </c>
      <c r="Q119" s="561">
        <f t="shared" si="33"/>
        <v>0</v>
      </c>
      <c r="R119" s="174"/>
      <c r="T119" s="82"/>
      <c r="U119" s="82"/>
      <c r="V119" s="82"/>
      <c r="W119" s="82"/>
      <c r="X119" s="82"/>
      <c r="Y119" s="82"/>
      <c r="Z119" s="82"/>
      <c r="AA119" s="82"/>
      <c r="AB119" s="82"/>
    </row>
    <row r="120" spans="1:28" s="85" customFormat="1" x14ac:dyDescent="0.25">
      <c r="A120" s="82"/>
      <c r="B120" s="82"/>
      <c r="C120" s="82"/>
      <c r="D120" s="729"/>
      <c r="E120" s="371" t="s">
        <v>113</v>
      </c>
      <c r="F120" s="372">
        <v>56</v>
      </c>
      <c r="G120" s="373">
        <v>8</v>
      </c>
      <c r="H120" s="374">
        <v>16</v>
      </c>
      <c r="I120" s="375">
        <v>3.42</v>
      </c>
      <c r="J120" s="376">
        <f t="shared" si="32"/>
        <v>27.36</v>
      </c>
      <c r="K120" s="66">
        <f t="shared" si="34"/>
        <v>0</v>
      </c>
      <c r="L120" s="63">
        <f t="shared" si="35"/>
        <v>0</v>
      </c>
      <c r="M120" s="63">
        <f t="shared" si="36"/>
        <v>0</v>
      </c>
      <c r="N120" s="63">
        <f t="shared" si="37"/>
        <v>0</v>
      </c>
      <c r="O120" s="63">
        <f t="shared" si="38"/>
        <v>0</v>
      </c>
      <c r="P120" s="63">
        <f t="shared" si="39"/>
        <v>43.174080000000004</v>
      </c>
      <c r="Q120" s="561">
        <f t="shared" si="33"/>
        <v>0</v>
      </c>
      <c r="R120" s="174"/>
      <c r="T120" s="82"/>
      <c r="U120" s="82"/>
      <c r="V120" s="82"/>
      <c r="W120" s="82"/>
      <c r="X120" s="82"/>
      <c r="Y120" s="82"/>
      <c r="Z120" s="82"/>
      <c r="AA120" s="82"/>
      <c r="AB120" s="82"/>
    </row>
    <row r="121" spans="1:28" s="85" customFormat="1" x14ac:dyDescent="0.25">
      <c r="A121" s="82"/>
      <c r="B121" s="82"/>
      <c r="C121" s="82"/>
      <c r="D121" s="729"/>
      <c r="E121" s="396" t="s">
        <v>184</v>
      </c>
      <c r="F121" s="403"/>
      <c r="G121" s="397"/>
      <c r="H121" s="398"/>
      <c r="I121" s="399"/>
      <c r="J121" s="400">
        <f t="shared" si="32"/>
        <v>0</v>
      </c>
      <c r="K121" s="401">
        <f t="shared" si="34"/>
        <v>0</v>
      </c>
      <c r="L121" s="196">
        <f t="shared" si="35"/>
        <v>0</v>
      </c>
      <c r="M121" s="196">
        <f t="shared" si="36"/>
        <v>0</v>
      </c>
      <c r="N121" s="196">
        <f t="shared" si="37"/>
        <v>0</v>
      </c>
      <c r="O121" s="196">
        <f t="shared" si="38"/>
        <v>0</v>
      </c>
      <c r="P121" s="196">
        <f t="shared" si="39"/>
        <v>0</v>
      </c>
      <c r="Q121" s="566">
        <f t="shared" si="33"/>
        <v>0</v>
      </c>
      <c r="R121" s="538"/>
      <c r="T121" s="82"/>
      <c r="U121" s="82"/>
      <c r="V121" s="82"/>
      <c r="W121" s="82"/>
      <c r="X121" s="82"/>
      <c r="Y121" s="82"/>
      <c r="Z121" s="82"/>
      <c r="AA121" s="82"/>
      <c r="AB121" s="82"/>
    </row>
    <row r="122" spans="1:28" s="85" customFormat="1" x14ac:dyDescent="0.25">
      <c r="A122" s="82"/>
      <c r="B122" s="82"/>
      <c r="C122" s="82"/>
      <c r="D122" s="729"/>
      <c r="E122" s="371" t="s">
        <v>184</v>
      </c>
      <c r="F122" s="372"/>
      <c r="G122" s="373"/>
      <c r="H122" s="374"/>
      <c r="I122" s="375"/>
      <c r="J122" s="376">
        <f t="shared" si="32"/>
        <v>0</v>
      </c>
      <c r="K122" s="66">
        <f t="shared" si="34"/>
        <v>0</v>
      </c>
      <c r="L122" s="63">
        <f t="shared" si="35"/>
        <v>0</v>
      </c>
      <c r="M122" s="63">
        <f t="shared" si="36"/>
        <v>0</v>
      </c>
      <c r="N122" s="63">
        <f t="shared" si="37"/>
        <v>0</v>
      </c>
      <c r="O122" s="63">
        <f t="shared" si="38"/>
        <v>0</v>
      </c>
      <c r="P122" s="63">
        <f t="shared" si="39"/>
        <v>0</v>
      </c>
      <c r="Q122" s="562">
        <f t="shared" si="33"/>
        <v>0</v>
      </c>
      <c r="R122" s="377"/>
      <c r="T122" s="82"/>
      <c r="U122" s="82"/>
      <c r="V122" s="82"/>
      <c r="W122" s="82"/>
      <c r="X122" s="82"/>
      <c r="Y122" s="82"/>
      <c r="Z122" s="82"/>
      <c r="AA122" s="82"/>
      <c r="AB122" s="82"/>
    </row>
    <row r="123" spans="1:28" s="85" customFormat="1" x14ac:dyDescent="0.25">
      <c r="A123" s="82"/>
      <c r="B123" s="82"/>
      <c r="C123" s="82"/>
      <c r="D123" s="729"/>
      <c r="E123" s="371" t="s">
        <v>184</v>
      </c>
      <c r="F123" s="372"/>
      <c r="G123" s="373"/>
      <c r="H123" s="374"/>
      <c r="I123" s="375"/>
      <c r="J123" s="376">
        <f t="shared" si="32"/>
        <v>0</v>
      </c>
      <c r="K123" s="66">
        <f t="shared" si="34"/>
        <v>0</v>
      </c>
      <c r="L123" s="63">
        <f t="shared" si="35"/>
        <v>0</v>
      </c>
      <c r="M123" s="63">
        <f t="shared" si="36"/>
        <v>0</v>
      </c>
      <c r="N123" s="63">
        <f t="shared" si="37"/>
        <v>0</v>
      </c>
      <c r="O123" s="63">
        <f t="shared" si="38"/>
        <v>0</v>
      </c>
      <c r="P123" s="63">
        <f t="shared" si="39"/>
        <v>0</v>
      </c>
      <c r="Q123" s="562">
        <f t="shared" si="33"/>
        <v>0</v>
      </c>
      <c r="R123" s="377"/>
      <c r="T123" s="82"/>
      <c r="U123" s="82"/>
      <c r="V123" s="82"/>
      <c r="W123" s="82"/>
      <c r="X123" s="82"/>
      <c r="Y123" s="82"/>
      <c r="Z123" s="82"/>
      <c r="AA123" s="82"/>
      <c r="AB123" s="82"/>
    </row>
    <row r="124" spans="1:28" s="85" customFormat="1" ht="13.8" thickBot="1" x14ac:dyDescent="0.3">
      <c r="A124" s="82"/>
      <c r="B124" s="82"/>
      <c r="C124" s="82"/>
      <c r="D124" s="731"/>
      <c r="E124" s="390" t="s">
        <v>184</v>
      </c>
      <c r="F124" s="391"/>
      <c r="G124" s="392"/>
      <c r="H124" s="393"/>
      <c r="I124" s="394"/>
      <c r="J124" s="395">
        <f t="shared" si="32"/>
        <v>0</v>
      </c>
      <c r="K124" s="221">
        <f t="shared" si="34"/>
        <v>0</v>
      </c>
      <c r="L124" s="222">
        <f t="shared" si="35"/>
        <v>0</v>
      </c>
      <c r="M124" s="222">
        <f t="shared" si="36"/>
        <v>0</v>
      </c>
      <c r="N124" s="222">
        <f t="shared" si="37"/>
        <v>0</v>
      </c>
      <c r="O124" s="222">
        <f t="shared" si="38"/>
        <v>0</v>
      </c>
      <c r="P124" s="222">
        <f t="shared" si="39"/>
        <v>0</v>
      </c>
      <c r="Q124" s="564">
        <f t="shared" si="33"/>
        <v>0</v>
      </c>
      <c r="R124" s="539"/>
      <c r="T124" s="82"/>
      <c r="U124" s="82"/>
      <c r="V124" s="82"/>
      <c r="W124" s="82"/>
      <c r="X124" s="82"/>
      <c r="Y124" s="82"/>
      <c r="Z124" s="82"/>
      <c r="AA124" s="82"/>
      <c r="AB124" s="82"/>
    </row>
    <row r="125" spans="1:28" s="85" customFormat="1" ht="13.8" thickTop="1" x14ac:dyDescent="0.25">
      <c r="A125" s="82"/>
      <c r="B125" s="82"/>
      <c r="C125" s="82"/>
      <c r="D125" s="728" t="s">
        <v>1275</v>
      </c>
      <c r="E125" s="384" t="s">
        <v>49</v>
      </c>
      <c r="F125" s="385">
        <v>4</v>
      </c>
      <c r="G125" s="386">
        <v>3</v>
      </c>
      <c r="H125" s="387">
        <v>5</v>
      </c>
      <c r="I125" s="388">
        <v>1.07</v>
      </c>
      <c r="J125" s="389">
        <f t="shared" si="32"/>
        <v>3.21</v>
      </c>
      <c r="K125" s="218">
        <f t="shared" si="34"/>
        <v>0.49434</v>
      </c>
      <c r="L125" s="219">
        <f t="shared" si="35"/>
        <v>0</v>
      </c>
      <c r="M125" s="219">
        <f t="shared" si="36"/>
        <v>0</v>
      </c>
      <c r="N125" s="219">
        <f t="shared" si="37"/>
        <v>0</v>
      </c>
      <c r="O125" s="219">
        <f t="shared" si="38"/>
        <v>0</v>
      </c>
      <c r="P125" s="219">
        <f t="shared" si="39"/>
        <v>0</v>
      </c>
      <c r="Q125" s="563">
        <f t="shared" si="33"/>
        <v>0</v>
      </c>
      <c r="R125" s="220"/>
      <c r="T125" s="82"/>
      <c r="U125" s="82"/>
      <c r="V125" s="82"/>
      <c r="W125" s="82"/>
      <c r="X125" s="82"/>
      <c r="Y125" s="82"/>
      <c r="Z125" s="82"/>
      <c r="AA125" s="82"/>
      <c r="AB125" s="82"/>
    </row>
    <row r="126" spans="1:28" s="85" customFormat="1" x14ac:dyDescent="0.25">
      <c r="A126" s="82"/>
      <c r="B126" s="82"/>
      <c r="C126" s="82"/>
      <c r="D126" s="729"/>
      <c r="E126" s="371" t="s">
        <v>49</v>
      </c>
      <c r="F126" s="372">
        <v>5</v>
      </c>
      <c r="G126" s="373">
        <v>6</v>
      </c>
      <c r="H126" s="374">
        <v>5</v>
      </c>
      <c r="I126" s="375">
        <v>0.74</v>
      </c>
      <c r="J126" s="376">
        <f t="shared" si="32"/>
        <v>4.4399999999999995</v>
      </c>
      <c r="K126" s="66">
        <f t="shared" si="34"/>
        <v>0.68375999999999992</v>
      </c>
      <c r="L126" s="63">
        <f t="shared" si="35"/>
        <v>0</v>
      </c>
      <c r="M126" s="63">
        <f t="shared" si="36"/>
        <v>0</v>
      </c>
      <c r="N126" s="63">
        <f t="shared" si="37"/>
        <v>0</v>
      </c>
      <c r="O126" s="63">
        <f t="shared" si="38"/>
        <v>0</v>
      </c>
      <c r="P126" s="63">
        <f t="shared" si="39"/>
        <v>0</v>
      </c>
      <c r="Q126" s="561">
        <f t="shared" si="33"/>
        <v>0</v>
      </c>
      <c r="R126" s="174"/>
      <c r="T126" s="82"/>
      <c r="U126" s="82"/>
      <c r="V126" s="82"/>
      <c r="W126" s="82"/>
      <c r="X126" s="82"/>
      <c r="Y126" s="82"/>
      <c r="Z126" s="82"/>
      <c r="AA126" s="82"/>
      <c r="AB126" s="82"/>
    </row>
    <row r="127" spans="1:28" s="85" customFormat="1" x14ac:dyDescent="0.25">
      <c r="A127" s="82"/>
      <c r="B127" s="82"/>
      <c r="C127" s="82"/>
      <c r="D127" s="729"/>
      <c r="E127" s="371" t="s">
        <v>49</v>
      </c>
      <c r="F127" s="372">
        <v>10</v>
      </c>
      <c r="G127" s="373">
        <v>12</v>
      </c>
      <c r="H127" s="374">
        <v>5</v>
      </c>
      <c r="I127" s="375">
        <v>0.28999999999999998</v>
      </c>
      <c r="J127" s="376">
        <f t="shared" si="32"/>
        <v>3.4799999999999995</v>
      </c>
      <c r="K127" s="66">
        <f t="shared" si="34"/>
        <v>0.53591999999999995</v>
      </c>
      <c r="L127" s="63">
        <f t="shared" si="35"/>
        <v>0</v>
      </c>
      <c r="M127" s="63">
        <f t="shared" si="36"/>
        <v>0</v>
      </c>
      <c r="N127" s="63">
        <f t="shared" si="37"/>
        <v>0</v>
      </c>
      <c r="O127" s="63">
        <f t="shared" si="38"/>
        <v>0</v>
      </c>
      <c r="P127" s="63">
        <f t="shared" si="39"/>
        <v>0</v>
      </c>
      <c r="Q127" s="561">
        <f t="shared" si="33"/>
        <v>0</v>
      </c>
      <c r="R127" s="174"/>
      <c r="T127" s="82"/>
      <c r="U127" s="82"/>
      <c r="V127" s="82"/>
      <c r="W127" s="82"/>
      <c r="X127" s="82"/>
      <c r="Y127" s="82"/>
      <c r="Z127" s="82"/>
      <c r="AA127" s="82"/>
      <c r="AB127" s="82"/>
    </row>
    <row r="128" spans="1:28" s="85" customFormat="1" x14ac:dyDescent="0.25">
      <c r="A128" s="82"/>
      <c r="B128" s="82"/>
      <c r="C128" s="82"/>
      <c r="D128" s="729"/>
      <c r="E128" s="371" t="s">
        <v>49</v>
      </c>
      <c r="F128" s="372">
        <v>15</v>
      </c>
      <c r="G128" s="373">
        <v>8</v>
      </c>
      <c r="H128" s="374">
        <v>16</v>
      </c>
      <c r="I128" s="375">
        <v>1.55</v>
      </c>
      <c r="J128" s="376">
        <f t="shared" si="32"/>
        <v>12.4</v>
      </c>
      <c r="K128" s="66">
        <f t="shared" si="34"/>
        <v>0</v>
      </c>
      <c r="L128" s="63">
        <f t="shared" si="35"/>
        <v>0</v>
      </c>
      <c r="M128" s="63">
        <f t="shared" si="36"/>
        <v>0</v>
      </c>
      <c r="N128" s="63">
        <f t="shared" si="37"/>
        <v>0</v>
      </c>
      <c r="O128" s="63">
        <f t="shared" si="38"/>
        <v>0</v>
      </c>
      <c r="P128" s="63">
        <f t="shared" si="39"/>
        <v>19.5672</v>
      </c>
      <c r="Q128" s="561">
        <f t="shared" si="33"/>
        <v>0</v>
      </c>
      <c r="R128" s="174"/>
      <c r="T128" s="82"/>
      <c r="U128" s="82"/>
      <c r="V128" s="82"/>
      <c r="W128" s="82"/>
      <c r="X128" s="82"/>
      <c r="Y128" s="82"/>
      <c r="Z128" s="82"/>
      <c r="AA128" s="82"/>
      <c r="AB128" s="82"/>
    </row>
    <row r="129" spans="1:28" s="85" customFormat="1" x14ac:dyDescent="0.25">
      <c r="A129" s="82"/>
      <c r="B129" s="82"/>
      <c r="C129" s="82"/>
      <c r="D129" s="729"/>
      <c r="E129" s="371" t="s">
        <v>113</v>
      </c>
      <c r="F129" s="372">
        <v>5</v>
      </c>
      <c r="G129" s="373">
        <v>16</v>
      </c>
      <c r="H129" s="374">
        <v>5</v>
      </c>
      <c r="I129" s="375">
        <v>1.07</v>
      </c>
      <c r="J129" s="376">
        <f t="shared" si="32"/>
        <v>17.12</v>
      </c>
      <c r="K129" s="66">
        <f t="shared" si="34"/>
        <v>2.6364800000000002</v>
      </c>
      <c r="L129" s="63">
        <f t="shared" si="35"/>
        <v>0</v>
      </c>
      <c r="M129" s="63">
        <f t="shared" si="36"/>
        <v>0</v>
      </c>
      <c r="N129" s="63">
        <f t="shared" si="37"/>
        <v>0</v>
      </c>
      <c r="O129" s="63">
        <f t="shared" si="38"/>
        <v>0</v>
      </c>
      <c r="P129" s="63">
        <f t="shared" si="39"/>
        <v>0</v>
      </c>
      <c r="Q129" s="561">
        <f t="shared" si="33"/>
        <v>0</v>
      </c>
      <c r="R129" s="174"/>
      <c r="T129" s="82"/>
      <c r="U129" s="82"/>
      <c r="V129" s="82"/>
      <c r="W129" s="82"/>
      <c r="X129" s="82"/>
      <c r="Y129" s="82"/>
      <c r="Z129" s="82"/>
      <c r="AA129" s="82"/>
      <c r="AB129" s="82"/>
    </row>
    <row r="130" spans="1:28" s="85" customFormat="1" x14ac:dyDescent="0.25">
      <c r="A130" s="82"/>
      <c r="B130" s="82"/>
      <c r="C130" s="82"/>
      <c r="D130" s="729"/>
      <c r="E130" s="371" t="s">
        <v>113</v>
      </c>
      <c r="F130" s="372">
        <v>6</v>
      </c>
      <c r="G130" s="373">
        <v>6</v>
      </c>
      <c r="H130" s="374">
        <v>5</v>
      </c>
      <c r="I130" s="375">
        <v>0.74</v>
      </c>
      <c r="J130" s="376">
        <f t="shared" si="32"/>
        <v>4.4399999999999995</v>
      </c>
      <c r="K130" s="66">
        <f t="shared" si="34"/>
        <v>0.68375999999999992</v>
      </c>
      <c r="L130" s="63">
        <f t="shared" si="35"/>
        <v>0</v>
      </c>
      <c r="M130" s="63">
        <f t="shared" si="36"/>
        <v>0</v>
      </c>
      <c r="N130" s="63">
        <f t="shared" si="37"/>
        <v>0</v>
      </c>
      <c r="O130" s="63">
        <f t="shared" si="38"/>
        <v>0</v>
      </c>
      <c r="P130" s="63">
        <f t="shared" si="39"/>
        <v>0</v>
      </c>
      <c r="Q130" s="561">
        <f t="shared" si="33"/>
        <v>0</v>
      </c>
      <c r="R130" s="174"/>
      <c r="T130" s="82"/>
      <c r="U130" s="82"/>
      <c r="V130" s="82"/>
      <c r="W130" s="82"/>
      <c r="X130" s="82"/>
      <c r="Y130" s="82"/>
      <c r="Z130" s="82"/>
      <c r="AA130" s="82"/>
      <c r="AB130" s="82"/>
    </row>
    <row r="131" spans="1:28" s="85" customFormat="1" x14ac:dyDescent="0.25">
      <c r="A131" s="82"/>
      <c r="B131" s="82"/>
      <c r="C131" s="82"/>
      <c r="D131" s="729"/>
      <c r="E131" s="371" t="s">
        <v>113</v>
      </c>
      <c r="F131" s="372">
        <v>10</v>
      </c>
      <c r="G131" s="373">
        <v>38</v>
      </c>
      <c r="H131" s="374">
        <v>5</v>
      </c>
      <c r="I131" s="375">
        <v>0.28999999999999998</v>
      </c>
      <c r="J131" s="376">
        <f t="shared" si="32"/>
        <v>11.02</v>
      </c>
      <c r="K131" s="66">
        <f t="shared" si="34"/>
        <v>1.6970799999999999</v>
      </c>
      <c r="L131" s="63">
        <f t="shared" si="35"/>
        <v>0</v>
      </c>
      <c r="M131" s="63">
        <f t="shared" si="36"/>
        <v>0</v>
      </c>
      <c r="N131" s="63">
        <f t="shared" si="37"/>
        <v>0</v>
      </c>
      <c r="O131" s="63">
        <f t="shared" si="38"/>
        <v>0</v>
      </c>
      <c r="P131" s="63">
        <f t="shared" si="39"/>
        <v>0</v>
      </c>
      <c r="Q131" s="561">
        <f t="shared" si="33"/>
        <v>0</v>
      </c>
      <c r="R131" s="174"/>
      <c r="T131" s="82"/>
      <c r="U131" s="82"/>
      <c r="V131" s="82"/>
      <c r="W131" s="82"/>
      <c r="X131" s="82"/>
      <c r="Y131" s="82"/>
      <c r="Z131" s="82"/>
      <c r="AA131" s="82"/>
      <c r="AB131" s="82"/>
    </row>
    <row r="132" spans="1:28" s="85" customFormat="1" x14ac:dyDescent="0.25">
      <c r="A132" s="82"/>
      <c r="B132" s="82"/>
      <c r="C132" s="82"/>
      <c r="D132" s="729"/>
      <c r="E132" s="371" t="s">
        <v>113</v>
      </c>
      <c r="F132" s="372">
        <v>56</v>
      </c>
      <c r="G132" s="373">
        <v>8</v>
      </c>
      <c r="H132" s="374">
        <v>16</v>
      </c>
      <c r="I132" s="375">
        <v>3.42</v>
      </c>
      <c r="J132" s="376">
        <f t="shared" si="32"/>
        <v>27.36</v>
      </c>
      <c r="K132" s="66">
        <f t="shared" si="34"/>
        <v>0</v>
      </c>
      <c r="L132" s="63">
        <f t="shared" si="35"/>
        <v>0</v>
      </c>
      <c r="M132" s="63">
        <f t="shared" si="36"/>
        <v>0</v>
      </c>
      <c r="N132" s="63">
        <f t="shared" si="37"/>
        <v>0</v>
      </c>
      <c r="O132" s="63">
        <f t="shared" si="38"/>
        <v>0</v>
      </c>
      <c r="P132" s="63">
        <f t="shared" si="39"/>
        <v>43.174080000000004</v>
      </c>
      <c r="Q132" s="561">
        <f t="shared" si="33"/>
        <v>0</v>
      </c>
      <c r="R132" s="174"/>
      <c r="T132" s="82"/>
      <c r="U132" s="82"/>
      <c r="V132" s="82"/>
      <c r="W132" s="82"/>
      <c r="X132" s="82"/>
      <c r="Y132" s="82"/>
      <c r="Z132" s="82"/>
      <c r="AA132" s="82"/>
      <c r="AB132" s="82"/>
    </row>
    <row r="133" spans="1:28" s="85" customFormat="1" x14ac:dyDescent="0.25">
      <c r="A133" s="82"/>
      <c r="B133" s="82"/>
      <c r="C133" s="82"/>
      <c r="D133" s="729"/>
      <c r="E133" s="396" t="s">
        <v>184</v>
      </c>
      <c r="F133" s="403"/>
      <c r="G133" s="397"/>
      <c r="H133" s="398"/>
      <c r="I133" s="399"/>
      <c r="J133" s="400">
        <f t="shared" si="32"/>
        <v>0</v>
      </c>
      <c r="K133" s="401">
        <f t="shared" si="34"/>
        <v>0</v>
      </c>
      <c r="L133" s="196">
        <f t="shared" si="35"/>
        <v>0</v>
      </c>
      <c r="M133" s="196">
        <f t="shared" si="36"/>
        <v>0</v>
      </c>
      <c r="N133" s="196">
        <f t="shared" si="37"/>
        <v>0</v>
      </c>
      <c r="O133" s="196">
        <f t="shared" si="38"/>
        <v>0</v>
      </c>
      <c r="P133" s="196">
        <f t="shared" si="39"/>
        <v>0</v>
      </c>
      <c r="Q133" s="566">
        <f t="shared" si="33"/>
        <v>0</v>
      </c>
      <c r="R133" s="538"/>
      <c r="T133" s="82"/>
      <c r="U133" s="82"/>
      <c r="V133" s="82"/>
      <c r="W133" s="82"/>
      <c r="X133" s="82"/>
      <c r="Y133" s="82"/>
      <c r="Z133" s="82"/>
      <c r="AA133" s="82"/>
      <c r="AB133" s="82"/>
    </row>
    <row r="134" spans="1:28" s="85" customFormat="1" x14ac:dyDescent="0.25">
      <c r="A134" s="82"/>
      <c r="B134" s="82"/>
      <c r="C134" s="82"/>
      <c r="D134" s="729"/>
      <c r="E134" s="371" t="s">
        <v>184</v>
      </c>
      <c r="F134" s="372"/>
      <c r="G134" s="373"/>
      <c r="H134" s="374"/>
      <c r="I134" s="375"/>
      <c r="J134" s="376">
        <f t="shared" si="32"/>
        <v>0</v>
      </c>
      <c r="K134" s="66">
        <f t="shared" si="34"/>
        <v>0</v>
      </c>
      <c r="L134" s="63">
        <f t="shared" si="35"/>
        <v>0</v>
      </c>
      <c r="M134" s="63">
        <f t="shared" si="36"/>
        <v>0</v>
      </c>
      <c r="N134" s="63">
        <f t="shared" si="37"/>
        <v>0</v>
      </c>
      <c r="O134" s="63">
        <f t="shared" si="38"/>
        <v>0</v>
      </c>
      <c r="P134" s="63">
        <f t="shared" si="39"/>
        <v>0</v>
      </c>
      <c r="Q134" s="562">
        <f t="shared" si="33"/>
        <v>0</v>
      </c>
      <c r="R134" s="377"/>
      <c r="T134" s="82"/>
      <c r="U134" s="82"/>
      <c r="V134" s="82"/>
      <c r="W134" s="82"/>
      <c r="X134" s="82"/>
      <c r="Y134" s="82"/>
      <c r="Z134" s="82"/>
      <c r="AA134" s="82"/>
      <c r="AB134" s="82"/>
    </row>
    <row r="135" spans="1:28" s="85" customFormat="1" x14ac:dyDescent="0.25">
      <c r="A135" s="82"/>
      <c r="B135" s="82"/>
      <c r="C135" s="82"/>
      <c r="D135" s="729"/>
      <c r="E135" s="371" t="s">
        <v>184</v>
      </c>
      <c r="F135" s="372"/>
      <c r="G135" s="373"/>
      <c r="H135" s="374"/>
      <c r="I135" s="375"/>
      <c r="J135" s="376">
        <f t="shared" si="32"/>
        <v>0</v>
      </c>
      <c r="K135" s="66">
        <f t="shared" si="34"/>
        <v>0</v>
      </c>
      <c r="L135" s="63">
        <f t="shared" si="35"/>
        <v>0</v>
      </c>
      <c r="M135" s="63">
        <f t="shared" si="36"/>
        <v>0</v>
      </c>
      <c r="N135" s="63">
        <f t="shared" si="37"/>
        <v>0</v>
      </c>
      <c r="O135" s="63">
        <f t="shared" si="38"/>
        <v>0</v>
      </c>
      <c r="P135" s="63">
        <f t="shared" si="39"/>
        <v>0</v>
      </c>
      <c r="Q135" s="562">
        <f t="shared" si="33"/>
        <v>0</v>
      </c>
      <c r="R135" s="377"/>
      <c r="T135" s="82"/>
      <c r="U135" s="82"/>
      <c r="V135" s="82"/>
      <c r="W135" s="82"/>
      <c r="X135" s="82"/>
      <c r="Y135" s="82"/>
      <c r="Z135" s="82"/>
      <c r="AA135" s="82"/>
      <c r="AB135" s="82"/>
    </row>
    <row r="136" spans="1:28" s="85" customFormat="1" ht="13.8" thickBot="1" x14ac:dyDescent="0.3">
      <c r="A136" s="82"/>
      <c r="B136" s="82"/>
      <c r="C136" s="82"/>
      <c r="D136" s="731"/>
      <c r="E136" s="390" t="s">
        <v>184</v>
      </c>
      <c r="F136" s="391"/>
      <c r="G136" s="392"/>
      <c r="H136" s="393"/>
      <c r="I136" s="394"/>
      <c r="J136" s="395">
        <f t="shared" si="32"/>
        <v>0</v>
      </c>
      <c r="K136" s="221">
        <f t="shared" si="34"/>
        <v>0</v>
      </c>
      <c r="L136" s="222">
        <f t="shared" si="35"/>
        <v>0</v>
      </c>
      <c r="M136" s="222">
        <f t="shared" si="36"/>
        <v>0</v>
      </c>
      <c r="N136" s="222">
        <f t="shared" si="37"/>
        <v>0</v>
      </c>
      <c r="O136" s="222">
        <f t="shared" si="38"/>
        <v>0</v>
      </c>
      <c r="P136" s="222">
        <f t="shared" si="39"/>
        <v>0</v>
      </c>
      <c r="Q136" s="564">
        <f t="shared" si="33"/>
        <v>0</v>
      </c>
      <c r="R136" s="539"/>
      <c r="T136" s="82"/>
      <c r="U136" s="82"/>
      <c r="V136" s="82"/>
      <c r="W136" s="82"/>
      <c r="X136" s="82"/>
      <c r="Y136" s="82"/>
      <c r="Z136" s="82"/>
      <c r="AA136" s="82"/>
      <c r="AB136" s="82"/>
    </row>
    <row r="137" spans="1:28" s="16" customFormat="1" ht="15.6" customHeight="1" thickTop="1" thickBot="1" x14ac:dyDescent="0.3">
      <c r="D137" s="776" t="s">
        <v>1284</v>
      </c>
      <c r="E137" s="777"/>
      <c r="F137" s="777"/>
      <c r="G137" s="777"/>
      <c r="H137" s="777"/>
      <c r="I137" s="777"/>
      <c r="J137" s="777"/>
      <c r="K137" s="777"/>
      <c r="L137" s="777"/>
      <c r="M137" s="777"/>
      <c r="N137" s="777"/>
      <c r="O137" s="777"/>
      <c r="P137" s="777"/>
      <c r="Q137" s="777"/>
      <c r="R137" s="777"/>
      <c r="S137" s="544"/>
    </row>
    <row r="138" spans="1:28" s="85" customFormat="1" ht="13.8" thickTop="1" x14ac:dyDescent="0.25">
      <c r="A138" s="82"/>
      <c r="B138" s="82"/>
      <c r="C138" s="82"/>
      <c r="D138" s="728" t="s">
        <v>1288</v>
      </c>
      <c r="E138" s="384" t="s">
        <v>49</v>
      </c>
      <c r="F138" s="385">
        <v>3</v>
      </c>
      <c r="G138" s="386">
        <v>18</v>
      </c>
      <c r="H138" s="387">
        <v>5</v>
      </c>
      <c r="I138" s="388">
        <v>0.21</v>
      </c>
      <c r="J138" s="389">
        <f t="shared" si="32"/>
        <v>3.78</v>
      </c>
      <c r="K138" s="218">
        <f t="shared" si="34"/>
        <v>0.58211999999999997</v>
      </c>
      <c r="L138" s="219">
        <f t="shared" si="35"/>
        <v>0</v>
      </c>
      <c r="M138" s="219">
        <f t="shared" si="36"/>
        <v>0</v>
      </c>
      <c r="N138" s="219">
        <f t="shared" si="37"/>
        <v>0</v>
      </c>
      <c r="O138" s="219">
        <f t="shared" si="38"/>
        <v>0</v>
      </c>
      <c r="P138" s="219">
        <f t="shared" si="39"/>
        <v>0</v>
      </c>
      <c r="Q138" s="563">
        <f t="shared" si="33"/>
        <v>0</v>
      </c>
      <c r="R138" s="220"/>
      <c r="T138" s="82"/>
      <c r="U138" s="82"/>
      <c r="V138" s="82"/>
      <c r="W138" s="82"/>
      <c r="X138" s="82"/>
      <c r="Y138" s="82"/>
      <c r="Z138" s="82"/>
      <c r="AA138" s="82"/>
      <c r="AB138" s="82"/>
    </row>
    <row r="139" spans="1:28" s="85" customFormat="1" x14ac:dyDescent="0.25">
      <c r="A139" s="82"/>
      <c r="B139" s="82"/>
      <c r="C139" s="82"/>
      <c r="D139" s="729"/>
      <c r="E139" s="371" t="s">
        <v>49</v>
      </c>
      <c r="F139" s="372">
        <v>4</v>
      </c>
      <c r="G139" s="373">
        <v>18</v>
      </c>
      <c r="H139" s="374">
        <v>5</v>
      </c>
      <c r="I139" s="375">
        <v>1.1000000000000001</v>
      </c>
      <c r="J139" s="376">
        <f t="shared" si="32"/>
        <v>19.8</v>
      </c>
      <c r="K139" s="66">
        <f t="shared" si="34"/>
        <v>3.0491999999999999</v>
      </c>
      <c r="L139" s="63">
        <f t="shared" si="35"/>
        <v>0</v>
      </c>
      <c r="M139" s="63">
        <f t="shared" si="36"/>
        <v>0</v>
      </c>
      <c r="N139" s="63">
        <f t="shared" si="37"/>
        <v>0</v>
      </c>
      <c r="O139" s="63">
        <f t="shared" si="38"/>
        <v>0</v>
      </c>
      <c r="P139" s="63">
        <f t="shared" si="39"/>
        <v>0</v>
      </c>
      <c r="Q139" s="561">
        <f t="shared" si="33"/>
        <v>0</v>
      </c>
      <c r="R139" s="174"/>
      <c r="T139" s="82"/>
      <c r="U139" s="82"/>
      <c r="V139" s="82"/>
      <c r="W139" s="82"/>
      <c r="X139" s="82"/>
      <c r="Y139" s="82"/>
      <c r="Z139" s="82"/>
      <c r="AA139" s="82"/>
      <c r="AB139" s="82"/>
    </row>
    <row r="140" spans="1:28" s="85" customFormat="1" x14ac:dyDescent="0.25">
      <c r="A140" s="82"/>
      <c r="B140" s="82"/>
      <c r="C140" s="82"/>
      <c r="D140" s="729"/>
      <c r="E140" s="371" t="s">
        <v>49</v>
      </c>
      <c r="F140" s="372">
        <v>32</v>
      </c>
      <c r="G140" s="373">
        <v>8</v>
      </c>
      <c r="H140" s="374">
        <v>10</v>
      </c>
      <c r="I140" s="375">
        <v>1.47</v>
      </c>
      <c r="J140" s="376">
        <f t="shared" si="32"/>
        <v>11.76</v>
      </c>
      <c r="K140" s="66">
        <f t="shared" si="34"/>
        <v>0</v>
      </c>
      <c r="L140" s="63">
        <f t="shared" si="35"/>
        <v>0</v>
      </c>
      <c r="M140" s="63">
        <f t="shared" si="36"/>
        <v>0</v>
      </c>
      <c r="N140" s="63">
        <f t="shared" si="37"/>
        <v>7.2559199999999997</v>
      </c>
      <c r="O140" s="63">
        <f t="shared" si="38"/>
        <v>0</v>
      </c>
      <c r="P140" s="63">
        <f t="shared" si="39"/>
        <v>0</v>
      </c>
      <c r="Q140" s="561">
        <f t="shared" si="33"/>
        <v>0</v>
      </c>
      <c r="R140" s="174"/>
      <c r="T140" s="82"/>
      <c r="U140" s="82"/>
      <c r="V140" s="82"/>
      <c r="W140" s="82"/>
      <c r="X140" s="82"/>
      <c r="Y140" s="82"/>
      <c r="Z140" s="82"/>
      <c r="AA140" s="82"/>
      <c r="AB140" s="82"/>
    </row>
    <row r="141" spans="1:28" s="85" customFormat="1" x14ac:dyDescent="0.25">
      <c r="A141" s="82"/>
      <c r="B141" s="82"/>
      <c r="C141" s="82"/>
      <c r="D141" s="729"/>
      <c r="E141" s="371" t="s">
        <v>113</v>
      </c>
      <c r="F141" s="372">
        <v>1</v>
      </c>
      <c r="G141" s="373">
        <v>60</v>
      </c>
      <c r="H141" s="374">
        <v>5</v>
      </c>
      <c r="I141" s="375">
        <v>0.24</v>
      </c>
      <c r="J141" s="376">
        <f t="shared" si="32"/>
        <v>14.399999999999999</v>
      </c>
      <c r="K141" s="66">
        <f t="shared" si="34"/>
        <v>2.2175999999999996</v>
      </c>
      <c r="L141" s="63">
        <f t="shared" si="35"/>
        <v>0</v>
      </c>
      <c r="M141" s="63">
        <f t="shared" si="36"/>
        <v>0</v>
      </c>
      <c r="N141" s="63">
        <f t="shared" si="37"/>
        <v>0</v>
      </c>
      <c r="O141" s="63">
        <f t="shared" si="38"/>
        <v>0</v>
      </c>
      <c r="P141" s="63">
        <f t="shared" si="39"/>
        <v>0</v>
      </c>
      <c r="Q141" s="561">
        <f t="shared" si="33"/>
        <v>0</v>
      </c>
      <c r="R141" s="174"/>
      <c r="T141" s="82"/>
      <c r="U141" s="82"/>
      <c r="V141" s="82"/>
      <c r="W141" s="82"/>
      <c r="X141" s="82"/>
      <c r="Y141" s="82"/>
      <c r="Z141" s="82"/>
      <c r="AA141" s="82"/>
      <c r="AB141" s="82"/>
    </row>
    <row r="142" spans="1:28" s="85" customFormat="1" x14ac:dyDescent="0.25">
      <c r="A142" s="82"/>
      <c r="B142" s="82"/>
      <c r="C142" s="82"/>
      <c r="D142" s="729"/>
      <c r="E142" s="371" t="s">
        <v>113</v>
      </c>
      <c r="F142" s="372">
        <v>2</v>
      </c>
      <c r="G142" s="373">
        <v>25</v>
      </c>
      <c r="H142" s="374">
        <v>5</v>
      </c>
      <c r="I142" s="375">
        <v>2.0699999999999998</v>
      </c>
      <c r="J142" s="376">
        <f t="shared" si="32"/>
        <v>51.749999999999993</v>
      </c>
      <c r="K142" s="66">
        <f t="shared" si="34"/>
        <v>7.9694999999999991</v>
      </c>
      <c r="L142" s="63">
        <f t="shared" si="35"/>
        <v>0</v>
      </c>
      <c r="M142" s="63">
        <f t="shared" si="36"/>
        <v>0</v>
      </c>
      <c r="N142" s="63">
        <f t="shared" si="37"/>
        <v>0</v>
      </c>
      <c r="O142" s="63">
        <f t="shared" si="38"/>
        <v>0</v>
      </c>
      <c r="P142" s="63">
        <f t="shared" si="39"/>
        <v>0</v>
      </c>
      <c r="Q142" s="561">
        <f t="shared" si="33"/>
        <v>0</v>
      </c>
      <c r="R142" s="174"/>
      <c r="T142" s="82"/>
      <c r="U142" s="82"/>
      <c r="V142" s="82"/>
      <c r="W142" s="82"/>
      <c r="X142" s="82"/>
      <c r="Y142" s="82"/>
      <c r="Z142" s="82"/>
      <c r="AA142" s="82"/>
      <c r="AB142" s="82"/>
    </row>
    <row r="143" spans="1:28" s="85" customFormat="1" x14ac:dyDescent="0.25">
      <c r="A143" s="82"/>
      <c r="B143" s="82"/>
      <c r="C143" s="82"/>
      <c r="D143" s="729"/>
      <c r="E143" s="371" t="s">
        <v>113</v>
      </c>
      <c r="F143" s="372">
        <v>3</v>
      </c>
      <c r="G143" s="373">
        <v>10</v>
      </c>
      <c r="H143" s="374">
        <v>5</v>
      </c>
      <c r="I143" s="375">
        <v>1.19</v>
      </c>
      <c r="J143" s="376">
        <f t="shared" si="32"/>
        <v>11.899999999999999</v>
      </c>
      <c r="K143" s="66">
        <f t="shared" si="34"/>
        <v>1.8325999999999998</v>
      </c>
      <c r="L143" s="63">
        <f t="shared" si="35"/>
        <v>0</v>
      </c>
      <c r="M143" s="63">
        <f t="shared" si="36"/>
        <v>0</v>
      </c>
      <c r="N143" s="63">
        <f t="shared" si="37"/>
        <v>0</v>
      </c>
      <c r="O143" s="63">
        <f t="shared" si="38"/>
        <v>0</v>
      </c>
      <c r="P143" s="63">
        <f t="shared" si="39"/>
        <v>0</v>
      </c>
      <c r="Q143" s="561">
        <f t="shared" si="33"/>
        <v>0</v>
      </c>
      <c r="R143" s="174"/>
      <c r="T143" s="82"/>
      <c r="U143" s="82"/>
      <c r="V143" s="82"/>
      <c r="W143" s="82"/>
      <c r="X143" s="82"/>
      <c r="Y143" s="82"/>
      <c r="Z143" s="82"/>
      <c r="AA143" s="82"/>
      <c r="AB143" s="82"/>
    </row>
    <row r="144" spans="1:28" s="85" customFormat="1" x14ac:dyDescent="0.25">
      <c r="A144" s="82"/>
      <c r="B144" s="82"/>
      <c r="C144" s="82"/>
      <c r="D144" s="729"/>
      <c r="E144" s="371" t="s">
        <v>113</v>
      </c>
      <c r="F144" s="372">
        <v>18</v>
      </c>
      <c r="G144" s="373">
        <v>8</v>
      </c>
      <c r="H144" s="374">
        <v>10</v>
      </c>
      <c r="I144" s="375">
        <v>3.78</v>
      </c>
      <c r="J144" s="376">
        <f t="shared" si="32"/>
        <v>30.24</v>
      </c>
      <c r="K144" s="66">
        <f t="shared" si="34"/>
        <v>0</v>
      </c>
      <c r="L144" s="63">
        <f t="shared" si="35"/>
        <v>0</v>
      </c>
      <c r="M144" s="63">
        <f t="shared" si="36"/>
        <v>0</v>
      </c>
      <c r="N144" s="63">
        <f t="shared" si="37"/>
        <v>18.658079999999998</v>
      </c>
      <c r="O144" s="63">
        <f t="shared" si="38"/>
        <v>0</v>
      </c>
      <c r="P144" s="63">
        <f t="shared" si="39"/>
        <v>0</v>
      </c>
      <c r="Q144" s="561">
        <f t="shared" si="33"/>
        <v>0</v>
      </c>
      <c r="R144" s="174"/>
      <c r="T144" s="82"/>
      <c r="U144" s="82"/>
      <c r="V144" s="82"/>
      <c r="W144" s="82"/>
      <c r="X144" s="82"/>
      <c r="Y144" s="82"/>
      <c r="Z144" s="82"/>
      <c r="AA144" s="82"/>
      <c r="AB144" s="82"/>
    </row>
    <row r="145" spans="1:28" s="85" customFormat="1" x14ac:dyDescent="0.25">
      <c r="A145" s="82"/>
      <c r="B145" s="82"/>
      <c r="C145" s="82"/>
      <c r="D145" s="729"/>
      <c r="E145" s="396" t="s">
        <v>184</v>
      </c>
      <c r="F145" s="403">
        <v>1</v>
      </c>
      <c r="G145" s="397">
        <v>20</v>
      </c>
      <c r="H145" s="398">
        <v>5</v>
      </c>
      <c r="I145" s="399">
        <v>0.24</v>
      </c>
      <c r="J145" s="400">
        <f t="shared" si="32"/>
        <v>4.8</v>
      </c>
      <c r="K145" s="401">
        <f t="shared" si="34"/>
        <v>0.73919999999999997</v>
      </c>
      <c r="L145" s="196">
        <f t="shared" si="35"/>
        <v>0</v>
      </c>
      <c r="M145" s="196">
        <f t="shared" si="36"/>
        <v>0</v>
      </c>
      <c r="N145" s="196">
        <f t="shared" si="37"/>
        <v>0</v>
      </c>
      <c r="O145" s="196">
        <f t="shared" si="38"/>
        <v>0</v>
      </c>
      <c r="P145" s="196">
        <f t="shared" si="39"/>
        <v>0</v>
      </c>
      <c r="Q145" s="566">
        <f t="shared" si="33"/>
        <v>0</v>
      </c>
      <c r="R145" s="538"/>
      <c r="T145" s="82"/>
      <c r="U145" s="82"/>
      <c r="V145" s="82"/>
      <c r="W145" s="82"/>
      <c r="X145" s="82"/>
      <c r="Y145" s="82"/>
      <c r="Z145" s="82"/>
      <c r="AA145" s="82"/>
      <c r="AB145" s="82"/>
    </row>
    <row r="146" spans="1:28" s="85" customFormat="1" x14ac:dyDescent="0.25">
      <c r="A146" s="82"/>
      <c r="B146" s="82"/>
      <c r="C146" s="82"/>
      <c r="D146" s="729"/>
      <c r="E146" s="371" t="s">
        <v>184</v>
      </c>
      <c r="F146" s="372">
        <v>2</v>
      </c>
      <c r="G146" s="373">
        <v>8</v>
      </c>
      <c r="H146" s="374">
        <v>5</v>
      </c>
      <c r="I146" s="375">
        <v>2.0699999999999998</v>
      </c>
      <c r="J146" s="376">
        <f t="shared" si="32"/>
        <v>16.559999999999999</v>
      </c>
      <c r="K146" s="66">
        <f t="shared" si="34"/>
        <v>2.5502399999999996</v>
      </c>
      <c r="L146" s="63">
        <f t="shared" si="35"/>
        <v>0</v>
      </c>
      <c r="M146" s="63">
        <f t="shared" si="36"/>
        <v>0</v>
      </c>
      <c r="N146" s="63">
        <f t="shared" si="37"/>
        <v>0</v>
      </c>
      <c r="O146" s="63">
        <f t="shared" si="38"/>
        <v>0</v>
      </c>
      <c r="P146" s="63">
        <f t="shared" si="39"/>
        <v>0</v>
      </c>
      <c r="Q146" s="562">
        <f t="shared" si="33"/>
        <v>0</v>
      </c>
      <c r="R146" s="377"/>
      <c r="T146" s="82"/>
      <c r="U146" s="82"/>
      <c r="V146" s="82"/>
      <c r="W146" s="82"/>
      <c r="X146" s="82"/>
      <c r="Y146" s="82"/>
      <c r="Z146" s="82"/>
      <c r="AA146" s="82"/>
      <c r="AB146" s="82"/>
    </row>
    <row r="147" spans="1:28" s="85" customFormat="1" x14ac:dyDescent="0.25">
      <c r="A147" s="82"/>
      <c r="B147" s="82"/>
      <c r="C147" s="82"/>
      <c r="D147" s="729"/>
      <c r="E147" s="371" t="s">
        <v>184</v>
      </c>
      <c r="F147" s="372">
        <v>3</v>
      </c>
      <c r="G147" s="373">
        <v>4</v>
      </c>
      <c r="H147" s="374">
        <v>5</v>
      </c>
      <c r="I147" s="375">
        <v>1.19</v>
      </c>
      <c r="J147" s="376">
        <f t="shared" si="32"/>
        <v>4.76</v>
      </c>
      <c r="K147" s="66">
        <f t="shared" si="34"/>
        <v>0.73303999999999991</v>
      </c>
      <c r="L147" s="63">
        <f t="shared" si="35"/>
        <v>0</v>
      </c>
      <c r="M147" s="63">
        <f t="shared" si="36"/>
        <v>0</v>
      </c>
      <c r="N147" s="63">
        <f t="shared" si="37"/>
        <v>0</v>
      </c>
      <c r="O147" s="63">
        <f t="shared" si="38"/>
        <v>0</v>
      </c>
      <c r="P147" s="63">
        <f t="shared" si="39"/>
        <v>0</v>
      </c>
      <c r="Q147" s="562">
        <f t="shared" si="33"/>
        <v>0</v>
      </c>
      <c r="R147" s="377"/>
      <c r="T147" s="82"/>
      <c r="U147" s="82"/>
      <c r="V147" s="82"/>
      <c r="W147" s="82"/>
      <c r="X147" s="82"/>
      <c r="Y147" s="82"/>
      <c r="Z147" s="82"/>
      <c r="AA147" s="82"/>
      <c r="AB147" s="82"/>
    </row>
    <row r="148" spans="1:28" s="85" customFormat="1" ht="13.8" thickBot="1" x14ac:dyDescent="0.3">
      <c r="A148" s="82"/>
      <c r="B148" s="82"/>
      <c r="C148" s="82"/>
      <c r="D148" s="731"/>
      <c r="E148" s="390" t="s">
        <v>184</v>
      </c>
      <c r="F148" s="391">
        <v>34</v>
      </c>
      <c r="G148" s="392">
        <v>8</v>
      </c>
      <c r="H148" s="393">
        <v>10</v>
      </c>
      <c r="I148" s="394">
        <v>1.02</v>
      </c>
      <c r="J148" s="395">
        <f t="shared" si="32"/>
        <v>8.16</v>
      </c>
      <c r="K148" s="221">
        <f t="shared" si="34"/>
        <v>0</v>
      </c>
      <c r="L148" s="222">
        <f t="shared" si="35"/>
        <v>0</v>
      </c>
      <c r="M148" s="222">
        <f t="shared" si="36"/>
        <v>0</v>
      </c>
      <c r="N148" s="222">
        <f t="shared" si="37"/>
        <v>5.0347200000000001</v>
      </c>
      <c r="O148" s="222">
        <f t="shared" si="38"/>
        <v>0</v>
      </c>
      <c r="P148" s="222">
        <f t="shared" si="39"/>
        <v>0</v>
      </c>
      <c r="Q148" s="564">
        <f t="shared" si="33"/>
        <v>0</v>
      </c>
      <c r="R148" s="539"/>
      <c r="T148" s="82"/>
      <c r="U148" s="82"/>
      <c r="V148" s="82"/>
      <c r="W148" s="82"/>
      <c r="X148" s="82"/>
      <c r="Y148" s="82"/>
      <c r="Z148" s="82"/>
      <c r="AA148" s="82"/>
      <c r="AB148" s="82"/>
    </row>
    <row r="149" spans="1:28" s="85" customFormat="1" ht="13.8" thickTop="1" x14ac:dyDescent="0.25">
      <c r="A149" s="82"/>
      <c r="B149" s="82"/>
      <c r="C149" s="82"/>
      <c r="D149" s="728" t="s">
        <v>1316</v>
      </c>
      <c r="E149" s="384" t="s">
        <v>49</v>
      </c>
      <c r="F149" s="385">
        <v>3</v>
      </c>
      <c r="G149" s="386">
        <f>18</f>
        <v>18</v>
      </c>
      <c r="H149" s="387">
        <v>5</v>
      </c>
      <c r="I149" s="388">
        <v>0.21</v>
      </c>
      <c r="J149" s="389">
        <f t="shared" ref="J149:J160" si="40">G149*I149</f>
        <v>3.78</v>
      </c>
      <c r="K149" s="218">
        <f t="shared" si="34"/>
        <v>0.58211999999999997</v>
      </c>
      <c r="L149" s="219">
        <f t="shared" si="35"/>
        <v>0</v>
      </c>
      <c r="M149" s="219">
        <f t="shared" si="36"/>
        <v>0</v>
      </c>
      <c r="N149" s="219">
        <f t="shared" si="37"/>
        <v>0</v>
      </c>
      <c r="O149" s="219">
        <f t="shared" si="38"/>
        <v>0</v>
      </c>
      <c r="P149" s="219">
        <f t="shared" si="39"/>
        <v>0</v>
      </c>
      <c r="Q149" s="563">
        <f t="shared" si="33"/>
        <v>0</v>
      </c>
      <c r="R149" s="220"/>
      <c r="T149" s="82"/>
      <c r="U149" s="82"/>
      <c r="V149" s="82"/>
      <c r="W149" s="82"/>
      <c r="X149" s="82"/>
      <c r="Y149" s="82"/>
      <c r="Z149" s="82"/>
      <c r="AA149" s="82"/>
      <c r="AB149" s="82"/>
    </row>
    <row r="150" spans="1:28" s="85" customFormat="1" x14ac:dyDescent="0.25">
      <c r="A150" s="82"/>
      <c r="B150" s="82"/>
      <c r="C150" s="82"/>
      <c r="D150" s="729"/>
      <c r="E150" s="371" t="s">
        <v>49</v>
      </c>
      <c r="F150" s="372">
        <v>4</v>
      </c>
      <c r="G150" s="373">
        <f>8</f>
        <v>8</v>
      </c>
      <c r="H150" s="374">
        <v>5</v>
      </c>
      <c r="I150" s="375">
        <v>1.1000000000000001</v>
      </c>
      <c r="J150" s="376">
        <f t="shared" si="40"/>
        <v>8.8000000000000007</v>
      </c>
      <c r="K150" s="66">
        <f t="shared" si="34"/>
        <v>1.3552000000000002</v>
      </c>
      <c r="L150" s="63">
        <f t="shared" si="35"/>
        <v>0</v>
      </c>
      <c r="M150" s="63">
        <f t="shared" si="36"/>
        <v>0</v>
      </c>
      <c r="N150" s="63">
        <f t="shared" si="37"/>
        <v>0</v>
      </c>
      <c r="O150" s="63">
        <f t="shared" si="38"/>
        <v>0</v>
      </c>
      <c r="P150" s="63">
        <f t="shared" si="39"/>
        <v>0</v>
      </c>
      <c r="Q150" s="561">
        <f t="shared" si="33"/>
        <v>0</v>
      </c>
      <c r="R150" s="174"/>
      <c r="T150" s="82"/>
      <c r="U150" s="82"/>
      <c r="V150" s="82"/>
      <c r="W150" s="82"/>
      <c r="X150" s="82"/>
      <c r="Y150" s="82"/>
      <c r="Z150" s="82"/>
      <c r="AA150" s="82"/>
      <c r="AB150" s="82"/>
    </row>
    <row r="151" spans="1:28" s="85" customFormat="1" x14ac:dyDescent="0.25">
      <c r="A151" s="82"/>
      <c r="B151" s="82"/>
      <c r="C151" s="82"/>
      <c r="D151" s="729"/>
      <c r="E151" s="371" t="s">
        <v>49</v>
      </c>
      <c r="F151" s="372">
        <v>5</v>
      </c>
      <c r="G151" s="373">
        <f>5</f>
        <v>5</v>
      </c>
      <c r="H151" s="374">
        <v>5</v>
      </c>
      <c r="I151" s="375">
        <v>1.95</v>
      </c>
      <c r="J151" s="376">
        <f t="shared" si="40"/>
        <v>9.75</v>
      </c>
      <c r="K151" s="66">
        <f t="shared" si="34"/>
        <v>1.5015000000000001</v>
      </c>
      <c r="L151" s="63">
        <f t="shared" si="35"/>
        <v>0</v>
      </c>
      <c r="M151" s="63">
        <f t="shared" si="36"/>
        <v>0</v>
      </c>
      <c r="N151" s="63">
        <f t="shared" si="37"/>
        <v>0</v>
      </c>
      <c r="O151" s="63">
        <f t="shared" si="38"/>
        <v>0</v>
      </c>
      <c r="P151" s="63">
        <f t="shared" si="39"/>
        <v>0</v>
      </c>
      <c r="Q151" s="561">
        <f t="shared" si="33"/>
        <v>0</v>
      </c>
      <c r="R151" s="174"/>
      <c r="T151" s="82"/>
      <c r="U151" s="82"/>
      <c r="V151" s="82"/>
      <c r="W151" s="82"/>
      <c r="X151" s="82"/>
      <c r="Y151" s="82"/>
      <c r="Z151" s="82"/>
      <c r="AA151" s="82"/>
      <c r="AB151" s="82"/>
    </row>
    <row r="152" spans="1:28" s="85" customFormat="1" x14ac:dyDescent="0.25">
      <c r="A152" s="82"/>
      <c r="B152" s="82"/>
      <c r="C152" s="82"/>
      <c r="D152" s="729"/>
      <c r="E152" s="371" t="s">
        <v>49</v>
      </c>
      <c r="F152" s="372">
        <v>32</v>
      </c>
      <c r="G152" s="373">
        <f>8</f>
        <v>8</v>
      </c>
      <c r="H152" s="374">
        <v>10</v>
      </c>
      <c r="I152" s="375">
        <v>1.47</v>
      </c>
      <c r="J152" s="376">
        <f t="shared" si="40"/>
        <v>11.76</v>
      </c>
      <c r="K152" s="66">
        <f t="shared" si="34"/>
        <v>0</v>
      </c>
      <c r="L152" s="63">
        <f t="shared" si="35"/>
        <v>0</v>
      </c>
      <c r="M152" s="63">
        <f t="shared" si="36"/>
        <v>0</v>
      </c>
      <c r="N152" s="63">
        <f t="shared" si="37"/>
        <v>7.2559199999999997</v>
      </c>
      <c r="O152" s="63">
        <f t="shared" si="38"/>
        <v>0</v>
      </c>
      <c r="P152" s="63">
        <f t="shared" si="39"/>
        <v>0</v>
      </c>
      <c r="Q152" s="561">
        <f t="shared" si="33"/>
        <v>0</v>
      </c>
      <c r="R152" s="174"/>
      <c r="T152" s="82"/>
      <c r="U152" s="82"/>
      <c r="V152" s="82"/>
      <c r="W152" s="82"/>
      <c r="X152" s="82"/>
      <c r="Y152" s="82"/>
      <c r="Z152" s="82"/>
      <c r="AA152" s="82"/>
      <c r="AB152" s="82"/>
    </row>
    <row r="153" spans="1:28" s="85" customFormat="1" x14ac:dyDescent="0.25">
      <c r="A153" s="82"/>
      <c r="B153" s="82"/>
      <c r="C153" s="82"/>
      <c r="D153" s="729"/>
      <c r="E153" s="371" t="s">
        <v>113</v>
      </c>
      <c r="F153" s="372">
        <v>1</v>
      </c>
      <c r="G153" s="373">
        <v>60</v>
      </c>
      <c r="H153" s="374">
        <v>5</v>
      </c>
      <c r="I153" s="375">
        <v>0.24</v>
      </c>
      <c r="J153" s="376">
        <f t="shared" si="40"/>
        <v>14.399999999999999</v>
      </c>
      <c r="K153" s="66">
        <f t="shared" si="34"/>
        <v>2.2175999999999996</v>
      </c>
      <c r="L153" s="63">
        <f t="shared" si="35"/>
        <v>0</v>
      </c>
      <c r="M153" s="63">
        <f t="shared" si="36"/>
        <v>0</v>
      </c>
      <c r="N153" s="63">
        <f t="shared" si="37"/>
        <v>0</v>
      </c>
      <c r="O153" s="63">
        <f t="shared" si="38"/>
        <v>0</v>
      </c>
      <c r="P153" s="63">
        <f t="shared" si="39"/>
        <v>0</v>
      </c>
      <c r="Q153" s="561">
        <f t="shared" si="33"/>
        <v>0</v>
      </c>
      <c r="R153" s="174"/>
      <c r="T153" s="82"/>
      <c r="U153" s="82"/>
      <c r="V153" s="82"/>
      <c r="W153" s="82"/>
      <c r="X153" s="82"/>
      <c r="Y153" s="82"/>
      <c r="Z153" s="82"/>
      <c r="AA153" s="82"/>
      <c r="AB153" s="82"/>
    </row>
    <row r="154" spans="1:28" s="85" customFormat="1" x14ac:dyDescent="0.25">
      <c r="A154" s="82"/>
      <c r="B154" s="82"/>
      <c r="C154" s="82"/>
      <c r="D154" s="729"/>
      <c r="E154" s="371" t="s">
        <v>113</v>
      </c>
      <c r="F154" s="372">
        <v>2</v>
      </c>
      <c r="G154" s="373">
        <v>25</v>
      </c>
      <c r="H154" s="374">
        <v>5</v>
      </c>
      <c r="I154" s="375">
        <v>2.0699999999999998</v>
      </c>
      <c r="J154" s="376">
        <f t="shared" si="40"/>
        <v>51.749999999999993</v>
      </c>
      <c r="K154" s="66">
        <f t="shared" si="34"/>
        <v>7.9694999999999991</v>
      </c>
      <c r="L154" s="63">
        <f t="shared" si="35"/>
        <v>0</v>
      </c>
      <c r="M154" s="63">
        <f t="shared" si="36"/>
        <v>0</v>
      </c>
      <c r="N154" s="63">
        <f t="shared" si="37"/>
        <v>0</v>
      </c>
      <c r="O154" s="63">
        <f t="shared" si="38"/>
        <v>0</v>
      </c>
      <c r="P154" s="63">
        <f t="shared" si="39"/>
        <v>0</v>
      </c>
      <c r="Q154" s="561">
        <f t="shared" si="33"/>
        <v>0</v>
      </c>
      <c r="R154" s="174"/>
      <c r="T154" s="82"/>
      <c r="U154" s="82"/>
      <c r="V154" s="82"/>
      <c r="W154" s="82"/>
      <c r="X154" s="82"/>
      <c r="Y154" s="82"/>
      <c r="Z154" s="82"/>
      <c r="AA154" s="82"/>
      <c r="AB154" s="82"/>
    </row>
    <row r="155" spans="1:28" s="85" customFormat="1" x14ac:dyDescent="0.25">
      <c r="A155" s="82"/>
      <c r="B155" s="82"/>
      <c r="C155" s="82"/>
      <c r="D155" s="729"/>
      <c r="E155" s="371" t="s">
        <v>113</v>
      </c>
      <c r="F155" s="372">
        <v>3</v>
      </c>
      <c r="G155" s="373">
        <v>10</v>
      </c>
      <c r="H155" s="374">
        <v>5</v>
      </c>
      <c r="I155" s="375">
        <v>1.19</v>
      </c>
      <c r="J155" s="376">
        <f t="shared" si="40"/>
        <v>11.899999999999999</v>
      </c>
      <c r="K155" s="66">
        <f t="shared" si="34"/>
        <v>1.8325999999999998</v>
      </c>
      <c r="L155" s="63">
        <f t="shared" si="35"/>
        <v>0</v>
      </c>
      <c r="M155" s="63">
        <f t="shared" si="36"/>
        <v>0</v>
      </c>
      <c r="N155" s="63">
        <f t="shared" si="37"/>
        <v>0</v>
      </c>
      <c r="O155" s="63">
        <f t="shared" si="38"/>
        <v>0</v>
      </c>
      <c r="P155" s="63">
        <f t="shared" si="39"/>
        <v>0</v>
      </c>
      <c r="Q155" s="561">
        <f t="shared" ref="Q155:Q218" si="41">IF($H155=20,$J155*$B$28,0)</f>
        <v>0</v>
      </c>
      <c r="R155" s="174"/>
      <c r="T155" s="82"/>
      <c r="U155" s="82"/>
      <c r="V155" s="82"/>
      <c r="W155" s="82"/>
      <c r="X155" s="82"/>
      <c r="Y155" s="82"/>
      <c r="Z155" s="82"/>
      <c r="AA155" s="82"/>
      <c r="AB155" s="82"/>
    </row>
    <row r="156" spans="1:28" s="85" customFormat="1" x14ac:dyDescent="0.25">
      <c r="A156" s="82"/>
      <c r="B156" s="82"/>
      <c r="C156" s="82"/>
      <c r="D156" s="729"/>
      <c r="E156" s="371" t="s">
        <v>113</v>
      </c>
      <c r="F156" s="372">
        <v>18</v>
      </c>
      <c r="G156" s="373">
        <v>8</v>
      </c>
      <c r="H156" s="374">
        <v>10</v>
      </c>
      <c r="I156" s="375">
        <v>3.78</v>
      </c>
      <c r="J156" s="376">
        <f t="shared" si="40"/>
        <v>30.24</v>
      </c>
      <c r="K156" s="66">
        <f t="shared" si="34"/>
        <v>0</v>
      </c>
      <c r="L156" s="63">
        <f t="shared" si="35"/>
        <v>0</v>
      </c>
      <c r="M156" s="63">
        <f t="shared" si="36"/>
        <v>0</v>
      </c>
      <c r="N156" s="63">
        <f t="shared" si="37"/>
        <v>18.658079999999998</v>
      </c>
      <c r="O156" s="63">
        <f t="shared" si="38"/>
        <v>0</v>
      </c>
      <c r="P156" s="63">
        <f t="shared" si="39"/>
        <v>0</v>
      </c>
      <c r="Q156" s="561">
        <f t="shared" si="41"/>
        <v>0</v>
      </c>
      <c r="R156" s="174"/>
      <c r="T156" s="82"/>
      <c r="U156" s="82"/>
      <c r="V156" s="82"/>
      <c r="W156" s="82"/>
      <c r="X156" s="82"/>
      <c r="Y156" s="82"/>
      <c r="Z156" s="82"/>
      <c r="AA156" s="82"/>
      <c r="AB156" s="82"/>
    </row>
    <row r="157" spans="1:28" s="85" customFormat="1" x14ac:dyDescent="0.25">
      <c r="A157" s="82"/>
      <c r="B157" s="82"/>
      <c r="C157" s="82"/>
      <c r="D157" s="729"/>
      <c r="E157" s="396" t="s">
        <v>184</v>
      </c>
      <c r="F157" s="403">
        <v>1</v>
      </c>
      <c r="G157" s="397">
        <v>20</v>
      </c>
      <c r="H157" s="398">
        <v>5</v>
      </c>
      <c r="I157" s="399">
        <v>0.24</v>
      </c>
      <c r="J157" s="400">
        <f t="shared" si="40"/>
        <v>4.8</v>
      </c>
      <c r="K157" s="401">
        <f t="shared" si="34"/>
        <v>0.73919999999999997</v>
      </c>
      <c r="L157" s="196">
        <f t="shared" si="35"/>
        <v>0</v>
      </c>
      <c r="M157" s="196">
        <f t="shared" si="36"/>
        <v>0</v>
      </c>
      <c r="N157" s="196">
        <f t="shared" si="37"/>
        <v>0</v>
      </c>
      <c r="O157" s="196">
        <f t="shared" si="38"/>
        <v>0</v>
      </c>
      <c r="P157" s="196">
        <f t="shared" si="39"/>
        <v>0</v>
      </c>
      <c r="Q157" s="566">
        <f t="shared" si="41"/>
        <v>0</v>
      </c>
      <c r="R157" s="538"/>
      <c r="T157" s="82"/>
      <c r="U157" s="82"/>
      <c r="V157" s="82"/>
      <c r="W157" s="82"/>
      <c r="X157" s="82"/>
      <c r="Y157" s="82"/>
      <c r="Z157" s="82"/>
      <c r="AA157" s="82"/>
      <c r="AB157" s="82"/>
    </row>
    <row r="158" spans="1:28" s="85" customFormat="1" x14ac:dyDescent="0.25">
      <c r="A158" s="82"/>
      <c r="B158" s="82"/>
      <c r="C158" s="82"/>
      <c r="D158" s="729"/>
      <c r="E158" s="371" t="s">
        <v>184</v>
      </c>
      <c r="F158" s="372">
        <v>2</v>
      </c>
      <c r="G158" s="373">
        <v>8</v>
      </c>
      <c r="H158" s="374">
        <v>5</v>
      </c>
      <c r="I158" s="375">
        <v>2.0699999999999998</v>
      </c>
      <c r="J158" s="376">
        <f t="shared" si="40"/>
        <v>16.559999999999999</v>
      </c>
      <c r="K158" s="66">
        <f t="shared" si="34"/>
        <v>2.5502399999999996</v>
      </c>
      <c r="L158" s="63">
        <f t="shared" si="35"/>
        <v>0</v>
      </c>
      <c r="M158" s="63">
        <f t="shared" si="36"/>
        <v>0</v>
      </c>
      <c r="N158" s="63">
        <f t="shared" si="37"/>
        <v>0</v>
      </c>
      <c r="O158" s="63">
        <f t="shared" si="38"/>
        <v>0</v>
      </c>
      <c r="P158" s="63">
        <f t="shared" si="39"/>
        <v>0</v>
      </c>
      <c r="Q158" s="562">
        <f t="shared" si="41"/>
        <v>0</v>
      </c>
      <c r="R158" s="377"/>
      <c r="T158" s="82"/>
      <c r="U158" s="82"/>
      <c r="V158" s="82"/>
      <c r="W158" s="82"/>
      <c r="X158" s="82"/>
      <c r="Y158" s="82"/>
      <c r="Z158" s="82"/>
      <c r="AA158" s="82"/>
      <c r="AB158" s="82"/>
    </row>
    <row r="159" spans="1:28" s="85" customFormat="1" x14ac:dyDescent="0.25">
      <c r="A159" s="82"/>
      <c r="B159" s="82"/>
      <c r="C159" s="82"/>
      <c r="D159" s="729"/>
      <c r="E159" s="371" t="s">
        <v>184</v>
      </c>
      <c r="F159" s="372">
        <v>3</v>
      </c>
      <c r="G159" s="373">
        <v>4</v>
      </c>
      <c r="H159" s="374">
        <v>5</v>
      </c>
      <c r="I159" s="375">
        <v>1.19</v>
      </c>
      <c r="J159" s="376">
        <f t="shared" si="40"/>
        <v>4.76</v>
      </c>
      <c r="K159" s="66">
        <f t="shared" si="34"/>
        <v>0.73303999999999991</v>
      </c>
      <c r="L159" s="63">
        <f t="shared" si="35"/>
        <v>0</v>
      </c>
      <c r="M159" s="63">
        <f t="shared" si="36"/>
        <v>0</v>
      </c>
      <c r="N159" s="63">
        <f t="shared" si="37"/>
        <v>0</v>
      </c>
      <c r="O159" s="63">
        <f t="shared" si="38"/>
        <v>0</v>
      </c>
      <c r="P159" s="63">
        <f t="shared" si="39"/>
        <v>0</v>
      </c>
      <c r="Q159" s="562">
        <f t="shared" si="41"/>
        <v>0</v>
      </c>
      <c r="R159" s="377"/>
      <c r="T159" s="82"/>
      <c r="U159" s="82"/>
      <c r="V159" s="82"/>
      <c r="W159" s="82"/>
      <c r="X159" s="82"/>
      <c r="Y159" s="82"/>
      <c r="Z159" s="82"/>
      <c r="AA159" s="82"/>
      <c r="AB159" s="82"/>
    </row>
    <row r="160" spans="1:28" s="85" customFormat="1" ht="13.8" thickBot="1" x14ac:dyDescent="0.3">
      <c r="A160" s="82"/>
      <c r="B160" s="82"/>
      <c r="C160" s="82"/>
      <c r="D160" s="731"/>
      <c r="E160" s="390" t="s">
        <v>184</v>
      </c>
      <c r="F160" s="391">
        <v>34</v>
      </c>
      <c r="G160" s="392">
        <v>8</v>
      </c>
      <c r="H160" s="393">
        <v>10</v>
      </c>
      <c r="I160" s="394">
        <v>1.02</v>
      </c>
      <c r="J160" s="395">
        <f t="shared" si="40"/>
        <v>8.16</v>
      </c>
      <c r="K160" s="221">
        <f t="shared" si="34"/>
        <v>0</v>
      </c>
      <c r="L160" s="222">
        <f t="shared" si="35"/>
        <v>0</v>
      </c>
      <c r="M160" s="222">
        <f t="shared" si="36"/>
        <v>0</v>
      </c>
      <c r="N160" s="222">
        <f t="shared" si="37"/>
        <v>5.0347200000000001</v>
      </c>
      <c r="O160" s="222">
        <f t="shared" si="38"/>
        <v>0</v>
      </c>
      <c r="P160" s="222">
        <f t="shared" si="39"/>
        <v>0</v>
      </c>
      <c r="Q160" s="564">
        <f t="shared" si="41"/>
        <v>0</v>
      </c>
      <c r="R160" s="539"/>
      <c r="T160" s="82"/>
      <c r="U160" s="82"/>
      <c r="V160" s="82"/>
      <c r="W160" s="82"/>
      <c r="X160" s="82"/>
      <c r="Y160" s="82"/>
      <c r="Z160" s="82"/>
      <c r="AA160" s="82"/>
      <c r="AB160" s="82"/>
    </row>
    <row r="161" spans="1:28" s="85" customFormat="1" ht="13.8" thickTop="1" x14ac:dyDescent="0.25">
      <c r="A161" s="82"/>
      <c r="B161" s="82"/>
      <c r="C161" s="82"/>
      <c r="D161" s="728" t="s">
        <v>1317</v>
      </c>
      <c r="E161" s="384" t="s">
        <v>49</v>
      </c>
      <c r="F161" s="385">
        <v>3</v>
      </c>
      <c r="G161" s="386">
        <f>4*18</f>
        <v>72</v>
      </c>
      <c r="H161" s="387">
        <v>5</v>
      </c>
      <c r="I161" s="388">
        <v>0.21</v>
      </c>
      <c r="J161" s="389">
        <f t="shared" si="32"/>
        <v>15.12</v>
      </c>
      <c r="K161" s="218">
        <f t="shared" si="34"/>
        <v>2.3284799999999999</v>
      </c>
      <c r="L161" s="219">
        <f t="shared" si="35"/>
        <v>0</v>
      </c>
      <c r="M161" s="219">
        <f t="shared" si="36"/>
        <v>0</v>
      </c>
      <c r="N161" s="219">
        <f t="shared" si="37"/>
        <v>0</v>
      </c>
      <c r="O161" s="219">
        <f t="shared" si="38"/>
        <v>0</v>
      </c>
      <c r="P161" s="219">
        <f t="shared" si="39"/>
        <v>0</v>
      </c>
      <c r="Q161" s="563">
        <f t="shared" si="41"/>
        <v>0</v>
      </c>
      <c r="R161" s="220"/>
      <c r="T161" s="82"/>
      <c r="U161" s="82"/>
      <c r="V161" s="82"/>
      <c r="W161" s="82"/>
      <c r="X161" s="82"/>
      <c r="Y161" s="82"/>
      <c r="Z161" s="82"/>
      <c r="AA161" s="82"/>
      <c r="AB161" s="82"/>
    </row>
    <row r="162" spans="1:28" s="85" customFormat="1" x14ac:dyDescent="0.25">
      <c r="A162" s="82"/>
      <c r="B162" s="82"/>
      <c r="C162" s="82"/>
      <c r="D162" s="729"/>
      <c r="E162" s="371" t="s">
        <v>49</v>
      </c>
      <c r="F162" s="372">
        <v>4</v>
      </c>
      <c r="G162" s="373">
        <f>4*8</f>
        <v>32</v>
      </c>
      <c r="H162" s="374">
        <v>5</v>
      </c>
      <c r="I162" s="375">
        <v>1.1000000000000001</v>
      </c>
      <c r="J162" s="376">
        <f t="shared" si="32"/>
        <v>35.200000000000003</v>
      </c>
      <c r="K162" s="66">
        <f t="shared" si="34"/>
        <v>5.4208000000000007</v>
      </c>
      <c r="L162" s="63">
        <f t="shared" si="35"/>
        <v>0</v>
      </c>
      <c r="M162" s="63">
        <f t="shared" si="36"/>
        <v>0</v>
      </c>
      <c r="N162" s="63">
        <f t="shared" si="37"/>
        <v>0</v>
      </c>
      <c r="O162" s="63">
        <f t="shared" si="38"/>
        <v>0</v>
      </c>
      <c r="P162" s="63">
        <f t="shared" si="39"/>
        <v>0</v>
      </c>
      <c r="Q162" s="561">
        <f t="shared" si="41"/>
        <v>0</v>
      </c>
      <c r="R162" s="174"/>
      <c r="T162" s="82"/>
      <c r="U162" s="82"/>
      <c r="V162" s="82"/>
      <c r="W162" s="82"/>
      <c r="X162" s="82"/>
      <c r="Y162" s="82"/>
      <c r="Z162" s="82"/>
      <c r="AA162" s="82"/>
      <c r="AB162" s="82"/>
    </row>
    <row r="163" spans="1:28" s="85" customFormat="1" x14ac:dyDescent="0.25">
      <c r="A163" s="82"/>
      <c r="B163" s="82"/>
      <c r="C163" s="82"/>
      <c r="D163" s="729"/>
      <c r="E163" s="371" t="s">
        <v>49</v>
      </c>
      <c r="F163" s="372">
        <v>5</v>
      </c>
      <c r="G163" s="373">
        <f>4*5</f>
        <v>20</v>
      </c>
      <c r="H163" s="374">
        <v>5</v>
      </c>
      <c r="I163" s="375">
        <v>1.95</v>
      </c>
      <c r="J163" s="376">
        <f t="shared" si="32"/>
        <v>39</v>
      </c>
      <c r="K163" s="66">
        <f t="shared" si="34"/>
        <v>6.0060000000000002</v>
      </c>
      <c r="L163" s="63">
        <f t="shared" si="35"/>
        <v>0</v>
      </c>
      <c r="M163" s="63">
        <f t="shared" si="36"/>
        <v>0</v>
      </c>
      <c r="N163" s="63">
        <f t="shared" si="37"/>
        <v>0</v>
      </c>
      <c r="O163" s="63">
        <f t="shared" si="38"/>
        <v>0</v>
      </c>
      <c r="P163" s="63">
        <f t="shared" si="39"/>
        <v>0</v>
      </c>
      <c r="Q163" s="561">
        <f t="shared" si="41"/>
        <v>0</v>
      </c>
      <c r="R163" s="174"/>
      <c r="T163" s="82"/>
      <c r="U163" s="82"/>
      <c r="V163" s="82"/>
      <c r="W163" s="82"/>
      <c r="X163" s="82"/>
      <c r="Y163" s="82"/>
      <c r="Z163" s="82"/>
      <c r="AA163" s="82"/>
      <c r="AB163" s="82"/>
    </row>
    <row r="164" spans="1:28" s="85" customFormat="1" x14ac:dyDescent="0.25">
      <c r="A164" s="82"/>
      <c r="B164" s="82"/>
      <c r="C164" s="82"/>
      <c r="D164" s="729"/>
      <c r="E164" s="371" t="s">
        <v>49</v>
      </c>
      <c r="F164" s="372">
        <v>32</v>
      </c>
      <c r="G164" s="373">
        <f>4*8</f>
        <v>32</v>
      </c>
      <c r="H164" s="374">
        <v>10</v>
      </c>
      <c r="I164" s="375">
        <v>1.47</v>
      </c>
      <c r="J164" s="376">
        <f t="shared" si="32"/>
        <v>47.04</v>
      </c>
      <c r="K164" s="66">
        <f t="shared" si="34"/>
        <v>0</v>
      </c>
      <c r="L164" s="63">
        <f t="shared" si="35"/>
        <v>0</v>
      </c>
      <c r="M164" s="63">
        <f t="shared" si="36"/>
        <v>0</v>
      </c>
      <c r="N164" s="63">
        <f t="shared" si="37"/>
        <v>29.023679999999999</v>
      </c>
      <c r="O164" s="63">
        <f t="shared" si="38"/>
        <v>0</v>
      </c>
      <c r="P164" s="63">
        <f t="shared" si="39"/>
        <v>0</v>
      </c>
      <c r="Q164" s="561">
        <f t="shared" si="41"/>
        <v>0</v>
      </c>
      <c r="R164" s="174"/>
      <c r="T164" s="82"/>
      <c r="U164" s="82"/>
      <c r="V164" s="82"/>
      <c r="W164" s="82"/>
      <c r="X164" s="82"/>
      <c r="Y164" s="82"/>
      <c r="Z164" s="82"/>
      <c r="AA164" s="82"/>
      <c r="AB164" s="82"/>
    </row>
    <row r="165" spans="1:28" s="85" customFormat="1" x14ac:dyDescent="0.25">
      <c r="A165" s="82"/>
      <c r="B165" s="82"/>
      <c r="C165" s="82"/>
      <c r="D165" s="729"/>
      <c r="E165" s="371" t="s">
        <v>113</v>
      </c>
      <c r="F165" s="372">
        <v>1</v>
      </c>
      <c r="G165" s="373">
        <f>4*60</f>
        <v>240</v>
      </c>
      <c r="H165" s="374">
        <v>5</v>
      </c>
      <c r="I165" s="375">
        <v>0.24</v>
      </c>
      <c r="J165" s="376">
        <f t="shared" si="32"/>
        <v>57.599999999999994</v>
      </c>
      <c r="K165" s="66">
        <f t="shared" si="34"/>
        <v>8.8703999999999983</v>
      </c>
      <c r="L165" s="63">
        <f t="shared" si="35"/>
        <v>0</v>
      </c>
      <c r="M165" s="63">
        <f t="shared" si="36"/>
        <v>0</v>
      </c>
      <c r="N165" s="63">
        <f t="shared" si="37"/>
        <v>0</v>
      </c>
      <c r="O165" s="63">
        <f t="shared" si="38"/>
        <v>0</v>
      </c>
      <c r="P165" s="63">
        <f t="shared" si="39"/>
        <v>0</v>
      </c>
      <c r="Q165" s="561">
        <f t="shared" si="41"/>
        <v>0</v>
      </c>
      <c r="R165" s="174"/>
      <c r="T165" s="82"/>
      <c r="U165" s="82"/>
      <c r="V165" s="82"/>
      <c r="W165" s="82"/>
      <c r="X165" s="82"/>
      <c r="Y165" s="82"/>
      <c r="Z165" s="82"/>
      <c r="AA165" s="82"/>
      <c r="AB165" s="82"/>
    </row>
    <row r="166" spans="1:28" s="85" customFormat="1" x14ac:dyDescent="0.25">
      <c r="A166" s="82"/>
      <c r="B166" s="82"/>
      <c r="C166" s="82"/>
      <c r="D166" s="729"/>
      <c r="E166" s="371" t="s">
        <v>113</v>
      </c>
      <c r="F166" s="372">
        <v>2</v>
      </c>
      <c r="G166" s="373">
        <f>4*25</f>
        <v>100</v>
      </c>
      <c r="H166" s="374">
        <v>5</v>
      </c>
      <c r="I166" s="375">
        <v>2.0699999999999998</v>
      </c>
      <c r="J166" s="376">
        <f t="shared" si="32"/>
        <v>206.99999999999997</v>
      </c>
      <c r="K166" s="66">
        <f t="shared" si="34"/>
        <v>31.877999999999997</v>
      </c>
      <c r="L166" s="63">
        <f t="shared" si="35"/>
        <v>0</v>
      </c>
      <c r="M166" s="63">
        <f t="shared" si="36"/>
        <v>0</v>
      </c>
      <c r="N166" s="63">
        <f t="shared" si="37"/>
        <v>0</v>
      </c>
      <c r="O166" s="63">
        <f t="shared" si="38"/>
        <v>0</v>
      </c>
      <c r="P166" s="63">
        <f t="shared" si="39"/>
        <v>0</v>
      </c>
      <c r="Q166" s="561">
        <f t="shared" si="41"/>
        <v>0</v>
      </c>
      <c r="R166" s="174"/>
      <c r="T166" s="82"/>
      <c r="U166" s="82"/>
      <c r="V166" s="82"/>
      <c r="W166" s="82"/>
      <c r="X166" s="82"/>
      <c r="Y166" s="82"/>
      <c r="Z166" s="82"/>
      <c r="AA166" s="82"/>
      <c r="AB166" s="82"/>
    </row>
    <row r="167" spans="1:28" s="85" customFormat="1" x14ac:dyDescent="0.25">
      <c r="A167" s="82"/>
      <c r="B167" s="82"/>
      <c r="C167" s="82"/>
      <c r="D167" s="729"/>
      <c r="E167" s="371" t="s">
        <v>113</v>
      </c>
      <c r="F167" s="372">
        <v>3</v>
      </c>
      <c r="G167" s="373">
        <f>4*10</f>
        <v>40</v>
      </c>
      <c r="H167" s="374">
        <v>5</v>
      </c>
      <c r="I167" s="375">
        <v>1.19</v>
      </c>
      <c r="J167" s="376">
        <f t="shared" ref="J167" si="42">G167*I167</f>
        <v>47.599999999999994</v>
      </c>
      <c r="K167" s="66">
        <f t="shared" si="34"/>
        <v>7.3303999999999991</v>
      </c>
      <c r="L167" s="63">
        <f t="shared" si="35"/>
        <v>0</v>
      </c>
      <c r="M167" s="63">
        <f t="shared" si="36"/>
        <v>0</v>
      </c>
      <c r="N167" s="63">
        <f t="shared" si="37"/>
        <v>0</v>
      </c>
      <c r="O167" s="63">
        <f t="shared" si="38"/>
        <v>0</v>
      </c>
      <c r="P167" s="63">
        <f t="shared" si="39"/>
        <v>0</v>
      </c>
      <c r="Q167" s="561">
        <f t="shared" si="41"/>
        <v>0</v>
      </c>
      <c r="R167" s="174"/>
      <c r="T167" s="82"/>
      <c r="U167" s="82"/>
      <c r="V167" s="82"/>
      <c r="W167" s="82"/>
      <c r="X167" s="82"/>
      <c r="Y167" s="82"/>
      <c r="Z167" s="82"/>
      <c r="AA167" s="82"/>
      <c r="AB167" s="82"/>
    </row>
    <row r="168" spans="1:28" s="85" customFormat="1" x14ac:dyDescent="0.25">
      <c r="A168" s="82"/>
      <c r="B168" s="82"/>
      <c r="C168" s="82"/>
      <c r="D168" s="729"/>
      <c r="E168" s="371" t="s">
        <v>113</v>
      </c>
      <c r="F168" s="372">
        <v>18</v>
      </c>
      <c r="G168" s="373">
        <f>4*4</f>
        <v>16</v>
      </c>
      <c r="H168" s="374">
        <v>10</v>
      </c>
      <c r="I168" s="375">
        <v>3.78</v>
      </c>
      <c r="J168" s="376">
        <f t="shared" si="32"/>
        <v>60.48</v>
      </c>
      <c r="K168" s="66">
        <f t="shared" si="34"/>
        <v>0</v>
      </c>
      <c r="L168" s="63">
        <f t="shared" si="35"/>
        <v>0</v>
      </c>
      <c r="M168" s="63">
        <f t="shared" si="36"/>
        <v>0</v>
      </c>
      <c r="N168" s="63">
        <f t="shared" si="37"/>
        <v>37.316159999999996</v>
      </c>
      <c r="O168" s="63">
        <f t="shared" si="38"/>
        <v>0</v>
      </c>
      <c r="P168" s="63">
        <f t="shared" si="39"/>
        <v>0</v>
      </c>
      <c r="Q168" s="561">
        <f t="shared" si="41"/>
        <v>0</v>
      </c>
      <c r="R168" s="174"/>
      <c r="T168" s="82"/>
      <c r="U168" s="82"/>
      <c r="V168" s="82"/>
      <c r="W168" s="82"/>
      <c r="X168" s="82"/>
      <c r="Y168" s="82"/>
      <c r="Z168" s="82"/>
      <c r="AA168" s="82"/>
      <c r="AB168" s="82"/>
    </row>
    <row r="169" spans="1:28" s="85" customFormat="1" x14ac:dyDescent="0.25">
      <c r="A169" s="82"/>
      <c r="B169" s="82"/>
      <c r="C169" s="82"/>
      <c r="D169" s="729"/>
      <c r="E169" s="371" t="s">
        <v>113</v>
      </c>
      <c r="F169" s="372">
        <v>19</v>
      </c>
      <c r="G169" s="373">
        <f>4*4</f>
        <v>16</v>
      </c>
      <c r="H169" s="374">
        <v>10</v>
      </c>
      <c r="I169" s="375">
        <v>3.42</v>
      </c>
      <c r="J169" s="376">
        <f t="shared" si="32"/>
        <v>54.72</v>
      </c>
      <c r="K169" s="66">
        <f t="shared" si="34"/>
        <v>0</v>
      </c>
      <c r="L169" s="63">
        <f t="shared" si="35"/>
        <v>0</v>
      </c>
      <c r="M169" s="63">
        <f t="shared" si="36"/>
        <v>0</v>
      </c>
      <c r="N169" s="63">
        <f t="shared" si="37"/>
        <v>33.762239999999998</v>
      </c>
      <c r="O169" s="63">
        <f t="shared" si="38"/>
        <v>0</v>
      </c>
      <c r="P169" s="63">
        <f t="shared" si="39"/>
        <v>0</v>
      </c>
      <c r="Q169" s="561">
        <f t="shared" si="41"/>
        <v>0</v>
      </c>
      <c r="R169" s="174"/>
      <c r="T169" s="82"/>
      <c r="U169" s="82"/>
      <c r="V169" s="82"/>
      <c r="W169" s="82"/>
      <c r="X169" s="82"/>
      <c r="Y169" s="82"/>
      <c r="Z169" s="82"/>
      <c r="AA169" s="82"/>
      <c r="AB169" s="82"/>
    </row>
    <row r="170" spans="1:28" s="85" customFormat="1" x14ac:dyDescent="0.25">
      <c r="A170" s="82"/>
      <c r="B170" s="82"/>
      <c r="C170" s="82"/>
      <c r="D170" s="729"/>
      <c r="E170" s="371" t="s">
        <v>113</v>
      </c>
      <c r="F170" s="372">
        <v>20</v>
      </c>
      <c r="G170" s="373">
        <f>4*4</f>
        <v>16</v>
      </c>
      <c r="H170" s="374">
        <v>10</v>
      </c>
      <c r="I170" s="375">
        <v>0.67</v>
      </c>
      <c r="J170" s="376">
        <f t="shared" ref="J170" si="43">G170*I170</f>
        <v>10.72</v>
      </c>
      <c r="K170" s="66">
        <f t="shared" si="34"/>
        <v>0</v>
      </c>
      <c r="L170" s="63">
        <f t="shared" si="35"/>
        <v>0</v>
      </c>
      <c r="M170" s="63">
        <f t="shared" si="36"/>
        <v>0</v>
      </c>
      <c r="N170" s="63">
        <f t="shared" si="37"/>
        <v>6.6142400000000006</v>
      </c>
      <c r="O170" s="63">
        <f t="shared" si="38"/>
        <v>0</v>
      </c>
      <c r="P170" s="63">
        <f t="shared" si="39"/>
        <v>0</v>
      </c>
      <c r="Q170" s="561">
        <f t="shared" si="41"/>
        <v>0</v>
      </c>
      <c r="R170" s="174"/>
      <c r="T170" s="82"/>
      <c r="U170" s="82"/>
      <c r="V170" s="82"/>
      <c r="W170" s="82"/>
      <c r="X170" s="82"/>
      <c r="Y170" s="82"/>
      <c r="Z170" s="82"/>
      <c r="AA170" s="82"/>
      <c r="AB170" s="82"/>
    </row>
    <row r="171" spans="1:28" s="85" customFormat="1" x14ac:dyDescent="0.25">
      <c r="A171" s="82"/>
      <c r="B171" s="82"/>
      <c r="C171" s="82"/>
      <c r="D171" s="729"/>
      <c r="E171" s="396" t="s">
        <v>184</v>
      </c>
      <c r="F171" s="403">
        <v>1</v>
      </c>
      <c r="G171" s="397">
        <f>4*20</f>
        <v>80</v>
      </c>
      <c r="H171" s="398">
        <v>5</v>
      </c>
      <c r="I171" s="399">
        <v>0.24</v>
      </c>
      <c r="J171" s="400">
        <f t="shared" si="32"/>
        <v>19.2</v>
      </c>
      <c r="K171" s="401">
        <f t="shared" si="34"/>
        <v>2.9567999999999999</v>
      </c>
      <c r="L171" s="196">
        <f t="shared" si="35"/>
        <v>0</v>
      </c>
      <c r="M171" s="196">
        <f t="shared" si="36"/>
        <v>0</v>
      </c>
      <c r="N171" s="196">
        <f t="shared" si="37"/>
        <v>0</v>
      </c>
      <c r="O171" s="196">
        <f t="shared" si="38"/>
        <v>0</v>
      </c>
      <c r="P171" s="196">
        <f t="shared" si="39"/>
        <v>0</v>
      </c>
      <c r="Q171" s="566">
        <f t="shared" si="41"/>
        <v>0</v>
      </c>
      <c r="R171" s="538"/>
      <c r="T171" s="82"/>
      <c r="U171" s="82"/>
      <c r="V171" s="82"/>
      <c r="W171" s="82"/>
      <c r="X171" s="82"/>
      <c r="Y171" s="82"/>
      <c r="Z171" s="82"/>
      <c r="AA171" s="82"/>
      <c r="AB171" s="82"/>
    </row>
    <row r="172" spans="1:28" s="85" customFormat="1" x14ac:dyDescent="0.25">
      <c r="A172" s="82"/>
      <c r="B172" s="82"/>
      <c r="C172" s="82"/>
      <c r="D172" s="729"/>
      <c r="E172" s="371" t="s">
        <v>184</v>
      </c>
      <c r="F172" s="372">
        <v>4</v>
      </c>
      <c r="G172" s="373">
        <f>4*8</f>
        <v>32</v>
      </c>
      <c r="H172" s="374">
        <v>5</v>
      </c>
      <c r="I172" s="375">
        <v>0.97</v>
      </c>
      <c r="J172" s="376">
        <f t="shared" si="32"/>
        <v>31.04</v>
      </c>
      <c r="K172" s="66">
        <f t="shared" si="34"/>
        <v>4.7801599999999995</v>
      </c>
      <c r="L172" s="63">
        <f t="shared" si="35"/>
        <v>0</v>
      </c>
      <c r="M172" s="63">
        <f t="shared" si="36"/>
        <v>0</v>
      </c>
      <c r="N172" s="63">
        <f t="shared" si="37"/>
        <v>0</v>
      </c>
      <c r="O172" s="63">
        <f t="shared" si="38"/>
        <v>0</v>
      </c>
      <c r="P172" s="63">
        <f t="shared" si="39"/>
        <v>0</v>
      </c>
      <c r="Q172" s="562">
        <f t="shared" si="41"/>
        <v>0</v>
      </c>
      <c r="R172" s="377"/>
      <c r="T172" s="82"/>
      <c r="U172" s="82"/>
      <c r="V172" s="82"/>
      <c r="W172" s="82"/>
      <c r="X172" s="82"/>
      <c r="Y172" s="82"/>
      <c r="Z172" s="82"/>
      <c r="AA172" s="82"/>
      <c r="AB172" s="82"/>
    </row>
    <row r="173" spans="1:28" s="85" customFormat="1" x14ac:dyDescent="0.25">
      <c r="A173" s="82"/>
      <c r="B173" s="82"/>
      <c r="C173" s="82"/>
      <c r="D173" s="729"/>
      <c r="E173" s="371" t="s">
        <v>184</v>
      </c>
      <c r="F173" s="372">
        <v>5</v>
      </c>
      <c r="G173" s="373">
        <f>4*4</f>
        <v>16</v>
      </c>
      <c r="H173" s="374">
        <v>5</v>
      </c>
      <c r="I173" s="375">
        <v>0.64</v>
      </c>
      <c r="J173" s="376">
        <f t="shared" si="32"/>
        <v>10.24</v>
      </c>
      <c r="K173" s="66">
        <f t="shared" si="34"/>
        <v>1.5769599999999999</v>
      </c>
      <c r="L173" s="63">
        <f t="shared" si="35"/>
        <v>0</v>
      </c>
      <c r="M173" s="63">
        <f t="shared" si="36"/>
        <v>0</v>
      </c>
      <c r="N173" s="63">
        <f t="shared" si="37"/>
        <v>0</v>
      </c>
      <c r="O173" s="63">
        <f t="shared" si="38"/>
        <v>0</v>
      </c>
      <c r="P173" s="63">
        <f t="shared" si="39"/>
        <v>0</v>
      </c>
      <c r="Q173" s="562">
        <f t="shared" si="41"/>
        <v>0</v>
      </c>
      <c r="R173" s="377"/>
      <c r="T173" s="82"/>
      <c r="U173" s="82"/>
      <c r="V173" s="82"/>
      <c r="W173" s="82"/>
      <c r="X173" s="82"/>
      <c r="Y173" s="82"/>
      <c r="Z173" s="82"/>
      <c r="AA173" s="82"/>
      <c r="AB173" s="82"/>
    </row>
    <row r="174" spans="1:28" s="85" customFormat="1" ht="13.8" thickBot="1" x14ac:dyDescent="0.3">
      <c r="A174" s="82"/>
      <c r="B174" s="82"/>
      <c r="C174" s="82"/>
      <c r="D174" s="731"/>
      <c r="E174" s="390" t="s">
        <v>184</v>
      </c>
      <c r="F174" s="391">
        <v>34</v>
      </c>
      <c r="G174" s="392">
        <f>4*8</f>
        <v>32</v>
      </c>
      <c r="H174" s="393">
        <v>10</v>
      </c>
      <c r="I174" s="394">
        <v>1.02</v>
      </c>
      <c r="J174" s="395">
        <f t="shared" si="32"/>
        <v>32.64</v>
      </c>
      <c r="K174" s="221">
        <f t="shared" si="34"/>
        <v>0</v>
      </c>
      <c r="L174" s="222">
        <f t="shared" si="35"/>
        <v>0</v>
      </c>
      <c r="M174" s="222">
        <f t="shared" si="36"/>
        <v>0</v>
      </c>
      <c r="N174" s="222">
        <f t="shared" si="37"/>
        <v>20.13888</v>
      </c>
      <c r="O174" s="222">
        <f t="shared" si="38"/>
        <v>0</v>
      </c>
      <c r="P174" s="222">
        <f t="shared" si="39"/>
        <v>0</v>
      </c>
      <c r="Q174" s="564">
        <f t="shared" si="41"/>
        <v>0</v>
      </c>
      <c r="R174" s="539"/>
      <c r="T174" s="82"/>
      <c r="U174" s="82"/>
      <c r="V174" s="82"/>
      <c r="W174" s="82"/>
      <c r="X174" s="82"/>
      <c r="Y174" s="82"/>
      <c r="Z174" s="82"/>
      <c r="AA174" s="82"/>
      <c r="AB174" s="82"/>
    </row>
    <row r="175" spans="1:28" s="85" customFormat="1" ht="13.8" thickTop="1" x14ac:dyDescent="0.25">
      <c r="A175" s="82"/>
      <c r="B175" s="82"/>
      <c r="C175" s="82"/>
      <c r="D175" s="728" t="s">
        <v>382</v>
      </c>
      <c r="E175" s="384" t="s">
        <v>49</v>
      </c>
      <c r="F175" s="385">
        <v>6</v>
      </c>
      <c r="G175" s="386">
        <v>8</v>
      </c>
      <c r="H175" s="387">
        <v>5</v>
      </c>
      <c r="I175" s="388">
        <v>0.31</v>
      </c>
      <c r="J175" s="389">
        <f t="shared" si="32"/>
        <v>2.48</v>
      </c>
      <c r="K175" s="218">
        <f t="shared" si="34"/>
        <v>0.38191999999999998</v>
      </c>
      <c r="L175" s="219">
        <f t="shared" si="35"/>
        <v>0</v>
      </c>
      <c r="M175" s="219">
        <f t="shared" si="36"/>
        <v>0</v>
      </c>
      <c r="N175" s="219">
        <f t="shared" si="37"/>
        <v>0</v>
      </c>
      <c r="O175" s="219">
        <f t="shared" si="38"/>
        <v>0</v>
      </c>
      <c r="P175" s="219">
        <f t="shared" si="39"/>
        <v>0</v>
      </c>
      <c r="Q175" s="563">
        <f t="shared" si="41"/>
        <v>0</v>
      </c>
      <c r="R175" s="220"/>
      <c r="T175" s="82"/>
      <c r="U175" s="82"/>
      <c r="V175" s="82"/>
      <c r="W175" s="82"/>
      <c r="X175" s="82"/>
      <c r="Y175" s="82"/>
      <c r="Z175" s="82"/>
      <c r="AA175" s="82"/>
      <c r="AB175" s="82"/>
    </row>
    <row r="176" spans="1:28" s="85" customFormat="1" x14ac:dyDescent="0.25">
      <c r="A176" s="82"/>
      <c r="B176" s="82"/>
      <c r="C176" s="82"/>
      <c r="D176" s="729"/>
      <c r="E176" s="371" t="s">
        <v>49</v>
      </c>
      <c r="F176" s="372">
        <v>7</v>
      </c>
      <c r="G176" s="373">
        <v>4</v>
      </c>
      <c r="H176" s="374">
        <v>5</v>
      </c>
      <c r="I176" s="375">
        <v>1.05</v>
      </c>
      <c r="J176" s="376">
        <f t="shared" si="32"/>
        <v>4.2</v>
      </c>
      <c r="K176" s="66">
        <f t="shared" si="34"/>
        <v>0.64680000000000004</v>
      </c>
      <c r="L176" s="63">
        <f t="shared" si="35"/>
        <v>0</v>
      </c>
      <c r="M176" s="63">
        <f t="shared" si="36"/>
        <v>0</v>
      </c>
      <c r="N176" s="63">
        <f t="shared" si="37"/>
        <v>0</v>
      </c>
      <c r="O176" s="63">
        <f t="shared" si="38"/>
        <v>0</v>
      </c>
      <c r="P176" s="63">
        <f t="shared" si="39"/>
        <v>0</v>
      </c>
      <c r="Q176" s="561">
        <f t="shared" si="41"/>
        <v>0</v>
      </c>
      <c r="R176" s="174"/>
      <c r="T176" s="82"/>
      <c r="U176" s="82"/>
      <c r="V176" s="82"/>
      <c r="W176" s="82"/>
      <c r="X176" s="82"/>
      <c r="Y176" s="82"/>
      <c r="Z176" s="82"/>
      <c r="AA176" s="82"/>
      <c r="AB176" s="82"/>
    </row>
    <row r="177" spans="1:28" s="85" customFormat="1" x14ac:dyDescent="0.25">
      <c r="A177" s="82"/>
      <c r="B177" s="82"/>
      <c r="C177" s="82"/>
      <c r="D177" s="729"/>
      <c r="E177" s="371" t="s">
        <v>49</v>
      </c>
      <c r="F177" s="372">
        <v>8</v>
      </c>
      <c r="G177" s="373">
        <v>8</v>
      </c>
      <c r="H177" s="374">
        <v>5</v>
      </c>
      <c r="I177" s="375">
        <v>0.75</v>
      </c>
      <c r="J177" s="376">
        <f t="shared" si="32"/>
        <v>6</v>
      </c>
      <c r="K177" s="66">
        <f t="shared" si="34"/>
        <v>0.92399999999999993</v>
      </c>
      <c r="L177" s="63">
        <f t="shared" si="35"/>
        <v>0</v>
      </c>
      <c r="M177" s="63">
        <f t="shared" si="36"/>
        <v>0</v>
      </c>
      <c r="N177" s="63">
        <f t="shared" si="37"/>
        <v>0</v>
      </c>
      <c r="O177" s="63">
        <f t="shared" si="38"/>
        <v>0</v>
      </c>
      <c r="P177" s="63">
        <f t="shared" si="39"/>
        <v>0</v>
      </c>
      <c r="Q177" s="561">
        <f t="shared" si="41"/>
        <v>0</v>
      </c>
      <c r="R177" s="174"/>
      <c r="T177" s="82"/>
      <c r="U177" s="82"/>
      <c r="V177" s="82"/>
      <c r="W177" s="82"/>
      <c r="X177" s="82"/>
      <c r="Y177" s="82"/>
      <c r="Z177" s="82"/>
      <c r="AA177" s="82"/>
      <c r="AB177" s="82"/>
    </row>
    <row r="178" spans="1:28" s="85" customFormat="1" x14ac:dyDescent="0.25">
      <c r="A178" s="82"/>
      <c r="B178" s="82"/>
      <c r="C178" s="82"/>
      <c r="D178" s="729"/>
      <c r="E178" s="371" t="s">
        <v>49</v>
      </c>
      <c r="F178" s="372">
        <v>38</v>
      </c>
      <c r="G178" s="373">
        <v>6</v>
      </c>
      <c r="H178" s="374">
        <v>12.5</v>
      </c>
      <c r="I178" s="375">
        <v>1.45</v>
      </c>
      <c r="J178" s="376">
        <f t="shared" si="32"/>
        <v>8.6999999999999993</v>
      </c>
      <c r="K178" s="66">
        <f t="shared" si="34"/>
        <v>0</v>
      </c>
      <c r="L178" s="63">
        <f t="shared" si="35"/>
        <v>0</v>
      </c>
      <c r="M178" s="63">
        <f t="shared" si="36"/>
        <v>0</v>
      </c>
      <c r="N178" s="63">
        <f t="shared" si="37"/>
        <v>0</v>
      </c>
      <c r="O178" s="63">
        <f t="shared" si="38"/>
        <v>8.3780999999999999</v>
      </c>
      <c r="P178" s="63">
        <f t="shared" si="39"/>
        <v>0</v>
      </c>
      <c r="Q178" s="561">
        <f t="shared" si="41"/>
        <v>0</v>
      </c>
      <c r="R178" s="174"/>
      <c r="T178" s="82"/>
      <c r="U178" s="82"/>
      <c r="V178" s="82"/>
      <c r="W178" s="82"/>
      <c r="X178" s="82"/>
      <c r="Y178" s="82"/>
      <c r="Z178" s="82"/>
      <c r="AA178" s="82"/>
      <c r="AB178" s="82"/>
    </row>
    <row r="179" spans="1:28" s="85" customFormat="1" x14ac:dyDescent="0.25">
      <c r="A179" s="82"/>
      <c r="B179" s="82"/>
      <c r="C179" s="82"/>
      <c r="D179" s="729"/>
      <c r="E179" s="371" t="s">
        <v>113</v>
      </c>
      <c r="F179" s="372">
        <v>6</v>
      </c>
      <c r="G179" s="373">
        <v>24</v>
      </c>
      <c r="H179" s="374">
        <v>5</v>
      </c>
      <c r="I179" s="375">
        <v>0.34</v>
      </c>
      <c r="J179" s="376">
        <f t="shared" si="32"/>
        <v>8.16</v>
      </c>
      <c r="K179" s="66">
        <f t="shared" si="34"/>
        <v>1.25664</v>
      </c>
      <c r="L179" s="63">
        <f t="shared" si="35"/>
        <v>0</v>
      </c>
      <c r="M179" s="63">
        <f t="shared" si="36"/>
        <v>0</v>
      </c>
      <c r="N179" s="63">
        <f t="shared" si="37"/>
        <v>0</v>
      </c>
      <c r="O179" s="63">
        <f t="shared" si="38"/>
        <v>0</v>
      </c>
      <c r="P179" s="63">
        <f t="shared" si="39"/>
        <v>0</v>
      </c>
      <c r="Q179" s="561">
        <f t="shared" si="41"/>
        <v>0</v>
      </c>
      <c r="R179" s="174"/>
      <c r="T179" s="82"/>
      <c r="U179" s="82"/>
      <c r="V179" s="82"/>
      <c r="W179" s="82"/>
      <c r="X179" s="82"/>
      <c r="Y179" s="82"/>
      <c r="Z179" s="82"/>
      <c r="AA179" s="82"/>
      <c r="AB179" s="82"/>
    </row>
    <row r="180" spans="1:28" s="85" customFormat="1" x14ac:dyDescent="0.25">
      <c r="A180" s="82"/>
      <c r="B180" s="82"/>
      <c r="C180" s="82"/>
      <c r="D180" s="729"/>
      <c r="E180" s="371" t="s">
        <v>113</v>
      </c>
      <c r="F180" s="372">
        <v>7</v>
      </c>
      <c r="G180" s="373">
        <v>20</v>
      </c>
      <c r="H180" s="374">
        <v>5</v>
      </c>
      <c r="I180" s="375">
        <v>1.17</v>
      </c>
      <c r="J180" s="376">
        <f t="shared" si="32"/>
        <v>23.4</v>
      </c>
      <c r="K180" s="66">
        <f t="shared" si="34"/>
        <v>3.6035999999999997</v>
      </c>
      <c r="L180" s="63">
        <f t="shared" si="35"/>
        <v>0</v>
      </c>
      <c r="M180" s="63">
        <f t="shared" si="36"/>
        <v>0</v>
      </c>
      <c r="N180" s="63">
        <f t="shared" si="37"/>
        <v>0</v>
      </c>
      <c r="O180" s="63">
        <f t="shared" si="38"/>
        <v>0</v>
      </c>
      <c r="P180" s="63">
        <f t="shared" si="39"/>
        <v>0</v>
      </c>
      <c r="Q180" s="561">
        <f t="shared" si="41"/>
        <v>0</v>
      </c>
      <c r="R180" s="174"/>
      <c r="T180" s="82"/>
      <c r="U180" s="82"/>
      <c r="V180" s="82"/>
      <c r="W180" s="82"/>
      <c r="X180" s="82"/>
      <c r="Y180" s="82"/>
      <c r="Z180" s="82"/>
      <c r="AA180" s="82"/>
      <c r="AB180" s="82"/>
    </row>
    <row r="181" spans="1:28" s="85" customFormat="1" x14ac:dyDescent="0.25">
      <c r="A181" s="82"/>
      <c r="B181" s="82"/>
      <c r="C181" s="82"/>
      <c r="D181" s="729"/>
      <c r="E181" s="371" t="s">
        <v>113</v>
      </c>
      <c r="F181" s="372">
        <v>8</v>
      </c>
      <c r="G181" s="373">
        <v>8</v>
      </c>
      <c r="H181" s="374">
        <v>5</v>
      </c>
      <c r="I181" s="375">
        <v>0.84</v>
      </c>
      <c r="J181" s="376">
        <f t="shared" si="32"/>
        <v>6.72</v>
      </c>
      <c r="K181" s="66">
        <f t="shared" si="34"/>
        <v>1.03488</v>
      </c>
      <c r="L181" s="63">
        <f t="shared" si="35"/>
        <v>0</v>
      </c>
      <c r="M181" s="63">
        <f t="shared" si="36"/>
        <v>0</v>
      </c>
      <c r="N181" s="63">
        <f t="shared" si="37"/>
        <v>0</v>
      </c>
      <c r="O181" s="63">
        <f t="shared" si="38"/>
        <v>0</v>
      </c>
      <c r="P181" s="63">
        <f t="shared" si="39"/>
        <v>0</v>
      </c>
      <c r="Q181" s="561">
        <f t="shared" si="41"/>
        <v>0</v>
      </c>
      <c r="R181" s="174"/>
      <c r="T181" s="82"/>
      <c r="U181" s="82"/>
      <c r="V181" s="82"/>
      <c r="W181" s="82"/>
      <c r="X181" s="82"/>
      <c r="Y181" s="82"/>
      <c r="Z181" s="82"/>
      <c r="AA181" s="82"/>
      <c r="AB181" s="82"/>
    </row>
    <row r="182" spans="1:28" s="85" customFormat="1" x14ac:dyDescent="0.25">
      <c r="A182" s="82"/>
      <c r="B182" s="82"/>
      <c r="C182" s="82"/>
      <c r="D182" s="729"/>
      <c r="E182" s="371" t="s">
        <v>113</v>
      </c>
      <c r="F182" s="372">
        <v>25</v>
      </c>
      <c r="G182" s="373">
        <v>6</v>
      </c>
      <c r="H182" s="374">
        <v>12.5</v>
      </c>
      <c r="I182" s="375">
        <v>3.87</v>
      </c>
      <c r="J182" s="376">
        <f t="shared" si="32"/>
        <v>23.22</v>
      </c>
      <c r="K182" s="66">
        <f t="shared" si="34"/>
        <v>0</v>
      </c>
      <c r="L182" s="63">
        <f t="shared" si="35"/>
        <v>0</v>
      </c>
      <c r="M182" s="63">
        <f t="shared" si="36"/>
        <v>0</v>
      </c>
      <c r="N182" s="63">
        <f t="shared" si="37"/>
        <v>0</v>
      </c>
      <c r="O182" s="63">
        <f t="shared" si="38"/>
        <v>22.360859999999999</v>
      </c>
      <c r="P182" s="63">
        <f t="shared" si="39"/>
        <v>0</v>
      </c>
      <c r="Q182" s="561">
        <f t="shared" si="41"/>
        <v>0</v>
      </c>
      <c r="R182" s="174"/>
      <c r="T182" s="82"/>
      <c r="U182" s="82"/>
      <c r="V182" s="82"/>
      <c r="W182" s="82"/>
      <c r="X182" s="82"/>
      <c r="Y182" s="82"/>
      <c r="Z182" s="82"/>
      <c r="AA182" s="82"/>
      <c r="AB182" s="82"/>
    </row>
    <row r="183" spans="1:28" s="85" customFormat="1" x14ac:dyDescent="0.25">
      <c r="A183" s="82"/>
      <c r="B183" s="82"/>
      <c r="C183" s="82"/>
      <c r="D183" s="729"/>
      <c r="E183" s="396" t="s">
        <v>184</v>
      </c>
      <c r="F183" s="403">
        <v>6</v>
      </c>
      <c r="G183" s="397">
        <v>7</v>
      </c>
      <c r="H183" s="398">
        <v>5</v>
      </c>
      <c r="I183" s="399">
        <v>0.34</v>
      </c>
      <c r="J183" s="400">
        <f t="shared" si="32"/>
        <v>2.3800000000000003</v>
      </c>
      <c r="K183" s="401">
        <f t="shared" si="34"/>
        <v>0.36652000000000007</v>
      </c>
      <c r="L183" s="196">
        <f t="shared" si="35"/>
        <v>0</v>
      </c>
      <c r="M183" s="196">
        <f t="shared" si="36"/>
        <v>0</v>
      </c>
      <c r="N183" s="196">
        <f t="shared" si="37"/>
        <v>0</v>
      </c>
      <c r="O183" s="196">
        <f t="shared" si="38"/>
        <v>0</v>
      </c>
      <c r="P183" s="196">
        <f t="shared" si="39"/>
        <v>0</v>
      </c>
      <c r="Q183" s="566">
        <f t="shared" si="41"/>
        <v>0</v>
      </c>
      <c r="R183" s="538"/>
      <c r="T183" s="82"/>
      <c r="U183" s="82"/>
      <c r="V183" s="82"/>
      <c r="W183" s="82"/>
      <c r="X183" s="82"/>
      <c r="Y183" s="82"/>
      <c r="Z183" s="82"/>
      <c r="AA183" s="82"/>
      <c r="AB183" s="82"/>
    </row>
    <row r="184" spans="1:28" s="85" customFormat="1" x14ac:dyDescent="0.25">
      <c r="A184" s="82"/>
      <c r="B184" s="82"/>
      <c r="C184" s="82"/>
      <c r="D184" s="729"/>
      <c r="E184" s="371" t="s">
        <v>184</v>
      </c>
      <c r="F184" s="372">
        <v>7</v>
      </c>
      <c r="G184" s="373">
        <v>6</v>
      </c>
      <c r="H184" s="374">
        <v>5</v>
      </c>
      <c r="I184" s="375">
        <v>1.17</v>
      </c>
      <c r="J184" s="376">
        <f t="shared" si="32"/>
        <v>7.02</v>
      </c>
      <c r="K184" s="66">
        <f t="shared" si="34"/>
        <v>1.0810799999999998</v>
      </c>
      <c r="L184" s="63">
        <f t="shared" si="35"/>
        <v>0</v>
      </c>
      <c r="M184" s="63">
        <f t="shared" si="36"/>
        <v>0</v>
      </c>
      <c r="N184" s="63">
        <f t="shared" si="37"/>
        <v>0</v>
      </c>
      <c r="O184" s="63">
        <f t="shared" si="38"/>
        <v>0</v>
      </c>
      <c r="P184" s="63">
        <f t="shared" si="39"/>
        <v>0</v>
      </c>
      <c r="Q184" s="562">
        <f t="shared" si="41"/>
        <v>0</v>
      </c>
      <c r="R184" s="377"/>
      <c r="T184" s="82"/>
      <c r="U184" s="82"/>
      <c r="V184" s="82"/>
      <c r="W184" s="82"/>
      <c r="X184" s="82"/>
      <c r="Y184" s="82"/>
      <c r="Z184" s="82"/>
      <c r="AA184" s="82"/>
      <c r="AB184" s="82"/>
    </row>
    <row r="185" spans="1:28" s="85" customFormat="1" x14ac:dyDescent="0.25">
      <c r="A185" s="82"/>
      <c r="B185" s="82"/>
      <c r="C185" s="82"/>
      <c r="D185" s="729"/>
      <c r="E185" s="371" t="s">
        <v>184</v>
      </c>
      <c r="F185" s="372">
        <v>8</v>
      </c>
      <c r="G185" s="373">
        <v>2</v>
      </c>
      <c r="H185" s="374">
        <v>5</v>
      </c>
      <c r="I185" s="375">
        <v>0.84</v>
      </c>
      <c r="J185" s="376">
        <f t="shared" si="32"/>
        <v>1.68</v>
      </c>
      <c r="K185" s="66">
        <f t="shared" si="34"/>
        <v>0.25872000000000001</v>
      </c>
      <c r="L185" s="63">
        <f t="shared" si="35"/>
        <v>0</v>
      </c>
      <c r="M185" s="63">
        <f t="shared" si="36"/>
        <v>0</v>
      </c>
      <c r="N185" s="63">
        <f t="shared" si="37"/>
        <v>0</v>
      </c>
      <c r="O185" s="63">
        <f t="shared" si="38"/>
        <v>0</v>
      </c>
      <c r="P185" s="63">
        <f t="shared" si="39"/>
        <v>0</v>
      </c>
      <c r="Q185" s="562">
        <f t="shared" si="41"/>
        <v>0</v>
      </c>
      <c r="R185" s="377"/>
      <c r="T185" s="82"/>
      <c r="U185" s="82"/>
      <c r="V185" s="82"/>
      <c r="W185" s="82"/>
      <c r="X185" s="82"/>
      <c r="Y185" s="82"/>
      <c r="Z185" s="82"/>
      <c r="AA185" s="82"/>
      <c r="AB185" s="82"/>
    </row>
    <row r="186" spans="1:28" s="85" customFormat="1" ht="13.8" thickBot="1" x14ac:dyDescent="0.3">
      <c r="A186" s="82"/>
      <c r="B186" s="82"/>
      <c r="C186" s="82"/>
      <c r="D186" s="731"/>
      <c r="E186" s="390" t="s">
        <v>184</v>
      </c>
      <c r="F186" s="391">
        <v>35</v>
      </c>
      <c r="G186" s="392">
        <v>6</v>
      </c>
      <c r="H186" s="393">
        <v>12.5</v>
      </c>
      <c r="I186" s="394">
        <v>1.02</v>
      </c>
      <c r="J186" s="395">
        <f t="shared" si="32"/>
        <v>6.12</v>
      </c>
      <c r="K186" s="221">
        <f t="shared" si="34"/>
        <v>0</v>
      </c>
      <c r="L186" s="222">
        <f t="shared" si="35"/>
        <v>0</v>
      </c>
      <c r="M186" s="222">
        <f t="shared" si="36"/>
        <v>0</v>
      </c>
      <c r="N186" s="222">
        <f t="shared" si="37"/>
        <v>0</v>
      </c>
      <c r="O186" s="222">
        <f t="shared" si="38"/>
        <v>5.8935599999999999</v>
      </c>
      <c r="P186" s="222">
        <f t="shared" si="39"/>
        <v>0</v>
      </c>
      <c r="Q186" s="564">
        <f t="shared" si="41"/>
        <v>0</v>
      </c>
      <c r="R186" s="539"/>
      <c r="T186" s="82"/>
      <c r="U186" s="82"/>
      <c r="V186" s="82"/>
      <c r="W186" s="82"/>
      <c r="X186" s="82"/>
      <c r="Y186" s="82"/>
      <c r="Z186" s="82"/>
      <c r="AA186" s="82"/>
      <c r="AB186" s="82"/>
    </row>
    <row r="187" spans="1:28" s="85" customFormat="1" ht="13.8" thickTop="1" x14ac:dyDescent="0.25">
      <c r="A187" s="82"/>
      <c r="B187" s="82"/>
      <c r="C187" s="82"/>
      <c r="D187" s="728" t="s">
        <v>1289</v>
      </c>
      <c r="E187" s="384" t="s">
        <v>49</v>
      </c>
      <c r="F187" s="385">
        <v>9</v>
      </c>
      <c r="G187" s="386">
        <v>8</v>
      </c>
      <c r="H187" s="387">
        <v>5</v>
      </c>
      <c r="I187" s="388">
        <v>0.26</v>
      </c>
      <c r="J187" s="389">
        <f t="shared" si="32"/>
        <v>2.08</v>
      </c>
      <c r="K187" s="218">
        <f t="shared" si="34"/>
        <v>0.32031999999999999</v>
      </c>
      <c r="L187" s="219">
        <f t="shared" si="35"/>
        <v>0</v>
      </c>
      <c r="M187" s="219">
        <f t="shared" si="36"/>
        <v>0</v>
      </c>
      <c r="N187" s="219">
        <f t="shared" si="37"/>
        <v>0</v>
      </c>
      <c r="O187" s="219">
        <f t="shared" si="38"/>
        <v>0</v>
      </c>
      <c r="P187" s="219">
        <f t="shared" si="39"/>
        <v>0</v>
      </c>
      <c r="Q187" s="563">
        <f t="shared" si="41"/>
        <v>0</v>
      </c>
      <c r="R187" s="220"/>
      <c r="T187" s="82"/>
      <c r="U187" s="82"/>
      <c r="V187" s="82"/>
      <c r="W187" s="82"/>
      <c r="X187" s="82"/>
      <c r="Y187" s="82"/>
      <c r="Z187" s="82"/>
      <c r="AA187" s="82"/>
      <c r="AB187" s="82"/>
    </row>
    <row r="188" spans="1:28" s="85" customFormat="1" x14ac:dyDescent="0.25">
      <c r="A188" s="82"/>
      <c r="B188" s="82"/>
      <c r="C188" s="82"/>
      <c r="D188" s="729"/>
      <c r="E188" s="371" t="s">
        <v>49</v>
      </c>
      <c r="F188" s="372">
        <v>10</v>
      </c>
      <c r="G188" s="373">
        <v>16</v>
      </c>
      <c r="H188" s="374">
        <v>5</v>
      </c>
      <c r="I188" s="375">
        <v>0.65</v>
      </c>
      <c r="J188" s="376">
        <f t="shared" si="32"/>
        <v>10.4</v>
      </c>
      <c r="K188" s="66">
        <f t="shared" si="34"/>
        <v>1.6016000000000001</v>
      </c>
      <c r="L188" s="63">
        <f t="shared" si="35"/>
        <v>0</v>
      </c>
      <c r="M188" s="63">
        <f t="shared" si="36"/>
        <v>0</v>
      </c>
      <c r="N188" s="63">
        <f t="shared" si="37"/>
        <v>0</v>
      </c>
      <c r="O188" s="63">
        <f t="shared" si="38"/>
        <v>0</v>
      </c>
      <c r="P188" s="63">
        <f t="shared" si="39"/>
        <v>0</v>
      </c>
      <c r="Q188" s="561">
        <f t="shared" si="41"/>
        <v>0</v>
      </c>
      <c r="R188" s="174"/>
      <c r="T188" s="82"/>
      <c r="U188" s="82"/>
      <c r="V188" s="82"/>
      <c r="W188" s="82"/>
      <c r="X188" s="82"/>
      <c r="Y188" s="82"/>
      <c r="Z188" s="82"/>
      <c r="AA188" s="82"/>
      <c r="AB188" s="82"/>
    </row>
    <row r="189" spans="1:28" s="85" customFormat="1" x14ac:dyDescent="0.25">
      <c r="A189" s="82"/>
      <c r="B189" s="82"/>
      <c r="C189" s="82"/>
      <c r="D189" s="729"/>
      <c r="E189" s="371" t="s">
        <v>49</v>
      </c>
      <c r="F189" s="372">
        <v>33</v>
      </c>
      <c r="G189" s="373">
        <v>6</v>
      </c>
      <c r="H189" s="374">
        <v>10</v>
      </c>
      <c r="I189" s="375">
        <v>1.37</v>
      </c>
      <c r="J189" s="376">
        <f t="shared" si="32"/>
        <v>8.2200000000000006</v>
      </c>
      <c r="K189" s="66">
        <f t="shared" si="34"/>
        <v>0</v>
      </c>
      <c r="L189" s="63">
        <f t="shared" si="35"/>
        <v>0</v>
      </c>
      <c r="M189" s="63">
        <f t="shared" si="36"/>
        <v>0</v>
      </c>
      <c r="N189" s="63">
        <f t="shared" si="37"/>
        <v>5.0717400000000001</v>
      </c>
      <c r="O189" s="63">
        <f t="shared" si="38"/>
        <v>0</v>
      </c>
      <c r="P189" s="63">
        <f t="shared" si="39"/>
        <v>0</v>
      </c>
      <c r="Q189" s="561">
        <f t="shared" si="41"/>
        <v>0</v>
      </c>
      <c r="R189" s="174"/>
      <c r="T189" s="82"/>
      <c r="U189" s="82"/>
      <c r="V189" s="82"/>
      <c r="W189" s="82"/>
      <c r="X189" s="82"/>
      <c r="Y189" s="82"/>
      <c r="Z189" s="82"/>
      <c r="AA189" s="82"/>
      <c r="AB189" s="82"/>
    </row>
    <row r="190" spans="1:28" s="85" customFormat="1" x14ac:dyDescent="0.25">
      <c r="A190" s="82"/>
      <c r="B190" s="82"/>
      <c r="C190" s="82"/>
      <c r="D190" s="729"/>
      <c r="E190" s="371" t="s">
        <v>113</v>
      </c>
      <c r="F190" s="372">
        <v>9</v>
      </c>
      <c r="G190" s="373">
        <v>30</v>
      </c>
      <c r="H190" s="374">
        <v>5</v>
      </c>
      <c r="I190" s="375">
        <v>0.28999999999999998</v>
      </c>
      <c r="J190" s="376">
        <f t="shared" si="32"/>
        <v>8.6999999999999993</v>
      </c>
      <c r="K190" s="66">
        <f t="shared" si="34"/>
        <v>1.3397999999999999</v>
      </c>
      <c r="L190" s="63">
        <f t="shared" si="35"/>
        <v>0</v>
      </c>
      <c r="M190" s="63">
        <f t="shared" si="36"/>
        <v>0</v>
      </c>
      <c r="N190" s="63">
        <f t="shared" si="37"/>
        <v>0</v>
      </c>
      <c r="O190" s="63">
        <f t="shared" si="38"/>
        <v>0</v>
      </c>
      <c r="P190" s="63">
        <f t="shared" si="39"/>
        <v>0</v>
      </c>
      <c r="Q190" s="561">
        <f t="shared" si="41"/>
        <v>0</v>
      </c>
      <c r="R190" s="174"/>
      <c r="T190" s="82"/>
      <c r="U190" s="82"/>
      <c r="V190" s="82"/>
      <c r="W190" s="82"/>
      <c r="X190" s="82"/>
      <c r="Y190" s="82"/>
      <c r="Z190" s="82"/>
      <c r="AA190" s="82"/>
      <c r="AB190" s="82"/>
    </row>
    <row r="191" spans="1:28" s="85" customFormat="1" x14ac:dyDescent="0.25">
      <c r="A191" s="82"/>
      <c r="B191" s="82"/>
      <c r="C191" s="82"/>
      <c r="D191" s="729"/>
      <c r="E191" s="371" t="s">
        <v>113</v>
      </c>
      <c r="F191" s="372">
        <v>10</v>
      </c>
      <c r="G191" s="373">
        <v>25</v>
      </c>
      <c r="H191" s="374">
        <v>5</v>
      </c>
      <c r="I191" s="375">
        <v>1.07</v>
      </c>
      <c r="J191" s="376">
        <f t="shared" si="32"/>
        <v>26.75</v>
      </c>
      <c r="K191" s="66">
        <f t="shared" si="34"/>
        <v>4.1195000000000004</v>
      </c>
      <c r="L191" s="63">
        <f t="shared" si="35"/>
        <v>0</v>
      </c>
      <c r="M191" s="63">
        <f t="shared" si="36"/>
        <v>0</v>
      </c>
      <c r="N191" s="63">
        <f t="shared" si="37"/>
        <v>0</v>
      </c>
      <c r="O191" s="63">
        <f t="shared" si="38"/>
        <v>0</v>
      </c>
      <c r="P191" s="63">
        <f t="shared" si="39"/>
        <v>0</v>
      </c>
      <c r="Q191" s="561">
        <f t="shared" si="41"/>
        <v>0</v>
      </c>
      <c r="R191" s="174"/>
      <c r="T191" s="82"/>
      <c r="U191" s="82"/>
      <c r="V191" s="82"/>
      <c r="W191" s="82"/>
      <c r="X191" s="82"/>
      <c r="Y191" s="82"/>
      <c r="Z191" s="82"/>
      <c r="AA191" s="82"/>
      <c r="AB191" s="82"/>
    </row>
    <row r="192" spans="1:28" s="85" customFormat="1" x14ac:dyDescent="0.25">
      <c r="A192" s="82"/>
      <c r="B192" s="82"/>
      <c r="C192" s="82"/>
      <c r="D192" s="729"/>
      <c r="E192" s="371" t="s">
        <v>113</v>
      </c>
      <c r="F192" s="372">
        <v>11</v>
      </c>
      <c r="G192" s="373">
        <v>10</v>
      </c>
      <c r="H192" s="374">
        <v>5</v>
      </c>
      <c r="I192" s="375">
        <v>0.74</v>
      </c>
      <c r="J192" s="376">
        <f t="shared" si="32"/>
        <v>7.4</v>
      </c>
      <c r="K192" s="66">
        <f t="shared" si="34"/>
        <v>1.1395999999999999</v>
      </c>
      <c r="L192" s="63">
        <f t="shared" si="35"/>
        <v>0</v>
      </c>
      <c r="M192" s="63">
        <f t="shared" si="36"/>
        <v>0</v>
      </c>
      <c r="N192" s="63">
        <f t="shared" si="37"/>
        <v>0</v>
      </c>
      <c r="O192" s="63">
        <f t="shared" si="38"/>
        <v>0</v>
      </c>
      <c r="P192" s="63">
        <f t="shared" si="39"/>
        <v>0</v>
      </c>
      <c r="Q192" s="561">
        <f t="shared" si="41"/>
        <v>0</v>
      </c>
      <c r="R192" s="174"/>
      <c r="T192" s="82"/>
      <c r="U192" s="82"/>
      <c r="V192" s="82"/>
      <c r="W192" s="82"/>
      <c r="X192" s="82"/>
      <c r="Y192" s="82"/>
      <c r="Z192" s="82"/>
      <c r="AA192" s="82"/>
      <c r="AB192" s="82"/>
    </row>
    <row r="193" spans="1:28" s="85" customFormat="1" x14ac:dyDescent="0.25">
      <c r="A193" s="82"/>
      <c r="B193" s="82"/>
      <c r="C193" s="82"/>
      <c r="D193" s="729"/>
      <c r="E193" s="371" t="s">
        <v>113</v>
      </c>
      <c r="F193" s="372">
        <v>19</v>
      </c>
      <c r="G193" s="373">
        <v>6</v>
      </c>
      <c r="H193" s="374">
        <v>10</v>
      </c>
      <c r="I193" s="375">
        <v>3.42</v>
      </c>
      <c r="J193" s="376">
        <f t="shared" si="32"/>
        <v>20.52</v>
      </c>
      <c r="K193" s="66">
        <f t="shared" si="34"/>
        <v>0</v>
      </c>
      <c r="L193" s="63">
        <f t="shared" si="35"/>
        <v>0</v>
      </c>
      <c r="M193" s="63">
        <f t="shared" si="36"/>
        <v>0</v>
      </c>
      <c r="N193" s="63">
        <f t="shared" si="37"/>
        <v>12.66084</v>
      </c>
      <c r="O193" s="63">
        <f t="shared" si="38"/>
        <v>0</v>
      </c>
      <c r="P193" s="63">
        <f t="shared" si="39"/>
        <v>0</v>
      </c>
      <c r="Q193" s="561">
        <f t="shared" si="41"/>
        <v>0</v>
      </c>
      <c r="R193" s="174"/>
      <c r="T193" s="82"/>
      <c r="U193" s="82"/>
      <c r="V193" s="82"/>
      <c r="W193" s="82"/>
      <c r="X193" s="82"/>
      <c r="Y193" s="82"/>
      <c r="Z193" s="82"/>
      <c r="AA193" s="82"/>
      <c r="AB193" s="82"/>
    </row>
    <row r="194" spans="1:28" s="85" customFormat="1" x14ac:dyDescent="0.25">
      <c r="A194" s="82"/>
      <c r="B194" s="82"/>
      <c r="C194" s="82"/>
      <c r="D194" s="729"/>
      <c r="E194" s="396" t="s">
        <v>184</v>
      </c>
      <c r="F194" s="403"/>
      <c r="G194" s="397"/>
      <c r="H194" s="398"/>
      <c r="I194" s="399"/>
      <c r="J194" s="400">
        <f t="shared" si="32"/>
        <v>0</v>
      </c>
      <c r="K194" s="401">
        <f t="shared" si="34"/>
        <v>0</v>
      </c>
      <c r="L194" s="196">
        <f t="shared" si="35"/>
        <v>0</v>
      </c>
      <c r="M194" s="196">
        <f t="shared" si="36"/>
        <v>0</v>
      </c>
      <c r="N194" s="196">
        <f t="shared" si="37"/>
        <v>0</v>
      </c>
      <c r="O194" s="196">
        <f t="shared" si="38"/>
        <v>0</v>
      </c>
      <c r="P194" s="196">
        <f t="shared" si="39"/>
        <v>0</v>
      </c>
      <c r="Q194" s="566">
        <f t="shared" si="41"/>
        <v>0</v>
      </c>
      <c r="R194" s="538"/>
      <c r="T194" s="82"/>
      <c r="U194" s="82"/>
      <c r="V194" s="82"/>
      <c r="W194" s="82"/>
      <c r="X194" s="82"/>
      <c r="Y194" s="82"/>
      <c r="Z194" s="82"/>
      <c r="AA194" s="82"/>
      <c r="AB194" s="82"/>
    </row>
    <row r="195" spans="1:28" s="85" customFormat="1" x14ac:dyDescent="0.25">
      <c r="A195" s="82"/>
      <c r="B195" s="82"/>
      <c r="C195" s="82"/>
      <c r="D195" s="729"/>
      <c r="E195" s="371" t="s">
        <v>184</v>
      </c>
      <c r="F195" s="372"/>
      <c r="G195" s="373"/>
      <c r="H195" s="374"/>
      <c r="I195" s="375"/>
      <c r="J195" s="376">
        <f t="shared" si="32"/>
        <v>0</v>
      </c>
      <c r="K195" s="66">
        <f t="shared" si="34"/>
        <v>0</v>
      </c>
      <c r="L195" s="63">
        <f t="shared" si="35"/>
        <v>0</v>
      </c>
      <c r="M195" s="63">
        <f t="shared" si="36"/>
        <v>0</v>
      </c>
      <c r="N195" s="63">
        <f t="shared" si="37"/>
        <v>0</v>
      </c>
      <c r="O195" s="63">
        <f t="shared" si="38"/>
        <v>0</v>
      </c>
      <c r="P195" s="63">
        <f t="shared" si="39"/>
        <v>0</v>
      </c>
      <c r="Q195" s="562">
        <f t="shared" si="41"/>
        <v>0</v>
      </c>
      <c r="R195" s="377"/>
      <c r="T195" s="82"/>
      <c r="U195" s="82"/>
      <c r="V195" s="82"/>
      <c r="W195" s="82"/>
      <c r="X195" s="82"/>
      <c r="Y195" s="82"/>
      <c r="Z195" s="82"/>
      <c r="AA195" s="82"/>
      <c r="AB195" s="82"/>
    </row>
    <row r="196" spans="1:28" s="85" customFormat="1" x14ac:dyDescent="0.25">
      <c r="A196" s="82"/>
      <c r="B196" s="82"/>
      <c r="C196" s="82"/>
      <c r="D196" s="729"/>
      <c r="E196" s="371" t="s">
        <v>184</v>
      </c>
      <c r="F196" s="372"/>
      <c r="G196" s="373"/>
      <c r="H196" s="374"/>
      <c r="I196" s="375"/>
      <c r="J196" s="376">
        <f t="shared" si="32"/>
        <v>0</v>
      </c>
      <c r="K196" s="66">
        <f t="shared" si="34"/>
        <v>0</v>
      </c>
      <c r="L196" s="63">
        <f t="shared" si="35"/>
        <v>0</v>
      </c>
      <c r="M196" s="63">
        <f t="shared" si="36"/>
        <v>0</v>
      </c>
      <c r="N196" s="63">
        <f t="shared" si="37"/>
        <v>0</v>
      </c>
      <c r="O196" s="63">
        <f t="shared" si="38"/>
        <v>0</v>
      </c>
      <c r="P196" s="63">
        <f t="shared" si="39"/>
        <v>0</v>
      </c>
      <c r="Q196" s="562">
        <f t="shared" si="41"/>
        <v>0</v>
      </c>
      <c r="R196" s="377"/>
      <c r="T196" s="82"/>
      <c r="U196" s="82"/>
      <c r="V196" s="82"/>
      <c r="W196" s="82"/>
      <c r="X196" s="82"/>
      <c r="Y196" s="82"/>
      <c r="Z196" s="82"/>
      <c r="AA196" s="82"/>
      <c r="AB196" s="82"/>
    </row>
    <row r="197" spans="1:28" s="85" customFormat="1" ht="13.8" thickBot="1" x14ac:dyDescent="0.3">
      <c r="A197" s="82"/>
      <c r="B197" s="82"/>
      <c r="C197" s="82"/>
      <c r="D197" s="731"/>
      <c r="E197" s="390" t="s">
        <v>184</v>
      </c>
      <c r="F197" s="391"/>
      <c r="G197" s="392"/>
      <c r="H197" s="393"/>
      <c r="I197" s="394"/>
      <c r="J197" s="395">
        <f t="shared" si="32"/>
        <v>0</v>
      </c>
      <c r="K197" s="221">
        <f t="shared" si="34"/>
        <v>0</v>
      </c>
      <c r="L197" s="222">
        <f t="shared" si="35"/>
        <v>0</v>
      </c>
      <c r="M197" s="222">
        <f t="shared" si="36"/>
        <v>0</v>
      </c>
      <c r="N197" s="222">
        <f t="shared" si="37"/>
        <v>0</v>
      </c>
      <c r="O197" s="222">
        <f t="shared" si="38"/>
        <v>0</v>
      </c>
      <c r="P197" s="222">
        <f t="shared" si="39"/>
        <v>0</v>
      </c>
      <c r="Q197" s="564">
        <f t="shared" si="41"/>
        <v>0</v>
      </c>
      <c r="R197" s="539"/>
      <c r="T197" s="82"/>
      <c r="U197" s="82"/>
      <c r="V197" s="82"/>
      <c r="W197" s="82"/>
      <c r="X197" s="82"/>
      <c r="Y197" s="82"/>
      <c r="Z197" s="82"/>
      <c r="AA197" s="82"/>
      <c r="AB197" s="82"/>
    </row>
    <row r="198" spans="1:28" s="85" customFormat="1" ht="13.8" thickTop="1" x14ac:dyDescent="0.25">
      <c r="A198" s="82"/>
      <c r="B198" s="82"/>
      <c r="C198" s="82"/>
      <c r="D198" s="728" t="s">
        <v>1290</v>
      </c>
      <c r="E198" s="384" t="s">
        <v>49</v>
      </c>
      <c r="F198" s="385">
        <v>10</v>
      </c>
      <c r="G198" s="386">
        <v>6</v>
      </c>
      <c r="H198" s="387">
        <v>5</v>
      </c>
      <c r="I198" s="388">
        <v>0.65</v>
      </c>
      <c r="J198" s="389">
        <f t="shared" si="32"/>
        <v>3.9000000000000004</v>
      </c>
      <c r="K198" s="218">
        <f t="shared" si="34"/>
        <v>0.60060000000000002</v>
      </c>
      <c r="L198" s="219">
        <f t="shared" si="35"/>
        <v>0</v>
      </c>
      <c r="M198" s="219">
        <f t="shared" si="36"/>
        <v>0</v>
      </c>
      <c r="N198" s="219">
        <f t="shared" si="37"/>
        <v>0</v>
      </c>
      <c r="O198" s="219">
        <f t="shared" si="38"/>
        <v>0</v>
      </c>
      <c r="P198" s="219">
        <f t="shared" si="39"/>
        <v>0</v>
      </c>
      <c r="Q198" s="563">
        <f t="shared" si="41"/>
        <v>0</v>
      </c>
      <c r="R198" s="220"/>
      <c r="T198" s="82"/>
      <c r="U198" s="82"/>
      <c r="V198" s="82"/>
      <c r="W198" s="82"/>
      <c r="X198" s="82"/>
      <c r="Y198" s="82"/>
      <c r="Z198" s="82"/>
      <c r="AA198" s="82"/>
      <c r="AB198" s="82"/>
    </row>
    <row r="199" spans="1:28" s="85" customFormat="1" x14ac:dyDescent="0.25">
      <c r="A199" s="82"/>
      <c r="B199" s="82"/>
      <c r="C199" s="82"/>
      <c r="D199" s="729"/>
      <c r="E199" s="371" t="s">
        <v>49</v>
      </c>
      <c r="F199" s="372">
        <v>11</v>
      </c>
      <c r="G199" s="373">
        <v>3</v>
      </c>
      <c r="H199" s="374">
        <v>5</v>
      </c>
      <c r="I199" s="375">
        <v>0.95</v>
      </c>
      <c r="J199" s="376">
        <f t="shared" si="32"/>
        <v>2.8499999999999996</v>
      </c>
      <c r="K199" s="66">
        <f t="shared" si="34"/>
        <v>0.43889999999999996</v>
      </c>
      <c r="L199" s="63">
        <f t="shared" si="35"/>
        <v>0</v>
      </c>
      <c r="M199" s="63">
        <f t="shared" si="36"/>
        <v>0</v>
      </c>
      <c r="N199" s="63">
        <f t="shared" si="37"/>
        <v>0</v>
      </c>
      <c r="O199" s="63">
        <f t="shared" si="38"/>
        <v>0</v>
      </c>
      <c r="P199" s="63">
        <f t="shared" si="39"/>
        <v>0</v>
      </c>
      <c r="Q199" s="561">
        <f t="shared" si="41"/>
        <v>0</v>
      </c>
      <c r="R199" s="174"/>
      <c r="T199" s="82"/>
      <c r="U199" s="82"/>
      <c r="V199" s="82"/>
      <c r="W199" s="82"/>
      <c r="X199" s="82"/>
      <c r="Y199" s="82"/>
      <c r="Z199" s="82"/>
      <c r="AA199" s="82"/>
      <c r="AB199" s="82"/>
    </row>
    <row r="200" spans="1:28" s="85" customFormat="1" x14ac:dyDescent="0.25">
      <c r="A200" s="82"/>
      <c r="B200" s="82"/>
      <c r="C200" s="82"/>
      <c r="D200" s="729"/>
      <c r="E200" s="371" t="s">
        <v>49</v>
      </c>
      <c r="F200" s="372">
        <v>40</v>
      </c>
      <c r="G200" s="373">
        <v>8</v>
      </c>
      <c r="H200" s="374">
        <v>16</v>
      </c>
      <c r="I200" s="375">
        <v>1.55</v>
      </c>
      <c r="J200" s="376">
        <f t="shared" si="32"/>
        <v>12.4</v>
      </c>
      <c r="K200" s="66">
        <f t="shared" si="34"/>
        <v>0</v>
      </c>
      <c r="L200" s="63">
        <f t="shared" si="35"/>
        <v>0</v>
      </c>
      <c r="M200" s="63">
        <f t="shared" si="36"/>
        <v>0</v>
      </c>
      <c r="N200" s="63">
        <f t="shared" si="37"/>
        <v>0</v>
      </c>
      <c r="O200" s="63">
        <f t="shared" si="38"/>
        <v>0</v>
      </c>
      <c r="P200" s="63">
        <f t="shared" si="39"/>
        <v>19.5672</v>
      </c>
      <c r="Q200" s="561">
        <f t="shared" si="41"/>
        <v>0</v>
      </c>
      <c r="R200" s="174"/>
      <c r="T200" s="82"/>
      <c r="U200" s="82"/>
      <c r="V200" s="82"/>
      <c r="W200" s="82"/>
      <c r="X200" s="82"/>
      <c r="Y200" s="82"/>
      <c r="Z200" s="82"/>
      <c r="AA200" s="82"/>
      <c r="AB200" s="82"/>
    </row>
    <row r="201" spans="1:28" s="85" customFormat="1" x14ac:dyDescent="0.25">
      <c r="A201" s="82"/>
      <c r="B201" s="82"/>
      <c r="C201" s="82"/>
      <c r="D201" s="729"/>
      <c r="E201" s="371" t="s">
        <v>113</v>
      </c>
      <c r="F201" s="372">
        <v>10</v>
      </c>
      <c r="G201" s="373">
        <v>19</v>
      </c>
      <c r="H201" s="374">
        <v>5</v>
      </c>
      <c r="I201" s="375">
        <v>1.07</v>
      </c>
      <c r="J201" s="376">
        <f t="shared" si="32"/>
        <v>20.330000000000002</v>
      </c>
      <c r="K201" s="66">
        <f t="shared" si="34"/>
        <v>3.1308200000000004</v>
      </c>
      <c r="L201" s="63">
        <f t="shared" si="35"/>
        <v>0</v>
      </c>
      <c r="M201" s="63">
        <f t="shared" si="36"/>
        <v>0</v>
      </c>
      <c r="N201" s="63">
        <f t="shared" si="37"/>
        <v>0</v>
      </c>
      <c r="O201" s="63">
        <f t="shared" si="38"/>
        <v>0</v>
      </c>
      <c r="P201" s="63">
        <f t="shared" si="39"/>
        <v>0</v>
      </c>
      <c r="Q201" s="561">
        <f t="shared" si="41"/>
        <v>0</v>
      </c>
      <c r="R201" s="174"/>
      <c r="T201" s="82"/>
      <c r="U201" s="82"/>
      <c r="V201" s="82"/>
      <c r="W201" s="82"/>
      <c r="X201" s="82"/>
      <c r="Y201" s="82"/>
      <c r="Z201" s="82"/>
      <c r="AA201" s="82"/>
      <c r="AB201" s="82"/>
    </row>
    <row r="202" spans="1:28" s="85" customFormat="1" x14ac:dyDescent="0.25">
      <c r="A202" s="82"/>
      <c r="B202" s="82"/>
      <c r="C202" s="82"/>
      <c r="D202" s="729"/>
      <c r="E202" s="371" t="s">
        <v>113</v>
      </c>
      <c r="F202" s="372">
        <v>11</v>
      </c>
      <c r="G202" s="373">
        <v>8</v>
      </c>
      <c r="H202" s="374">
        <v>5</v>
      </c>
      <c r="I202" s="375">
        <v>0.74</v>
      </c>
      <c r="J202" s="376">
        <f t="shared" si="32"/>
        <v>5.92</v>
      </c>
      <c r="K202" s="66">
        <f t="shared" si="34"/>
        <v>0.91167999999999993</v>
      </c>
      <c r="L202" s="63">
        <f t="shared" si="35"/>
        <v>0</v>
      </c>
      <c r="M202" s="63">
        <f t="shared" si="36"/>
        <v>0</v>
      </c>
      <c r="N202" s="63">
        <f t="shared" si="37"/>
        <v>0</v>
      </c>
      <c r="O202" s="63">
        <f t="shared" si="38"/>
        <v>0</v>
      </c>
      <c r="P202" s="63">
        <f t="shared" si="39"/>
        <v>0</v>
      </c>
      <c r="Q202" s="561">
        <f t="shared" si="41"/>
        <v>0</v>
      </c>
      <c r="R202" s="174"/>
      <c r="T202" s="82"/>
      <c r="U202" s="82"/>
      <c r="V202" s="82"/>
      <c r="W202" s="82"/>
      <c r="X202" s="82"/>
      <c r="Y202" s="82"/>
      <c r="Z202" s="82"/>
      <c r="AA202" s="82"/>
      <c r="AB202" s="82"/>
    </row>
    <row r="203" spans="1:28" s="85" customFormat="1" x14ac:dyDescent="0.25">
      <c r="A203" s="82"/>
      <c r="B203" s="82"/>
      <c r="C203" s="82"/>
      <c r="D203" s="729"/>
      <c r="E203" s="371" t="s">
        <v>113</v>
      </c>
      <c r="F203" s="372">
        <v>13</v>
      </c>
      <c r="G203" s="373">
        <v>46</v>
      </c>
      <c r="H203" s="374">
        <v>5</v>
      </c>
      <c r="I203" s="375">
        <v>0.28999999999999998</v>
      </c>
      <c r="J203" s="376">
        <f t="shared" si="32"/>
        <v>13.34</v>
      </c>
      <c r="K203" s="66">
        <f t="shared" si="34"/>
        <v>2.05436</v>
      </c>
      <c r="L203" s="63">
        <f t="shared" si="35"/>
        <v>0</v>
      </c>
      <c r="M203" s="63">
        <f t="shared" si="36"/>
        <v>0</v>
      </c>
      <c r="N203" s="63">
        <f t="shared" si="37"/>
        <v>0</v>
      </c>
      <c r="O203" s="63">
        <f t="shared" si="38"/>
        <v>0</v>
      </c>
      <c r="P203" s="63">
        <f t="shared" si="39"/>
        <v>0</v>
      </c>
      <c r="Q203" s="561">
        <f t="shared" si="41"/>
        <v>0</v>
      </c>
      <c r="R203" s="174"/>
      <c r="T203" s="82"/>
      <c r="U203" s="82"/>
      <c r="V203" s="82"/>
      <c r="W203" s="82"/>
      <c r="X203" s="82"/>
      <c r="Y203" s="82"/>
      <c r="Z203" s="82"/>
      <c r="AA203" s="82"/>
      <c r="AB203" s="82"/>
    </row>
    <row r="204" spans="1:28" s="85" customFormat="1" x14ac:dyDescent="0.25">
      <c r="A204" s="82"/>
      <c r="B204" s="82"/>
      <c r="C204" s="82"/>
      <c r="D204" s="729"/>
      <c r="E204" s="371" t="s">
        <v>113</v>
      </c>
      <c r="F204" s="372">
        <v>26</v>
      </c>
      <c r="G204" s="373">
        <v>8</v>
      </c>
      <c r="H204" s="374">
        <v>16</v>
      </c>
      <c r="I204" s="375">
        <v>3.98</v>
      </c>
      <c r="J204" s="376">
        <f t="shared" si="32"/>
        <v>31.84</v>
      </c>
      <c r="K204" s="66">
        <f t="shared" si="34"/>
        <v>0</v>
      </c>
      <c r="L204" s="63">
        <f t="shared" si="35"/>
        <v>0</v>
      </c>
      <c r="M204" s="63">
        <f t="shared" si="36"/>
        <v>0</v>
      </c>
      <c r="N204" s="63">
        <f t="shared" si="37"/>
        <v>0</v>
      </c>
      <c r="O204" s="63">
        <f t="shared" si="38"/>
        <v>0</v>
      </c>
      <c r="P204" s="63">
        <f t="shared" si="39"/>
        <v>50.243520000000004</v>
      </c>
      <c r="Q204" s="561">
        <f t="shared" si="41"/>
        <v>0</v>
      </c>
      <c r="R204" s="174"/>
      <c r="T204" s="82"/>
      <c r="U204" s="82"/>
      <c r="V204" s="82"/>
      <c r="W204" s="82"/>
      <c r="X204" s="82"/>
      <c r="Y204" s="82"/>
      <c r="Z204" s="82"/>
      <c r="AA204" s="82"/>
      <c r="AB204" s="82"/>
    </row>
    <row r="205" spans="1:28" s="85" customFormat="1" x14ac:dyDescent="0.25">
      <c r="A205" s="82"/>
      <c r="B205" s="82"/>
      <c r="C205" s="82"/>
      <c r="D205" s="729"/>
      <c r="E205" s="396" t="s">
        <v>184</v>
      </c>
      <c r="F205" s="403">
        <v>10</v>
      </c>
      <c r="G205" s="397">
        <f>6</f>
        <v>6</v>
      </c>
      <c r="H205" s="398">
        <v>5</v>
      </c>
      <c r="I205" s="399">
        <v>1.07</v>
      </c>
      <c r="J205" s="400">
        <f t="shared" si="32"/>
        <v>6.42</v>
      </c>
      <c r="K205" s="401">
        <f t="shared" si="34"/>
        <v>0.98868</v>
      </c>
      <c r="L205" s="196">
        <f t="shared" si="35"/>
        <v>0</v>
      </c>
      <c r="M205" s="196">
        <f t="shared" si="36"/>
        <v>0</v>
      </c>
      <c r="N205" s="196">
        <f t="shared" si="37"/>
        <v>0</v>
      </c>
      <c r="O205" s="196">
        <f t="shared" si="38"/>
        <v>0</v>
      </c>
      <c r="P205" s="196">
        <f t="shared" si="39"/>
        <v>0</v>
      </c>
      <c r="Q205" s="566">
        <f t="shared" si="41"/>
        <v>0</v>
      </c>
      <c r="R205" s="538"/>
      <c r="T205" s="82"/>
      <c r="U205" s="82"/>
      <c r="V205" s="82"/>
      <c r="W205" s="82"/>
      <c r="X205" s="82"/>
      <c r="Y205" s="82"/>
      <c r="Z205" s="82"/>
      <c r="AA205" s="82"/>
      <c r="AB205" s="82"/>
    </row>
    <row r="206" spans="1:28" s="85" customFormat="1" x14ac:dyDescent="0.25">
      <c r="A206" s="82"/>
      <c r="B206" s="82"/>
      <c r="C206" s="82"/>
      <c r="D206" s="729"/>
      <c r="E206" s="371" t="s">
        <v>184</v>
      </c>
      <c r="F206" s="372">
        <v>11</v>
      </c>
      <c r="G206" s="373">
        <f>2</f>
        <v>2</v>
      </c>
      <c r="H206" s="374">
        <v>5</v>
      </c>
      <c r="I206" s="375">
        <v>0.74</v>
      </c>
      <c r="J206" s="376">
        <f t="shared" si="32"/>
        <v>1.48</v>
      </c>
      <c r="K206" s="66">
        <f t="shared" si="34"/>
        <v>0.22791999999999998</v>
      </c>
      <c r="L206" s="63">
        <f t="shared" si="35"/>
        <v>0</v>
      </c>
      <c r="M206" s="63">
        <f t="shared" si="36"/>
        <v>0</v>
      </c>
      <c r="N206" s="63">
        <f t="shared" si="37"/>
        <v>0</v>
      </c>
      <c r="O206" s="63">
        <f t="shared" si="38"/>
        <v>0</v>
      </c>
      <c r="P206" s="63">
        <f t="shared" si="39"/>
        <v>0</v>
      </c>
      <c r="Q206" s="562">
        <f t="shared" si="41"/>
        <v>0</v>
      </c>
      <c r="R206" s="377"/>
      <c r="T206" s="82"/>
      <c r="U206" s="82"/>
      <c r="V206" s="82"/>
      <c r="W206" s="82"/>
      <c r="X206" s="82"/>
      <c r="Y206" s="82"/>
      <c r="Z206" s="82"/>
      <c r="AA206" s="82"/>
      <c r="AB206" s="82"/>
    </row>
    <row r="207" spans="1:28" s="85" customFormat="1" x14ac:dyDescent="0.25">
      <c r="A207" s="82"/>
      <c r="B207" s="82"/>
      <c r="C207" s="82"/>
      <c r="D207" s="729"/>
      <c r="E207" s="371" t="s">
        <v>184</v>
      </c>
      <c r="F207" s="372">
        <v>12</v>
      </c>
      <c r="G207" s="373">
        <f>18</f>
        <v>18</v>
      </c>
      <c r="H207" s="374">
        <v>5</v>
      </c>
      <c r="I207" s="375">
        <v>0.28999999999999998</v>
      </c>
      <c r="J207" s="376">
        <f t="shared" si="32"/>
        <v>5.22</v>
      </c>
      <c r="K207" s="66">
        <f t="shared" si="34"/>
        <v>0.80387999999999993</v>
      </c>
      <c r="L207" s="63">
        <f t="shared" si="35"/>
        <v>0</v>
      </c>
      <c r="M207" s="63">
        <f t="shared" si="36"/>
        <v>0</v>
      </c>
      <c r="N207" s="63">
        <f t="shared" si="37"/>
        <v>0</v>
      </c>
      <c r="O207" s="63">
        <f t="shared" si="38"/>
        <v>0</v>
      </c>
      <c r="P207" s="63">
        <f t="shared" si="39"/>
        <v>0</v>
      </c>
      <c r="Q207" s="562">
        <f t="shared" si="41"/>
        <v>0</v>
      </c>
      <c r="R207" s="377"/>
      <c r="T207" s="82"/>
      <c r="U207" s="82"/>
      <c r="V207" s="82"/>
      <c r="W207" s="82"/>
      <c r="X207" s="82"/>
      <c r="Y207" s="82"/>
      <c r="Z207" s="82"/>
      <c r="AA207" s="82"/>
      <c r="AB207" s="82"/>
    </row>
    <row r="208" spans="1:28" s="85" customFormat="1" ht="13.8" thickBot="1" x14ac:dyDescent="0.3">
      <c r="A208" s="82"/>
      <c r="B208" s="82"/>
      <c r="C208" s="82"/>
      <c r="D208" s="731"/>
      <c r="E208" s="390" t="s">
        <v>184</v>
      </c>
      <c r="F208" s="391">
        <v>36</v>
      </c>
      <c r="G208" s="392">
        <f>8</f>
        <v>8</v>
      </c>
      <c r="H208" s="393">
        <v>16</v>
      </c>
      <c r="I208" s="394">
        <v>1.02</v>
      </c>
      <c r="J208" s="395">
        <f t="shared" si="32"/>
        <v>8.16</v>
      </c>
      <c r="K208" s="221">
        <f t="shared" si="34"/>
        <v>0</v>
      </c>
      <c r="L208" s="222">
        <f t="shared" si="35"/>
        <v>0</v>
      </c>
      <c r="M208" s="222">
        <f t="shared" si="36"/>
        <v>0</v>
      </c>
      <c r="N208" s="222">
        <f t="shared" si="37"/>
        <v>0</v>
      </c>
      <c r="O208" s="222">
        <f t="shared" si="38"/>
        <v>0</v>
      </c>
      <c r="P208" s="222">
        <f t="shared" si="39"/>
        <v>12.876480000000001</v>
      </c>
      <c r="Q208" s="564">
        <f t="shared" si="41"/>
        <v>0</v>
      </c>
      <c r="R208" s="539"/>
      <c r="T208" s="82"/>
      <c r="U208" s="82"/>
      <c r="V208" s="82"/>
      <c r="W208" s="82"/>
      <c r="X208" s="82"/>
      <c r="Y208" s="82"/>
      <c r="Z208" s="82"/>
      <c r="AA208" s="82"/>
      <c r="AB208" s="82"/>
    </row>
    <row r="209" spans="1:28" s="85" customFormat="1" ht="13.8" thickTop="1" x14ac:dyDescent="0.25">
      <c r="A209" s="82"/>
      <c r="B209" s="82"/>
      <c r="C209" s="82"/>
      <c r="D209" s="728" t="s">
        <v>1309</v>
      </c>
      <c r="E209" s="384" t="s">
        <v>49</v>
      </c>
      <c r="F209" s="385">
        <v>2</v>
      </c>
      <c r="G209" s="386">
        <f>2*27</f>
        <v>54</v>
      </c>
      <c r="H209" s="387">
        <v>5</v>
      </c>
      <c r="I209" s="388">
        <v>0.24</v>
      </c>
      <c r="J209" s="389">
        <f t="shared" si="32"/>
        <v>12.959999999999999</v>
      </c>
      <c r="K209" s="218">
        <f t="shared" si="34"/>
        <v>1.9958399999999998</v>
      </c>
      <c r="L209" s="219">
        <f t="shared" si="35"/>
        <v>0</v>
      </c>
      <c r="M209" s="219">
        <f t="shared" si="36"/>
        <v>0</v>
      </c>
      <c r="N209" s="219">
        <f t="shared" si="37"/>
        <v>0</v>
      </c>
      <c r="O209" s="219">
        <f t="shared" si="38"/>
        <v>0</v>
      </c>
      <c r="P209" s="219">
        <f t="shared" si="39"/>
        <v>0</v>
      </c>
      <c r="Q209" s="563">
        <f t="shared" si="41"/>
        <v>0</v>
      </c>
      <c r="R209" s="220"/>
      <c r="T209" s="82"/>
      <c r="U209" s="82"/>
      <c r="V209" s="82"/>
      <c r="W209" s="82"/>
      <c r="X209" s="82"/>
      <c r="Y209" s="82"/>
      <c r="Z209" s="82"/>
      <c r="AA209" s="82"/>
      <c r="AB209" s="82"/>
    </row>
    <row r="210" spans="1:28" s="85" customFormat="1" x14ac:dyDescent="0.25">
      <c r="A210" s="82"/>
      <c r="B210" s="82"/>
      <c r="C210" s="82"/>
      <c r="D210" s="729"/>
      <c r="E210" s="371" t="s">
        <v>49</v>
      </c>
      <c r="F210" s="372">
        <v>3</v>
      </c>
      <c r="G210" s="373">
        <f>2*8</f>
        <v>16</v>
      </c>
      <c r="H210" s="374">
        <v>5</v>
      </c>
      <c r="I210" s="375">
        <v>0.89</v>
      </c>
      <c r="J210" s="376">
        <f t="shared" si="32"/>
        <v>14.24</v>
      </c>
      <c r="K210" s="66">
        <f t="shared" si="34"/>
        <v>2.1929599999999998</v>
      </c>
      <c r="L210" s="63">
        <f t="shared" si="35"/>
        <v>0</v>
      </c>
      <c r="M210" s="63">
        <f t="shared" si="36"/>
        <v>0</v>
      </c>
      <c r="N210" s="63">
        <f t="shared" si="37"/>
        <v>0</v>
      </c>
      <c r="O210" s="63">
        <f t="shared" si="38"/>
        <v>0</v>
      </c>
      <c r="P210" s="63">
        <f t="shared" si="39"/>
        <v>0</v>
      </c>
      <c r="Q210" s="561">
        <f t="shared" si="41"/>
        <v>0</v>
      </c>
      <c r="R210" s="174"/>
      <c r="T210" s="82"/>
      <c r="U210" s="82"/>
      <c r="V210" s="82"/>
      <c r="W210" s="82"/>
      <c r="X210" s="82"/>
      <c r="Y210" s="82"/>
      <c r="Z210" s="82"/>
      <c r="AA210" s="82"/>
      <c r="AB210" s="82"/>
    </row>
    <row r="211" spans="1:28" s="85" customFormat="1" x14ac:dyDescent="0.25">
      <c r="A211" s="82"/>
      <c r="B211" s="82"/>
      <c r="C211" s="82"/>
      <c r="D211" s="729"/>
      <c r="E211" s="371" t="s">
        <v>49</v>
      </c>
      <c r="F211" s="372">
        <v>7</v>
      </c>
      <c r="G211" s="373">
        <f>2*5</f>
        <v>10</v>
      </c>
      <c r="H211" s="374">
        <v>5</v>
      </c>
      <c r="I211" s="375">
        <v>1.47</v>
      </c>
      <c r="J211" s="376">
        <f t="shared" si="32"/>
        <v>14.7</v>
      </c>
      <c r="K211" s="66">
        <f t="shared" si="34"/>
        <v>2.2637999999999998</v>
      </c>
      <c r="L211" s="63">
        <f t="shared" si="35"/>
        <v>0</v>
      </c>
      <c r="M211" s="63">
        <f t="shared" si="36"/>
        <v>0</v>
      </c>
      <c r="N211" s="63">
        <f t="shared" si="37"/>
        <v>0</v>
      </c>
      <c r="O211" s="63">
        <f t="shared" si="38"/>
        <v>0</v>
      </c>
      <c r="P211" s="63">
        <f t="shared" si="39"/>
        <v>0</v>
      </c>
      <c r="Q211" s="561">
        <f t="shared" si="41"/>
        <v>0</v>
      </c>
      <c r="R211" s="174"/>
      <c r="T211" s="82"/>
      <c r="U211" s="82"/>
      <c r="V211" s="82"/>
      <c r="W211" s="82"/>
      <c r="X211" s="82"/>
      <c r="Y211" s="82"/>
      <c r="Z211" s="82"/>
      <c r="AA211" s="82"/>
      <c r="AB211" s="82"/>
    </row>
    <row r="212" spans="1:28" s="85" customFormat="1" x14ac:dyDescent="0.25">
      <c r="A212" s="82"/>
      <c r="B212" s="82"/>
      <c r="C212" s="82"/>
      <c r="D212" s="729"/>
      <c r="E212" s="371" t="s">
        <v>49</v>
      </c>
      <c r="F212" s="372">
        <v>11</v>
      </c>
      <c r="G212" s="373">
        <f>2*12</f>
        <v>24</v>
      </c>
      <c r="H212" s="374">
        <v>10</v>
      </c>
      <c r="I212" s="375">
        <v>1.47</v>
      </c>
      <c r="J212" s="376">
        <f t="shared" si="32"/>
        <v>35.28</v>
      </c>
      <c r="K212" s="66">
        <f t="shared" si="34"/>
        <v>0</v>
      </c>
      <c r="L212" s="63">
        <f t="shared" si="35"/>
        <v>0</v>
      </c>
      <c r="M212" s="63">
        <f t="shared" si="36"/>
        <v>0</v>
      </c>
      <c r="N212" s="63">
        <f t="shared" si="37"/>
        <v>21.767759999999999</v>
      </c>
      <c r="O212" s="63">
        <f t="shared" si="38"/>
        <v>0</v>
      </c>
      <c r="P212" s="63">
        <f t="shared" si="39"/>
        <v>0</v>
      </c>
      <c r="Q212" s="561">
        <f t="shared" si="41"/>
        <v>0</v>
      </c>
      <c r="R212" s="174"/>
      <c r="T212" s="82"/>
      <c r="U212" s="82"/>
      <c r="V212" s="82"/>
      <c r="W212" s="82"/>
      <c r="X212" s="82"/>
      <c r="Y212" s="82"/>
      <c r="Z212" s="82"/>
      <c r="AA212" s="82"/>
      <c r="AB212" s="82"/>
    </row>
    <row r="213" spans="1:28" s="85" customFormat="1" x14ac:dyDescent="0.25">
      <c r="A213" s="82"/>
      <c r="B213" s="82"/>
      <c r="C213" s="82"/>
      <c r="D213" s="729"/>
      <c r="E213" s="371" t="s">
        <v>113</v>
      </c>
      <c r="F213" s="372">
        <v>1</v>
      </c>
      <c r="G213" s="373">
        <f>2*90</f>
        <v>180</v>
      </c>
      <c r="H213" s="374">
        <v>5</v>
      </c>
      <c r="I213" s="375">
        <v>0.24</v>
      </c>
      <c r="J213" s="376">
        <f t="shared" si="32"/>
        <v>43.199999999999996</v>
      </c>
      <c r="K213" s="66">
        <f t="shared" si="34"/>
        <v>6.6527999999999992</v>
      </c>
      <c r="L213" s="63">
        <f t="shared" si="35"/>
        <v>0</v>
      </c>
      <c r="M213" s="63">
        <f t="shared" si="36"/>
        <v>0</v>
      </c>
      <c r="N213" s="63">
        <f t="shared" si="37"/>
        <v>0</v>
      </c>
      <c r="O213" s="63">
        <f t="shared" si="38"/>
        <v>0</v>
      </c>
      <c r="P213" s="63">
        <f t="shared" si="39"/>
        <v>0</v>
      </c>
      <c r="Q213" s="561">
        <f t="shared" si="41"/>
        <v>0</v>
      </c>
      <c r="R213" s="174"/>
      <c r="T213" s="82"/>
      <c r="U213" s="82"/>
      <c r="V213" s="82"/>
      <c r="W213" s="82"/>
      <c r="X213" s="82"/>
      <c r="Y213" s="82"/>
      <c r="Z213" s="82"/>
      <c r="AA213" s="82"/>
      <c r="AB213" s="82"/>
    </row>
    <row r="214" spans="1:28" s="85" customFormat="1" x14ac:dyDescent="0.25">
      <c r="A214" s="82"/>
      <c r="B214" s="82"/>
      <c r="C214" s="82"/>
      <c r="D214" s="729"/>
      <c r="E214" s="371" t="s">
        <v>113</v>
      </c>
      <c r="F214" s="372">
        <v>4</v>
      </c>
      <c r="G214" s="373">
        <f>2*25</f>
        <v>50</v>
      </c>
      <c r="H214" s="374">
        <v>5</v>
      </c>
      <c r="I214" s="375">
        <v>1.47</v>
      </c>
      <c r="J214" s="376">
        <f t="shared" si="32"/>
        <v>73.5</v>
      </c>
      <c r="K214" s="66">
        <f t="shared" si="34"/>
        <v>11.318999999999999</v>
      </c>
      <c r="L214" s="63">
        <f t="shared" si="35"/>
        <v>0</v>
      </c>
      <c r="M214" s="63">
        <f t="shared" si="36"/>
        <v>0</v>
      </c>
      <c r="N214" s="63">
        <f t="shared" si="37"/>
        <v>0</v>
      </c>
      <c r="O214" s="63">
        <f t="shared" si="38"/>
        <v>0</v>
      </c>
      <c r="P214" s="63">
        <f t="shared" si="39"/>
        <v>0</v>
      </c>
      <c r="Q214" s="561">
        <f t="shared" si="41"/>
        <v>0</v>
      </c>
      <c r="R214" s="174"/>
      <c r="T214" s="82"/>
      <c r="U214" s="82"/>
      <c r="V214" s="82"/>
      <c r="W214" s="82"/>
      <c r="X214" s="82"/>
      <c r="Y214" s="82"/>
      <c r="Z214" s="82"/>
      <c r="AA214" s="82"/>
      <c r="AB214" s="82"/>
    </row>
    <row r="215" spans="1:28" s="85" customFormat="1" x14ac:dyDescent="0.25">
      <c r="A215" s="82"/>
      <c r="B215" s="82"/>
      <c r="C215" s="82"/>
      <c r="D215" s="729"/>
      <c r="E215" s="371" t="s">
        <v>113</v>
      </c>
      <c r="F215" s="372">
        <v>5</v>
      </c>
      <c r="G215" s="373">
        <f>2*10</f>
        <v>20</v>
      </c>
      <c r="H215" s="374">
        <v>5</v>
      </c>
      <c r="I215" s="375">
        <v>0.89</v>
      </c>
      <c r="J215" s="376">
        <f t="shared" si="32"/>
        <v>17.8</v>
      </c>
      <c r="K215" s="66">
        <f t="shared" si="34"/>
        <v>2.7412000000000001</v>
      </c>
      <c r="L215" s="63">
        <f t="shared" si="35"/>
        <v>0</v>
      </c>
      <c r="M215" s="63">
        <f t="shared" si="36"/>
        <v>0</v>
      </c>
      <c r="N215" s="63">
        <f t="shared" si="37"/>
        <v>0</v>
      </c>
      <c r="O215" s="63">
        <f t="shared" si="38"/>
        <v>0</v>
      </c>
      <c r="P215" s="63">
        <f t="shared" si="39"/>
        <v>0</v>
      </c>
      <c r="Q215" s="561">
        <f t="shared" si="41"/>
        <v>0</v>
      </c>
      <c r="R215" s="174"/>
      <c r="T215" s="82"/>
      <c r="U215" s="82"/>
      <c r="V215" s="82"/>
      <c r="W215" s="82"/>
      <c r="X215" s="82"/>
      <c r="Y215" s="82"/>
      <c r="Z215" s="82"/>
      <c r="AA215" s="82"/>
      <c r="AB215" s="82"/>
    </row>
    <row r="216" spans="1:28" s="85" customFormat="1" x14ac:dyDescent="0.25">
      <c r="A216" s="82"/>
      <c r="B216" s="82"/>
      <c r="C216" s="82"/>
      <c r="D216" s="729"/>
      <c r="E216" s="371" t="s">
        <v>113</v>
      </c>
      <c r="F216" s="372">
        <v>19</v>
      </c>
      <c r="G216" s="373">
        <f>2*12</f>
        <v>24</v>
      </c>
      <c r="H216" s="374">
        <v>10</v>
      </c>
      <c r="I216" s="375">
        <v>3.42</v>
      </c>
      <c r="J216" s="376">
        <f t="shared" si="32"/>
        <v>82.08</v>
      </c>
      <c r="K216" s="66">
        <f t="shared" si="34"/>
        <v>0</v>
      </c>
      <c r="L216" s="63">
        <f t="shared" si="35"/>
        <v>0</v>
      </c>
      <c r="M216" s="63">
        <f t="shared" si="36"/>
        <v>0</v>
      </c>
      <c r="N216" s="63">
        <f t="shared" si="37"/>
        <v>50.643360000000001</v>
      </c>
      <c r="O216" s="63">
        <f t="shared" si="38"/>
        <v>0</v>
      </c>
      <c r="P216" s="63">
        <f t="shared" si="39"/>
        <v>0</v>
      </c>
      <c r="Q216" s="561">
        <f t="shared" si="41"/>
        <v>0</v>
      </c>
      <c r="R216" s="174"/>
      <c r="T216" s="82"/>
      <c r="U216" s="82"/>
      <c r="V216" s="82"/>
      <c r="W216" s="82"/>
      <c r="X216" s="82"/>
      <c r="Y216" s="82"/>
      <c r="Z216" s="82"/>
      <c r="AA216" s="82"/>
      <c r="AB216" s="82"/>
    </row>
    <row r="217" spans="1:28" s="85" customFormat="1" x14ac:dyDescent="0.25">
      <c r="A217" s="82"/>
      <c r="B217" s="82"/>
      <c r="C217" s="82"/>
      <c r="D217" s="729"/>
      <c r="E217" s="396" t="s">
        <v>184</v>
      </c>
      <c r="F217" s="403"/>
      <c r="G217" s="397"/>
      <c r="H217" s="398"/>
      <c r="I217" s="399"/>
      <c r="J217" s="400">
        <f t="shared" si="32"/>
        <v>0</v>
      </c>
      <c r="K217" s="401">
        <f t="shared" si="34"/>
        <v>0</v>
      </c>
      <c r="L217" s="196">
        <f t="shared" si="35"/>
        <v>0</v>
      </c>
      <c r="M217" s="196">
        <f t="shared" si="36"/>
        <v>0</v>
      </c>
      <c r="N217" s="196">
        <f t="shared" si="37"/>
        <v>0</v>
      </c>
      <c r="O217" s="196">
        <f t="shared" si="38"/>
        <v>0</v>
      </c>
      <c r="P217" s="196">
        <f t="shared" si="39"/>
        <v>0</v>
      </c>
      <c r="Q217" s="566">
        <f t="shared" si="41"/>
        <v>0</v>
      </c>
      <c r="R217" s="538"/>
      <c r="T217" s="82"/>
      <c r="U217" s="82"/>
      <c r="V217" s="82"/>
      <c r="W217" s="82"/>
      <c r="X217" s="82"/>
      <c r="Y217" s="82"/>
      <c r="Z217" s="82"/>
      <c r="AA217" s="82"/>
      <c r="AB217" s="82"/>
    </row>
    <row r="218" spans="1:28" s="85" customFormat="1" x14ac:dyDescent="0.25">
      <c r="A218" s="82"/>
      <c r="B218" s="82"/>
      <c r="C218" s="82"/>
      <c r="D218" s="729"/>
      <c r="E218" s="371" t="s">
        <v>184</v>
      </c>
      <c r="F218" s="372"/>
      <c r="G218" s="373"/>
      <c r="H218" s="374"/>
      <c r="I218" s="375"/>
      <c r="J218" s="376">
        <f t="shared" si="32"/>
        <v>0</v>
      </c>
      <c r="K218" s="66">
        <f t="shared" si="34"/>
        <v>0</v>
      </c>
      <c r="L218" s="63">
        <f t="shared" si="35"/>
        <v>0</v>
      </c>
      <c r="M218" s="63">
        <f t="shared" si="36"/>
        <v>0</v>
      </c>
      <c r="N218" s="63">
        <f t="shared" si="37"/>
        <v>0</v>
      </c>
      <c r="O218" s="63">
        <f t="shared" si="38"/>
        <v>0</v>
      </c>
      <c r="P218" s="63">
        <f t="shared" si="39"/>
        <v>0</v>
      </c>
      <c r="Q218" s="562">
        <f t="shared" si="41"/>
        <v>0</v>
      </c>
      <c r="R218" s="377"/>
      <c r="T218" s="82"/>
      <c r="U218" s="82"/>
      <c r="V218" s="82"/>
      <c r="W218" s="82"/>
      <c r="X218" s="82"/>
      <c r="Y218" s="82"/>
      <c r="Z218" s="82"/>
      <c r="AA218" s="82"/>
      <c r="AB218" s="82"/>
    </row>
    <row r="219" spans="1:28" s="85" customFormat="1" x14ac:dyDescent="0.25">
      <c r="A219" s="82"/>
      <c r="B219" s="82"/>
      <c r="C219" s="82"/>
      <c r="D219" s="729"/>
      <c r="E219" s="371" t="s">
        <v>184</v>
      </c>
      <c r="F219" s="372"/>
      <c r="G219" s="373"/>
      <c r="H219" s="374"/>
      <c r="I219" s="375"/>
      <c r="J219" s="376">
        <f t="shared" si="32"/>
        <v>0</v>
      </c>
      <c r="K219" s="66">
        <f t="shared" si="34"/>
        <v>0</v>
      </c>
      <c r="L219" s="63">
        <f t="shared" si="35"/>
        <v>0</v>
      </c>
      <c r="M219" s="63">
        <f t="shared" si="36"/>
        <v>0</v>
      </c>
      <c r="N219" s="63">
        <f t="shared" si="37"/>
        <v>0</v>
      </c>
      <c r="O219" s="63">
        <f t="shared" si="38"/>
        <v>0</v>
      </c>
      <c r="P219" s="63">
        <f t="shared" si="39"/>
        <v>0</v>
      </c>
      <c r="Q219" s="562">
        <f t="shared" ref="Q219:Q282" si="44">IF($H219=20,$J219*$B$28,0)</f>
        <v>0</v>
      </c>
      <c r="R219" s="377"/>
      <c r="T219" s="82"/>
      <c r="U219" s="82"/>
      <c r="V219" s="82"/>
      <c r="W219" s="82"/>
      <c r="X219" s="82"/>
      <c r="Y219" s="82"/>
      <c r="Z219" s="82"/>
      <c r="AA219" s="82"/>
      <c r="AB219" s="82"/>
    </row>
    <row r="220" spans="1:28" s="85" customFormat="1" ht="13.8" thickBot="1" x14ac:dyDescent="0.3">
      <c r="A220" s="82"/>
      <c r="B220" s="82"/>
      <c r="C220" s="82"/>
      <c r="D220" s="731"/>
      <c r="E220" s="390" t="s">
        <v>184</v>
      </c>
      <c r="F220" s="391"/>
      <c r="G220" s="392"/>
      <c r="H220" s="393"/>
      <c r="I220" s="394"/>
      <c r="J220" s="395">
        <f t="shared" si="32"/>
        <v>0</v>
      </c>
      <c r="K220" s="221">
        <f t="shared" si="34"/>
        <v>0</v>
      </c>
      <c r="L220" s="222">
        <f t="shared" si="35"/>
        <v>0</v>
      </c>
      <c r="M220" s="222">
        <f t="shared" si="36"/>
        <v>0</v>
      </c>
      <c r="N220" s="222">
        <f t="shared" si="37"/>
        <v>0</v>
      </c>
      <c r="O220" s="222">
        <f t="shared" si="38"/>
        <v>0</v>
      </c>
      <c r="P220" s="222">
        <f t="shared" si="39"/>
        <v>0</v>
      </c>
      <c r="Q220" s="564">
        <f t="shared" si="44"/>
        <v>0</v>
      </c>
      <c r="R220" s="539"/>
      <c r="T220" s="82"/>
      <c r="U220" s="82"/>
      <c r="V220" s="82"/>
      <c r="W220" s="82"/>
      <c r="X220" s="82"/>
      <c r="Y220" s="82"/>
      <c r="Z220" s="82"/>
      <c r="AA220" s="82"/>
      <c r="AB220" s="82"/>
    </row>
    <row r="221" spans="1:28" s="85" customFormat="1" ht="13.8" thickTop="1" x14ac:dyDescent="0.25">
      <c r="A221" s="82"/>
      <c r="B221" s="82"/>
      <c r="C221" s="82"/>
      <c r="D221" s="728" t="s">
        <v>1310</v>
      </c>
      <c r="E221" s="384" t="s">
        <v>49</v>
      </c>
      <c r="F221" s="385">
        <v>2</v>
      </c>
      <c r="G221" s="386">
        <v>27</v>
      </c>
      <c r="H221" s="387">
        <v>5</v>
      </c>
      <c r="I221" s="388">
        <v>0.24</v>
      </c>
      <c r="J221" s="389">
        <f t="shared" si="32"/>
        <v>6.4799999999999995</v>
      </c>
      <c r="K221" s="218">
        <f t="shared" si="34"/>
        <v>0.99791999999999992</v>
      </c>
      <c r="L221" s="219">
        <f t="shared" si="35"/>
        <v>0</v>
      </c>
      <c r="M221" s="219">
        <f t="shared" si="36"/>
        <v>0</v>
      </c>
      <c r="N221" s="219">
        <f t="shared" si="37"/>
        <v>0</v>
      </c>
      <c r="O221" s="219">
        <f t="shared" si="38"/>
        <v>0</v>
      </c>
      <c r="P221" s="219">
        <f t="shared" si="39"/>
        <v>0</v>
      </c>
      <c r="Q221" s="563">
        <f t="shared" si="44"/>
        <v>0</v>
      </c>
      <c r="R221" s="220"/>
      <c r="T221" s="82"/>
      <c r="U221" s="82"/>
      <c r="V221" s="82"/>
      <c r="W221" s="82"/>
      <c r="X221" s="82"/>
      <c r="Y221" s="82"/>
      <c r="Z221" s="82"/>
      <c r="AA221" s="82"/>
      <c r="AB221" s="82"/>
    </row>
    <row r="222" spans="1:28" s="85" customFormat="1" x14ac:dyDescent="0.25">
      <c r="A222" s="82"/>
      <c r="B222" s="82"/>
      <c r="C222" s="82"/>
      <c r="D222" s="729"/>
      <c r="E222" s="371" t="s">
        <v>49</v>
      </c>
      <c r="F222" s="372">
        <v>3</v>
      </c>
      <c r="G222" s="373">
        <v>18</v>
      </c>
      <c r="H222" s="374">
        <v>5</v>
      </c>
      <c r="I222" s="375">
        <v>0.89</v>
      </c>
      <c r="J222" s="376">
        <f t="shared" si="32"/>
        <v>16.02</v>
      </c>
      <c r="K222" s="66">
        <f t="shared" si="34"/>
        <v>2.4670799999999997</v>
      </c>
      <c r="L222" s="63">
        <f t="shared" si="35"/>
        <v>0</v>
      </c>
      <c r="M222" s="63">
        <f t="shared" si="36"/>
        <v>0</v>
      </c>
      <c r="N222" s="63">
        <f t="shared" si="37"/>
        <v>0</v>
      </c>
      <c r="O222" s="63">
        <f t="shared" si="38"/>
        <v>0</v>
      </c>
      <c r="P222" s="63">
        <f t="shared" si="39"/>
        <v>0</v>
      </c>
      <c r="Q222" s="561">
        <f t="shared" si="44"/>
        <v>0</v>
      </c>
      <c r="R222" s="174"/>
      <c r="T222" s="82"/>
      <c r="U222" s="82"/>
      <c r="V222" s="82"/>
      <c r="W222" s="82"/>
      <c r="X222" s="82"/>
      <c r="Y222" s="82"/>
      <c r="Z222" s="82"/>
      <c r="AA222" s="82"/>
      <c r="AB222" s="82"/>
    </row>
    <row r="223" spans="1:28" s="85" customFormat="1" x14ac:dyDescent="0.25">
      <c r="A223" s="82"/>
      <c r="B223" s="82"/>
      <c r="C223" s="82"/>
      <c r="D223" s="729"/>
      <c r="E223" s="371" t="s">
        <v>49</v>
      </c>
      <c r="F223" s="372">
        <v>11</v>
      </c>
      <c r="G223" s="373">
        <v>12</v>
      </c>
      <c r="H223" s="374">
        <v>10</v>
      </c>
      <c r="I223" s="375">
        <v>1.47</v>
      </c>
      <c r="J223" s="376">
        <f t="shared" si="32"/>
        <v>17.64</v>
      </c>
      <c r="K223" s="66">
        <f t="shared" si="34"/>
        <v>0</v>
      </c>
      <c r="L223" s="63">
        <f t="shared" si="35"/>
        <v>0</v>
      </c>
      <c r="M223" s="63">
        <f t="shared" si="36"/>
        <v>0</v>
      </c>
      <c r="N223" s="63">
        <f t="shared" si="37"/>
        <v>10.88388</v>
      </c>
      <c r="O223" s="63">
        <f t="shared" si="38"/>
        <v>0</v>
      </c>
      <c r="P223" s="63">
        <f t="shared" si="39"/>
        <v>0</v>
      </c>
      <c r="Q223" s="561">
        <f t="shared" si="44"/>
        <v>0</v>
      </c>
      <c r="R223" s="174"/>
      <c r="T223" s="82"/>
      <c r="U223" s="82"/>
      <c r="V223" s="82"/>
      <c r="W223" s="82"/>
      <c r="X223" s="82"/>
      <c r="Y223" s="82"/>
      <c r="Z223" s="82"/>
      <c r="AA223" s="82"/>
      <c r="AB223" s="82"/>
    </row>
    <row r="224" spans="1:28" s="85" customFormat="1" x14ac:dyDescent="0.25">
      <c r="A224" s="82"/>
      <c r="B224" s="82"/>
      <c r="C224" s="82"/>
      <c r="D224" s="729"/>
      <c r="E224" s="371" t="s">
        <v>113</v>
      </c>
      <c r="F224" s="372">
        <v>1</v>
      </c>
      <c r="G224" s="373">
        <f>90</f>
        <v>90</v>
      </c>
      <c r="H224" s="374">
        <v>5</v>
      </c>
      <c r="I224" s="375">
        <v>0.24</v>
      </c>
      <c r="J224" s="376">
        <f t="shared" si="32"/>
        <v>21.599999999999998</v>
      </c>
      <c r="K224" s="66">
        <f t="shared" si="34"/>
        <v>3.3263999999999996</v>
      </c>
      <c r="L224" s="63">
        <f t="shared" si="35"/>
        <v>0</v>
      </c>
      <c r="M224" s="63">
        <f t="shared" si="36"/>
        <v>0</v>
      </c>
      <c r="N224" s="63">
        <f t="shared" si="37"/>
        <v>0</v>
      </c>
      <c r="O224" s="63">
        <f t="shared" si="38"/>
        <v>0</v>
      </c>
      <c r="P224" s="63">
        <f t="shared" si="39"/>
        <v>0</v>
      </c>
      <c r="Q224" s="561">
        <f t="shared" si="44"/>
        <v>0</v>
      </c>
      <c r="R224" s="174"/>
      <c r="T224" s="82"/>
      <c r="U224" s="82"/>
      <c r="V224" s="82"/>
      <c r="W224" s="82"/>
      <c r="X224" s="82"/>
      <c r="Y224" s="82"/>
      <c r="Z224" s="82"/>
      <c r="AA224" s="82"/>
      <c r="AB224" s="82"/>
    </row>
    <row r="225" spans="1:28" s="85" customFormat="1" x14ac:dyDescent="0.25">
      <c r="A225" s="82"/>
      <c r="B225" s="82"/>
      <c r="C225" s="82"/>
      <c r="D225" s="729"/>
      <c r="E225" s="371" t="s">
        <v>113</v>
      </c>
      <c r="F225" s="372">
        <v>4</v>
      </c>
      <c r="G225" s="373">
        <f>25</f>
        <v>25</v>
      </c>
      <c r="H225" s="374">
        <v>5</v>
      </c>
      <c r="I225" s="375">
        <v>1.47</v>
      </c>
      <c r="J225" s="376">
        <f t="shared" si="32"/>
        <v>36.75</v>
      </c>
      <c r="K225" s="66">
        <f t="shared" si="34"/>
        <v>5.6594999999999995</v>
      </c>
      <c r="L225" s="63">
        <f t="shared" si="35"/>
        <v>0</v>
      </c>
      <c r="M225" s="63">
        <f t="shared" si="36"/>
        <v>0</v>
      </c>
      <c r="N225" s="63">
        <f t="shared" si="37"/>
        <v>0</v>
      </c>
      <c r="O225" s="63">
        <f t="shared" si="38"/>
        <v>0</v>
      </c>
      <c r="P225" s="63">
        <f t="shared" si="39"/>
        <v>0</v>
      </c>
      <c r="Q225" s="561">
        <f t="shared" si="44"/>
        <v>0</v>
      </c>
      <c r="R225" s="174"/>
      <c r="T225" s="82"/>
      <c r="U225" s="82"/>
      <c r="V225" s="82"/>
      <c r="W225" s="82"/>
      <c r="X225" s="82"/>
      <c r="Y225" s="82"/>
      <c r="Z225" s="82"/>
      <c r="AA225" s="82"/>
      <c r="AB225" s="82"/>
    </row>
    <row r="226" spans="1:28" s="85" customFormat="1" x14ac:dyDescent="0.25">
      <c r="A226" s="82"/>
      <c r="B226" s="82"/>
      <c r="C226" s="82"/>
      <c r="D226" s="729"/>
      <c r="E226" s="371" t="s">
        <v>113</v>
      </c>
      <c r="F226" s="372">
        <v>5</v>
      </c>
      <c r="G226" s="373">
        <f>10</f>
        <v>10</v>
      </c>
      <c r="H226" s="374">
        <v>5</v>
      </c>
      <c r="I226" s="375">
        <v>0.89</v>
      </c>
      <c r="J226" s="376">
        <f t="shared" si="32"/>
        <v>8.9</v>
      </c>
      <c r="K226" s="66">
        <f t="shared" si="34"/>
        <v>1.3706</v>
      </c>
      <c r="L226" s="63">
        <f t="shared" si="35"/>
        <v>0</v>
      </c>
      <c r="M226" s="63">
        <f t="shared" si="36"/>
        <v>0</v>
      </c>
      <c r="N226" s="63">
        <f t="shared" si="37"/>
        <v>0</v>
      </c>
      <c r="O226" s="63">
        <f t="shared" si="38"/>
        <v>0</v>
      </c>
      <c r="P226" s="63">
        <f t="shared" si="39"/>
        <v>0</v>
      </c>
      <c r="Q226" s="561">
        <f t="shared" si="44"/>
        <v>0</v>
      </c>
      <c r="R226" s="174"/>
      <c r="T226" s="82"/>
      <c r="U226" s="82"/>
      <c r="V226" s="82"/>
      <c r="W226" s="82"/>
      <c r="X226" s="82"/>
      <c r="Y226" s="82"/>
      <c r="Z226" s="82"/>
      <c r="AA226" s="82"/>
      <c r="AB226" s="82"/>
    </row>
    <row r="227" spans="1:28" s="85" customFormat="1" x14ac:dyDescent="0.25">
      <c r="A227" s="82"/>
      <c r="B227" s="82"/>
      <c r="C227" s="82"/>
      <c r="D227" s="729"/>
      <c r="E227" s="371" t="s">
        <v>113</v>
      </c>
      <c r="F227" s="372">
        <v>19</v>
      </c>
      <c r="G227" s="373">
        <f>12</f>
        <v>12</v>
      </c>
      <c r="H227" s="374">
        <v>10</v>
      </c>
      <c r="I227" s="375">
        <v>3.42</v>
      </c>
      <c r="J227" s="376">
        <f t="shared" si="32"/>
        <v>41.04</v>
      </c>
      <c r="K227" s="66">
        <f t="shared" si="34"/>
        <v>0</v>
      </c>
      <c r="L227" s="63">
        <f t="shared" si="35"/>
        <v>0</v>
      </c>
      <c r="M227" s="63">
        <f t="shared" si="36"/>
        <v>0</v>
      </c>
      <c r="N227" s="63">
        <f t="shared" si="37"/>
        <v>25.321680000000001</v>
      </c>
      <c r="O227" s="63">
        <f t="shared" si="38"/>
        <v>0</v>
      </c>
      <c r="P227" s="63">
        <f t="shared" si="39"/>
        <v>0</v>
      </c>
      <c r="Q227" s="561">
        <f t="shared" si="44"/>
        <v>0</v>
      </c>
      <c r="R227" s="174"/>
      <c r="T227" s="82"/>
      <c r="U227" s="82"/>
      <c r="V227" s="82"/>
      <c r="W227" s="82"/>
      <c r="X227" s="82"/>
      <c r="Y227" s="82"/>
      <c r="Z227" s="82"/>
      <c r="AA227" s="82"/>
      <c r="AB227" s="82"/>
    </row>
    <row r="228" spans="1:28" s="85" customFormat="1" x14ac:dyDescent="0.25">
      <c r="A228" s="82"/>
      <c r="B228" s="82"/>
      <c r="C228" s="82"/>
      <c r="D228" s="729"/>
      <c r="E228" s="396" t="s">
        <v>184</v>
      </c>
      <c r="F228" s="403"/>
      <c r="G228" s="397"/>
      <c r="H228" s="398"/>
      <c r="I228" s="399"/>
      <c r="J228" s="400">
        <f t="shared" si="32"/>
        <v>0</v>
      </c>
      <c r="K228" s="401">
        <f t="shared" si="34"/>
        <v>0</v>
      </c>
      <c r="L228" s="196">
        <f t="shared" si="35"/>
        <v>0</v>
      </c>
      <c r="M228" s="196">
        <f t="shared" si="36"/>
        <v>0</v>
      </c>
      <c r="N228" s="196">
        <f t="shared" si="37"/>
        <v>0</v>
      </c>
      <c r="O228" s="196">
        <f t="shared" si="38"/>
        <v>0</v>
      </c>
      <c r="P228" s="196">
        <f t="shared" si="39"/>
        <v>0</v>
      </c>
      <c r="Q228" s="566">
        <f t="shared" si="44"/>
        <v>0</v>
      </c>
      <c r="R228" s="538"/>
      <c r="T228" s="82"/>
      <c r="U228" s="82"/>
      <c r="V228" s="82"/>
      <c r="W228" s="82"/>
      <c r="X228" s="82"/>
      <c r="Y228" s="82"/>
      <c r="Z228" s="82"/>
      <c r="AA228" s="82"/>
      <c r="AB228" s="82"/>
    </row>
    <row r="229" spans="1:28" s="85" customFormat="1" x14ac:dyDescent="0.25">
      <c r="A229" s="82"/>
      <c r="B229" s="82"/>
      <c r="C229" s="82"/>
      <c r="D229" s="729"/>
      <c r="E229" s="371" t="s">
        <v>184</v>
      </c>
      <c r="F229" s="372"/>
      <c r="G229" s="373"/>
      <c r="H229" s="374"/>
      <c r="I229" s="375"/>
      <c r="J229" s="376">
        <f t="shared" si="32"/>
        <v>0</v>
      </c>
      <c r="K229" s="66">
        <f t="shared" si="34"/>
        <v>0</v>
      </c>
      <c r="L229" s="63">
        <f t="shared" si="35"/>
        <v>0</v>
      </c>
      <c r="M229" s="63">
        <f t="shared" si="36"/>
        <v>0</v>
      </c>
      <c r="N229" s="63">
        <f t="shared" si="37"/>
        <v>0</v>
      </c>
      <c r="O229" s="63">
        <f t="shared" si="38"/>
        <v>0</v>
      </c>
      <c r="P229" s="63">
        <f t="shared" si="39"/>
        <v>0</v>
      </c>
      <c r="Q229" s="562">
        <f t="shared" si="44"/>
        <v>0</v>
      </c>
      <c r="R229" s="377"/>
      <c r="T229" s="82"/>
      <c r="U229" s="82"/>
      <c r="V229" s="82"/>
      <c r="W229" s="82"/>
      <c r="X229" s="82"/>
      <c r="Y229" s="82"/>
      <c r="Z229" s="82"/>
      <c r="AA229" s="82"/>
      <c r="AB229" s="82"/>
    </row>
    <row r="230" spans="1:28" s="85" customFormat="1" x14ac:dyDescent="0.25">
      <c r="A230" s="82"/>
      <c r="B230" s="82"/>
      <c r="C230" s="82"/>
      <c r="D230" s="729"/>
      <c r="E230" s="371" t="s">
        <v>184</v>
      </c>
      <c r="F230" s="372"/>
      <c r="G230" s="373"/>
      <c r="H230" s="374"/>
      <c r="I230" s="375"/>
      <c r="J230" s="376">
        <f t="shared" si="32"/>
        <v>0</v>
      </c>
      <c r="K230" s="66">
        <f t="shared" si="34"/>
        <v>0</v>
      </c>
      <c r="L230" s="63">
        <f t="shared" si="35"/>
        <v>0</v>
      </c>
      <c r="M230" s="63">
        <f t="shared" si="36"/>
        <v>0</v>
      </c>
      <c r="N230" s="63">
        <f t="shared" si="37"/>
        <v>0</v>
      </c>
      <c r="O230" s="63">
        <f t="shared" si="38"/>
        <v>0</v>
      </c>
      <c r="P230" s="63">
        <f t="shared" si="39"/>
        <v>0</v>
      </c>
      <c r="Q230" s="562">
        <f t="shared" si="44"/>
        <v>0</v>
      </c>
      <c r="R230" s="377"/>
      <c r="T230" s="82"/>
      <c r="U230" s="82"/>
      <c r="V230" s="82"/>
      <c r="W230" s="82"/>
      <c r="X230" s="82"/>
      <c r="Y230" s="82"/>
      <c r="Z230" s="82"/>
      <c r="AA230" s="82"/>
      <c r="AB230" s="82"/>
    </row>
    <row r="231" spans="1:28" s="85" customFormat="1" ht="13.8" thickBot="1" x14ac:dyDescent="0.3">
      <c r="A231" s="82"/>
      <c r="B231" s="82"/>
      <c r="C231" s="82"/>
      <c r="D231" s="731"/>
      <c r="E231" s="390" t="s">
        <v>184</v>
      </c>
      <c r="F231" s="391"/>
      <c r="G231" s="392"/>
      <c r="H231" s="393"/>
      <c r="I231" s="394"/>
      <c r="J231" s="395">
        <f t="shared" si="32"/>
        <v>0</v>
      </c>
      <c r="K231" s="221">
        <f t="shared" si="34"/>
        <v>0</v>
      </c>
      <c r="L231" s="222">
        <f t="shared" si="35"/>
        <v>0</v>
      </c>
      <c r="M231" s="222">
        <f t="shared" si="36"/>
        <v>0</v>
      </c>
      <c r="N231" s="222">
        <f t="shared" si="37"/>
        <v>0</v>
      </c>
      <c r="O231" s="222">
        <f t="shared" si="38"/>
        <v>0</v>
      </c>
      <c r="P231" s="222">
        <f t="shared" si="39"/>
        <v>0</v>
      </c>
      <c r="Q231" s="564">
        <f t="shared" si="44"/>
        <v>0</v>
      </c>
      <c r="R231" s="539"/>
      <c r="T231" s="82"/>
      <c r="U231" s="82"/>
      <c r="V231" s="82"/>
      <c r="W231" s="82"/>
      <c r="X231" s="82"/>
      <c r="Y231" s="82"/>
      <c r="Z231" s="82"/>
      <c r="AA231" s="82"/>
      <c r="AB231" s="82"/>
    </row>
    <row r="232" spans="1:28" s="85" customFormat="1" ht="13.8" thickTop="1" x14ac:dyDescent="0.25">
      <c r="A232" s="82"/>
      <c r="B232" s="82"/>
      <c r="C232" s="82"/>
      <c r="D232" s="728" t="s">
        <v>1311</v>
      </c>
      <c r="E232" s="384" t="s">
        <v>49</v>
      </c>
      <c r="F232" s="385">
        <v>4</v>
      </c>
      <c r="G232" s="386">
        <f>2*27</f>
        <v>54</v>
      </c>
      <c r="H232" s="387">
        <v>5</v>
      </c>
      <c r="I232" s="388">
        <v>0.21</v>
      </c>
      <c r="J232" s="389">
        <f t="shared" si="32"/>
        <v>11.34</v>
      </c>
      <c r="K232" s="218">
        <f t="shared" si="34"/>
        <v>1.7463599999999999</v>
      </c>
      <c r="L232" s="219">
        <f t="shared" si="35"/>
        <v>0</v>
      </c>
      <c r="M232" s="219">
        <f t="shared" si="36"/>
        <v>0</v>
      </c>
      <c r="N232" s="219">
        <f t="shared" si="37"/>
        <v>0</v>
      </c>
      <c r="O232" s="219">
        <f t="shared" si="38"/>
        <v>0</v>
      </c>
      <c r="P232" s="219">
        <f t="shared" si="39"/>
        <v>0</v>
      </c>
      <c r="Q232" s="563">
        <f t="shared" si="44"/>
        <v>0</v>
      </c>
      <c r="R232" s="220"/>
      <c r="T232" s="82"/>
      <c r="U232" s="82"/>
      <c r="V232" s="82"/>
      <c r="W232" s="82"/>
      <c r="X232" s="82"/>
      <c r="Y232" s="82"/>
      <c r="Z232" s="82"/>
      <c r="AA232" s="82"/>
      <c r="AB232" s="82"/>
    </row>
    <row r="233" spans="1:28" s="85" customFormat="1" x14ac:dyDescent="0.25">
      <c r="A233" s="82"/>
      <c r="B233" s="82"/>
      <c r="C233" s="82"/>
      <c r="D233" s="729"/>
      <c r="E233" s="371" t="s">
        <v>49</v>
      </c>
      <c r="F233" s="372">
        <v>5</v>
      </c>
      <c r="G233" s="373">
        <f>2*5</f>
        <v>10</v>
      </c>
      <c r="H233" s="374">
        <v>5</v>
      </c>
      <c r="I233" s="375">
        <v>1.35</v>
      </c>
      <c r="J233" s="376">
        <f t="shared" si="32"/>
        <v>13.5</v>
      </c>
      <c r="K233" s="66">
        <f t="shared" si="34"/>
        <v>2.0790000000000002</v>
      </c>
      <c r="L233" s="63">
        <f t="shared" si="35"/>
        <v>0</v>
      </c>
      <c r="M233" s="63">
        <f t="shared" si="36"/>
        <v>0</v>
      </c>
      <c r="N233" s="63">
        <f t="shared" si="37"/>
        <v>0</v>
      </c>
      <c r="O233" s="63">
        <f t="shared" si="38"/>
        <v>0</v>
      </c>
      <c r="P233" s="63">
        <f t="shared" si="39"/>
        <v>0</v>
      </c>
      <c r="Q233" s="561">
        <f t="shared" si="44"/>
        <v>0</v>
      </c>
      <c r="R233" s="174"/>
      <c r="T233" s="82"/>
      <c r="U233" s="82"/>
      <c r="V233" s="82"/>
      <c r="W233" s="82"/>
      <c r="X233" s="82"/>
      <c r="Y233" s="82"/>
      <c r="Z233" s="82"/>
      <c r="AA233" s="82"/>
      <c r="AB233" s="82"/>
    </row>
    <row r="234" spans="1:28" s="85" customFormat="1" x14ac:dyDescent="0.25">
      <c r="A234" s="82"/>
      <c r="B234" s="82"/>
      <c r="C234" s="82"/>
      <c r="D234" s="729"/>
      <c r="E234" s="371" t="s">
        <v>49</v>
      </c>
      <c r="F234" s="372">
        <v>6</v>
      </c>
      <c r="G234" s="373">
        <f>2*8</f>
        <v>16</v>
      </c>
      <c r="H234" s="374">
        <v>5</v>
      </c>
      <c r="I234" s="375">
        <v>0.8</v>
      </c>
      <c r="J234" s="376">
        <f t="shared" si="32"/>
        <v>12.8</v>
      </c>
      <c r="K234" s="66">
        <f t="shared" si="34"/>
        <v>1.9712000000000001</v>
      </c>
      <c r="L234" s="63">
        <f t="shared" si="35"/>
        <v>0</v>
      </c>
      <c r="M234" s="63">
        <f t="shared" si="36"/>
        <v>0</v>
      </c>
      <c r="N234" s="63">
        <f t="shared" si="37"/>
        <v>0</v>
      </c>
      <c r="O234" s="63">
        <f t="shared" si="38"/>
        <v>0</v>
      </c>
      <c r="P234" s="63">
        <f t="shared" si="39"/>
        <v>0</v>
      </c>
      <c r="Q234" s="561">
        <f t="shared" si="44"/>
        <v>0</v>
      </c>
      <c r="R234" s="174"/>
      <c r="T234" s="82"/>
      <c r="U234" s="82"/>
      <c r="V234" s="82"/>
      <c r="W234" s="82"/>
      <c r="X234" s="82"/>
      <c r="Y234" s="82"/>
      <c r="Z234" s="82"/>
      <c r="AA234" s="82"/>
      <c r="AB234" s="82"/>
    </row>
    <row r="235" spans="1:28" s="85" customFormat="1" x14ac:dyDescent="0.25">
      <c r="A235" s="82"/>
      <c r="B235" s="82"/>
      <c r="C235" s="82"/>
      <c r="D235" s="729"/>
      <c r="E235" s="371" t="s">
        <v>49</v>
      </c>
      <c r="F235" s="372">
        <v>11</v>
      </c>
      <c r="G235" s="373">
        <f>2*10</f>
        <v>20</v>
      </c>
      <c r="H235" s="374">
        <v>10</v>
      </c>
      <c r="I235" s="375">
        <v>1.47</v>
      </c>
      <c r="J235" s="376">
        <f t="shared" si="32"/>
        <v>29.4</v>
      </c>
      <c r="K235" s="66">
        <f t="shared" si="34"/>
        <v>0</v>
      </c>
      <c r="L235" s="63">
        <f t="shared" si="35"/>
        <v>0</v>
      </c>
      <c r="M235" s="63">
        <f t="shared" si="36"/>
        <v>0</v>
      </c>
      <c r="N235" s="63">
        <f t="shared" si="37"/>
        <v>18.139799999999997</v>
      </c>
      <c r="O235" s="63">
        <f t="shared" si="38"/>
        <v>0</v>
      </c>
      <c r="P235" s="63">
        <f t="shared" si="39"/>
        <v>0</v>
      </c>
      <c r="Q235" s="561">
        <f t="shared" si="44"/>
        <v>0</v>
      </c>
      <c r="R235" s="174"/>
      <c r="T235" s="82"/>
      <c r="U235" s="82"/>
      <c r="V235" s="82"/>
      <c r="W235" s="82"/>
      <c r="X235" s="82"/>
      <c r="Y235" s="82"/>
      <c r="Z235" s="82"/>
      <c r="AA235" s="82"/>
      <c r="AB235" s="82"/>
    </row>
    <row r="236" spans="1:28" s="85" customFormat="1" x14ac:dyDescent="0.25">
      <c r="A236" s="82"/>
      <c r="B236" s="82"/>
      <c r="C236" s="82"/>
      <c r="D236" s="729"/>
      <c r="E236" s="371" t="s">
        <v>113</v>
      </c>
      <c r="F236" s="372">
        <v>1</v>
      </c>
      <c r="G236" s="373">
        <f>2*90</f>
        <v>180</v>
      </c>
      <c r="H236" s="374">
        <v>5</v>
      </c>
      <c r="I236" s="375">
        <v>0.24</v>
      </c>
      <c r="J236" s="376">
        <f t="shared" si="32"/>
        <v>43.199999999999996</v>
      </c>
      <c r="K236" s="66">
        <f t="shared" si="34"/>
        <v>6.6527999999999992</v>
      </c>
      <c r="L236" s="63">
        <f t="shared" si="35"/>
        <v>0</v>
      </c>
      <c r="M236" s="63">
        <f t="shared" si="36"/>
        <v>0</v>
      </c>
      <c r="N236" s="63">
        <f t="shared" si="37"/>
        <v>0</v>
      </c>
      <c r="O236" s="63">
        <f t="shared" si="38"/>
        <v>0</v>
      </c>
      <c r="P236" s="63">
        <f t="shared" si="39"/>
        <v>0</v>
      </c>
      <c r="Q236" s="561">
        <f t="shared" si="44"/>
        <v>0</v>
      </c>
      <c r="R236" s="174"/>
      <c r="T236" s="82"/>
      <c r="U236" s="82"/>
      <c r="V236" s="82"/>
      <c r="W236" s="82"/>
      <c r="X236" s="82"/>
      <c r="Y236" s="82"/>
      <c r="Z236" s="82"/>
      <c r="AA236" s="82"/>
      <c r="AB236" s="82"/>
    </row>
    <row r="237" spans="1:28" s="85" customFormat="1" x14ac:dyDescent="0.25">
      <c r="A237" s="82"/>
      <c r="B237" s="82"/>
      <c r="C237" s="82"/>
      <c r="D237" s="729"/>
      <c r="E237" s="371" t="s">
        <v>113</v>
      </c>
      <c r="F237" s="372">
        <v>4</v>
      </c>
      <c r="G237" s="373">
        <f>2*25</f>
        <v>50</v>
      </c>
      <c r="H237" s="374">
        <v>5</v>
      </c>
      <c r="I237" s="375">
        <v>1.47</v>
      </c>
      <c r="J237" s="376">
        <f t="shared" si="32"/>
        <v>73.5</v>
      </c>
      <c r="K237" s="66">
        <f t="shared" si="34"/>
        <v>11.318999999999999</v>
      </c>
      <c r="L237" s="63">
        <f t="shared" si="35"/>
        <v>0</v>
      </c>
      <c r="M237" s="63">
        <f t="shared" si="36"/>
        <v>0</v>
      </c>
      <c r="N237" s="63">
        <f t="shared" si="37"/>
        <v>0</v>
      </c>
      <c r="O237" s="63">
        <f t="shared" si="38"/>
        <v>0</v>
      </c>
      <c r="P237" s="63">
        <f t="shared" si="39"/>
        <v>0</v>
      </c>
      <c r="Q237" s="561">
        <f t="shared" si="44"/>
        <v>0</v>
      </c>
      <c r="R237" s="174"/>
      <c r="T237" s="82"/>
      <c r="U237" s="82"/>
      <c r="V237" s="82"/>
      <c r="W237" s="82"/>
      <c r="X237" s="82"/>
      <c r="Y237" s="82"/>
      <c r="Z237" s="82"/>
      <c r="AA237" s="82"/>
      <c r="AB237" s="82"/>
    </row>
    <row r="238" spans="1:28" s="85" customFormat="1" x14ac:dyDescent="0.25">
      <c r="A238" s="82"/>
      <c r="B238" s="82"/>
      <c r="C238" s="82"/>
      <c r="D238" s="729"/>
      <c r="E238" s="371" t="s">
        <v>113</v>
      </c>
      <c r="F238" s="372">
        <v>5</v>
      </c>
      <c r="G238" s="373">
        <f>2*10</f>
        <v>20</v>
      </c>
      <c r="H238" s="374">
        <v>5</v>
      </c>
      <c r="I238" s="375">
        <v>0.89</v>
      </c>
      <c r="J238" s="376">
        <f t="shared" si="32"/>
        <v>17.8</v>
      </c>
      <c r="K238" s="66">
        <f t="shared" si="34"/>
        <v>2.7412000000000001</v>
      </c>
      <c r="L238" s="63">
        <f t="shared" si="35"/>
        <v>0</v>
      </c>
      <c r="M238" s="63">
        <f t="shared" si="36"/>
        <v>0</v>
      </c>
      <c r="N238" s="63">
        <f t="shared" si="37"/>
        <v>0</v>
      </c>
      <c r="O238" s="63">
        <f t="shared" si="38"/>
        <v>0</v>
      </c>
      <c r="P238" s="63">
        <f t="shared" si="39"/>
        <v>0</v>
      </c>
      <c r="Q238" s="561">
        <f t="shared" si="44"/>
        <v>0</v>
      </c>
      <c r="R238" s="174"/>
      <c r="T238" s="82"/>
      <c r="U238" s="82"/>
      <c r="V238" s="82"/>
      <c r="W238" s="82"/>
      <c r="X238" s="82"/>
      <c r="Y238" s="82"/>
      <c r="Z238" s="82"/>
      <c r="AA238" s="82"/>
      <c r="AB238" s="82"/>
    </row>
    <row r="239" spans="1:28" s="85" customFormat="1" x14ac:dyDescent="0.25">
      <c r="A239" s="82"/>
      <c r="B239" s="82"/>
      <c r="C239" s="82"/>
      <c r="D239" s="729"/>
      <c r="E239" s="371" t="s">
        <v>113</v>
      </c>
      <c r="F239" s="372">
        <v>19</v>
      </c>
      <c r="G239" s="373">
        <f>2*10</f>
        <v>20</v>
      </c>
      <c r="H239" s="374">
        <v>10</v>
      </c>
      <c r="I239" s="375">
        <v>3.42</v>
      </c>
      <c r="J239" s="376">
        <f t="shared" si="32"/>
        <v>68.400000000000006</v>
      </c>
      <c r="K239" s="66">
        <f t="shared" si="34"/>
        <v>0</v>
      </c>
      <c r="L239" s="63">
        <f t="shared" si="35"/>
        <v>0</v>
      </c>
      <c r="M239" s="63">
        <f t="shared" si="36"/>
        <v>0</v>
      </c>
      <c r="N239" s="63">
        <f t="shared" si="37"/>
        <v>42.202800000000003</v>
      </c>
      <c r="O239" s="63">
        <f t="shared" si="38"/>
        <v>0</v>
      </c>
      <c r="P239" s="63">
        <f t="shared" si="39"/>
        <v>0</v>
      </c>
      <c r="Q239" s="561">
        <f t="shared" si="44"/>
        <v>0</v>
      </c>
      <c r="R239" s="174"/>
      <c r="T239" s="82"/>
      <c r="U239" s="82"/>
      <c r="V239" s="82"/>
      <c r="W239" s="82"/>
      <c r="X239" s="82"/>
      <c r="Y239" s="82"/>
      <c r="Z239" s="82"/>
      <c r="AA239" s="82"/>
      <c r="AB239" s="82"/>
    </row>
    <row r="240" spans="1:28" s="85" customFormat="1" x14ac:dyDescent="0.25">
      <c r="A240" s="82"/>
      <c r="B240" s="82"/>
      <c r="C240" s="82"/>
      <c r="D240" s="729"/>
      <c r="E240" s="396" t="s">
        <v>184</v>
      </c>
      <c r="F240" s="403"/>
      <c r="G240" s="397"/>
      <c r="H240" s="398"/>
      <c r="I240" s="399"/>
      <c r="J240" s="400">
        <f t="shared" si="32"/>
        <v>0</v>
      </c>
      <c r="K240" s="401">
        <f t="shared" si="34"/>
        <v>0</v>
      </c>
      <c r="L240" s="196">
        <f t="shared" si="35"/>
        <v>0</v>
      </c>
      <c r="M240" s="196">
        <f t="shared" si="36"/>
        <v>0</v>
      </c>
      <c r="N240" s="196">
        <f t="shared" si="37"/>
        <v>0</v>
      </c>
      <c r="O240" s="196">
        <f t="shared" si="38"/>
        <v>0</v>
      </c>
      <c r="P240" s="196">
        <f t="shared" si="39"/>
        <v>0</v>
      </c>
      <c r="Q240" s="566">
        <f t="shared" si="44"/>
        <v>0</v>
      </c>
      <c r="R240" s="538"/>
      <c r="T240" s="82"/>
      <c r="U240" s="82"/>
      <c r="V240" s="82"/>
      <c r="W240" s="82"/>
      <c r="X240" s="82"/>
      <c r="Y240" s="82"/>
      <c r="Z240" s="82"/>
      <c r="AA240" s="82"/>
      <c r="AB240" s="82"/>
    </row>
    <row r="241" spans="1:28" s="85" customFormat="1" x14ac:dyDescent="0.25">
      <c r="A241" s="82"/>
      <c r="B241" s="82"/>
      <c r="C241" s="82"/>
      <c r="D241" s="729"/>
      <c r="E241" s="371" t="s">
        <v>184</v>
      </c>
      <c r="F241" s="372"/>
      <c r="G241" s="373"/>
      <c r="H241" s="374"/>
      <c r="I241" s="375"/>
      <c r="J241" s="376">
        <f t="shared" si="32"/>
        <v>0</v>
      </c>
      <c r="K241" s="66">
        <f t="shared" si="34"/>
        <v>0</v>
      </c>
      <c r="L241" s="63">
        <f t="shared" si="35"/>
        <v>0</v>
      </c>
      <c r="M241" s="63">
        <f t="shared" si="36"/>
        <v>0</v>
      </c>
      <c r="N241" s="63">
        <f t="shared" si="37"/>
        <v>0</v>
      </c>
      <c r="O241" s="63">
        <f t="shared" si="38"/>
        <v>0</v>
      </c>
      <c r="P241" s="63">
        <f t="shared" si="39"/>
        <v>0</v>
      </c>
      <c r="Q241" s="562">
        <f t="shared" si="44"/>
        <v>0</v>
      </c>
      <c r="R241" s="377"/>
      <c r="T241" s="82"/>
      <c r="U241" s="82"/>
      <c r="V241" s="82"/>
      <c r="W241" s="82"/>
      <c r="X241" s="82"/>
      <c r="Y241" s="82"/>
      <c r="Z241" s="82"/>
      <c r="AA241" s="82"/>
      <c r="AB241" s="82"/>
    </row>
    <row r="242" spans="1:28" s="85" customFormat="1" x14ac:dyDescent="0.25">
      <c r="A242" s="82"/>
      <c r="B242" s="82"/>
      <c r="C242" s="82"/>
      <c r="D242" s="729"/>
      <c r="E242" s="371" t="s">
        <v>184</v>
      </c>
      <c r="F242" s="372"/>
      <c r="G242" s="373"/>
      <c r="H242" s="374"/>
      <c r="I242" s="375"/>
      <c r="J242" s="376">
        <f t="shared" si="32"/>
        <v>0</v>
      </c>
      <c r="K242" s="66">
        <f t="shared" si="34"/>
        <v>0</v>
      </c>
      <c r="L242" s="63">
        <f t="shared" si="35"/>
        <v>0</v>
      </c>
      <c r="M242" s="63">
        <f t="shared" si="36"/>
        <v>0</v>
      </c>
      <c r="N242" s="63">
        <f t="shared" si="37"/>
        <v>0</v>
      </c>
      <c r="O242" s="63">
        <f t="shared" si="38"/>
        <v>0</v>
      </c>
      <c r="P242" s="63">
        <f t="shared" si="39"/>
        <v>0</v>
      </c>
      <c r="Q242" s="562">
        <f t="shared" si="44"/>
        <v>0</v>
      </c>
      <c r="R242" s="377"/>
      <c r="T242" s="82"/>
      <c r="U242" s="82"/>
      <c r="V242" s="82"/>
      <c r="W242" s="82"/>
      <c r="X242" s="82"/>
      <c r="Y242" s="82"/>
      <c r="Z242" s="82"/>
      <c r="AA242" s="82"/>
      <c r="AB242" s="82"/>
    </row>
    <row r="243" spans="1:28" s="85" customFormat="1" ht="13.8" thickBot="1" x14ac:dyDescent="0.3">
      <c r="A243" s="82"/>
      <c r="B243" s="82"/>
      <c r="C243" s="82"/>
      <c r="D243" s="731"/>
      <c r="E243" s="390" t="s">
        <v>184</v>
      </c>
      <c r="F243" s="391"/>
      <c r="G243" s="392"/>
      <c r="H243" s="393"/>
      <c r="I243" s="394"/>
      <c r="J243" s="395">
        <f t="shared" si="32"/>
        <v>0</v>
      </c>
      <c r="K243" s="221">
        <f t="shared" si="34"/>
        <v>0</v>
      </c>
      <c r="L243" s="222">
        <f t="shared" si="35"/>
        <v>0</v>
      </c>
      <c r="M243" s="222">
        <f t="shared" si="36"/>
        <v>0</v>
      </c>
      <c r="N243" s="222">
        <f t="shared" si="37"/>
        <v>0</v>
      </c>
      <c r="O243" s="222">
        <f t="shared" si="38"/>
        <v>0</v>
      </c>
      <c r="P243" s="222">
        <f t="shared" si="39"/>
        <v>0</v>
      </c>
      <c r="Q243" s="564">
        <f t="shared" si="44"/>
        <v>0</v>
      </c>
      <c r="R243" s="539"/>
      <c r="T243" s="82"/>
      <c r="U243" s="82"/>
      <c r="V243" s="82"/>
      <c r="W243" s="82"/>
      <c r="X243" s="82"/>
      <c r="Y243" s="82"/>
      <c r="Z243" s="82"/>
      <c r="AA243" s="82"/>
      <c r="AB243" s="82"/>
    </row>
    <row r="244" spans="1:28" s="85" customFormat="1" ht="13.8" thickTop="1" x14ac:dyDescent="0.25">
      <c r="A244" s="82"/>
      <c r="B244" s="82"/>
      <c r="C244" s="82"/>
      <c r="D244" s="728" t="s">
        <v>1313</v>
      </c>
      <c r="E244" s="384" t="s">
        <v>49</v>
      </c>
      <c r="F244" s="385">
        <v>2</v>
      </c>
      <c r="G244" s="386">
        <v>7</v>
      </c>
      <c r="H244" s="387">
        <v>5</v>
      </c>
      <c r="I244" s="388">
        <v>0.26</v>
      </c>
      <c r="J244" s="389">
        <f t="shared" si="32"/>
        <v>1.82</v>
      </c>
      <c r="K244" s="218">
        <f t="shared" si="34"/>
        <v>0.28028000000000003</v>
      </c>
      <c r="L244" s="219">
        <f t="shared" si="35"/>
        <v>0</v>
      </c>
      <c r="M244" s="219">
        <f t="shared" si="36"/>
        <v>0</v>
      </c>
      <c r="N244" s="219">
        <f t="shared" si="37"/>
        <v>0</v>
      </c>
      <c r="O244" s="219">
        <f t="shared" si="38"/>
        <v>0</v>
      </c>
      <c r="P244" s="219">
        <f t="shared" si="39"/>
        <v>0</v>
      </c>
      <c r="Q244" s="563">
        <f t="shared" si="44"/>
        <v>0</v>
      </c>
      <c r="R244" s="220"/>
      <c r="T244" s="82"/>
      <c r="U244" s="82"/>
      <c r="V244" s="82"/>
      <c r="W244" s="82"/>
      <c r="X244" s="82"/>
      <c r="Y244" s="82"/>
      <c r="Z244" s="82"/>
      <c r="AA244" s="82"/>
      <c r="AB244" s="82"/>
    </row>
    <row r="245" spans="1:28" s="85" customFormat="1" x14ac:dyDescent="0.25">
      <c r="A245" s="82"/>
      <c r="B245" s="82"/>
      <c r="C245" s="82"/>
      <c r="D245" s="729"/>
      <c r="E245" s="371" t="s">
        <v>49</v>
      </c>
      <c r="F245" s="372">
        <v>3</v>
      </c>
      <c r="G245" s="373">
        <v>4</v>
      </c>
      <c r="H245" s="374">
        <v>5</v>
      </c>
      <c r="I245" s="375">
        <v>0.95</v>
      </c>
      <c r="J245" s="376">
        <f t="shared" si="32"/>
        <v>3.8</v>
      </c>
      <c r="K245" s="66">
        <f t="shared" si="34"/>
        <v>0.58519999999999994</v>
      </c>
      <c r="L245" s="63">
        <f t="shared" si="35"/>
        <v>0</v>
      </c>
      <c r="M245" s="63">
        <f t="shared" si="36"/>
        <v>0</v>
      </c>
      <c r="N245" s="63">
        <f t="shared" si="37"/>
        <v>0</v>
      </c>
      <c r="O245" s="63">
        <f t="shared" si="38"/>
        <v>0</v>
      </c>
      <c r="P245" s="63">
        <f t="shared" si="39"/>
        <v>0</v>
      </c>
      <c r="Q245" s="561">
        <f t="shared" si="44"/>
        <v>0</v>
      </c>
      <c r="R245" s="174"/>
      <c r="T245" s="82"/>
      <c r="U245" s="82"/>
      <c r="V245" s="82"/>
      <c r="W245" s="82"/>
      <c r="X245" s="82"/>
      <c r="Y245" s="82"/>
      <c r="Z245" s="82"/>
      <c r="AA245" s="82"/>
      <c r="AB245" s="82"/>
    </row>
    <row r="246" spans="1:28" s="85" customFormat="1" x14ac:dyDescent="0.25">
      <c r="A246" s="82"/>
      <c r="B246" s="82"/>
      <c r="C246" s="82"/>
      <c r="D246" s="729"/>
      <c r="E246" s="371" t="s">
        <v>49</v>
      </c>
      <c r="F246" s="372">
        <v>4</v>
      </c>
      <c r="G246" s="373">
        <v>6</v>
      </c>
      <c r="H246" s="374">
        <v>5</v>
      </c>
      <c r="I246" s="375">
        <v>0.65</v>
      </c>
      <c r="J246" s="376">
        <f t="shared" si="32"/>
        <v>3.9000000000000004</v>
      </c>
      <c r="K246" s="66">
        <f t="shared" si="34"/>
        <v>0.60060000000000002</v>
      </c>
      <c r="L246" s="63">
        <f t="shared" si="35"/>
        <v>0</v>
      </c>
      <c r="M246" s="63">
        <f t="shared" si="36"/>
        <v>0</v>
      </c>
      <c r="N246" s="63">
        <f t="shared" si="37"/>
        <v>0</v>
      </c>
      <c r="O246" s="63">
        <f t="shared" si="38"/>
        <v>0</v>
      </c>
      <c r="P246" s="63">
        <f t="shared" si="39"/>
        <v>0</v>
      </c>
      <c r="Q246" s="561">
        <f t="shared" si="44"/>
        <v>0</v>
      </c>
      <c r="R246" s="174"/>
      <c r="T246" s="82"/>
      <c r="U246" s="82"/>
      <c r="V246" s="82"/>
      <c r="W246" s="82"/>
      <c r="X246" s="82"/>
      <c r="Y246" s="82"/>
      <c r="Z246" s="82"/>
      <c r="AA246" s="82"/>
      <c r="AB246" s="82"/>
    </row>
    <row r="247" spans="1:28" s="85" customFormat="1" x14ac:dyDescent="0.25">
      <c r="A247" s="82"/>
      <c r="B247" s="82"/>
      <c r="C247" s="82"/>
      <c r="D247" s="729"/>
      <c r="E247" s="371" t="s">
        <v>49</v>
      </c>
      <c r="F247" s="372">
        <v>15</v>
      </c>
      <c r="G247" s="373">
        <v>6</v>
      </c>
      <c r="H247" s="374">
        <v>12.5</v>
      </c>
      <c r="I247" s="375">
        <v>1.5</v>
      </c>
      <c r="J247" s="376">
        <f t="shared" si="32"/>
        <v>9</v>
      </c>
      <c r="K247" s="66">
        <f t="shared" si="34"/>
        <v>0</v>
      </c>
      <c r="L247" s="63">
        <f t="shared" si="35"/>
        <v>0</v>
      </c>
      <c r="M247" s="63">
        <f t="shared" si="36"/>
        <v>0</v>
      </c>
      <c r="N247" s="63">
        <f t="shared" si="37"/>
        <v>0</v>
      </c>
      <c r="O247" s="63">
        <f t="shared" si="38"/>
        <v>8.6669999999999998</v>
      </c>
      <c r="P247" s="63">
        <f t="shared" si="39"/>
        <v>0</v>
      </c>
      <c r="Q247" s="561">
        <f t="shared" si="44"/>
        <v>0</v>
      </c>
      <c r="R247" s="174"/>
      <c r="T247" s="82"/>
      <c r="U247" s="82"/>
      <c r="V247" s="82"/>
      <c r="W247" s="82"/>
      <c r="X247" s="82"/>
      <c r="Y247" s="82"/>
      <c r="Z247" s="82"/>
      <c r="AA247" s="82"/>
      <c r="AB247" s="82"/>
    </row>
    <row r="248" spans="1:28" s="85" customFormat="1" x14ac:dyDescent="0.25">
      <c r="A248" s="82"/>
      <c r="B248" s="82"/>
      <c r="C248" s="82"/>
      <c r="D248" s="729"/>
      <c r="E248" s="371" t="s">
        <v>113</v>
      </c>
      <c r="F248" s="372">
        <v>10</v>
      </c>
      <c r="G248" s="373">
        <v>20</v>
      </c>
      <c r="H248" s="374">
        <v>5</v>
      </c>
      <c r="I248" s="375">
        <v>1.07</v>
      </c>
      <c r="J248" s="376">
        <f t="shared" si="32"/>
        <v>21.400000000000002</v>
      </c>
      <c r="K248" s="66">
        <f t="shared" si="34"/>
        <v>3.2956000000000003</v>
      </c>
      <c r="L248" s="63">
        <f t="shared" si="35"/>
        <v>0</v>
      </c>
      <c r="M248" s="63">
        <f t="shared" si="36"/>
        <v>0</v>
      </c>
      <c r="N248" s="63">
        <f t="shared" si="37"/>
        <v>0</v>
      </c>
      <c r="O248" s="63">
        <f t="shared" si="38"/>
        <v>0</v>
      </c>
      <c r="P248" s="63">
        <f t="shared" si="39"/>
        <v>0</v>
      </c>
      <c r="Q248" s="561">
        <f t="shared" si="44"/>
        <v>0</v>
      </c>
      <c r="R248" s="174"/>
      <c r="T248" s="82"/>
      <c r="U248" s="82"/>
      <c r="V248" s="82"/>
      <c r="W248" s="82"/>
      <c r="X248" s="82"/>
      <c r="Y248" s="82"/>
      <c r="Z248" s="82"/>
      <c r="AA248" s="82"/>
      <c r="AB248" s="82"/>
    </row>
    <row r="249" spans="1:28" s="85" customFormat="1" x14ac:dyDescent="0.25">
      <c r="A249" s="82"/>
      <c r="B249" s="82"/>
      <c r="C249" s="82"/>
      <c r="D249" s="729"/>
      <c r="E249" s="371" t="s">
        <v>113</v>
      </c>
      <c r="F249" s="372">
        <v>11</v>
      </c>
      <c r="G249" s="373">
        <v>8</v>
      </c>
      <c r="H249" s="374">
        <v>5</v>
      </c>
      <c r="I249" s="375">
        <v>0.74</v>
      </c>
      <c r="J249" s="376">
        <f t="shared" si="32"/>
        <v>5.92</v>
      </c>
      <c r="K249" s="66">
        <f t="shared" si="34"/>
        <v>0.91167999999999993</v>
      </c>
      <c r="L249" s="63">
        <f t="shared" si="35"/>
        <v>0</v>
      </c>
      <c r="M249" s="63">
        <f t="shared" si="36"/>
        <v>0</v>
      </c>
      <c r="N249" s="63">
        <f t="shared" si="37"/>
        <v>0</v>
      </c>
      <c r="O249" s="63">
        <f t="shared" si="38"/>
        <v>0</v>
      </c>
      <c r="P249" s="63">
        <f t="shared" si="39"/>
        <v>0</v>
      </c>
      <c r="Q249" s="561">
        <f t="shared" si="44"/>
        <v>0</v>
      </c>
      <c r="R249" s="174"/>
      <c r="T249" s="82"/>
      <c r="U249" s="82"/>
      <c r="V249" s="82"/>
      <c r="W249" s="82"/>
      <c r="X249" s="82"/>
      <c r="Y249" s="82"/>
      <c r="Z249" s="82"/>
      <c r="AA249" s="82"/>
      <c r="AB249" s="82"/>
    </row>
    <row r="250" spans="1:28" s="85" customFormat="1" x14ac:dyDescent="0.25">
      <c r="A250" s="82"/>
      <c r="B250" s="82"/>
      <c r="C250" s="82"/>
      <c r="D250" s="729"/>
      <c r="E250" s="371" t="s">
        <v>113</v>
      </c>
      <c r="F250" s="372">
        <v>12</v>
      </c>
      <c r="G250" s="373">
        <v>24</v>
      </c>
      <c r="H250" s="374">
        <v>5</v>
      </c>
      <c r="I250" s="375">
        <v>0.28999999999999998</v>
      </c>
      <c r="J250" s="376">
        <f t="shared" si="32"/>
        <v>6.9599999999999991</v>
      </c>
      <c r="K250" s="66">
        <f t="shared" si="34"/>
        <v>1.0718399999999999</v>
      </c>
      <c r="L250" s="63">
        <f t="shared" si="35"/>
        <v>0</v>
      </c>
      <c r="M250" s="63">
        <f t="shared" si="36"/>
        <v>0</v>
      </c>
      <c r="N250" s="63">
        <f t="shared" si="37"/>
        <v>0</v>
      </c>
      <c r="O250" s="63">
        <f t="shared" si="38"/>
        <v>0</v>
      </c>
      <c r="P250" s="63">
        <f t="shared" si="39"/>
        <v>0</v>
      </c>
      <c r="Q250" s="561">
        <f t="shared" si="44"/>
        <v>0</v>
      </c>
      <c r="R250" s="174"/>
      <c r="T250" s="82"/>
      <c r="U250" s="82"/>
      <c r="V250" s="82"/>
      <c r="W250" s="82"/>
      <c r="X250" s="82"/>
      <c r="Y250" s="82"/>
      <c r="Z250" s="82"/>
      <c r="AA250" s="82"/>
      <c r="AB250" s="82"/>
    </row>
    <row r="251" spans="1:28" s="85" customFormat="1" x14ac:dyDescent="0.25">
      <c r="A251" s="82"/>
      <c r="B251" s="82"/>
      <c r="C251" s="82"/>
      <c r="D251" s="729"/>
      <c r="E251" s="371" t="s">
        <v>113</v>
      </c>
      <c r="F251" s="372">
        <v>25</v>
      </c>
      <c r="G251" s="373">
        <v>6</v>
      </c>
      <c r="H251" s="374">
        <v>12.5</v>
      </c>
      <c r="I251" s="375">
        <v>3.87</v>
      </c>
      <c r="J251" s="376">
        <f t="shared" si="32"/>
        <v>23.22</v>
      </c>
      <c r="K251" s="66">
        <f t="shared" si="34"/>
        <v>0</v>
      </c>
      <c r="L251" s="63">
        <f t="shared" si="35"/>
        <v>0</v>
      </c>
      <c r="M251" s="63">
        <f t="shared" si="36"/>
        <v>0</v>
      </c>
      <c r="N251" s="63">
        <f t="shared" si="37"/>
        <v>0</v>
      </c>
      <c r="O251" s="63">
        <f t="shared" si="38"/>
        <v>22.360859999999999</v>
      </c>
      <c r="P251" s="63">
        <f t="shared" si="39"/>
        <v>0</v>
      </c>
      <c r="Q251" s="561">
        <f t="shared" si="44"/>
        <v>0</v>
      </c>
      <c r="R251" s="174"/>
      <c r="T251" s="82"/>
      <c r="U251" s="82"/>
      <c r="V251" s="82"/>
      <c r="W251" s="82"/>
      <c r="X251" s="82"/>
      <c r="Y251" s="82"/>
      <c r="Z251" s="82"/>
      <c r="AA251" s="82"/>
      <c r="AB251" s="82"/>
    </row>
    <row r="252" spans="1:28" s="85" customFormat="1" x14ac:dyDescent="0.25">
      <c r="A252" s="82"/>
      <c r="B252" s="82"/>
      <c r="C252" s="82"/>
      <c r="D252" s="729"/>
      <c r="E252" s="396" t="s">
        <v>184</v>
      </c>
      <c r="F252" s="403">
        <v>9</v>
      </c>
      <c r="G252" s="397">
        <v>7</v>
      </c>
      <c r="H252" s="398">
        <v>5</v>
      </c>
      <c r="I252" s="399">
        <v>0.28999999999999998</v>
      </c>
      <c r="J252" s="400">
        <f t="shared" si="32"/>
        <v>2.0299999999999998</v>
      </c>
      <c r="K252" s="401">
        <f t="shared" si="34"/>
        <v>0.31261999999999995</v>
      </c>
      <c r="L252" s="196">
        <f t="shared" si="35"/>
        <v>0</v>
      </c>
      <c r="M252" s="196">
        <f t="shared" si="36"/>
        <v>0</v>
      </c>
      <c r="N252" s="196">
        <f t="shared" si="37"/>
        <v>0</v>
      </c>
      <c r="O252" s="196">
        <f t="shared" si="38"/>
        <v>0</v>
      </c>
      <c r="P252" s="196">
        <f t="shared" si="39"/>
        <v>0</v>
      </c>
      <c r="Q252" s="566">
        <f t="shared" si="44"/>
        <v>0</v>
      </c>
      <c r="R252" s="538"/>
      <c r="T252" s="82"/>
      <c r="U252" s="82"/>
      <c r="V252" s="82"/>
      <c r="W252" s="82"/>
      <c r="X252" s="82"/>
      <c r="Y252" s="82"/>
      <c r="Z252" s="82"/>
      <c r="AA252" s="82"/>
      <c r="AB252" s="82"/>
    </row>
    <row r="253" spans="1:28" s="85" customFormat="1" x14ac:dyDescent="0.25">
      <c r="A253" s="82"/>
      <c r="B253" s="82"/>
      <c r="C253" s="82"/>
      <c r="D253" s="729"/>
      <c r="E253" s="371" t="s">
        <v>184</v>
      </c>
      <c r="F253" s="372">
        <v>10</v>
      </c>
      <c r="G253" s="373">
        <v>6</v>
      </c>
      <c r="H253" s="374">
        <v>5</v>
      </c>
      <c r="I253" s="375">
        <v>1.07</v>
      </c>
      <c r="J253" s="376">
        <f t="shared" si="32"/>
        <v>6.42</v>
      </c>
      <c r="K253" s="66">
        <f t="shared" si="34"/>
        <v>0.98868</v>
      </c>
      <c r="L253" s="63">
        <f t="shared" si="35"/>
        <v>0</v>
      </c>
      <c r="M253" s="63">
        <f t="shared" si="36"/>
        <v>0</v>
      </c>
      <c r="N253" s="63">
        <f t="shared" si="37"/>
        <v>0</v>
      </c>
      <c r="O253" s="63">
        <f t="shared" si="38"/>
        <v>0</v>
      </c>
      <c r="P253" s="63">
        <f t="shared" si="39"/>
        <v>0</v>
      </c>
      <c r="Q253" s="562">
        <f t="shared" si="44"/>
        <v>0</v>
      </c>
      <c r="R253" s="377"/>
      <c r="T253" s="82"/>
      <c r="U253" s="82"/>
      <c r="V253" s="82"/>
      <c r="W253" s="82"/>
      <c r="X253" s="82"/>
      <c r="Y253" s="82"/>
      <c r="Z253" s="82"/>
      <c r="AA253" s="82"/>
      <c r="AB253" s="82"/>
    </row>
    <row r="254" spans="1:28" s="85" customFormat="1" x14ac:dyDescent="0.25">
      <c r="A254" s="82"/>
      <c r="B254" s="82"/>
      <c r="C254" s="82"/>
      <c r="D254" s="729"/>
      <c r="E254" s="371" t="s">
        <v>184</v>
      </c>
      <c r="F254" s="372">
        <v>11</v>
      </c>
      <c r="G254" s="373">
        <v>2</v>
      </c>
      <c r="H254" s="374">
        <v>5</v>
      </c>
      <c r="I254" s="375">
        <v>0.74</v>
      </c>
      <c r="J254" s="376">
        <f t="shared" si="32"/>
        <v>1.48</v>
      </c>
      <c r="K254" s="66">
        <f t="shared" si="34"/>
        <v>0.22791999999999998</v>
      </c>
      <c r="L254" s="63">
        <f t="shared" si="35"/>
        <v>0</v>
      </c>
      <c r="M254" s="63">
        <f t="shared" si="36"/>
        <v>0</v>
      </c>
      <c r="N254" s="63">
        <f t="shared" si="37"/>
        <v>0</v>
      </c>
      <c r="O254" s="63">
        <f t="shared" si="38"/>
        <v>0</v>
      </c>
      <c r="P254" s="63">
        <f t="shared" si="39"/>
        <v>0</v>
      </c>
      <c r="Q254" s="562">
        <f t="shared" si="44"/>
        <v>0</v>
      </c>
      <c r="R254" s="377"/>
      <c r="T254" s="82"/>
      <c r="U254" s="82"/>
      <c r="V254" s="82"/>
      <c r="W254" s="82"/>
      <c r="X254" s="82"/>
      <c r="Y254" s="82"/>
      <c r="Z254" s="82"/>
      <c r="AA254" s="82"/>
      <c r="AB254" s="82"/>
    </row>
    <row r="255" spans="1:28" s="85" customFormat="1" ht="13.8" thickBot="1" x14ac:dyDescent="0.3">
      <c r="A255" s="82"/>
      <c r="B255" s="82"/>
      <c r="C255" s="82"/>
      <c r="D255" s="731"/>
      <c r="E255" s="390" t="s">
        <v>184</v>
      </c>
      <c r="F255" s="391">
        <v>35</v>
      </c>
      <c r="G255" s="392">
        <v>6</v>
      </c>
      <c r="H255" s="393">
        <v>12.5</v>
      </c>
      <c r="I255" s="394">
        <v>1.02</v>
      </c>
      <c r="J255" s="395">
        <f t="shared" si="32"/>
        <v>6.12</v>
      </c>
      <c r="K255" s="221">
        <f t="shared" si="34"/>
        <v>0</v>
      </c>
      <c r="L255" s="222">
        <f t="shared" si="35"/>
        <v>0</v>
      </c>
      <c r="M255" s="222">
        <f t="shared" si="36"/>
        <v>0</v>
      </c>
      <c r="N255" s="222">
        <f t="shared" si="37"/>
        <v>0</v>
      </c>
      <c r="O255" s="222">
        <f t="shared" si="38"/>
        <v>5.8935599999999999</v>
      </c>
      <c r="P255" s="222">
        <f t="shared" si="39"/>
        <v>0</v>
      </c>
      <c r="Q255" s="564">
        <f t="shared" si="44"/>
        <v>0</v>
      </c>
      <c r="R255" s="539"/>
      <c r="T255" s="82"/>
      <c r="U255" s="82"/>
      <c r="V255" s="82"/>
      <c r="W255" s="82"/>
      <c r="X255" s="82"/>
      <c r="Y255" s="82"/>
      <c r="Z255" s="82"/>
      <c r="AA255" s="82"/>
      <c r="AB255" s="82"/>
    </row>
    <row r="256" spans="1:28" s="85" customFormat="1" ht="13.8" thickTop="1" x14ac:dyDescent="0.25">
      <c r="A256" s="82"/>
      <c r="B256" s="82"/>
      <c r="C256" s="82"/>
      <c r="D256" s="728" t="s">
        <v>1314</v>
      </c>
      <c r="E256" s="384" t="s">
        <v>49</v>
      </c>
      <c r="F256" s="385">
        <v>5</v>
      </c>
      <c r="G256" s="386">
        <f>2*12</f>
        <v>24</v>
      </c>
      <c r="H256" s="387">
        <v>5</v>
      </c>
      <c r="I256" s="388">
        <v>0.26</v>
      </c>
      <c r="J256" s="389">
        <f t="shared" si="32"/>
        <v>6.24</v>
      </c>
      <c r="K256" s="218">
        <f t="shared" si="34"/>
        <v>0.96096000000000004</v>
      </c>
      <c r="L256" s="219">
        <f t="shared" si="35"/>
        <v>0</v>
      </c>
      <c r="M256" s="219">
        <f t="shared" si="36"/>
        <v>0</v>
      </c>
      <c r="N256" s="219">
        <f t="shared" si="37"/>
        <v>0</v>
      </c>
      <c r="O256" s="219">
        <f t="shared" si="38"/>
        <v>0</v>
      </c>
      <c r="P256" s="219">
        <f t="shared" si="39"/>
        <v>0</v>
      </c>
      <c r="Q256" s="563">
        <f t="shared" si="44"/>
        <v>0</v>
      </c>
      <c r="R256" s="220"/>
      <c r="T256" s="82"/>
      <c r="U256" s="82"/>
      <c r="V256" s="82"/>
      <c r="W256" s="82"/>
      <c r="X256" s="82"/>
      <c r="Y256" s="82"/>
      <c r="Z256" s="82"/>
      <c r="AA256" s="82"/>
      <c r="AB256" s="82"/>
    </row>
    <row r="257" spans="1:28" s="85" customFormat="1" x14ac:dyDescent="0.25">
      <c r="A257" s="82"/>
      <c r="B257" s="82"/>
      <c r="C257" s="82"/>
      <c r="D257" s="729"/>
      <c r="E257" s="371" t="s">
        <v>49</v>
      </c>
      <c r="F257" s="372">
        <v>6</v>
      </c>
      <c r="G257" s="373">
        <f>2*3</f>
        <v>6</v>
      </c>
      <c r="H257" s="374">
        <v>5</v>
      </c>
      <c r="I257" s="375">
        <v>1.35</v>
      </c>
      <c r="J257" s="376">
        <f t="shared" si="32"/>
        <v>8.1000000000000014</v>
      </c>
      <c r="K257" s="66">
        <f t="shared" si="34"/>
        <v>1.2474000000000003</v>
      </c>
      <c r="L257" s="63">
        <f t="shared" si="35"/>
        <v>0</v>
      </c>
      <c r="M257" s="63">
        <f t="shared" si="36"/>
        <v>0</v>
      </c>
      <c r="N257" s="63">
        <f t="shared" si="37"/>
        <v>0</v>
      </c>
      <c r="O257" s="63">
        <f t="shared" si="38"/>
        <v>0</v>
      </c>
      <c r="P257" s="63">
        <f t="shared" si="39"/>
        <v>0</v>
      </c>
      <c r="Q257" s="561">
        <f t="shared" si="44"/>
        <v>0</v>
      </c>
      <c r="R257" s="174"/>
      <c r="T257" s="82"/>
      <c r="U257" s="82"/>
      <c r="V257" s="82"/>
      <c r="W257" s="82"/>
      <c r="X257" s="82"/>
      <c r="Y257" s="82"/>
      <c r="Z257" s="82"/>
      <c r="AA257" s="82"/>
      <c r="AB257" s="82"/>
    </row>
    <row r="258" spans="1:28" s="85" customFormat="1" x14ac:dyDescent="0.25">
      <c r="A258" s="82"/>
      <c r="B258" s="82"/>
      <c r="C258" s="82"/>
      <c r="D258" s="729"/>
      <c r="E258" s="371" t="s">
        <v>49</v>
      </c>
      <c r="F258" s="372">
        <v>7</v>
      </c>
      <c r="G258" s="373">
        <f>2*6</f>
        <v>12</v>
      </c>
      <c r="H258" s="374">
        <v>5</v>
      </c>
      <c r="I258" s="375">
        <v>0.85</v>
      </c>
      <c r="J258" s="376">
        <f t="shared" si="32"/>
        <v>10.199999999999999</v>
      </c>
      <c r="K258" s="66">
        <f t="shared" si="34"/>
        <v>1.5708</v>
      </c>
      <c r="L258" s="63">
        <f t="shared" si="35"/>
        <v>0</v>
      </c>
      <c r="M258" s="63">
        <f t="shared" si="36"/>
        <v>0</v>
      </c>
      <c r="N258" s="63">
        <f t="shared" si="37"/>
        <v>0</v>
      </c>
      <c r="O258" s="63">
        <f t="shared" si="38"/>
        <v>0</v>
      </c>
      <c r="P258" s="63">
        <f t="shared" si="39"/>
        <v>0</v>
      </c>
      <c r="Q258" s="561">
        <f t="shared" si="44"/>
        <v>0</v>
      </c>
      <c r="R258" s="174"/>
      <c r="T258" s="82"/>
      <c r="U258" s="82"/>
      <c r="V258" s="82"/>
      <c r="W258" s="82"/>
      <c r="X258" s="82"/>
      <c r="Y258" s="82"/>
      <c r="Z258" s="82"/>
      <c r="AA258" s="82"/>
      <c r="AB258" s="82"/>
    </row>
    <row r="259" spans="1:28" s="85" customFormat="1" x14ac:dyDescent="0.25">
      <c r="A259" s="82"/>
      <c r="B259" s="82"/>
      <c r="C259" s="82"/>
      <c r="D259" s="729"/>
      <c r="E259" s="371" t="s">
        <v>49</v>
      </c>
      <c r="F259" s="372">
        <v>16</v>
      </c>
      <c r="G259" s="373">
        <f>2*8</f>
        <v>16</v>
      </c>
      <c r="H259" s="374">
        <v>16</v>
      </c>
      <c r="I259" s="375">
        <v>1.6</v>
      </c>
      <c r="J259" s="376">
        <f t="shared" si="32"/>
        <v>25.6</v>
      </c>
      <c r="K259" s="66">
        <f t="shared" si="34"/>
        <v>0</v>
      </c>
      <c r="L259" s="63">
        <f t="shared" si="35"/>
        <v>0</v>
      </c>
      <c r="M259" s="63">
        <f t="shared" si="36"/>
        <v>0</v>
      </c>
      <c r="N259" s="63">
        <f t="shared" si="37"/>
        <v>0</v>
      </c>
      <c r="O259" s="63">
        <f t="shared" si="38"/>
        <v>0</v>
      </c>
      <c r="P259" s="63">
        <f t="shared" si="39"/>
        <v>40.396800000000006</v>
      </c>
      <c r="Q259" s="561">
        <f t="shared" si="44"/>
        <v>0</v>
      </c>
      <c r="R259" s="174"/>
      <c r="T259" s="82"/>
      <c r="U259" s="82"/>
      <c r="V259" s="82"/>
      <c r="W259" s="82"/>
      <c r="X259" s="82"/>
      <c r="Y259" s="82"/>
      <c r="Z259" s="82"/>
      <c r="AA259" s="82"/>
      <c r="AB259" s="82"/>
    </row>
    <row r="260" spans="1:28" s="85" customFormat="1" x14ac:dyDescent="0.25">
      <c r="A260" s="82"/>
      <c r="B260" s="82"/>
      <c r="C260" s="82"/>
      <c r="D260" s="729"/>
      <c r="E260" s="371" t="s">
        <v>113</v>
      </c>
      <c r="F260" s="372">
        <v>13</v>
      </c>
      <c r="G260" s="373">
        <f>2*46</f>
        <v>92</v>
      </c>
      <c r="H260" s="374">
        <v>5</v>
      </c>
      <c r="I260" s="375">
        <v>0.28999999999999998</v>
      </c>
      <c r="J260" s="376">
        <f t="shared" si="32"/>
        <v>26.68</v>
      </c>
      <c r="K260" s="66">
        <f t="shared" si="34"/>
        <v>4.1087199999999999</v>
      </c>
      <c r="L260" s="63">
        <f t="shared" si="35"/>
        <v>0</v>
      </c>
      <c r="M260" s="63">
        <f t="shared" si="36"/>
        <v>0</v>
      </c>
      <c r="N260" s="63">
        <f t="shared" si="37"/>
        <v>0</v>
      </c>
      <c r="O260" s="63">
        <f t="shared" si="38"/>
        <v>0</v>
      </c>
      <c r="P260" s="63">
        <f t="shared" si="39"/>
        <v>0</v>
      </c>
      <c r="Q260" s="561">
        <f t="shared" si="44"/>
        <v>0</v>
      </c>
      <c r="R260" s="174"/>
      <c r="T260" s="82"/>
      <c r="U260" s="82"/>
      <c r="V260" s="82"/>
      <c r="W260" s="82"/>
      <c r="X260" s="82"/>
      <c r="Y260" s="82"/>
      <c r="Z260" s="82"/>
      <c r="AA260" s="82"/>
      <c r="AB260" s="82"/>
    </row>
    <row r="261" spans="1:28" s="85" customFormat="1" x14ac:dyDescent="0.25">
      <c r="A261" s="82"/>
      <c r="B261" s="82"/>
      <c r="C261" s="82"/>
      <c r="D261" s="729"/>
      <c r="E261" s="371" t="s">
        <v>113</v>
      </c>
      <c r="F261" s="372">
        <v>14</v>
      </c>
      <c r="G261" s="373">
        <f>2*19</f>
        <v>38</v>
      </c>
      <c r="H261" s="374">
        <v>5</v>
      </c>
      <c r="I261" s="375">
        <v>1.47</v>
      </c>
      <c r="J261" s="376">
        <f t="shared" si="32"/>
        <v>55.86</v>
      </c>
      <c r="K261" s="66">
        <f t="shared" si="34"/>
        <v>8.6024399999999996</v>
      </c>
      <c r="L261" s="63">
        <f t="shared" si="35"/>
        <v>0</v>
      </c>
      <c r="M261" s="63">
        <f t="shared" si="36"/>
        <v>0</v>
      </c>
      <c r="N261" s="63">
        <f t="shared" si="37"/>
        <v>0</v>
      </c>
      <c r="O261" s="63">
        <f t="shared" si="38"/>
        <v>0</v>
      </c>
      <c r="P261" s="63">
        <f t="shared" si="39"/>
        <v>0</v>
      </c>
      <c r="Q261" s="561">
        <f t="shared" si="44"/>
        <v>0</v>
      </c>
      <c r="R261" s="174"/>
      <c r="T261" s="82"/>
      <c r="U261" s="82"/>
      <c r="V261" s="82"/>
      <c r="W261" s="82"/>
      <c r="X261" s="82"/>
      <c r="Y261" s="82"/>
      <c r="Z261" s="82"/>
      <c r="AA261" s="82"/>
      <c r="AB261" s="82"/>
    </row>
    <row r="262" spans="1:28" s="85" customFormat="1" x14ac:dyDescent="0.25">
      <c r="A262" s="82"/>
      <c r="B262" s="82"/>
      <c r="C262" s="82"/>
      <c r="D262" s="729"/>
      <c r="E262" s="371" t="s">
        <v>113</v>
      </c>
      <c r="F262" s="372">
        <v>15</v>
      </c>
      <c r="G262" s="373">
        <f>2*8</f>
        <v>16</v>
      </c>
      <c r="H262" s="374">
        <v>5</v>
      </c>
      <c r="I262" s="375">
        <v>0.94</v>
      </c>
      <c r="J262" s="376">
        <f t="shared" si="32"/>
        <v>15.04</v>
      </c>
      <c r="K262" s="66">
        <f t="shared" si="34"/>
        <v>2.31616</v>
      </c>
      <c r="L262" s="63">
        <f t="shared" si="35"/>
        <v>0</v>
      </c>
      <c r="M262" s="63">
        <f t="shared" si="36"/>
        <v>0</v>
      </c>
      <c r="N262" s="63">
        <f t="shared" si="37"/>
        <v>0</v>
      </c>
      <c r="O262" s="63">
        <f t="shared" si="38"/>
        <v>0</v>
      </c>
      <c r="P262" s="63">
        <f t="shared" si="39"/>
        <v>0</v>
      </c>
      <c r="Q262" s="561">
        <f t="shared" si="44"/>
        <v>0</v>
      </c>
      <c r="R262" s="174"/>
      <c r="T262" s="82"/>
      <c r="U262" s="82"/>
      <c r="V262" s="82"/>
      <c r="W262" s="82"/>
      <c r="X262" s="82"/>
      <c r="Y262" s="82"/>
      <c r="Z262" s="82"/>
      <c r="AA262" s="82"/>
      <c r="AB262" s="82"/>
    </row>
    <row r="263" spans="1:28" s="85" customFormat="1" x14ac:dyDescent="0.25">
      <c r="A263" s="82"/>
      <c r="B263" s="82"/>
      <c r="C263" s="82"/>
      <c r="D263" s="729"/>
      <c r="E263" s="371" t="s">
        <v>113</v>
      </c>
      <c r="F263" s="372">
        <v>26</v>
      </c>
      <c r="G263" s="373">
        <f>2*6</f>
        <v>12</v>
      </c>
      <c r="H263" s="374">
        <v>16</v>
      </c>
      <c r="I263" s="375">
        <v>3.98</v>
      </c>
      <c r="J263" s="376">
        <f t="shared" si="32"/>
        <v>47.76</v>
      </c>
      <c r="K263" s="66">
        <f t="shared" si="34"/>
        <v>0</v>
      </c>
      <c r="L263" s="63">
        <f t="shared" si="35"/>
        <v>0</v>
      </c>
      <c r="M263" s="63">
        <f t="shared" si="36"/>
        <v>0</v>
      </c>
      <c r="N263" s="63">
        <f t="shared" si="37"/>
        <v>0</v>
      </c>
      <c r="O263" s="63">
        <f t="shared" si="38"/>
        <v>0</v>
      </c>
      <c r="P263" s="63">
        <f t="shared" si="39"/>
        <v>75.365279999999998</v>
      </c>
      <c r="Q263" s="561">
        <f t="shared" si="44"/>
        <v>0</v>
      </c>
      <c r="R263" s="174"/>
      <c r="T263" s="82"/>
      <c r="U263" s="82"/>
      <c r="V263" s="82"/>
      <c r="W263" s="82"/>
      <c r="X263" s="82"/>
      <c r="Y263" s="82"/>
      <c r="Z263" s="82"/>
      <c r="AA263" s="82"/>
      <c r="AB263" s="82"/>
    </row>
    <row r="264" spans="1:28" s="85" customFormat="1" x14ac:dyDescent="0.25">
      <c r="A264" s="82"/>
      <c r="B264" s="82"/>
      <c r="C264" s="82"/>
      <c r="D264" s="729"/>
      <c r="E264" s="371" t="s">
        <v>113</v>
      </c>
      <c r="F264" s="372">
        <v>27</v>
      </c>
      <c r="G264" s="373">
        <f>2*2</f>
        <v>4</v>
      </c>
      <c r="H264" s="374">
        <v>16</v>
      </c>
      <c r="I264" s="375">
        <v>3.42</v>
      </c>
      <c r="J264" s="376">
        <f t="shared" ref="J264" si="45">G264*I264</f>
        <v>13.68</v>
      </c>
      <c r="K264" s="66">
        <f t="shared" si="34"/>
        <v>0</v>
      </c>
      <c r="L264" s="63">
        <f t="shared" si="35"/>
        <v>0</v>
      </c>
      <c r="M264" s="63">
        <f t="shared" si="36"/>
        <v>0</v>
      </c>
      <c r="N264" s="63">
        <f t="shared" si="37"/>
        <v>0</v>
      </c>
      <c r="O264" s="63">
        <f t="shared" si="38"/>
        <v>0</v>
      </c>
      <c r="P264" s="63">
        <f t="shared" si="39"/>
        <v>21.587040000000002</v>
      </c>
      <c r="Q264" s="561">
        <f t="shared" si="44"/>
        <v>0</v>
      </c>
      <c r="R264" s="174"/>
      <c r="T264" s="82"/>
      <c r="U264" s="82"/>
      <c r="V264" s="82"/>
      <c r="W264" s="82"/>
      <c r="X264" s="82"/>
      <c r="Y264" s="82"/>
      <c r="Z264" s="82"/>
      <c r="AA264" s="82"/>
      <c r="AB264" s="82"/>
    </row>
    <row r="265" spans="1:28" s="85" customFormat="1" x14ac:dyDescent="0.25">
      <c r="A265" s="82"/>
      <c r="B265" s="82"/>
      <c r="C265" s="82"/>
      <c r="D265" s="729"/>
      <c r="E265" s="371" t="s">
        <v>113</v>
      </c>
      <c r="F265" s="372">
        <v>28</v>
      </c>
      <c r="G265" s="373">
        <f>2*2</f>
        <v>4</v>
      </c>
      <c r="H265" s="374">
        <v>16</v>
      </c>
      <c r="I265" s="375">
        <v>1.07</v>
      </c>
      <c r="J265" s="376">
        <f t="shared" si="32"/>
        <v>4.28</v>
      </c>
      <c r="K265" s="66">
        <f t="shared" si="34"/>
        <v>0</v>
      </c>
      <c r="L265" s="63">
        <f t="shared" si="35"/>
        <v>0</v>
      </c>
      <c r="M265" s="63">
        <f t="shared" si="36"/>
        <v>0</v>
      </c>
      <c r="N265" s="63">
        <f t="shared" si="37"/>
        <v>0</v>
      </c>
      <c r="O265" s="63">
        <f t="shared" si="38"/>
        <v>0</v>
      </c>
      <c r="P265" s="63">
        <f t="shared" si="39"/>
        <v>6.7538400000000003</v>
      </c>
      <c r="Q265" s="561">
        <f t="shared" si="44"/>
        <v>0</v>
      </c>
      <c r="R265" s="174"/>
      <c r="T265" s="82"/>
      <c r="U265" s="82"/>
      <c r="V265" s="82"/>
      <c r="W265" s="82"/>
      <c r="X265" s="82"/>
      <c r="Y265" s="82"/>
      <c r="Z265" s="82"/>
      <c r="AA265" s="82"/>
      <c r="AB265" s="82"/>
    </row>
    <row r="266" spans="1:28" s="85" customFormat="1" x14ac:dyDescent="0.25">
      <c r="A266" s="82"/>
      <c r="B266" s="82"/>
      <c r="C266" s="82"/>
      <c r="D266" s="729"/>
      <c r="E266" s="396" t="s">
        <v>184</v>
      </c>
      <c r="F266" s="403">
        <v>10</v>
      </c>
      <c r="G266" s="397">
        <f>2*6</f>
        <v>12</v>
      </c>
      <c r="H266" s="398">
        <v>5</v>
      </c>
      <c r="I266" s="399">
        <v>1.07</v>
      </c>
      <c r="J266" s="400">
        <f t="shared" si="32"/>
        <v>12.84</v>
      </c>
      <c r="K266" s="401">
        <f t="shared" si="34"/>
        <v>1.97736</v>
      </c>
      <c r="L266" s="196">
        <f t="shared" si="35"/>
        <v>0</v>
      </c>
      <c r="M266" s="196">
        <f t="shared" si="36"/>
        <v>0</v>
      </c>
      <c r="N266" s="196">
        <f t="shared" si="37"/>
        <v>0</v>
      </c>
      <c r="O266" s="196">
        <f t="shared" si="38"/>
        <v>0</v>
      </c>
      <c r="P266" s="196">
        <f t="shared" si="39"/>
        <v>0</v>
      </c>
      <c r="Q266" s="566">
        <f t="shared" si="44"/>
        <v>0</v>
      </c>
      <c r="R266" s="538"/>
      <c r="T266" s="82"/>
      <c r="U266" s="82"/>
      <c r="V266" s="82"/>
      <c r="W266" s="82"/>
      <c r="X266" s="82"/>
      <c r="Y266" s="82"/>
      <c r="Z266" s="82"/>
      <c r="AA266" s="82"/>
      <c r="AB266" s="82"/>
    </row>
    <row r="267" spans="1:28" s="85" customFormat="1" x14ac:dyDescent="0.25">
      <c r="A267" s="82"/>
      <c r="B267" s="82"/>
      <c r="C267" s="82"/>
      <c r="D267" s="729"/>
      <c r="E267" s="371" t="s">
        <v>184</v>
      </c>
      <c r="F267" s="372">
        <v>11</v>
      </c>
      <c r="G267" s="373">
        <f>2*2</f>
        <v>4</v>
      </c>
      <c r="H267" s="374">
        <v>5</v>
      </c>
      <c r="I267" s="375">
        <v>0.74</v>
      </c>
      <c r="J267" s="376">
        <f t="shared" si="32"/>
        <v>2.96</v>
      </c>
      <c r="K267" s="66">
        <f t="shared" si="34"/>
        <v>0.45583999999999997</v>
      </c>
      <c r="L267" s="63">
        <f t="shared" si="35"/>
        <v>0</v>
      </c>
      <c r="M267" s="63">
        <f t="shared" si="36"/>
        <v>0</v>
      </c>
      <c r="N267" s="63">
        <f t="shared" si="37"/>
        <v>0</v>
      </c>
      <c r="O267" s="63">
        <f t="shared" si="38"/>
        <v>0</v>
      </c>
      <c r="P267" s="63">
        <f t="shared" si="39"/>
        <v>0</v>
      </c>
      <c r="Q267" s="562">
        <f t="shared" si="44"/>
        <v>0</v>
      </c>
      <c r="R267" s="377"/>
      <c r="T267" s="82"/>
      <c r="U267" s="82"/>
      <c r="V267" s="82"/>
      <c r="W267" s="82"/>
      <c r="X267" s="82"/>
      <c r="Y267" s="82"/>
      <c r="Z267" s="82"/>
      <c r="AA267" s="82"/>
      <c r="AB267" s="82"/>
    </row>
    <row r="268" spans="1:28" s="85" customFormat="1" x14ac:dyDescent="0.25">
      <c r="A268" s="82"/>
      <c r="B268" s="82"/>
      <c r="C268" s="82"/>
      <c r="D268" s="729"/>
      <c r="E268" s="371" t="s">
        <v>184</v>
      </c>
      <c r="F268" s="372">
        <v>12</v>
      </c>
      <c r="G268" s="373">
        <f>2*18</f>
        <v>36</v>
      </c>
      <c r="H268" s="374">
        <v>5</v>
      </c>
      <c r="I268" s="375">
        <v>0.28999999999999998</v>
      </c>
      <c r="J268" s="376">
        <f t="shared" si="32"/>
        <v>10.44</v>
      </c>
      <c r="K268" s="66">
        <f t="shared" si="34"/>
        <v>1.6077599999999999</v>
      </c>
      <c r="L268" s="63">
        <f t="shared" si="35"/>
        <v>0</v>
      </c>
      <c r="M268" s="63">
        <f t="shared" si="36"/>
        <v>0</v>
      </c>
      <c r="N268" s="63">
        <f t="shared" si="37"/>
        <v>0</v>
      </c>
      <c r="O268" s="63">
        <f t="shared" si="38"/>
        <v>0</v>
      </c>
      <c r="P268" s="63">
        <f t="shared" si="39"/>
        <v>0</v>
      </c>
      <c r="Q268" s="562">
        <f t="shared" si="44"/>
        <v>0</v>
      </c>
      <c r="R268" s="377"/>
      <c r="T268" s="82"/>
      <c r="U268" s="82"/>
      <c r="V268" s="82"/>
      <c r="W268" s="82"/>
      <c r="X268" s="82"/>
      <c r="Y268" s="82"/>
      <c r="Z268" s="82"/>
      <c r="AA268" s="82"/>
      <c r="AB268" s="82"/>
    </row>
    <row r="269" spans="1:28" s="85" customFormat="1" ht="13.8" thickBot="1" x14ac:dyDescent="0.3">
      <c r="A269" s="82"/>
      <c r="B269" s="82"/>
      <c r="C269" s="82"/>
      <c r="D269" s="731"/>
      <c r="E269" s="390" t="s">
        <v>184</v>
      </c>
      <c r="F269" s="391">
        <v>36</v>
      </c>
      <c r="G269" s="392">
        <f>2*8</f>
        <v>16</v>
      </c>
      <c r="H269" s="393">
        <v>16</v>
      </c>
      <c r="I269" s="394">
        <v>1.02</v>
      </c>
      <c r="J269" s="395">
        <f t="shared" si="32"/>
        <v>16.32</v>
      </c>
      <c r="K269" s="221">
        <f t="shared" si="34"/>
        <v>0</v>
      </c>
      <c r="L269" s="222">
        <f t="shared" si="35"/>
        <v>0</v>
      </c>
      <c r="M269" s="222">
        <f t="shared" si="36"/>
        <v>0</v>
      </c>
      <c r="N269" s="222">
        <f t="shared" si="37"/>
        <v>0</v>
      </c>
      <c r="O269" s="222">
        <f t="shared" si="38"/>
        <v>0</v>
      </c>
      <c r="P269" s="222">
        <f t="shared" si="39"/>
        <v>25.752960000000002</v>
      </c>
      <c r="Q269" s="564">
        <f t="shared" si="44"/>
        <v>0</v>
      </c>
      <c r="R269" s="539"/>
      <c r="T269" s="82"/>
      <c r="U269" s="82"/>
      <c r="V269" s="82"/>
      <c r="W269" s="82"/>
      <c r="X269" s="82"/>
      <c r="Y269" s="82"/>
      <c r="Z269" s="82"/>
      <c r="AA269" s="82"/>
      <c r="AB269" s="82"/>
    </row>
    <row r="270" spans="1:28" s="85" customFormat="1" ht="13.8" thickTop="1" x14ac:dyDescent="0.25">
      <c r="A270" s="82"/>
      <c r="B270" s="82"/>
      <c r="C270" s="82"/>
      <c r="D270" s="728" t="s">
        <v>1333</v>
      </c>
      <c r="E270" s="384" t="s">
        <v>49</v>
      </c>
      <c r="F270" s="385">
        <v>8</v>
      </c>
      <c r="G270" s="386">
        <f>2*12</f>
        <v>24</v>
      </c>
      <c r="H270" s="387">
        <v>5</v>
      </c>
      <c r="I270" s="388">
        <v>0.28999999999999998</v>
      </c>
      <c r="J270" s="389">
        <f t="shared" si="32"/>
        <v>6.9599999999999991</v>
      </c>
      <c r="K270" s="218">
        <f t="shared" si="34"/>
        <v>1.0718399999999999</v>
      </c>
      <c r="L270" s="219">
        <f t="shared" si="35"/>
        <v>0</v>
      </c>
      <c r="M270" s="219">
        <f t="shared" si="36"/>
        <v>0</v>
      </c>
      <c r="N270" s="219">
        <f t="shared" si="37"/>
        <v>0</v>
      </c>
      <c r="O270" s="219">
        <f t="shared" si="38"/>
        <v>0</v>
      </c>
      <c r="P270" s="219">
        <f t="shared" si="39"/>
        <v>0</v>
      </c>
      <c r="Q270" s="563">
        <f t="shared" si="44"/>
        <v>0</v>
      </c>
      <c r="R270" s="220"/>
      <c r="T270" s="82"/>
      <c r="U270" s="82"/>
      <c r="V270" s="82"/>
      <c r="W270" s="82"/>
      <c r="X270" s="82"/>
      <c r="Y270" s="82"/>
      <c r="Z270" s="82"/>
      <c r="AA270" s="82"/>
      <c r="AB270" s="82"/>
    </row>
    <row r="271" spans="1:28" s="85" customFormat="1" x14ac:dyDescent="0.25">
      <c r="A271" s="82"/>
      <c r="B271" s="82"/>
      <c r="C271" s="82"/>
      <c r="D271" s="729"/>
      <c r="E271" s="371" t="s">
        <v>49</v>
      </c>
      <c r="F271" s="372">
        <v>9</v>
      </c>
      <c r="G271" s="373">
        <f>2*3</f>
        <v>6</v>
      </c>
      <c r="H271" s="374">
        <v>5</v>
      </c>
      <c r="I271" s="375">
        <v>1.47</v>
      </c>
      <c r="J271" s="376">
        <f t="shared" si="32"/>
        <v>8.82</v>
      </c>
      <c r="K271" s="66">
        <f t="shared" si="34"/>
        <v>1.3582799999999999</v>
      </c>
      <c r="L271" s="63">
        <f t="shared" si="35"/>
        <v>0</v>
      </c>
      <c r="M271" s="63">
        <f t="shared" si="36"/>
        <v>0</v>
      </c>
      <c r="N271" s="63">
        <f t="shared" si="37"/>
        <v>0</v>
      </c>
      <c r="O271" s="63">
        <f t="shared" si="38"/>
        <v>0</v>
      </c>
      <c r="P271" s="63">
        <f t="shared" si="39"/>
        <v>0</v>
      </c>
      <c r="Q271" s="561">
        <f t="shared" si="44"/>
        <v>0</v>
      </c>
      <c r="R271" s="174"/>
      <c r="T271" s="82"/>
      <c r="U271" s="82"/>
      <c r="V271" s="82"/>
      <c r="W271" s="82"/>
      <c r="X271" s="82"/>
      <c r="Y271" s="82"/>
      <c r="Z271" s="82"/>
      <c r="AA271" s="82"/>
      <c r="AB271" s="82"/>
    </row>
    <row r="272" spans="1:28" s="85" customFormat="1" x14ac:dyDescent="0.25">
      <c r="A272" s="82"/>
      <c r="B272" s="82"/>
      <c r="C272" s="82"/>
      <c r="D272" s="729"/>
      <c r="E272" s="371" t="s">
        <v>49</v>
      </c>
      <c r="F272" s="372">
        <v>10</v>
      </c>
      <c r="G272" s="373">
        <f>2*6</f>
        <v>12</v>
      </c>
      <c r="H272" s="374">
        <v>5</v>
      </c>
      <c r="I272" s="375">
        <v>0.94</v>
      </c>
      <c r="J272" s="376">
        <f t="shared" si="32"/>
        <v>11.28</v>
      </c>
      <c r="K272" s="66">
        <f t="shared" si="34"/>
        <v>1.7371199999999998</v>
      </c>
      <c r="L272" s="63">
        <f t="shared" si="35"/>
        <v>0</v>
      </c>
      <c r="M272" s="63">
        <f t="shared" si="36"/>
        <v>0</v>
      </c>
      <c r="N272" s="63">
        <f t="shared" si="37"/>
        <v>0</v>
      </c>
      <c r="O272" s="63">
        <f t="shared" si="38"/>
        <v>0</v>
      </c>
      <c r="P272" s="63">
        <f t="shared" si="39"/>
        <v>0</v>
      </c>
      <c r="Q272" s="561">
        <f t="shared" si="44"/>
        <v>0</v>
      </c>
      <c r="R272" s="174"/>
      <c r="T272" s="82"/>
      <c r="U272" s="82"/>
      <c r="V272" s="82"/>
      <c r="W272" s="82"/>
      <c r="X272" s="82"/>
      <c r="Y272" s="82"/>
      <c r="Z272" s="82"/>
      <c r="AA272" s="82"/>
      <c r="AB272" s="82"/>
    </row>
    <row r="273" spans="1:28" s="85" customFormat="1" x14ac:dyDescent="0.25">
      <c r="A273" s="82"/>
      <c r="B273" s="82"/>
      <c r="C273" s="82"/>
      <c r="D273" s="729"/>
      <c r="E273" s="371" t="s">
        <v>49</v>
      </c>
      <c r="F273" s="372">
        <v>16</v>
      </c>
      <c r="G273" s="373">
        <f>2*8</f>
        <v>16</v>
      </c>
      <c r="H273" s="374">
        <v>16</v>
      </c>
      <c r="I273" s="375">
        <v>1.6</v>
      </c>
      <c r="J273" s="376">
        <f t="shared" si="32"/>
        <v>25.6</v>
      </c>
      <c r="K273" s="66">
        <f t="shared" si="34"/>
        <v>0</v>
      </c>
      <c r="L273" s="63">
        <f t="shared" si="35"/>
        <v>0</v>
      </c>
      <c r="M273" s="63">
        <f t="shared" si="36"/>
        <v>0</v>
      </c>
      <c r="N273" s="63">
        <f t="shared" si="37"/>
        <v>0</v>
      </c>
      <c r="O273" s="63">
        <f t="shared" si="38"/>
        <v>0</v>
      </c>
      <c r="P273" s="63">
        <f t="shared" si="39"/>
        <v>40.396800000000006</v>
      </c>
      <c r="Q273" s="561">
        <f t="shared" si="44"/>
        <v>0</v>
      </c>
      <c r="R273" s="174"/>
      <c r="T273" s="82"/>
      <c r="U273" s="82"/>
      <c r="V273" s="82"/>
      <c r="W273" s="82"/>
      <c r="X273" s="82"/>
      <c r="Y273" s="82"/>
      <c r="Z273" s="82"/>
      <c r="AA273" s="82"/>
      <c r="AB273" s="82"/>
    </row>
    <row r="274" spans="1:28" s="85" customFormat="1" x14ac:dyDescent="0.25">
      <c r="A274" s="82"/>
      <c r="B274" s="82"/>
      <c r="C274" s="82"/>
      <c r="D274" s="729"/>
      <c r="E274" s="371" t="s">
        <v>113</v>
      </c>
      <c r="F274" s="372">
        <v>13</v>
      </c>
      <c r="G274" s="373">
        <f>2*46</f>
        <v>92</v>
      </c>
      <c r="H274" s="374">
        <v>5</v>
      </c>
      <c r="I274" s="375">
        <v>0.28999999999999998</v>
      </c>
      <c r="J274" s="376">
        <f t="shared" si="32"/>
        <v>26.68</v>
      </c>
      <c r="K274" s="66">
        <f t="shared" si="34"/>
        <v>4.1087199999999999</v>
      </c>
      <c r="L274" s="63">
        <f t="shared" si="35"/>
        <v>0</v>
      </c>
      <c r="M274" s="63">
        <f t="shared" si="36"/>
        <v>0</v>
      </c>
      <c r="N274" s="63">
        <f t="shared" si="37"/>
        <v>0</v>
      </c>
      <c r="O274" s="63">
        <f t="shared" si="38"/>
        <v>0</v>
      </c>
      <c r="P274" s="63">
        <f t="shared" si="39"/>
        <v>0</v>
      </c>
      <c r="Q274" s="561">
        <f t="shared" si="44"/>
        <v>0</v>
      </c>
      <c r="R274" s="174"/>
      <c r="T274" s="82"/>
      <c r="U274" s="82"/>
      <c r="V274" s="82"/>
      <c r="W274" s="82"/>
      <c r="X274" s="82"/>
      <c r="Y274" s="82"/>
      <c r="Z274" s="82"/>
      <c r="AA274" s="82"/>
      <c r="AB274" s="82"/>
    </row>
    <row r="275" spans="1:28" s="85" customFormat="1" x14ac:dyDescent="0.25">
      <c r="A275" s="82"/>
      <c r="B275" s="82"/>
      <c r="C275" s="82"/>
      <c r="D275" s="729"/>
      <c r="E275" s="371" t="s">
        <v>113</v>
      </c>
      <c r="F275" s="372">
        <v>14</v>
      </c>
      <c r="G275" s="373">
        <f>2*19</f>
        <v>38</v>
      </c>
      <c r="H275" s="374">
        <v>5</v>
      </c>
      <c r="I275" s="375">
        <v>1.47</v>
      </c>
      <c r="J275" s="376">
        <f t="shared" si="32"/>
        <v>55.86</v>
      </c>
      <c r="K275" s="66">
        <f t="shared" si="34"/>
        <v>8.6024399999999996</v>
      </c>
      <c r="L275" s="63">
        <f t="shared" si="35"/>
        <v>0</v>
      </c>
      <c r="M275" s="63">
        <f t="shared" si="36"/>
        <v>0</v>
      </c>
      <c r="N275" s="63">
        <f t="shared" si="37"/>
        <v>0</v>
      </c>
      <c r="O275" s="63">
        <f t="shared" si="38"/>
        <v>0</v>
      </c>
      <c r="P275" s="63">
        <f t="shared" si="39"/>
        <v>0</v>
      </c>
      <c r="Q275" s="561">
        <f t="shared" si="44"/>
        <v>0</v>
      </c>
      <c r="R275" s="174"/>
      <c r="T275" s="82"/>
      <c r="U275" s="82"/>
      <c r="V275" s="82"/>
      <c r="W275" s="82"/>
      <c r="X275" s="82"/>
      <c r="Y275" s="82"/>
      <c r="Z275" s="82"/>
      <c r="AA275" s="82"/>
      <c r="AB275" s="82"/>
    </row>
    <row r="276" spans="1:28" s="85" customFormat="1" x14ac:dyDescent="0.25">
      <c r="A276" s="82"/>
      <c r="B276" s="82"/>
      <c r="C276" s="82"/>
      <c r="D276" s="729"/>
      <c r="E276" s="371" t="s">
        <v>113</v>
      </c>
      <c r="F276" s="372">
        <v>15</v>
      </c>
      <c r="G276" s="373">
        <f>2*8</f>
        <v>16</v>
      </c>
      <c r="H276" s="374">
        <v>5</v>
      </c>
      <c r="I276" s="375">
        <v>0.94</v>
      </c>
      <c r="J276" s="376">
        <f t="shared" si="32"/>
        <v>15.04</v>
      </c>
      <c r="K276" s="66">
        <f t="shared" si="34"/>
        <v>2.31616</v>
      </c>
      <c r="L276" s="63">
        <f t="shared" si="35"/>
        <v>0</v>
      </c>
      <c r="M276" s="63">
        <f t="shared" si="36"/>
        <v>0</v>
      </c>
      <c r="N276" s="63">
        <f t="shared" si="37"/>
        <v>0</v>
      </c>
      <c r="O276" s="63">
        <f t="shared" si="38"/>
        <v>0</v>
      </c>
      <c r="P276" s="63">
        <f t="shared" si="39"/>
        <v>0</v>
      </c>
      <c r="Q276" s="561">
        <f t="shared" si="44"/>
        <v>0</v>
      </c>
      <c r="R276" s="174"/>
      <c r="T276" s="82"/>
      <c r="U276" s="82"/>
      <c r="V276" s="82"/>
      <c r="W276" s="82"/>
      <c r="X276" s="82"/>
      <c r="Y276" s="82"/>
      <c r="Z276" s="82"/>
      <c r="AA276" s="82"/>
      <c r="AB276" s="82"/>
    </row>
    <row r="277" spans="1:28" s="85" customFormat="1" x14ac:dyDescent="0.25">
      <c r="A277" s="82"/>
      <c r="B277" s="82"/>
      <c r="C277" s="82"/>
      <c r="D277" s="729"/>
      <c r="E277" s="371" t="s">
        <v>113</v>
      </c>
      <c r="F277" s="372">
        <v>26</v>
      </c>
      <c r="G277" s="373">
        <f>2*6</f>
        <v>12</v>
      </c>
      <c r="H277" s="374">
        <v>16</v>
      </c>
      <c r="I277" s="375">
        <v>3.98</v>
      </c>
      <c r="J277" s="376">
        <f t="shared" ref="J277" si="46">G277*I277</f>
        <v>47.76</v>
      </c>
      <c r="K277" s="66">
        <f t="shared" si="34"/>
        <v>0</v>
      </c>
      <c r="L277" s="63">
        <f t="shared" si="35"/>
        <v>0</v>
      </c>
      <c r="M277" s="63">
        <f t="shared" si="36"/>
        <v>0</v>
      </c>
      <c r="N277" s="63">
        <f t="shared" si="37"/>
        <v>0</v>
      </c>
      <c r="O277" s="63">
        <f t="shared" si="38"/>
        <v>0</v>
      </c>
      <c r="P277" s="63">
        <f t="shared" si="39"/>
        <v>75.365279999999998</v>
      </c>
      <c r="Q277" s="561">
        <f t="shared" si="44"/>
        <v>0</v>
      </c>
      <c r="R277" s="174"/>
      <c r="T277" s="82"/>
      <c r="U277" s="82"/>
      <c r="V277" s="82"/>
      <c r="W277" s="82"/>
      <c r="X277" s="82"/>
      <c r="Y277" s="82"/>
      <c r="Z277" s="82"/>
      <c r="AA277" s="82"/>
      <c r="AB277" s="82"/>
    </row>
    <row r="278" spans="1:28" s="85" customFormat="1" x14ac:dyDescent="0.25">
      <c r="A278" s="82"/>
      <c r="B278" s="82"/>
      <c r="C278" s="82"/>
      <c r="D278" s="729"/>
      <c r="E278" s="371" t="s">
        <v>113</v>
      </c>
      <c r="F278" s="372">
        <v>27</v>
      </c>
      <c r="G278" s="373">
        <f>2*2</f>
        <v>4</v>
      </c>
      <c r="H278" s="374">
        <v>16</v>
      </c>
      <c r="I278" s="375">
        <v>3.42</v>
      </c>
      <c r="J278" s="376">
        <f t="shared" si="32"/>
        <v>13.68</v>
      </c>
      <c r="K278" s="66">
        <f t="shared" si="34"/>
        <v>0</v>
      </c>
      <c r="L278" s="63">
        <f t="shared" si="35"/>
        <v>0</v>
      </c>
      <c r="M278" s="63">
        <f t="shared" si="36"/>
        <v>0</v>
      </c>
      <c r="N278" s="63">
        <f t="shared" si="37"/>
        <v>0</v>
      </c>
      <c r="O278" s="63">
        <f t="shared" si="38"/>
        <v>0</v>
      </c>
      <c r="P278" s="63">
        <f t="shared" si="39"/>
        <v>21.587040000000002</v>
      </c>
      <c r="Q278" s="561">
        <f t="shared" si="44"/>
        <v>0</v>
      </c>
      <c r="R278" s="174"/>
      <c r="T278" s="82"/>
      <c r="U278" s="82"/>
      <c r="V278" s="82"/>
      <c r="W278" s="82"/>
      <c r="X278" s="82"/>
      <c r="Y278" s="82"/>
      <c r="Z278" s="82"/>
      <c r="AA278" s="82"/>
      <c r="AB278" s="82"/>
    </row>
    <row r="279" spans="1:28" s="85" customFormat="1" x14ac:dyDescent="0.25">
      <c r="A279" s="82"/>
      <c r="B279" s="82"/>
      <c r="C279" s="82"/>
      <c r="D279" s="729"/>
      <c r="E279" s="371" t="s">
        <v>113</v>
      </c>
      <c r="F279" s="372">
        <v>28</v>
      </c>
      <c r="G279" s="373">
        <f>2*2</f>
        <v>4</v>
      </c>
      <c r="H279" s="374">
        <v>16</v>
      </c>
      <c r="I279" s="375">
        <v>1.07</v>
      </c>
      <c r="J279" s="376">
        <f t="shared" ref="J279" si="47">G279*I279</f>
        <v>4.28</v>
      </c>
      <c r="K279" s="66">
        <f t="shared" si="34"/>
        <v>0</v>
      </c>
      <c r="L279" s="63">
        <f t="shared" si="35"/>
        <v>0</v>
      </c>
      <c r="M279" s="63">
        <f t="shared" si="36"/>
        <v>0</v>
      </c>
      <c r="N279" s="63">
        <f t="shared" si="37"/>
        <v>0</v>
      </c>
      <c r="O279" s="63">
        <f t="shared" si="38"/>
        <v>0</v>
      </c>
      <c r="P279" s="63">
        <f t="shared" si="39"/>
        <v>6.7538400000000003</v>
      </c>
      <c r="Q279" s="561">
        <f t="shared" si="44"/>
        <v>0</v>
      </c>
      <c r="R279" s="174"/>
      <c r="T279" s="82"/>
      <c r="U279" s="82"/>
      <c r="V279" s="82"/>
      <c r="W279" s="82"/>
      <c r="X279" s="82"/>
      <c r="Y279" s="82"/>
      <c r="Z279" s="82"/>
      <c r="AA279" s="82"/>
      <c r="AB279" s="82"/>
    </row>
    <row r="280" spans="1:28" s="85" customFormat="1" x14ac:dyDescent="0.25">
      <c r="A280" s="82"/>
      <c r="B280" s="82"/>
      <c r="C280" s="82"/>
      <c r="D280" s="729"/>
      <c r="E280" s="396" t="s">
        <v>184</v>
      </c>
      <c r="F280" s="403">
        <v>10</v>
      </c>
      <c r="G280" s="397">
        <f>2*6</f>
        <v>12</v>
      </c>
      <c r="H280" s="398">
        <v>5</v>
      </c>
      <c r="I280" s="399">
        <v>1.07</v>
      </c>
      <c r="J280" s="400">
        <f t="shared" si="32"/>
        <v>12.84</v>
      </c>
      <c r="K280" s="401">
        <f t="shared" si="34"/>
        <v>1.97736</v>
      </c>
      <c r="L280" s="196">
        <f t="shared" si="35"/>
        <v>0</v>
      </c>
      <c r="M280" s="196">
        <f t="shared" si="36"/>
        <v>0</v>
      </c>
      <c r="N280" s="196">
        <f t="shared" si="37"/>
        <v>0</v>
      </c>
      <c r="O280" s="196">
        <f t="shared" si="38"/>
        <v>0</v>
      </c>
      <c r="P280" s="196">
        <f t="shared" si="39"/>
        <v>0</v>
      </c>
      <c r="Q280" s="566">
        <f t="shared" si="44"/>
        <v>0</v>
      </c>
      <c r="R280" s="538"/>
      <c r="T280" s="82"/>
      <c r="U280" s="82"/>
      <c r="V280" s="82"/>
      <c r="W280" s="82"/>
      <c r="X280" s="82"/>
      <c r="Y280" s="82"/>
      <c r="Z280" s="82"/>
      <c r="AA280" s="82"/>
      <c r="AB280" s="82"/>
    </row>
    <row r="281" spans="1:28" s="85" customFormat="1" x14ac:dyDescent="0.25">
      <c r="A281" s="82"/>
      <c r="B281" s="82"/>
      <c r="C281" s="82"/>
      <c r="D281" s="729"/>
      <c r="E281" s="371" t="s">
        <v>184</v>
      </c>
      <c r="F281" s="372">
        <v>11</v>
      </c>
      <c r="G281" s="373">
        <f>2*2</f>
        <v>4</v>
      </c>
      <c r="H281" s="374">
        <v>5</v>
      </c>
      <c r="I281" s="375">
        <v>0.74</v>
      </c>
      <c r="J281" s="376">
        <f t="shared" si="32"/>
        <v>2.96</v>
      </c>
      <c r="K281" s="66">
        <f t="shared" si="34"/>
        <v>0.45583999999999997</v>
      </c>
      <c r="L281" s="63">
        <f t="shared" si="35"/>
        <v>0</v>
      </c>
      <c r="M281" s="63">
        <f t="shared" si="36"/>
        <v>0</v>
      </c>
      <c r="N281" s="63">
        <f t="shared" si="37"/>
        <v>0</v>
      </c>
      <c r="O281" s="63">
        <f t="shared" si="38"/>
        <v>0</v>
      </c>
      <c r="P281" s="63">
        <f t="shared" si="39"/>
        <v>0</v>
      </c>
      <c r="Q281" s="562">
        <f t="shared" si="44"/>
        <v>0</v>
      </c>
      <c r="R281" s="377"/>
      <c r="T281" s="82"/>
      <c r="U281" s="82"/>
      <c r="V281" s="82"/>
      <c r="W281" s="82"/>
      <c r="X281" s="82"/>
      <c r="Y281" s="82"/>
      <c r="Z281" s="82"/>
      <c r="AA281" s="82"/>
      <c r="AB281" s="82"/>
    </row>
    <row r="282" spans="1:28" s="85" customFormat="1" x14ac:dyDescent="0.25">
      <c r="A282" s="82"/>
      <c r="B282" s="82"/>
      <c r="C282" s="82"/>
      <c r="D282" s="729"/>
      <c r="E282" s="371" t="s">
        <v>184</v>
      </c>
      <c r="F282" s="372">
        <v>12</v>
      </c>
      <c r="G282" s="373">
        <f>2*18</f>
        <v>36</v>
      </c>
      <c r="H282" s="374">
        <v>5</v>
      </c>
      <c r="I282" s="375">
        <v>0.28999999999999998</v>
      </c>
      <c r="J282" s="376">
        <f t="shared" si="32"/>
        <v>10.44</v>
      </c>
      <c r="K282" s="66">
        <f t="shared" si="34"/>
        <v>1.6077599999999999</v>
      </c>
      <c r="L282" s="63">
        <f t="shared" si="35"/>
        <v>0</v>
      </c>
      <c r="M282" s="63">
        <f t="shared" si="36"/>
        <v>0</v>
      </c>
      <c r="N282" s="63">
        <f t="shared" si="37"/>
        <v>0</v>
      </c>
      <c r="O282" s="63">
        <f t="shared" si="38"/>
        <v>0</v>
      </c>
      <c r="P282" s="63">
        <f t="shared" si="39"/>
        <v>0</v>
      </c>
      <c r="Q282" s="562">
        <f t="shared" si="44"/>
        <v>0</v>
      </c>
      <c r="R282" s="377"/>
      <c r="T282" s="82"/>
      <c r="U282" s="82"/>
      <c r="V282" s="82"/>
      <c r="W282" s="82"/>
      <c r="X282" s="82"/>
      <c r="Y282" s="82"/>
      <c r="Z282" s="82"/>
      <c r="AA282" s="82"/>
      <c r="AB282" s="82"/>
    </row>
    <row r="283" spans="1:28" s="85" customFormat="1" ht="13.8" thickBot="1" x14ac:dyDescent="0.3">
      <c r="A283" s="82"/>
      <c r="B283" s="82"/>
      <c r="C283" s="82"/>
      <c r="D283" s="731"/>
      <c r="E283" s="390" t="s">
        <v>184</v>
      </c>
      <c r="F283" s="391">
        <v>36</v>
      </c>
      <c r="G283" s="392">
        <f>2*8</f>
        <v>16</v>
      </c>
      <c r="H283" s="393">
        <v>16</v>
      </c>
      <c r="I283" s="394">
        <v>1.02</v>
      </c>
      <c r="J283" s="395">
        <f t="shared" si="32"/>
        <v>16.32</v>
      </c>
      <c r="K283" s="221">
        <f t="shared" si="34"/>
        <v>0</v>
      </c>
      <c r="L283" s="222">
        <f t="shared" si="35"/>
        <v>0</v>
      </c>
      <c r="M283" s="222">
        <f t="shared" si="36"/>
        <v>0</v>
      </c>
      <c r="N283" s="222">
        <f t="shared" si="37"/>
        <v>0</v>
      </c>
      <c r="O283" s="222">
        <f t="shared" si="38"/>
        <v>0</v>
      </c>
      <c r="P283" s="222">
        <f t="shared" si="39"/>
        <v>25.752960000000002</v>
      </c>
      <c r="Q283" s="564">
        <f t="shared" ref="Q283:Q342" si="48">IF($H283=20,$J283*$B$28,0)</f>
        <v>0</v>
      </c>
      <c r="R283" s="539"/>
      <c r="T283" s="82"/>
      <c r="U283" s="82"/>
      <c r="V283" s="82"/>
      <c r="W283" s="82"/>
      <c r="X283" s="82"/>
      <c r="Y283" s="82"/>
      <c r="Z283" s="82"/>
      <c r="AA283" s="82"/>
      <c r="AB283" s="82"/>
    </row>
    <row r="284" spans="1:28" s="85" customFormat="1" ht="13.8" thickTop="1" x14ac:dyDescent="0.25">
      <c r="A284" s="82"/>
      <c r="B284" s="82"/>
      <c r="C284" s="82"/>
      <c r="D284" s="728" t="s">
        <v>1332</v>
      </c>
      <c r="E284" s="384" t="s">
        <v>49</v>
      </c>
      <c r="F284" s="385">
        <v>8</v>
      </c>
      <c r="G284" s="386">
        <f>12</f>
        <v>12</v>
      </c>
      <c r="H284" s="387">
        <v>5</v>
      </c>
      <c r="I284" s="388">
        <v>0.28999999999999998</v>
      </c>
      <c r="J284" s="389">
        <f t="shared" ref="J284:J297" si="49">G284*I284</f>
        <v>3.4799999999999995</v>
      </c>
      <c r="K284" s="218">
        <f t="shared" si="34"/>
        <v>0.53591999999999995</v>
      </c>
      <c r="L284" s="219">
        <f t="shared" si="35"/>
        <v>0</v>
      </c>
      <c r="M284" s="219">
        <f t="shared" si="36"/>
        <v>0</v>
      </c>
      <c r="N284" s="219">
        <f t="shared" si="37"/>
        <v>0</v>
      </c>
      <c r="O284" s="219">
        <f t="shared" si="38"/>
        <v>0</v>
      </c>
      <c r="P284" s="219">
        <f t="shared" si="39"/>
        <v>0</v>
      </c>
      <c r="Q284" s="563">
        <f t="shared" si="48"/>
        <v>0</v>
      </c>
      <c r="R284" s="220"/>
      <c r="T284" s="82"/>
      <c r="U284" s="82"/>
      <c r="V284" s="82"/>
      <c r="W284" s="82"/>
      <c r="X284" s="82"/>
      <c r="Y284" s="82"/>
      <c r="Z284" s="82"/>
      <c r="AA284" s="82"/>
      <c r="AB284" s="82"/>
    </row>
    <row r="285" spans="1:28" s="85" customFormat="1" x14ac:dyDescent="0.25">
      <c r="A285" s="82"/>
      <c r="B285" s="82"/>
      <c r="C285" s="82"/>
      <c r="D285" s="729"/>
      <c r="E285" s="371" t="s">
        <v>49</v>
      </c>
      <c r="F285" s="372">
        <v>9</v>
      </c>
      <c r="G285" s="373">
        <f>3</f>
        <v>3</v>
      </c>
      <c r="H285" s="374">
        <v>5</v>
      </c>
      <c r="I285" s="375">
        <v>1.47</v>
      </c>
      <c r="J285" s="376">
        <f t="shared" si="49"/>
        <v>4.41</v>
      </c>
      <c r="K285" s="66">
        <f t="shared" si="34"/>
        <v>0.67913999999999997</v>
      </c>
      <c r="L285" s="63">
        <f t="shared" si="35"/>
        <v>0</v>
      </c>
      <c r="M285" s="63">
        <f t="shared" si="36"/>
        <v>0</v>
      </c>
      <c r="N285" s="63">
        <f t="shared" si="37"/>
        <v>0</v>
      </c>
      <c r="O285" s="63">
        <f t="shared" si="38"/>
        <v>0</v>
      </c>
      <c r="P285" s="63">
        <f t="shared" si="39"/>
        <v>0</v>
      </c>
      <c r="Q285" s="561">
        <f t="shared" si="48"/>
        <v>0</v>
      </c>
      <c r="R285" s="174"/>
      <c r="T285" s="82"/>
      <c r="U285" s="82"/>
      <c r="V285" s="82"/>
      <c r="W285" s="82"/>
      <c r="X285" s="82"/>
      <c r="Y285" s="82"/>
      <c r="Z285" s="82"/>
      <c r="AA285" s="82"/>
      <c r="AB285" s="82"/>
    </row>
    <row r="286" spans="1:28" s="85" customFormat="1" x14ac:dyDescent="0.25">
      <c r="A286" s="82"/>
      <c r="B286" s="82"/>
      <c r="C286" s="82"/>
      <c r="D286" s="729"/>
      <c r="E286" s="371" t="s">
        <v>49</v>
      </c>
      <c r="F286" s="372">
        <v>10</v>
      </c>
      <c r="G286" s="373">
        <f>6</f>
        <v>6</v>
      </c>
      <c r="H286" s="374">
        <v>5</v>
      </c>
      <c r="I286" s="375">
        <v>0.94</v>
      </c>
      <c r="J286" s="376">
        <f t="shared" si="49"/>
        <v>5.64</v>
      </c>
      <c r="K286" s="66">
        <f t="shared" si="34"/>
        <v>0.86855999999999989</v>
      </c>
      <c r="L286" s="63">
        <f t="shared" si="35"/>
        <v>0</v>
      </c>
      <c r="M286" s="63">
        <f t="shared" si="36"/>
        <v>0</v>
      </c>
      <c r="N286" s="63">
        <f t="shared" si="37"/>
        <v>0</v>
      </c>
      <c r="O286" s="63">
        <f t="shared" si="38"/>
        <v>0</v>
      </c>
      <c r="P286" s="63">
        <f t="shared" si="39"/>
        <v>0</v>
      </c>
      <c r="Q286" s="561">
        <f t="shared" si="48"/>
        <v>0</v>
      </c>
      <c r="R286" s="174"/>
      <c r="T286" s="82"/>
      <c r="U286" s="82"/>
      <c r="V286" s="82"/>
      <c r="W286" s="82"/>
      <c r="X286" s="82"/>
      <c r="Y286" s="82"/>
      <c r="Z286" s="82"/>
      <c r="AA286" s="82"/>
      <c r="AB286" s="82"/>
    </row>
    <row r="287" spans="1:28" s="85" customFormat="1" x14ac:dyDescent="0.25">
      <c r="A287" s="82"/>
      <c r="B287" s="82"/>
      <c r="C287" s="82"/>
      <c r="D287" s="729"/>
      <c r="E287" s="371" t="s">
        <v>49</v>
      </c>
      <c r="F287" s="372">
        <v>16</v>
      </c>
      <c r="G287" s="373">
        <f>8</f>
        <v>8</v>
      </c>
      <c r="H287" s="374">
        <v>16</v>
      </c>
      <c r="I287" s="375">
        <v>1.6</v>
      </c>
      <c r="J287" s="376">
        <f t="shared" si="49"/>
        <v>12.8</v>
      </c>
      <c r="K287" s="66">
        <f t="shared" si="34"/>
        <v>0</v>
      </c>
      <c r="L287" s="63">
        <f t="shared" si="35"/>
        <v>0</v>
      </c>
      <c r="M287" s="63">
        <f t="shared" si="36"/>
        <v>0</v>
      </c>
      <c r="N287" s="63">
        <f t="shared" si="37"/>
        <v>0</v>
      </c>
      <c r="O287" s="63">
        <f t="shared" si="38"/>
        <v>0</v>
      </c>
      <c r="P287" s="63">
        <f t="shared" si="39"/>
        <v>20.198400000000003</v>
      </c>
      <c r="Q287" s="561">
        <f t="shared" si="48"/>
        <v>0</v>
      </c>
      <c r="R287" s="174"/>
      <c r="T287" s="82"/>
      <c r="U287" s="82"/>
      <c r="V287" s="82"/>
      <c r="W287" s="82"/>
      <c r="X287" s="82"/>
      <c r="Y287" s="82"/>
      <c r="Z287" s="82"/>
      <c r="AA287" s="82"/>
      <c r="AB287" s="82"/>
    </row>
    <row r="288" spans="1:28" s="85" customFormat="1" x14ac:dyDescent="0.25">
      <c r="A288" s="82"/>
      <c r="B288" s="82"/>
      <c r="C288" s="82"/>
      <c r="D288" s="729"/>
      <c r="E288" s="371" t="s">
        <v>113</v>
      </c>
      <c r="F288" s="372">
        <v>13</v>
      </c>
      <c r="G288" s="373">
        <f>46</f>
        <v>46</v>
      </c>
      <c r="H288" s="374">
        <v>5</v>
      </c>
      <c r="I288" s="375">
        <v>0.28999999999999998</v>
      </c>
      <c r="J288" s="376">
        <f t="shared" si="49"/>
        <v>13.34</v>
      </c>
      <c r="K288" s="66">
        <f t="shared" si="34"/>
        <v>2.05436</v>
      </c>
      <c r="L288" s="63">
        <f t="shared" si="35"/>
        <v>0</v>
      </c>
      <c r="M288" s="63">
        <f t="shared" si="36"/>
        <v>0</v>
      </c>
      <c r="N288" s="63">
        <f t="shared" si="37"/>
        <v>0</v>
      </c>
      <c r="O288" s="63">
        <f t="shared" si="38"/>
        <v>0</v>
      </c>
      <c r="P288" s="63">
        <f t="shared" si="39"/>
        <v>0</v>
      </c>
      <c r="Q288" s="561">
        <f t="shared" si="48"/>
        <v>0</v>
      </c>
      <c r="R288" s="174"/>
      <c r="T288" s="82"/>
      <c r="U288" s="82"/>
      <c r="V288" s="82"/>
      <c r="W288" s="82"/>
      <c r="X288" s="82"/>
      <c r="Y288" s="82"/>
      <c r="Z288" s="82"/>
      <c r="AA288" s="82"/>
      <c r="AB288" s="82"/>
    </row>
    <row r="289" spans="1:28" s="85" customFormat="1" x14ac:dyDescent="0.25">
      <c r="A289" s="82"/>
      <c r="B289" s="82"/>
      <c r="C289" s="82"/>
      <c r="D289" s="729"/>
      <c r="E289" s="371" t="s">
        <v>113</v>
      </c>
      <c r="F289" s="372">
        <v>14</v>
      </c>
      <c r="G289" s="373">
        <f>19</f>
        <v>19</v>
      </c>
      <c r="H289" s="374">
        <v>5</v>
      </c>
      <c r="I289" s="375">
        <v>1.47</v>
      </c>
      <c r="J289" s="376">
        <f t="shared" si="49"/>
        <v>27.93</v>
      </c>
      <c r="K289" s="66">
        <f t="shared" si="34"/>
        <v>4.3012199999999998</v>
      </c>
      <c r="L289" s="63">
        <f t="shared" si="35"/>
        <v>0</v>
      </c>
      <c r="M289" s="63">
        <f t="shared" si="36"/>
        <v>0</v>
      </c>
      <c r="N289" s="63">
        <f t="shared" si="37"/>
        <v>0</v>
      </c>
      <c r="O289" s="63">
        <f t="shared" si="38"/>
        <v>0</v>
      </c>
      <c r="P289" s="63">
        <f t="shared" si="39"/>
        <v>0</v>
      </c>
      <c r="Q289" s="561">
        <f t="shared" si="48"/>
        <v>0</v>
      </c>
      <c r="R289" s="174"/>
      <c r="T289" s="82"/>
      <c r="U289" s="82"/>
      <c r="V289" s="82"/>
      <c r="W289" s="82"/>
      <c r="X289" s="82"/>
      <c r="Y289" s="82"/>
      <c r="Z289" s="82"/>
      <c r="AA289" s="82"/>
      <c r="AB289" s="82"/>
    </row>
    <row r="290" spans="1:28" s="85" customFormat="1" x14ac:dyDescent="0.25">
      <c r="A290" s="82"/>
      <c r="B290" s="82"/>
      <c r="C290" s="82"/>
      <c r="D290" s="729"/>
      <c r="E290" s="371" t="s">
        <v>113</v>
      </c>
      <c r="F290" s="372">
        <v>15</v>
      </c>
      <c r="G290" s="373">
        <f>8</f>
        <v>8</v>
      </c>
      <c r="H290" s="374">
        <v>5</v>
      </c>
      <c r="I290" s="375">
        <v>0.94</v>
      </c>
      <c r="J290" s="376">
        <f t="shared" si="49"/>
        <v>7.52</v>
      </c>
      <c r="K290" s="66">
        <f t="shared" si="34"/>
        <v>1.15808</v>
      </c>
      <c r="L290" s="63">
        <f t="shared" si="35"/>
        <v>0</v>
      </c>
      <c r="M290" s="63">
        <f t="shared" si="36"/>
        <v>0</v>
      </c>
      <c r="N290" s="63">
        <f t="shared" si="37"/>
        <v>0</v>
      </c>
      <c r="O290" s="63">
        <f t="shared" si="38"/>
        <v>0</v>
      </c>
      <c r="P290" s="63">
        <f t="shared" si="39"/>
        <v>0</v>
      </c>
      <c r="Q290" s="561">
        <f t="shared" si="48"/>
        <v>0</v>
      </c>
      <c r="R290" s="174"/>
      <c r="T290" s="82"/>
      <c r="U290" s="82"/>
      <c r="V290" s="82"/>
      <c r="W290" s="82"/>
      <c r="X290" s="82"/>
      <c r="Y290" s="82"/>
      <c r="Z290" s="82"/>
      <c r="AA290" s="82"/>
      <c r="AB290" s="82"/>
    </row>
    <row r="291" spans="1:28" s="85" customFormat="1" x14ac:dyDescent="0.25">
      <c r="A291" s="82"/>
      <c r="B291" s="82"/>
      <c r="C291" s="82"/>
      <c r="D291" s="729"/>
      <c r="E291" s="371" t="s">
        <v>113</v>
      </c>
      <c r="F291" s="372">
        <v>26</v>
      </c>
      <c r="G291" s="373">
        <f>6</f>
        <v>6</v>
      </c>
      <c r="H291" s="374">
        <v>16</v>
      </c>
      <c r="I291" s="375">
        <v>3.98</v>
      </c>
      <c r="J291" s="376">
        <f t="shared" si="49"/>
        <v>23.88</v>
      </c>
      <c r="K291" s="66">
        <f t="shared" si="34"/>
        <v>0</v>
      </c>
      <c r="L291" s="63">
        <f t="shared" si="35"/>
        <v>0</v>
      </c>
      <c r="M291" s="63">
        <f t="shared" si="36"/>
        <v>0</v>
      </c>
      <c r="N291" s="63">
        <f t="shared" si="37"/>
        <v>0</v>
      </c>
      <c r="O291" s="63">
        <f t="shared" si="38"/>
        <v>0</v>
      </c>
      <c r="P291" s="63">
        <f t="shared" si="39"/>
        <v>37.682639999999999</v>
      </c>
      <c r="Q291" s="561">
        <f t="shared" si="48"/>
        <v>0</v>
      </c>
      <c r="R291" s="174"/>
      <c r="T291" s="82"/>
      <c r="U291" s="82"/>
      <c r="V291" s="82"/>
      <c r="W291" s="82"/>
      <c r="X291" s="82"/>
      <c r="Y291" s="82"/>
      <c r="Z291" s="82"/>
      <c r="AA291" s="82"/>
      <c r="AB291" s="82"/>
    </row>
    <row r="292" spans="1:28" s="85" customFormat="1" x14ac:dyDescent="0.25">
      <c r="A292" s="82"/>
      <c r="B292" s="82"/>
      <c r="C292" s="82"/>
      <c r="D292" s="729"/>
      <c r="E292" s="371" t="s">
        <v>113</v>
      </c>
      <c r="F292" s="372">
        <v>27</v>
      </c>
      <c r="G292" s="373">
        <f>2</f>
        <v>2</v>
      </c>
      <c r="H292" s="374">
        <v>16</v>
      </c>
      <c r="I292" s="375">
        <v>3.42</v>
      </c>
      <c r="J292" s="376">
        <f t="shared" si="49"/>
        <v>6.84</v>
      </c>
      <c r="K292" s="66">
        <f t="shared" si="34"/>
        <v>0</v>
      </c>
      <c r="L292" s="63">
        <f t="shared" si="35"/>
        <v>0</v>
      </c>
      <c r="M292" s="63">
        <f t="shared" si="36"/>
        <v>0</v>
      </c>
      <c r="N292" s="63">
        <f t="shared" si="37"/>
        <v>0</v>
      </c>
      <c r="O292" s="63">
        <f t="shared" si="38"/>
        <v>0</v>
      </c>
      <c r="P292" s="63">
        <f t="shared" si="39"/>
        <v>10.793520000000001</v>
      </c>
      <c r="Q292" s="561">
        <f t="shared" si="48"/>
        <v>0</v>
      </c>
      <c r="R292" s="174"/>
      <c r="T292" s="82"/>
      <c r="U292" s="82"/>
      <c r="V292" s="82"/>
      <c r="W292" s="82"/>
      <c r="X292" s="82"/>
      <c r="Y292" s="82"/>
      <c r="Z292" s="82"/>
      <c r="AA292" s="82"/>
      <c r="AB292" s="82"/>
    </row>
    <row r="293" spans="1:28" s="85" customFormat="1" x14ac:dyDescent="0.25">
      <c r="A293" s="82"/>
      <c r="B293" s="82"/>
      <c r="C293" s="82"/>
      <c r="D293" s="729"/>
      <c r="E293" s="371" t="s">
        <v>113</v>
      </c>
      <c r="F293" s="372">
        <v>28</v>
      </c>
      <c r="G293" s="373">
        <f>2</f>
        <v>2</v>
      </c>
      <c r="H293" s="374">
        <v>16</v>
      </c>
      <c r="I293" s="375">
        <v>1.07</v>
      </c>
      <c r="J293" s="376">
        <f t="shared" si="49"/>
        <v>2.14</v>
      </c>
      <c r="K293" s="66">
        <f t="shared" si="34"/>
        <v>0</v>
      </c>
      <c r="L293" s="63">
        <f t="shared" si="35"/>
        <v>0</v>
      </c>
      <c r="M293" s="63">
        <f t="shared" si="36"/>
        <v>0</v>
      </c>
      <c r="N293" s="63">
        <f t="shared" si="37"/>
        <v>0</v>
      </c>
      <c r="O293" s="63">
        <f t="shared" si="38"/>
        <v>0</v>
      </c>
      <c r="P293" s="63">
        <f t="shared" si="39"/>
        <v>3.3769200000000001</v>
      </c>
      <c r="Q293" s="561">
        <f t="shared" si="48"/>
        <v>0</v>
      </c>
      <c r="R293" s="174"/>
      <c r="T293" s="82"/>
      <c r="U293" s="82"/>
      <c r="V293" s="82"/>
      <c r="W293" s="82"/>
      <c r="X293" s="82"/>
      <c r="Y293" s="82"/>
      <c r="Z293" s="82"/>
      <c r="AA293" s="82"/>
      <c r="AB293" s="82"/>
    </row>
    <row r="294" spans="1:28" s="85" customFormat="1" x14ac:dyDescent="0.25">
      <c r="A294" s="82"/>
      <c r="B294" s="82"/>
      <c r="C294" s="82"/>
      <c r="D294" s="729"/>
      <c r="E294" s="396" t="s">
        <v>184</v>
      </c>
      <c r="F294" s="403">
        <v>10</v>
      </c>
      <c r="G294" s="397">
        <v>7</v>
      </c>
      <c r="H294" s="398">
        <v>5</v>
      </c>
      <c r="I294" s="399">
        <v>1.07</v>
      </c>
      <c r="J294" s="400">
        <f t="shared" si="49"/>
        <v>7.49</v>
      </c>
      <c r="K294" s="401">
        <f t="shared" si="34"/>
        <v>1.1534599999999999</v>
      </c>
      <c r="L294" s="196">
        <f t="shared" si="35"/>
        <v>0</v>
      </c>
      <c r="M294" s="196">
        <f t="shared" si="36"/>
        <v>0</v>
      </c>
      <c r="N294" s="196">
        <f t="shared" si="37"/>
        <v>0</v>
      </c>
      <c r="O294" s="196">
        <f t="shared" si="38"/>
        <v>0</v>
      </c>
      <c r="P294" s="196">
        <f t="shared" si="39"/>
        <v>0</v>
      </c>
      <c r="Q294" s="566">
        <f t="shared" si="48"/>
        <v>0</v>
      </c>
      <c r="R294" s="538"/>
      <c r="T294" s="82"/>
      <c r="U294" s="82"/>
      <c r="V294" s="82"/>
      <c r="W294" s="82"/>
      <c r="X294" s="82"/>
      <c r="Y294" s="82"/>
      <c r="Z294" s="82"/>
      <c r="AA294" s="82"/>
      <c r="AB294" s="82"/>
    </row>
    <row r="295" spans="1:28" s="85" customFormat="1" x14ac:dyDescent="0.25">
      <c r="A295" s="82"/>
      <c r="B295" s="82"/>
      <c r="C295" s="82"/>
      <c r="D295" s="729"/>
      <c r="E295" s="371" t="s">
        <v>184</v>
      </c>
      <c r="F295" s="372">
        <v>11</v>
      </c>
      <c r="G295" s="373">
        <v>4</v>
      </c>
      <c r="H295" s="374">
        <v>5</v>
      </c>
      <c r="I295" s="375">
        <v>0.74</v>
      </c>
      <c r="J295" s="376">
        <f t="shared" si="49"/>
        <v>2.96</v>
      </c>
      <c r="K295" s="66">
        <f t="shared" si="34"/>
        <v>0.45583999999999997</v>
      </c>
      <c r="L295" s="63">
        <f t="shared" si="35"/>
        <v>0</v>
      </c>
      <c r="M295" s="63">
        <f t="shared" si="36"/>
        <v>0</v>
      </c>
      <c r="N295" s="63">
        <f t="shared" si="37"/>
        <v>0</v>
      </c>
      <c r="O295" s="63">
        <f t="shared" si="38"/>
        <v>0</v>
      </c>
      <c r="P295" s="63">
        <f t="shared" si="39"/>
        <v>0</v>
      </c>
      <c r="Q295" s="562">
        <f t="shared" si="48"/>
        <v>0</v>
      </c>
      <c r="R295" s="377"/>
      <c r="T295" s="82"/>
      <c r="U295" s="82"/>
      <c r="V295" s="82"/>
      <c r="W295" s="82"/>
      <c r="X295" s="82"/>
      <c r="Y295" s="82"/>
      <c r="Z295" s="82"/>
      <c r="AA295" s="82"/>
      <c r="AB295" s="82"/>
    </row>
    <row r="296" spans="1:28" s="85" customFormat="1" x14ac:dyDescent="0.25">
      <c r="A296" s="82"/>
      <c r="B296" s="82"/>
      <c r="C296" s="82"/>
      <c r="D296" s="729"/>
      <c r="E296" s="371" t="s">
        <v>184</v>
      </c>
      <c r="F296" s="372">
        <v>12</v>
      </c>
      <c r="G296" s="373">
        <v>18</v>
      </c>
      <c r="H296" s="374">
        <v>5</v>
      </c>
      <c r="I296" s="375">
        <v>0.28999999999999998</v>
      </c>
      <c r="J296" s="376">
        <f t="shared" si="49"/>
        <v>5.22</v>
      </c>
      <c r="K296" s="66">
        <f t="shared" si="34"/>
        <v>0.80387999999999993</v>
      </c>
      <c r="L296" s="63">
        <f t="shared" si="35"/>
        <v>0</v>
      </c>
      <c r="M296" s="63">
        <f t="shared" si="36"/>
        <v>0</v>
      </c>
      <c r="N296" s="63">
        <f t="shared" si="37"/>
        <v>0</v>
      </c>
      <c r="O296" s="63">
        <f t="shared" si="38"/>
        <v>0</v>
      </c>
      <c r="P296" s="63">
        <f t="shared" si="39"/>
        <v>0</v>
      </c>
      <c r="Q296" s="562">
        <f t="shared" si="48"/>
        <v>0</v>
      </c>
      <c r="R296" s="377"/>
      <c r="T296" s="82"/>
      <c r="U296" s="82"/>
      <c r="V296" s="82"/>
      <c r="W296" s="82"/>
      <c r="X296" s="82"/>
      <c r="Y296" s="82"/>
      <c r="Z296" s="82"/>
      <c r="AA296" s="82"/>
      <c r="AB296" s="82"/>
    </row>
    <row r="297" spans="1:28" s="85" customFormat="1" ht="13.8" thickBot="1" x14ac:dyDescent="0.3">
      <c r="A297" s="82"/>
      <c r="B297" s="82"/>
      <c r="C297" s="82"/>
      <c r="D297" s="731"/>
      <c r="E297" s="390" t="s">
        <v>184</v>
      </c>
      <c r="F297" s="391">
        <v>36</v>
      </c>
      <c r="G297" s="392">
        <v>8</v>
      </c>
      <c r="H297" s="393">
        <v>16</v>
      </c>
      <c r="I297" s="394">
        <v>1.02</v>
      </c>
      <c r="J297" s="395">
        <f t="shared" si="49"/>
        <v>8.16</v>
      </c>
      <c r="K297" s="221">
        <f t="shared" si="34"/>
        <v>0</v>
      </c>
      <c r="L297" s="222">
        <f t="shared" si="35"/>
        <v>0</v>
      </c>
      <c r="M297" s="222">
        <f t="shared" si="36"/>
        <v>0</v>
      </c>
      <c r="N297" s="222">
        <f t="shared" si="37"/>
        <v>0</v>
      </c>
      <c r="O297" s="222">
        <f t="shared" si="38"/>
        <v>0</v>
      </c>
      <c r="P297" s="222">
        <f t="shared" si="39"/>
        <v>12.876480000000001</v>
      </c>
      <c r="Q297" s="564">
        <f t="shared" si="48"/>
        <v>0</v>
      </c>
      <c r="R297" s="539"/>
      <c r="T297" s="82"/>
      <c r="U297" s="82"/>
      <c r="V297" s="82"/>
      <c r="W297" s="82"/>
      <c r="X297" s="82"/>
      <c r="Y297" s="82"/>
      <c r="Z297" s="82"/>
      <c r="AA297" s="82"/>
      <c r="AB297" s="82"/>
    </row>
    <row r="298" spans="1:28" s="85" customFormat="1" ht="13.8" thickTop="1" x14ac:dyDescent="0.25">
      <c r="A298" s="82"/>
      <c r="B298" s="82"/>
      <c r="C298" s="82"/>
      <c r="D298" s="728" t="s">
        <v>1315</v>
      </c>
      <c r="E298" s="384" t="s">
        <v>49</v>
      </c>
      <c r="F298" s="385">
        <v>5</v>
      </c>
      <c r="G298" s="386">
        <f>2*12</f>
        <v>24</v>
      </c>
      <c r="H298" s="387">
        <v>5</v>
      </c>
      <c r="I298" s="388">
        <v>0.26</v>
      </c>
      <c r="J298" s="389">
        <f t="shared" si="32"/>
        <v>6.24</v>
      </c>
      <c r="K298" s="218">
        <f t="shared" si="34"/>
        <v>0.96096000000000004</v>
      </c>
      <c r="L298" s="219">
        <f t="shared" si="35"/>
        <v>0</v>
      </c>
      <c r="M298" s="219">
        <f t="shared" si="36"/>
        <v>0</v>
      </c>
      <c r="N298" s="219">
        <f t="shared" si="37"/>
        <v>0</v>
      </c>
      <c r="O298" s="219">
        <f t="shared" si="38"/>
        <v>0</v>
      </c>
      <c r="P298" s="219">
        <f t="shared" si="39"/>
        <v>0</v>
      </c>
      <c r="Q298" s="563">
        <f t="shared" si="48"/>
        <v>0</v>
      </c>
      <c r="R298" s="220"/>
      <c r="T298" s="82"/>
      <c r="U298" s="82"/>
      <c r="V298" s="82"/>
      <c r="W298" s="82"/>
      <c r="X298" s="82"/>
      <c r="Y298" s="82"/>
      <c r="Z298" s="82"/>
      <c r="AA298" s="82"/>
      <c r="AB298" s="82"/>
    </row>
    <row r="299" spans="1:28" s="85" customFormat="1" x14ac:dyDescent="0.25">
      <c r="A299" s="82"/>
      <c r="B299" s="82"/>
      <c r="C299" s="82"/>
      <c r="D299" s="729"/>
      <c r="E299" s="371" t="s">
        <v>49</v>
      </c>
      <c r="F299" s="372">
        <v>6</v>
      </c>
      <c r="G299" s="373">
        <f>2*3</f>
        <v>6</v>
      </c>
      <c r="H299" s="374">
        <v>5</v>
      </c>
      <c r="I299" s="375">
        <v>1.35</v>
      </c>
      <c r="J299" s="376">
        <f t="shared" si="32"/>
        <v>8.1000000000000014</v>
      </c>
      <c r="K299" s="66">
        <f t="shared" si="34"/>
        <v>1.2474000000000003</v>
      </c>
      <c r="L299" s="63">
        <f t="shared" si="35"/>
        <v>0</v>
      </c>
      <c r="M299" s="63">
        <f t="shared" si="36"/>
        <v>0</v>
      </c>
      <c r="N299" s="63">
        <f t="shared" si="37"/>
        <v>0</v>
      </c>
      <c r="O299" s="63">
        <f t="shared" si="38"/>
        <v>0</v>
      </c>
      <c r="P299" s="63">
        <f t="shared" si="39"/>
        <v>0</v>
      </c>
      <c r="Q299" s="561">
        <f t="shared" si="48"/>
        <v>0</v>
      </c>
      <c r="R299" s="174"/>
      <c r="T299" s="82"/>
      <c r="U299" s="82"/>
      <c r="V299" s="82"/>
      <c r="W299" s="82"/>
      <c r="X299" s="82"/>
      <c r="Y299" s="82"/>
      <c r="Z299" s="82"/>
      <c r="AA299" s="82"/>
      <c r="AB299" s="82"/>
    </row>
    <row r="300" spans="1:28" s="85" customFormat="1" x14ac:dyDescent="0.25">
      <c r="A300" s="82"/>
      <c r="B300" s="82"/>
      <c r="C300" s="82"/>
      <c r="D300" s="729"/>
      <c r="E300" s="371" t="s">
        <v>49</v>
      </c>
      <c r="F300" s="372">
        <v>7</v>
      </c>
      <c r="G300" s="373">
        <f>2*6</f>
        <v>12</v>
      </c>
      <c r="H300" s="374">
        <v>5</v>
      </c>
      <c r="I300" s="375">
        <v>0.85</v>
      </c>
      <c r="J300" s="376">
        <f t="shared" si="32"/>
        <v>10.199999999999999</v>
      </c>
      <c r="K300" s="66">
        <f t="shared" si="34"/>
        <v>1.5708</v>
      </c>
      <c r="L300" s="63">
        <f t="shared" si="35"/>
        <v>0</v>
      </c>
      <c r="M300" s="63">
        <f t="shared" si="36"/>
        <v>0</v>
      </c>
      <c r="N300" s="63">
        <f t="shared" si="37"/>
        <v>0</v>
      </c>
      <c r="O300" s="63">
        <f t="shared" si="38"/>
        <v>0</v>
      </c>
      <c r="P300" s="63">
        <f t="shared" si="39"/>
        <v>0</v>
      </c>
      <c r="Q300" s="561">
        <f t="shared" si="48"/>
        <v>0</v>
      </c>
      <c r="R300" s="174"/>
      <c r="T300" s="82"/>
      <c r="U300" s="82"/>
      <c r="V300" s="82"/>
      <c r="W300" s="82"/>
      <c r="X300" s="82"/>
      <c r="Y300" s="82"/>
      <c r="Z300" s="82"/>
      <c r="AA300" s="82"/>
      <c r="AB300" s="82"/>
    </row>
    <row r="301" spans="1:28" s="85" customFormat="1" x14ac:dyDescent="0.25">
      <c r="A301" s="82"/>
      <c r="B301" s="82"/>
      <c r="C301" s="82"/>
      <c r="D301" s="729"/>
      <c r="E301" s="371" t="s">
        <v>49</v>
      </c>
      <c r="F301" s="372">
        <v>16</v>
      </c>
      <c r="G301" s="373">
        <f>2*12</f>
        <v>24</v>
      </c>
      <c r="H301" s="374">
        <v>16</v>
      </c>
      <c r="I301" s="375">
        <v>1.6</v>
      </c>
      <c r="J301" s="376">
        <f t="shared" si="32"/>
        <v>38.400000000000006</v>
      </c>
      <c r="K301" s="66">
        <f t="shared" si="34"/>
        <v>0</v>
      </c>
      <c r="L301" s="63">
        <f t="shared" si="35"/>
        <v>0</v>
      </c>
      <c r="M301" s="63">
        <f t="shared" si="36"/>
        <v>0</v>
      </c>
      <c r="N301" s="63">
        <f t="shared" si="37"/>
        <v>0</v>
      </c>
      <c r="O301" s="63">
        <f t="shared" si="38"/>
        <v>0</v>
      </c>
      <c r="P301" s="63">
        <f t="shared" si="39"/>
        <v>60.595200000000013</v>
      </c>
      <c r="Q301" s="561">
        <f t="shared" si="48"/>
        <v>0</v>
      </c>
      <c r="R301" s="174"/>
      <c r="T301" s="82"/>
      <c r="U301" s="82"/>
      <c r="V301" s="82"/>
      <c r="W301" s="82"/>
      <c r="X301" s="82"/>
      <c r="Y301" s="82"/>
      <c r="Z301" s="82"/>
      <c r="AA301" s="82"/>
      <c r="AB301" s="82"/>
    </row>
    <row r="302" spans="1:28" s="85" customFormat="1" x14ac:dyDescent="0.25">
      <c r="A302" s="82"/>
      <c r="B302" s="82"/>
      <c r="C302" s="82"/>
      <c r="D302" s="729"/>
      <c r="E302" s="371" t="s">
        <v>113</v>
      </c>
      <c r="F302" s="372">
        <v>13</v>
      </c>
      <c r="G302" s="373">
        <f>2*92</f>
        <v>184</v>
      </c>
      <c r="H302" s="374">
        <v>5</v>
      </c>
      <c r="I302" s="375">
        <v>0.28999999999999998</v>
      </c>
      <c r="J302" s="376">
        <f t="shared" si="32"/>
        <v>53.36</v>
      </c>
      <c r="K302" s="66">
        <f t="shared" si="34"/>
        <v>8.2174399999999999</v>
      </c>
      <c r="L302" s="63">
        <f t="shared" si="35"/>
        <v>0</v>
      </c>
      <c r="M302" s="63">
        <f t="shared" si="36"/>
        <v>0</v>
      </c>
      <c r="N302" s="63">
        <f t="shared" si="37"/>
        <v>0</v>
      </c>
      <c r="O302" s="63">
        <f t="shared" si="38"/>
        <v>0</v>
      </c>
      <c r="P302" s="63">
        <f t="shared" si="39"/>
        <v>0</v>
      </c>
      <c r="Q302" s="561">
        <f t="shared" si="48"/>
        <v>0</v>
      </c>
      <c r="R302" s="174"/>
      <c r="T302" s="82"/>
      <c r="U302" s="82"/>
      <c r="V302" s="82"/>
      <c r="W302" s="82"/>
      <c r="X302" s="82"/>
      <c r="Y302" s="82"/>
      <c r="Z302" s="82"/>
      <c r="AA302" s="82"/>
      <c r="AB302" s="82"/>
    </row>
    <row r="303" spans="1:28" s="85" customFormat="1" x14ac:dyDescent="0.25">
      <c r="A303" s="82"/>
      <c r="B303" s="82"/>
      <c r="C303" s="82"/>
      <c r="D303" s="729"/>
      <c r="E303" s="371" t="s">
        <v>113</v>
      </c>
      <c r="F303" s="372">
        <v>14</v>
      </c>
      <c r="G303" s="373">
        <f>2*19</f>
        <v>38</v>
      </c>
      <c r="H303" s="374">
        <v>5</v>
      </c>
      <c r="I303" s="375">
        <v>1.47</v>
      </c>
      <c r="J303" s="376">
        <f t="shared" si="32"/>
        <v>55.86</v>
      </c>
      <c r="K303" s="66">
        <f t="shared" si="34"/>
        <v>8.6024399999999996</v>
      </c>
      <c r="L303" s="63">
        <f t="shared" si="35"/>
        <v>0</v>
      </c>
      <c r="M303" s="63">
        <f t="shared" si="36"/>
        <v>0</v>
      </c>
      <c r="N303" s="63">
        <f t="shared" si="37"/>
        <v>0</v>
      </c>
      <c r="O303" s="63">
        <f t="shared" si="38"/>
        <v>0</v>
      </c>
      <c r="P303" s="63">
        <f t="shared" si="39"/>
        <v>0</v>
      </c>
      <c r="Q303" s="561">
        <f t="shared" si="48"/>
        <v>0</v>
      </c>
      <c r="R303" s="174"/>
      <c r="T303" s="82"/>
      <c r="U303" s="82"/>
      <c r="V303" s="82"/>
      <c r="W303" s="82"/>
      <c r="X303" s="82"/>
      <c r="Y303" s="82"/>
      <c r="Z303" s="82"/>
      <c r="AA303" s="82"/>
      <c r="AB303" s="82"/>
    </row>
    <row r="304" spans="1:28" s="85" customFormat="1" x14ac:dyDescent="0.25">
      <c r="A304" s="82"/>
      <c r="B304" s="82"/>
      <c r="C304" s="82"/>
      <c r="D304" s="729"/>
      <c r="E304" s="371" t="s">
        <v>113</v>
      </c>
      <c r="F304" s="372">
        <v>15</v>
      </c>
      <c r="G304" s="373">
        <f>2*8</f>
        <v>16</v>
      </c>
      <c r="H304" s="374">
        <v>5</v>
      </c>
      <c r="I304" s="375">
        <v>0.94</v>
      </c>
      <c r="J304" s="376">
        <f t="shared" si="32"/>
        <v>15.04</v>
      </c>
      <c r="K304" s="66">
        <f t="shared" si="34"/>
        <v>2.31616</v>
      </c>
      <c r="L304" s="63">
        <f t="shared" si="35"/>
        <v>0</v>
      </c>
      <c r="M304" s="63">
        <f t="shared" si="36"/>
        <v>0</v>
      </c>
      <c r="N304" s="63">
        <f t="shared" si="37"/>
        <v>0</v>
      </c>
      <c r="O304" s="63">
        <f t="shared" si="38"/>
        <v>0</v>
      </c>
      <c r="P304" s="63">
        <f t="shared" si="39"/>
        <v>0</v>
      </c>
      <c r="Q304" s="561">
        <f t="shared" si="48"/>
        <v>0</v>
      </c>
      <c r="R304" s="174"/>
      <c r="T304" s="82"/>
      <c r="U304" s="82"/>
      <c r="V304" s="82"/>
      <c r="W304" s="82"/>
      <c r="X304" s="82"/>
      <c r="Y304" s="82"/>
      <c r="Z304" s="82"/>
      <c r="AA304" s="82"/>
      <c r="AB304" s="82"/>
    </row>
    <row r="305" spans="1:28" s="85" customFormat="1" x14ac:dyDescent="0.25">
      <c r="A305" s="82"/>
      <c r="B305" s="82"/>
      <c r="C305" s="82"/>
      <c r="D305" s="729"/>
      <c r="E305" s="371" t="s">
        <v>113</v>
      </c>
      <c r="F305" s="372">
        <v>26</v>
      </c>
      <c r="G305" s="373">
        <f>2*12</f>
        <v>24</v>
      </c>
      <c r="H305" s="374">
        <v>16</v>
      </c>
      <c r="I305" s="375">
        <v>3.98</v>
      </c>
      <c r="J305" s="376">
        <f t="shared" si="32"/>
        <v>95.52</v>
      </c>
      <c r="K305" s="66">
        <f t="shared" si="34"/>
        <v>0</v>
      </c>
      <c r="L305" s="63">
        <f t="shared" si="35"/>
        <v>0</v>
      </c>
      <c r="M305" s="63">
        <f t="shared" si="36"/>
        <v>0</v>
      </c>
      <c r="N305" s="63">
        <f t="shared" si="37"/>
        <v>0</v>
      </c>
      <c r="O305" s="63">
        <f t="shared" si="38"/>
        <v>0</v>
      </c>
      <c r="P305" s="63">
        <f t="shared" si="39"/>
        <v>150.73056</v>
      </c>
      <c r="Q305" s="561">
        <f t="shared" si="48"/>
        <v>0</v>
      </c>
      <c r="R305" s="174"/>
      <c r="T305" s="82"/>
      <c r="U305" s="82"/>
      <c r="V305" s="82"/>
      <c r="W305" s="82"/>
      <c r="X305" s="82"/>
      <c r="Y305" s="82"/>
      <c r="Z305" s="82"/>
      <c r="AA305" s="82"/>
      <c r="AB305" s="82"/>
    </row>
    <row r="306" spans="1:28" s="85" customFormat="1" x14ac:dyDescent="0.25">
      <c r="A306" s="82"/>
      <c r="B306" s="82"/>
      <c r="C306" s="82"/>
      <c r="D306" s="729"/>
      <c r="E306" s="396" t="s">
        <v>184</v>
      </c>
      <c r="F306" s="403">
        <v>12</v>
      </c>
      <c r="G306" s="397">
        <f>44+28</f>
        <v>72</v>
      </c>
      <c r="H306" s="398">
        <v>5</v>
      </c>
      <c r="I306" s="399">
        <v>0.28999999999999998</v>
      </c>
      <c r="J306" s="400">
        <f t="shared" si="32"/>
        <v>20.88</v>
      </c>
      <c r="K306" s="401">
        <f t="shared" si="34"/>
        <v>3.2155199999999997</v>
      </c>
      <c r="L306" s="196">
        <f t="shared" si="35"/>
        <v>0</v>
      </c>
      <c r="M306" s="196">
        <f t="shared" si="36"/>
        <v>0</v>
      </c>
      <c r="N306" s="196">
        <f t="shared" si="37"/>
        <v>0</v>
      </c>
      <c r="O306" s="196">
        <f t="shared" si="38"/>
        <v>0</v>
      </c>
      <c r="P306" s="196">
        <f t="shared" si="39"/>
        <v>0</v>
      </c>
      <c r="Q306" s="566">
        <f t="shared" si="48"/>
        <v>0</v>
      </c>
      <c r="R306" s="538"/>
      <c r="T306" s="82"/>
      <c r="U306" s="82"/>
      <c r="V306" s="82"/>
      <c r="W306" s="82"/>
      <c r="X306" s="82"/>
      <c r="Y306" s="82"/>
      <c r="Z306" s="82"/>
      <c r="AA306" s="82"/>
      <c r="AB306" s="82"/>
    </row>
    <row r="307" spans="1:28" s="85" customFormat="1" x14ac:dyDescent="0.25">
      <c r="A307" s="82"/>
      <c r="B307" s="82"/>
      <c r="C307" s="82"/>
      <c r="D307" s="729"/>
      <c r="E307" s="371" t="s">
        <v>184</v>
      </c>
      <c r="F307" s="372">
        <v>13</v>
      </c>
      <c r="G307" s="373">
        <f>9+6</f>
        <v>15</v>
      </c>
      <c r="H307" s="374">
        <v>5</v>
      </c>
      <c r="I307" s="375">
        <v>1.47</v>
      </c>
      <c r="J307" s="376">
        <f t="shared" si="32"/>
        <v>22.05</v>
      </c>
      <c r="K307" s="66">
        <f t="shared" si="34"/>
        <v>3.3957000000000002</v>
      </c>
      <c r="L307" s="63">
        <f t="shared" si="35"/>
        <v>0</v>
      </c>
      <c r="M307" s="63">
        <f t="shared" si="36"/>
        <v>0</v>
      </c>
      <c r="N307" s="63">
        <f t="shared" si="37"/>
        <v>0</v>
      </c>
      <c r="O307" s="63">
        <f t="shared" si="38"/>
        <v>0</v>
      </c>
      <c r="P307" s="63">
        <f t="shared" si="39"/>
        <v>0</v>
      </c>
      <c r="Q307" s="562">
        <f t="shared" si="48"/>
        <v>0</v>
      </c>
      <c r="R307" s="377"/>
      <c r="T307" s="82"/>
      <c r="U307" s="82"/>
      <c r="V307" s="82"/>
      <c r="W307" s="82"/>
      <c r="X307" s="82"/>
      <c r="Y307" s="82"/>
      <c r="Z307" s="82"/>
      <c r="AA307" s="82"/>
      <c r="AB307" s="82"/>
    </row>
    <row r="308" spans="1:28" s="85" customFormat="1" x14ac:dyDescent="0.25">
      <c r="A308" s="82"/>
      <c r="B308" s="82"/>
      <c r="C308" s="82"/>
      <c r="D308" s="729"/>
      <c r="E308" s="371" t="s">
        <v>184</v>
      </c>
      <c r="F308" s="372">
        <v>14</v>
      </c>
      <c r="G308" s="373">
        <f>4+2</f>
        <v>6</v>
      </c>
      <c r="H308" s="374">
        <v>5</v>
      </c>
      <c r="I308" s="375">
        <v>0.94</v>
      </c>
      <c r="J308" s="376">
        <f t="shared" si="32"/>
        <v>5.64</v>
      </c>
      <c r="K308" s="66">
        <f t="shared" si="34"/>
        <v>0.86855999999999989</v>
      </c>
      <c r="L308" s="63">
        <f t="shared" si="35"/>
        <v>0</v>
      </c>
      <c r="M308" s="63">
        <f t="shared" si="36"/>
        <v>0</v>
      </c>
      <c r="N308" s="63">
        <f t="shared" si="37"/>
        <v>0</v>
      </c>
      <c r="O308" s="63">
        <f t="shared" si="38"/>
        <v>0</v>
      </c>
      <c r="P308" s="63">
        <f t="shared" si="39"/>
        <v>0</v>
      </c>
      <c r="Q308" s="562">
        <f t="shared" si="48"/>
        <v>0</v>
      </c>
      <c r="R308" s="377"/>
      <c r="T308" s="82"/>
      <c r="U308" s="82"/>
      <c r="V308" s="82"/>
      <c r="W308" s="82"/>
      <c r="X308" s="82"/>
      <c r="Y308" s="82"/>
      <c r="Z308" s="82"/>
      <c r="AA308" s="82"/>
      <c r="AB308" s="82"/>
    </row>
    <row r="309" spans="1:28" s="85" customFormat="1" ht="13.8" thickBot="1" x14ac:dyDescent="0.3">
      <c r="A309" s="82"/>
      <c r="B309" s="82"/>
      <c r="C309" s="82"/>
      <c r="D309" s="731"/>
      <c r="E309" s="390" t="s">
        <v>184</v>
      </c>
      <c r="F309" s="391">
        <v>36</v>
      </c>
      <c r="G309" s="392">
        <f>12+12</f>
        <v>24</v>
      </c>
      <c r="H309" s="393">
        <v>16</v>
      </c>
      <c r="I309" s="394">
        <v>1.02</v>
      </c>
      <c r="J309" s="395">
        <f t="shared" si="32"/>
        <v>24.48</v>
      </c>
      <c r="K309" s="221">
        <f t="shared" si="34"/>
        <v>0</v>
      </c>
      <c r="L309" s="222">
        <f t="shared" si="35"/>
        <v>0</v>
      </c>
      <c r="M309" s="222">
        <f t="shared" si="36"/>
        <v>0</v>
      </c>
      <c r="N309" s="222">
        <f t="shared" si="37"/>
        <v>0</v>
      </c>
      <c r="O309" s="222">
        <f t="shared" si="38"/>
        <v>0</v>
      </c>
      <c r="P309" s="222">
        <f t="shared" si="39"/>
        <v>38.629440000000002</v>
      </c>
      <c r="Q309" s="564">
        <f t="shared" si="48"/>
        <v>0</v>
      </c>
      <c r="R309" s="539"/>
      <c r="T309" s="82"/>
      <c r="U309" s="82"/>
      <c r="V309" s="82"/>
      <c r="W309" s="82"/>
      <c r="X309" s="82"/>
      <c r="Y309" s="82"/>
      <c r="Z309" s="82"/>
      <c r="AA309" s="82"/>
      <c r="AB309" s="82"/>
    </row>
    <row r="310" spans="1:28" s="16" customFormat="1" ht="15.6" customHeight="1" thickTop="1" thickBot="1" x14ac:dyDescent="0.3">
      <c r="D310" s="776" t="s">
        <v>323</v>
      </c>
      <c r="E310" s="777"/>
      <c r="F310" s="777"/>
      <c r="G310" s="777"/>
      <c r="H310" s="777"/>
      <c r="I310" s="777"/>
      <c r="J310" s="777"/>
      <c r="K310" s="777"/>
      <c r="L310" s="777"/>
      <c r="M310" s="777"/>
      <c r="N310" s="777"/>
      <c r="O310" s="777"/>
      <c r="P310" s="777"/>
      <c r="Q310" s="777"/>
      <c r="R310" s="777"/>
      <c r="S310" s="557"/>
    </row>
    <row r="311" spans="1:28" s="85" customFormat="1" ht="13.8" thickTop="1" x14ac:dyDescent="0.25">
      <c r="A311" s="82"/>
      <c r="B311" s="82"/>
      <c r="C311" s="82"/>
      <c r="D311" s="728" t="s">
        <v>1342</v>
      </c>
      <c r="E311" s="384" t="s">
        <v>49</v>
      </c>
      <c r="F311" s="385">
        <v>1</v>
      </c>
      <c r="G311" s="386">
        <v>20</v>
      </c>
      <c r="H311" s="387">
        <v>5</v>
      </c>
      <c r="I311" s="388">
        <v>0.24</v>
      </c>
      <c r="J311" s="389">
        <f t="shared" si="32"/>
        <v>4.8</v>
      </c>
      <c r="K311" s="218">
        <f t="shared" si="34"/>
        <v>0.73919999999999997</v>
      </c>
      <c r="L311" s="219">
        <f t="shared" si="35"/>
        <v>0</v>
      </c>
      <c r="M311" s="219">
        <f t="shared" si="36"/>
        <v>0</v>
      </c>
      <c r="N311" s="219">
        <f t="shared" si="37"/>
        <v>0</v>
      </c>
      <c r="O311" s="219">
        <f t="shared" si="38"/>
        <v>0</v>
      </c>
      <c r="P311" s="219">
        <f t="shared" si="39"/>
        <v>0</v>
      </c>
      <c r="Q311" s="563">
        <f t="shared" si="48"/>
        <v>0</v>
      </c>
      <c r="R311" s="220"/>
      <c r="T311" s="82"/>
      <c r="U311" s="82"/>
      <c r="V311" s="82"/>
      <c r="W311" s="82"/>
      <c r="X311" s="82"/>
      <c r="Y311" s="82"/>
      <c r="Z311" s="82"/>
      <c r="AA311" s="82"/>
      <c r="AB311" s="82"/>
    </row>
    <row r="312" spans="1:28" s="85" customFormat="1" x14ac:dyDescent="0.25">
      <c r="A312" s="82"/>
      <c r="B312" s="82"/>
      <c r="C312" s="82"/>
      <c r="D312" s="729"/>
      <c r="E312" s="371" t="s">
        <v>49</v>
      </c>
      <c r="F312" s="372">
        <v>2</v>
      </c>
      <c r="G312" s="373">
        <v>6</v>
      </c>
      <c r="H312" s="374">
        <v>5</v>
      </c>
      <c r="I312" s="375">
        <v>0.97</v>
      </c>
      <c r="J312" s="376">
        <f t="shared" si="32"/>
        <v>5.82</v>
      </c>
      <c r="K312" s="66">
        <f t="shared" si="34"/>
        <v>0.89628000000000008</v>
      </c>
      <c r="L312" s="63">
        <f t="shared" si="35"/>
        <v>0</v>
      </c>
      <c r="M312" s="63">
        <f t="shared" si="36"/>
        <v>0</v>
      </c>
      <c r="N312" s="63">
        <f t="shared" si="37"/>
        <v>0</v>
      </c>
      <c r="O312" s="63">
        <f t="shared" si="38"/>
        <v>0</v>
      </c>
      <c r="P312" s="63">
        <f t="shared" si="39"/>
        <v>0</v>
      </c>
      <c r="Q312" s="561">
        <f t="shared" si="48"/>
        <v>0</v>
      </c>
      <c r="R312" s="174"/>
      <c r="T312" s="82"/>
      <c r="U312" s="82"/>
      <c r="V312" s="82"/>
      <c r="W312" s="82"/>
      <c r="X312" s="82"/>
      <c r="Y312" s="82"/>
      <c r="Z312" s="82"/>
      <c r="AA312" s="82"/>
      <c r="AB312" s="82"/>
    </row>
    <row r="313" spans="1:28" s="85" customFormat="1" x14ac:dyDescent="0.25">
      <c r="A313" s="82"/>
      <c r="B313" s="82"/>
      <c r="C313" s="82"/>
      <c r="D313" s="729"/>
      <c r="E313" s="371" t="s">
        <v>49</v>
      </c>
      <c r="F313" s="372">
        <v>3</v>
      </c>
      <c r="G313" s="373">
        <v>8</v>
      </c>
      <c r="H313" s="374">
        <v>5</v>
      </c>
      <c r="I313" s="375">
        <v>0.64</v>
      </c>
      <c r="J313" s="376">
        <f t="shared" si="32"/>
        <v>5.12</v>
      </c>
      <c r="K313" s="66">
        <f t="shared" si="34"/>
        <v>0.78847999999999996</v>
      </c>
      <c r="L313" s="63">
        <f t="shared" si="35"/>
        <v>0</v>
      </c>
      <c r="M313" s="63">
        <f t="shared" si="36"/>
        <v>0</v>
      </c>
      <c r="N313" s="63">
        <f t="shared" si="37"/>
        <v>0</v>
      </c>
      <c r="O313" s="63">
        <f t="shared" si="38"/>
        <v>0</v>
      </c>
      <c r="P313" s="63">
        <f t="shared" si="39"/>
        <v>0</v>
      </c>
      <c r="Q313" s="561">
        <f t="shared" si="48"/>
        <v>0</v>
      </c>
      <c r="R313" s="174"/>
      <c r="T313" s="82"/>
      <c r="U313" s="82"/>
      <c r="V313" s="82"/>
      <c r="W313" s="82"/>
      <c r="X313" s="82"/>
      <c r="Y313" s="82"/>
      <c r="Z313" s="82"/>
      <c r="AA313" s="82"/>
      <c r="AB313" s="82"/>
    </row>
    <row r="314" spans="1:28" s="85" customFormat="1" x14ac:dyDescent="0.25">
      <c r="A314" s="82"/>
      <c r="B314" s="82"/>
      <c r="C314" s="82"/>
      <c r="D314" s="729"/>
      <c r="E314" s="371" t="s">
        <v>49</v>
      </c>
      <c r="F314" s="372">
        <v>26</v>
      </c>
      <c r="G314" s="373">
        <v>8</v>
      </c>
      <c r="H314" s="374">
        <v>12.5</v>
      </c>
      <c r="I314" s="375">
        <v>1.55</v>
      </c>
      <c r="J314" s="376">
        <f t="shared" si="32"/>
        <v>12.4</v>
      </c>
      <c r="K314" s="66">
        <f t="shared" si="34"/>
        <v>0</v>
      </c>
      <c r="L314" s="63">
        <f t="shared" si="35"/>
        <v>0</v>
      </c>
      <c r="M314" s="63">
        <f t="shared" si="36"/>
        <v>0</v>
      </c>
      <c r="N314" s="63">
        <f t="shared" si="37"/>
        <v>0</v>
      </c>
      <c r="O314" s="63">
        <f t="shared" si="38"/>
        <v>11.9412</v>
      </c>
      <c r="P314" s="63">
        <f t="shared" si="39"/>
        <v>0</v>
      </c>
      <c r="Q314" s="561">
        <f t="shared" si="48"/>
        <v>0</v>
      </c>
      <c r="R314" s="174"/>
      <c r="T314" s="82"/>
      <c r="U314" s="82"/>
      <c r="V314" s="82"/>
      <c r="W314" s="82"/>
      <c r="X314" s="82"/>
      <c r="Y314" s="82"/>
      <c r="Z314" s="82"/>
      <c r="AA314" s="82"/>
      <c r="AB314" s="82"/>
    </row>
    <row r="315" spans="1:28" s="85" customFormat="1" x14ac:dyDescent="0.25">
      <c r="A315" s="82"/>
      <c r="B315" s="82"/>
      <c r="C315" s="82"/>
      <c r="D315" s="729"/>
      <c r="E315" s="371" t="s">
        <v>113</v>
      </c>
      <c r="F315" s="372">
        <v>4</v>
      </c>
      <c r="G315" s="373">
        <v>48</v>
      </c>
      <c r="H315" s="374">
        <v>5</v>
      </c>
      <c r="I315" s="375">
        <v>0.24</v>
      </c>
      <c r="J315" s="376">
        <f t="shared" si="32"/>
        <v>11.52</v>
      </c>
      <c r="K315" s="66">
        <f t="shared" si="34"/>
        <v>1.7740799999999999</v>
      </c>
      <c r="L315" s="63">
        <f t="shared" si="35"/>
        <v>0</v>
      </c>
      <c r="M315" s="63">
        <f t="shared" si="36"/>
        <v>0</v>
      </c>
      <c r="N315" s="63">
        <f t="shared" si="37"/>
        <v>0</v>
      </c>
      <c r="O315" s="63">
        <f t="shared" si="38"/>
        <v>0</v>
      </c>
      <c r="P315" s="63">
        <f t="shared" si="39"/>
        <v>0</v>
      </c>
      <c r="Q315" s="561">
        <f t="shared" si="48"/>
        <v>0</v>
      </c>
      <c r="R315" s="174"/>
      <c r="T315" s="82"/>
      <c r="U315" s="82"/>
      <c r="V315" s="82"/>
      <c r="W315" s="82"/>
      <c r="X315" s="82"/>
      <c r="Y315" s="82"/>
      <c r="Z315" s="82"/>
      <c r="AA315" s="82"/>
      <c r="AB315" s="82"/>
    </row>
    <row r="316" spans="1:28" s="85" customFormat="1" x14ac:dyDescent="0.25">
      <c r="A316" s="82"/>
      <c r="B316" s="82"/>
      <c r="C316" s="82"/>
      <c r="D316" s="729"/>
      <c r="E316" s="371" t="s">
        <v>113</v>
      </c>
      <c r="F316" s="372">
        <v>5</v>
      </c>
      <c r="G316" s="373">
        <v>20</v>
      </c>
      <c r="H316" s="374">
        <v>5</v>
      </c>
      <c r="I316" s="375">
        <v>0.97</v>
      </c>
      <c r="J316" s="376">
        <f t="shared" si="32"/>
        <v>19.399999999999999</v>
      </c>
      <c r="K316" s="66">
        <f t="shared" si="34"/>
        <v>2.9875999999999996</v>
      </c>
      <c r="L316" s="63">
        <f t="shared" si="35"/>
        <v>0</v>
      </c>
      <c r="M316" s="63">
        <f t="shared" si="36"/>
        <v>0</v>
      </c>
      <c r="N316" s="63">
        <f t="shared" si="37"/>
        <v>0</v>
      </c>
      <c r="O316" s="63">
        <f t="shared" si="38"/>
        <v>0</v>
      </c>
      <c r="P316" s="63">
        <f t="shared" si="39"/>
        <v>0</v>
      </c>
      <c r="Q316" s="561">
        <f t="shared" si="48"/>
        <v>0</v>
      </c>
      <c r="R316" s="174"/>
      <c r="T316" s="82"/>
      <c r="U316" s="82"/>
      <c r="V316" s="82"/>
      <c r="W316" s="82"/>
      <c r="X316" s="82"/>
      <c r="Y316" s="82"/>
      <c r="Z316" s="82"/>
      <c r="AA316" s="82"/>
      <c r="AB316" s="82"/>
    </row>
    <row r="317" spans="1:28" s="85" customFormat="1" x14ac:dyDescent="0.25">
      <c r="A317" s="82"/>
      <c r="B317" s="82"/>
      <c r="C317" s="82"/>
      <c r="D317" s="729"/>
      <c r="E317" s="371" t="s">
        <v>113</v>
      </c>
      <c r="F317" s="372">
        <v>6</v>
      </c>
      <c r="G317" s="373">
        <v>8</v>
      </c>
      <c r="H317" s="374">
        <v>5</v>
      </c>
      <c r="I317" s="375">
        <v>0.64</v>
      </c>
      <c r="J317" s="376">
        <f t="shared" si="32"/>
        <v>5.12</v>
      </c>
      <c r="K317" s="66">
        <f t="shared" si="34"/>
        <v>0.78847999999999996</v>
      </c>
      <c r="L317" s="63">
        <f t="shared" si="35"/>
        <v>0</v>
      </c>
      <c r="M317" s="63">
        <f t="shared" si="36"/>
        <v>0</v>
      </c>
      <c r="N317" s="63">
        <f t="shared" si="37"/>
        <v>0</v>
      </c>
      <c r="O317" s="63">
        <f t="shared" si="38"/>
        <v>0</v>
      </c>
      <c r="P317" s="63">
        <f t="shared" si="39"/>
        <v>0</v>
      </c>
      <c r="Q317" s="561">
        <f t="shared" si="48"/>
        <v>0</v>
      </c>
      <c r="R317" s="174"/>
      <c r="T317" s="82"/>
      <c r="U317" s="82"/>
      <c r="V317" s="82"/>
      <c r="W317" s="82"/>
      <c r="X317" s="82"/>
      <c r="Y317" s="82"/>
      <c r="Z317" s="82"/>
      <c r="AA317" s="82"/>
      <c r="AB317" s="82"/>
    </row>
    <row r="318" spans="1:28" s="85" customFormat="1" x14ac:dyDescent="0.25">
      <c r="A318" s="82"/>
      <c r="B318" s="82"/>
      <c r="C318" s="82"/>
      <c r="D318" s="729"/>
      <c r="E318" s="371" t="s">
        <v>113</v>
      </c>
      <c r="F318" s="372">
        <v>28</v>
      </c>
      <c r="G318" s="373">
        <v>8</v>
      </c>
      <c r="H318" s="374">
        <v>12.5</v>
      </c>
      <c r="I318" s="375">
        <v>3.87</v>
      </c>
      <c r="J318" s="376">
        <f t="shared" si="32"/>
        <v>30.96</v>
      </c>
      <c r="K318" s="66">
        <f t="shared" si="34"/>
        <v>0</v>
      </c>
      <c r="L318" s="63">
        <f t="shared" si="35"/>
        <v>0</v>
      </c>
      <c r="M318" s="63">
        <f t="shared" si="36"/>
        <v>0</v>
      </c>
      <c r="N318" s="63">
        <f t="shared" si="37"/>
        <v>0</v>
      </c>
      <c r="O318" s="63">
        <f t="shared" si="38"/>
        <v>29.81448</v>
      </c>
      <c r="P318" s="63">
        <f t="shared" si="39"/>
        <v>0</v>
      </c>
      <c r="Q318" s="561">
        <f t="shared" si="48"/>
        <v>0</v>
      </c>
      <c r="R318" s="174"/>
      <c r="T318" s="82"/>
      <c r="U318" s="82"/>
      <c r="V318" s="82"/>
      <c r="W318" s="82"/>
      <c r="X318" s="82"/>
      <c r="Y318" s="82"/>
      <c r="Z318" s="82"/>
      <c r="AA318" s="82"/>
      <c r="AB318" s="82"/>
    </row>
    <row r="319" spans="1:28" s="85" customFormat="1" x14ac:dyDescent="0.25">
      <c r="A319" s="82"/>
      <c r="B319" s="82"/>
      <c r="C319" s="82"/>
      <c r="D319" s="729"/>
      <c r="E319" s="396" t="s">
        <v>184</v>
      </c>
      <c r="F319" s="403">
        <v>4</v>
      </c>
      <c r="G319" s="397">
        <v>14</v>
      </c>
      <c r="H319" s="398">
        <v>5</v>
      </c>
      <c r="I319" s="399">
        <v>0.24</v>
      </c>
      <c r="J319" s="400">
        <f t="shared" si="32"/>
        <v>3.36</v>
      </c>
      <c r="K319" s="401">
        <f t="shared" si="34"/>
        <v>0.51744000000000001</v>
      </c>
      <c r="L319" s="196">
        <f t="shared" si="35"/>
        <v>0</v>
      </c>
      <c r="M319" s="196">
        <f t="shared" si="36"/>
        <v>0</v>
      </c>
      <c r="N319" s="196">
        <f t="shared" si="37"/>
        <v>0</v>
      </c>
      <c r="O319" s="196">
        <f t="shared" si="38"/>
        <v>0</v>
      </c>
      <c r="P319" s="196">
        <f t="shared" si="39"/>
        <v>0</v>
      </c>
      <c r="Q319" s="566">
        <f t="shared" si="48"/>
        <v>0</v>
      </c>
      <c r="R319" s="538"/>
      <c r="T319" s="82"/>
      <c r="U319" s="82"/>
      <c r="V319" s="82"/>
      <c r="W319" s="82"/>
      <c r="X319" s="82"/>
      <c r="Y319" s="82"/>
      <c r="Z319" s="82"/>
      <c r="AA319" s="82"/>
      <c r="AB319" s="82"/>
    </row>
    <row r="320" spans="1:28" s="85" customFormat="1" x14ac:dyDescent="0.25">
      <c r="A320" s="82"/>
      <c r="B320" s="82"/>
      <c r="C320" s="82"/>
      <c r="D320" s="729"/>
      <c r="E320" s="371" t="s">
        <v>184</v>
      </c>
      <c r="F320" s="372">
        <v>5</v>
      </c>
      <c r="G320" s="373">
        <v>6</v>
      </c>
      <c r="H320" s="374">
        <v>5</v>
      </c>
      <c r="I320" s="375">
        <v>0.97</v>
      </c>
      <c r="J320" s="376">
        <f t="shared" si="32"/>
        <v>5.82</v>
      </c>
      <c r="K320" s="66">
        <f t="shared" si="34"/>
        <v>0.89628000000000008</v>
      </c>
      <c r="L320" s="63">
        <f t="shared" si="35"/>
        <v>0</v>
      </c>
      <c r="M320" s="63">
        <f t="shared" si="36"/>
        <v>0</v>
      </c>
      <c r="N320" s="63">
        <f t="shared" si="37"/>
        <v>0</v>
      </c>
      <c r="O320" s="63">
        <f t="shared" si="38"/>
        <v>0</v>
      </c>
      <c r="P320" s="63">
        <f t="shared" si="39"/>
        <v>0</v>
      </c>
      <c r="Q320" s="562">
        <f t="shared" si="48"/>
        <v>0</v>
      </c>
      <c r="R320" s="377"/>
      <c r="T320" s="82"/>
      <c r="U320" s="82"/>
      <c r="V320" s="82"/>
      <c r="W320" s="82"/>
      <c r="X320" s="82"/>
      <c r="Y320" s="82"/>
      <c r="Z320" s="82"/>
      <c r="AA320" s="82"/>
      <c r="AB320" s="82"/>
    </row>
    <row r="321" spans="1:28" s="85" customFormat="1" x14ac:dyDescent="0.25">
      <c r="A321" s="82"/>
      <c r="B321" s="82"/>
      <c r="C321" s="82"/>
      <c r="D321" s="729"/>
      <c r="E321" s="371" t="s">
        <v>184</v>
      </c>
      <c r="F321" s="372">
        <v>6</v>
      </c>
      <c r="G321" s="373">
        <v>2</v>
      </c>
      <c r="H321" s="374">
        <v>5</v>
      </c>
      <c r="I321" s="375">
        <v>0.64</v>
      </c>
      <c r="J321" s="376">
        <f t="shared" si="32"/>
        <v>1.28</v>
      </c>
      <c r="K321" s="66">
        <f t="shared" si="34"/>
        <v>0.19711999999999999</v>
      </c>
      <c r="L321" s="63">
        <f t="shared" si="35"/>
        <v>0</v>
      </c>
      <c r="M321" s="63">
        <f t="shared" si="36"/>
        <v>0</v>
      </c>
      <c r="N321" s="63">
        <f t="shared" si="37"/>
        <v>0</v>
      </c>
      <c r="O321" s="63">
        <f t="shared" si="38"/>
        <v>0</v>
      </c>
      <c r="P321" s="63">
        <f t="shared" si="39"/>
        <v>0</v>
      </c>
      <c r="Q321" s="562">
        <f t="shared" si="48"/>
        <v>0</v>
      </c>
      <c r="R321" s="377"/>
      <c r="T321" s="82"/>
      <c r="U321" s="82"/>
      <c r="V321" s="82"/>
      <c r="W321" s="82"/>
      <c r="X321" s="82"/>
      <c r="Y321" s="82"/>
      <c r="Z321" s="82"/>
      <c r="AA321" s="82"/>
      <c r="AB321" s="82"/>
    </row>
    <row r="322" spans="1:28" s="85" customFormat="1" ht="13.8" thickBot="1" x14ac:dyDescent="0.3">
      <c r="A322" s="82"/>
      <c r="B322" s="82"/>
      <c r="C322" s="82"/>
      <c r="D322" s="731"/>
      <c r="E322" s="390" t="s">
        <v>184</v>
      </c>
      <c r="F322" s="391">
        <v>44</v>
      </c>
      <c r="G322" s="392">
        <v>8</v>
      </c>
      <c r="H322" s="393">
        <v>12.5</v>
      </c>
      <c r="I322" s="394">
        <v>1.02</v>
      </c>
      <c r="J322" s="395">
        <f t="shared" si="32"/>
        <v>8.16</v>
      </c>
      <c r="K322" s="221">
        <f t="shared" si="34"/>
        <v>0</v>
      </c>
      <c r="L322" s="222">
        <f t="shared" si="35"/>
        <v>0</v>
      </c>
      <c r="M322" s="222">
        <f t="shared" si="36"/>
        <v>0</v>
      </c>
      <c r="N322" s="222">
        <f t="shared" si="37"/>
        <v>0</v>
      </c>
      <c r="O322" s="222">
        <f t="shared" si="38"/>
        <v>7.8580800000000002</v>
      </c>
      <c r="P322" s="222">
        <f t="shared" si="39"/>
        <v>0</v>
      </c>
      <c r="Q322" s="564">
        <f t="shared" si="48"/>
        <v>0</v>
      </c>
      <c r="R322" s="539"/>
      <c r="T322" s="82"/>
      <c r="U322" s="82"/>
      <c r="V322" s="82"/>
      <c r="W322" s="82"/>
      <c r="X322" s="82"/>
      <c r="Y322" s="82"/>
      <c r="Z322" s="82"/>
      <c r="AA322" s="82"/>
      <c r="AB322" s="82"/>
    </row>
    <row r="323" spans="1:28" s="85" customFormat="1" ht="13.8" thickTop="1" x14ac:dyDescent="0.25">
      <c r="A323" s="82"/>
      <c r="B323" s="82"/>
      <c r="C323" s="82"/>
      <c r="D323" s="728" t="s">
        <v>1344</v>
      </c>
      <c r="E323" s="384" t="s">
        <v>49</v>
      </c>
      <c r="F323" s="385">
        <v>5</v>
      </c>
      <c r="G323" s="386">
        <v>3</v>
      </c>
      <c r="H323" s="387">
        <v>5</v>
      </c>
      <c r="I323" s="388">
        <v>1.77</v>
      </c>
      <c r="J323" s="389">
        <f t="shared" si="32"/>
        <v>5.3100000000000005</v>
      </c>
      <c r="K323" s="218">
        <f t="shared" si="34"/>
        <v>0.81774000000000002</v>
      </c>
      <c r="L323" s="219">
        <f t="shared" si="35"/>
        <v>0</v>
      </c>
      <c r="M323" s="219">
        <f t="shared" si="36"/>
        <v>0</v>
      </c>
      <c r="N323" s="219">
        <f t="shared" si="37"/>
        <v>0</v>
      </c>
      <c r="O323" s="219">
        <f t="shared" si="38"/>
        <v>0</v>
      </c>
      <c r="P323" s="219">
        <f t="shared" si="39"/>
        <v>0</v>
      </c>
      <c r="Q323" s="563">
        <f t="shared" si="48"/>
        <v>0</v>
      </c>
      <c r="R323" s="220"/>
      <c r="T323" s="82"/>
      <c r="U323" s="82"/>
      <c r="V323" s="82"/>
      <c r="W323" s="82"/>
      <c r="X323" s="82"/>
      <c r="Y323" s="82"/>
      <c r="Z323" s="82"/>
      <c r="AA323" s="82"/>
      <c r="AB323" s="82"/>
    </row>
    <row r="324" spans="1:28" s="85" customFormat="1" x14ac:dyDescent="0.25">
      <c r="A324" s="82"/>
      <c r="B324" s="82"/>
      <c r="C324" s="82"/>
      <c r="D324" s="729"/>
      <c r="E324" s="371" t="s">
        <v>49</v>
      </c>
      <c r="F324" s="372">
        <v>6</v>
      </c>
      <c r="G324" s="373">
        <v>6</v>
      </c>
      <c r="H324" s="374">
        <v>5</v>
      </c>
      <c r="I324" s="375">
        <v>1.1399999999999999</v>
      </c>
      <c r="J324" s="376">
        <f t="shared" si="32"/>
        <v>6.84</v>
      </c>
      <c r="K324" s="66">
        <f t="shared" si="34"/>
        <v>1.0533600000000001</v>
      </c>
      <c r="L324" s="63">
        <f t="shared" si="35"/>
        <v>0</v>
      </c>
      <c r="M324" s="63">
        <f t="shared" si="36"/>
        <v>0</v>
      </c>
      <c r="N324" s="63">
        <f t="shared" si="37"/>
        <v>0</v>
      </c>
      <c r="O324" s="63">
        <f t="shared" si="38"/>
        <v>0</v>
      </c>
      <c r="P324" s="63">
        <f t="shared" si="39"/>
        <v>0</v>
      </c>
      <c r="Q324" s="561">
        <f t="shared" si="48"/>
        <v>0</v>
      </c>
      <c r="R324" s="174"/>
      <c r="T324" s="82"/>
      <c r="U324" s="82"/>
      <c r="V324" s="82"/>
      <c r="W324" s="82"/>
      <c r="X324" s="82"/>
      <c r="Y324" s="82"/>
      <c r="Z324" s="82"/>
      <c r="AA324" s="82"/>
      <c r="AB324" s="82"/>
    </row>
    <row r="325" spans="1:28" s="85" customFormat="1" x14ac:dyDescent="0.25">
      <c r="A325" s="82"/>
      <c r="B325" s="82"/>
      <c r="C325" s="82"/>
      <c r="D325" s="729"/>
      <c r="E325" s="371" t="s">
        <v>49</v>
      </c>
      <c r="F325" s="372">
        <v>7</v>
      </c>
      <c r="G325" s="373">
        <v>12</v>
      </c>
      <c r="H325" s="374">
        <v>5</v>
      </c>
      <c r="I325" s="375">
        <v>0.34</v>
      </c>
      <c r="J325" s="376">
        <f t="shared" si="32"/>
        <v>4.08</v>
      </c>
      <c r="K325" s="66">
        <f t="shared" si="34"/>
        <v>0.62831999999999999</v>
      </c>
      <c r="L325" s="63">
        <f t="shared" si="35"/>
        <v>0</v>
      </c>
      <c r="M325" s="63">
        <f t="shared" si="36"/>
        <v>0</v>
      </c>
      <c r="N325" s="63">
        <f t="shared" si="37"/>
        <v>0</v>
      </c>
      <c r="O325" s="63">
        <f t="shared" si="38"/>
        <v>0</v>
      </c>
      <c r="P325" s="63">
        <f t="shared" si="39"/>
        <v>0</v>
      </c>
      <c r="Q325" s="561">
        <f t="shared" si="48"/>
        <v>0</v>
      </c>
      <c r="R325" s="174"/>
      <c r="T325" s="82"/>
      <c r="U325" s="82"/>
      <c r="V325" s="82"/>
      <c r="W325" s="82"/>
      <c r="X325" s="82"/>
      <c r="Y325" s="82"/>
      <c r="Z325" s="82"/>
      <c r="AA325" s="82"/>
      <c r="AB325" s="82"/>
    </row>
    <row r="326" spans="1:28" s="85" customFormat="1" x14ac:dyDescent="0.25">
      <c r="A326" s="82"/>
      <c r="B326" s="82"/>
      <c r="C326" s="82"/>
      <c r="D326" s="729"/>
      <c r="E326" s="371" t="s">
        <v>49</v>
      </c>
      <c r="F326" s="372">
        <v>29</v>
      </c>
      <c r="G326" s="373">
        <v>8</v>
      </c>
      <c r="H326" s="374">
        <v>16</v>
      </c>
      <c r="I326" s="375">
        <v>1.6</v>
      </c>
      <c r="J326" s="376">
        <f t="shared" si="32"/>
        <v>12.8</v>
      </c>
      <c r="K326" s="66">
        <f t="shared" si="34"/>
        <v>0</v>
      </c>
      <c r="L326" s="63">
        <f t="shared" si="35"/>
        <v>0</v>
      </c>
      <c r="M326" s="63">
        <f t="shared" si="36"/>
        <v>0</v>
      </c>
      <c r="N326" s="63">
        <f t="shared" si="37"/>
        <v>0</v>
      </c>
      <c r="O326" s="63">
        <f t="shared" si="38"/>
        <v>0</v>
      </c>
      <c r="P326" s="63">
        <f t="shared" si="39"/>
        <v>20.198400000000003</v>
      </c>
      <c r="Q326" s="561">
        <f t="shared" si="48"/>
        <v>0</v>
      </c>
      <c r="R326" s="174"/>
      <c r="T326" s="82"/>
      <c r="U326" s="82"/>
      <c r="V326" s="82"/>
      <c r="W326" s="82"/>
      <c r="X326" s="82"/>
      <c r="Y326" s="82"/>
      <c r="Z326" s="82"/>
      <c r="AA326" s="82"/>
      <c r="AB326" s="82"/>
    </row>
    <row r="327" spans="1:28" s="85" customFormat="1" x14ac:dyDescent="0.25">
      <c r="A327" s="82"/>
      <c r="B327" s="82"/>
      <c r="C327" s="82"/>
      <c r="D327" s="729"/>
      <c r="E327" s="371" t="s">
        <v>113</v>
      </c>
      <c r="F327" s="372">
        <v>12</v>
      </c>
      <c r="G327" s="373">
        <v>16</v>
      </c>
      <c r="H327" s="374">
        <v>5</v>
      </c>
      <c r="I327" s="375">
        <v>1.77</v>
      </c>
      <c r="J327" s="376">
        <f t="shared" si="32"/>
        <v>28.32</v>
      </c>
      <c r="K327" s="66">
        <f t="shared" si="34"/>
        <v>4.3612799999999998</v>
      </c>
      <c r="L327" s="63">
        <f t="shared" si="35"/>
        <v>0</v>
      </c>
      <c r="M327" s="63">
        <f t="shared" si="36"/>
        <v>0</v>
      </c>
      <c r="N327" s="63">
        <f t="shared" si="37"/>
        <v>0</v>
      </c>
      <c r="O327" s="63">
        <f t="shared" si="38"/>
        <v>0</v>
      </c>
      <c r="P327" s="63">
        <f t="shared" si="39"/>
        <v>0</v>
      </c>
      <c r="Q327" s="561">
        <f t="shared" si="48"/>
        <v>0</v>
      </c>
      <c r="R327" s="174"/>
      <c r="T327" s="82"/>
      <c r="U327" s="82"/>
      <c r="V327" s="82"/>
      <c r="W327" s="82"/>
      <c r="X327" s="82"/>
      <c r="Y327" s="82"/>
      <c r="Z327" s="82"/>
      <c r="AA327" s="82"/>
      <c r="AB327" s="82"/>
    </row>
    <row r="328" spans="1:28" s="85" customFormat="1" x14ac:dyDescent="0.25">
      <c r="A328" s="82"/>
      <c r="B328" s="82"/>
      <c r="C328" s="82"/>
      <c r="D328" s="729"/>
      <c r="E328" s="371" t="s">
        <v>113</v>
      </c>
      <c r="F328" s="372">
        <v>13</v>
      </c>
      <c r="G328" s="373">
        <v>6</v>
      </c>
      <c r="H328" s="374">
        <v>5</v>
      </c>
      <c r="I328" s="375">
        <v>1.1399999999999999</v>
      </c>
      <c r="J328" s="376">
        <f t="shared" si="32"/>
        <v>6.84</v>
      </c>
      <c r="K328" s="66">
        <f t="shared" si="34"/>
        <v>1.0533600000000001</v>
      </c>
      <c r="L328" s="63">
        <f t="shared" si="35"/>
        <v>0</v>
      </c>
      <c r="M328" s="63">
        <f t="shared" si="36"/>
        <v>0</v>
      </c>
      <c r="N328" s="63">
        <f t="shared" si="37"/>
        <v>0</v>
      </c>
      <c r="O328" s="63">
        <f t="shared" si="38"/>
        <v>0</v>
      </c>
      <c r="P328" s="63">
        <f t="shared" si="39"/>
        <v>0</v>
      </c>
      <c r="Q328" s="561">
        <f t="shared" si="48"/>
        <v>0</v>
      </c>
      <c r="R328" s="174"/>
      <c r="T328" s="82"/>
      <c r="U328" s="82"/>
      <c r="V328" s="82"/>
      <c r="W328" s="82"/>
      <c r="X328" s="82"/>
      <c r="Y328" s="82"/>
      <c r="Z328" s="82"/>
      <c r="AA328" s="82"/>
      <c r="AB328" s="82"/>
    </row>
    <row r="329" spans="1:28" s="85" customFormat="1" x14ac:dyDescent="0.25">
      <c r="A329" s="82"/>
      <c r="B329" s="82"/>
      <c r="C329" s="82"/>
      <c r="D329" s="729"/>
      <c r="E329" s="371" t="s">
        <v>113</v>
      </c>
      <c r="F329" s="372">
        <v>14</v>
      </c>
      <c r="G329" s="373">
        <v>38</v>
      </c>
      <c r="H329" s="374">
        <v>5</v>
      </c>
      <c r="I329" s="375">
        <v>0.34</v>
      </c>
      <c r="J329" s="376">
        <f t="shared" si="32"/>
        <v>12.920000000000002</v>
      </c>
      <c r="K329" s="66">
        <f t="shared" si="34"/>
        <v>1.9896800000000003</v>
      </c>
      <c r="L329" s="63">
        <f t="shared" si="35"/>
        <v>0</v>
      </c>
      <c r="M329" s="63">
        <f t="shared" si="36"/>
        <v>0</v>
      </c>
      <c r="N329" s="63">
        <f t="shared" si="37"/>
        <v>0</v>
      </c>
      <c r="O329" s="63">
        <f t="shared" si="38"/>
        <v>0</v>
      </c>
      <c r="P329" s="63">
        <f t="shared" si="39"/>
        <v>0</v>
      </c>
      <c r="Q329" s="561">
        <f t="shared" si="48"/>
        <v>0</v>
      </c>
      <c r="R329" s="174"/>
      <c r="T329" s="82"/>
      <c r="U329" s="82"/>
      <c r="V329" s="82"/>
      <c r="W329" s="82"/>
      <c r="X329" s="82"/>
      <c r="Y329" s="82"/>
      <c r="Z329" s="82"/>
      <c r="AA329" s="82"/>
      <c r="AB329" s="82"/>
    </row>
    <row r="330" spans="1:28" s="85" customFormat="1" ht="13.8" thickBot="1" x14ac:dyDescent="0.3">
      <c r="A330" s="82"/>
      <c r="B330" s="82"/>
      <c r="C330" s="82"/>
      <c r="D330" s="729"/>
      <c r="E330" s="371" t="s">
        <v>113</v>
      </c>
      <c r="F330" s="372">
        <v>29</v>
      </c>
      <c r="G330" s="373">
        <v>8</v>
      </c>
      <c r="H330" s="374">
        <v>16</v>
      </c>
      <c r="I330" s="375">
        <v>3.42</v>
      </c>
      <c r="J330" s="376">
        <f t="shared" si="32"/>
        <v>27.36</v>
      </c>
      <c r="K330" s="66">
        <f t="shared" si="34"/>
        <v>0</v>
      </c>
      <c r="L330" s="63">
        <f t="shared" si="35"/>
        <v>0</v>
      </c>
      <c r="M330" s="63">
        <f t="shared" si="36"/>
        <v>0</v>
      </c>
      <c r="N330" s="63">
        <f t="shared" si="37"/>
        <v>0</v>
      </c>
      <c r="O330" s="63">
        <f t="shared" si="38"/>
        <v>0</v>
      </c>
      <c r="P330" s="63">
        <f t="shared" si="39"/>
        <v>43.174080000000004</v>
      </c>
      <c r="Q330" s="561">
        <f t="shared" si="48"/>
        <v>0</v>
      </c>
      <c r="R330" s="174"/>
      <c r="T330" s="82"/>
      <c r="U330" s="82"/>
      <c r="V330" s="82"/>
      <c r="W330" s="82"/>
      <c r="X330" s="82"/>
      <c r="Y330" s="82"/>
      <c r="Z330" s="82"/>
      <c r="AA330" s="82"/>
      <c r="AB330" s="82"/>
    </row>
    <row r="331" spans="1:28" s="85" customFormat="1" ht="13.8" thickTop="1" x14ac:dyDescent="0.25">
      <c r="A331" s="82"/>
      <c r="B331" s="82"/>
      <c r="C331" s="82"/>
      <c r="D331" s="728" t="s">
        <v>1345</v>
      </c>
      <c r="E331" s="384" t="s">
        <v>49</v>
      </c>
      <c r="F331" s="385">
        <v>4</v>
      </c>
      <c r="G331" s="386">
        <f>2*27</f>
        <v>54</v>
      </c>
      <c r="H331" s="387">
        <v>5</v>
      </c>
      <c r="I331" s="388">
        <v>0.33</v>
      </c>
      <c r="J331" s="389">
        <f t="shared" ref="J331:J504" si="50">G331*I331</f>
        <v>17.82</v>
      </c>
      <c r="K331" s="218">
        <f t="shared" si="34"/>
        <v>2.7442799999999998</v>
      </c>
      <c r="L331" s="219">
        <f t="shared" si="35"/>
        <v>0</v>
      </c>
      <c r="M331" s="219">
        <f t="shared" si="36"/>
        <v>0</v>
      </c>
      <c r="N331" s="219">
        <f t="shared" si="37"/>
        <v>0</v>
      </c>
      <c r="O331" s="219">
        <f t="shared" si="38"/>
        <v>0</v>
      </c>
      <c r="P331" s="219">
        <f t="shared" si="39"/>
        <v>0</v>
      </c>
      <c r="Q331" s="563">
        <f t="shared" si="48"/>
        <v>0</v>
      </c>
      <c r="R331" s="220"/>
      <c r="T331" s="82"/>
      <c r="U331" s="82"/>
      <c r="V331" s="82"/>
      <c r="W331" s="82"/>
      <c r="X331" s="82"/>
      <c r="Y331" s="82"/>
      <c r="Z331" s="82"/>
      <c r="AA331" s="82"/>
      <c r="AB331" s="82"/>
    </row>
    <row r="332" spans="1:28" s="85" customFormat="1" x14ac:dyDescent="0.25">
      <c r="A332" s="82"/>
      <c r="B332" s="82"/>
      <c r="C332" s="82"/>
      <c r="D332" s="729"/>
      <c r="E332" s="371" t="s">
        <v>49</v>
      </c>
      <c r="F332" s="372">
        <v>5</v>
      </c>
      <c r="G332" s="373">
        <f>2*5</f>
        <v>10</v>
      </c>
      <c r="H332" s="374">
        <v>5</v>
      </c>
      <c r="I332" s="375">
        <v>1.77</v>
      </c>
      <c r="J332" s="376">
        <f t="shared" si="50"/>
        <v>17.7</v>
      </c>
      <c r="K332" s="66">
        <f t="shared" si="34"/>
        <v>2.7258</v>
      </c>
      <c r="L332" s="63">
        <f t="shared" si="35"/>
        <v>0</v>
      </c>
      <c r="M332" s="63">
        <f t="shared" si="36"/>
        <v>0</v>
      </c>
      <c r="N332" s="63">
        <f t="shared" si="37"/>
        <v>0</v>
      </c>
      <c r="O332" s="63">
        <f t="shared" si="38"/>
        <v>0</v>
      </c>
      <c r="P332" s="63">
        <f t="shared" si="39"/>
        <v>0</v>
      </c>
      <c r="Q332" s="561">
        <f t="shared" si="48"/>
        <v>0</v>
      </c>
      <c r="R332" s="174"/>
      <c r="T332" s="82"/>
      <c r="U332" s="82"/>
      <c r="V332" s="82"/>
      <c r="W332" s="82"/>
      <c r="X332" s="82"/>
      <c r="Y332" s="82"/>
      <c r="Z332" s="82"/>
      <c r="AA332" s="82"/>
      <c r="AB332" s="82"/>
    </row>
    <row r="333" spans="1:28" s="85" customFormat="1" x14ac:dyDescent="0.25">
      <c r="A333" s="82"/>
      <c r="B333" s="82"/>
      <c r="C333" s="82"/>
      <c r="D333" s="729"/>
      <c r="E333" s="371" t="s">
        <v>49</v>
      </c>
      <c r="F333" s="372">
        <v>6</v>
      </c>
      <c r="G333" s="373">
        <f>2*8</f>
        <v>16</v>
      </c>
      <c r="H333" s="374">
        <v>5</v>
      </c>
      <c r="I333" s="375">
        <v>1.1399999999999999</v>
      </c>
      <c r="J333" s="376">
        <f t="shared" si="50"/>
        <v>18.239999999999998</v>
      </c>
      <c r="K333" s="66">
        <f t="shared" si="34"/>
        <v>2.8089599999999999</v>
      </c>
      <c r="L333" s="63">
        <f t="shared" si="35"/>
        <v>0</v>
      </c>
      <c r="M333" s="63">
        <f t="shared" si="36"/>
        <v>0</v>
      </c>
      <c r="N333" s="63">
        <f t="shared" si="37"/>
        <v>0</v>
      </c>
      <c r="O333" s="63">
        <f t="shared" si="38"/>
        <v>0</v>
      </c>
      <c r="P333" s="63">
        <f t="shared" si="39"/>
        <v>0</v>
      </c>
      <c r="Q333" s="561">
        <f t="shared" si="48"/>
        <v>0</v>
      </c>
      <c r="R333" s="174"/>
      <c r="T333" s="82"/>
      <c r="U333" s="82"/>
      <c r="V333" s="82"/>
      <c r="W333" s="82"/>
      <c r="X333" s="82"/>
      <c r="Y333" s="82"/>
      <c r="Z333" s="82"/>
      <c r="AA333" s="82"/>
      <c r="AB333" s="82"/>
    </row>
    <row r="334" spans="1:28" s="85" customFormat="1" x14ac:dyDescent="0.25">
      <c r="A334" s="82"/>
      <c r="B334" s="82"/>
      <c r="C334" s="82"/>
      <c r="D334" s="729"/>
      <c r="E334" s="371" t="s">
        <v>49</v>
      </c>
      <c r="F334" s="372">
        <v>30</v>
      </c>
      <c r="G334" s="373">
        <f>2*10</f>
        <v>20</v>
      </c>
      <c r="H334" s="374">
        <v>20</v>
      </c>
      <c r="I334" s="375">
        <v>1.72</v>
      </c>
      <c r="J334" s="376">
        <f t="shared" si="50"/>
        <v>34.4</v>
      </c>
      <c r="K334" s="66">
        <f t="shared" si="34"/>
        <v>0</v>
      </c>
      <c r="L334" s="63">
        <f t="shared" si="35"/>
        <v>0</v>
      </c>
      <c r="M334" s="63">
        <f t="shared" si="36"/>
        <v>0</v>
      </c>
      <c r="N334" s="63">
        <f t="shared" si="37"/>
        <v>0</v>
      </c>
      <c r="O334" s="63">
        <f t="shared" si="38"/>
        <v>0</v>
      </c>
      <c r="P334" s="63">
        <f t="shared" si="39"/>
        <v>0</v>
      </c>
      <c r="Q334" s="561">
        <f t="shared" si="48"/>
        <v>84.830399999999997</v>
      </c>
      <c r="R334" s="174"/>
      <c r="T334" s="82"/>
      <c r="U334" s="82"/>
      <c r="V334" s="82"/>
      <c r="W334" s="82"/>
      <c r="X334" s="82"/>
      <c r="Y334" s="82"/>
      <c r="Z334" s="82"/>
      <c r="AA334" s="82"/>
      <c r="AB334" s="82"/>
    </row>
    <row r="335" spans="1:28" s="85" customFormat="1" x14ac:dyDescent="0.25">
      <c r="A335" s="82"/>
      <c r="B335" s="82"/>
      <c r="C335" s="82"/>
      <c r="D335" s="729"/>
      <c r="E335" s="371" t="s">
        <v>113</v>
      </c>
      <c r="F335" s="372">
        <v>7</v>
      </c>
      <c r="G335" s="373">
        <f>2*81</f>
        <v>162</v>
      </c>
      <c r="H335" s="374">
        <v>5</v>
      </c>
      <c r="I335" s="375">
        <v>0.33</v>
      </c>
      <c r="J335" s="376">
        <f t="shared" si="50"/>
        <v>53.46</v>
      </c>
      <c r="K335" s="66">
        <f t="shared" si="34"/>
        <v>8.2328399999999995</v>
      </c>
      <c r="L335" s="63">
        <f t="shared" si="35"/>
        <v>0</v>
      </c>
      <c r="M335" s="63">
        <f t="shared" si="36"/>
        <v>0</v>
      </c>
      <c r="N335" s="63">
        <f t="shared" si="37"/>
        <v>0</v>
      </c>
      <c r="O335" s="63">
        <f t="shared" si="38"/>
        <v>0</v>
      </c>
      <c r="P335" s="63">
        <f t="shared" si="39"/>
        <v>0</v>
      </c>
      <c r="Q335" s="561">
        <f t="shared" si="48"/>
        <v>0</v>
      </c>
      <c r="R335" s="174"/>
      <c r="T335" s="82"/>
      <c r="U335" s="82"/>
      <c r="V335" s="82"/>
      <c r="W335" s="82"/>
      <c r="X335" s="82"/>
      <c r="Y335" s="82"/>
      <c r="Z335" s="82"/>
      <c r="AA335" s="82"/>
      <c r="AB335" s="82"/>
    </row>
    <row r="336" spans="1:28" s="85" customFormat="1" x14ac:dyDescent="0.25">
      <c r="A336" s="82"/>
      <c r="B336" s="82"/>
      <c r="C336" s="82"/>
      <c r="D336" s="729"/>
      <c r="E336" s="371" t="s">
        <v>113</v>
      </c>
      <c r="F336" s="372">
        <v>12</v>
      </c>
      <c r="G336" s="373">
        <f>2*23</f>
        <v>46</v>
      </c>
      <c r="H336" s="374">
        <v>5</v>
      </c>
      <c r="I336" s="375">
        <v>1.77</v>
      </c>
      <c r="J336" s="376">
        <f t="shared" si="50"/>
        <v>81.42</v>
      </c>
      <c r="K336" s="66">
        <f t="shared" si="34"/>
        <v>12.538679999999999</v>
      </c>
      <c r="L336" s="63">
        <f t="shared" si="35"/>
        <v>0</v>
      </c>
      <c r="M336" s="63">
        <f t="shared" si="36"/>
        <v>0</v>
      </c>
      <c r="N336" s="63">
        <f t="shared" si="37"/>
        <v>0</v>
      </c>
      <c r="O336" s="63">
        <f t="shared" si="38"/>
        <v>0</v>
      </c>
      <c r="P336" s="63">
        <f t="shared" si="39"/>
        <v>0</v>
      </c>
      <c r="Q336" s="561">
        <f t="shared" si="48"/>
        <v>0</v>
      </c>
      <c r="R336" s="174"/>
      <c r="T336" s="82"/>
      <c r="U336" s="82"/>
      <c r="V336" s="82"/>
      <c r="W336" s="82"/>
      <c r="X336" s="82"/>
      <c r="Y336" s="82"/>
      <c r="Z336" s="82"/>
      <c r="AA336" s="82"/>
      <c r="AB336" s="82"/>
    </row>
    <row r="337" spans="1:28" s="85" customFormat="1" x14ac:dyDescent="0.25">
      <c r="A337" s="82"/>
      <c r="B337" s="82"/>
      <c r="C337" s="82"/>
      <c r="D337" s="729"/>
      <c r="E337" s="371" t="s">
        <v>113</v>
      </c>
      <c r="F337" s="372">
        <v>13</v>
      </c>
      <c r="G337" s="373">
        <f>2*8</f>
        <v>16</v>
      </c>
      <c r="H337" s="374">
        <v>5</v>
      </c>
      <c r="I337" s="375">
        <v>1.1399999999999999</v>
      </c>
      <c r="J337" s="376">
        <f t="shared" si="50"/>
        <v>18.239999999999998</v>
      </c>
      <c r="K337" s="66">
        <f t="shared" si="34"/>
        <v>2.8089599999999999</v>
      </c>
      <c r="L337" s="63">
        <f t="shared" si="35"/>
        <v>0</v>
      </c>
      <c r="M337" s="63">
        <f t="shared" si="36"/>
        <v>0</v>
      </c>
      <c r="N337" s="63">
        <f t="shared" si="37"/>
        <v>0</v>
      </c>
      <c r="O337" s="63">
        <f t="shared" si="38"/>
        <v>0</v>
      </c>
      <c r="P337" s="63">
        <f t="shared" si="39"/>
        <v>0</v>
      </c>
      <c r="Q337" s="561">
        <f t="shared" si="48"/>
        <v>0</v>
      </c>
      <c r="R337" s="174"/>
      <c r="T337" s="82"/>
      <c r="U337" s="82"/>
      <c r="V337" s="82"/>
      <c r="W337" s="82"/>
      <c r="X337" s="82"/>
      <c r="Y337" s="82"/>
      <c r="Z337" s="82"/>
      <c r="AA337" s="82"/>
      <c r="AB337" s="82"/>
    </row>
    <row r="338" spans="1:28" s="85" customFormat="1" x14ac:dyDescent="0.25">
      <c r="A338" s="82"/>
      <c r="B338" s="82"/>
      <c r="C338" s="82"/>
      <c r="D338" s="729"/>
      <c r="E338" s="371" t="s">
        <v>113</v>
      </c>
      <c r="F338" s="372">
        <v>30</v>
      </c>
      <c r="G338" s="373">
        <f>2*10</f>
        <v>20</v>
      </c>
      <c r="H338" s="374">
        <v>20</v>
      </c>
      <c r="I338" s="375">
        <v>4.12</v>
      </c>
      <c r="J338" s="376">
        <f t="shared" si="50"/>
        <v>82.4</v>
      </c>
      <c r="K338" s="66">
        <f t="shared" si="34"/>
        <v>0</v>
      </c>
      <c r="L338" s="63">
        <f t="shared" si="35"/>
        <v>0</v>
      </c>
      <c r="M338" s="63">
        <f t="shared" si="36"/>
        <v>0</v>
      </c>
      <c r="N338" s="63">
        <f t="shared" si="37"/>
        <v>0</v>
      </c>
      <c r="O338" s="63">
        <f t="shared" si="38"/>
        <v>0</v>
      </c>
      <c r="P338" s="63">
        <f t="shared" si="39"/>
        <v>0</v>
      </c>
      <c r="Q338" s="561">
        <f t="shared" si="48"/>
        <v>203.19840000000002</v>
      </c>
      <c r="R338" s="174"/>
      <c r="T338" s="82"/>
      <c r="U338" s="82"/>
      <c r="V338" s="82"/>
      <c r="W338" s="82"/>
      <c r="X338" s="82"/>
      <c r="Y338" s="82"/>
      <c r="Z338" s="82"/>
      <c r="AA338" s="82"/>
      <c r="AB338" s="82"/>
    </row>
    <row r="339" spans="1:28" s="85" customFormat="1" x14ac:dyDescent="0.25">
      <c r="A339" s="82"/>
      <c r="B339" s="82"/>
      <c r="C339" s="82"/>
      <c r="D339" s="729"/>
      <c r="E339" s="396" t="s">
        <v>184</v>
      </c>
      <c r="F339" s="403">
        <v>7</v>
      </c>
      <c r="G339" s="397">
        <f>18+27</f>
        <v>45</v>
      </c>
      <c r="H339" s="398">
        <v>5</v>
      </c>
      <c r="I339" s="399">
        <v>0.33</v>
      </c>
      <c r="J339" s="400">
        <f t="shared" si="50"/>
        <v>14.850000000000001</v>
      </c>
      <c r="K339" s="401">
        <f t="shared" si="34"/>
        <v>2.2869000000000002</v>
      </c>
      <c r="L339" s="196">
        <f t="shared" si="35"/>
        <v>0</v>
      </c>
      <c r="M339" s="196">
        <f t="shared" si="36"/>
        <v>0</v>
      </c>
      <c r="N339" s="196">
        <f t="shared" si="37"/>
        <v>0</v>
      </c>
      <c r="O339" s="196">
        <f t="shared" si="38"/>
        <v>0</v>
      </c>
      <c r="P339" s="196">
        <f t="shared" si="39"/>
        <v>0</v>
      </c>
      <c r="Q339" s="566">
        <f t="shared" si="48"/>
        <v>0</v>
      </c>
      <c r="R339" s="538"/>
      <c r="T339" s="82"/>
      <c r="U339" s="82"/>
      <c r="V339" s="82"/>
      <c r="W339" s="82"/>
      <c r="X339" s="82"/>
      <c r="Y339" s="82"/>
      <c r="Z339" s="82"/>
      <c r="AA339" s="82"/>
      <c r="AB339" s="82"/>
    </row>
    <row r="340" spans="1:28" s="85" customFormat="1" x14ac:dyDescent="0.25">
      <c r="A340" s="82"/>
      <c r="B340" s="82"/>
      <c r="C340" s="82"/>
      <c r="D340" s="729"/>
      <c r="E340" s="371" t="s">
        <v>184</v>
      </c>
      <c r="F340" s="372">
        <v>12</v>
      </c>
      <c r="G340" s="373">
        <f>5+7</f>
        <v>12</v>
      </c>
      <c r="H340" s="374">
        <v>5</v>
      </c>
      <c r="I340" s="375">
        <v>1.77</v>
      </c>
      <c r="J340" s="376">
        <f t="shared" si="50"/>
        <v>21.240000000000002</v>
      </c>
      <c r="K340" s="66">
        <f t="shared" si="34"/>
        <v>3.2709600000000001</v>
      </c>
      <c r="L340" s="63">
        <f t="shared" si="35"/>
        <v>0</v>
      </c>
      <c r="M340" s="63">
        <f t="shared" si="36"/>
        <v>0</v>
      </c>
      <c r="N340" s="63">
        <f t="shared" si="37"/>
        <v>0</v>
      </c>
      <c r="O340" s="63">
        <f t="shared" si="38"/>
        <v>0</v>
      </c>
      <c r="P340" s="63">
        <f t="shared" si="39"/>
        <v>0</v>
      </c>
      <c r="Q340" s="562">
        <f t="shared" si="48"/>
        <v>0</v>
      </c>
      <c r="R340" s="377"/>
      <c r="T340" s="82"/>
      <c r="U340" s="82"/>
      <c r="V340" s="82"/>
      <c r="W340" s="82"/>
      <c r="X340" s="82"/>
      <c r="Y340" s="82"/>
      <c r="Z340" s="82"/>
      <c r="AA340" s="82"/>
      <c r="AB340" s="82"/>
    </row>
    <row r="341" spans="1:28" s="85" customFormat="1" x14ac:dyDescent="0.25">
      <c r="A341" s="82"/>
      <c r="B341" s="82"/>
      <c r="C341" s="82"/>
      <c r="D341" s="729"/>
      <c r="E341" s="371" t="s">
        <v>184</v>
      </c>
      <c r="F341" s="372">
        <v>13</v>
      </c>
      <c r="G341" s="373">
        <f>2+4</f>
        <v>6</v>
      </c>
      <c r="H341" s="374">
        <v>5</v>
      </c>
      <c r="I341" s="375">
        <v>1.1399999999999999</v>
      </c>
      <c r="J341" s="376">
        <f t="shared" si="50"/>
        <v>6.84</v>
      </c>
      <c r="K341" s="66">
        <f t="shared" si="34"/>
        <v>1.0533600000000001</v>
      </c>
      <c r="L341" s="63">
        <f t="shared" si="35"/>
        <v>0</v>
      </c>
      <c r="M341" s="63">
        <f t="shared" si="36"/>
        <v>0</v>
      </c>
      <c r="N341" s="63">
        <f t="shared" si="37"/>
        <v>0</v>
      </c>
      <c r="O341" s="63">
        <f t="shared" si="38"/>
        <v>0</v>
      </c>
      <c r="P341" s="63">
        <f t="shared" si="39"/>
        <v>0</v>
      </c>
      <c r="Q341" s="562">
        <f t="shared" si="48"/>
        <v>0</v>
      </c>
      <c r="R341" s="377"/>
      <c r="T341" s="82"/>
      <c r="U341" s="82"/>
      <c r="V341" s="82"/>
      <c r="W341" s="82"/>
      <c r="X341" s="82"/>
      <c r="Y341" s="82"/>
      <c r="Z341" s="82"/>
      <c r="AA341" s="82"/>
      <c r="AB341" s="82"/>
    </row>
    <row r="342" spans="1:28" s="85" customFormat="1" ht="13.8" thickBot="1" x14ac:dyDescent="0.3">
      <c r="A342" s="82"/>
      <c r="B342" s="82"/>
      <c r="C342" s="82"/>
      <c r="D342" s="731"/>
      <c r="E342" s="390" t="s">
        <v>184</v>
      </c>
      <c r="F342" s="391">
        <v>45</v>
      </c>
      <c r="G342" s="392">
        <f>2*10</f>
        <v>20</v>
      </c>
      <c r="H342" s="393">
        <v>20</v>
      </c>
      <c r="I342" s="394">
        <v>1.02</v>
      </c>
      <c r="J342" s="395">
        <f t="shared" si="50"/>
        <v>20.399999999999999</v>
      </c>
      <c r="K342" s="221">
        <f t="shared" si="34"/>
        <v>0</v>
      </c>
      <c r="L342" s="222">
        <f t="shared" si="35"/>
        <v>0</v>
      </c>
      <c r="M342" s="222">
        <f t="shared" si="36"/>
        <v>0</v>
      </c>
      <c r="N342" s="222">
        <f t="shared" si="37"/>
        <v>0</v>
      </c>
      <c r="O342" s="222">
        <f t="shared" si="38"/>
        <v>0</v>
      </c>
      <c r="P342" s="222">
        <f t="shared" si="39"/>
        <v>0</v>
      </c>
      <c r="Q342" s="564">
        <f t="shared" si="48"/>
        <v>50.306400000000004</v>
      </c>
      <c r="R342" s="539"/>
      <c r="T342" s="82"/>
      <c r="U342" s="82"/>
      <c r="V342" s="82"/>
      <c r="W342" s="82"/>
      <c r="X342" s="82"/>
      <c r="Y342" s="82"/>
      <c r="Z342" s="82"/>
      <c r="AA342" s="82"/>
      <c r="AB342" s="82"/>
    </row>
    <row r="343" spans="1:28" s="85" customFormat="1" ht="13.8" thickTop="1" x14ac:dyDescent="0.25">
      <c r="A343" s="82"/>
      <c r="B343" s="82"/>
      <c r="C343" s="82"/>
      <c r="D343" s="728" t="s">
        <v>1347</v>
      </c>
      <c r="E343" s="384" t="s">
        <v>49</v>
      </c>
      <c r="F343" s="385">
        <v>8</v>
      </c>
      <c r="G343" s="386">
        <v>27</v>
      </c>
      <c r="H343" s="387">
        <v>5</v>
      </c>
      <c r="I343" s="388">
        <v>0.24</v>
      </c>
      <c r="J343" s="389">
        <f t="shared" si="50"/>
        <v>6.4799999999999995</v>
      </c>
      <c r="K343" s="218">
        <f t="shared" ref="K343:K516" si="51">IF($H343=5,$J343*$B$21,0)</f>
        <v>0.99791999999999992</v>
      </c>
      <c r="L343" s="219">
        <f t="shared" ref="L343:L516" si="52">IF($H343=6.3,$J343*$B$22,0)</f>
        <v>0</v>
      </c>
      <c r="M343" s="219">
        <f t="shared" ref="M343:M516" si="53">IF($H343=8,$J343*$B$23,0)</f>
        <v>0</v>
      </c>
      <c r="N343" s="219">
        <f t="shared" ref="N343:N516" si="54">IF($H343=10,$J343*$B$24,0)</f>
        <v>0</v>
      </c>
      <c r="O343" s="219">
        <f t="shared" ref="O343:O516" si="55">IF($H343=12.5,$J343*$B$26,0)</f>
        <v>0</v>
      </c>
      <c r="P343" s="219">
        <f t="shared" ref="P343:P516" si="56">IF($H343=16,$J343*$B$27,0)</f>
        <v>0</v>
      </c>
      <c r="Q343" s="563">
        <f t="shared" ref="Q343:Q409" si="57">IF($H343=20,$J343*$B$28,0)</f>
        <v>0</v>
      </c>
      <c r="R343" s="220"/>
      <c r="T343" s="82"/>
      <c r="U343" s="82"/>
      <c r="V343" s="82"/>
      <c r="W343" s="82"/>
      <c r="X343" s="82"/>
      <c r="Y343" s="82"/>
      <c r="Z343" s="82"/>
      <c r="AA343" s="82"/>
      <c r="AB343" s="82"/>
    </row>
    <row r="344" spans="1:28" s="85" customFormat="1" x14ac:dyDescent="0.25">
      <c r="A344" s="82"/>
      <c r="B344" s="82"/>
      <c r="C344" s="82"/>
      <c r="D344" s="729"/>
      <c r="E344" s="371" t="s">
        <v>49</v>
      </c>
      <c r="F344" s="372">
        <v>9</v>
      </c>
      <c r="G344" s="373">
        <v>5</v>
      </c>
      <c r="H344" s="374">
        <v>5</v>
      </c>
      <c r="I344" s="375">
        <v>2.0699999999999998</v>
      </c>
      <c r="J344" s="376">
        <f t="shared" si="50"/>
        <v>10.35</v>
      </c>
      <c r="K344" s="66">
        <f t="shared" si="51"/>
        <v>1.5938999999999999</v>
      </c>
      <c r="L344" s="63">
        <f t="shared" si="52"/>
        <v>0</v>
      </c>
      <c r="M344" s="63">
        <f t="shared" si="53"/>
        <v>0</v>
      </c>
      <c r="N344" s="63">
        <f t="shared" si="54"/>
        <v>0</v>
      </c>
      <c r="O344" s="63">
        <f t="shared" si="55"/>
        <v>0</v>
      </c>
      <c r="P344" s="63">
        <f t="shared" si="56"/>
        <v>0</v>
      </c>
      <c r="Q344" s="561">
        <f t="shared" si="57"/>
        <v>0</v>
      </c>
      <c r="R344" s="174"/>
      <c r="T344" s="82"/>
      <c r="U344" s="82"/>
      <c r="V344" s="82"/>
      <c r="W344" s="82"/>
      <c r="X344" s="82"/>
      <c r="Y344" s="82"/>
      <c r="Z344" s="82"/>
      <c r="AA344" s="82"/>
      <c r="AB344" s="82"/>
    </row>
    <row r="345" spans="1:28" s="85" customFormat="1" x14ac:dyDescent="0.25">
      <c r="A345" s="82"/>
      <c r="B345" s="82"/>
      <c r="C345" s="82"/>
      <c r="D345" s="729"/>
      <c r="E345" s="371" t="s">
        <v>49</v>
      </c>
      <c r="F345" s="372">
        <v>10</v>
      </c>
      <c r="G345" s="373">
        <v>8</v>
      </c>
      <c r="H345" s="374">
        <v>5</v>
      </c>
      <c r="I345" s="375">
        <v>1.19</v>
      </c>
      <c r="J345" s="376">
        <f t="shared" si="50"/>
        <v>9.52</v>
      </c>
      <c r="K345" s="66">
        <f t="shared" si="51"/>
        <v>1.4660799999999998</v>
      </c>
      <c r="L345" s="63">
        <f t="shared" si="52"/>
        <v>0</v>
      </c>
      <c r="M345" s="63">
        <f t="shared" si="53"/>
        <v>0</v>
      </c>
      <c r="N345" s="63">
        <f t="shared" si="54"/>
        <v>0</v>
      </c>
      <c r="O345" s="63">
        <f t="shared" si="55"/>
        <v>0</v>
      </c>
      <c r="P345" s="63">
        <f t="shared" si="56"/>
        <v>0</v>
      </c>
      <c r="Q345" s="561">
        <f t="shared" si="57"/>
        <v>0</v>
      </c>
      <c r="R345" s="174"/>
      <c r="T345" s="82"/>
      <c r="U345" s="82"/>
      <c r="V345" s="82"/>
      <c r="W345" s="82"/>
      <c r="X345" s="82"/>
      <c r="Y345" s="82"/>
      <c r="Z345" s="82"/>
      <c r="AA345" s="82"/>
      <c r="AB345" s="82"/>
    </row>
    <row r="346" spans="1:28" s="85" customFormat="1" x14ac:dyDescent="0.25">
      <c r="A346" s="82"/>
      <c r="B346" s="82"/>
      <c r="C346" s="82"/>
      <c r="D346" s="729"/>
      <c r="E346" s="371" t="s">
        <v>49</v>
      </c>
      <c r="F346" s="372">
        <v>23</v>
      </c>
      <c r="G346" s="373">
        <v>10</v>
      </c>
      <c r="H346" s="374">
        <v>10</v>
      </c>
      <c r="I346" s="375">
        <v>1.47</v>
      </c>
      <c r="J346" s="376">
        <f t="shared" si="50"/>
        <v>14.7</v>
      </c>
      <c r="K346" s="66">
        <f t="shared" si="51"/>
        <v>0</v>
      </c>
      <c r="L346" s="63">
        <f t="shared" si="52"/>
        <v>0</v>
      </c>
      <c r="M346" s="63">
        <f t="shared" si="53"/>
        <v>0</v>
      </c>
      <c r="N346" s="63">
        <f t="shared" si="54"/>
        <v>9.0698999999999987</v>
      </c>
      <c r="O346" s="63">
        <f t="shared" si="55"/>
        <v>0</v>
      </c>
      <c r="P346" s="63">
        <f t="shared" si="56"/>
        <v>0</v>
      </c>
      <c r="Q346" s="561">
        <f t="shared" si="57"/>
        <v>0</v>
      </c>
      <c r="R346" s="174"/>
      <c r="T346" s="82"/>
      <c r="U346" s="82"/>
      <c r="V346" s="82"/>
      <c r="W346" s="82"/>
      <c r="X346" s="82"/>
      <c r="Y346" s="82"/>
      <c r="Z346" s="82"/>
      <c r="AA346" s="82"/>
      <c r="AB346" s="82"/>
    </row>
    <row r="347" spans="1:28" s="85" customFormat="1" x14ac:dyDescent="0.25">
      <c r="A347" s="82"/>
      <c r="B347" s="82"/>
      <c r="C347" s="82"/>
      <c r="D347" s="729"/>
      <c r="E347" s="371" t="s">
        <v>113</v>
      </c>
      <c r="F347" s="372">
        <v>15</v>
      </c>
      <c r="G347" s="373">
        <v>90</v>
      </c>
      <c r="H347" s="374">
        <v>5</v>
      </c>
      <c r="I347" s="375">
        <v>0.24</v>
      </c>
      <c r="J347" s="376">
        <f t="shared" si="50"/>
        <v>21.599999999999998</v>
      </c>
      <c r="K347" s="66">
        <f t="shared" si="51"/>
        <v>3.3263999999999996</v>
      </c>
      <c r="L347" s="63">
        <f t="shared" si="52"/>
        <v>0</v>
      </c>
      <c r="M347" s="63">
        <f t="shared" si="53"/>
        <v>0</v>
      </c>
      <c r="N347" s="63">
        <f t="shared" si="54"/>
        <v>0</v>
      </c>
      <c r="O347" s="63">
        <f t="shared" si="55"/>
        <v>0</v>
      </c>
      <c r="P347" s="63">
        <f t="shared" si="56"/>
        <v>0</v>
      </c>
      <c r="Q347" s="561">
        <f t="shared" si="57"/>
        <v>0</v>
      </c>
      <c r="R347" s="174"/>
      <c r="T347" s="82"/>
      <c r="U347" s="82"/>
      <c r="V347" s="82"/>
      <c r="W347" s="82"/>
      <c r="X347" s="82"/>
      <c r="Y347" s="82"/>
      <c r="Z347" s="82"/>
      <c r="AA347" s="82"/>
      <c r="AB347" s="82"/>
    </row>
    <row r="348" spans="1:28" s="85" customFormat="1" x14ac:dyDescent="0.25">
      <c r="A348" s="82"/>
      <c r="B348" s="82"/>
      <c r="C348" s="82"/>
      <c r="D348" s="729"/>
      <c r="E348" s="371" t="s">
        <v>113</v>
      </c>
      <c r="F348" s="372">
        <v>16</v>
      </c>
      <c r="G348" s="373">
        <v>25</v>
      </c>
      <c r="H348" s="374">
        <v>5</v>
      </c>
      <c r="I348" s="375">
        <v>2.0699999999999998</v>
      </c>
      <c r="J348" s="376">
        <f t="shared" si="50"/>
        <v>51.749999999999993</v>
      </c>
      <c r="K348" s="66">
        <f t="shared" si="51"/>
        <v>7.9694999999999991</v>
      </c>
      <c r="L348" s="63">
        <f t="shared" si="52"/>
        <v>0</v>
      </c>
      <c r="M348" s="63">
        <f t="shared" si="53"/>
        <v>0</v>
      </c>
      <c r="N348" s="63">
        <f t="shared" si="54"/>
        <v>0</v>
      </c>
      <c r="O348" s="63">
        <f t="shared" si="55"/>
        <v>0</v>
      </c>
      <c r="P348" s="63">
        <f t="shared" si="56"/>
        <v>0</v>
      </c>
      <c r="Q348" s="561">
        <f t="shared" si="57"/>
        <v>0</v>
      </c>
      <c r="R348" s="174"/>
      <c r="T348" s="82"/>
      <c r="U348" s="82"/>
      <c r="V348" s="82"/>
      <c r="W348" s="82"/>
      <c r="X348" s="82"/>
      <c r="Y348" s="82"/>
      <c r="Z348" s="82"/>
      <c r="AA348" s="82"/>
      <c r="AB348" s="82"/>
    </row>
    <row r="349" spans="1:28" s="85" customFormat="1" x14ac:dyDescent="0.25">
      <c r="A349" s="82"/>
      <c r="B349" s="82"/>
      <c r="C349" s="82"/>
      <c r="D349" s="729"/>
      <c r="E349" s="371" t="s">
        <v>113</v>
      </c>
      <c r="F349" s="372">
        <v>17</v>
      </c>
      <c r="G349" s="373">
        <v>10</v>
      </c>
      <c r="H349" s="374">
        <v>5</v>
      </c>
      <c r="I349" s="375">
        <v>1.19</v>
      </c>
      <c r="J349" s="376">
        <f t="shared" si="50"/>
        <v>11.899999999999999</v>
      </c>
      <c r="K349" s="66">
        <f t="shared" si="51"/>
        <v>1.8325999999999998</v>
      </c>
      <c r="L349" s="63">
        <f t="shared" si="52"/>
        <v>0</v>
      </c>
      <c r="M349" s="63">
        <f t="shared" si="53"/>
        <v>0</v>
      </c>
      <c r="N349" s="63">
        <f t="shared" si="54"/>
        <v>0</v>
      </c>
      <c r="O349" s="63">
        <f t="shared" si="55"/>
        <v>0</v>
      </c>
      <c r="P349" s="63">
        <f t="shared" si="56"/>
        <v>0</v>
      </c>
      <c r="Q349" s="561">
        <f t="shared" si="57"/>
        <v>0</v>
      </c>
      <c r="R349" s="174"/>
      <c r="T349" s="82"/>
      <c r="U349" s="82"/>
      <c r="V349" s="82"/>
      <c r="W349" s="82"/>
      <c r="X349" s="82"/>
      <c r="Y349" s="82"/>
      <c r="Z349" s="82"/>
      <c r="AA349" s="82"/>
      <c r="AB349" s="82"/>
    </row>
    <row r="350" spans="1:28" s="85" customFormat="1" x14ac:dyDescent="0.25">
      <c r="A350" s="82"/>
      <c r="B350" s="82"/>
      <c r="C350" s="82"/>
      <c r="D350" s="729"/>
      <c r="E350" s="371" t="s">
        <v>113</v>
      </c>
      <c r="F350" s="372">
        <v>22</v>
      </c>
      <c r="G350" s="373">
        <v>10</v>
      </c>
      <c r="H350" s="374">
        <v>10</v>
      </c>
      <c r="I350" s="375">
        <v>3.78</v>
      </c>
      <c r="J350" s="376">
        <f t="shared" si="50"/>
        <v>37.799999999999997</v>
      </c>
      <c r="K350" s="66">
        <f t="shared" si="51"/>
        <v>0</v>
      </c>
      <c r="L350" s="63">
        <f t="shared" si="52"/>
        <v>0</v>
      </c>
      <c r="M350" s="63">
        <f t="shared" si="53"/>
        <v>0</v>
      </c>
      <c r="N350" s="63">
        <f t="shared" si="54"/>
        <v>23.322599999999998</v>
      </c>
      <c r="O350" s="63">
        <f t="shared" si="55"/>
        <v>0</v>
      </c>
      <c r="P350" s="63">
        <f t="shared" si="56"/>
        <v>0</v>
      </c>
      <c r="Q350" s="561">
        <f t="shared" si="57"/>
        <v>0</v>
      </c>
      <c r="R350" s="174"/>
      <c r="T350" s="82"/>
      <c r="U350" s="82"/>
      <c r="V350" s="82"/>
      <c r="W350" s="82"/>
      <c r="X350" s="82"/>
      <c r="Y350" s="82"/>
      <c r="Z350" s="82"/>
      <c r="AA350" s="82"/>
      <c r="AB350" s="82"/>
    </row>
    <row r="351" spans="1:28" s="85" customFormat="1" x14ac:dyDescent="0.25">
      <c r="A351" s="82"/>
      <c r="B351" s="82"/>
      <c r="C351" s="82"/>
      <c r="D351" s="729"/>
      <c r="E351" s="396" t="s">
        <v>184</v>
      </c>
      <c r="F351" s="403">
        <v>14</v>
      </c>
      <c r="G351" s="397">
        <v>30</v>
      </c>
      <c r="H351" s="398">
        <v>5</v>
      </c>
      <c r="I351" s="399">
        <v>0.24</v>
      </c>
      <c r="J351" s="400">
        <f t="shared" si="50"/>
        <v>7.1999999999999993</v>
      </c>
      <c r="K351" s="401">
        <f t="shared" si="51"/>
        <v>1.1087999999999998</v>
      </c>
      <c r="L351" s="196">
        <f t="shared" si="52"/>
        <v>0</v>
      </c>
      <c r="M351" s="196">
        <f t="shared" si="53"/>
        <v>0</v>
      </c>
      <c r="N351" s="196">
        <f t="shared" si="54"/>
        <v>0</v>
      </c>
      <c r="O351" s="196">
        <f t="shared" si="55"/>
        <v>0</v>
      </c>
      <c r="P351" s="196">
        <f t="shared" si="56"/>
        <v>0</v>
      </c>
      <c r="Q351" s="566">
        <f t="shared" si="57"/>
        <v>0</v>
      </c>
      <c r="R351" s="538"/>
      <c r="T351" s="82"/>
      <c r="U351" s="82"/>
      <c r="V351" s="82"/>
      <c r="W351" s="82"/>
      <c r="X351" s="82"/>
      <c r="Y351" s="82"/>
      <c r="Z351" s="82"/>
      <c r="AA351" s="82"/>
      <c r="AB351" s="82"/>
    </row>
    <row r="352" spans="1:28" s="85" customFormat="1" x14ac:dyDescent="0.25">
      <c r="A352" s="82"/>
      <c r="B352" s="82"/>
      <c r="C352" s="82"/>
      <c r="D352" s="729"/>
      <c r="E352" s="371" t="s">
        <v>184</v>
      </c>
      <c r="F352" s="372">
        <v>15</v>
      </c>
      <c r="G352" s="373">
        <v>8</v>
      </c>
      <c r="H352" s="374">
        <v>5</v>
      </c>
      <c r="I352" s="375">
        <v>2.0699999999999998</v>
      </c>
      <c r="J352" s="376">
        <f t="shared" si="50"/>
        <v>16.559999999999999</v>
      </c>
      <c r="K352" s="66">
        <f t="shared" si="51"/>
        <v>2.5502399999999996</v>
      </c>
      <c r="L352" s="63">
        <f t="shared" si="52"/>
        <v>0</v>
      </c>
      <c r="M352" s="63">
        <f t="shared" si="53"/>
        <v>0</v>
      </c>
      <c r="N352" s="63">
        <f t="shared" si="54"/>
        <v>0</v>
      </c>
      <c r="O352" s="63">
        <f t="shared" si="55"/>
        <v>0</v>
      </c>
      <c r="P352" s="63">
        <f t="shared" si="56"/>
        <v>0</v>
      </c>
      <c r="Q352" s="562">
        <f t="shared" si="57"/>
        <v>0</v>
      </c>
      <c r="R352" s="377"/>
      <c r="T352" s="82"/>
      <c r="U352" s="82"/>
      <c r="V352" s="82"/>
      <c r="W352" s="82"/>
      <c r="X352" s="82"/>
      <c r="Y352" s="82"/>
      <c r="Z352" s="82"/>
      <c r="AA352" s="82"/>
      <c r="AB352" s="82"/>
    </row>
    <row r="353" spans="1:28" s="85" customFormat="1" x14ac:dyDescent="0.25">
      <c r="A353" s="82"/>
      <c r="B353" s="82"/>
      <c r="C353" s="82"/>
      <c r="D353" s="729"/>
      <c r="E353" s="371" t="s">
        <v>184</v>
      </c>
      <c r="F353" s="372">
        <v>16</v>
      </c>
      <c r="G353" s="373">
        <v>4</v>
      </c>
      <c r="H353" s="374">
        <v>5</v>
      </c>
      <c r="I353" s="375">
        <v>1.19</v>
      </c>
      <c r="J353" s="376">
        <f t="shared" si="50"/>
        <v>4.76</v>
      </c>
      <c r="K353" s="66">
        <f t="shared" si="51"/>
        <v>0.73303999999999991</v>
      </c>
      <c r="L353" s="63">
        <f t="shared" si="52"/>
        <v>0</v>
      </c>
      <c r="M353" s="63">
        <f t="shared" si="53"/>
        <v>0</v>
      </c>
      <c r="N353" s="63">
        <f t="shared" si="54"/>
        <v>0</v>
      </c>
      <c r="O353" s="63">
        <f t="shared" si="55"/>
        <v>0</v>
      </c>
      <c r="P353" s="63">
        <f t="shared" si="56"/>
        <v>0</v>
      </c>
      <c r="Q353" s="562">
        <f t="shared" si="57"/>
        <v>0</v>
      </c>
      <c r="R353" s="377"/>
      <c r="T353" s="82"/>
      <c r="U353" s="82"/>
      <c r="V353" s="82"/>
      <c r="W353" s="82"/>
      <c r="X353" s="82"/>
      <c r="Y353" s="82"/>
      <c r="Z353" s="82"/>
      <c r="AA353" s="82"/>
      <c r="AB353" s="82"/>
    </row>
    <row r="354" spans="1:28" s="85" customFormat="1" ht="13.8" thickBot="1" x14ac:dyDescent="0.3">
      <c r="A354" s="82"/>
      <c r="B354" s="82"/>
      <c r="C354" s="82"/>
      <c r="D354" s="731"/>
      <c r="E354" s="390" t="s">
        <v>184</v>
      </c>
      <c r="F354" s="391">
        <v>43</v>
      </c>
      <c r="G354" s="392">
        <v>10</v>
      </c>
      <c r="H354" s="393">
        <v>10</v>
      </c>
      <c r="I354" s="394">
        <v>1.02</v>
      </c>
      <c r="J354" s="395">
        <f t="shared" si="50"/>
        <v>10.199999999999999</v>
      </c>
      <c r="K354" s="221">
        <f t="shared" si="51"/>
        <v>0</v>
      </c>
      <c r="L354" s="222">
        <f t="shared" si="52"/>
        <v>0</v>
      </c>
      <c r="M354" s="222">
        <f t="shared" si="53"/>
        <v>0</v>
      </c>
      <c r="N354" s="222">
        <f t="shared" si="54"/>
        <v>6.2933999999999992</v>
      </c>
      <c r="O354" s="222">
        <f t="shared" si="55"/>
        <v>0</v>
      </c>
      <c r="P354" s="222">
        <f t="shared" si="56"/>
        <v>0</v>
      </c>
      <c r="Q354" s="564">
        <f t="shared" si="57"/>
        <v>0</v>
      </c>
      <c r="R354" s="539"/>
      <c r="T354" s="82"/>
      <c r="U354" s="82"/>
      <c r="V354" s="82"/>
      <c r="W354" s="82"/>
      <c r="X354" s="82"/>
      <c r="Y354" s="82"/>
      <c r="Z354" s="82"/>
      <c r="AA354" s="82"/>
      <c r="AB354" s="82"/>
    </row>
    <row r="355" spans="1:28" s="85" customFormat="1" ht="13.8" thickTop="1" x14ac:dyDescent="0.25">
      <c r="A355" s="82"/>
      <c r="B355" s="82"/>
      <c r="C355" s="82"/>
      <c r="D355" s="728" t="s">
        <v>1348</v>
      </c>
      <c r="E355" s="384" t="s">
        <v>49</v>
      </c>
      <c r="F355" s="385">
        <v>8</v>
      </c>
      <c r="G355" s="386">
        <v>18</v>
      </c>
      <c r="H355" s="387">
        <v>5</v>
      </c>
      <c r="I355" s="388">
        <v>0.24</v>
      </c>
      <c r="J355" s="389">
        <f t="shared" si="50"/>
        <v>4.32</v>
      </c>
      <c r="K355" s="218">
        <f t="shared" si="51"/>
        <v>0.66527999999999998</v>
      </c>
      <c r="L355" s="219">
        <f t="shared" si="52"/>
        <v>0</v>
      </c>
      <c r="M355" s="219">
        <f t="shared" si="53"/>
        <v>0</v>
      </c>
      <c r="N355" s="219">
        <f t="shared" si="54"/>
        <v>0</v>
      </c>
      <c r="O355" s="219">
        <f t="shared" si="55"/>
        <v>0</v>
      </c>
      <c r="P355" s="219">
        <f t="shared" si="56"/>
        <v>0</v>
      </c>
      <c r="Q355" s="563">
        <f t="shared" si="57"/>
        <v>0</v>
      </c>
      <c r="R355" s="220"/>
      <c r="T355" s="82"/>
      <c r="U355" s="82"/>
      <c r="V355" s="82"/>
      <c r="W355" s="82"/>
      <c r="X355" s="82"/>
      <c r="Y355" s="82"/>
      <c r="Z355" s="82"/>
      <c r="AA355" s="82"/>
      <c r="AB355" s="82"/>
    </row>
    <row r="356" spans="1:28" s="85" customFormat="1" x14ac:dyDescent="0.25">
      <c r="A356" s="82"/>
      <c r="B356" s="82"/>
      <c r="C356" s="82"/>
      <c r="D356" s="729"/>
      <c r="E356" s="371" t="s">
        <v>49</v>
      </c>
      <c r="F356" s="372">
        <v>9</v>
      </c>
      <c r="G356" s="373">
        <v>5</v>
      </c>
      <c r="H356" s="374">
        <v>5</v>
      </c>
      <c r="I356" s="375">
        <v>2.0699999999999998</v>
      </c>
      <c r="J356" s="376">
        <f t="shared" si="50"/>
        <v>10.35</v>
      </c>
      <c r="K356" s="66">
        <f t="shared" si="51"/>
        <v>1.5938999999999999</v>
      </c>
      <c r="L356" s="63">
        <f t="shared" si="52"/>
        <v>0</v>
      </c>
      <c r="M356" s="63">
        <f t="shared" si="53"/>
        <v>0</v>
      </c>
      <c r="N356" s="63">
        <f t="shared" si="54"/>
        <v>0</v>
      </c>
      <c r="O356" s="63">
        <f t="shared" si="55"/>
        <v>0</v>
      </c>
      <c r="P356" s="63">
        <f t="shared" si="56"/>
        <v>0</v>
      </c>
      <c r="Q356" s="561">
        <f t="shared" si="57"/>
        <v>0</v>
      </c>
      <c r="R356" s="174"/>
      <c r="T356" s="82"/>
      <c r="U356" s="82"/>
      <c r="V356" s="82"/>
      <c r="W356" s="82"/>
      <c r="X356" s="82"/>
      <c r="Y356" s="82"/>
      <c r="Z356" s="82"/>
      <c r="AA356" s="82"/>
      <c r="AB356" s="82"/>
    </row>
    <row r="357" spans="1:28" s="85" customFormat="1" x14ac:dyDescent="0.25">
      <c r="A357" s="82"/>
      <c r="B357" s="82"/>
      <c r="C357" s="82"/>
      <c r="D357" s="729"/>
      <c r="E357" s="371" t="s">
        <v>49</v>
      </c>
      <c r="F357" s="372">
        <v>10</v>
      </c>
      <c r="G357" s="373">
        <v>8</v>
      </c>
      <c r="H357" s="374">
        <v>5</v>
      </c>
      <c r="I357" s="375">
        <v>1.19</v>
      </c>
      <c r="J357" s="376">
        <f t="shared" si="50"/>
        <v>9.52</v>
      </c>
      <c r="K357" s="66">
        <f t="shared" si="51"/>
        <v>1.4660799999999998</v>
      </c>
      <c r="L357" s="63">
        <f t="shared" si="52"/>
        <v>0</v>
      </c>
      <c r="M357" s="63">
        <f t="shared" si="53"/>
        <v>0</v>
      </c>
      <c r="N357" s="63">
        <f t="shared" si="54"/>
        <v>0</v>
      </c>
      <c r="O357" s="63">
        <f t="shared" si="55"/>
        <v>0</v>
      </c>
      <c r="P357" s="63">
        <f t="shared" si="56"/>
        <v>0</v>
      </c>
      <c r="Q357" s="561">
        <f t="shared" si="57"/>
        <v>0</v>
      </c>
      <c r="R357" s="174"/>
      <c r="T357" s="82"/>
      <c r="U357" s="82"/>
      <c r="V357" s="82"/>
      <c r="W357" s="82"/>
      <c r="X357" s="82"/>
      <c r="Y357" s="82"/>
      <c r="Z357" s="82"/>
      <c r="AA357" s="82"/>
      <c r="AB357" s="82"/>
    </row>
    <row r="358" spans="1:28" s="85" customFormat="1" x14ac:dyDescent="0.25">
      <c r="A358" s="82"/>
      <c r="B358" s="82"/>
      <c r="C358" s="82"/>
      <c r="D358" s="729"/>
      <c r="E358" s="371" t="s">
        <v>49</v>
      </c>
      <c r="F358" s="372">
        <v>23</v>
      </c>
      <c r="G358" s="373">
        <v>8</v>
      </c>
      <c r="H358" s="374">
        <v>8</v>
      </c>
      <c r="I358" s="375">
        <v>1.47</v>
      </c>
      <c r="J358" s="376">
        <f t="shared" si="50"/>
        <v>11.76</v>
      </c>
      <c r="K358" s="66">
        <f t="shared" si="51"/>
        <v>0</v>
      </c>
      <c r="L358" s="63">
        <f t="shared" si="52"/>
        <v>0</v>
      </c>
      <c r="M358" s="63">
        <f t="shared" si="53"/>
        <v>4.6452</v>
      </c>
      <c r="N358" s="63">
        <f t="shared" si="54"/>
        <v>0</v>
      </c>
      <c r="O358" s="63">
        <f t="shared" si="55"/>
        <v>0</v>
      </c>
      <c r="P358" s="63">
        <f t="shared" si="56"/>
        <v>0</v>
      </c>
      <c r="Q358" s="561">
        <f t="shared" si="57"/>
        <v>0</v>
      </c>
      <c r="R358" s="174"/>
      <c r="T358" s="82"/>
      <c r="U358" s="82"/>
      <c r="V358" s="82"/>
      <c r="W358" s="82"/>
      <c r="X358" s="82"/>
      <c r="Y358" s="82"/>
      <c r="Z358" s="82"/>
      <c r="AA358" s="82"/>
      <c r="AB358" s="82"/>
    </row>
    <row r="359" spans="1:28" s="85" customFormat="1" x14ac:dyDescent="0.25">
      <c r="A359" s="82"/>
      <c r="B359" s="82"/>
      <c r="C359" s="82"/>
      <c r="D359" s="729"/>
      <c r="E359" s="371" t="s">
        <v>113</v>
      </c>
      <c r="F359" s="372">
        <v>15</v>
      </c>
      <c r="G359" s="373">
        <v>90</v>
      </c>
      <c r="H359" s="374">
        <v>5</v>
      </c>
      <c r="I359" s="375">
        <v>0.24</v>
      </c>
      <c r="J359" s="376">
        <f t="shared" si="50"/>
        <v>21.599999999999998</v>
      </c>
      <c r="K359" s="66">
        <f t="shared" si="51"/>
        <v>3.3263999999999996</v>
      </c>
      <c r="L359" s="63">
        <f t="shared" si="52"/>
        <v>0</v>
      </c>
      <c r="M359" s="63">
        <f t="shared" si="53"/>
        <v>0</v>
      </c>
      <c r="N359" s="63">
        <f t="shared" si="54"/>
        <v>0</v>
      </c>
      <c r="O359" s="63">
        <f t="shared" si="55"/>
        <v>0</v>
      </c>
      <c r="P359" s="63">
        <f t="shared" si="56"/>
        <v>0</v>
      </c>
      <c r="Q359" s="561">
        <f t="shared" si="57"/>
        <v>0</v>
      </c>
      <c r="R359" s="174"/>
      <c r="T359" s="82"/>
      <c r="U359" s="82"/>
      <c r="V359" s="82"/>
      <c r="W359" s="82"/>
      <c r="X359" s="82"/>
      <c r="Y359" s="82"/>
      <c r="Z359" s="82"/>
      <c r="AA359" s="82"/>
      <c r="AB359" s="82"/>
    </row>
    <row r="360" spans="1:28" s="85" customFormat="1" x14ac:dyDescent="0.25">
      <c r="A360" s="82"/>
      <c r="B360" s="82"/>
      <c r="C360" s="82"/>
      <c r="D360" s="729"/>
      <c r="E360" s="371" t="s">
        <v>113</v>
      </c>
      <c r="F360" s="372">
        <v>16</v>
      </c>
      <c r="G360" s="373">
        <v>25</v>
      </c>
      <c r="H360" s="374">
        <v>5</v>
      </c>
      <c r="I360" s="375">
        <v>2.0699999999999998</v>
      </c>
      <c r="J360" s="376">
        <f t="shared" si="50"/>
        <v>51.749999999999993</v>
      </c>
      <c r="K360" s="66">
        <f t="shared" si="51"/>
        <v>7.9694999999999991</v>
      </c>
      <c r="L360" s="63">
        <f t="shared" si="52"/>
        <v>0</v>
      </c>
      <c r="M360" s="63">
        <f t="shared" si="53"/>
        <v>0</v>
      </c>
      <c r="N360" s="63">
        <f t="shared" si="54"/>
        <v>0</v>
      </c>
      <c r="O360" s="63">
        <f t="shared" si="55"/>
        <v>0</v>
      </c>
      <c r="P360" s="63">
        <f t="shared" si="56"/>
        <v>0</v>
      </c>
      <c r="Q360" s="561">
        <f t="shared" si="57"/>
        <v>0</v>
      </c>
      <c r="R360" s="174"/>
      <c r="T360" s="82"/>
      <c r="U360" s="82"/>
      <c r="V360" s="82"/>
      <c r="W360" s="82"/>
      <c r="X360" s="82"/>
      <c r="Y360" s="82"/>
      <c r="Z360" s="82"/>
      <c r="AA360" s="82"/>
      <c r="AB360" s="82"/>
    </row>
    <row r="361" spans="1:28" s="85" customFormat="1" x14ac:dyDescent="0.25">
      <c r="A361" s="82"/>
      <c r="B361" s="82"/>
      <c r="C361" s="82"/>
      <c r="D361" s="729"/>
      <c r="E361" s="371" t="s">
        <v>113</v>
      </c>
      <c r="F361" s="372">
        <v>17</v>
      </c>
      <c r="G361" s="373">
        <v>10</v>
      </c>
      <c r="H361" s="374">
        <v>5</v>
      </c>
      <c r="I361" s="375">
        <v>1.19</v>
      </c>
      <c r="J361" s="376">
        <f t="shared" si="50"/>
        <v>11.899999999999999</v>
      </c>
      <c r="K361" s="66">
        <f t="shared" si="51"/>
        <v>1.8325999999999998</v>
      </c>
      <c r="L361" s="63">
        <f t="shared" si="52"/>
        <v>0</v>
      </c>
      <c r="M361" s="63">
        <f t="shared" si="53"/>
        <v>0</v>
      </c>
      <c r="N361" s="63">
        <f t="shared" si="54"/>
        <v>0</v>
      </c>
      <c r="O361" s="63">
        <f t="shared" si="55"/>
        <v>0</v>
      </c>
      <c r="P361" s="63">
        <f t="shared" si="56"/>
        <v>0</v>
      </c>
      <c r="Q361" s="561">
        <f t="shared" si="57"/>
        <v>0</v>
      </c>
      <c r="R361" s="174"/>
      <c r="T361" s="82"/>
      <c r="U361" s="82"/>
      <c r="V361" s="82"/>
      <c r="W361" s="82"/>
      <c r="X361" s="82"/>
      <c r="Y361" s="82"/>
      <c r="Z361" s="82"/>
      <c r="AA361" s="82"/>
      <c r="AB361" s="82"/>
    </row>
    <row r="362" spans="1:28" s="85" customFormat="1" x14ac:dyDescent="0.25">
      <c r="A362" s="82"/>
      <c r="B362" s="82"/>
      <c r="C362" s="82"/>
      <c r="D362" s="729"/>
      <c r="E362" s="371" t="s">
        <v>113</v>
      </c>
      <c r="F362" s="372">
        <v>22</v>
      </c>
      <c r="G362" s="373">
        <v>4</v>
      </c>
      <c r="H362" s="374">
        <v>10</v>
      </c>
      <c r="I362" s="375">
        <v>3.78</v>
      </c>
      <c r="J362" s="376">
        <f t="shared" si="50"/>
        <v>15.12</v>
      </c>
      <c r="K362" s="66">
        <f t="shared" si="51"/>
        <v>0</v>
      </c>
      <c r="L362" s="63">
        <f t="shared" si="52"/>
        <v>0</v>
      </c>
      <c r="M362" s="63">
        <f t="shared" si="53"/>
        <v>0</v>
      </c>
      <c r="N362" s="63">
        <f t="shared" si="54"/>
        <v>9.3290399999999991</v>
      </c>
      <c r="O362" s="63">
        <f t="shared" si="55"/>
        <v>0</v>
      </c>
      <c r="P362" s="63">
        <f t="shared" si="56"/>
        <v>0</v>
      </c>
      <c r="Q362" s="561">
        <f t="shared" si="57"/>
        <v>0</v>
      </c>
      <c r="R362" s="174"/>
      <c r="T362" s="82"/>
      <c r="U362" s="82"/>
      <c r="V362" s="82"/>
      <c r="W362" s="82"/>
      <c r="X362" s="82"/>
      <c r="Y362" s="82"/>
      <c r="Z362" s="82"/>
      <c r="AA362" s="82"/>
      <c r="AB362" s="82"/>
    </row>
    <row r="363" spans="1:28" s="85" customFormat="1" x14ac:dyDescent="0.25">
      <c r="A363" s="82"/>
      <c r="B363" s="82"/>
      <c r="C363" s="82"/>
      <c r="D363" s="729"/>
      <c r="E363" s="371" t="s">
        <v>113</v>
      </c>
      <c r="F363" s="372">
        <v>23</v>
      </c>
      <c r="G363" s="373">
        <v>4</v>
      </c>
      <c r="H363" s="374">
        <v>10</v>
      </c>
      <c r="I363" s="375">
        <v>3.42</v>
      </c>
      <c r="J363" s="376">
        <f t="shared" si="50"/>
        <v>13.68</v>
      </c>
      <c r="K363" s="66">
        <f t="shared" si="51"/>
        <v>0</v>
      </c>
      <c r="L363" s="63">
        <f t="shared" si="52"/>
        <v>0</v>
      </c>
      <c r="M363" s="63">
        <f t="shared" si="53"/>
        <v>0</v>
      </c>
      <c r="N363" s="63">
        <f t="shared" si="54"/>
        <v>8.4405599999999996</v>
      </c>
      <c r="O363" s="63">
        <f t="shared" si="55"/>
        <v>0</v>
      </c>
      <c r="P363" s="63">
        <f t="shared" si="56"/>
        <v>0</v>
      </c>
      <c r="Q363" s="561">
        <f t="shared" si="57"/>
        <v>0</v>
      </c>
      <c r="R363" s="174"/>
      <c r="T363" s="82"/>
      <c r="U363" s="82"/>
      <c r="V363" s="82"/>
      <c r="W363" s="82"/>
      <c r="X363" s="82"/>
      <c r="Y363" s="82"/>
      <c r="Z363" s="82"/>
      <c r="AA363" s="82"/>
      <c r="AB363" s="82"/>
    </row>
    <row r="364" spans="1:28" s="85" customFormat="1" x14ac:dyDescent="0.25">
      <c r="A364" s="82"/>
      <c r="B364" s="82"/>
      <c r="C364" s="82"/>
      <c r="D364" s="729"/>
      <c r="E364" s="371" t="s">
        <v>113</v>
      </c>
      <c r="F364" s="372">
        <v>24</v>
      </c>
      <c r="G364" s="373">
        <v>4</v>
      </c>
      <c r="H364" s="374">
        <v>10</v>
      </c>
      <c r="I364" s="375">
        <v>0.67</v>
      </c>
      <c r="J364" s="376">
        <f t="shared" ref="J364" si="58">G364*I364</f>
        <v>2.68</v>
      </c>
      <c r="K364" s="66">
        <f t="shared" si="51"/>
        <v>0</v>
      </c>
      <c r="L364" s="63">
        <f t="shared" si="52"/>
        <v>0</v>
      </c>
      <c r="M364" s="63">
        <f t="shared" si="53"/>
        <v>0</v>
      </c>
      <c r="N364" s="63">
        <f t="shared" si="54"/>
        <v>1.6535600000000001</v>
      </c>
      <c r="O364" s="63">
        <f t="shared" si="55"/>
        <v>0</v>
      </c>
      <c r="P364" s="63">
        <f t="shared" si="56"/>
        <v>0</v>
      </c>
      <c r="Q364" s="561">
        <f t="shared" si="57"/>
        <v>0</v>
      </c>
      <c r="R364" s="174"/>
      <c r="T364" s="82"/>
      <c r="U364" s="82"/>
      <c r="V364" s="82"/>
      <c r="W364" s="82"/>
      <c r="X364" s="82"/>
      <c r="Y364" s="82"/>
      <c r="Z364" s="82"/>
      <c r="AA364" s="82"/>
      <c r="AB364" s="82"/>
    </row>
    <row r="365" spans="1:28" s="85" customFormat="1" x14ac:dyDescent="0.25">
      <c r="A365" s="82"/>
      <c r="B365" s="82"/>
      <c r="C365" s="82"/>
      <c r="D365" s="729"/>
      <c r="E365" s="396" t="s">
        <v>184</v>
      </c>
      <c r="F365" s="403">
        <v>5</v>
      </c>
      <c r="G365" s="397">
        <v>8</v>
      </c>
      <c r="H365" s="398">
        <v>5</v>
      </c>
      <c r="I365" s="399">
        <v>0.97</v>
      </c>
      <c r="J365" s="400">
        <f t="shared" si="50"/>
        <v>7.76</v>
      </c>
      <c r="K365" s="401">
        <f t="shared" si="51"/>
        <v>1.1950399999999999</v>
      </c>
      <c r="L365" s="196">
        <f t="shared" si="52"/>
        <v>0</v>
      </c>
      <c r="M365" s="196">
        <f t="shared" si="53"/>
        <v>0</v>
      </c>
      <c r="N365" s="196">
        <f t="shared" si="54"/>
        <v>0</v>
      </c>
      <c r="O365" s="196">
        <f t="shared" si="55"/>
        <v>0</v>
      </c>
      <c r="P365" s="196">
        <f t="shared" si="56"/>
        <v>0</v>
      </c>
      <c r="Q365" s="566">
        <f t="shared" si="57"/>
        <v>0</v>
      </c>
      <c r="R365" s="538"/>
      <c r="T365" s="82"/>
      <c r="U365" s="82"/>
      <c r="V365" s="82"/>
      <c r="W365" s="82"/>
      <c r="X365" s="82"/>
      <c r="Y365" s="82"/>
      <c r="Z365" s="82"/>
      <c r="AA365" s="82"/>
      <c r="AB365" s="82"/>
    </row>
    <row r="366" spans="1:28" s="85" customFormat="1" x14ac:dyDescent="0.25">
      <c r="A366" s="82"/>
      <c r="B366" s="82"/>
      <c r="C366" s="82"/>
      <c r="D366" s="729"/>
      <c r="E366" s="371" t="s">
        <v>184</v>
      </c>
      <c r="F366" s="372">
        <v>6</v>
      </c>
      <c r="G366" s="373">
        <v>4</v>
      </c>
      <c r="H366" s="374">
        <v>5</v>
      </c>
      <c r="I366" s="375">
        <v>0.64</v>
      </c>
      <c r="J366" s="376">
        <f t="shared" si="50"/>
        <v>2.56</v>
      </c>
      <c r="K366" s="66">
        <f t="shared" si="51"/>
        <v>0.39423999999999998</v>
      </c>
      <c r="L366" s="63">
        <f t="shared" si="52"/>
        <v>0</v>
      </c>
      <c r="M366" s="63">
        <f t="shared" si="53"/>
        <v>0</v>
      </c>
      <c r="N366" s="63">
        <f t="shared" si="54"/>
        <v>0</v>
      </c>
      <c r="O366" s="63">
        <f t="shared" si="55"/>
        <v>0</v>
      </c>
      <c r="P366" s="63">
        <f t="shared" si="56"/>
        <v>0</v>
      </c>
      <c r="Q366" s="562">
        <f t="shared" si="57"/>
        <v>0</v>
      </c>
      <c r="R366" s="377"/>
      <c r="T366" s="82"/>
      <c r="U366" s="82"/>
      <c r="V366" s="82"/>
      <c r="W366" s="82"/>
      <c r="X366" s="82"/>
      <c r="Y366" s="82"/>
      <c r="Z366" s="82"/>
      <c r="AA366" s="82"/>
      <c r="AB366" s="82"/>
    </row>
    <row r="367" spans="1:28" s="85" customFormat="1" x14ac:dyDescent="0.25">
      <c r="A367" s="82"/>
      <c r="B367" s="82"/>
      <c r="C367" s="82"/>
      <c r="D367" s="729"/>
      <c r="E367" s="371" t="s">
        <v>184</v>
      </c>
      <c r="F367" s="372">
        <v>14</v>
      </c>
      <c r="G367" s="373">
        <v>20</v>
      </c>
      <c r="H367" s="374">
        <v>5</v>
      </c>
      <c r="I367" s="375">
        <v>0.24</v>
      </c>
      <c r="J367" s="376">
        <f t="shared" si="50"/>
        <v>4.8</v>
      </c>
      <c r="K367" s="66">
        <f t="shared" si="51"/>
        <v>0.73919999999999997</v>
      </c>
      <c r="L367" s="63">
        <f t="shared" si="52"/>
        <v>0</v>
      </c>
      <c r="M367" s="63">
        <f t="shared" si="53"/>
        <v>0</v>
      </c>
      <c r="N367" s="63">
        <f t="shared" si="54"/>
        <v>0</v>
      </c>
      <c r="O367" s="63">
        <f t="shared" si="55"/>
        <v>0</v>
      </c>
      <c r="P367" s="63">
        <f t="shared" si="56"/>
        <v>0</v>
      </c>
      <c r="Q367" s="562">
        <f t="shared" si="57"/>
        <v>0</v>
      </c>
      <c r="R367" s="377"/>
      <c r="T367" s="82"/>
      <c r="U367" s="82"/>
      <c r="V367" s="82"/>
      <c r="W367" s="82"/>
      <c r="X367" s="82"/>
      <c r="Y367" s="82"/>
      <c r="Z367" s="82"/>
      <c r="AA367" s="82"/>
      <c r="AB367" s="82"/>
    </row>
    <row r="368" spans="1:28" s="85" customFormat="1" ht="13.8" thickBot="1" x14ac:dyDescent="0.3">
      <c r="A368" s="82"/>
      <c r="B368" s="82"/>
      <c r="C368" s="82"/>
      <c r="D368" s="731"/>
      <c r="E368" s="390" t="s">
        <v>184</v>
      </c>
      <c r="F368" s="391">
        <v>43</v>
      </c>
      <c r="G368" s="392">
        <v>8</v>
      </c>
      <c r="H368" s="393">
        <v>10</v>
      </c>
      <c r="I368" s="394">
        <v>1.02</v>
      </c>
      <c r="J368" s="395">
        <f t="shared" si="50"/>
        <v>8.16</v>
      </c>
      <c r="K368" s="221">
        <f t="shared" si="51"/>
        <v>0</v>
      </c>
      <c r="L368" s="222">
        <f t="shared" si="52"/>
        <v>0</v>
      </c>
      <c r="M368" s="222">
        <f t="shared" si="53"/>
        <v>0</v>
      </c>
      <c r="N368" s="222">
        <f t="shared" si="54"/>
        <v>5.0347200000000001</v>
      </c>
      <c r="O368" s="222">
        <f t="shared" si="55"/>
        <v>0</v>
      </c>
      <c r="P368" s="222">
        <f t="shared" si="56"/>
        <v>0</v>
      </c>
      <c r="Q368" s="564">
        <f t="shared" si="57"/>
        <v>0</v>
      </c>
      <c r="R368" s="539"/>
      <c r="T368" s="82"/>
      <c r="U368" s="82"/>
      <c r="V368" s="82"/>
      <c r="W368" s="82"/>
      <c r="X368" s="82"/>
      <c r="Y368" s="82"/>
      <c r="Z368" s="82"/>
      <c r="AA368" s="82"/>
      <c r="AB368" s="82"/>
    </row>
    <row r="369" spans="1:28" s="85" customFormat="1" ht="13.8" thickTop="1" x14ac:dyDescent="0.25">
      <c r="A369" s="82"/>
      <c r="B369" s="82"/>
      <c r="C369" s="82"/>
      <c r="D369" s="728" t="s">
        <v>1350</v>
      </c>
      <c r="E369" s="384" t="s">
        <v>49</v>
      </c>
      <c r="F369" s="385">
        <v>8</v>
      </c>
      <c r="G369" s="386">
        <v>20</v>
      </c>
      <c r="H369" s="387">
        <v>5</v>
      </c>
      <c r="I369" s="388">
        <v>0.24</v>
      </c>
      <c r="J369" s="389">
        <f t="shared" si="50"/>
        <v>4.8</v>
      </c>
      <c r="K369" s="218">
        <f t="shared" si="51"/>
        <v>0.73919999999999997</v>
      </c>
      <c r="L369" s="219">
        <f t="shared" si="52"/>
        <v>0</v>
      </c>
      <c r="M369" s="219">
        <f t="shared" si="53"/>
        <v>0</v>
      </c>
      <c r="N369" s="219">
        <f t="shared" si="54"/>
        <v>0</v>
      </c>
      <c r="O369" s="219">
        <f t="shared" si="55"/>
        <v>0</v>
      </c>
      <c r="P369" s="219">
        <f t="shared" si="56"/>
        <v>0</v>
      </c>
      <c r="Q369" s="563">
        <f t="shared" si="57"/>
        <v>0</v>
      </c>
      <c r="R369" s="220"/>
      <c r="T369" s="82"/>
      <c r="U369" s="82"/>
      <c r="V369" s="82"/>
      <c r="W369" s="82"/>
      <c r="X369" s="82"/>
      <c r="Y369" s="82"/>
      <c r="Z369" s="82"/>
      <c r="AA369" s="82"/>
      <c r="AB369" s="82"/>
    </row>
    <row r="370" spans="1:28" s="85" customFormat="1" x14ac:dyDescent="0.25">
      <c r="A370" s="82"/>
      <c r="B370" s="82"/>
      <c r="C370" s="82"/>
      <c r="D370" s="729"/>
      <c r="E370" s="371" t="s">
        <v>49</v>
      </c>
      <c r="F370" s="372">
        <v>9</v>
      </c>
      <c r="G370" s="373">
        <v>6</v>
      </c>
      <c r="H370" s="374">
        <v>5</v>
      </c>
      <c r="I370" s="375">
        <v>2.0699999999999998</v>
      </c>
      <c r="J370" s="376">
        <f t="shared" si="50"/>
        <v>12.419999999999998</v>
      </c>
      <c r="K370" s="66">
        <f t="shared" si="51"/>
        <v>1.9126799999999997</v>
      </c>
      <c r="L370" s="63">
        <f t="shared" si="52"/>
        <v>0</v>
      </c>
      <c r="M370" s="63">
        <f t="shared" si="53"/>
        <v>0</v>
      </c>
      <c r="N370" s="63">
        <f t="shared" si="54"/>
        <v>0</v>
      </c>
      <c r="O370" s="63">
        <f t="shared" si="55"/>
        <v>0</v>
      </c>
      <c r="P370" s="63">
        <f t="shared" si="56"/>
        <v>0</v>
      </c>
      <c r="Q370" s="561">
        <f t="shared" si="57"/>
        <v>0</v>
      </c>
      <c r="R370" s="174"/>
      <c r="T370" s="82"/>
      <c r="U370" s="82"/>
      <c r="V370" s="82"/>
      <c r="W370" s="82"/>
      <c r="X370" s="82"/>
      <c r="Y370" s="82"/>
      <c r="Z370" s="82"/>
      <c r="AA370" s="82"/>
      <c r="AB370" s="82"/>
    </row>
    <row r="371" spans="1:28" s="85" customFormat="1" x14ac:dyDescent="0.25">
      <c r="A371" s="82"/>
      <c r="B371" s="82"/>
      <c r="C371" s="82"/>
      <c r="D371" s="729"/>
      <c r="E371" s="371" t="s">
        <v>49</v>
      </c>
      <c r="F371" s="372">
        <v>10</v>
      </c>
      <c r="G371" s="373">
        <v>8</v>
      </c>
      <c r="H371" s="374">
        <v>5</v>
      </c>
      <c r="I371" s="375">
        <v>1.19</v>
      </c>
      <c r="J371" s="376">
        <f t="shared" si="50"/>
        <v>9.52</v>
      </c>
      <c r="K371" s="66">
        <f t="shared" si="51"/>
        <v>1.4660799999999998</v>
      </c>
      <c r="L371" s="63">
        <f t="shared" si="52"/>
        <v>0</v>
      </c>
      <c r="M371" s="63">
        <f t="shared" si="53"/>
        <v>0</v>
      </c>
      <c r="N371" s="63">
        <f t="shared" si="54"/>
        <v>0</v>
      </c>
      <c r="O371" s="63">
        <f t="shared" si="55"/>
        <v>0</v>
      </c>
      <c r="P371" s="63">
        <f t="shared" si="56"/>
        <v>0</v>
      </c>
      <c r="Q371" s="561">
        <f t="shared" si="57"/>
        <v>0</v>
      </c>
      <c r="R371" s="174"/>
      <c r="T371" s="82"/>
      <c r="U371" s="82"/>
      <c r="V371" s="82"/>
      <c r="W371" s="82"/>
      <c r="X371" s="82"/>
      <c r="Y371" s="82"/>
      <c r="Z371" s="82"/>
      <c r="AA371" s="82"/>
      <c r="AB371" s="82"/>
    </row>
    <row r="372" spans="1:28" s="85" customFormat="1" x14ac:dyDescent="0.25">
      <c r="A372" s="82"/>
      <c r="B372" s="82"/>
      <c r="C372" s="82"/>
      <c r="D372" s="729"/>
      <c r="E372" s="371" t="s">
        <v>49</v>
      </c>
      <c r="F372" s="372">
        <v>24</v>
      </c>
      <c r="G372" s="373">
        <v>8</v>
      </c>
      <c r="H372" s="374">
        <v>10</v>
      </c>
      <c r="I372" s="375">
        <v>1.57</v>
      </c>
      <c r="J372" s="376">
        <f t="shared" si="50"/>
        <v>12.56</v>
      </c>
      <c r="K372" s="66">
        <f t="shared" si="51"/>
        <v>0</v>
      </c>
      <c r="L372" s="63">
        <f t="shared" si="52"/>
        <v>0</v>
      </c>
      <c r="M372" s="63">
        <f t="shared" si="53"/>
        <v>0</v>
      </c>
      <c r="N372" s="63">
        <f t="shared" si="54"/>
        <v>7.7495200000000004</v>
      </c>
      <c r="O372" s="63">
        <f t="shared" si="55"/>
        <v>0</v>
      </c>
      <c r="P372" s="63">
        <f t="shared" si="56"/>
        <v>0</v>
      </c>
      <c r="Q372" s="561">
        <f t="shared" si="57"/>
        <v>0</v>
      </c>
      <c r="R372" s="174"/>
      <c r="T372" s="82"/>
      <c r="U372" s="82"/>
      <c r="V372" s="82"/>
      <c r="W372" s="82"/>
      <c r="X372" s="82"/>
      <c r="Y372" s="82"/>
      <c r="Z372" s="82"/>
      <c r="AA372" s="82"/>
      <c r="AB372" s="82"/>
    </row>
    <row r="373" spans="1:28" s="85" customFormat="1" x14ac:dyDescent="0.25">
      <c r="A373" s="82"/>
      <c r="B373" s="82"/>
      <c r="C373" s="82"/>
      <c r="D373" s="729"/>
      <c r="E373" s="371" t="s">
        <v>113</v>
      </c>
      <c r="F373" s="372">
        <v>15</v>
      </c>
      <c r="G373" s="373">
        <v>90</v>
      </c>
      <c r="H373" s="374">
        <v>5</v>
      </c>
      <c r="I373" s="375">
        <v>0.24</v>
      </c>
      <c r="J373" s="376">
        <f t="shared" si="50"/>
        <v>21.599999999999998</v>
      </c>
      <c r="K373" s="66">
        <f t="shared" si="51"/>
        <v>3.3263999999999996</v>
      </c>
      <c r="L373" s="63">
        <f t="shared" si="52"/>
        <v>0</v>
      </c>
      <c r="M373" s="63">
        <f t="shared" si="53"/>
        <v>0</v>
      </c>
      <c r="N373" s="63">
        <f t="shared" si="54"/>
        <v>0</v>
      </c>
      <c r="O373" s="63">
        <f t="shared" si="55"/>
        <v>0</v>
      </c>
      <c r="P373" s="63">
        <f t="shared" si="56"/>
        <v>0</v>
      </c>
      <c r="Q373" s="561">
        <f t="shared" si="57"/>
        <v>0</v>
      </c>
      <c r="R373" s="174"/>
      <c r="T373" s="82"/>
      <c r="U373" s="82"/>
      <c r="V373" s="82"/>
      <c r="W373" s="82"/>
      <c r="X373" s="82"/>
      <c r="Y373" s="82"/>
      <c r="Z373" s="82"/>
      <c r="AA373" s="82"/>
      <c r="AB373" s="82"/>
    </row>
    <row r="374" spans="1:28" s="85" customFormat="1" x14ac:dyDescent="0.25">
      <c r="A374" s="82"/>
      <c r="B374" s="82"/>
      <c r="C374" s="82"/>
      <c r="D374" s="729"/>
      <c r="E374" s="371" t="s">
        <v>113</v>
      </c>
      <c r="F374" s="372">
        <v>16</v>
      </c>
      <c r="G374" s="373">
        <v>25</v>
      </c>
      <c r="H374" s="374">
        <v>5</v>
      </c>
      <c r="I374" s="375">
        <v>2.0699999999999998</v>
      </c>
      <c r="J374" s="376">
        <f t="shared" si="50"/>
        <v>51.749999999999993</v>
      </c>
      <c r="K374" s="66">
        <f t="shared" si="51"/>
        <v>7.9694999999999991</v>
      </c>
      <c r="L374" s="63">
        <f t="shared" si="52"/>
        <v>0</v>
      </c>
      <c r="M374" s="63">
        <f t="shared" si="53"/>
        <v>0</v>
      </c>
      <c r="N374" s="63">
        <f t="shared" si="54"/>
        <v>0</v>
      </c>
      <c r="O374" s="63">
        <f t="shared" si="55"/>
        <v>0</v>
      </c>
      <c r="P374" s="63">
        <f t="shared" si="56"/>
        <v>0</v>
      </c>
      <c r="Q374" s="561">
        <f t="shared" si="57"/>
        <v>0</v>
      </c>
      <c r="R374" s="174"/>
      <c r="T374" s="82"/>
      <c r="U374" s="82"/>
      <c r="V374" s="82"/>
      <c r="W374" s="82"/>
      <c r="X374" s="82"/>
      <c r="Y374" s="82"/>
      <c r="Z374" s="82"/>
      <c r="AA374" s="82"/>
      <c r="AB374" s="82"/>
    </row>
    <row r="375" spans="1:28" s="85" customFormat="1" x14ac:dyDescent="0.25">
      <c r="A375" s="82"/>
      <c r="B375" s="82"/>
      <c r="C375" s="82"/>
      <c r="D375" s="729"/>
      <c r="E375" s="371" t="s">
        <v>113</v>
      </c>
      <c r="F375" s="372">
        <v>17</v>
      </c>
      <c r="G375" s="373">
        <v>10</v>
      </c>
      <c r="H375" s="374">
        <v>5</v>
      </c>
      <c r="I375" s="375">
        <v>1.19</v>
      </c>
      <c r="J375" s="376">
        <f t="shared" si="50"/>
        <v>11.899999999999999</v>
      </c>
      <c r="K375" s="66">
        <f t="shared" si="51"/>
        <v>1.8325999999999998</v>
      </c>
      <c r="L375" s="63">
        <f t="shared" si="52"/>
        <v>0</v>
      </c>
      <c r="M375" s="63">
        <f t="shared" si="53"/>
        <v>0</v>
      </c>
      <c r="N375" s="63">
        <f t="shared" si="54"/>
        <v>0</v>
      </c>
      <c r="O375" s="63">
        <f t="shared" si="55"/>
        <v>0</v>
      </c>
      <c r="P375" s="63">
        <f t="shared" si="56"/>
        <v>0</v>
      </c>
      <c r="Q375" s="561">
        <f t="shared" si="57"/>
        <v>0</v>
      </c>
      <c r="R375" s="174"/>
      <c r="T375" s="82"/>
      <c r="U375" s="82"/>
      <c r="V375" s="82"/>
      <c r="W375" s="82"/>
      <c r="X375" s="82"/>
      <c r="Y375" s="82"/>
      <c r="Z375" s="82"/>
      <c r="AA375" s="82"/>
      <c r="AB375" s="82"/>
    </row>
    <row r="376" spans="1:28" s="85" customFormat="1" x14ac:dyDescent="0.25">
      <c r="A376" s="82"/>
      <c r="B376" s="82"/>
      <c r="C376" s="82"/>
      <c r="D376" s="729"/>
      <c r="E376" s="371" t="s">
        <v>113</v>
      </c>
      <c r="F376" s="372">
        <v>22</v>
      </c>
      <c r="G376" s="373">
        <v>4</v>
      </c>
      <c r="H376" s="374">
        <v>10</v>
      </c>
      <c r="I376" s="375">
        <v>3.78</v>
      </c>
      <c r="J376" s="376">
        <f t="shared" ref="J376" si="59">G376*I376</f>
        <v>15.12</v>
      </c>
      <c r="K376" s="66">
        <f t="shared" si="51"/>
        <v>0</v>
      </c>
      <c r="L376" s="63">
        <f t="shared" si="52"/>
        <v>0</v>
      </c>
      <c r="M376" s="63">
        <f t="shared" si="53"/>
        <v>0</v>
      </c>
      <c r="N376" s="63">
        <f t="shared" si="54"/>
        <v>9.3290399999999991</v>
      </c>
      <c r="O376" s="63">
        <f t="shared" si="55"/>
        <v>0</v>
      </c>
      <c r="P376" s="63">
        <f t="shared" si="56"/>
        <v>0</v>
      </c>
      <c r="Q376" s="561">
        <f t="shared" si="57"/>
        <v>0</v>
      </c>
      <c r="R376" s="174"/>
      <c r="T376" s="82"/>
      <c r="U376" s="82"/>
      <c r="V376" s="82"/>
      <c r="W376" s="82"/>
      <c r="X376" s="82"/>
      <c r="Y376" s="82"/>
      <c r="Z376" s="82"/>
      <c r="AA376" s="82"/>
      <c r="AB376" s="82"/>
    </row>
    <row r="377" spans="1:28" s="85" customFormat="1" x14ac:dyDescent="0.25">
      <c r="A377" s="82"/>
      <c r="B377" s="82"/>
      <c r="C377" s="82"/>
      <c r="D377" s="729"/>
      <c r="E377" s="371" t="s">
        <v>113</v>
      </c>
      <c r="F377" s="372">
        <v>23</v>
      </c>
      <c r="G377" s="373">
        <v>4</v>
      </c>
      <c r="H377" s="374">
        <v>10</v>
      </c>
      <c r="I377" s="375">
        <v>3.42</v>
      </c>
      <c r="J377" s="376">
        <f t="shared" si="50"/>
        <v>13.68</v>
      </c>
      <c r="K377" s="66">
        <f t="shared" si="51"/>
        <v>0</v>
      </c>
      <c r="L377" s="63">
        <f t="shared" si="52"/>
        <v>0</v>
      </c>
      <c r="M377" s="63">
        <f t="shared" si="53"/>
        <v>0</v>
      </c>
      <c r="N377" s="63">
        <f t="shared" si="54"/>
        <v>8.4405599999999996</v>
      </c>
      <c r="O377" s="63">
        <f t="shared" si="55"/>
        <v>0</v>
      </c>
      <c r="P377" s="63">
        <f t="shared" si="56"/>
        <v>0</v>
      </c>
      <c r="Q377" s="561">
        <f t="shared" si="57"/>
        <v>0</v>
      </c>
      <c r="R377" s="174"/>
      <c r="T377" s="82"/>
      <c r="U377" s="82"/>
      <c r="V377" s="82"/>
      <c r="W377" s="82"/>
      <c r="X377" s="82"/>
      <c r="Y377" s="82"/>
      <c r="Z377" s="82"/>
      <c r="AA377" s="82"/>
      <c r="AB377" s="82"/>
    </row>
    <row r="378" spans="1:28" s="85" customFormat="1" x14ac:dyDescent="0.25">
      <c r="A378" s="82"/>
      <c r="B378" s="82"/>
      <c r="C378" s="82"/>
      <c r="D378" s="729"/>
      <c r="E378" s="371" t="s">
        <v>113</v>
      </c>
      <c r="F378" s="372">
        <v>24</v>
      </c>
      <c r="G378" s="373">
        <v>4</v>
      </c>
      <c r="H378" s="374">
        <v>10</v>
      </c>
      <c r="I378" s="375">
        <v>0.67</v>
      </c>
      <c r="J378" s="376">
        <f t="shared" si="50"/>
        <v>2.68</v>
      </c>
      <c r="K378" s="66">
        <f t="shared" si="51"/>
        <v>0</v>
      </c>
      <c r="L378" s="63">
        <f t="shared" si="52"/>
        <v>0</v>
      </c>
      <c r="M378" s="63">
        <f t="shared" si="53"/>
        <v>0</v>
      </c>
      <c r="N378" s="63">
        <f t="shared" si="54"/>
        <v>1.6535600000000001</v>
      </c>
      <c r="O378" s="63">
        <f t="shared" si="55"/>
        <v>0</v>
      </c>
      <c r="P378" s="63">
        <f t="shared" si="56"/>
        <v>0</v>
      </c>
      <c r="Q378" s="561">
        <f t="shared" si="57"/>
        <v>0</v>
      </c>
      <c r="R378" s="174"/>
      <c r="T378" s="82"/>
      <c r="U378" s="82"/>
      <c r="V378" s="82"/>
      <c r="W378" s="82"/>
      <c r="X378" s="82"/>
      <c r="Y378" s="82"/>
      <c r="Z378" s="82"/>
      <c r="AA378" s="82"/>
      <c r="AB378" s="82"/>
    </row>
    <row r="379" spans="1:28" s="85" customFormat="1" x14ac:dyDescent="0.25">
      <c r="A379" s="82"/>
      <c r="B379" s="82"/>
      <c r="C379" s="82"/>
      <c r="D379" s="729"/>
      <c r="E379" s="396" t="s">
        <v>184</v>
      </c>
      <c r="F379" s="403">
        <v>5</v>
      </c>
      <c r="G379" s="397">
        <v>8</v>
      </c>
      <c r="H379" s="398">
        <v>5</v>
      </c>
      <c r="I379" s="399">
        <v>0.97</v>
      </c>
      <c r="J379" s="400">
        <f t="shared" si="50"/>
        <v>7.76</v>
      </c>
      <c r="K379" s="401">
        <f t="shared" si="51"/>
        <v>1.1950399999999999</v>
      </c>
      <c r="L379" s="196">
        <f t="shared" si="52"/>
        <v>0</v>
      </c>
      <c r="M379" s="196">
        <f t="shared" si="53"/>
        <v>0</v>
      </c>
      <c r="N379" s="196">
        <f t="shared" si="54"/>
        <v>0</v>
      </c>
      <c r="O379" s="196">
        <f t="shared" si="55"/>
        <v>0</v>
      </c>
      <c r="P379" s="196">
        <f t="shared" si="56"/>
        <v>0</v>
      </c>
      <c r="Q379" s="566">
        <f t="shared" si="57"/>
        <v>0</v>
      </c>
      <c r="R379" s="538"/>
      <c r="T379" s="82"/>
      <c r="U379" s="82"/>
      <c r="V379" s="82"/>
      <c r="W379" s="82"/>
      <c r="X379" s="82"/>
      <c r="Y379" s="82"/>
      <c r="Z379" s="82"/>
      <c r="AA379" s="82"/>
      <c r="AB379" s="82"/>
    </row>
    <row r="380" spans="1:28" s="85" customFormat="1" x14ac:dyDescent="0.25">
      <c r="A380" s="82"/>
      <c r="B380" s="82"/>
      <c r="C380" s="82"/>
      <c r="D380" s="729"/>
      <c r="E380" s="371" t="s">
        <v>184</v>
      </c>
      <c r="F380" s="372">
        <v>6</v>
      </c>
      <c r="G380" s="373">
        <v>4</v>
      </c>
      <c r="H380" s="374">
        <v>5</v>
      </c>
      <c r="I380" s="375">
        <v>0.64</v>
      </c>
      <c r="J380" s="376">
        <f t="shared" si="50"/>
        <v>2.56</v>
      </c>
      <c r="K380" s="66">
        <f t="shared" si="51"/>
        <v>0.39423999999999998</v>
      </c>
      <c r="L380" s="63">
        <f t="shared" si="52"/>
        <v>0</v>
      </c>
      <c r="M380" s="63">
        <f t="shared" si="53"/>
        <v>0</v>
      </c>
      <c r="N380" s="63">
        <f t="shared" si="54"/>
        <v>0</v>
      </c>
      <c r="O380" s="63">
        <f t="shared" si="55"/>
        <v>0</v>
      </c>
      <c r="P380" s="63">
        <f t="shared" si="56"/>
        <v>0</v>
      </c>
      <c r="Q380" s="562">
        <f t="shared" si="57"/>
        <v>0</v>
      </c>
      <c r="R380" s="377"/>
      <c r="T380" s="82"/>
      <c r="U380" s="82"/>
      <c r="V380" s="82"/>
      <c r="W380" s="82"/>
      <c r="X380" s="82"/>
      <c r="Y380" s="82"/>
      <c r="Z380" s="82"/>
      <c r="AA380" s="82"/>
      <c r="AB380" s="82"/>
    </row>
    <row r="381" spans="1:28" s="85" customFormat="1" x14ac:dyDescent="0.25">
      <c r="A381" s="82"/>
      <c r="B381" s="82"/>
      <c r="C381" s="82"/>
      <c r="D381" s="729"/>
      <c r="E381" s="371" t="s">
        <v>184</v>
      </c>
      <c r="F381" s="372">
        <v>14</v>
      </c>
      <c r="G381" s="373">
        <v>20</v>
      </c>
      <c r="H381" s="374">
        <v>5</v>
      </c>
      <c r="I381" s="375">
        <v>0.24</v>
      </c>
      <c r="J381" s="376">
        <f t="shared" si="50"/>
        <v>4.8</v>
      </c>
      <c r="K381" s="66">
        <f t="shared" si="51"/>
        <v>0.73919999999999997</v>
      </c>
      <c r="L381" s="63">
        <f t="shared" si="52"/>
        <v>0</v>
      </c>
      <c r="M381" s="63">
        <f t="shared" si="53"/>
        <v>0</v>
      </c>
      <c r="N381" s="63">
        <f t="shared" si="54"/>
        <v>0</v>
      </c>
      <c r="O381" s="63">
        <f t="shared" si="55"/>
        <v>0</v>
      </c>
      <c r="P381" s="63">
        <f t="shared" si="56"/>
        <v>0</v>
      </c>
      <c r="Q381" s="562">
        <f t="shared" si="57"/>
        <v>0</v>
      </c>
      <c r="R381" s="377"/>
      <c r="T381" s="82"/>
      <c r="U381" s="82"/>
      <c r="V381" s="82"/>
      <c r="W381" s="82"/>
      <c r="X381" s="82"/>
      <c r="Y381" s="82"/>
      <c r="Z381" s="82"/>
      <c r="AA381" s="82"/>
      <c r="AB381" s="82"/>
    </row>
    <row r="382" spans="1:28" s="85" customFormat="1" ht="13.8" thickBot="1" x14ac:dyDescent="0.3">
      <c r="A382" s="82"/>
      <c r="B382" s="82"/>
      <c r="C382" s="82"/>
      <c r="D382" s="731"/>
      <c r="E382" s="390" t="s">
        <v>184</v>
      </c>
      <c r="F382" s="391">
        <v>43</v>
      </c>
      <c r="G382" s="392">
        <v>8</v>
      </c>
      <c r="H382" s="393">
        <v>10</v>
      </c>
      <c r="I382" s="394">
        <v>1.02</v>
      </c>
      <c r="J382" s="395">
        <f t="shared" si="50"/>
        <v>8.16</v>
      </c>
      <c r="K382" s="221">
        <f t="shared" si="51"/>
        <v>0</v>
      </c>
      <c r="L382" s="222">
        <f t="shared" si="52"/>
        <v>0</v>
      </c>
      <c r="M382" s="222">
        <f t="shared" si="53"/>
        <v>0</v>
      </c>
      <c r="N382" s="222">
        <f t="shared" si="54"/>
        <v>5.0347200000000001</v>
      </c>
      <c r="O382" s="222">
        <f t="shared" si="55"/>
        <v>0</v>
      </c>
      <c r="P382" s="222">
        <f t="shared" si="56"/>
        <v>0</v>
      </c>
      <c r="Q382" s="564">
        <f t="shared" si="57"/>
        <v>0</v>
      </c>
      <c r="R382" s="539"/>
      <c r="T382" s="82"/>
      <c r="U382" s="82"/>
      <c r="V382" s="82"/>
      <c r="W382" s="82"/>
      <c r="X382" s="82"/>
      <c r="Y382" s="82"/>
      <c r="Z382" s="82"/>
      <c r="AA382" s="82"/>
      <c r="AB382" s="82"/>
    </row>
    <row r="383" spans="1:28" s="85" customFormat="1" ht="13.8" thickTop="1" x14ac:dyDescent="0.25">
      <c r="A383" s="82"/>
      <c r="B383" s="82"/>
      <c r="C383" s="82"/>
      <c r="D383" s="728" t="s">
        <v>373</v>
      </c>
      <c r="E383" s="384" t="s">
        <v>49</v>
      </c>
      <c r="F383" s="385">
        <v>1</v>
      </c>
      <c r="G383" s="386">
        <v>10</v>
      </c>
      <c r="H383" s="387">
        <v>5</v>
      </c>
      <c r="I383" s="388">
        <v>0.33</v>
      </c>
      <c r="J383" s="389">
        <f t="shared" si="50"/>
        <v>3.3000000000000003</v>
      </c>
      <c r="K383" s="218">
        <f t="shared" si="51"/>
        <v>0.50819999999999999</v>
      </c>
      <c r="L383" s="219">
        <f t="shared" si="52"/>
        <v>0</v>
      </c>
      <c r="M383" s="219">
        <f t="shared" si="53"/>
        <v>0</v>
      </c>
      <c r="N383" s="219">
        <f t="shared" si="54"/>
        <v>0</v>
      </c>
      <c r="O383" s="219">
        <f t="shared" si="55"/>
        <v>0</v>
      </c>
      <c r="P383" s="219">
        <f t="shared" si="56"/>
        <v>0</v>
      </c>
      <c r="Q383" s="563">
        <f t="shared" si="57"/>
        <v>0</v>
      </c>
      <c r="R383" s="220"/>
      <c r="T383" s="82"/>
      <c r="U383" s="82"/>
      <c r="V383" s="82"/>
      <c r="W383" s="82"/>
      <c r="X383" s="82"/>
      <c r="Y383" s="82"/>
      <c r="Z383" s="82"/>
      <c r="AA383" s="82"/>
      <c r="AB383" s="82"/>
    </row>
    <row r="384" spans="1:28" s="85" customFormat="1" x14ac:dyDescent="0.25">
      <c r="A384" s="82"/>
      <c r="B384" s="82"/>
      <c r="C384" s="82"/>
      <c r="D384" s="729"/>
      <c r="E384" s="371" t="s">
        <v>49</v>
      </c>
      <c r="F384" s="372">
        <v>2</v>
      </c>
      <c r="G384" s="373">
        <v>3</v>
      </c>
      <c r="H384" s="374">
        <v>5</v>
      </c>
      <c r="I384" s="375">
        <v>2.27</v>
      </c>
      <c r="J384" s="376">
        <f t="shared" si="50"/>
        <v>6.8100000000000005</v>
      </c>
      <c r="K384" s="66">
        <f t="shared" si="51"/>
        <v>1.04874</v>
      </c>
      <c r="L384" s="63">
        <f t="shared" si="52"/>
        <v>0</v>
      </c>
      <c r="M384" s="63">
        <f t="shared" si="53"/>
        <v>0</v>
      </c>
      <c r="N384" s="63">
        <f t="shared" si="54"/>
        <v>0</v>
      </c>
      <c r="O384" s="63">
        <f t="shared" si="55"/>
        <v>0</v>
      </c>
      <c r="P384" s="63">
        <f t="shared" si="56"/>
        <v>0</v>
      </c>
      <c r="Q384" s="561">
        <f t="shared" si="57"/>
        <v>0</v>
      </c>
      <c r="R384" s="174"/>
      <c r="T384" s="82"/>
      <c r="U384" s="82"/>
      <c r="V384" s="82"/>
      <c r="W384" s="82"/>
      <c r="X384" s="82"/>
      <c r="Y384" s="82"/>
      <c r="Z384" s="82"/>
      <c r="AA384" s="82"/>
      <c r="AB384" s="82"/>
    </row>
    <row r="385" spans="1:28" s="85" customFormat="1" x14ac:dyDescent="0.25">
      <c r="A385" s="82"/>
      <c r="B385" s="82"/>
      <c r="C385" s="82"/>
      <c r="D385" s="729"/>
      <c r="E385" s="371" t="s">
        <v>49</v>
      </c>
      <c r="F385" s="372">
        <v>3</v>
      </c>
      <c r="G385" s="373">
        <v>4</v>
      </c>
      <c r="H385" s="374">
        <v>5</v>
      </c>
      <c r="I385" s="375">
        <v>1.39</v>
      </c>
      <c r="J385" s="376">
        <f t="shared" si="50"/>
        <v>5.56</v>
      </c>
      <c r="K385" s="66">
        <f t="shared" si="51"/>
        <v>0.85623999999999989</v>
      </c>
      <c r="L385" s="63">
        <f t="shared" si="52"/>
        <v>0</v>
      </c>
      <c r="M385" s="63">
        <f t="shared" si="53"/>
        <v>0</v>
      </c>
      <c r="N385" s="63">
        <f t="shared" si="54"/>
        <v>0</v>
      </c>
      <c r="O385" s="63">
        <f t="shared" si="55"/>
        <v>0</v>
      </c>
      <c r="P385" s="63">
        <f t="shared" si="56"/>
        <v>0</v>
      </c>
      <c r="Q385" s="561">
        <f t="shared" si="57"/>
        <v>0</v>
      </c>
      <c r="R385" s="174"/>
      <c r="T385" s="82"/>
      <c r="U385" s="82"/>
      <c r="V385" s="82"/>
      <c r="W385" s="82"/>
      <c r="X385" s="82"/>
      <c r="Y385" s="82"/>
      <c r="Z385" s="82"/>
      <c r="AA385" s="82"/>
      <c r="AB385" s="82"/>
    </row>
    <row r="386" spans="1:28" s="85" customFormat="1" x14ac:dyDescent="0.25">
      <c r="A386" s="82"/>
      <c r="B386" s="82"/>
      <c r="C386" s="82"/>
      <c r="D386" s="729"/>
      <c r="E386" s="371" t="s">
        <v>49</v>
      </c>
      <c r="F386" s="372">
        <v>59</v>
      </c>
      <c r="G386" s="373">
        <v>8</v>
      </c>
      <c r="H386" s="374">
        <v>20</v>
      </c>
      <c r="I386" s="375">
        <v>1.72</v>
      </c>
      <c r="J386" s="376">
        <f t="shared" si="50"/>
        <v>13.76</v>
      </c>
      <c r="K386" s="66">
        <f t="shared" si="51"/>
        <v>0</v>
      </c>
      <c r="L386" s="63">
        <f t="shared" si="52"/>
        <v>0</v>
      </c>
      <c r="M386" s="63">
        <f t="shared" si="53"/>
        <v>0</v>
      </c>
      <c r="N386" s="63">
        <f t="shared" si="54"/>
        <v>0</v>
      </c>
      <c r="O386" s="63">
        <f t="shared" si="55"/>
        <v>0</v>
      </c>
      <c r="P386" s="63">
        <f t="shared" si="56"/>
        <v>0</v>
      </c>
      <c r="Q386" s="561">
        <f t="shared" si="57"/>
        <v>33.932160000000003</v>
      </c>
      <c r="R386" s="174"/>
      <c r="T386" s="82"/>
      <c r="U386" s="82"/>
      <c r="V386" s="82"/>
      <c r="W386" s="82"/>
      <c r="X386" s="82"/>
      <c r="Y386" s="82"/>
      <c r="Z386" s="82"/>
      <c r="AA386" s="82"/>
      <c r="AB386" s="82"/>
    </row>
    <row r="387" spans="1:28" s="85" customFormat="1" x14ac:dyDescent="0.25">
      <c r="A387" s="82"/>
      <c r="B387" s="82"/>
      <c r="C387" s="82"/>
      <c r="D387" s="729"/>
      <c r="E387" s="371" t="s">
        <v>113</v>
      </c>
      <c r="F387" s="372">
        <v>7</v>
      </c>
      <c r="G387" s="373">
        <v>54</v>
      </c>
      <c r="H387" s="374">
        <v>5</v>
      </c>
      <c r="I387" s="375">
        <v>0.33</v>
      </c>
      <c r="J387" s="376">
        <f t="shared" si="50"/>
        <v>17.82</v>
      </c>
      <c r="K387" s="66">
        <f t="shared" si="51"/>
        <v>2.7442799999999998</v>
      </c>
      <c r="L387" s="63">
        <f t="shared" si="52"/>
        <v>0</v>
      </c>
      <c r="M387" s="63">
        <f t="shared" si="53"/>
        <v>0</v>
      </c>
      <c r="N387" s="63">
        <f t="shared" si="54"/>
        <v>0</v>
      </c>
      <c r="O387" s="63">
        <f t="shared" si="55"/>
        <v>0</v>
      </c>
      <c r="P387" s="63">
        <f t="shared" si="56"/>
        <v>0</v>
      </c>
      <c r="Q387" s="561">
        <f t="shared" si="57"/>
        <v>0</v>
      </c>
      <c r="R387" s="174"/>
      <c r="T387" s="82"/>
      <c r="U387" s="82"/>
      <c r="V387" s="82"/>
      <c r="W387" s="82"/>
      <c r="X387" s="82"/>
      <c r="Y387" s="82"/>
      <c r="Z387" s="82"/>
      <c r="AA387" s="82"/>
      <c r="AB387" s="82"/>
    </row>
    <row r="388" spans="1:28" s="85" customFormat="1" x14ac:dyDescent="0.25">
      <c r="A388" s="82"/>
      <c r="B388" s="82"/>
      <c r="C388" s="82"/>
      <c r="D388" s="729"/>
      <c r="E388" s="371" t="s">
        <v>113</v>
      </c>
      <c r="F388" s="372">
        <v>19</v>
      </c>
      <c r="G388" s="373">
        <v>23</v>
      </c>
      <c r="H388" s="374">
        <v>5</v>
      </c>
      <c r="I388" s="375">
        <v>2.27</v>
      </c>
      <c r="J388" s="376">
        <f t="shared" si="50"/>
        <v>52.21</v>
      </c>
      <c r="K388" s="66">
        <f t="shared" si="51"/>
        <v>8.0403400000000005</v>
      </c>
      <c r="L388" s="63">
        <f t="shared" si="52"/>
        <v>0</v>
      </c>
      <c r="M388" s="63">
        <f t="shared" si="53"/>
        <v>0</v>
      </c>
      <c r="N388" s="63">
        <f t="shared" si="54"/>
        <v>0</v>
      </c>
      <c r="O388" s="63">
        <f t="shared" si="55"/>
        <v>0</v>
      </c>
      <c r="P388" s="63">
        <f t="shared" si="56"/>
        <v>0</v>
      </c>
      <c r="Q388" s="561">
        <f t="shared" si="57"/>
        <v>0</v>
      </c>
      <c r="R388" s="174"/>
      <c r="T388" s="82"/>
      <c r="U388" s="82"/>
      <c r="V388" s="82"/>
      <c r="W388" s="82"/>
      <c r="X388" s="82"/>
      <c r="Y388" s="82"/>
      <c r="Z388" s="82"/>
      <c r="AA388" s="82"/>
      <c r="AB388" s="82"/>
    </row>
    <row r="389" spans="1:28" s="85" customFormat="1" x14ac:dyDescent="0.25">
      <c r="A389" s="82"/>
      <c r="B389" s="82"/>
      <c r="C389" s="82"/>
      <c r="D389" s="729"/>
      <c r="E389" s="371" t="s">
        <v>113</v>
      </c>
      <c r="F389" s="372">
        <v>20</v>
      </c>
      <c r="G389" s="373">
        <v>8</v>
      </c>
      <c r="H389" s="374">
        <v>5</v>
      </c>
      <c r="I389" s="375">
        <v>1.39</v>
      </c>
      <c r="J389" s="376">
        <f t="shared" si="50"/>
        <v>11.12</v>
      </c>
      <c r="K389" s="66">
        <f t="shared" si="51"/>
        <v>1.7124799999999998</v>
      </c>
      <c r="L389" s="63">
        <f t="shared" si="52"/>
        <v>0</v>
      </c>
      <c r="M389" s="63">
        <f t="shared" si="53"/>
        <v>0</v>
      </c>
      <c r="N389" s="63">
        <f t="shared" si="54"/>
        <v>0</v>
      </c>
      <c r="O389" s="63">
        <f t="shared" si="55"/>
        <v>0</v>
      </c>
      <c r="P389" s="63">
        <f t="shared" si="56"/>
        <v>0</v>
      </c>
      <c r="Q389" s="561">
        <f t="shared" si="57"/>
        <v>0</v>
      </c>
      <c r="R389" s="174"/>
      <c r="T389" s="82"/>
      <c r="U389" s="82"/>
      <c r="V389" s="82"/>
      <c r="W389" s="82"/>
      <c r="X389" s="82"/>
      <c r="Y389" s="82"/>
      <c r="Z389" s="82"/>
      <c r="AA389" s="82"/>
      <c r="AB389" s="82"/>
    </row>
    <row r="390" spans="1:28" s="85" customFormat="1" x14ac:dyDescent="0.25">
      <c r="A390" s="82"/>
      <c r="B390" s="82"/>
      <c r="C390" s="82"/>
      <c r="D390" s="729"/>
      <c r="E390" s="371" t="s">
        <v>113</v>
      </c>
      <c r="F390" s="372">
        <v>30</v>
      </c>
      <c r="G390" s="373">
        <v>8</v>
      </c>
      <c r="H390" s="374">
        <v>20</v>
      </c>
      <c r="I390" s="375">
        <v>4.12</v>
      </c>
      <c r="J390" s="376">
        <f t="shared" si="50"/>
        <v>32.96</v>
      </c>
      <c r="K390" s="66">
        <f t="shared" si="51"/>
        <v>0</v>
      </c>
      <c r="L390" s="63">
        <f t="shared" si="52"/>
        <v>0</v>
      </c>
      <c r="M390" s="63">
        <f t="shared" si="53"/>
        <v>0</v>
      </c>
      <c r="N390" s="63">
        <f t="shared" si="54"/>
        <v>0</v>
      </c>
      <c r="O390" s="63">
        <f t="shared" si="55"/>
        <v>0</v>
      </c>
      <c r="P390" s="63">
        <f t="shared" si="56"/>
        <v>0</v>
      </c>
      <c r="Q390" s="561">
        <f t="shared" si="57"/>
        <v>81.279360000000011</v>
      </c>
      <c r="R390" s="174"/>
      <c r="T390" s="82"/>
      <c r="U390" s="82"/>
      <c r="V390" s="82"/>
      <c r="W390" s="82"/>
      <c r="X390" s="82"/>
      <c r="Y390" s="82"/>
      <c r="Z390" s="82"/>
      <c r="AA390" s="82"/>
      <c r="AB390" s="82"/>
    </row>
    <row r="391" spans="1:28" s="85" customFormat="1" x14ac:dyDescent="0.25">
      <c r="A391" s="82"/>
      <c r="B391" s="82"/>
      <c r="C391" s="82"/>
      <c r="D391" s="729"/>
      <c r="E391" s="396" t="s">
        <v>184</v>
      </c>
      <c r="F391" s="403">
        <v>7</v>
      </c>
      <c r="G391" s="397">
        <v>18</v>
      </c>
      <c r="H391" s="398">
        <v>5</v>
      </c>
      <c r="I391" s="399">
        <v>0.33</v>
      </c>
      <c r="J391" s="400">
        <f t="shared" si="50"/>
        <v>5.94</v>
      </c>
      <c r="K391" s="401">
        <f t="shared" si="51"/>
        <v>0.91476000000000002</v>
      </c>
      <c r="L391" s="196">
        <f t="shared" si="52"/>
        <v>0</v>
      </c>
      <c r="M391" s="196">
        <f t="shared" si="53"/>
        <v>0</v>
      </c>
      <c r="N391" s="196">
        <f t="shared" si="54"/>
        <v>0</v>
      </c>
      <c r="O391" s="196">
        <f t="shared" si="55"/>
        <v>0</v>
      </c>
      <c r="P391" s="196">
        <f t="shared" si="56"/>
        <v>0</v>
      </c>
      <c r="Q391" s="566">
        <f t="shared" si="57"/>
        <v>0</v>
      </c>
      <c r="R391" s="538"/>
      <c r="T391" s="82"/>
      <c r="U391" s="82"/>
      <c r="V391" s="82"/>
      <c r="W391" s="82"/>
      <c r="X391" s="82"/>
      <c r="Y391" s="82"/>
      <c r="Z391" s="82"/>
      <c r="AA391" s="82"/>
      <c r="AB391" s="82"/>
    </row>
    <row r="392" spans="1:28" s="85" customFormat="1" x14ac:dyDescent="0.25">
      <c r="A392" s="82"/>
      <c r="B392" s="82"/>
      <c r="C392" s="82"/>
      <c r="D392" s="729"/>
      <c r="E392" s="371" t="s">
        <v>184</v>
      </c>
      <c r="F392" s="372">
        <v>17</v>
      </c>
      <c r="G392" s="373">
        <v>7</v>
      </c>
      <c r="H392" s="374">
        <v>5</v>
      </c>
      <c r="I392" s="375">
        <v>2.27</v>
      </c>
      <c r="J392" s="376">
        <f t="shared" si="50"/>
        <v>15.89</v>
      </c>
      <c r="K392" s="66">
        <f t="shared" si="51"/>
        <v>2.44706</v>
      </c>
      <c r="L392" s="63">
        <f t="shared" si="52"/>
        <v>0</v>
      </c>
      <c r="M392" s="63">
        <f t="shared" si="53"/>
        <v>0</v>
      </c>
      <c r="N392" s="63">
        <f t="shared" si="54"/>
        <v>0</v>
      </c>
      <c r="O392" s="63">
        <f t="shared" si="55"/>
        <v>0</v>
      </c>
      <c r="P392" s="63">
        <f t="shared" si="56"/>
        <v>0</v>
      </c>
      <c r="Q392" s="562">
        <f t="shared" si="57"/>
        <v>0</v>
      </c>
      <c r="R392" s="377"/>
      <c r="T392" s="82"/>
      <c r="U392" s="82"/>
      <c r="V392" s="82"/>
      <c r="W392" s="82"/>
      <c r="X392" s="82"/>
      <c r="Y392" s="82"/>
      <c r="Z392" s="82"/>
      <c r="AA392" s="82"/>
      <c r="AB392" s="82"/>
    </row>
    <row r="393" spans="1:28" s="85" customFormat="1" x14ac:dyDescent="0.25">
      <c r="A393" s="82"/>
      <c r="B393" s="82"/>
      <c r="C393" s="82"/>
      <c r="D393" s="729"/>
      <c r="E393" s="371" t="s">
        <v>184</v>
      </c>
      <c r="F393" s="372">
        <v>18</v>
      </c>
      <c r="G393" s="373">
        <v>4</v>
      </c>
      <c r="H393" s="374">
        <v>5</v>
      </c>
      <c r="I393" s="375">
        <v>1.39</v>
      </c>
      <c r="J393" s="376">
        <f t="shared" si="50"/>
        <v>5.56</v>
      </c>
      <c r="K393" s="66">
        <f t="shared" si="51"/>
        <v>0.85623999999999989</v>
      </c>
      <c r="L393" s="63">
        <f t="shared" si="52"/>
        <v>0</v>
      </c>
      <c r="M393" s="63">
        <f t="shared" si="53"/>
        <v>0</v>
      </c>
      <c r="N393" s="63">
        <f t="shared" si="54"/>
        <v>0</v>
      </c>
      <c r="O393" s="63">
        <f t="shared" si="55"/>
        <v>0</v>
      </c>
      <c r="P393" s="63">
        <f t="shared" si="56"/>
        <v>0</v>
      </c>
      <c r="Q393" s="562">
        <f t="shared" si="57"/>
        <v>0</v>
      </c>
      <c r="R393" s="377"/>
      <c r="T393" s="82"/>
      <c r="U393" s="82"/>
      <c r="V393" s="82"/>
      <c r="W393" s="82"/>
      <c r="X393" s="82"/>
      <c r="Y393" s="82"/>
      <c r="Z393" s="82"/>
      <c r="AA393" s="82"/>
      <c r="AB393" s="82"/>
    </row>
    <row r="394" spans="1:28" s="85" customFormat="1" ht="13.8" thickBot="1" x14ac:dyDescent="0.3">
      <c r="A394" s="82"/>
      <c r="B394" s="82"/>
      <c r="C394" s="82"/>
      <c r="D394" s="731"/>
      <c r="E394" s="390" t="s">
        <v>184</v>
      </c>
      <c r="F394" s="391">
        <v>45</v>
      </c>
      <c r="G394" s="392">
        <v>8</v>
      </c>
      <c r="H394" s="393">
        <v>20</v>
      </c>
      <c r="I394" s="394">
        <v>1.02</v>
      </c>
      <c r="J394" s="395">
        <f t="shared" si="50"/>
        <v>8.16</v>
      </c>
      <c r="K394" s="221">
        <f t="shared" si="51"/>
        <v>0</v>
      </c>
      <c r="L394" s="222">
        <f t="shared" si="52"/>
        <v>0</v>
      </c>
      <c r="M394" s="222">
        <f t="shared" si="53"/>
        <v>0</v>
      </c>
      <c r="N394" s="222">
        <f t="shared" si="54"/>
        <v>0</v>
      </c>
      <c r="O394" s="222">
        <f t="shared" si="55"/>
        <v>0</v>
      </c>
      <c r="P394" s="222">
        <f t="shared" si="56"/>
        <v>0</v>
      </c>
      <c r="Q394" s="564">
        <f t="shared" si="57"/>
        <v>20.122560000000004</v>
      </c>
      <c r="R394" s="539"/>
      <c r="T394" s="82"/>
      <c r="U394" s="82"/>
      <c r="V394" s="82"/>
      <c r="W394" s="82"/>
      <c r="X394" s="82"/>
      <c r="Y394" s="82"/>
      <c r="Z394" s="82"/>
      <c r="AA394" s="82"/>
      <c r="AB394" s="82"/>
    </row>
    <row r="395" spans="1:28" s="85" customFormat="1" ht="13.8" thickTop="1" x14ac:dyDescent="0.25">
      <c r="A395" s="82"/>
      <c r="B395" s="82"/>
      <c r="C395" s="82"/>
      <c r="D395" s="728" t="s">
        <v>367</v>
      </c>
      <c r="E395" s="384" t="s">
        <v>49</v>
      </c>
      <c r="F395" s="385">
        <v>1</v>
      </c>
      <c r="G395" s="386">
        <v>14</v>
      </c>
      <c r="H395" s="387">
        <v>5</v>
      </c>
      <c r="I395" s="388">
        <v>0.28999999999999998</v>
      </c>
      <c r="J395" s="389">
        <f t="shared" si="50"/>
        <v>4.0599999999999996</v>
      </c>
      <c r="K395" s="218">
        <f t="shared" si="51"/>
        <v>0.62523999999999991</v>
      </c>
      <c r="L395" s="219">
        <f t="shared" si="52"/>
        <v>0</v>
      </c>
      <c r="M395" s="219">
        <f t="shared" si="53"/>
        <v>0</v>
      </c>
      <c r="N395" s="219">
        <f t="shared" si="54"/>
        <v>0</v>
      </c>
      <c r="O395" s="219">
        <f t="shared" si="55"/>
        <v>0</v>
      </c>
      <c r="P395" s="219">
        <f t="shared" si="56"/>
        <v>0</v>
      </c>
      <c r="Q395" s="563">
        <f t="shared" si="57"/>
        <v>0</v>
      </c>
      <c r="R395" s="220"/>
      <c r="T395" s="82"/>
      <c r="U395" s="82"/>
      <c r="V395" s="82"/>
      <c r="W395" s="82"/>
      <c r="X395" s="82"/>
      <c r="Y395" s="82"/>
      <c r="Z395" s="82"/>
      <c r="AA395" s="82"/>
      <c r="AB395" s="82"/>
    </row>
    <row r="396" spans="1:28" s="85" customFormat="1" x14ac:dyDescent="0.25">
      <c r="A396" s="82"/>
      <c r="B396" s="82"/>
      <c r="C396" s="82"/>
      <c r="D396" s="729"/>
      <c r="E396" s="371" t="s">
        <v>49</v>
      </c>
      <c r="F396" s="372">
        <v>2</v>
      </c>
      <c r="G396" s="373">
        <v>4</v>
      </c>
      <c r="H396" s="374">
        <v>5</v>
      </c>
      <c r="I396" s="375">
        <v>1.27</v>
      </c>
      <c r="J396" s="376">
        <f t="shared" si="50"/>
        <v>5.08</v>
      </c>
      <c r="K396" s="66">
        <f t="shared" si="51"/>
        <v>0.78232000000000002</v>
      </c>
      <c r="L396" s="63">
        <f t="shared" si="52"/>
        <v>0</v>
      </c>
      <c r="M396" s="63">
        <f t="shared" si="53"/>
        <v>0</v>
      </c>
      <c r="N396" s="63">
        <f t="shared" si="54"/>
        <v>0</v>
      </c>
      <c r="O396" s="63">
        <f t="shared" si="55"/>
        <v>0</v>
      </c>
      <c r="P396" s="63">
        <f t="shared" si="56"/>
        <v>0</v>
      </c>
      <c r="Q396" s="561">
        <f t="shared" si="57"/>
        <v>0</v>
      </c>
      <c r="R396" s="174"/>
      <c r="T396" s="82"/>
      <c r="U396" s="82"/>
      <c r="V396" s="82"/>
      <c r="W396" s="82"/>
      <c r="X396" s="82"/>
      <c r="Y396" s="82"/>
      <c r="Z396" s="82"/>
      <c r="AA396" s="82"/>
      <c r="AB396" s="82"/>
    </row>
    <row r="397" spans="1:28" s="85" customFormat="1" x14ac:dyDescent="0.25">
      <c r="A397" s="82"/>
      <c r="B397" s="82"/>
      <c r="C397" s="82"/>
      <c r="D397" s="729"/>
      <c r="E397" s="371" t="s">
        <v>49</v>
      </c>
      <c r="F397" s="372">
        <v>3</v>
      </c>
      <c r="G397" s="373">
        <v>6</v>
      </c>
      <c r="H397" s="374">
        <v>5</v>
      </c>
      <c r="I397" s="375">
        <v>0.84</v>
      </c>
      <c r="J397" s="376">
        <f t="shared" si="50"/>
        <v>5.04</v>
      </c>
      <c r="K397" s="66">
        <f t="shared" si="51"/>
        <v>0.77615999999999996</v>
      </c>
      <c r="L397" s="63">
        <f t="shared" si="52"/>
        <v>0</v>
      </c>
      <c r="M397" s="63">
        <f t="shared" si="53"/>
        <v>0</v>
      </c>
      <c r="N397" s="63">
        <f t="shared" si="54"/>
        <v>0</v>
      </c>
      <c r="O397" s="63">
        <f t="shared" si="55"/>
        <v>0</v>
      </c>
      <c r="P397" s="63">
        <f t="shared" si="56"/>
        <v>0</v>
      </c>
      <c r="Q397" s="561">
        <f t="shared" si="57"/>
        <v>0</v>
      </c>
      <c r="R397" s="174"/>
      <c r="T397" s="82"/>
      <c r="U397" s="82"/>
      <c r="V397" s="82"/>
      <c r="W397" s="82"/>
      <c r="X397" s="82"/>
      <c r="Y397" s="82"/>
      <c r="Z397" s="82"/>
      <c r="AA397" s="82"/>
      <c r="AB397" s="82"/>
    </row>
    <row r="398" spans="1:28" s="85" customFormat="1" x14ac:dyDescent="0.25">
      <c r="A398" s="82"/>
      <c r="B398" s="82"/>
      <c r="C398" s="82"/>
      <c r="D398" s="729"/>
      <c r="E398" s="371" t="s">
        <v>49</v>
      </c>
      <c r="F398" s="372">
        <v>18</v>
      </c>
      <c r="G398" s="373">
        <v>8</v>
      </c>
      <c r="H398" s="374">
        <v>12.5</v>
      </c>
      <c r="I398" s="375">
        <v>1.45</v>
      </c>
      <c r="J398" s="376">
        <f t="shared" si="50"/>
        <v>11.6</v>
      </c>
      <c r="K398" s="66">
        <f t="shared" si="51"/>
        <v>0</v>
      </c>
      <c r="L398" s="63">
        <f t="shared" si="52"/>
        <v>0</v>
      </c>
      <c r="M398" s="63">
        <f t="shared" si="53"/>
        <v>0</v>
      </c>
      <c r="N398" s="63">
        <f t="shared" si="54"/>
        <v>0</v>
      </c>
      <c r="O398" s="63">
        <f t="shared" si="55"/>
        <v>11.1708</v>
      </c>
      <c r="P398" s="63">
        <f t="shared" si="56"/>
        <v>0</v>
      </c>
      <c r="Q398" s="561">
        <f t="shared" si="57"/>
        <v>0</v>
      </c>
      <c r="R398" s="174"/>
      <c r="T398" s="82"/>
      <c r="U398" s="82"/>
      <c r="V398" s="82"/>
      <c r="W398" s="82"/>
      <c r="X398" s="82"/>
      <c r="Y398" s="82"/>
      <c r="Z398" s="82"/>
      <c r="AA398" s="82"/>
      <c r="AB398" s="82"/>
    </row>
    <row r="399" spans="1:28" s="85" customFormat="1" x14ac:dyDescent="0.25">
      <c r="A399" s="82"/>
      <c r="B399" s="82"/>
      <c r="C399" s="82"/>
      <c r="D399" s="729"/>
      <c r="E399" s="371" t="s">
        <v>113</v>
      </c>
      <c r="F399" s="372">
        <v>1</v>
      </c>
      <c r="G399" s="373">
        <v>48</v>
      </c>
      <c r="H399" s="374">
        <v>5</v>
      </c>
      <c r="I399" s="375">
        <v>0.28999999999999998</v>
      </c>
      <c r="J399" s="376">
        <f t="shared" si="50"/>
        <v>13.919999999999998</v>
      </c>
      <c r="K399" s="66">
        <f t="shared" si="51"/>
        <v>2.1436799999999998</v>
      </c>
      <c r="L399" s="63">
        <f t="shared" si="52"/>
        <v>0</v>
      </c>
      <c r="M399" s="63">
        <f t="shared" si="53"/>
        <v>0</v>
      </c>
      <c r="N399" s="63">
        <f t="shared" si="54"/>
        <v>0</v>
      </c>
      <c r="O399" s="63">
        <f t="shared" si="55"/>
        <v>0</v>
      </c>
      <c r="P399" s="63">
        <f t="shared" si="56"/>
        <v>0</v>
      </c>
      <c r="Q399" s="561">
        <f t="shared" si="57"/>
        <v>0</v>
      </c>
      <c r="R399" s="174"/>
      <c r="T399" s="82"/>
      <c r="U399" s="82"/>
      <c r="V399" s="82"/>
      <c r="W399" s="82"/>
      <c r="X399" s="82"/>
      <c r="Y399" s="82"/>
      <c r="Z399" s="82"/>
      <c r="AA399" s="82"/>
      <c r="AB399" s="82"/>
    </row>
    <row r="400" spans="1:28" s="85" customFormat="1" x14ac:dyDescent="0.25">
      <c r="A400" s="82"/>
      <c r="B400" s="82"/>
      <c r="C400" s="82"/>
      <c r="D400" s="729"/>
      <c r="E400" s="371" t="s">
        <v>113</v>
      </c>
      <c r="F400" s="372">
        <v>2</v>
      </c>
      <c r="G400" s="373">
        <v>20</v>
      </c>
      <c r="H400" s="374">
        <v>5</v>
      </c>
      <c r="I400" s="375">
        <v>1.27</v>
      </c>
      <c r="J400" s="376">
        <f t="shared" si="50"/>
        <v>25.4</v>
      </c>
      <c r="K400" s="66">
        <f t="shared" si="51"/>
        <v>3.9115999999999995</v>
      </c>
      <c r="L400" s="63">
        <f t="shared" si="52"/>
        <v>0</v>
      </c>
      <c r="M400" s="63">
        <f t="shared" si="53"/>
        <v>0</v>
      </c>
      <c r="N400" s="63">
        <f t="shared" si="54"/>
        <v>0</v>
      </c>
      <c r="O400" s="63">
        <f t="shared" si="55"/>
        <v>0</v>
      </c>
      <c r="P400" s="63">
        <f t="shared" si="56"/>
        <v>0</v>
      </c>
      <c r="Q400" s="561">
        <f t="shared" si="57"/>
        <v>0</v>
      </c>
      <c r="R400" s="174"/>
      <c r="T400" s="82"/>
      <c r="U400" s="82"/>
      <c r="V400" s="82"/>
      <c r="W400" s="82"/>
      <c r="X400" s="82"/>
      <c r="Y400" s="82"/>
      <c r="Z400" s="82"/>
      <c r="AA400" s="82"/>
      <c r="AB400" s="82"/>
    </row>
    <row r="401" spans="1:28" s="85" customFormat="1" x14ac:dyDescent="0.25">
      <c r="A401" s="82"/>
      <c r="B401" s="82"/>
      <c r="C401" s="82"/>
      <c r="D401" s="729"/>
      <c r="E401" s="371" t="s">
        <v>113</v>
      </c>
      <c r="F401" s="372">
        <v>3</v>
      </c>
      <c r="G401" s="373">
        <v>8</v>
      </c>
      <c r="H401" s="374">
        <v>5</v>
      </c>
      <c r="I401" s="375">
        <v>0.84</v>
      </c>
      <c r="J401" s="376">
        <f t="shared" si="50"/>
        <v>6.72</v>
      </c>
      <c r="K401" s="66">
        <f t="shared" si="51"/>
        <v>1.03488</v>
      </c>
      <c r="L401" s="63">
        <f t="shared" si="52"/>
        <v>0</v>
      </c>
      <c r="M401" s="63">
        <f t="shared" si="53"/>
        <v>0</v>
      </c>
      <c r="N401" s="63">
        <f t="shared" si="54"/>
        <v>0</v>
      </c>
      <c r="O401" s="63">
        <f t="shared" si="55"/>
        <v>0</v>
      </c>
      <c r="P401" s="63">
        <f t="shared" si="56"/>
        <v>0</v>
      </c>
      <c r="Q401" s="561">
        <f t="shared" si="57"/>
        <v>0</v>
      </c>
      <c r="R401" s="174"/>
      <c r="T401" s="82"/>
      <c r="U401" s="82"/>
      <c r="V401" s="82"/>
      <c r="W401" s="82"/>
      <c r="X401" s="82"/>
      <c r="Y401" s="82"/>
      <c r="Z401" s="82"/>
      <c r="AA401" s="82"/>
      <c r="AB401" s="82"/>
    </row>
    <row r="402" spans="1:28" s="85" customFormat="1" x14ac:dyDescent="0.25">
      <c r="A402" s="82"/>
      <c r="B402" s="82"/>
      <c r="C402" s="82"/>
      <c r="D402" s="729"/>
      <c r="E402" s="371" t="s">
        <v>113</v>
      </c>
      <c r="F402" s="372">
        <v>28</v>
      </c>
      <c r="G402" s="373">
        <v>8</v>
      </c>
      <c r="H402" s="374">
        <v>12.5</v>
      </c>
      <c r="I402" s="375">
        <v>3.87</v>
      </c>
      <c r="J402" s="376">
        <f t="shared" si="50"/>
        <v>30.96</v>
      </c>
      <c r="K402" s="66">
        <f t="shared" si="51"/>
        <v>0</v>
      </c>
      <c r="L402" s="63">
        <f t="shared" si="52"/>
        <v>0</v>
      </c>
      <c r="M402" s="63">
        <f t="shared" si="53"/>
        <v>0</v>
      </c>
      <c r="N402" s="63">
        <f t="shared" si="54"/>
        <v>0</v>
      </c>
      <c r="O402" s="63">
        <f t="shared" si="55"/>
        <v>29.81448</v>
      </c>
      <c r="P402" s="63">
        <f t="shared" si="56"/>
        <v>0</v>
      </c>
      <c r="Q402" s="561">
        <f t="shared" si="57"/>
        <v>0</v>
      </c>
      <c r="R402" s="174"/>
      <c r="T402" s="82"/>
      <c r="U402" s="82"/>
      <c r="V402" s="82"/>
      <c r="W402" s="82"/>
      <c r="X402" s="82"/>
      <c r="Y402" s="82"/>
      <c r="Z402" s="82"/>
      <c r="AA402" s="82"/>
      <c r="AB402" s="82"/>
    </row>
    <row r="403" spans="1:28" s="85" customFormat="1" x14ac:dyDescent="0.25">
      <c r="A403" s="82"/>
      <c r="B403" s="82"/>
      <c r="C403" s="82"/>
      <c r="D403" s="729"/>
      <c r="E403" s="396" t="s">
        <v>184</v>
      </c>
      <c r="F403" s="403">
        <v>1</v>
      </c>
      <c r="G403" s="397">
        <v>14</v>
      </c>
      <c r="H403" s="398">
        <v>5</v>
      </c>
      <c r="I403" s="399">
        <v>0.28999999999999998</v>
      </c>
      <c r="J403" s="400">
        <f t="shared" si="50"/>
        <v>4.0599999999999996</v>
      </c>
      <c r="K403" s="401">
        <f t="shared" si="51"/>
        <v>0.62523999999999991</v>
      </c>
      <c r="L403" s="196">
        <f t="shared" si="52"/>
        <v>0</v>
      </c>
      <c r="M403" s="196">
        <f t="shared" si="53"/>
        <v>0</v>
      </c>
      <c r="N403" s="196">
        <f t="shared" si="54"/>
        <v>0</v>
      </c>
      <c r="O403" s="196">
        <f t="shared" si="55"/>
        <v>0</v>
      </c>
      <c r="P403" s="196">
        <f t="shared" si="56"/>
        <v>0</v>
      </c>
      <c r="Q403" s="566">
        <f t="shared" si="57"/>
        <v>0</v>
      </c>
      <c r="R403" s="538"/>
      <c r="T403" s="82"/>
      <c r="U403" s="82"/>
      <c r="V403" s="82"/>
      <c r="W403" s="82"/>
      <c r="X403" s="82"/>
      <c r="Y403" s="82"/>
      <c r="Z403" s="82"/>
      <c r="AA403" s="82"/>
      <c r="AB403" s="82"/>
    </row>
    <row r="404" spans="1:28" s="85" customFormat="1" x14ac:dyDescent="0.25">
      <c r="A404" s="82"/>
      <c r="B404" s="82"/>
      <c r="C404" s="82"/>
      <c r="D404" s="729"/>
      <c r="E404" s="371" t="s">
        <v>184</v>
      </c>
      <c r="F404" s="372">
        <v>2</v>
      </c>
      <c r="G404" s="373">
        <v>6</v>
      </c>
      <c r="H404" s="374">
        <v>5</v>
      </c>
      <c r="I404" s="375">
        <v>1.27</v>
      </c>
      <c r="J404" s="376">
        <f t="shared" si="50"/>
        <v>7.62</v>
      </c>
      <c r="K404" s="66">
        <f t="shared" si="51"/>
        <v>1.1734800000000001</v>
      </c>
      <c r="L404" s="63">
        <f t="shared" si="52"/>
        <v>0</v>
      </c>
      <c r="M404" s="63">
        <f t="shared" si="53"/>
        <v>0</v>
      </c>
      <c r="N404" s="63">
        <f t="shared" si="54"/>
        <v>0</v>
      </c>
      <c r="O404" s="63">
        <f t="shared" si="55"/>
        <v>0</v>
      </c>
      <c r="P404" s="63">
        <f t="shared" si="56"/>
        <v>0</v>
      </c>
      <c r="Q404" s="562">
        <f t="shared" si="57"/>
        <v>0</v>
      </c>
      <c r="R404" s="377"/>
      <c r="T404" s="82"/>
      <c r="U404" s="82"/>
      <c r="V404" s="82"/>
      <c r="W404" s="82"/>
      <c r="X404" s="82"/>
      <c r="Y404" s="82"/>
      <c r="Z404" s="82"/>
      <c r="AA404" s="82"/>
      <c r="AB404" s="82"/>
    </row>
    <row r="405" spans="1:28" s="85" customFormat="1" x14ac:dyDescent="0.25">
      <c r="A405" s="82"/>
      <c r="B405" s="82"/>
      <c r="C405" s="82"/>
      <c r="D405" s="729"/>
      <c r="E405" s="371" t="s">
        <v>184</v>
      </c>
      <c r="F405" s="372">
        <v>3</v>
      </c>
      <c r="G405" s="373">
        <v>2</v>
      </c>
      <c r="H405" s="374">
        <v>5</v>
      </c>
      <c r="I405" s="375">
        <v>0.84</v>
      </c>
      <c r="J405" s="376">
        <f t="shared" si="50"/>
        <v>1.68</v>
      </c>
      <c r="K405" s="66">
        <f t="shared" si="51"/>
        <v>0.25872000000000001</v>
      </c>
      <c r="L405" s="63">
        <f t="shared" si="52"/>
        <v>0</v>
      </c>
      <c r="M405" s="63">
        <f t="shared" si="53"/>
        <v>0</v>
      </c>
      <c r="N405" s="63">
        <f t="shared" si="54"/>
        <v>0</v>
      </c>
      <c r="O405" s="63">
        <f t="shared" si="55"/>
        <v>0</v>
      </c>
      <c r="P405" s="63">
        <f t="shared" si="56"/>
        <v>0</v>
      </c>
      <c r="Q405" s="562">
        <f t="shared" si="57"/>
        <v>0</v>
      </c>
      <c r="R405" s="377"/>
      <c r="T405" s="82"/>
      <c r="U405" s="82"/>
      <c r="V405" s="82"/>
      <c r="W405" s="82"/>
      <c r="X405" s="82"/>
      <c r="Y405" s="82"/>
      <c r="Z405" s="82"/>
      <c r="AA405" s="82"/>
      <c r="AB405" s="82"/>
    </row>
    <row r="406" spans="1:28" s="85" customFormat="1" ht="13.8" thickBot="1" x14ac:dyDescent="0.3">
      <c r="A406" s="82"/>
      <c r="B406" s="82"/>
      <c r="C406" s="82"/>
      <c r="D406" s="731"/>
      <c r="E406" s="390" t="s">
        <v>184</v>
      </c>
      <c r="F406" s="391">
        <v>44</v>
      </c>
      <c r="G406" s="392">
        <v>8</v>
      </c>
      <c r="H406" s="393">
        <v>12.5</v>
      </c>
      <c r="I406" s="394">
        <v>1.02</v>
      </c>
      <c r="J406" s="395">
        <f t="shared" si="50"/>
        <v>8.16</v>
      </c>
      <c r="K406" s="221">
        <f t="shared" si="51"/>
        <v>0</v>
      </c>
      <c r="L406" s="222">
        <f t="shared" si="52"/>
        <v>0</v>
      </c>
      <c r="M406" s="222">
        <f t="shared" si="53"/>
        <v>0</v>
      </c>
      <c r="N406" s="222">
        <f t="shared" si="54"/>
        <v>0</v>
      </c>
      <c r="O406" s="222">
        <f t="shared" si="55"/>
        <v>7.8580800000000002</v>
      </c>
      <c r="P406" s="222">
        <f t="shared" si="56"/>
        <v>0</v>
      </c>
      <c r="Q406" s="564">
        <f t="shared" si="57"/>
        <v>0</v>
      </c>
      <c r="R406" s="539"/>
      <c r="T406" s="82"/>
      <c r="U406" s="82"/>
      <c r="V406" s="82"/>
      <c r="W406" s="82"/>
      <c r="X406" s="82"/>
      <c r="Y406" s="82"/>
      <c r="Z406" s="82"/>
      <c r="AA406" s="82"/>
      <c r="AB406" s="82"/>
    </row>
    <row r="407" spans="1:28" s="85" customFormat="1" ht="13.8" thickTop="1" x14ac:dyDescent="0.25">
      <c r="A407" s="82"/>
      <c r="B407" s="82"/>
      <c r="C407" s="82"/>
      <c r="D407" s="728" t="s">
        <v>1376</v>
      </c>
      <c r="E407" s="384" t="s">
        <v>49</v>
      </c>
      <c r="F407" s="385">
        <v>12</v>
      </c>
      <c r="G407" s="386">
        <f>2*4</f>
        <v>8</v>
      </c>
      <c r="H407" s="387">
        <v>5</v>
      </c>
      <c r="I407" s="388">
        <v>0.87</v>
      </c>
      <c r="J407" s="389">
        <f t="shared" si="50"/>
        <v>6.96</v>
      </c>
      <c r="K407" s="218">
        <f t="shared" si="51"/>
        <v>1.0718399999999999</v>
      </c>
      <c r="L407" s="219">
        <f t="shared" si="52"/>
        <v>0</v>
      </c>
      <c r="M407" s="219">
        <f t="shared" si="53"/>
        <v>0</v>
      </c>
      <c r="N407" s="219">
        <f t="shared" si="54"/>
        <v>0</v>
      </c>
      <c r="O407" s="219">
        <f t="shared" si="55"/>
        <v>0</v>
      </c>
      <c r="P407" s="219">
        <f t="shared" si="56"/>
        <v>0</v>
      </c>
      <c r="Q407" s="563">
        <f t="shared" si="57"/>
        <v>0</v>
      </c>
      <c r="R407" s="220"/>
      <c r="T407" s="82"/>
      <c r="U407" s="82"/>
      <c r="V407" s="82"/>
      <c r="W407" s="82"/>
      <c r="X407" s="82"/>
      <c r="Y407" s="82"/>
      <c r="Z407" s="82"/>
      <c r="AA407" s="82"/>
      <c r="AB407" s="82"/>
    </row>
    <row r="408" spans="1:28" s="85" customFormat="1" x14ac:dyDescent="0.25">
      <c r="A408" s="82"/>
      <c r="B408" s="82"/>
      <c r="C408" s="82"/>
      <c r="D408" s="729"/>
      <c r="E408" s="371" t="s">
        <v>49</v>
      </c>
      <c r="F408" s="372">
        <v>13</v>
      </c>
      <c r="G408" s="373">
        <f>2*8</f>
        <v>16</v>
      </c>
      <c r="H408" s="374">
        <v>5</v>
      </c>
      <c r="I408" s="375">
        <v>0.69</v>
      </c>
      <c r="J408" s="376">
        <f t="shared" si="50"/>
        <v>11.04</v>
      </c>
      <c r="K408" s="66">
        <f t="shared" si="51"/>
        <v>1.7001599999999999</v>
      </c>
      <c r="L408" s="63">
        <f t="shared" si="52"/>
        <v>0</v>
      </c>
      <c r="M408" s="63">
        <f t="shared" si="53"/>
        <v>0</v>
      </c>
      <c r="N408" s="63">
        <f t="shared" si="54"/>
        <v>0</v>
      </c>
      <c r="O408" s="63">
        <f t="shared" si="55"/>
        <v>0</v>
      </c>
      <c r="P408" s="63">
        <f t="shared" si="56"/>
        <v>0</v>
      </c>
      <c r="Q408" s="561">
        <f t="shared" si="57"/>
        <v>0</v>
      </c>
      <c r="R408" s="174"/>
      <c r="T408" s="82"/>
      <c r="U408" s="82"/>
      <c r="V408" s="82"/>
      <c r="W408" s="82"/>
      <c r="X408" s="82"/>
      <c r="Y408" s="82"/>
      <c r="Z408" s="82"/>
      <c r="AA408" s="82"/>
      <c r="AB408" s="82"/>
    </row>
    <row r="409" spans="1:28" s="85" customFormat="1" ht="13.8" thickBot="1" x14ac:dyDescent="0.3">
      <c r="A409" s="82"/>
      <c r="B409" s="82"/>
      <c r="C409" s="82"/>
      <c r="D409" s="729"/>
      <c r="E409" s="371" t="s">
        <v>49</v>
      </c>
      <c r="F409" s="372">
        <v>19</v>
      </c>
      <c r="G409" s="373">
        <f>2*4</f>
        <v>8</v>
      </c>
      <c r="H409" s="374">
        <v>12.5</v>
      </c>
      <c r="I409" s="375">
        <v>0.99</v>
      </c>
      <c r="J409" s="376">
        <f t="shared" si="50"/>
        <v>7.92</v>
      </c>
      <c r="K409" s="66">
        <f t="shared" si="51"/>
        <v>0</v>
      </c>
      <c r="L409" s="63">
        <f t="shared" si="52"/>
        <v>0</v>
      </c>
      <c r="M409" s="63">
        <f t="shared" si="53"/>
        <v>0</v>
      </c>
      <c r="N409" s="63">
        <f t="shared" si="54"/>
        <v>0</v>
      </c>
      <c r="O409" s="63">
        <f t="shared" si="55"/>
        <v>7.6269599999999995</v>
      </c>
      <c r="P409" s="63">
        <f t="shared" si="56"/>
        <v>0</v>
      </c>
      <c r="Q409" s="561">
        <f t="shared" si="57"/>
        <v>0</v>
      </c>
      <c r="R409" s="174"/>
      <c r="T409" s="82"/>
      <c r="U409" s="82"/>
      <c r="V409" s="82"/>
      <c r="W409" s="82"/>
      <c r="X409" s="82"/>
      <c r="Y409" s="82"/>
      <c r="Z409" s="82"/>
      <c r="AA409" s="82"/>
      <c r="AB409" s="82"/>
    </row>
    <row r="410" spans="1:28" s="85" customFormat="1" ht="13.8" thickTop="1" x14ac:dyDescent="0.25">
      <c r="A410" s="82"/>
      <c r="B410" s="82"/>
      <c r="C410" s="82"/>
      <c r="D410" s="728" t="s">
        <v>1377</v>
      </c>
      <c r="E410" s="384" t="s">
        <v>49</v>
      </c>
      <c r="F410" s="385">
        <v>11</v>
      </c>
      <c r="G410" s="386">
        <v>16</v>
      </c>
      <c r="H410" s="387">
        <v>5</v>
      </c>
      <c r="I410" s="388">
        <v>0.94</v>
      </c>
      <c r="J410" s="389">
        <f t="shared" si="50"/>
        <v>15.04</v>
      </c>
      <c r="K410" s="218">
        <f t="shared" si="51"/>
        <v>2.31616</v>
      </c>
      <c r="L410" s="219">
        <f t="shared" si="52"/>
        <v>0</v>
      </c>
      <c r="M410" s="219">
        <f t="shared" si="53"/>
        <v>0</v>
      </c>
      <c r="N410" s="219">
        <f t="shared" si="54"/>
        <v>0</v>
      </c>
      <c r="O410" s="219">
        <f t="shared" si="55"/>
        <v>0</v>
      </c>
      <c r="P410" s="219">
        <f t="shared" si="56"/>
        <v>0</v>
      </c>
      <c r="Q410" s="563">
        <f t="shared" ref="Q410:Q460" si="60">IF($H410=20,$J410*$B$28,0)</f>
        <v>0</v>
      </c>
      <c r="R410" s="220"/>
      <c r="T410" s="82"/>
      <c r="U410" s="82"/>
      <c r="V410" s="82"/>
      <c r="W410" s="82"/>
      <c r="X410" s="82"/>
      <c r="Y410" s="82"/>
      <c r="Z410" s="82"/>
      <c r="AA410" s="82"/>
      <c r="AB410" s="82"/>
    </row>
    <row r="411" spans="1:28" s="85" customFormat="1" x14ac:dyDescent="0.25">
      <c r="A411" s="82"/>
      <c r="B411" s="82"/>
      <c r="C411" s="82"/>
      <c r="D411" s="729"/>
      <c r="E411" s="371" t="s">
        <v>49</v>
      </c>
      <c r="F411" s="372">
        <v>14</v>
      </c>
      <c r="G411" s="373">
        <v>16</v>
      </c>
      <c r="H411" s="374">
        <v>5</v>
      </c>
      <c r="I411" s="375">
        <v>0.28999999999999998</v>
      </c>
      <c r="J411" s="376">
        <f t="shared" si="50"/>
        <v>4.6399999999999997</v>
      </c>
      <c r="K411" s="66">
        <f t="shared" si="51"/>
        <v>0.71455999999999997</v>
      </c>
      <c r="L411" s="63">
        <f t="shared" si="52"/>
        <v>0</v>
      </c>
      <c r="M411" s="63">
        <f t="shared" si="53"/>
        <v>0</v>
      </c>
      <c r="N411" s="63">
        <f t="shared" si="54"/>
        <v>0</v>
      </c>
      <c r="O411" s="63">
        <f t="shared" si="55"/>
        <v>0</v>
      </c>
      <c r="P411" s="63">
        <f t="shared" si="56"/>
        <v>0</v>
      </c>
      <c r="Q411" s="561">
        <f t="shared" si="60"/>
        <v>0</v>
      </c>
      <c r="R411" s="174"/>
      <c r="T411" s="82"/>
      <c r="U411" s="82"/>
      <c r="V411" s="82"/>
      <c r="W411" s="82"/>
      <c r="X411" s="82"/>
      <c r="Y411" s="82"/>
      <c r="Z411" s="82"/>
      <c r="AA411" s="82"/>
      <c r="AB411" s="82"/>
    </row>
    <row r="412" spans="1:28" s="85" customFormat="1" x14ac:dyDescent="0.25">
      <c r="A412" s="82"/>
      <c r="B412" s="82"/>
      <c r="C412" s="82"/>
      <c r="D412" s="729"/>
      <c r="E412" s="371" t="s">
        <v>49</v>
      </c>
      <c r="F412" s="372">
        <v>17</v>
      </c>
      <c r="G412" s="373">
        <v>8</v>
      </c>
      <c r="H412" s="374">
        <v>10</v>
      </c>
      <c r="I412" s="375">
        <v>1.37</v>
      </c>
      <c r="J412" s="376">
        <f t="shared" si="50"/>
        <v>10.96</v>
      </c>
      <c r="K412" s="66">
        <f t="shared" si="51"/>
        <v>0</v>
      </c>
      <c r="L412" s="63">
        <f t="shared" si="52"/>
        <v>0</v>
      </c>
      <c r="M412" s="63">
        <f t="shared" si="53"/>
        <v>0</v>
      </c>
      <c r="N412" s="63">
        <f t="shared" si="54"/>
        <v>6.7623200000000008</v>
      </c>
      <c r="O412" s="63">
        <f t="shared" si="55"/>
        <v>0</v>
      </c>
      <c r="P412" s="63">
        <f t="shared" si="56"/>
        <v>0</v>
      </c>
      <c r="Q412" s="561">
        <f t="shared" si="60"/>
        <v>0</v>
      </c>
      <c r="R412" s="174"/>
      <c r="T412" s="82"/>
      <c r="U412" s="82"/>
      <c r="V412" s="82"/>
      <c r="W412" s="82"/>
      <c r="X412" s="82"/>
      <c r="Y412" s="82"/>
      <c r="Z412" s="82"/>
      <c r="AA412" s="82"/>
      <c r="AB412" s="82"/>
    </row>
    <row r="413" spans="1:28" s="85" customFormat="1" x14ac:dyDescent="0.25">
      <c r="A413" s="82"/>
      <c r="B413" s="82"/>
      <c r="C413" s="82"/>
      <c r="D413" s="729"/>
      <c r="E413" s="371" t="s">
        <v>113</v>
      </c>
      <c r="F413" s="372">
        <v>10</v>
      </c>
      <c r="G413" s="373">
        <v>25</v>
      </c>
      <c r="H413" s="374">
        <v>5</v>
      </c>
      <c r="I413" s="375">
        <v>1.47</v>
      </c>
      <c r="J413" s="376">
        <f t="shared" si="50"/>
        <v>36.75</v>
      </c>
      <c r="K413" s="66">
        <f t="shared" si="51"/>
        <v>5.6594999999999995</v>
      </c>
      <c r="L413" s="63">
        <f t="shared" si="52"/>
        <v>0</v>
      </c>
      <c r="M413" s="63">
        <f t="shared" si="53"/>
        <v>0</v>
      </c>
      <c r="N413" s="63">
        <f t="shared" si="54"/>
        <v>0</v>
      </c>
      <c r="O413" s="63">
        <f t="shared" si="55"/>
        <v>0</v>
      </c>
      <c r="P413" s="63">
        <f t="shared" si="56"/>
        <v>0</v>
      </c>
      <c r="Q413" s="561">
        <f t="shared" si="60"/>
        <v>0</v>
      </c>
      <c r="R413" s="174"/>
      <c r="T413" s="82"/>
      <c r="U413" s="82"/>
      <c r="V413" s="82"/>
      <c r="W413" s="82"/>
      <c r="X413" s="82"/>
      <c r="Y413" s="82"/>
      <c r="Z413" s="82"/>
      <c r="AA413" s="82"/>
      <c r="AB413" s="82"/>
    </row>
    <row r="414" spans="1:28" s="85" customFormat="1" x14ac:dyDescent="0.25">
      <c r="A414" s="82"/>
      <c r="B414" s="82"/>
      <c r="C414" s="82"/>
      <c r="D414" s="729"/>
      <c r="E414" s="371" t="s">
        <v>113</v>
      </c>
      <c r="F414" s="372">
        <v>11</v>
      </c>
      <c r="G414" s="373">
        <v>10</v>
      </c>
      <c r="H414" s="374">
        <v>5</v>
      </c>
      <c r="I414" s="375">
        <v>0.94</v>
      </c>
      <c r="J414" s="376">
        <f t="shared" si="50"/>
        <v>9.3999999999999986</v>
      </c>
      <c r="K414" s="66">
        <f t="shared" si="51"/>
        <v>1.4475999999999998</v>
      </c>
      <c r="L414" s="63">
        <f t="shared" si="52"/>
        <v>0</v>
      </c>
      <c r="M414" s="63">
        <f t="shared" si="53"/>
        <v>0</v>
      </c>
      <c r="N414" s="63">
        <f t="shared" si="54"/>
        <v>0</v>
      </c>
      <c r="O414" s="63">
        <f t="shared" si="55"/>
        <v>0</v>
      </c>
      <c r="P414" s="63">
        <f t="shared" si="56"/>
        <v>0</v>
      </c>
      <c r="Q414" s="561">
        <f t="shared" si="60"/>
        <v>0</v>
      </c>
      <c r="R414" s="174"/>
      <c r="T414" s="82"/>
      <c r="U414" s="82"/>
      <c r="V414" s="82"/>
      <c r="W414" s="82"/>
      <c r="X414" s="82"/>
      <c r="Y414" s="82"/>
      <c r="Z414" s="82"/>
      <c r="AA414" s="82"/>
      <c r="AB414" s="82"/>
    </row>
    <row r="415" spans="1:28" s="85" customFormat="1" x14ac:dyDescent="0.25">
      <c r="A415" s="82"/>
      <c r="B415" s="82"/>
      <c r="C415" s="82"/>
      <c r="D415" s="729"/>
      <c r="E415" s="371" t="s">
        <v>113</v>
      </c>
      <c r="F415" s="372">
        <v>18</v>
      </c>
      <c r="G415" s="373">
        <v>90</v>
      </c>
      <c r="H415" s="374">
        <v>5</v>
      </c>
      <c r="I415" s="375">
        <v>0.28999999999999998</v>
      </c>
      <c r="J415" s="376">
        <f t="shared" si="50"/>
        <v>26.099999999999998</v>
      </c>
      <c r="K415" s="66">
        <f t="shared" si="51"/>
        <v>4.0193999999999992</v>
      </c>
      <c r="L415" s="63">
        <f t="shared" si="52"/>
        <v>0</v>
      </c>
      <c r="M415" s="63">
        <f t="shared" si="53"/>
        <v>0</v>
      </c>
      <c r="N415" s="63">
        <f t="shared" si="54"/>
        <v>0</v>
      </c>
      <c r="O415" s="63">
        <f t="shared" si="55"/>
        <v>0</v>
      </c>
      <c r="P415" s="63">
        <f t="shared" si="56"/>
        <v>0</v>
      </c>
      <c r="Q415" s="561">
        <f t="shared" si="60"/>
        <v>0</v>
      </c>
      <c r="R415" s="174"/>
      <c r="T415" s="82"/>
      <c r="U415" s="82"/>
      <c r="V415" s="82"/>
      <c r="W415" s="82"/>
      <c r="X415" s="82"/>
      <c r="Y415" s="82"/>
      <c r="Z415" s="82"/>
      <c r="AA415" s="82"/>
      <c r="AB415" s="82"/>
    </row>
    <row r="416" spans="1:28" s="85" customFormat="1" ht="13.8" thickBot="1" x14ac:dyDescent="0.3">
      <c r="A416" s="82"/>
      <c r="B416" s="82"/>
      <c r="C416" s="82"/>
      <c r="D416" s="729"/>
      <c r="E416" s="371" t="s">
        <v>113</v>
      </c>
      <c r="F416" s="372">
        <v>23</v>
      </c>
      <c r="G416" s="373">
        <v>8</v>
      </c>
      <c r="H416" s="374">
        <v>10</v>
      </c>
      <c r="I416" s="375">
        <v>3.42</v>
      </c>
      <c r="J416" s="376">
        <f t="shared" si="50"/>
        <v>27.36</v>
      </c>
      <c r="K416" s="66">
        <f t="shared" si="51"/>
        <v>0</v>
      </c>
      <c r="L416" s="63">
        <f t="shared" si="52"/>
        <v>0</v>
      </c>
      <c r="M416" s="63">
        <f t="shared" si="53"/>
        <v>0</v>
      </c>
      <c r="N416" s="63">
        <f t="shared" si="54"/>
        <v>16.881119999999999</v>
      </c>
      <c r="O416" s="63">
        <f t="shared" si="55"/>
        <v>0</v>
      </c>
      <c r="P416" s="63">
        <f t="shared" si="56"/>
        <v>0</v>
      </c>
      <c r="Q416" s="561">
        <f t="shared" si="60"/>
        <v>0</v>
      </c>
      <c r="R416" s="174"/>
      <c r="T416" s="82"/>
      <c r="U416" s="82"/>
      <c r="V416" s="82"/>
      <c r="W416" s="82"/>
      <c r="X416" s="82"/>
      <c r="Y416" s="82"/>
      <c r="Z416" s="82"/>
      <c r="AA416" s="82"/>
      <c r="AB416" s="82"/>
    </row>
    <row r="417" spans="1:28" s="85" customFormat="1" ht="13.8" thickTop="1" x14ac:dyDescent="0.25">
      <c r="A417" s="82"/>
      <c r="B417" s="82"/>
      <c r="C417" s="82"/>
      <c r="D417" s="728" t="s">
        <v>1378</v>
      </c>
      <c r="E417" s="384" t="s">
        <v>49</v>
      </c>
      <c r="F417" s="385">
        <v>4</v>
      </c>
      <c r="G417" s="386">
        <v>18</v>
      </c>
      <c r="H417" s="387">
        <v>5</v>
      </c>
      <c r="I417" s="388">
        <v>0.24</v>
      </c>
      <c r="J417" s="389">
        <f t="shared" si="50"/>
        <v>4.32</v>
      </c>
      <c r="K417" s="218">
        <f t="shared" si="51"/>
        <v>0.66527999999999998</v>
      </c>
      <c r="L417" s="219">
        <f t="shared" si="52"/>
        <v>0</v>
      </c>
      <c r="M417" s="219">
        <f t="shared" si="53"/>
        <v>0</v>
      </c>
      <c r="N417" s="219">
        <f t="shared" si="54"/>
        <v>0</v>
      </c>
      <c r="O417" s="219">
        <f t="shared" si="55"/>
        <v>0</v>
      </c>
      <c r="P417" s="219">
        <f t="shared" si="56"/>
        <v>0</v>
      </c>
      <c r="Q417" s="563">
        <f t="shared" si="60"/>
        <v>0</v>
      </c>
      <c r="R417" s="220"/>
      <c r="T417" s="82"/>
      <c r="U417" s="82"/>
      <c r="V417" s="82"/>
      <c r="W417" s="82"/>
      <c r="X417" s="82"/>
      <c r="Y417" s="82"/>
      <c r="Z417" s="82"/>
      <c r="AA417" s="82"/>
      <c r="AB417" s="82"/>
    </row>
    <row r="418" spans="1:28" s="85" customFormat="1" x14ac:dyDescent="0.25">
      <c r="A418" s="82"/>
      <c r="B418" s="82"/>
      <c r="C418" s="82"/>
      <c r="D418" s="729"/>
      <c r="E418" s="371" t="s">
        <v>49</v>
      </c>
      <c r="F418" s="372">
        <v>5</v>
      </c>
      <c r="G418" s="373">
        <v>5</v>
      </c>
      <c r="H418" s="374">
        <v>5</v>
      </c>
      <c r="I418" s="375">
        <v>0.97</v>
      </c>
      <c r="J418" s="376">
        <f t="shared" si="50"/>
        <v>4.8499999999999996</v>
      </c>
      <c r="K418" s="66">
        <f t="shared" si="51"/>
        <v>0.7468999999999999</v>
      </c>
      <c r="L418" s="63">
        <f t="shared" si="52"/>
        <v>0</v>
      </c>
      <c r="M418" s="63">
        <f t="shared" si="53"/>
        <v>0</v>
      </c>
      <c r="N418" s="63">
        <f t="shared" si="54"/>
        <v>0</v>
      </c>
      <c r="O418" s="63">
        <f t="shared" si="55"/>
        <v>0</v>
      </c>
      <c r="P418" s="63">
        <f t="shared" si="56"/>
        <v>0</v>
      </c>
      <c r="Q418" s="561">
        <f t="shared" si="60"/>
        <v>0</v>
      </c>
      <c r="R418" s="174"/>
      <c r="T418" s="82"/>
      <c r="U418" s="82"/>
      <c r="V418" s="82"/>
      <c r="W418" s="82"/>
      <c r="X418" s="82"/>
      <c r="Y418" s="82"/>
      <c r="Z418" s="82"/>
      <c r="AA418" s="82"/>
      <c r="AB418" s="82"/>
    </row>
    <row r="419" spans="1:28" s="85" customFormat="1" x14ac:dyDescent="0.25">
      <c r="A419" s="82"/>
      <c r="B419" s="82"/>
      <c r="C419" s="82"/>
      <c r="D419" s="729"/>
      <c r="E419" s="371" t="s">
        <v>49</v>
      </c>
      <c r="F419" s="372">
        <v>6</v>
      </c>
      <c r="G419" s="373">
        <v>8</v>
      </c>
      <c r="H419" s="374">
        <v>5</v>
      </c>
      <c r="I419" s="375">
        <v>0.64</v>
      </c>
      <c r="J419" s="376">
        <f t="shared" si="50"/>
        <v>5.12</v>
      </c>
      <c r="K419" s="66">
        <f t="shared" si="51"/>
        <v>0.78847999999999996</v>
      </c>
      <c r="L419" s="63">
        <f t="shared" si="52"/>
        <v>0</v>
      </c>
      <c r="M419" s="63">
        <f t="shared" si="53"/>
        <v>0</v>
      </c>
      <c r="N419" s="63">
        <f t="shared" si="54"/>
        <v>0</v>
      </c>
      <c r="O419" s="63">
        <f t="shared" si="55"/>
        <v>0</v>
      </c>
      <c r="P419" s="63">
        <f t="shared" si="56"/>
        <v>0</v>
      </c>
      <c r="Q419" s="561">
        <f t="shared" si="60"/>
        <v>0</v>
      </c>
      <c r="R419" s="174"/>
      <c r="T419" s="82"/>
      <c r="U419" s="82"/>
      <c r="V419" s="82"/>
      <c r="W419" s="82"/>
      <c r="X419" s="82"/>
      <c r="Y419" s="82"/>
      <c r="Z419" s="82"/>
      <c r="AA419" s="82"/>
      <c r="AB419" s="82"/>
    </row>
    <row r="420" spans="1:28" s="85" customFormat="1" x14ac:dyDescent="0.25">
      <c r="A420" s="82"/>
      <c r="B420" s="82"/>
      <c r="C420" s="82"/>
      <c r="D420" s="729"/>
      <c r="E420" s="371" t="s">
        <v>49</v>
      </c>
      <c r="F420" s="372">
        <v>18</v>
      </c>
      <c r="G420" s="373">
        <v>8</v>
      </c>
      <c r="H420" s="374">
        <v>12.5</v>
      </c>
      <c r="I420" s="375">
        <v>1.45</v>
      </c>
      <c r="J420" s="376">
        <f t="shared" si="50"/>
        <v>11.6</v>
      </c>
      <c r="K420" s="66">
        <f t="shared" si="51"/>
        <v>0</v>
      </c>
      <c r="L420" s="63">
        <f t="shared" si="52"/>
        <v>0</v>
      </c>
      <c r="M420" s="63">
        <f t="shared" si="53"/>
        <v>0</v>
      </c>
      <c r="N420" s="63">
        <f t="shared" si="54"/>
        <v>0</v>
      </c>
      <c r="O420" s="63">
        <f t="shared" si="55"/>
        <v>11.1708</v>
      </c>
      <c r="P420" s="63">
        <f t="shared" si="56"/>
        <v>0</v>
      </c>
      <c r="Q420" s="561">
        <f t="shared" si="60"/>
        <v>0</v>
      </c>
      <c r="R420" s="174"/>
      <c r="T420" s="82"/>
      <c r="U420" s="82"/>
      <c r="V420" s="82"/>
      <c r="W420" s="82"/>
      <c r="X420" s="82"/>
      <c r="Y420" s="82"/>
      <c r="Z420" s="82"/>
      <c r="AA420" s="82"/>
      <c r="AB420" s="82"/>
    </row>
    <row r="421" spans="1:28" s="85" customFormat="1" x14ac:dyDescent="0.25">
      <c r="A421" s="82"/>
      <c r="B421" s="82"/>
      <c r="C421" s="82"/>
      <c r="D421" s="729"/>
      <c r="E421" s="371" t="s">
        <v>113</v>
      </c>
      <c r="F421" s="372">
        <v>4</v>
      </c>
      <c r="G421" s="373">
        <v>48</v>
      </c>
      <c r="H421" s="374">
        <v>5</v>
      </c>
      <c r="I421" s="375">
        <v>0.24</v>
      </c>
      <c r="J421" s="376">
        <f t="shared" si="50"/>
        <v>11.52</v>
      </c>
      <c r="K421" s="66">
        <f t="shared" si="51"/>
        <v>1.7740799999999999</v>
      </c>
      <c r="L421" s="63">
        <f t="shared" si="52"/>
        <v>0</v>
      </c>
      <c r="M421" s="63">
        <f t="shared" si="53"/>
        <v>0</v>
      </c>
      <c r="N421" s="63">
        <f t="shared" si="54"/>
        <v>0</v>
      </c>
      <c r="O421" s="63">
        <f t="shared" si="55"/>
        <v>0</v>
      </c>
      <c r="P421" s="63">
        <f t="shared" si="56"/>
        <v>0</v>
      </c>
      <c r="Q421" s="561">
        <f t="shared" si="60"/>
        <v>0</v>
      </c>
      <c r="R421" s="174"/>
      <c r="T421" s="82"/>
      <c r="U421" s="82"/>
      <c r="V421" s="82"/>
      <c r="W421" s="82"/>
      <c r="X421" s="82"/>
      <c r="Y421" s="82"/>
      <c r="Z421" s="82"/>
      <c r="AA421" s="82"/>
      <c r="AB421" s="82"/>
    </row>
    <row r="422" spans="1:28" s="85" customFormat="1" x14ac:dyDescent="0.25">
      <c r="A422" s="82"/>
      <c r="B422" s="82"/>
      <c r="C422" s="82"/>
      <c r="D422" s="729"/>
      <c r="E422" s="371" t="s">
        <v>113</v>
      </c>
      <c r="F422" s="372">
        <v>5</v>
      </c>
      <c r="G422" s="373">
        <v>20</v>
      </c>
      <c r="H422" s="374">
        <v>5</v>
      </c>
      <c r="I422" s="375">
        <v>0.97</v>
      </c>
      <c r="J422" s="376">
        <f t="shared" si="50"/>
        <v>19.399999999999999</v>
      </c>
      <c r="K422" s="66">
        <f t="shared" si="51"/>
        <v>2.9875999999999996</v>
      </c>
      <c r="L422" s="63">
        <f t="shared" si="52"/>
        <v>0</v>
      </c>
      <c r="M422" s="63">
        <f t="shared" si="53"/>
        <v>0</v>
      </c>
      <c r="N422" s="63">
        <f t="shared" si="54"/>
        <v>0</v>
      </c>
      <c r="O422" s="63">
        <f t="shared" si="55"/>
        <v>0</v>
      </c>
      <c r="P422" s="63">
        <f t="shared" si="56"/>
        <v>0</v>
      </c>
      <c r="Q422" s="561">
        <f t="shared" si="60"/>
        <v>0</v>
      </c>
      <c r="R422" s="174"/>
      <c r="T422" s="82"/>
      <c r="U422" s="82"/>
      <c r="V422" s="82"/>
      <c r="W422" s="82"/>
      <c r="X422" s="82"/>
      <c r="Y422" s="82"/>
      <c r="Z422" s="82"/>
      <c r="AA422" s="82"/>
      <c r="AB422" s="82"/>
    </row>
    <row r="423" spans="1:28" s="85" customFormat="1" x14ac:dyDescent="0.25">
      <c r="A423" s="82"/>
      <c r="B423" s="82"/>
      <c r="C423" s="82"/>
      <c r="D423" s="729"/>
      <c r="E423" s="371" t="s">
        <v>113</v>
      </c>
      <c r="F423" s="372">
        <v>6</v>
      </c>
      <c r="G423" s="373">
        <v>8</v>
      </c>
      <c r="H423" s="374">
        <v>5</v>
      </c>
      <c r="I423" s="375">
        <v>0.64</v>
      </c>
      <c r="J423" s="376">
        <f t="shared" si="50"/>
        <v>5.12</v>
      </c>
      <c r="K423" s="66">
        <f t="shared" si="51"/>
        <v>0.78847999999999996</v>
      </c>
      <c r="L423" s="63">
        <f t="shared" si="52"/>
        <v>0</v>
      </c>
      <c r="M423" s="63">
        <f t="shared" si="53"/>
        <v>0</v>
      </c>
      <c r="N423" s="63">
        <f t="shared" si="54"/>
        <v>0</v>
      </c>
      <c r="O423" s="63">
        <f t="shared" si="55"/>
        <v>0</v>
      </c>
      <c r="P423" s="63">
        <f t="shared" si="56"/>
        <v>0</v>
      </c>
      <c r="Q423" s="561">
        <f t="shared" si="60"/>
        <v>0</v>
      </c>
      <c r="R423" s="174"/>
      <c r="T423" s="82"/>
      <c r="U423" s="82"/>
      <c r="V423" s="82"/>
      <c r="W423" s="82"/>
      <c r="X423" s="82"/>
      <c r="Y423" s="82"/>
      <c r="Z423" s="82"/>
      <c r="AA423" s="82"/>
      <c r="AB423" s="82"/>
    </row>
    <row r="424" spans="1:28" s="85" customFormat="1" x14ac:dyDescent="0.25">
      <c r="A424" s="82"/>
      <c r="B424" s="82"/>
      <c r="C424" s="82"/>
      <c r="D424" s="729"/>
      <c r="E424" s="371" t="s">
        <v>113</v>
      </c>
      <c r="F424" s="372">
        <v>28</v>
      </c>
      <c r="G424" s="373">
        <v>8</v>
      </c>
      <c r="H424" s="374">
        <v>12.5</v>
      </c>
      <c r="I424" s="375">
        <v>3.87</v>
      </c>
      <c r="J424" s="376">
        <f t="shared" si="50"/>
        <v>30.96</v>
      </c>
      <c r="K424" s="66">
        <f t="shared" si="51"/>
        <v>0</v>
      </c>
      <c r="L424" s="63">
        <f t="shared" si="52"/>
        <v>0</v>
      </c>
      <c r="M424" s="63">
        <f t="shared" si="53"/>
        <v>0</v>
      </c>
      <c r="N424" s="63">
        <f t="shared" si="54"/>
        <v>0</v>
      </c>
      <c r="O424" s="63">
        <f t="shared" si="55"/>
        <v>29.81448</v>
      </c>
      <c r="P424" s="63">
        <f t="shared" si="56"/>
        <v>0</v>
      </c>
      <c r="Q424" s="561">
        <f t="shared" si="60"/>
        <v>0</v>
      </c>
      <c r="R424" s="174"/>
      <c r="T424" s="82"/>
      <c r="U424" s="82"/>
      <c r="V424" s="82"/>
      <c r="W424" s="82"/>
      <c r="X424" s="82"/>
      <c r="Y424" s="82"/>
      <c r="Z424" s="82"/>
      <c r="AA424" s="82"/>
      <c r="AB424" s="82"/>
    </row>
    <row r="425" spans="1:28" s="85" customFormat="1" x14ac:dyDescent="0.25">
      <c r="A425" s="82"/>
      <c r="B425" s="82"/>
      <c r="C425" s="82"/>
      <c r="D425" s="729"/>
      <c r="E425" s="396" t="s">
        <v>184</v>
      </c>
      <c r="F425" s="403">
        <v>4</v>
      </c>
      <c r="G425" s="397">
        <v>14</v>
      </c>
      <c r="H425" s="398">
        <v>5</v>
      </c>
      <c r="I425" s="399">
        <v>0.24</v>
      </c>
      <c r="J425" s="400">
        <f t="shared" si="50"/>
        <v>3.36</v>
      </c>
      <c r="K425" s="401">
        <f t="shared" si="51"/>
        <v>0.51744000000000001</v>
      </c>
      <c r="L425" s="196">
        <f t="shared" si="52"/>
        <v>0</v>
      </c>
      <c r="M425" s="196">
        <f t="shared" si="53"/>
        <v>0</v>
      </c>
      <c r="N425" s="196">
        <f t="shared" si="54"/>
        <v>0</v>
      </c>
      <c r="O425" s="196">
        <f t="shared" si="55"/>
        <v>0</v>
      </c>
      <c r="P425" s="196">
        <f t="shared" si="56"/>
        <v>0</v>
      </c>
      <c r="Q425" s="566">
        <f t="shared" si="60"/>
        <v>0</v>
      </c>
      <c r="R425" s="538"/>
      <c r="T425" s="82"/>
      <c r="U425" s="82"/>
      <c r="V425" s="82"/>
      <c r="W425" s="82"/>
      <c r="X425" s="82"/>
      <c r="Y425" s="82"/>
      <c r="Z425" s="82"/>
      <c r="AA425" s="82"/>
      <c r="AB425" s="82"/>
    </row>
    <row r="426" spans="1:28" s="85" customFormat="1" x14ac:dyDescent="0.25">
      <c r="A426" s="82"/>
      <c r="B426" s="82"/>
      <c r="C426" s="82"/>
      <c r="D426" s="729"/>
      <c r="E426" s="371" t="s">
        <v>184</v>
      </c>
      <c r="F426" s="372">
        <v>5</v>
      </c>
      <c r="G426" s="373">
        <v>6</v>
      </c>
      <c r="H426" s="374">
        <v>5</v>
      </c>
      <c r="I426" s="375">
        <v>0.97</v>
      </c>
      <c r="J426" s="376">
        <f t="shared" si="50"/>
        <v>5.82</v>
      </c>
      <c r="K426" s="66">
        <f t="shared" si="51"/>
        <v>0.89628000000000008</v>
      </c>
      <c r="L426" s="63">
        <f t="shared" si="52"/>
        <v>0</v>
      </c>
      <c r="M426" s="63">
        <f t="shared" si="53"/>
        <v>0</v>
      </c>
      <c r="N426" s="63">
        <f t="shared" si="54"/>
        <v>0</v>
      </c>
      <c r="O426" s="63">
        <f t="shared" si="55"/>
        <v>0</v>
      </c>
      <c r="P426" s="63">
        <f t="shared" si="56"/>
        <v>0</v>
      </c>
      <c r="Q426" s="562">
        <f t="shared" si="60"/>
        <v>0</v>
      </c>
      <c r="R426" s="377"/>
      <c r="T426" s="82"/>
      <c r="U426" s="82"/>
      <c r="V426" s="82"/>
      <c r="W426" s="82"/>
      <c r="X426" s="82"/>
      <c r="Y426" s="82"/>
      <c r="Z426" s="82"/>
      <c r="AA426" s="82"/>
      <c r="AB426" s="82"/>
    </row>
    <row r="427" spans="1:28" s="85" customFormat="1" x14ac:dyDescent="0.25">
      <c r="A427" s="82"/>
      <c r="B427" s="82"/>
      <c r="C427" s="82"/>
      <c r="D427" s="729"/>
      <c r="E427" s="371" t="s">
        <v>184</v>
      </c>
      <c r="F427" s="372">
        <v>6</v>
      </c>
      <c r="G427" s="373">
        <v>2</v>
      </c>
      <c r="H427" s="374">
        <v>5</v>
      </c>
      <c r="I427" s="375">
        <v>0.64</v>
      </c>
      <c r="J427" s="376">
        <f t="shared" si="50"/>
        <v>1.28</v>
      </c>
      <c r="K427" s="66">
        <f t="shared" si="51"/>
        <v>0.19711999999999999</v>
      </c>
      <c r="L427" s="63">
        <f t="shared" si="52"/>
        <v>0</v>
      </c>
      <c r="M427" s="63">
        <f t="shared" si="53"/>
        <v>0</v>
      </c>
      <c r="N427" s="63">
        <f t="shared" si="54"/>
        <v>0</v>
      </c>
      <c r="O427" s="63">
        <f t="shared" si="55"/>
        <v>0</v>
      </c>
      <c r="P427" s="63">
        <f t="shared" si="56"/>
        <v>0</v>
      </c>
      <c r="Q427" s="562">
        <f t="shared" si="60"/>
        <v>0</v>
      </c>
      <c r="R427" s="377"/>
      <c r="T427" s="82"/>
      <c r="U427" s="82"/>
      <c r="V427" s="82"/>
      <c r="W427" s="82"/>
      <c r="X427" s="82"/>
      <c r="Y427" s="82"/>
      <c r="Z427" s="82"/>
      <c r="AA427" s="82"/>
      <c r="AB427" s="82"/>
    </row>
    <row r="428" spans="1:28" s="85" customFormat="1" ht="13.8" thickBot="1" x14ac:dyDescent="0.3">
      <c r="A428" s="82"/>
      <c r="B428" s="82"/>
      <c r="C428" s="82"/>
      <c r="D428" s="731"/>
      <c r="E428" s="390" t="s">
        <v>184</v>
      </c>
      <c r="F428" s="391">
        <v>44</v>
      </c>
      <c r="G428" s="392">
        <v>8</v>
      </c>
      <c r="H428" s="393">
        <v>12.5</v>
      </c>
      <c r="I428" s="394">
        <v>1.02</v>
      </c>
      <c r="J428" s="395">
        <f t="shared" si="50"/>
        <v>8.16</v>
      </c>
      <c r="K428" s="221">
        <f t="shared" si="51"/>
        <v>0</v>
      </c>
      <c r="L428" s="222">
        <f t="shared" si="52"/>
        <v>0</v>
      </c>
      <c r="M428" s="222">
        <f t="shared" si="53"/>
        <v>0</v>
      </c>
      <c r="N428" s="222">
        <f t="shared" si="54"/>
        <v>0</v>
      </c>
      <c r="O428" s="222">
        <f t="shared" si="55"/>
        <v>7.8580800000000002</v>
      </c>
      <c r="P428" s="222">
        <f t="shared" si="56"/>
        <v>0</v>
      </c>
      <c r="Q428" s="564">
        <f t="shared" si="60"/>
        <v>0</v>
      </c>
      <c r="R428" s="539"/>
      <c r="T428" s="82"/>
      <c r="U428" s="82"/>
      <c r="V428" s="82"/>
      <c r="W428" s="82"/>
      <c r="X428" s="82"/>
      <c r="Y428" s="82"/>
      <c r="Z428" s="82"/>
      <c r="AA428" s="82"/>
      <c r="AB428" s="82"/>
    </row>
    <row r="429" spans="1:28" s="85" customFormat="1" ht="13.8" thickTop="1" x14ac:dyDescent="0.25">
      <c r="A429" s="82"/>
      <c r="B429" s="82"/>
      <c r="C429" s="82"/>
      <c r="D429" s="728" t="s">
        <v>1379</v>
      </c>
      <c r="E429" s="384" t="s">
        <v>49</v>
      </c>
      <c r="F429" s="385">
        <v>7</v>
      </c>
      <c r="G429" s="386">
        <v>10</v>
      </c>
      <c r="H429" s="387">
        <v>5</v>
      </c>
      <c r="I429" s="388">
        <v>0.33</v>
      </c>
      <c r="J429" s="389">
        <f t="shared" si="50"/>
        <v>3.3000000000000003</v>
      </c>
      <c r="K429" s="218">
        <f t="shared" si="51"/>
        <v>0.50819999999999999</v>
      </c>
      <c r="L429" s="219">
        <f t="shared" si="52"/>
        <v>0</v>
      </c>
      <c r="M429" s="219">
        <f t="shared" si="53"/>
        <v>0</v>
      </c>
      <c r="N429" s="219">
        <f t="shared" si="54"/>
        <v>0</v>
      </c>
      <c r="O429" s="219">
        <f t="shared" si="55"/>
        <v>0</v>
      </c>
      <c r="P429" s="219">
        <f t="shared" si="56"/>
        <v>0</v>
      </c>
      <c r="Q429" s="563">
        <f t="shared" si="60"/>
        <v>0</v>
      </c>
      <c r="R429" s="220"/>
      <c r="T429" s="82"/>
      <c r="U429" s="82"/>
      <c r="V429" s="82"/>
      <c r="W429" s="82"/>
      <c r="X429" s="82"/>
      <c r="Y429" s="82"/>
      <c r="Z429" s="82"/>
      <c r="AA429" s="82"/>
      <c r="AB429" s="82"/>
    </row>
    <row r="430" spans="1:28" s="85" customFormat="1" x14ac:dyDescent="0.25">
      <c r="A430" s="82"/>
      <c r="B430" s="82"/>
      <c r="C430" s="82"/>
      <c r="D430" s="729"/>
      <c r="E430" s="371" t="s">
        <v>49</v>
      </c>
      <c r="F430" s="372">
        <v>8</v>
      </c>
      <c r="G430" s="373">
        <v>3</v>
      </c>
      <c r="H430" s="374">
        <v>5</v>
      </c>
      <c r="I430" s="375">
        <v>1.37</v>
      </c>
      <c r="J430" s="376">
        <f t="shared" si="50"/>
        <v>4.1100000000000003</v>
      </c>
      <c r="K430" s="66">
        <f t="shared" si="51"/>
        <v>0.63294000000000006</v>
      </c>
      <c r="L430" s="63">
        <f t="shared" si="52"/>
        <v>0</v>
      </c>
      <c r="M430" s="63">
        <f t="shared" si="53"/>
        <v>0</v>
      </c>
      <c r="N430" s="63">
        <f t="shared" si="54"/>
        <v>0</v>
      </c>
      <c r="O430" s="63">
        <f t="shared" si="55"/>
        <v>0</v>
      </c>
      <c r="P430" s="63">
        <f t="shared" si="56"/>
        <v>0</v>
      </c>
      <c r="Q430" s="561">
        <f t="shared" si="60"/>
        <v>0</v>
      </c>
      <c r="R430" s="174"/>
      <c r="T430" s="82"/>
      <c r="U430" s="82"/>
      <c r="V430" s="82"/>
      <c r="W430" s="82"/>
      <c r="X430" s="82"/>
      <c r="Y430" s="82"/>
      <c r="Z430" s="82"/>
      <c r="AA430" s="82"/>
      <c r="AB430" s="82"/>
    </row>
    <row r="431" spans="1:28" s="85" customFormat="1" x14ac:dyDescent="0.25">
      <c r="A431" s="82"/>
      <c r="B431" s="82"/>
      <c r="C431" s="82"/>
      <c r="D431" s="729"/>
      <c r="E431" s="371" t="s">
        <v>49</v>
      </c>
      <c r="F431" s="372">
        <v>9</v>
      </c>
      <c r="G431" s="373">
        <v>4</v>
      </c>
      <c r="H431" s="374">
        <v>5</v>
      </c>
      <c r="I431" s="375">
        <v>0.94</v>
      </c>
      <c r="J431" s="376">
        <f t="shared" si="50"/>
        <v>3.76</v>
      </c>
      <c r="K431" s="66">
        <f t="shared" si="51"/>
        <v>0.57904</v>
      </c>
      <c r="L431" s="63">
        <f t="shared" si="52"/>
        <v>0</v>
      </c>
      <c r="M431" s="63">
        <f t="shared" si="53"/>
        <v>0</v>
      </c>
      <c r="N431" s="63">
        <f t="shared" si="54"/>
        <v>0</v>
      </c>
      <c r="O431" s="63">
        <f t="shared" si="55"/>
        <v>0</v>
      </c>
      <c r="P431" s="63">
        <f t="shared" si="56"/>
        <v>0</v>
      </c>
      <c r="Q431" s="561">
        <f t="shared" si="60"/>
        <v>0</v>
      </c>
      <c r="R431" s="174"/>
      <c r="T431" s="82"/>
      <c r="U431" s="82"/>
      <c r="V431" s="82"/>
      <c r="W431" s="82"/>
      <c r="X431" s="82"/>
      <c r="Y431" s="82"/>
      <c r="Z431" s="82"/>
      <c r="AA431" s="82"/>
      <c r="AB431" s="82"/>
    </row>
    <row r="432" spans="1:28" s="85" customFormat="1" x14ac:dyDescent="0.25">
      <c r="A432" s="82"/>
      <c r="B432" s="82"/>
      <c r="C432" s="82"/>
      <c r="D432" s="729"/>
      <c r="E432" s="371" t="s">
        <v>49</v>
      </c>
      <c r="F432" s="372">
        <v>20</v>
      </c>
      <c r="G432" s="373">
        <v>8</v>
      </c>
      <c r="H432" s="374">
        <v>20</v>
      </c>
      <c r="I432" s="375">
        <v>1.67</v>
      </c>
      <c r="J432" s="376">
        <f t="shared" si="50"/>
        <v>13.36</v>
      </c>
      <c r="K432" s="66">
        <f t="shared" si="51"/>
        <v>0</v>
      </c>
      <c r="L432" s="63">
        <f t="shared" si="52"/>
        <v>0</v>
      </c>
      <c r="M432" s="63">
        <f t="shared" si="53"/>
        <v>0</v>
      </c>
      <c r="N432" s="63">
        <f t="shared" si="54"/>
        <v>0</v>
      </c>
      <c r="O432" s="63">
        <f t="shared" si="55"/>
        <v>0</v>
      </c>
      <c r="P432" s="63">
        <f t="shared" si="56"/>
        <v>0</v>
      </c>
      <c r="Q432" s="561">
        <f t="shared" si="60"/>
        <v>32.94576</v>
      </c>
      <c r="R432" s="174"/>
      <c r="T432" s="82"/>
      <c r="U432" s="82"/>
      <c r="V432" s="82"/>
      <c r="W432" s="82"/>
      <c r="X432" s="82"/>
      <c r="Y432" s="82"/>
      <c r="Z432" s="82"/>
      <c r="AA432" s="82"/>
      <c r="AB432" s="82"/>
    </row>
    <row r="433" spans="1:28" s="85" customFormat="1" x14ac:dyDescent="0.25">
      <c r="A433" s="82"/>
      <c r="B433" s="82"/>
      <c r="C433" s="82"/>
      <c r="D433" s="729"/>
      <c r="E433" s="371" t="s">
        <v>113</v>
      </c>
      <c r="F433" s="372">
        <v>7</v>
      </c>
      <c r="G433" s="373">
        <v>54</v>
      </c>
      <c r="H433" s="374">
        <v>5</v>
      </c>
      <c r="I433" s="375">
        <v>0.33</v>
      </c>
      <c r="J433" s="376">
        <f t="shared" si="50"/>
        <v>17.82</v>
      </c>
      <c r="K433" s="66">
        <f t="shared" si="51"/>
        <v>2.7442799999999998</v>
      </c>
      <c r="L433" s="63">
        <f t="shared" si="52"/>
        <v>0</v>
      </c>
      <c r="M433" s="63">
        <f t="shared" si="53"/>
        <v>0</v>
      </c>
      <c r="N433" s="63">
        <f t="shared" si="54"/>
        <v>0</v>
      </c>
      <c r="O433" s="63">
        <f t="shared" si="55"/>
        <v>0</v>
      </c>
      <c r="P433" s="63">
        <f t="shared" si="56"/>
        <v>0</v>
      </c>
      <c r="Q433" s="561">
        <f t="shared" si="60"/>
        <v>0</v>
      </c>
      <c r="R433" s="174"/>
      <c r="T433" s="82"/>
      <c r="U433" s="82"/>
      <c r="V433" s="82"/>
      <c r="W433" s="82"/>
      <c r="X433" s="82"/>
      <c r="Y433" s="82"/>
      <c r="Z433" s="82"/>
      <c r="AA433" s="82"/>
      <c r="AB433" s="82"/>
    </row>
    <row r="434" spans="1:28" s="85" customFormat="1" x14ac:dyDescent="0.25">
      <c r="A434" s="82"/>
      <c r="B434" s="82"/>
      <c r="C434" s="82"/>
      <c r="D434" s="729"/>
      <c r="E434" s="371" t="s">
        <v>113</v>
      </c>
      <c r="F434" s="372">
        <v>8</v>
      </c>
      <c r="G434" s="373">
        <v>23</v>
      </c>
      <c r="H434" s="374">
        <v>5</v>
      </c>
      <c r="I434" s="375">
        <v>1.37</v>
      </c>
      <c r="J434" s="376">
        <f t="shared" si="50"/>
        <v>31.51</v>
      </c>
      <c r="K434" s="66">
        <f t="shared" si="51"/>
        <v>4.8525400000000003</v>
      </c>
      <c r="L434" s="63">
        <f t="shared" si="52"/>
        <v>0</v>
      </c>
      <c r="M434" s="63">
        <f t="shared" si="53"/>
        <v>0</v>
      </c>
      <c r="N434" s="63">
        <f t="shared" si="54"/>
        <v>0</v>
      </c>
      <c r="O434" s="63">
        <f t="shared" si="55"/>
        <v>0</v>
      </c>
      <c r="P434" s="63">
        <f t="shared" si="56"/>
        <v>0</v>
      </c>
      <c r="Q434" s="561">
        <f t="shared" si="60"/>
        <v>0</v>
      </c>
      <c r="R434" s="174"/>
      <c r="T434" s="82"/>
      <c r="U434" s="82"/>
      <c r="V434" s="82"/>
      <c r="W434" s="82"/>
      <c r="X434" s="82"/>
      <c r="Y434" s="82"/>
      <c r="Z434" s="82"/>
      <c r="AA434" s="82"/>
      <c r="AB434" s="82"/>
    </row>
    <row r="435" spans="1:28" s="85" customFormat="1" x14ac:dyDescent="0.25">
      <c r="A435" s="82"/>
      <c r="B435" s="82"/>
      <c r="C435" s="82"/>
      <c r="D435" s="729"/>
      <c r="E435" s="371" t="s">
        <v>113</v>
      </c>
      <c r="F435" s="372">
        <v>9</v>
      </c>
      <c r="G435" s="373">
        <v>8</v>
      </c>
      <c r="H435" s="374">
        <v>5</v>
      </c>
      <c r="I435" s="375">
        <v>0.94</v>
      </c>
      <c r="J435" s="376">
        <f t="shared" si="50"/>
        <v>7.52</v>
      </c>
      <c r="K435" s="66">
        <f t="shared" si="51"/>
        <v>1.15808</v>
      </c>
      <c r="L435" s="63">
        <f t="shared" si="52"/>
        <v>0</v>
      </c>
      <c r="M435" s="63">
        <f t="shared" si="53"/>
        <v>0</v>
      </c>
      <c r="N435" s="63">
        <f t="shared" si="54"/>
        <v>0</v>
      </c>
      <c r="O435" s="63">
        <f t="shared" si="55"/>
        <v>0</v>
      </c>
      <c r="P435" s="63">
        <f t="shared" si="56"/>
        <v>0</v>
      </c>
      <c r="Q435" s="561">
        <f t="shared" si="60"/>
        <v>0</v>
      </c>
      <c r="R435" s="174"/>
      <c r="T435" s="82"/>
      <c r="U435" s="82"/>
      <c r="V435" s="82"/>
      <c r="W435" s="82"/>
      <c r="X435" s="82"/>
      <c r="Y435" s="82"/>
      <c r="Z435" s="82"/>
      <c r="AA435" s="82"/>
      <c r="AB435" s="82"/>
    </row>
    <row r="436" spans="1:28" s="85" customFormat="1" x14ac:dyDescent="0.25">
      <c r="A436" s="82"/>
      <c r="B436" s="82"/>
      <c r="C436" s="82"/>
      <c r="D436" s="729"/>
      <c r="E436" s="371" t="s">
        <v>113</v>
      </c>
      <c r="F436" s="372">
        <v>30</v>
      </c>
      <c r="G436" s="373">
        <v>8</v>
      </c>
      <c r="H436" s="374">
        <v>20</v>
      </c>
      <c r="I436" s="375">
        <v>4.12</v>
      </c>
      <c r="J436" s="376">
        <f t="shared" si="50"/>
        <v>32.96</v>
      </c>
      <c r="K436" s="66">
        <f t="shared" si="51"/>
        <v>0</v>
      </c>
      <c r="L436" s="63">
        <f t="shared" si="52"/>
        <v>0</v>
      </c>
      <c r="M436" s="63">
        <f t="shared" si="53"/>
        <v>0</v>
      </c>
      <c r="N436" s="63">
        <f t="shared" si="54"/>
        <v>0</v>
      </c>
      <c r="O436" s="63">
        <f t="shared" si="55"/>
        <v>0</v>
      </c>
      <c r="P436" s="63">
        <f t="shared" si="56"/>
        <v>0</v>
      </c>
      <c r="Q436" s="561">
        <f t="shared" si="60"/>
        <v>81.279360000000011</v>
      </c>
      <c r="R436" s="174"/>
      <c r="T436" s="82"/>
      <c r="U436" s="82"/>
      <c r="V436" s="82"/>
      <c r="W436" s="82"/>
      <c r="X436" s="82"/>
      <c r="Y436" s="82"/>
      <c r="Z436" s="82"/>
      <c r="AA436" s="82"/>
      <c r="AB436" s="82"/>
    </row>
    <row r="437" spans="1:28" s="85" customFormat="1" x14ac:dyDescent="0.25">
      <c r="A437" s="82"/>
      <c r="B437" s="82"/>
      <c r="C437" s="82"/>
      <c r="D437" s="729"/>
      <c r="E437" s="396" t="s">
        <v>184</v>
      </c>
      <c r="F437" s="403">
        <v>7</v>
      </c>
      <c r="G437" s="397">
        <v>18</v>
      </c>
      <c r="H437" s="398">
        <v>5</v>
      </c>
      <c r="I437" s="399">
        <v>0.33</v>
      </c>
      <c r="J437" s="400">
        <f t="shared" si="50"/>
        <v>5.94</v>
      </c>
      <c r="K437" s="401">
        <f t="shared" si="51"/>
        <v>0.91476000000000002</v>
      </c>
      <c r="L437" s="196">
        <f t="shared" si="52"/>
        <v>0</v>
      </c>
      <c r="M437" s="196">
        <f t="shared" si="53"/>
        <v>0</v>
      </c>
      <c r="N437" s="196">
        <f t="shared" si="54"/>
        <v>0</v>
      </c>
      <c r="O437" s="196">
        <f t="shared" si="55"/>
        <v>0</v>
      </c>
      <c r="P437" s="196">
        <f t="shared" si="56"/>
        <v>0</v>
      </c>
      <c r="Q437" s="566">
        <f t="shared" si="60"/>
        <v>0</v>
      </c>
      <c r="R437" s="538"/>
      <c r="T437" s="82"/>
      <c r="U437" s="82"/>
      <c r="V437" s="82"/>
      <c r="W437" s="82"/>
      <c r="X437" s="82"/>
      <c r="Y437" s="82"/>
      <c r="Z437" s="82"/>
      <c r="AA437" s="82"/>
      <c r="AB437" s="82"/>
    </row>
    <row r="438" spans="1:28" s="85" customFormat="1" x14ac:dyDescent="0.25">
      <c r="A438" s="82"/>
      <c r="B438" s="82"/>
      <c r="C438" s="82"/>
      <c r="D438" s="729"/>
      <c r="E438" s="371" t="s">
        <v>184</v>
      </c>
      <c r="F438" s="372">
        <v>8</v>
      </c>
      <c r="G438" s="373">
        <v>7</v>
      </c>
      <c r="H438" s="374">
        <v>5</v>
      </c>
      <c r="I438" s="375">
        <v>1.37</v>
      </c>
      <c r="J438" s="376">
        <f t="shared" si="50"/>
        <v>9.59</v>
      </c>
      <c r="K438" s="66">
        <f t="shared" si="51"/>
        <v>1.4768600000000001</v>
      </c>
      <c r="L438" s="63">
        <f t="shared" si="52"/>
        <v>0</v>
      </c>
      <c r="M438" s="63">
        <f t="shared" si="53"/>
        <v>0</v>
      </c>
      <c r="N438" s="63">
        <f t="shared" si="54"/>
        <v>0</v>
      </c>
      <c r="O438" s="63">
        <f t="shared" si="55"/>
        <v>0</v>
      </c>
      <c r="P438" s="63">
        <f t="shared" si="56"/>
        <v>0</v>
      </c>
      <c r="Q438" s="562">
        <f t="shared" si="60"/>
        <v>0</v>
      </c>
      <c r="R438" s="377"/>
      <c r="T438" s="82"/>
      <c r="U438" s="82"/>
      <c r="V438" s="82"/>
      <c r="W438" s="82"/>
      <c r="X438" s="82"/>
      <c r="Y438" s="82"/>
      <c r="Z438" s="82"/>
      <c r="AA438" s="82"/>
      <c r="AB438" s="82"/>
    </row>
    <row r="439" spans="1:28" s="85" customFormat="1" x14ac:dyDescent="0.25">
      <c r="A439" s="82"/>
      <c r="B439" s="82"/>
      <c r="C439" s="82"/>
      <c r="D439" s="729"/>
      <c r="E439" s="371" t="s">
        <v>184</v>
      </c>
      <c r="F439" s="372">
        <v>9</v>
      </c>
      <c r="G439" s="373">
        <v>4</v>
      </c>
      <c r="H439" s="374">
        <v>5</v>
      </c>
      <c r="I439" s="375">
        <v>0.94</v>
      </c>
      <c r="J439" s="376">
        <f t="shared" si="50"/>
        <v>3.76</v>
      </c>
      <c r="K439" s="66">
        <f t="shared" si="51"/>
        <v>0.57904</v>
      </c>
      <c r="L439" s="63">
        <f t="shared" si="52"/>
        <v>0</v>
      </c>
      <c r="M439" s="63">
        <f t="shared" si="53"/>
        <v>0</v>
      </c>
      <c r="N439" s="63">
        <f t="shared" si="54"/>
        <v>0</v>
      </c>
      <c r="O439" s="63">
        <f t="shared" si="55"/>
        <v>0</v>
      </c>
      <c r="P439" s="63">
        <f t="shared" si="56"/>
        <v>0</v>
      </c>
      <c r="Q439" s="562">
        <f t="shared" si="60"/>
        <v>0</v>
      </c>
      <c r="R439" s="377"/>
      <c r="T439" s="82"/>
      <c r="U439" s="82"/>
      <c r="V439" s="82"/>
      <c r="W439" s="82"/>
      <c r="X439" s="82"/>
      <c r="Y439" s="82"/>
      <c r="Z439" s="82"/>
      <c r="AA439" s="82"/>
      <c r="AB439" s="82"/>
    </row>
    <row r="440" spans="1:28" s="85" customFormat="1" ht="13.8" thickBot="1" x14ac:dyDescent="0.3">
      <c r="A440" s="82"/>
      <c r="B440" s="82"/>
      <c r="C440" s="82"/>
      <c r="D440" s="731"/>
      <c r="E440" s="390" t="s">
        <v>184</v>
      </c>
      <c r="F440" s="391">
        <v>45</v>
      </c>
      <c r="G440" s="392">
        <v>8</v>
      </c>
      <c r="H440" s="393">
        <v>20</v>
      </c>
      <c r="I440" s="394">
        <v>1.02</v>
      </c>
      <c r="J440" s="395">
        <f t="shared" si="50"/>
        <v>8.16</v>
      </c>
      <c r="K440" s="221">
        <f t="shared" si="51"/>
        <v>0</v>
      </c>
      <c r="L440" s="222">
        <f t="shared" si="52"/>
        <v>0</v>
      </c>
      <c r="M440" s="222">
        <f t="shared" si="53"/>
        <v>0</v>
      </c>
      <c r="N440" s="222">
        <f t="shared" si="54"/>
        <v>0</v>
      </c>
      <c r="O440" s="222">
        <f t="shared" si="55"/>
        <v>0</v>
      </c>
      <c r="P440" s="222">
        <f t="shared" si="56"/>
        <v>0</v>
      </c>
      <c r="Q440" s="564">
        <f t="shared" si="60"/>
        <v>20.122560000000004</v>
      </c>
      <c r="R440" s="539"/>
      <c r="T440" s="82"/>
      <c r="U440" s="82"/>
      <c r="V440" s="82"/>
      <c r="W440" s="82"/>
      <c r="X440" s="82"/>
      <c r="Y440" s="82"/>
      <c r="Z440" s="82"/>
      <c r="AA440" s="82"/>
      <c r="AB440" s="82"/>
    </row>
    <row r="441" spans="1:28" s="85" customFormat="1" ht="13.8" thickTop="1" x14ac:dyDescent="0.25">
      <c r="A441" s="82"/>
      <c r="B441" s="82"/>
      <c r="C441" s="82"/>
      <c r="D441" s="728" t="s">
        <v>1380</v>
      </c>
      <c r="E441" s="384" t="s">
        <v>49</v>
      </c>
      <c r="F441" s="385">
        <v>1</v>
      </c>
      <c r="G441" s="386">
        <v>7</v>
      </c>
      <c r="H441" s="387">
        <v>5</v>
      </c>
      <c r="I441" s="388">
        <v>0.28999999999999998</v>
      </c>
      <c r="J441" s="389">
        <f t="shared" si="50"/>
        <v>2.0299999999999998</v>
      </c>
      <c r="K441" s="218">
        <f t="shared" si="51"/>
        <v>0.31261999999999995</v>
      </c>
      <c r="L441" s="219">
        <f t="shared" si="52"/>
        <v>0</v>
      </c>
      <c r="M441" s="219">
        <f t="shared" si="53"/>
        <v>0</v>
      </c>
      <c r="N441" s="219">
        <f t="shared" si="54"/>
        <v>0</v>
      </c>
      <c r="O441" s="219">
        <f t="shared" si="55"/>
        <v>0</v>
      </c>
      <c r="P441" s="219">
        <f t="shared" si="56"/>
        <v>0</v>
      </c>
      <c r="Q441" s="563">
        <f t="shared" si="60"/>
        <v>0</v>
      </c>
      <c r="R441" s="220"/>
      <c r="T441" s="82"/>
      <c r="U441" s="82"/>
      <c r="V441" s="82"/>
      <c r="W441" s="82"/>
      <c r="X441" s="82"/>
      <c r="Y441" s="82"/>
      <c r="Z441" s="82"/>
      <c r="AA441" s="82"/>
      <c r="AB441" s="82"/>
    </row>
    <row r="442" spans="1:28" s="85" customFormat="1" x14ac:dyDescent="0.25">
      <c r="A442" s="82"/>
      <c r="B442" s="82"/>
      <c r="C442" s="82"/>
      <c r="D442" s="729"/>
      <c r="E442" s="371" t="s">
        <v>49</v>
      </c>
      <c r="F442" s="372">
        <v>10</v>
      </c>
      <c r="G442" s="373">
        <v>4</v>
      </c>
      <c r="H442" s="374">
        <v>5</v>
      </c>
      <c r="I442" s="375">
        <v>1.47</v>
      </c>
      <c r="J442" s="376">
        <f t="shared" si="50"/>
        <v>5.88</v>
      </c>
      <c r="K442" s="66">
        <f t="shared" si="51"/>
        <v>0.90551999999999999</v>
      </c>
      <c r="L442" s="63">
        <f t="shared" si="52"/>
        <v>0</v>
      </c>
      <c r="M442" s="63">
        <f t="shared" si="53"/>
        <v>0</v>
      </c>
      <c r="N442" s="63">
        <f t="shared" si="54"/>
        <v>0</v>
      </c>
      <c r="O442" s="63">
        <f t="shared" si="55"/>
        <v>0</v>
      </c>
      <c r="P442" s="63">
        <f t="shared" si="56"/>
        <v>0</v>
      </c>
      <c r="Q442" s="561">
        <f t="shared" si="60"/>
        <v>0</v>
      </c>
      <c r="R442" s="174"/>
      <c r="T442" s="82"/>
      <c r="U442" s="82"/>
      <c r="V442" s="82"/>
      <c r="W442" s="82"/>
      <c r="X442" s="82"/>
      <c r="Y442" s="82"/>
      <c r="Z442" s="82"/>
      <c r="AA442" s="82"/>
      <c r="AB442" s="82"/>
    </row>
    <row r="443" spans="1:28" s="85" customFormat="1" x14ac:dyDescent="0.25">
      <c r="A443" s="82"/>
      <c r="B443" s="82"/>
      <c r="C443" s="82"/>
      <c r="D443" s="729"/>
      <c r="E443" s="371" t="s">
        <v>49</v>
      </c>
      <c r="F443" s="372">
        <v>11</v>
      </c>
      <c r="G443" s="373">
        <v>6</v>
      </c>
      <c r="H443" s="374">
        <v>5</v>
      </c>
      <c r="I443" s="375">
        <v>0.94</v>
      </c>
      <c r="J443" s="376">
        <f t="shared" si="50"/>
        <v>5.64</v>
      </c>
      <c r="K443" s="66">
        <f t="shared" si="51"/>
        <v>0.86855999999999989</v>
      </c>
      <c r="L443" s="63">
        <f t="shared" si="52"/>
        <v>0</v>
      </c>
      <c r="M443" s="63">
        <f t="shared" si="53"/>
        <v>0</v>
      </c>
      <c r="N443" s="63">
        <f t="shared" si="54"/>
        <v>0</v>
      </c>
      <c r="O443" s="63">
        <f t="shared" si="55"/>
        <v>0</v>
      </c>
      <c r="P443" s="63">
        <f t="shared" si="56"/>
        <v>0</v>
      </c>
      <c r="Q443" s="561">
        <f t="shared" si="60"/>
        <v>0</v>
      </c>
      <c r="R443" s="174"/>
      <c r="T443" s="82"/>
      <c r="U443" s="82"/>
      <c r="V443" s="82"/>
      <c r="W443" s="82"/>
      <c r="X443" s="82"/>
      <c r="Y443" s="82"/>
      <c r="Z443" s="82"/>
      <c r="AA443" s="82"/>
      <c r="AB443" s="82"/>
    </row>
    <row r="444" spans="1:28" s="85" customFormat="1" x14ac:dyDescent="0.25">
      <c r="A444" s="82"/>
      <c r="B444" s="82"/>
      <c r="C444" s="82"/>
      <c r="D444" s="729"/>
      <c r="E444" s="371" t="s">
        <v>49</v>
      </c>
      <c r="F444" s="372">
        <v>18</v>
      </c>
      <c r="G444" s="373">
        <v>6</v>
      </c>
      <c r="H444" s="374">
        <v>12.5</v>
      </c>
      <c r="I444" s="375">
        <v>1.45</v>
      </c>
      <c r="J444" s="376">
        <f t="shared" si="50"/>
        <v>8.6999999999999993</v>
      </c>
      <c r="K444" s="66">
        <f t="shared" si="51"/>
        <v>0</v>
      </c>
      <c r="L444" s="63">
        <f t="shared" si="52"/>
        <v>0</v>
      </c>
      <c r="M444" s="63">
        <f t="shared" si="53"/>
        <v>0</v>
      </c>
      <c r="N444" s="63">
        <f t="shared" si="54"/>
        <v>0</v>
      </c>
      <c r="O444" s="63">
        <f t="shared" si="55"/>
        <v>8.3780999999999999</v>
      </c>
      <c r="P444" s="63">
        <f t="shared" si="56"/>
        <v>0</v>
      </c>
      <c r="Q444" s="561">
        <f t="shared" si="60"/>
        <v>0</v>
      </c>
      <c r="R444" s="174"/>
      <c r="T444" s="82"/>
      <c r="U444" s="82"/>
      <c r="V444" s="82"/>
      <c r="W444" s="82"/>
      <c r="X444" s="82"/>
      <c r="Y444" s="82"/>
      <c r="Z444" s="82"/>
      <c r="AA444" s="82"/>
      <c r="AB444" s="82"/>
    </row>
    <row r="445" spans="1:28" s="85" customFormat="1" x14ac:dyDescent="0.25">
      <c r="A445" s="82"/>
      <c r="B445" s="82"/>
      <c r="C445" s="82"/>
      <c r="D445" s="729"/>
      <c r="E445" s="371" t="s">
        <v>113</v>
      </c>
      <c r="F445" s="372">
        <v>1</v>
      </c>
      <c r="G445" s="373">
        <v>24</v>
      </c>
      <c r="H445" s="374">
        <v>5</v>
      </c>
      <c r="I445" s="375">
        <v>0.28999999999999998</v>
      </c>
      <c r="J445" s="376">
        <f t="shared" si="50"/>
        <v>6.9599999999999991</v>
      </c>
      <c r="K445" s="66">
        <f t="shared" si="51"/>
        <v>1.0718399999999999</v>
      </c>
      <c r="L445" s="63">
        <f t="shared" si="52"/>
        <v>0</v>
      </c>
      <c r="M445" s="63">
        <f t="shared" si="53"/>
        <v>0</v>
      </c>
      <c r="N445" s="63">
        <f t="shared" si="54"/>
        <v>0</v>
      </c>
      <c r="O445" s="63">
        <f t="shared" si="55"/>
        <v>0</v>
      </c>
      <c r="P445" s="63">
        <f t="shared" si="56"/>
        <v>0</v>
      </c>
      <c r="Q445" s="561">
        <f t="shared" si="60"/>
        <v>0</v>
      </c>
      <c r="R445" s="174"/>
      <c r="T445" s="82"/>
      <c r="U445" s="82"/>
      <c r="V445" s="82"/>
      <c r="W445" s="82"/>
      <c r="X445" s="82"/>
      <c r="Y445" s="82"/>
      <c r="Z445" s="82"/>
      <c r="AA445" s="82"/>
      <c r="AB445" s="82"/>
    </row>
    <row r="446" spans="1:28" s="85" customFormat="1" x14ac:dyDescent="0.25">
      <c r="A446" s="82"/>
      <c r="B446" s="82"/>
      <c r="C446" s="82"/>
      <c r="D446" s="729"/>
      <c r="E446" s="371" t="s">
        <v>113</v>
      </c>
      <c r="F446" s="372">
        <v>10</v>
      </c>
      <c r="G446" s="373">
        <v>20</v>
      </c>
      <c r="H446" s="374">
        <v>5</v>
      </c>
      <c r="I446" s="375">
        <v>1.47</v>
      </c>
      <c r="J446" s="376">
        <f t="shared" si="50"/>
        <v>29.4</v>
      </c>
      <c r="K446" s="66">
        <f t="shared" si="51"/>
        <v>4.5275999999999996</v>
      </c>
      <c r="L446" s="63">
        <f t="shared" si="52"/>
        <v>0</v>
      </c>
      <c r="M446" s="63">
        <f t="shared" si="53"/>
        <v>0</v>
      </c>
      <c r="N446" s="63">
        <f t="shared" si="54"/>
        <v>0</v>
      </c>
      <c r="O446" s="63">
        <f t="shared" si="55"/>
        <v>0</v>
      </c>
      <c r="P446" s="63">
        <f t="shared" si="56"/>
        <v>0</v>
      </c>
      <c r="Q446" s="561">
        <f t="shared" si="60"/>
        <v>0</v>
      </c>
      <c r="R446" s="174"/>
      <c r="T446" s="82"/>
      <c r="U446" s="82"/>
      <c r="V446" s="82"/>
      <c r="W446" s="82"/>
      <c r="X446" s="82"/>
      <c r="Y446" s="82"/>
      <c r="Z446" s="82"/>
      <c r="AA446" s="82"/>
      <c r="AB446" s="82"/>
    </row>
    <row r="447" spans="1:28" s="85" customFormat="1" x14ac:dyDescent="0.25">
      <c r="A447" s="82"/>
      <c r="B447" s="82"/>
      <c r="C447" s="82"/>
      <c r="D447" s="729"/>
      <c r="E447" s="371" t="s">
        <v>113</v>
      </c>
      <c r="F447" s="372">
        <v>11</v>
      </c>
      <c r="G447" s="373">
        <v>8</v>
      </c>
      <c r="H447" s="374">
        <v>5</v>
      </c>
      <c r="I447" s="375">
        <v>0.94</v>
      </c>
      <c r="J447" s="376">
        <f t="shared" si="50"/>
        <v>7.52</v>
      </c>
      <c r="K447" s="66">
        <f t="shared" si="51"/>
        <v>1.15808</v>
      </c>
      <c r="L447" s="63">
        <f t="shared" si="52"/>
        <v>0</v>
      </c>
      <c r="M447" s="63">
        <f t="shared" si="53"/>
        <v>0</v>
      </c>
      <c r="N447" s="63">
        <f t="shared" si="54"/>
        <v>0</v>
      </c>
      <c r="O447" s="63">
        <f t="shared" si="55"/>
        <v>0</v>
      </c>
      <c r="P447" s="63">
        <f t="shared" si="56"/>
        <v>0</v>
      </c>
      <c r="Q447" s="561">
        <f t="shared" si="60"/>
        <v>0</v>
      </c>
      <c r="R447" s="174"/>
      <c r="T447" s="82"/>
      <c r="U447" s="82"/>
      <c r="V447" s="82"/>
      <c r="W447" s="82"/>
      <c r="X447" s="82"/>
      <c r="Y447" s="82"/>
      <c r="Z447" s="82"/>
      <c r="AA447" s="82"/>
      <c r="AB447" s="82"/>
    </row>
    <row r="448" spans="1:28" s="85" customFormat="1" x14ac:dyDescent="0.25">
      <c r="A448" s="82"/>
      <c r="B448" s="82"/>
      <c r="C448" s="82"/>
      <c r="D448" s="729"/>
      <c r="E448" s="371" t="s">
        <v>113</v>
      </c>
      <c r="F448" s="372">
        <v>28</v>
      </c>
      <c r="G448" s="373">
        <v>6</v>
      </c>
      <c r="H448" s="374">
        <v>12.5</v>
      </c>
      <c r="I448" s="375">
        <v>3.87</v>
      </c>
      <c r="J448" s="376">
        <f t="shared" si="50"/>
        <v>23.22</v>
      </c>
      <c r="K448" s="66">
        <f t="shared" si="51"/>
        <v>0</v>
      </c>
      <c r="L448" s="63">
        <f t="shared" si="52"/>
        <v>0</v>
      </c>
      <c r="M448" s="63">
        <f t="shared" si="53"/>
        <v>0</v>
      </c>
      <c r="N448" s="63">
        <f t="shared" si="54"/>
        <v>0</v>
      </c>
      <c r="O448" s="63">
        <f t="shared" si="55"/>
        <v>22.360859999999999</v>
      </c>
      <c r="P448" s="63">
        <f t="shared" si="56"/>
        <v>0</v>
      </c>
      <c r="Q448" s="561">
        <f t="shared" si="60"/>
        <v>0</v>
      </c>
      <c r="R448" s="174"/>
      <c r="T448" s="82"/>
      <c r="U448" s="82"/>
      <c r="V448" s="82"/>
      <c r="W448" s="82"/>
      <c r="X448" s="82"/>
      <c r="Y448" s="82"/>
      <c r="Z448" s="82"/>
      <c r="AA448" s="82"/>
      <c r="AB448" s="82"/>
    </row>
    <row r="449" spans="1:28" s="85" customFormat="1" x14ac:dyDescent="0.25">
      <c r="A449" s="82"/>
      <c r="B449" s="82"/>
      <c r="C449" s="82"/>
      <c r="D449" s="729"/>
      <c r="E449" s="396" t="s">
        <v>184</v>
      </c>
      <c r="F449" s="403">
        <v>1</v>
      </c>
      <c r="G449" s="397">
        <v>7</v>
      </c>
      <c r="H449" s="398">
        <v>5</v>
      </c>
      <c r="I449" s="399">
        <v>0.28999999999999998</v>
      </c>
      <c r="J449" s="400">
        <f t="shared" si="50"/>
        <v>2.0299999999999998</v>
      </c>
      <c r="K449" s="401">
        <f t="shared" si="51"/>
        <v>0.31261999999999995</v>
      </c>
      <c r="L449" s="196">
        <f t="shared" si="52"/>
        <v>0</v>
      </c>
      <c r="M449" s="196">
        <f t="shared" si="53"/>
        <v>0</v>
      </c>
      <c r="N449" s="196">
        <f t="shared" si="54"/>
        <v>0</v>
      </c>
      <c r="O449" s="196">
        <f t="shared" si="55"/>
        <v>0</v>
      </c>
      <c r="P449" s="196">
        <f t="shared" si="56"/>
        <v>0</v>
      </c>
      <c r="Q449" s="566">
        <f t="shared" si="60"/>
        <v>0</v>
      </c>
      <c r="R449" s="538"/>
      <c r="T449" s="82"/>
      <c r="U449" s="82"/>
      <c r="V449" s="82"/>
      <c r="W449" s="82"/>
      <c r="X449" s="82"/>
      <c r="Y449" s="82"/>
      <c r="Z449" s="82"/>
      <c r="AA449" s="82"/>
      <c r="AB449" s="82"/>
    </row>
    <row r="450" spans="1:28" s="85" customFormat="1" x14ac:dyDescent="0.25">
      <c r="A450" s="82"/>
      <c r="B450" s="82"/>
      <c r="C450" s="82"/>
      <c r="D450" s="729"/>
      <c r="E450" s="371" t="s">
        <v>184</v>
      </c>
      <c r="F450" s="372">
        <v>10</v>
      </c>
      <c r="G450" s="373">
        <v>6</v>
      </c>
      <c r="H450" s="374">
        <v>5</v>
      </c>
      <c r="I450" s="375">
        <v>1.47</v>
      </c>
      <c r="J450" s="376">
        <f t="shared" si="50"/>
        <v>8.82</v>
      </c>
      <c r="K450" s="66">
        <f t="shared" si="51"/>
        <v>1.3582799999999999</v>
      </c>
      <c r="L450" s="63">
        <f t="shared" si="52"/>
        <v>0</v>
      </c>
      <c r="M450" s="63">
        <f t="shared" si="53"/>
        <v>0</v>
      </c>
      <c r="N450" s="63">
        <f t="shared" si="54"/>
        <v>0</v>
      </c>
      <c r="O450" s="63">
        <f t="shared" si="55"/>
        <v>0</v>
      </c>
      <c r="P450" s="63">
        <f t="shared" si="56"/>
        <v>0</v>
      </c>
      <c r="Q450" s="562">
        <f t="shared" si="60"/>
        <v>0</v>
      </c>
      <c r="R450" s="377"/>
      <c r="T450" s="82"/>
      <c r="U450" s="82"/>
      <c r="V450" s="82"/>
      <c r="W450" s="82"/>
      <c r="X450" s="82"/>
      <c r="Y450" s="82"/>
      <c r="Z450" s="82"/>
      <c r="AA450" s="82"/>
      <c r="AB450" s="82"/>
    </row>
    <row r="451" spans="1:28" s="85" customFormat="1" x14ac:dyDescent="0.25">
      <c r="A451" s="82"/>
      <c r="B451" s="82"/>
      <c r="C451" s="82"/>
      <c r="D451" s="729"/>
      <c r="E451" s="371" t="s">
        <v>184</v>
      </c>
      <c r="F451" s="372">
        <v>11</v>
      </c>
      <c r="G451" s="373">
        <v>2</v>
      </c>
      <c r="H451" s="374">
        <v>5</v>
      </c>
      <c r="I451" s="375">
        <v>0.94</v>
      </c>
      <c r="J451" s="376">
        <f t="shared" si="50"/>
        <v>1.88</v>
      </c>
      <c r="K451" s="66">
        <f t="shared" si="51"/>
        <v>0.28952</v>
      </c>
      <c r="L451" s="63">
        <f t="shared" si="52"/>
        <v>0</v>
      </c>
      <c r="M451" s="63">
        <f t="shared" si="53"/>
        <v>0</v>
      </c>
      <c r="N451" s="63">
        <f t="shared" si="54"/>
        <v>0</v>
      </c>
      <c r="O451" s="63">
        <f t="shared" si="55"/>
        <v>0</v>
      </c>
      <c r="P451" s="63">
        <f t="shared" si="56"/>
        <v>0</v>
      </c>
      <c r="Q451" s="562">
        <f t="shared" si="60"/>
        <v>0</v>
      </c>
      <c r="R451" s="377"/>
      <c r="T451" s="82"/>
      <c r="U451" s="82"/>
      <c r="V451" s="82"/>
      <c r="W451" s="82"/>
      <c r="X451" s="82"/>
      <c r="Y451" s="82"/>
      <c r="Z451" s="82"/>
      <c r="AA451" s="82"/>
      <c r="AB451" s="82"/>
    </row>
    <row r="452" spans="1:28" s="85" customFormat="1" ht="13.8" thickBot="1" x14ac:dyDescent="0.3">
      <c r="A452" s="82"/>
      <c r="B452" s="82"/>
      <c r="C452" s="82"/>
      <c r="D452" s="731"/>
      <c r="E452" s="390" t="s">
        <v>184</v>
      </c>
      <c r="F452" s="391">
        <v>44</v>
      </c>
      <c r="G452" s="392">
        <v>6</v>
      </c>
      <c r="H452" s="393">
        <v>12.5</v>
      </c>
      <c r="I452" s="394">
        <v>1.02</v>
      </c>
      <c r="J452" s="395">
        <f t="shared" si="50"/>
        <v>6.12</v>
      </c>
      <c r="K452" s="221">
        <f t="shared" si="51"/>
        <v>0</v>
      </c>
      <c r="L452" s="222">
        <f t="shared" si="52"/>
        <v>0</v>
      </c>
      <c r="M452" s="222">
        <f t="shared" si="53"/>
        <v>0</v>
      </c>
      <c r="N452" s="222">
        <f t="shared" si="54"/>
        <v>0</v>
      </c>
      <c r="O452" s="222">
        <f t="shared" si="55"/>
        <v>5.8935599999999999</v>
      </c>
      <c r="P452" s="222">
        <f t="shared" si="56"/>
        <v>0</v>
      </c>
      <c r="Q452" s="564">
        <f t="shared" si="60"/>
        <v>0</v>
      </c>
      <c r="R452" s="539"/>
      <c r="T452" s="82"/>
      <c r="U452" s="82"/>
      <c r="V452" s="82"/>
      <c r="W452" s="82"/>
      <c r="X452" s="82"/>
      <c r="Y452" s="82"/>
      <c r="Z452" s="82"/>
      <c r="AA452" s="82"/>
      <c r="AB452" s="82"/>
    </row>
    <row r="453" spans="1:28" s="85" customFormat="1" ht="13.8" thickTop="1" x14ac:dyDescent="0.25">
      <c r="A453" s="82"/>
      <c r="B453" s="82"/>
      <c r="C453" s="82"/>
      <c r="D453" s="728" t="s">
        <v>1381</v>
      </c>
      <c r="E453" s="384" t="s">
        <v>49</v>
      </c>
      <c r="F453" s="385">
        <v>4</v>
      </c>
      <c r="G453" s="386">
        <f>2*7</f>
        <v>14</v>
      </c>
      <c r="H453" s="387">
        <v>5</v>
      </c>
      <c r="I453" s="388">
        <v>0.24</v>
      </c>
      <c r="J453" s="389">
        <f t="shared" si="50"/>
        <v>3.36</v>
      </c>
      <c r="K453" s="218">
        <f t="shared" si="51"/>
        <v>0.51744000000000001</v>
      </c>
      <c r="L453" s="219">
        <f t="shared" si="52"/>
        <v>0</v>
      </c>
      <c r="M453" s="219">
        <f t="shared" si="53"/>
        <v>0</v>
      </c>
      <c r="N453" s="219">
        <f t="shared" si="54"/>
        <v>0</v>
      </c>
      <c r="O453" s="219">
        <f t="shared" si="55"/>
        <v>0</v>
      </c>
      <c r="P453" s="219">
        <f t="shared" si="56"/>
        <v>0</v>
      </c>
      <c r="Q453" s="563">
        <f t="shared" si="60"/>
        <v>0</v>
      </c>
      <c r="R453" s="220"/>
      <c r="T453" s="82"/>
      <c r="U453" s="82"/>
      <c r="V453" s="82"/>
      <c r="W453" s="82"/>
      <c r="X453" s="82"/>
      <c r="Y453" s="82"/>
      <c r="Z453" s="82"/>
      <c r="AA453" s="82"/>
      <c r="AB453" s="82"/>
    </row>
    <row r="454" spans="1:28" s="85" customFormat="1" x14ac:dyDescent="0.25">
      <c r="A454" s="82"/>
      <c r="B454" s="82"/>
      <c r="C454" s="82"/>
      <c r="D454" s="729"/>
      <c r="E454" s="371" t="s">
        <v>49</v>
      </c>
      <c r="F454" s="372">
        <v>5</v>
      </c>
      <c r="G454" s="373">
        <f>2*4</f>
        <v>8</v>
      </c>
      <c r="H454" s="374">
        <v>5</v>
      </c>
      <c r="I454" s="375">
        <v>0.97</v>
      </c>
      <c r="J454" s="376">
        <f t="shared" si="50"/>
        <v>7.76</v>
      </c>
      <c r="K454" s="66">
        <f t="shared" si="51"/>
        <v>1.1950399999999999</v>
      </c>
      <c r="L454" s="63">
        <f t="shared" si="52"/>
        <v>0</v>
      </c>
      <c r="M454" s="63">
        <f t="shared" si="53"/>
        <v>0</v>
      </c>
      <c r="N454" s="63">
        <f t="shared" si="54"/>
        <v>0</v>
      </c>
      <c r="O454" s="63">
        <f t="shared" si="55"/>
        <v>0</v>
      </c>
      <c r="P454" s="63">
        <f t="shared" si="56"/>
        <v>0</v>
      </c>
      <c r="Q454" s="561">
        <f t="shared" si="60"/>
        <v>0</v>
      </c>
      <c r="R454" s="174"/>
      <c r="T454" s="82"/>
      <c r="U454" s="82"/>
      <c r="V454" s="82"/>
      <c r="W454" s="82"/>
      <c r="X454" s="82"/>
      <c r="Y454" s="82"/>
      <c r="Z454" s="82"/>
      <c r="AA454" s="82"/>
      <c r="AB454" s="82"/>
    </row>
    <row r="455" spans="1:28" s="85" customFormat="1" x14ac:dyDescent="0.25">
      <c r="A455" s="82"/>
      <c r="B455" s="82"/>
      <c r="C455" s="82"/>
      <c r="D455" s="729"/>
      <c r="E455" s="371" t="s">
        <v>49</v>
      </c>
      <c r="F455" s="372">
        <v>6</v>
      </c>
      <c r="G455" s="373">
        <f>2*6</f>
        <v>12</v>
      </c>
      <c r="H455" s="374">
        <v>5</v>
      </c>
      <c r="I455" s="375">
        <v>0.64</v>
      </c>
      <c r="J455" s="376">
        <f t="shared" si="50"/>
        <v>7.68</v>
      </c>
      <c r="K455" s="66">
        <f t="shared" si="51"/>
        <v>1.18272</v>
      </c>
      <c r="L455" s="63">
        <f t="shared" si="52"/>
        <v>0</v>
      </c>
      <c r="M455" s="63">
        <f t="shared" si="53"/>
        <v>0</v>
      </c>
      <c r="N455" s="63">
        <f t="shared" si="54"/>
        <v>0</v>
      </c>
      <c r="O455" s="63">
        <f t="shared" si="55"/>
        <v>0</v>
      </c>
      <c r="P455" s="63">
        <f t="shared" si="56"/>
        <v>0</v>
      </c>
      <c r="Q455" s="561">
        <f t="shared" si="60"/>
        <v>0</v>
      </c>
      <c r="R455" s="174"/>
      <c r="T455" s="82"/>
      <c r="U455" s="82"/>
      <c r="V455" s="82"/>
      <c r="W455" s="82"/>
      <c r="X455" s="82"/>
      <c r="Y455" s="82"/>
      <c r="Z455" s="82"/>
      <c r="AA455" s="82"/>
      <c r="AB455" s="82"/>
    </row>
    <row r="456" spans="1:28" s="85" customFormat="1" x14ac:dyDescent="0.25">
      <c r="A456" s="82"/>
      <c r="B456" s="82"/>
      <c r="C456" s="82"/>
      <c r="D456" s="729"/>
      <c r="E456" s="371" t="s">
        <v>49</v>
      </c>
      <c r="F456" s="372">
        <v>18</v>
      </c>
      <c r="G456" s="373">
        <f>2*6</f>
        <v>12</v>
      </c>
      <c r="H456" s="374">
        <v>12.5</v>
      </c>
      <c r="I456" s="375">
        <v>1.45</v>
      </c>
      <c r="J456" s="376">
        <f t="shared" si="50"/>
        <v>17.399999999999999</v>
      </c>
      <c r="K456" s="66">
        <f t="shared" si="51"/>
        <v>0</v>
      </c>
      <c r="L456" s="63">
        <f t="shared" si="52"/>
        <v>0</v>
      </c>
      <c r="M456" s="63">
        <f t="shared" si="53"/>
        <v>0</v>
      </c>
      <c r="N456" s="63">
        <f t="shared" si="54"/>
        <v>0</v>
      </c>
      <c r="O456" s="63">
        <f t="shared" si="55"/>
        <v>16.7562</v>
      </c>
      <c r="P456" s="63">
        <f t="shared" si="56"/>
        <v>0</v>
      </c>
      <c r="Q456" s="561">
        <f t="shared" si="60"/>
        <v>0</v>
      </c>
      <c r="R456" s="174"/>
      <c r="T456" s="82"/>
      <c r="U456" s="82"/>
      <c r="V456" s="82"/>
      <c r="W456" s="82"/>
      <c r="X456" s="82"/>
      <c r="Y456" s="82"/>
      <c r="Z456" s="82"/>
      <c r="AA456" s="82"/>
      <c r="AB456" s="82"/>
    </row>
    <row r="457" spans="1:28" s="85" customFormat="1" x14ac:dyDescent="0.25">
      <c r="A457" s="82"/>
      <c r="B457" s="82"/>
      <c r="C457" s="82"/>
      <c r="D457" s="729"/>
      <c r="E457" s="371" t="s">
        <v>113</v>
      </c>
      <c r="F457" s="372">
        <v>4</v>
      </c>
      <c r="G457" s="373">
        <f>2*24</f>
        <v>48</v>
      </c>
      <c r="H457" s="374">
        <v>5</v>
      </c>
      <c r="I457" s="375">
        <v>0.24</v>
      </c>
      <c r="J457" s="376">
        <f t="shared" si="50"/>
        <v>11.52</v>
      </c>
      <c r="K457" s="66">
        <f t="shared" si="51"/>
        <v>1.7740799999999999</v>
      </c>
      <c r="L457" s="63">
        <f t="shared" si="52"/>
        <v>0</v>
      </c>
      <c r="M457" s="63">
        <f t="shared" si="53"/>
        <v>0</v>
      </c>
      <c r="N457" s="63">
        <f t="shared" si="54"/>
        <v>0</v>
      </c>
      <c r="O457" s="63">
        <f t="shared" si="55"/>
        <v>0</v>
      </c>
      <c r="P457" s="63">
        <f t="shared" si="56"/>
        <v>0</v>
      </c>
      <c r="Q457" s="561">
        <f t="shared" si="60"/>
        <v>0</v>
      </c>
      <c r="R457" s="174"/>
      <c r="T457" s="82"/>
      <c r="U457" s="82"/>
      <c r="V457" s="82"/>
      <c r="W457" s="82"/>
      <c r="X457" s="82"/>
      <c r="Y457" s="82"/>
      <c r="Z457" s="82"/>
      <c r="AA457" s="82"/>
      <c r="AB457" s="82"/>
    </row>
    <row r="458" spans="1:28" s="85" customFormat="1" x14ac:dyDescent="0.25">
      <c r="A458" s="82"/>
      <c r="B458" s="82"/>
      <c r="C458" s="82"/>
      <c r="D458" s="729"/>
      <c r="E458" s="371" t="s">
        <v>113</v>
      </c>
      <c r="F458" s="372">
        <v>5</v>
      </c>
      <c r="G458" s="373">
        <f>2*20</f>
        <v>40</v>
      </c>
      <c r="H458" s="374">
        <v>5</v>
      </c>
      <c r="I458" s="375">
        <v>0.97</v>
      </c>
      <c r="J458" s="376">
        <f t="shared" si="50"/>
        <v>38.799999999999997</v>
      </c>
      <c r="K458" s="66">
        <f t="shared" si="51"/>
        <v>5.9751999999999992</v>
      </c>
      <c r="L458" s="63">
        <f t="shared" si="52"/>
        <v>0</v>
      </c>
      <c r="M458" s="63">
        <f t="shared" si="53"/>
        <v>0</v>
      </c>
      <c r="N458" s="63">
        <f t="shared" si="54"/>
        <v>0</v>
      </c>
      <c r="O458" s="63">
        <f t="shared" si="55"/>
        <v>0</v>
      </c>
      <c r="P458" s="63">
        <f t="shared" si="56"/>
        <v>0</v>
      </c>
      <c r="Q458" s="561">
        <f t="shared" si="60"/>
        <v>0</v>
      </c>
      <c r="R458" s="174"/>
      <c r="T458" s="82"/>
      <c r="U458" s="82"/>
      <c r="V458" s="82"/>
      <c r="W458" s="82"/>
      <c r="X458" s="82"/>
      <c r="Y458" s="82"/>
      <c r="Z458" s="82"/>
      <c r="AA458" s="82"/>
      <c r="AB458" s="82"/>
    </row>
    <row r="459" spans="1:28" s="85" customFormat="1" x14ac:dyDescent="0.25">
      <c r="A459" s="82"/>
      <c r="B459" s="82"/>
      <c r="C459" s="82"/>
      <c r="D459" s="729"/>
      <c r="E459" s="371" t="s">
        <v>113</v>
      </c>
      <c r="F459" s="372">
        <v>6</v>
      </c>
      <c r="G459" s="373">
        <f>2*8</f>
        <v>16</v>
      </c>
      <c r="H459" s="374">
        <v>5</v>
      </c>
      <c r="I459" s="375">
        <v>0.64</v>
      </c>
      <c r="J459" s="376">
        <f t="shared" si="50"/>
        <v>10.24</v>
      </c>
      <c r="K459" s="66">
        <f t="shared" si="51"/>
        <v>1.5769599999999999</v>
      </c>
      <c r="L459" s="63">
        <f t="shared" si="52"/>
        <v>0</v>
      </c>
      <c r="M459" s="63">
        <f t="shared" si="53"/>
        <v>0</v>
      </c>
      <c r="N459" s="63">
        <f t="shared" si="54"/>
        <v>0</v>
      </c>
      <c r="O459" s="63">
        <f t="shared" si="55"/>
        <v>0</v>
      </c>
      <c r="P459" s="63">
        <f t="shared" si="56"/>
        <v>0</v>
      </c>
      <c r="Q459" s="561">
        <f t="shared" si="60"/>
        <v>0</v>
      </c>
      <c r="R459" s="174"/>
      <c r="T459" s="82"/>
      <c r="U459" s="82"/>
      <c r="V459" s="82"/>
      <c r="W459" s="82"/>
      <c r="X459" s="82"/>
      <c r="Y459" s="82"/>
      <c r="Z459" s="82"/>
      <c r="AA459" s="82"/>
      <c r="AB459" s="82"/>
    </row>
    <row r="460" spans="1:28" s="85" customFormat="1" x14ac:dyDescent="0.25">
      <c r="A460" s="82"/>
      <c r="B460" s="82"/>
      <c r="C460" s="82"/>
      <c r="D460" s="729"/>
      <c r="E460" s="371" t="s">
        <v>113</v>
      </c>
      <c r="F460" s="372">
        <v>28</v>
      </c>
      <c r="G460" s="373">
        <f>2*6</f>
        <v>12</v>
      </c>
      <c r="H460" s="374">
        <v>12.5</v>
      </c>
      <c r="I460" s="375">
        <v>3.87</v>
      </c>
      <c r="J460" s="376">
        <f t="shared" si="50"/>
        <v>46.44</v>
      </c>
      <c r="K460" s="66">
        <f t="shared" si="51"/>
        <v>0</v>
      </c>
      <c r="L460" s="63">
        <f t="shared" si="52"/>
        <v>0</v>
      </c>
      <c r="M460" s="63">
        <f t="shared" si="53"/>
        <v>0</v>
      </c>
      <c r="N460" s="63">
        <f t="shared" si="54"/>
        <v>0</v>
      </c>
      <c r="O460" s="63">
        <f t="shared" si="55"/>
        <v>44.721719999999998</v>
      </c>
      <c r="P460" s="63">
        <f t="shared" si="56"/>
        <v>0</v>
      </c>
      <c r="Q460" s="561">
        <f t="shared" si="60"/>
        <v>0</v>
      </c>
      <c r="R460" s="174"/>
      <c r="T460" s="82"/>
      <c r="U460" s="82"/>
      <c r="V460" s="82"/>
      <c r="W460" s="82"/>
      <c r="X460" s="82"/>
      <c r="Y460" s="82"/>
      <c r="Z460" s="82"/>
      <c r="AA460" s="82"/>
      <c r="AB460" s="82"/>
    </row>
    <row r="461" spans="1:28" s="85" customFormat="1" x14ac:dyDescent="0.25">
      <c r="A461" s="82"/>
      <c r="B461" s="82"/>
      <c r="C461" s="82"/>
      <c r="D461" s="729"/>
      <c r="E461" s="396" t="s">
        <v>184</v>
      </c>
      <c r="F461" s="403">
        <v>4</v>
      </c>
      <c r="G461" s="397">
        <f>2*7</f>
        <v>14</v>
      </c>
      <c r="H461" s="398">
        <v>5</v>
      </c>
      <c r="I461" s="399">
        <v>0.24</v>
      </c>
      <c r="J461" s="400">
        <f t="shared" si="50"/>
        <v>3.36</v>
      </c>
      <c r="K461" s="401">
        <f t="shared" si="51"/>
        <v>0.51744000000000001</v>
      </c>
      <c r="L461" s="196">
        <f t="shared" si="52"/>
        <v>0</v>
      </c>
      <c r="M461" s="196">
        <f t="shared" si="53"/>
        <v>0</v>
      </c>
      <c r="N461" s="196">
        <f t="shared" si="54"/>
        <v>0</v>
      </c>
      <c r="O461" s="196">
        <f t="shared" si="55"/>
        <v>0</v>
      </c>
      <c r="P461" s="196">
        <f t="shared" si="56"/>
        <v>0</v>
      </c>
      <c r="Q461" s="566">
        <f t="shared" ref="Q461:Q504" si="61">IF($H461=20,$J461*$B$28,0)</f>
        <v>0</v>
      </c>
      <c r="R461" s="538"/>
      <c r="T461" s="82"/>
      <c r="U461" s="82"/>
      <c r="V461" s="82"/>
      <c r="W461" s="82"/>
      <c r="X461" s="82"/>
      <c r="Y461" s="82"/>
      <c r="Z461" s="82"/>
      <c r="AA461" s="82"/>
      <c r="AB461" s="82"/>
    </row>
    <row r="462" spans="1:28" s="85" customFormat="1" x14ac:dyDescent="0.25">
      <c r="A462" s="82"/>
      <c r="B462" s="82"/>
      <c r="C462" s="82"/>
      <c r="D462" s="729"/>
      <c r="E462" s="371" t="s">
        <v>184</v>
      </c>
      <c r="F462" s="372">
        <v>5</v>
      </c>
      <c r="G462" s="373">
        <f>2*6</f>
        <v>12</v>
      </c>
      <c r="H462" s="374">
        <v>5</v>
      </c>
      <c r="I462" s="375">
        <v>0.97</v>
      </c>
      <c r="J462" s="376">
        <f t="shared" si="50"/>
        <v>11.64</v>
      </c>
      <c r="K462" s="66">
        <f t="shared" si="51"/>
        <v>1.7925600000000002</v>
      </c>
      <c r="L462" s="63">
        <f t="shared" si="52"/>
        <v>0</v>
      </c>
      <c r="M462" s="63">
        <f t="shared" si="53"/>
        <v>0</v>
      </c>
      <c r="N462" s="63">
        <f t="shared" si="54"/>
        <v>0</v>
      </c>
      <c r="O462" s="63">
        <f t="shared" si="55"/>
        <v>0</v>
      </c>
      <c r="P462" s="63">
        <f t="shared" si="56"/>
        <v>0</v>
      </c>
      <c r="Q462" s="562">
        <f t="shared" si="61"/>
        <v>0</v>
      </c>
      <c r="R462" s="377"/>
      <c r="T462" s="82"/>
      <c r="U462" s="82"/>
      <c r="V462" s="82"/>
      <c r="W462" s="82"/>
      <c r="X462" s="82"/>
      <c r="Y462" s="82"/>
      <c r="Z462" s="82"/>
      <c r="AA462" s="82"/>
      <c r="AB462" s="82"/>
    </row>
    <row r="463" spans="1:28" s="85" customFormat="1" x14ac:dyDescent="0.25">
      <c r="A463" s="82"/>
      <c r="B463" s="82"/>
      <c r="C463" s="82"/>
      <c r="D463" s="729"/>
      <c r="E463" s="371" t="s">
        <v>184</v>
      </c>
      <c r="F463" s="372">
        <v>6</v>
      </c>
      <c r="G463" s="373">
        <f>2*2</f>
        <v>4</v>
      </c>
      <c r="H463" s="374">
        <v>5</v>
      </c>
      <c r="I463" s="375">
        <v>0.64</v>
      </c>
      <c r="J463" s="376">
        <f t="shared" si="50"/>
        <v>2.56</v>
      </c>
      <c r="K463" s="66">
        <f t="shared" si="51"/>
        <v>0.39423999999999998</v>
      </c>
      <c r="L463" s="63">
        <f t="shared" si="52"/>
        <v>0</v>
      </c>
      <c r="M463" s="63">
        <f t="shared" si="53"/>
        <v>0</v>
      </c>
      <c r="N463" s="63">
        <f t="shared" si="54"/>
        <v>0</v>
      </c>
      <c r="O463" s="63">
        <f t="shared" si="55"/>
        <v>0</v>
      </c>
      <c r="P463" s="63">
        <f t="shared" si="56"/>
        <v>0</v>
      </c>
      <c r="Q463" s="562">
        <f t="shared" si="61"/>
        <v>0</v>
      </c>
      <c r="R463" s="377"/>
      <c r="T463" s="82"/>
      <c r="U463" s="82"/>
      <c r="V463" s="82"/>
      <c r="W463" s="82"/>
      <c r="X463" s="82"/>
      <c r="Y463" s="82"/>
      <c r="Z463" s="82"/>
      <c r="AA463" s="82"/>
      <c r="AB463" s="82"/>
    </row>
    <row r="464" spans="1:28" s="85" customFormat="1" ht="13.8" thickBot="1" x14ac:dyDescent="0.3">
      <c r="A464" s="82"/>
      <c r="B464" s="82"/>
      <c r="C464" s="82"/>
      <c r="D464" s="731"/>
      <c r="E464" s="390" t="s">
        <v>184</v>
      </c>
      <c r="F464" s="391">
        <v>44</v>
      </c>
      <c r="G464" s="392">
        <f>2*6</f>
        <v>12</v>
      </c>
      <c r="H464" s="393">
        <v>12.5</v>
      </c>
      <c r="I464" s="394">
        <v>1.02</v>
      </c>
      <c r="J464" s="395">
        <f t="shared" si="50"/>
        <v>12.24</v>
      </c>
      <c r="K464" s="221">
        <f t="shared" si="51"/>
        <v>0</v>
      </c>
      <c r="L464" s="222">
        <f t="shared" si="52"/>
        <v>0</v>
      </c>
      <c r="M464" s="222">
        <f t="shared" si="53"/>
        <v>0</v>
      </c>
      <c r="N464" s="222">
        <f t="shared" si="54"/>
        <v>0</v>
      </c>
      <c r="O464" s="222">
        <f t="shared" si="55"/>
        <v>11.78712</v>
      </c>
      <c r="P464" s="222">
        <f t="shared" si="56"/>
        <v>0</v>
      </c>
      <c r="Q464" s="564">
        <f t="shared" si="61"/>
        <v>0</v>
      </c>
      <c r="R464" s="539"/>
      <c r="T464" s="82"/>
      <c r="U464" s="82"/>
      <c r="V464" s="82"/>
      <c r="W464" s="82"/>
      <c r="X464" s="82"/>
      <c r="Y464" s="82"/>
      <c r="Z464" s="82"/>
      <c r="AA464" s="82"/>
      <c r="AB464" s="82"/>
    </row>
    <row r="465" spans="1:28" s="85" customFormat="1" ht="27" customHeight="1" thickTop="1" x14ac:dyDescent="0.25">
      <c r="A465" s="82"/>
      <c r="B465" s="82"/>
      <c r="C465" s="82"/>
      <c r="D465" s="728" t="s">
        <v>1391</v>
      </c>
      <c r="E465" s="384" t="s">
        <v>113</v>
      </c>
      <c r="F465" s="385">
        <v>4</v>
      </c>
      <c r="G465" s="386">
        <f>2*4</f>
        <v>8</v>
      </c>
      <c r="H465" s="387">
        <v>5</v>
      </c>
      <c r="I465" s="388">
        <v>0.65</v>
      </c>
      <c r="J465" s="389">
        <f t="shared" si="50"/>
        <v>5.2</v>
      </c>
      <c r="K465" s="218">
        <f t="shared" si="51"/>
        <v>0.80080000000000007</v>
      </c>
      <c r="L465" s="219">
        <f t="shared" si="52"/>
        <v>0</v>
      </c>
      <c r="M465" s="219">
        <f t="shared" si="53"/>
        <v>0</v>
      </c>
      <c r="N465" s="219">
        <f t="shared" si="54"/>
        <v>0</v>
      </c>
      <c r="O465" s="219">
        <f t="shared" si="55"/>
        <v>0</v>
      </c>
      <c r="P465" s="219">
        <f t="shared" si="56"/>
        <v>0</v>
      </c>
      <c r="Q465" s="563">
        <f t="shared" si="61"/>
        <v>0</v>
      </c>
      <c r="R465" s="220"/>
      <c r="T465" s="82"/>
      <c r="U465" s="82"/>
      <c r="V465" s="82"/>
      <c r="W465" s="82"/>
      <c r="X465" s="82"/>
      <c r="Y465" s="82"/>
      <c r="Z465" s="82"/>
      <c r="AA465" s="82"/>
      <c r="AB465" s="82"/>
    </row>
    <row r="466" spans="1:28" s="85" customFormat="1" x14ac:dyDescent="0.25">
      <c r="A466" s="82"/>
      <c r="B466" s="82"/>
      <c r="C466" s="82"/>
      <c r="D466" s="729"/>
      <c r="E466" s="371" t="s">
        <v>113</v>
      </c>
      <c r="F466" s="372">
        <v>63</v>
      </c>
      <c r="G466" s="373">
        <f>2*8</f>
        <v>16</v>
      </c>
      <c r="H466" s="374">
        <v>12.5</v>
      </c>
      <c r="I466" s="375">
        <v>1.0900000000000001</v>
      </c>
      <c r="J466" s="376">
        <f t="shared" si="50"/>
        <v>17.440000000000001</v>
      </c>
      <c r="K466" s="66">
        <f t="shared" si="51"/>
        <v>0</v>
      </c>
      <c r="L466" s="63">
        <f t="shared" si="52"/>
        <v>0</v>
      </c>
      <c r="M466" s="63">
        <f t="shared" si="53"/>
        <v>0</v>
      </c>
      <c r="N466" s="63">
        <f t="shared" si="54"/>
        <v>0</v>
      </c>
      <c r="O466" s="63">
        <f t="shared" si="55"/>
        <v>16.794720000000002</v>
      </c>
      <c r="P466" s="63">
        <f t="shared" si="56"/>
        <v>0</v>
      </c>
      <c r="Q466" s="561">
        <f t="shared" si="61"/>
        <v>0</v>
      </c>
      <c r="R466" s="174"/>
      <c r="T466" s="82"/>
      <c r="U466" s="82"/>
      <c r="V466" s="82"/>
      <c r="W466" s="82"/>
      <c r="X466" s="82"/>
      <c r="Y466" s="82"/>
      <c r="Z466" s="82"/>
      <c r="AA466" s="82"/>
      <c r="AB466" s="82"/>
    </row>
    <row r="467" spans="1:28" s="85" customFormat="1" x14ac:dyDescent="0.25">
      <c r="A467" s="82"/>
      <c r="B467" s="82"/>
      <c r="C467" s="82"/>
      <c r="D467" s="729"/>
      <c r="E467" s="396" t="s">
        <v>184</v>
      </c>
      <c r="F467" s="403">
        <v>21</v>
      </c>
      <c r="G467" s="397">
        <f>2*6</f>
        <v>12</v>
      </c>
      <c r="H467" s="398">
        <v>5</v>
      </c>
      <c r="I467" s="399">
        <v>0.67</v>
      </c>
      <c r="J467" s="400">
        <f t="shared" si="50"/>
        <v>8.0400000000000009</v>
      </c>
      <c r="K467" s="401">
        <f t="shared" si="51"/>
        <v>1.2381600000000001</v>
      </c>
      <c r="L467" s="196">
        <f t="shared" si="52"/>
        <v>0</v>
      </c>
      <c r="M467" s="196">
        <f t="shared" si="53"/>
        <v>0</v>
      </c>
      <c r="N467" s="196">
        <f t="shared" si="54"/>
        <v>0</v>
      </c>
      <c r="O467" s="196">
        <f t="shared" si="55"/>
        <v>0</v>
      </c>
      <c r="P467" s="196">
        <f t="shared" si="56"/>
        <v>0</v>
      </c>
      <c r="Q467" s="566">
        <f t="shared" si="61"/>
        <v>0</v>
      </c>
      <c r="R467" s="538"/>
      <c r="T467" s="82"/>
      <c r="U467" s="82"/>
      <c r="V467" s="82"/>
      <c r="W467" s="82"/>
      <c r="X467" s="82"/>
      <c r="Y467" s="82"/>
      <c r="Z467" s="82"/>
      <c r="AA467" s="82"/>
      <c r="AB467" s="82"/>
    </row>
    <row r="468" spans="1:28" s="85" customFormat="1" x14ac:dyDescent="0.25">
      <c r="A468" s="82"/>
      <c r="B468" s="82"/>
      <c r="C468" s="82"/>
      <c r="D468" s="729"/>
      <c r="E468" s="371" t="s">
        <v>184</v>
      </c>
      <c r="F468" s="372">
        <v>22</v>
      </c>
      <c r="G468" s="373">
        <f>2*2</f>
        <v>4</v>
      </c>
      <c r="H468" s="374">
        <v>5</v>
      </c>
      <c r="I468" s="375">
        <v>0.49</v>
      </c>
      <c r="J468" s="376">
        <f t="shared" si="50"/>
        <v>1.96</v>
      </c>
      <c r="K468" s="66">
        <f t="shared" si="51"/>
        <v>0.30184</v>
      </c>
      <c r="L468" s="63">
        <f t="shared" si="52"/>
        <v>0</v>
      </c>
      <c r="M468" s="63">
        <f t="shared" si="53"/>
        <v>0</v>
      </c>
      <c r="N468" s="63">
        <f t="shared" si="54"/>
        <v>0</v>
      </c>
      <c r="O468" s="63">
        <f t="shared" si="55"/>
        <v>0</v>
      </c>
      <c r="P468" s="63">
        <f t="shared" si="56"/>
        <v>0</v>
      </c>
      <c r="Q468" s="562">
        <f t="shared" si="61"/>
        <v>0</v>
      </c>
      <c r="R468" s="377"/>
      <c r="T468" s="82"/>
      <c r="U468" s="82"/>
      <c r="V468" s="82"/>
      <c r="W468" s="82"/>
      <c r="X468" s="82"/>
      <c r="Y468" s="82"/>
      <c r="Z468" s="82"/>
      <c r="AA468" s="82"/>
      <c r="AB468" s="82"/>
    </row>
    <row r="469" spans="1:28" s="85" customFormat="1" ht="13.8" thickBot="1" x14ac:dyDescent="0.3">
      <c r="A469" s="82"/>
      <c r="B469" s="82"/>
      <c r="C469" s="82"/>
      <c r="D469" s="731"/>
      <c r="E469" s="390" t="s">
        <v>184</v>
      </c>
      <c r="F469" s="391">
        <v>44</v>
      </c>
      <c r="G469" s="392">
        <f>2*8</f>
        <v>16</v>
      </c>
      <c r="H469" s="393">
        <v>12.5</v>
      </c>
      <c r="I469" s="394">
        <v>1.02</v>
      </c>
      <c r="J469" s="395">
        <f t="shared" si="50"/>
        <v>16.32</v>
      </c>
      <c r="K469" s="221">
        <f t="shared" si="51"/>
        <v>0</v>
      </c>
      <c r="L469" s="222">
        <f t="shared" si="52"/>
        <v>0</v>
      </c>
      <c r="M469" s="222">
        <f t="shared" si="53"/>
        <v>0</v>
      </c>
      <c r="N469" s="222">
        <f t="shared" si="54"/>
        <v>0</v>
      </c>
      <c r="O469" s="222">
        <f t="shared" si="55"/>
        <v>15.71616</v>
      </c>
      <c r="P469" s="222">
        <f t="shared" si="56"/>
        <v>0</v>
      </c>
      <c r="Q469" s="564">
        <f t="shared" si="61"/>
        <v>0</v>
      </c>
      <c r="R469" s="539"/>
      <c r="T469" s="82"/>
      <c r="U469" s="82"/>
      <c r="V469" s="82"/>
      <c r="W469" s="82"/>
      <c r="X469" s="82"/>
      <c r="Y469" s="82"/>
      <c r="Z469" s="82"/>
      <c r="AA469" s="82"/>
      <c r="AB469" s="82"/>
    </row>
    <row r="470" spans="1:28" s="85" customFormat="1" ht="13.8" thickTop="1" x14ac:dyDescent="0.25">
      <c r="A470" s="82"/>
      <c r="B470" s="82"/>
      <c r="C470" s="82"/>
      <c r="D470" s="729" t="s">
        <v>1396</v>
      </c>
      <c r="E470" s="396" t="s">
        <v>113</v>
      </c>
      <c r="F470" s="403">
        <v>5</v>
      </c>
      <c r="G470" s="397">
        <v>4</v>
      </c>
      <c r="H470" s="398">
        <v>5</v>
      </c>
      <c r="I470" s="399">
        <v>0.75</v>
      </c>
      <c r="J470" s="400">
        <f t="shared" si="50"/>
        <v>3</v>
      </c>
      <c r="K470" s="401">
        <f t="shared" si="51"/>
        <v>0.46199999999999997</v>
      </c>
      <c r="L470" s="196">
        <f t="shared" si="52"/>
        <v>0</v>
      </c>
      <c r="M470" s="196">
        <f t="shared" si="53"/>
        <v>0</v>
      </c>
      <c r="N470" s="196">
        <f t="shared" si="54"/>
        <v>0</v>
      </c>
      <c r="O470" s="196">
        <f t="shared" si="55"/>
        <v>0</v>
      </c>
      <c r="P470" s="196">
        <f t="shared" si="56"/>
        <v>0</v>
      </c>
      <c r="Q470" s="565">
        <f t="shared" si="61"/>
        <v>0</v>
      </c>
      <c r="R470" s="197"/>
      <c r="T470" s="82"/>
      <c r="U470" s="82"/>
      <c r="V470" s="82"/>
      <c r="W470" s="82"/>
      <c r="X470" s="82"/>
      <c r="Y470" s="82"/>
      <c r="Z470" s="82"/>
      <c r="AA470" s="82"/>
      <c r="AB470" s="82"/>
    </row>
    <row r="471" spans="1:28" s="85" customFormat="1" x14ac:dyDescent="0.25">
      <c r="A471" s="82"/>
      <c r="B471" s="82"/>
      <c r="C471" s="82"/>
      <c r="D471" s="729"/>
      <c r="E471" s="371" t="s">
        <v>113</v>
      </c>
      <c r="F471" s="372">
        <v>63</v>
      </c>
      <c r="G471" s="373">
        <v>8</v>
      </c>
      <c r="H471" s="374">
        <v>12.5</v>
      </c>
      <c r="I471" s="375">
        <v>1.0900000000000001</v>
      </c>
      <c r="J471" s="376">
        <f t="shared" si="50"/>
        <v>8.7200000000000006</v>
      </c>
      <c r="K471" s="66">
        <f t="shared" si="51"/>
        <v>0</v>
      </c>
      <c r="L471" s="63">
        <f t="shared" si="52"/>
        <v>0</v>
      </c>
      <c r="M471" s="63">
        <f t="shared" si="53"/>
        <v>0</v>
      </c>
      <c r="N471" s="63">
        <f t="shared" si="54"/>
        <v>0</v>
      </c>
      <c r="O471" s="63">
        <f t="shared" si="55"/>
        <v>8.3973600000000008</v>
      </c>
      <c r="P471" s="63">
        <f t="shared" si="56"/>
        <v>0</v>
      </c>
      <c r="Q471" s="561">
        <f t="shared" si="61"/>
        <v>0</v>
      </c>
      <c r="R471" s="174"/>
      <c r="T471" s="82"/>
      <c r="U471" s="82"/>
      <c r="V471" s="82"/>
      <c r="W471" s="82"/>
      <c r="X471" s="82"/>
      <c r="Y471" s="82"/>
      <c r="Z471" s="82"/>
      <c r="AA471" s="82"/>
      <c r="AB471" s="82"/>
    </row>
    <row r="472" spans="1:28" s="85" customFormat="1" x14ac:dyDescent="0.25">
      <c r="A472" s="82"/>
      <c r="B472" s="82"/>
      <c r="C472" s="82"/>
      <c r="D472" s="729"/>
      <c r="E472" s="396" t="s">
        <v>184</v>
      </c>
      <c r="F472" s="403">
        <v>19</v>
      </c>
      <c r="G472" s="397">
        <v>6</v>
      </c>
      <c r="H472" s="398">
        <v>5</v>
      </c>
      <c r="I472" s="399">
        <v>0.77</v>
      </c>
      <c r="J472" s="400">
        <f t="shared" si="50"/>
        <v>4.62</v>
      </c>
      <c r="K472" s="401">
        <f t="shared" si="51"/>
        <v>0.71148</v>
      </c>
      <c r="L472" s="196">
        <f t="shared" si="52"/>
        <v>0</v>
      </c>
      <c r="M472" s="196">
        <f t="shared" si="53"/>
        <v>0</v>
      </c>
      <c r="N472" s="196">
        <f t="shared" si="54"/>
        <v>0</v>
      </c>
      <c r="O472" s="196">
        <f t="shared" si="55"/>
        <v>0</v>
      </c>
      <c r="P472" s="196">
        <f t="shared" si="56"/>
        <v>0</v>
      </c>
      <c r="Q472" s="566">
        <f t="shared" si="61"/>
        <v>0</v>
      </c>
      <c r="R472" s="538"/>
      <c r="T472" s="82"/>
      <c r="U472" s="82"/>
      <c r="V472" s="82"/>
      <c r="W472" s="82"/>
      <c r="X472" s="82"/>
      <c r="Y472" s="82"/>
      <c r="Z472" s="82"/>
      <c r="AA472" s="82"/>
      <c r="AB472" s="82"/>
    </row>
    <row r="473" spans="1:28" s="85" customFormat="1" x14ac:dyDescent="0.25">
      <c r="A473" s="82"/>
      <c r="B473" s="82"/>
      <c r="C473" s="82"/>
      <c r="D473" s="729"/>
      <c r="E473" s="371" t="s">
        <v>184</v>
      </c>
      <c r="F473" s="372">
        <v>20</v>
      </c>
      <c r="G473" s="373">
        <v>2</v>
      </c>
      <c r="H473" s="374">
        <v>5</v>
      </c>
      <c r="I473" s="375">
        <v>0.59</v>
      </c>
      <c r="J473" s="376">
        <f t="shared" si="50"/>
        <v>1.18</v>
      </c>
      <c r="K473" s="66">
        <f t="shared" si="51"/>
        <v>0.18171999999999999</v>
      </c>
      <c r="L473" s="63">
        <f t="shared" si="52"/>
        <v>0</v>
      </c>
      <c r="M473" s="63">
        <f t="shared" si="53"/>
        <v>0</v>
      </c>
      <c r="N473" s="63">
        <f t="shared" si="54"/>
        <v>0</v>
      </c>
      <c r="O473" s="63">
        <f t="shared" si="55"/>
        <v>0</v>
      </c>
      <c r="P473" s="63">
        <f t="shared" si="56"/>
        <v>0</v>
      </c>
      <c r="Q473" s="562">
        <f t="shared" si="61"/>
        <v>0</v>
      </c>
      <c r="R473" s="377"/>
      <c r="T473" s="82"/>
      <c r="U473" s="82"/>
      <c r="V473" s="82"/>
      <c r="W473" s="82"/>
      <c r="X473" s="82"/>
      <c r="Y473" s="82"/>
      <c r="Z473" s="82"/>
      <c r="AA473" s="82"/>
      <c r="AB473" s="82"/>
    </row>
    <row r="474" spans="1:28" s="85" customFormat="1" x14ac:dyDescent="0.25">
      <c r="A474" s="82"/>
      <c r="B474" s="82"/>
      <c r="C474" s="82"/>
      <c r="D474" s="729"/>
      <c r="E474" s="371" t="s">
        <v>184</v>
      </c>
      <c r="F474" s="372">
        <v>44</v>
      </c>
      <c r="G474" s="373">
        <v>8</v>
      </c>
      <c r="H474" s="374">
        <v>12.5</v>
      </c>
      <c r="I474" s="375">
        <v>1.02</v>
      </c>
      <c r="J474" s="376">
        <f t="shared" si="50"/>
        <v>8.16</v>
      </c>
      <c r="K474" s="66">
        <f t="shared" si="51"/>
        <v>0</v>
      </c>
      <c r="L474" s="63">
        <f t="shared" si="52"/>
        <v>0</v>
      </c>
      <c r="M474" s="63">
        <f t="shared" si="53"/>
        <v>0</v>
      </c>
      <c r="N474" s="63">
        <f t="shared" si="54"/>
        <v>0</v>
      </c>
      <c r="O474" s="63">
        <f t="shared" si="55"/>
        <v>7.8580800000000002</v>
      </c>
      <c r="P474" s="63">
        <f t="shared" si="56"/>
        <v>0</v>
      </c>
      <c r="Q474" s="562">
        <f t="shared" si="61"/>
        <v>0</v>
      </c>
      <c r="R474" s="377"/>
      <c r="T474" s="82"/>
      <c r="U474" s="82"/>
      <c r="V474" s="82"/>
      <c r="W474" s="82"/>
      <c r="X474" s="82"/>
      <c r="Y474" s="82"/>
      <c r="Z474" s="82"/>
      <c r="AA474" s="82"/>
      <c r="AB474" s="82"/>
    </row>
    <row r="475" spans="1:28" s="16" customFormat="1" ht="15" customHeight="1" thickBot="1" x14ac:dyDescent="0.3">
      <c r="D475" s="785" t="s">
        <v>422</v>
      </c>
      <c r="E475" s="786"/>
      <c r="F475" s="786"/>
      <c r="G475" s="786"/>
      <c r="H475" s="786"/>
      <c r="I475" s="786"/>
      <c r="J475" s="786"/>
      <c r="K475" s="786"/>
      <c r="L475" s="786"/>
      <c r="M475" s="786"/>
      <c r="N475" s="786"/>
      <c r="O475" s="786"/>
      <c r="P475" s="786"/>
      <c r="Q475" s="786"/>
      <c r="R475" s="786"/>
      <c r="S475" s="573"/>
    </row>
    <row r="476" spans="1:28" s="85" customFormat="1" ht="13.8" thickTop="1" x14ac:dyDescent="0.25">
      <c r="A476" s="82"/>
      <c r="B476" s="82"/>
      <c r="C476" s="82"/>
      <c r="D476" s="728" t="s">
        <v>1410</v>
      </c>
      <c r="E476" s="384" t="s">
        <v>49</v>
      </c>
      <c r="F476" s="385">
        <v>1</v>
      </c>
      <c r="G476" s="386">
        <f>2*18</f>
        <v>36</v>
      </c>
      <c r="H476" s="387">
        <v>5</v>
      </c>
      <c r="I476" s="388">
        <v>0.24</v>
      </c>
      <c r="J476" s="389">
        <f t="shared" si="50"/>
        <v>8.64</v>
      </c>
      <c r="K476" s="218">
        <f t="shared" si="51"/>
        <v>1.33056</v>
      </c>
      <c r="L476" s="219">
        <f t="shared" si="52"/>
        <v>0</v>
      </c>
      <c r="M476" s="219">
        <f t="shared" si="53"/>
        <v>0</v>
      </c>
      <c r="N476" s="219">
        <f t="shared" si="54"/>
        <v>0</v>
      </c>
      <c r="O476" s="219">
        <f t="shared" si="55"/>
        <v>0</v>
      </c>
      <c r="P476" s="219">
        <f t="shared" si="56"/>
        <v>0</v>
      </c>
      <c r="Q476" s="563">
        <f t="shared" si="61"/>
        <v>0</v>
      </c>
      <c r="R476" s="220"/>
      <c r="T476" s="82"/>
      <c r="U476" s="82"/>
      <c r="V476" s="82"/>
      <c r="W476" s="82"/>
      <c r="X476" s="82"/>
      <c r="Y476" s="82"/>
      <c r="Z476" s="82"/>
      <c r="AA476" s="82"/>
      <c r="AB476" s="82"/>
    </row>
    <row r="477" spans="1:28" s="85" customFormat="1" x14ac:dyDescent="0.25">
      <c r="A477" s="82"/>
      <c r="B477" s="82"/>
      <c r="C477" s="82"/>
      <c r="D477" s="729"/>
      <c r="E477" s="371" t="s">
        <v>49</v>
      </c>
      <c r="F477" s="372">
        <v>2</v>
      </c>
      <c r="G477" s="373">
        <f>2*18</f>
        <v>36</v>
      </c>
      <c r="H477" s="374">
        <v>5</v>
      </c>
      <c r="I477" s="375">
        <v>1.04</v>
      </c>
      <c r="J477" s="376">
        <f t="shared" si="50"/>
        <v>37.44</v>
      </c>
      <c r="K477" s="66">
        <f t="shared" si="51"/>
        <v>5.7657599999999993</v>
      </c>
      <c r="L477" s="63">
        <f t="shared" si="52"/>
        <v>0</v>
      </c>
      <c r="M477" s="63">
        <f t="shared" si="53"/>
        <v>0</v>
      </c>
      <c r="N477" s="63">
        <f t="shared" si="54"/>
        <v>0</v>
      </c>
      <c r="O477" s="63">
        <f t="shared" si="55"/>
        <v>0</v>
      </c>
      <c r="P477" s="63">
        <f t="shared" si="56"/>
        <v>0</v>
      </c>
      <c r="Q477" s="561">
        <f t="shared" si="61"/>
        <v>0</v>
      </c>
      <c r="R477" s="174"/>
      <c r="T477" s="82"/>
      <c r="U477" s="82"/>
      <c r="V477" s="82"/>
      <c r="W477" s="82"/>
      <c r="X477" s="82"/>
      <c r="Y477" s="82"/>
      <c r="Z477" s="82"/>
      <c r="AA477" s="82"/>
      <c r="AB477" s="82"/>
    </row>
    <row r="478" spans="1:28" s="85" customFormat="1" x14ac:dyDescent="0.25">
      <c r="A478" s="82"/>
      <c r="B478" s="82"/>
      <c r="C478" s="82"/>
      <c r="D478" s="729"/>
      <c r="E478" s="371" t="s">
        <v>49</v>
      </c>
      <c r="F478" s="372">
        <v>17</v>
      </c>
      <c r="G478" s="373">
        <f>2*8</f>
        <v>16</v>
      </c>
      <c r="H478" s="374">
        <v>10</v>
      </c>
      <c r="I478" s="375">
        <v>1.47</v>
      </c>
      <c r="J478" s="376">
        <f t="shared" si="50"/>
        <v>23.52</v>
      </c>
      <c r="K478" s="66">
        <f t="shared" si="51"/>
        <v>0</v>
      </c>
      <c r="L478" s="63">
        <f t="shared" si="52"/>
        <v>0</v>
      </c>
      <c r="M478" s="63">
        <f t="shared" si="53"/>
        <v>0</v>
      </c>
      <c r="N478" s="63">
        <f t="shared" si="54"/>
        <v>14.511839999999999</v>
      </c>
      <c r="O478" s="63">
        <f t="shared" si="55"/>
        <v>0</v>
      </c>
      <c r="P478" s="63">
        <f t="shared" si="56"/>
        <v>0</v>
      </c>
      <c r="Q478" s="561">
        <f t="shared" si="61"/>
        <v>0</v>
      </c>
      <c r="R478" s="174"/>
      <c r="T478" s="82"/>
      <c r="U478" s="82"/>
      <c r="V478" s="82"/>
      <c r="W478" s="82"/>
      <c r="X478" s="82"/>
      <c r="Y478" s="82"/>
      <c r="Z478" s="82"/>
      <c r="AA478" s="82"/>
      <c r="AB478" s="82"/>
    </row>
    <row r="479" spans="1:28" s="85" customFormat="1" x14ac:dyDescent="0.25">
      <c r="A479" s="82"/>
      <c r="B479" s="82"/>
      <c r="C479" s="82"/>
      <c r="D479" s="729"/>
      <c r="E479" s="371" t="s">
        <v>113</v>
      </c>
      <c r="F479" s="372">
        <v>1</v>
      </c>
      <c r="G479" s="373">
        <f>2*60</f>
        <v>120</v>
      </c>
      <c r="H479" s="374">
        <v>5</v>
      </c>
      <c r="I479" s="375">
        <v>0.24</v>
      </c>
      <c r="J479" s="376">
        <f t="shared" si="50"/>
        <v>28.799999999999997</v>
      </c>
      <c r="K479" s="66">
        <f t="shared" si="51"/>
        <v>4.4351999999999991</v>
      </c>
      <c r="L479" s="63">
        <f t="shared" si="52"/>
        <v>0</v>
      </c>
      <c r="M479" s="63">
        <f t="shared" si="53"/>
        <v>0</v>
      </c>
      <c r="N479" s="63">
        <f t="shared" si="54"/>
        <v>0</v>
      </c>
      <c r="O479" s="63">
        <f t="shared" si="55"/>
        <v>0</v>
      </c>
      <c r="P479" s="63">
        <f t="shared" si="56"/>
        <v>0</v>
      </c>
      <c r="Q479" s="561">
        <f t="shared" si="61"/>
        <v>0</v>
      </c>
      <c r="R479" s="174"/>
      <c r="T479" s="82"/>
      <c r="U479" s="82"/>
      <c r="V479" s="82"/>
      <c r="W479" s="82"/>
      <c r="X479" s="82"/>
      <c r="Y479" s="82"/>
      <c r="Z479" s="82"/>
      <c r="AA479" s="82"/>
      <c r="AB479" s="82"/>
    </row>
    <row r="480" spans="1:28" s="85" customFormat="1" x14ac:dyDescent="0.25">
      <c r="A480" s="82"/>
      <c r="B480" s="82"/>
      <c r="C480" s="82"/>
      <c r="D480" s="729"/>
      <c r="E480" s="371" t="s">
        <v>113</v>
      </c>
      <c r="F480" s="372">
        <v>2</v>
      </c>
      <c r="G480" s="373">
        <f>2*25</f>
        <v>50</v>
      </c>
      <c r="H480" s="374">
        <v>5</v>
      </c>
      <c r="I480" s="375">
        <v>1.77</v>
      </c>
      <c r="J480" s="376">
        <f t="shared" si="50"/>
        <v>88.5</v>
      </c>
      <c r="K480" s="66">
        <f t="shared" si="51"/>
        <v>13.629</v>
      </c>
      <c r="L480" s="63">
        <f t="shared" si="52"/>
        <v>0</v>
      </c>
      <c r="M480" s="63">
        <f t="shared" si="53"/>
        <v>0</v>
      </c>
      <c r="N480" s="63">
        <f t="shared" si="54"/>
        <v>0</v>
      </c>
      <c r="O480" s="63">
        <f t="shared" si="55"/>
        <v>0</v>
      </c>
      <c r="P480" s="63">
        <f t="shared" si="56"/>
        <v>0</v>
      </c>
      <c r="Q480" s="561">
        <f t="shared" si="61"/>
        <v>0</v>
      </c>
      <c r="R480" s="174"/>
      <c r="T480" s="82"/>
      <c r="U480" s="82"/>
      <c r="V480" s="82"/>
      <c r="W480" s="82"/>
      <c r="X480" s="82"/>
      <c r="Y480" s="82"/>
      <c r="Z480" s="82"/>
      <c r="AA480" s="82"/>
      <c r="AB480" s="82"/>
    </row>
    <row r="481" spans="1:28" s="85" customFormat="1" x14ac:dyDescent="0.25">
      <c r="A481" s="82"/>
      <c r="B481" s="82"/>
      <c r="C481" s="82"/>
      <c r="D481" s="729"/>
      <c r="E481" s="371" t="s">
        <v>113</v>
      </c>
      <c r="F481" s="372">
        <v>3</v>
      </c>
      <c r="G481" s="373">
        <f>2*10</f>
        <v>20</v>
      </c>
      <c r="H481" s="374">
        <v>5</v>
      </c>
      <c r="I481" s="375">
        <v>1.04</v>
      </c>
      <c r="J481" s="376">
        <f t="shared" si="50"/>
        <v>20.8</v>
      </c>
      <c r="K481" s="66">
        <f t="shared" si="51"/>
        <v>3.2032000000000003</v>
      </c>
      <c r="L481" s="63">
        <f t="shared" si="52"/>
        <v>0</v>
      </c>
      <c r="M481" s="63">
        <f t="shared" si="53"/>
        <v>0</v>
      </c>
      <c r="N481" s="63">
        <f t="shared" si="54"/>
        <v>0</v>
      </c>
      <c r="O481" s="63">
        <f t="shared" si="55"/>
        <v>0</v>
      </c>
      <c r="P481" s="63">
        <f t="shared" si="56"/>
        <v>0</v>
      </c>
      <c r="Q481" s="561">
        <f t="shared" si="61"/>
        <v>0</v>
      </c>
      <c r="R481" s="174"/>
      <c r="T481" s="82"/>
      <c r="U481" s="82"/>
      <c r="V481" s="82"/>
      <c r="W481" s="82"/>
      <c r="X481" s="82"/>
      <c r="Y481" s="82"/>
      <c r="Z481" s="82"/>
      <c r="AA481" s="82"/>
      <c r="AB481" s="82"/>
    </row>
    <row r="482" spans="1:28" s="85" customFormat="1" ht="13.8" thickBot="1" x14ac:dyDescent="0.3">
      <c r="A482" s="82"/>
      <c r="B482" s="82"/>
      <c r="C482" s="82"/>
      <c r="D482" s="729"/>
      <c r="E482" s="371" t="s">
        <v>113</v>
      </c>
      <c r="F482" s="372">
        <v>23</v>
      </c>
      <c r="G482" s="373">
        <f>2*8</f>
        <v>16</v>
      </c>
      <c r="H482" s="374">
        <v>10</v>
      </c>
      <c r="I482" s="375">
        <v>3.42</v>
      </c>
      <c r="J482" s="376">
        <f t="shared" si="50"/>
        <v>54.72</v>
      </c>
      <c r="K482" s="66">
        <f t="shared" si="51"/>
        <v>0</v>
      </c>
      <c r="L482" s="63">
        <f t="shared" si="52"/>
        <v>0</v>
      </c>
      <c r="M482" s="63">
        <f t="shared" si="53"/>
        <v>0</v>
      </c>
      <c r="N482" s="63">
        <f t="shared" si="54"/>
        <v>33.762239999999998</v>
      </c>
      <c r="O482" s="63">
        <f t="shared" si="55"/>
        <v>0</v>
      </c>
      <c r="P482" s="63">
        <f t="shared" si="56"/>
        <v>0</v>
      </c>
      <c r="Q482" s="561">
        <f t="shared" si="61"/>
        <v>0</v>
      </c>
      <c r="R482" s="174"/>
      <c r="T482" s="82"/>
      <c r="U482" s="82"/>
      <c r="V482" s="82"/>
      <c r="W482" s="82"/>
      <c r="X482" s="82"/>
      <c r="Y482" s="82"/>
      <c r="Z482" s="82"/>
      <c r="AA482" s="82"/>
      <c r="AB482" s="82"/>
    </row>
    <row r="483" spans="1:28" s="85" customFormat="1" ht="13.8" thickTop="1" x14ac:dyDescent="0.25">
      <c r="A483" s="82"/>
      <c r="B483" s="82"/>
      <c r="C483" s="82"/>
      <c r="D483" s="728" t="s">
        <v>1412</v>
      </c>
      <c r="E483" s="384" t="s">
        <v>49</v>
      </c>
      <c r="F483" s="385">
        <v>3</v>
      </c>
      <c r="G483" s="386">
        <v>12</v>
      </c>
      <c r="H483" s="387">
        <v>5</v>
      </c>
      <c r="I483" s="388">
        <v>0.34</v>
      </c>
      <c r="J483" s="389">
        <f t="shared" si="50"/>
        <v>4.08</v>
      </c>
      <c r="K483" s="218">
        <f t="shared" si="51"/>
        <v>0.62831999999999999</v>
      </c>
      <c r="L483" s="219">
        <f t="shared" si="52"/>
        <v>0</v>
      </c>
      <c r="M483" s="219">
        <f t="shared" si="53"/>
        <v>0</v>
      </c>
      <c r="N483" s="219">
        <f t="shared" si="54"/>
        <v>0</v>
      </c>
      <c r="O483" s="219">
        <f t="shared" si="55"/>
        <v>0</v>
      </c>
      <c r="P483" s="219">
        <f t="shared" si="56"/>
        <v>0</v>
      </c>
      <c r="Q483" s="563">
        <f t="shared" si="61"/>
        <v>0</v>
      </c>
      <c r="R483" s="220"/>
      <c r="T483" s="82"/>
      <c r="U483" s="82"/>
      <c r="V483" s="82"/>
      <c r="W483" s="82"/>
      <c r="X483" s="82"/>
      <c r="Y483" s="82"/>
      <c r="Z483" s="82"/>
      <c r="AA483" s="82"/>
      <c r="AB483" s="82"/>
    </row>
    <row r="484" spans="1:28" s="85" customFormat="1" x14ac:dyDescent="0.25">
      <c r="A484" s="82"/>
      <c r="B484" s="82"/>
      <c r="C484" s="82"/>
      <c r="D484" s="729"/>
      <c r="E484" s="371" t="s">
        <v>49</v>
      </c>
      <c r="F484" s="372">
        <v>4</v>
      </c>
      <c r="G484" s="373">
        <v>3</v>
      </c>
      <c r="H484" s="374">
        <v>5</v>
      </c>
      <c r="I484" s="375">
        <v>1.77</v>
      </c>
      <c r="J484" s="376">
        <f t="shared" si="50"/>
        <v>5.3100000000000005</v>
      </c>
      <c r="K484" s="66">
        <f t="shared" si="51"/>
        <v>0.81774000000000002</v>
      </c>
      <c r="L484" s="63">
        <f t="shared" si="52"/>
        <v>0</v>
      </c>
      <c r="M484" s="63">
        <f t="shared" si="53"/>
        <v>0</v>
      </c>
      <c r="N484" s="63">
        <f t="shared" si="54"/>
        <v>0</v>
      </c>
      <c r="O484" s="63">
        <f t="shared" si="55"/>
        <v>0</v>
      </c>
      <c r="P484" s="63">
        <f t="shared" si="56"/>
        <v>0</v>
      </c>
      <c r="Q484" s="561">
        <f t="shared" si="61"/>
        <v>0</v>
      </c>
      <c r="R484" s="174"/>
      <c r="T484" s="82"/>
      <c r="U484" s="82"/>
      <c r="V484" s="82"/>
      <c r="W484" s="82"/>
      <c r="X484" s="82"/>
      <c r="Y484" s="82"/>
      <c r="Z484" s="82"/>
      <c r="AA484" s="82"/>
      <c r="AB484" s="82"/>
    </row>
    <row r="485" spans="1:28" s="85" customFormat="1" x14ac:dyDescent="0.25">
      <c r="A485" s="82"/>
      <c r="B485" s="82"/>
      <c r="C485" s="82"/>
      <c r="D485" s="729"/>
      <c r="E485" s="371" t="s">
        <v>49</v>
      </c>
      <c r="F485" s="372">
        <v>5</v>
      </c>
      <c r="G485" s="373">
        <v>6</v>
      </c>
      <c r="H485" s="374">
        <v>5</v>
      </c>
      <c r="I485" s="375">
        <v>1.1399999999999999</v>
      </c>
      <c r="J485" s="376">
        <f t="shared" si="50"/>
        <v>6.84</v>
      </c>
      <c r="K485" s="66">
        <f t="shared" si="51"/>
        <v>1.0533600000000001</v>
      </c>
      <c r="L485" s="63">
        <f t="shared" si="52"/>
        <v>0</v>
      </c>
      <c r="M485" s="63">
        <f t="shared" si="53"/>
        <v>0</v>
      </c>
      <c r="N485" s="63">
        <f t="shared" si="54"/>
        <v>0</v>
      </c>
      <c r="O485" s="63">
        <f t="shared" si="55"/>
        <v>0</v>
      </c>
      <c r="P485" s="63">
        <f t="shared" si="56"/>
        <v>0</v>
      </c>
      <c r="Q485" s="561">
        <f t="shared" si="61"/>
        <v>0</v>
      </c>
      <c r="R485" s="174"/>
      <c r="T485" s="82"/>
      <c r="U485" s="82"/>
      <c r="V485" s="82"/>
      <c r="W485" s="82"/>
      <c r="X485" s="82"/>
      <c r="Y485" s="82"/>
      <c r="Z485" s="82"/>
      <c r="AA485" s="82"/>
      <c r="AB485" s="82"/>
    </row>
    <row r="486" spans="1:28" s="85" customFormat="1" x14ac:dyDescent="0.25">
      <c r="A486" s="82"/>
      <c r="B486" s="82"/>
      <c r="C486" s="82"/>
      <c r="D486" s="729"/>
      <c r="E486" s="371" t="s">
        <v>49</v>
      </c>
      <c r="F486" s="372">
        <v>19</v>
      </c>
      <c r="G486" s="373">
        <v>8</v>
      </c>
      <c r="H486" s="374">
        <v>16</v>
      </c>
      <c r="I486" s="375">
        <v>1.5</v>
      </c>
      <c r="J486" s="376">
        <f t="shared" si="50"/>
        <v>12</v>
      </c>
      <c r="K486" s="66">
        <f t="shared" si="51"/>
        <v>0</v>
      </c>
      <c r="L486" s="63">
        <f t="shared" si="52"/>
        <v>0</v>
      </c>
      <c r="M486" s="63">
        <f t="shared" si="53"/>
        <v>0</v>
      </c>
      <c r="N486" s="63">
        <f t="shared" si="54"/>
        <v>0</v>
      </c>
      <c r="O486" s="63">
        <f t="shared" si="55"/>
        <v>0</v>
      </c>
      <c r="P486" s="63">
        <f t="shared" si="56"/>
        <v>18.936</v>
      </c>
      <c r="Q486" s="561">
        <f t="shared" si="61"/>
        <v>0</v>
      </c>
      <c r="R486" s="174"/>
      <c r="T486" s="82"/>
      <c r="U486" s="82"/>
      <c r="V486" s="82"/>
      <c r="W486" s="82"/>
      <c r="X486" s="82"/>
      <c r="Y486" s="82"/>
      <c r="Z486" s="82"/>
      <c r="AA486" s="82"/>
      <c r="AB486" s="82"/>
    </row>
    <row r="487" spans="1:28" s="85" customFormat="1" x14ac:dyDescent="0.25">
      <c r="A487" s="82"/>
      <c r="B487" s="82"/>
      <c r="C487" s="82"/>
      <c r="D487" s="729"/>
      <c r="E487" s="371" t="s">
        <v>113</v>
      </c>
      <c r="F487" s="372">
        <v>15</v>
      </c>
      <c r="G487" s="373">
        <v>54</v>
      </c>
      <c r="H487" s="374">
        <v>5</v>
      </c>
      <c r="I487" s="375">
        <v>0.34</v>
      </c>
      <c r="J487" s="376">
        <f t="shared" si="50"/>
        <v>18.360000000000003</v>
      </c>
      <c r="K487" s="66">
        <f t="shared" si="51"/>
        <v>2.8274400000000006</v>
      </c>
      <c r="L487" s="63">
        <f t="shared" si="52"/>
        <v>0</v>
      </c>
      <c r="M487" s="63">
        <f t="shared" si="53"/>
        <v>0</v>
      </c>
      <c r="N487" s="63">
        <f t="shared" si="54"/>
        <v>0</v>
      </c>
      <c r="O487" s="63">
        <f t="shared" si="55"/>
        <v>0</v>
      </c>
      <c r="P487" s="63">
        <f t="shared" si="56"/>
        <v>0</v>
      </c>
      <c r="Q487" s="561">
        <f t="shared" si="61"/>
        <v>0</v>
      </c>
      <c r="R487" s="174"/>
      <c r="T487" s="82"/>
      <c r="U487" s="82"/>
      <c r="V487" s="82"/>
      <c r="W487" s="82"/>
      <c r="X487" s="82"/>
      <c r="Y487" s="82"/>
      <c r="Z487" s="82"/>
      <c r="AA487" s="82"/>
      <c r="AB487" s="82"/>
    </row>
    <row r="488" spans="1:28" s="85" customFormat="1" x14ac:dyDescent="0.25">
      <c r="A488" s="82"/>
      <c r="B488" s="82"/>
      <c r="C488" s="82"/>
      <c r="D488" s="729"/>
      <c r="E488" s="371" t="s">
        <v>113</v>
      </c>
      <c r="F488" s="372">
        <v>16</v>
      </c>
      <c r="G488" s="373">
        <v>23</v>
      </c>
      <c r="H488" s="374">
        <v>5</v>
      </c>
      <c r="I488" s="375">
        <v>1.77</v>
      </c>
      <c r="J488" s="376">
        <f t="shared" si="50"/>
        <v>40.71</v>
      </c>
      <c r="K488" s="66">
        <f t="shared" si="51"/>
        <v>6.2693399999999997</v>
      </c>
      <c r="L488" s="63">
        <f t="shared" si="52"/>
        <v>0</v>
      </c>
      <c r="M488" s="63">
        <f t="shared" si="53"/>
        <v>0</v>
      </c>
      <c r="N488" s="63">
        <f t="shared" si="54"/>
        <v>0</v>
      </c>
      <c r="O488" s="63">
        <f t="shared" si="55"/>
        <v>0</v>
      </c>
      <c r="P488" s="63">
        <f t="shared" si="56"/>
        <v>0</v>
      </c>
      <c r="Q488" s="561">
        <f t="shared" si="61"/>
        <v>0</v>
      </c>
      <c r="R488" s="174"/>
      <c r="T488" s="82"/>
      <c r="U488" s="82"/>
      <c r="V488" s="82"/>
      <c r="W488" s="82"/>
      <c r="X488" s="82"/>
      <c r="Y488" s="82"/>
      <c r="Z488" s="82"/>
      <c r="AA488" s="82"/>
      <c r="AB488" s="82"/>
    </row>
    <row r="489" spans="1:28" s="85" customFormat="1" x14ac:dyDescent="0.25">
      <c r="A489" s="82"/>
      <c r="B489" s="82"/>
      <c r="C489" s="82"/>
      <c r="D489" s="729"/>
      <c r="E489" s="371" t="s">
        <v>113</v>
      </c>
      <c r="F489" s="372">
        <v>17</v>
      </c>
      <c r="G489" s="373">
        <v>8</v>
      </c>
      <c r="H489" s="374">
        <v>5</v>
      </c>
      <c r="I489" s="375">
        <v>1.1399999999999999</v>
      </c>
      <c r="J489" s="376">
        <f t="shared" si="50"/>
        <v>9.1199999999999992</v>
      </c>
      <c r="K489" s="66">
        <f t="shared" si="51"/>
        <v>1.40448</v>
      </c>
      <c r="L489" s="63">
        <f t="shared" si="52"/>
        <v>0</v>
      </c>
      <c r="M489" s="63">
        <f t="shared" si="53"/>
        <v>0</v>
      </c>
      <c r="N489" s="63">
        <f t="shared" si="54"/>
        <v>0</v>
      </c>
      <c r="O489" s="63">
        <f t="shared" si="55"/>
        <v>0</v>
      </c>
      <c r="P489" s="63">
        <f t="shared" si="56"/>
        <v>0</v>
      </c>
      <c r="Q489" s="561">
        <f t="shared" si="61"/>
        <v>0</v>
      </c>
      <c r="R489" s="174"/>
      <c r="T489" s="82"/>
      <c r="U489" s="82"/>
      <c r="V489" s="82"/>
      <c r="W489" s="82"/>
      <c r="X489" s="82"/>
      <c r="Y489" s="82"/>
      <c r="Z489" s="82"/>
      <c r="AA489" s="82"/>
      <c r="AB489" s="82"/>
    </row>
    <row r="490" spans="1:28" s="85" customFormat="1" x14ac:dyDescent="0.25">
      <c r="A490" s="82"/>
      <c r="B490" s="82"/>
      <c r="C490" s="82"/>
      <c r="D490" s="729"/>
      <c r="E490" s="371" t="s">
        <v>113</v>
      </c>
      <c r="F490" s="372">
        <v>25</v>
      </c>
      <c r="G490" s="373">
        <v>4</v>
      </c>
      <c r="H490" s="374">
        <v>16</v>
      </c>
      <c r="I490" s="375">
        <v>3.98</v>
      </c>
      <c r="J490" s="376">
        <f t="shared" si="50"/>
        <v>15.92</v>
      </c>
      <c r="K490" s="66">
        <f t="shared" si="51"/>
        <v>0</v>
      </c>
      <c r="L490" s="63">
        <f t="shared" si="52"/>
        <v>0</v>
      </c>
      <c r="M490" s="63">
        <f t="shared" si="53"/>
        <v>0</v>
      </c>
      <c r="N490" s="63">
        <f t="shared" si="54"/>
        <v>0</v>
      </c>
      <c r="O490" s="63">
        <f t="shared" si="55"/>
        <v>0</v>
      </c>
      <c r="P490" s="63">
        <f t="shared" si="56"/>
        <v>25.121760000000002</v>
      </c>
      <c r="Q490" s="561">
        <f t="shared" si="61"/>
        <v>0</v>
      </c>
      <c r="R490" s="174"/>
      <c r="T490" s="82"/>
      <c r="U490" s="82"/>
      <c r="V490" s="82"/>
      <c r="W490" s="82"/>
      <c r="X490" s="82"/>
      <c r="Y490" s="82"/>
      <c r="Z490" s="82"/>
      <c r="AA490" s="82"/>
      <c r="AB490" s="82"/>
    </row>
    <row r="491" spans="1:28" s="85" customFormat="1" x14ac:dyDescent="0.25">
      <c r="A491" s="82"/>
      <c r="B491" s="82"/>
      <c r="C491" s="82"/>
      <c r="D491" s="729"/>
      <c r="E491" s="371" t="s">
        <v>113</v>
      </c>
      <c r="F491" s="372">
        <v>26</v>
      </c>
      <c r="G491" s="373">
        <v>4</v>
      </c>
      <c r="H491" s="374">
        <v>16</v>
      </c>
      <c r="I491" s="375">
        <v>3.42</v>
      </c>
      <c r="J491" s="376">
        <f t="shared" si="50"/>
        <v>13.68</v>
      </c>
      <c r="K491" s="66">
        <f t="shared" si="51"/>
        <v>0</v>
      </c>
      <c r="L491" s="63">
        <f t="shared" si="52"/>
        <v>0</v>
      </c>
      <c r="M491" s="63">
        <f t="shared" si="53"/>
        <v>0</v>
      </c>
      <c r="N491" s="63">
        <f t="shared" si="54"/>
        <v>0</v>
      </c>
      <c r="O491" s="63">
        <f t="shared" si="55"/>
        <v>0</v>
      </c>
      <c r="P491" s="63">
        <f t="shared" si="56"/>
        <v>21.587040000000002</v>
      </c>
      <c r="Q491" s="561">
        <f t="shared" si="61"/>
        <v>0</v>
      </c>
      <c r="R491" s="174"/>
      <c r="T491" s="82"/>
      <c r="U491" s="82"/>
      <c r="V491" s="82"/>
      <c r="W491" s="82"/>
      <c r="X491" s="82"/>
      <c r="Y491" s="82"/>
      <c r="Z491" s="82"/>
      <c r="AA491" s="82"/>
      <c r="AB491" s="82"/>
    </row>
    <row r="492" spans="1:28" s="85" customFormat="1" x14ac:dyDescent="0.25">
      <c r="A492" s="82"/>
      <c r="B492" s="82"/>
      <c r="C492" s="82"/>
      <c r="D492" s="729"/>
      <c r="E492" s="371" t="s">
        <v>113</v>
      </c>
      <c r="F492" s="372">
        <v>27</v>
      </c>
      <c r="G492" s="373">
        <v>4</v>
      </c>
      <c r="H492" s="374">
        <v>16</v>
      </c>
      <c r="I492" s="375">
        <v>1.07</v>
      </c>
      <c r="J492" s="376">
        <f t="shared" ref="J492" si="62">G492*I492</f>
        <v>4.28</v>
      </c>
      <c r="K492" s="66">
        <f t="shared" si="51"/>
        <v>0</v>
      </c>
      <c r="L492" s="63">
        <f t="shared" si="52"/>
        <v>0</v>
      </c>
      <c r="M492" s="63">
        <f t="shared" si="53"/>
        <v>0</v>
      </c>
      <c r="N492" s="63">
        <f t="shared" si="54"/>
        <v>0</v>
      </c>
      <c r="O492" s="63">
        <f t="shared" si="55"/>
        <v>0</v>
      </c>
      <c r="P492" s="63">
        <f t="shared" si="56"/>
        <v>6.7538400000000003</v>
      </c>
      <c r="Q492" s="561">
        <f t="shared" si="61"/>
        <v>0</v>
      </c>
      <c r="R492" s="174"/>
      <c r="T492" s="82"/>
      <c r="U492" s="82"/>
      <c r="V492" s="82"/>
      <c r="W492" s="82"/>
      <c r="X492" s="82"/>
      <c r="Y492" s="82"/>
      <c r="Z492" s="82"/>
      <c r="AA492" s="82"/>
      <c r="AB492" s="82"/>
    </row>
    <row r="493" spans="1:28" s="85" customFormat="1" x14ac:dyDescent="0.25">
      <c r="A493" s="82"/>
      <c r="B493" s="82"/>
      <c r="C493" s="82"/>
      <c r="D493" s="729"/>
      <c r="E493" s="396" t="s">
        <v>184</v>
      </c>
      <c r="F493" s="403">
        <v>12</v>
      </c>
      <c r="G493" s="397">
        <v>12</v>
      </c>
      <c r="H493" s="398">
        <v>5</v>
      </c>
      <c r="I493" s="399">
        <v>0.34</v>
      </c>
      <c r="J493" s="400">
        <f t="shared" si="50"/>
        <v>4.08</v>
      </c>
      <c r="K493" s="401">
        <f t="shared" si="51"/>
        <v>0.62831999999999999</v>
      </c>
      <c r="L493" s="196">
        <f t="shared" si="52"/>
        <v>0</v>
      </c>
      <c r="M493" s="196">
        <f t="shared" si="53"/>
        <v>0</v>
      </c>
      <c r="N493" s="196">
        <f t="shared" si="54"/>
        <v>0</v>
      </c>
      <c r="O493" s="196">
        <f t="shared" si="55"/>
        <v>0</v>
      </c>
      <c r="P493" s="196">
        <f t="shared" si="56"/>
        <v>0</v>
      </c>
      <c r="Q493" s="566">
        <f t="shared" si="61"/>
        <v>0</v>
      </c>
      <c r="R493" s="538"/>
      <c r="T493" s="82"/>
      <c r="U493" s="82"/>
      <c r="V493" s="82"/>
      <c r="W493" s="82"/>
      <c r="X493" s="82"/>
      <c r="Y493" s="82"/>
      <c r="Z493" s="82"/>
      <c r="AA493" s="82"/>
      <c r="AB493" s="82"/>
    </row>
    <row r="494" spans="1:28" s="85" customFormat="1" x14ac:dyDescent="0.25">
      <c r="A494" s="82"/>
      <c r="B494" s="82"/>
      <c r="C494" s="82"/>
      <c r="D494" s="729"/>
      <c r="E494" s="371" t="s">
        <v>184</v>
      </c>
      <c r="F494" s="372">
        <v>13</v>
      </c>
      <c r="G494" s="373">
        <v>5</v>
      </c>
      <c r="H494" s="374">
        <v>5</v>
      </c>
      <c r="I494" s="375">
        <v>1.17</v>
      </c>
      <c r="J494" s="376">
        <f t="shared" si="50"/>
        <v>5.85</v>
      </c>
      <c r="K494" s="66">
        <f t="shared" si="51"/>
        <v>0.90089999999999992</v>
      </c>
      <c r="L494" s="63">
        <f t="shared" si="52"/>
        <v>0</v>
      </c>
      <c r="M494" s="63">
        <f t="shared" si="53"/>
        <v>0</v>
      </c>
      <c r="N494" s="63">
        <f t="shared" si="54"/>
        <v>0</v>
      </c>
      <c r="O494" s="63">
        <f t="shared" si="55"/>
        <v>0</v>
      </c>
      <c r="P494" s="63">
        <f t="shared" si="56"/>
        <v>0</v>
      </c>
      <c r="Q494" s="562">
        <f t="shared" si="61"/>
        <v>0</v>
      </c>
      <c r="R494" s="377"/>
      <c r="T494" s="82"/>
      <c r="U494" s="82"/>
      <c r="V494" s="82"/>
      <c r="W494" s="82"/>
      <c r="X494" s="82"/>
      <c r="Y494" s="82"/>
      <c r="Z494" s="82"/>
      <c r="AA494" s="82"/>
      <c r="AB494" s="82"/>
    </row>
    <row r="495" spans="1:28" s="85" customFormat="1" x14ac:dyDescent="0.25">
      <c r="A495" s="82"/>
      <c r="B495" s="82"/>
      <c r="C495" s="82"/>
      <c r="D495" s="729"/>
      <c r="E495" s="371" t="s">
        <v>184</v>
      </c>
      <c r="F495" s="372">
        <v>14</v>
      </c>
      <c r="G495" s="373">
        <v>2</v>
      </c>
      <c r="H495" s="374">
        <v>5</v>
      </c>
      <c r="I495" s="375">
        <v>0.84</v>
      </c>
      <c r="J495" s="376">
        <f t="shared" si="50"/>
        <v>1.68</v>
      </c>
      <c r="K495" s="66">
        <f t="shared" si="51"/>
        <v>0.25872000000000001</v>
      </c>
      <c r="L495" s="63">
        <f t="shared" si="52"/>
        <v>0</v>
      </c>
      <c r="M495" s="63">
        <f t="shared" si="53"/>
        <v>0</v>
      </c>
      <c r="N495" s="63">
        <f t="shared" si="54"/>
        <v>0</v>
      </c>
      <c r="O495" s="63">
        <f t="shared" si="55"/>
        <v>0</v>
      </c>
      <c r="P495" s="63">
        <f t="shared" si="56"/>
        <v>0</v>
      </c>
      <c r="Q495" s="562">
        <f t="shared" si="61"/>
        <v>0</v>
      </c>
      <c r="R495" s="377"/>
      <c r="T495" s="82"/>
      <c r="U495" s="82"/>
      <c r="V495" s="82"/>
      <c r="W495" s="82"/>
      <c r="X495" s="82"/>
      <c r="Y495" s="82"/>
      <c r="Z495" s="82"/>
      <c r="AA495" s="82"/>
      <c r="AB495" s="82"/>
    </row>
    <row r="496" spans="1:28" s="85" customFormat="1" ht="13.8" thickBot="1" x14ac:dyDescent="0.3">
      <c r="A496" s="82"/>
      <c r="B496" s="82"/>
      <c r="C496" s="82"/>
      <c r="D496" s="731"/>
      <c r="E496" s="390" t="s">
        <v>184</v>
      </c>
      <c r="F496" s="391">
        <v>59</v>
      </c>
      <c r="G496" s="392">
        <v>8</v>
      </c>
      <c r="H496" s="393">
        <v>16</v>
      </c>
      <c r="I496" s="394">
        <v>1.02</v>
      </c>
      <c r="J496" s="395">
        <f t="shared" si="50"/>
        <v>8.16</v>
      </c>
      <c r="K496" s="221">
        <f t="shared" si="51"/>
        <v>0</v>
      </c>
      <c r="L496" s="222">
        <f t="shared" si="52"/>
        <v>0</v>
      </c>
      <c r="M496" s="222">
        <f t="shared" si="53"/>
        <v>0</v>
      </c>
      <c r="N496" s="222">
        <f t="shared" si="54"/>
        <v>0</v>
      </c>
      <c r="O496" s="222">
        <f t="shared" si="55"/>
        <v>0</v>
      </c>
      <c r="P496" s="222">
        <f t="shared" si="56"/>
        <v>12.876480000000001</v>
      </c>
      <c r="Q496" s="564">
        <f t="shared" si="61"/>
        <v>0</v>
      </c>
      <c r="R496" s="539"/>
      <c r="T496" s="82"/>
      <c r="U496" s="82"/>
      <c r="V496" s="82"/>
      <c r="W496" s="82"/>
      <c r="X496" s="82"/>
      <c r="Y496" s="82"/>
      <c r="Z496" s="82"/>
      <c r="AA496" s="82"/>
      <c r="AB496" s="82"/>
    </row>
    <row r="497" spans="1:28" s="85" customFormat="1" ht="13.8" thickTop="1" x14ac:dyDescent="0.25">
      <c r="A497" s="82"/>
      <c r="B497" s="82"/>
      <c r="C497" s="82"/>
      <c r="D497" s="728" t="s">
        <v>1414</v>
      </c>
      <c r="E497" s="384" t="s">
        <v>49</v>
      </c>
      <c r="F497" s="385">
        <v>1</v>
      </c>
      <c r="G497" s="386">
        <f>2*12</f>
        <v>24</v>
      </c>
      <c r="H497" s="387">
        <v>5</v>
      </c>
      <c r="I497" s="388">
        <v>0.34</v>
      </c>
      <c r="J497" s="389">
        <f t="shared" si="50"/>
        <v>8.16</v>
      </c>
      <c r="K497" s="218">
        <f t="shared" si="51"/>
        <v>1.25664</v>
      </c>
      <c r="L497" s="219">
        <f t="shared" si="52"/>
        <v>0</v>
      </c>
      <c r="M497" s="219">
        <f t="shared" si="53"/>
        <v>0</v>
      </c>
      <c r="N497" s="219">
        <f t="shared" si="54"/>
        <v>0</v>
      </c>
      <c r="O497" s="219">
        <f t="shared" si="55"/>
        <v>0</v>
      </c>
      <c r="P497" s="219">
        <f t="shared" si="56"/>
        <v>0</v>
      </c>
      <c r="Q497" s="563">
        <f t="shared" si="61"/>
        <v>0</v>
      </c>
      <c r="R497" s="220"/>
      <c r="T497" s="82"/>
      <c r="U497" s="82"/>
      <c r="V497" s="82"/>
      <c r="W497" s="82"/>
      <c r="X497" s="82"/>
      <c r="Y497" s="82"/>
      <c r="Z497" s="82"/>
      <c r="AA497" s="82"/>
      <c r="AB497" s="82"/>
    </row>
    <row r="498" spans="1:28" s="85" customFormat="1" x14ac:dyDescent="0.25">
      <c r="A498" s="82"/>
      <c r="B498" s="82"/>
      <c r="C498" s="82"/>
      <c r="D498" s="729"/>
      <c r="E498" s="371" t="s">
        <v>49</v>
      </c>
      <c r="F498" s="372">
        <v>2</v>
      </c>
      <c r="G498" s="373">
        <f>2*3</f>
        <v>6</v>
      </c>
      <c r="H498" s="374">
        <v>5</v>
      </c>
      <c r="I498" s="375">
        <v>1.77</v>
      </c>
      <c r="J498" s="376">
        <f t="shared" si="50"/>
        <v>10.620000000000001</v>
      </c>
      <c r="K498" s="66">
        <f t="shared" si="51"/>
        <v>1.63548</v>
      </c>
      <c r="L498" s="63">
        <f t="shared" si="52"/>
        <v>0</v>
      </c>
      <c r="M498" s="63">
        <f t="shared" si="53"/>
        <v>0</v>
      </c>
      <c r="N498" s="63">
        <f t="shared" si="54"/>
        <v>0</v>
      </c>
      <c r="O498" s="63">
        <f t="shared" si="55"/>
        <v>0</v>
      </c>
      <c r="P498" s="63">
        <f t="shared" si="56"/>
        <v>0</v>
      </c>
      <c r="Q498" s="561">
        <f t="shared" si="61"/>
        <v>0</v>
      </c>
      <c r="R498" s="174"/>
      <c r="T498" s="82"/>
      <c r="U498" s="82"/>
      <c r="V498" s="82"/>
      <c r="W498" s="82"/>
      <c r="X498" s="82"/>
      <c r="Y498" s="82"/>
      <c r="Z498" s="82"/>
      <c r="AA498" s="82"/>
      <c r="AB498" s="82"/>
    </row>
    <row r="499" spans="1:28" s="85" customFormat="1" x14ac:dyDescent="0.25">
      <c r="A499" s="82"/>
      <c r="B499" s="82"/>
      <c r="C499" s="82"/>
      <c r="D499" s="729"/>
      <c r="E499" s="371" t="s">
        <v>49</v>
      </c>
      <c r="F499" s="372">
        <v>3</v>
      </c>
      <c r="G499" s="373">
        <f>2*6</f>
        <v>12</v>
      </c>
      <c r="H499" s="374">
        <v>5</v>
      </c>
      <c r="I499" s="375">
        <v>1.1399999999999999</v>
      </c>
      <c r="J499" s="376">
        <f t="shared" si="50"/>
        <v>13.68</v>
      </c>
      <c r="K499" s="66">
        <f t="shared" si="51"/>
        <v>2.1067200000000001</v>
      </c>
      <c r="L499" s="63">
        <f t="shared" si="52"/>
        <v>0</v>
      </c>
      <c r="M499" s="63">
        <f t="shared" si="53"/>
        <v>0</v>
      </c>
      <c r="N499" s="63">
        <f t="shared" si="54"/>
        <v>0</v>
      </c>
      <c r="O499" s="63">
        <f t="shared" si="55"/>
        <v>0</v>
      </c>
      <c r="P499" s="63">
        <f t="shared" si="56"/>
        <v>0</v>
      </c>
      <c r="Q499" s="561">
        <f t="shared" si="61"/>
        <v>0</v>
      </c>
      <c r="R499" s="174"/>
      <c r="T499" s="82"/>
      <c r="U499" s="82"/>
      <c r="V499" s="82"/>
      <c r="W499" s="82"/>
      <c r="X499" s="82"/>
      <c r="Y499" s="82"/>
      <c r="Z499" s="82"/>
      <c r="AA499" s="82"/>
      <c r="AB499" s="82"/>
    </row>
    <row r="500" spans="1:28" s="85" customFormat="1" x14ac:dyDescent="0.25">
      <c r="A500" s="82"/>
      <c r="B500" s="82"/>
      <c r="C500" s="82"/>
      <c r="D500" s="729"/>
      <c r="E500" s="371" t="s">
        <v>49</v>
      </c>
      <c r="F500" s="372">
        <v>30</v>
      </c>
      <c r="G500" s="373">
        <f>2*8</f>
        <v>16</v>
      </c>
      <c r="H500" s="374">
        <v>16</v>
      </c>
      <c r="I500" s="375">
        <v>1.6</v>
      </c>
      <c r="J500" s="376">
        <f t="shared" si="50"/>
        <v>25.6</v>
      </c>
      <c r="K500" s="66">
        <f t="shared" si="51"/>
        <v>0</v>
      </c>
      <c r="L500" s="63">
        <f t="shared" si="52"/>
        <v>0</v>
      </c>
      <c r="M500" s="63">
        <f t="shared" si="53"/>
        <v>0</v>
      </c>
      <c r="N500" s="63">
        <f t="shared" si="54"/>
        <v>0</v>
      </c>
      <c r="O500" s="63">
        <f t="shared" si="55"/>
        <v>0</v>
      </c>
      <c r="P500" s="63">
        <f t="shared" si="56"/>
        <v>40.396800000000006</v>
      </c>
      <c r="Q500" s="561">
        <f t="shared" si="61"/>
        <v>0</v>
      </c>
      <c r="R500" s="174"/>
      <c r="T500" s="82"/>
      <c r="U500" s="82"/>
      <c r="V500" s="82"/>
      <c r="W500" s="82"/>
      <c r="X500" s="82"/>
      <c r="Y500" s="82"/>
      <c r="Z500" s="82"/>
      <c r="AA500" s="82"/>
      <c r="AB500" s="82"/>
    </row>
    <row r="501" spans="1:28" s="85" customFormat="1" x14ac:dyDescent="0.25">
      <c r="A501" s="82"/>
      <c r="B501" s="82"/>
      <c r="C501" s="82"/>
      <c r="D501" s="729"/>
      <c r="E501" s="371" t="s">
        <v>113</v>
      </c>
      <c r="F501" s="372">
        <v>15</v>
      </c>
      <c r="G501" s="373">
        <f>2*38</f>
        <v>76</v>
      </c>
      <c r="H501" s="374">
        <v>5</v>
      </c>
      <c r="I501" s="375">
        <v>0.34</v>
      </c>
      <c r="J501" s="376">
        <f t="shared" si="50"/>
        <v>25.840000000000003</v>
      </c>
      <c r="K501" s="66">
        <f t="shared" si="51"/>
        <v>3.9793600000000007</v>
      </c>
      <c r="L501" s="63">
        <f t="shared" si="52"/>
        <v>0</v>
      </c>
      <c r="M501" s="63">
        <f t="shared" si="53"/>
        <v>0</v>
      </c>
      <c r="N501" s="63">
        <f t="shared" si="54"/>
        <v>0</v>
      </c>
      <c r="O501" s="63">
        <f t="shared" si="55"/>
        <v>0</v>
      </c>
      <c r="P501" s="63">
        <f t="shared" si="56"/>
        <v>0</v>
      </c>
      <c r="Q501" s="561">
        <f t="shared" si="61"/>
        <v>0</v>
      </c>
      <c r="R501" s="174"/>
      <c r="T501" s="82"/>
      <c r="U501" s="82"/>
      <c r="V501" s="82"/>
      <c r="W501" s="82"/>
      <c r="X501" s="82"/>
      <c r="Y501" s="82"/>
      <c r="Z501" s="82"/>
      <c r="AA501" s="82"/>
      <c r="AB501" s="82"/>
    </row>
    <row r="502" spans="1:28" s="85" customFormat="1" x14ac:dyDescent="0.25">
      <c r="A502" s="82"/>
      <c r="B502" s="82"/>
      <c r="C502" s="82"/>
      <c r="D502" s="729"/>
      <c r="E502" s="371" t="s">
        <v>113</v>
      </c>
      <c r="F502" s="372">
        <v>16</v>
      </c>
      <c r="G502" s="373">
        <f>2*16</f>
        <v>32</v>
      </c>
      <c r="H502" s="374">
        <v>5</v>
      </c>
      <c r="I502" s="375">
        <v>1.77</v>
      </c>
      <c r="J502" s="376">
        <f t="shared" si="50"/>
        <v>56.64</v>
      </c>
      <c r="K502" s="66">
        <f t="shared" si="51"/>
        <v>8.7225599999999996</v>
      </c>
      <c r="L502" s="63">
        <f t="shared" si="52"/>
        <v>0</v>
      </c>
      <c r="M502" s="63">
        <f t="shared" si="53"/>
        <v>0</v>
      </c>
      <c r="N502" s="63">
        <f t="shared" si="54"/>
        <v>0</v>
      </c>
      <c r="O502" s="63">
        <f t="shared" si="55"/>
        <v>0</v>
      </c>
      <c r="P502" s="63">
        <f t="shared" si="56"/>
        <v>0</v>
      </c>
      <c r="Q502" s="561">
        <f t="shared" si="61"/>
        <v>0</v>
      </c>
      <c r="R502" s="174"/>
      <c r="T502" s="82"/>
      <c r="U502" s="82"/>
      <c r="V502" s="82"/>
      <c r="W502" s="82"/>
      <c r="X502" s="82"/>
      <c r="Y502" s="82"/>
      <c r="Z502" s="82"/>
      <c r="AA502" s="82"/>
      <c r="AB502" s="82"/>
    </row>
    <row r="503" spans="1:28" s="85" customFormat="1" x14ac:dyDescent="0.25">
      <c r="A503" s="82"/>
      <c r="B503" s="82"/>
      <c r="C503" s="82"/>
      <c r="D503" s="729"/>
      <c r="E503" s="371" t="s">
        <v>113</v>
      </c>
      <c r="F503" s="372">
        <v>17</v>
      </c>
      <c r="G503" s="373">
        <f>2*6</f>
        <v>12</v>
      </c>
      <c r="H503" s="374">
        <v>5</v>
      </c>
      <c r="I503" s="375">
        <v>1.1399999999999999</v>
      </c>
      <c r="J503" s="376">
        <f t="shared" si="50"/>
        <v>13.68</v>
      </c>
      <c r="K503" s="66">
        <f t="shared" si="51"/>
        <v>2.1067200000000001</v>
      </c>
      <c r="L503" s="63">
        <f t="shared" si="52"/>
        <v>0</v>
      </c>
      <c r="M503" s="63">
        <f t="shared" si="53"/>
        <v>0</v>
      </c>
      <c r="N503" s="63">
        <f t="shared" si="54"/>
        <v>0</v>
      </c>
      <c r="O503" s="63">
        <f t="shared" si="55"/>
        <v>0</v>
      </c>
      <c r="P503" s="63">
        <f t="shared" si="56"/>
        <v>0</v>
      </c>
      <c r="Q503" s="561">
        <f t="shared" si="61"/>
        <v>0</v>
      </c>
      <c r="R503" s="174"/>
      <c r="T503" s="82"/>
      <c r="U503" s="82"/>
      <c r="V503" s="82"/>
      <c r="W503" s="82"/>
      <c r="X503" s="82"/>
      <c r="Y503" s="82"/>
      <c r="Z503" s="82"/>
      <c r="AA503" s="82"/>
      <c r="AB503" s="82"/>
    </row>
    <row r="504" spans="1:28" s="85" customFormat="1" ht="13.8" thickBot="1" x14ac:dyDescent="0.3">
      <c r="A504" s="82"/>
      <c r="B504" s="82"/>
      <c r="C504" s="82"/>
      <c r="D504" s="729"/>
      <c r="E504" s="371" t="s">
        <v>113</v>
      </c>
      <c r="F504" s="372">
        <v>26</v>
      </c>
      <c r="G504" s="373">
        <f>2*8</f>
        <v>16</v>
      </c>
      <c r="H504" s="374">
        <v>16</v>
      </c>
      <c r="I504" s="375">
        <v>3.42</v>
      </c>
      <c r="J504" s="376">
        <f t="shared" si="50"/>
        <v>54.72</v>
      </c>
      <c r="K504" s="66">
        <f t="shared" si="51"/>
        <v>0</v>
      </c>
      <c r="L504" s="63">
        <f t="shared" si="52"/>
        <v>0</v>
      </c>
      <c r="M504" s="63">
        <f t="shared" si="53"/>
        <v>0</v>
      </c>
      <c r="N504" s="63">
        <f t="shared" si="54"/>
        <v>0</v>
      </c>
      <c r="O504" s="63">
        <f t="shared" si="55"/>
        <v>0</v>
      </c>
      <c r="P504" s="63">
        <f t="shared" si="56"/>
        <v>86.348160000000007</v>
      </c>
      <c r="Q504" s="561">
        <f t="shared" si="61"/>
        <v>0</v>
      </c>
      <c r="R504" s="174"/>
      <c r="T504" s="82"/>
      <c r="U504" s="82"/>
      <c r="V504" s="82"/>
      <c r="W504" s="82"/>
      <c r="X504" s="82"/>
      <c r="Y504" s="82"/>
      <c r="Z504" s="82"/>
      <c r="AA504" s="82"/>
      <c r="AB504" s="82"/>
    </row>
    <row r="505" spans="1:28" s="85" customFormat="1" ht="13.8" thickTop="1" x14ac:dyDescent="0.25">
      <c r="A505" s="82"/>
      <c r="B505" s="82"/>
      <c r="C505" s="82"/>
      <c r="D505" s="728" t="s">
        <v>1415</v>
      </c>
      <c r="E505" s="384" t="s">
        <v>49</v>
      </c>
      <c r="F505" s="385">
        <v>2</v>
      </c>
      <c r="G505" s="386">
        <v>5</v>
      </c>
      <c r="H505" s="387">
        <v>5</v>
      </c>
      <c r="I505" s="388">
        <v>1.77</v>
      </c>
      <c r="J505" s="389">
        <f t="shared" ref="J505:J516" si="63">G505*I505</f>
        <v>8.85</v>
      </c>
      <c r="K505" s="218">
        <f t="shared" si="51"/>
        <v>1.3629</v>
      </c>
      <c r="L505" s="219">
        <f t="shared" si="52"/>
        <v>0</v>
      </c>
      <c r="M505" s="219">
        <f t="shared" si="53"/>
        <v>0</v>
      </c>
      <c r="N505" s="219">
        <f t="shared" si="54"/>
        <v>0</v>
      </c>
      <c r="O505" s="219">
        <f t="shared" si="55"/>
        <v>0</v>
      </c>
      <c r="P505" s="219">
        <f t="shared" si="56"/>
        <v>0</v>
      </c>
      <c r="Q505" s="563">
        <f t="shared" ref="Q505:Q562" si="64">IF($H505=20,$J505*$B$28,0)</f>
        <v>0</v>
      </c>
      <c r="R505" s="220"/>
      <c r="T505" s="82"/>
      <c r="U505" s="82"/>
      <c r="V505" s="82"/>
      <c r="W505" s="82"/>
      <c r="X505" s="82"/>
      <c r="Y505" s="82"/>
      <c r="Z505" s="82"/>
      <c r="AA505" s="82"/>
      <c r="AB505" s="82"/>
    </row>
    <row r="506" spans="1:28" s="85" customFormat="1" x14ac:dyDescent="0.25">
      <c r="A506" s="82"/>
      <c r="B506" s="82"/>
      <c r="C506" s="82"/>
      <c r="D506" s="729"/>
      <c r="E506" s="371" t="s">
        <v>49</v>
      </c>
      <c r="F506" s="372">
        <v>3</v>
      </c>
      <c r="G506" s="373">
        <v>8</v>
      </c>
      <c r="H506" s="374">
        <v>5</v>
      </c>
      <c r="I506" s="375">
        <v>1.1399999999999999</v>
      </c>
      <c r="J506" s="376">
        <f t="shared" si="63"/>
        <v>9.1199999999999992</v>
      </c>
      <c r="K506" s="66">
        <f t="shared" si="51"/>
        <v>1.40448</v>
      </c>
      <c r="L506" s="63">
        <f t="shared" si="52"/>
        <v>0</v>
      </c>
      <c r="M506" s="63">
        <f t="shared" si="53"/>
        <v>0</v>
      </c>
      <c r="N506" s="63">
        <f t="shared" si="54"/>
        <v>0</v>
      </c>
      <c r="O506" s="63">
        <f t="shared" si="55"/>
        <v>0</v>
      </c>
      <c r="P506" s="63">
        <f t="shared" si="56"/>
        <v>0</v>
      </c>
      <c r="Q506" s="561">
        <f t="shared" si="64"/>
        <v>0</v>
      </c>
      <c r="R506" s="174"/>
      <c r="T506" s="82"/>
      <c r="U506" s="82"/>
      <c r="V506" s="82"/>
      <c r="W506" s="82"/>
      <c r="X506" s="82"/>
      <c r="Y506" s="82"/>
      <c r="Z506" s="82"/>
      <c r="AA506" s="82"/>
      <c r="AB506" s="82"/>
    </row>
    <row r="507" spans="1:28" s="85" customFormat="1" x14ac:dyDescent="0.25">
      <c r="A507" s="82"/>
      <c r="B507" s="82"/>
      <c r="C507" s="82"/>
      <c r="D507" s="729"/>
      <c r="E507" s="371" t="s">
        <v>49</v>
      </c>
      <c r="F507" s="372">
        <v>4</v>
      </c>
      <c r="G507" s="373">
        <v>27</v>
      </c>
      <c r="H507" s="374">
        <v>5</v>
      </c>
      <c r="I507" s="375">
        <v>0.33</v>
      </c>
      <c r="J507" s="376">
        <f t="shared" si="63"/>
        <v>8.91</v>
      </c>
      <c r="K507" s="66">
        <f t="shared" si="51"/>
        <v>1.3721399999999999</v>
      </c>
      <c r="L507" s="63">
        <f t="shared" si="52"/>
        <v>0</v>
      </c>
      <c r="M507" s="63">
        <f t="shared" si="53"/>
        <v>0</v>
      </c>
      <c r="N507" s="63">
        <f t="shared" si="54"/>
        <v>0</v>
      </c>
      <c r="O507" s="63">
        <f t="shared" si="55"/>
        <v>0</v>
      </c>
      <c r="P507" s="63">
        <f t="shared" si="56"/>
        <v>0</v>
      </c>
      <c r="Q507" s="561">
        <f t="shared" si="64"/>
        <v>0</v>
      </c>
      <c r="R507" s="174"/>
      <c r="T507" s="82"/>
      <c r="U507" s="82"/>
      <c r="V507" s="82"/>
      <c r="W507" s="82"/>
      <c r="X507" s="82"/>
      <c r="Y507" s="82"/>
      <c r="Z507" s="82"/>
      <c r="AA507" s="82"/>
      <c r="AB507" s="82"/>
    </row>
    <row r="508" spans="1:28" s="85" customFormat="1" x14ac:dyDescent="0.25">
      <c r="A508" s="82"/>
      <c r="B508" s="82"/>
      <c r="C508" s="82"/>
      <c r="D508" s="729"/>
      <c r="E508" s="371" t="s">
        <v>49</v>
      </c>
      <c r="F508" s="372">
        <v>31</v>
      </c>
      <c r="G508" s="373">
        <v>10</v>
      </c>
      <c r="H508" s="374">
        <v>20</v>
      </c>
      <c r="I508" s="375">
        <v>1.72</v>
      </c>
      <c r="J508" s="376">
        <f t="shared" si="63"/>
        <v>17.2</v>
      </c>
      <c r="K508" s="66">
        <f t="shared" si="51"/>
        <v>0</v>
      </c>
      <c r="L508" s="63">
        <f t="shared" si="52"/>
        <v>0</v>
      </c>
      <c r="M508" s="63">
        <f t="shared" si="53"/>
        <v>0</v>
      </c>
      <c r="N508" s="63">
        <f t="shared" si="54"/>
        <v>0</v>
      </c>
      <c r="O508" s="63">
        <f t="shared" si="55"/>
        <v>0</v>
      </c>
      <c r="P508" s="63">
        <f t="shared" si="56"/>
        <v>0</v>
      </c>
      <c r="Q508" s="561">
        <f t="shared" si="64"/>
        <v>42.415199999999999</v>
      </c>
      <c r="R508" s="174"/>
      <c r="T508" s="82"/>
      <c r="U508" s="82"/>
      <c r="V508" s="82"/>
      <c r="W508" s="82"/>
      <c r="X508" s="82"/>
      <c r="Y508" s="82"/>
      <c r="Z508" s="82"/>
      <c r="AA508" s="82"/>
      <c r="AB508" s="82"/>
    </row>
    <row r="509" spans="1:28" s="85" customFormat="1" x14ac:dyDescent="0.25">
      <c r="A509" s="82"/>
      <c r="B509" s="82"/>
      <c r="C509" s="82"/>
      <c r="D509" s="729"/>
      <c r="E509" s="371" t="s">
        <v>113</v>
      </c>
      <c r="F509" s="372">
        <v>16</v>
      </c>
      <c r="G509" s="373">
        <v>23</v>
      </c>
      <c r="H509" s="374">
        <v>5</v>
      </c>
      <c r="I509" s="375">
        <v>1.77</v>
      </c>
      <c r="J509" s="376">
        <f t="shared" si="63"/>
        <v>40.71</v>
      </c>
      <c r="K509" s="66">
        <f t="shared" si="51"/>
        <v>6.2693399999999997</v>
      </c>
      <c r="L509" s="63">
        <f t="shared" si="52"/>
        <v>0</v>
      </c>
      <c r="M509" s="63">
        <f t="shared" si="53"/>
        <v>0</v>
      </c>
      <c r="N509" s="63">
        <f t="shared" si="54"/>
        <v>0</v>
      </c>
      <c r="O509" s="63">
        <f t="shared" si="55"/>
        <v>0</v>
      </c>
      <c r="P509" s="63">
        <f t="shared" si="56"/>
        <v>0</v>
      </c>
      <c r="Q509" s="561">
        <f t="shared" si="64"/>
        <v>0</v>
      </c>
      <c r="R509" s="174"/>
      <c r="T509" s="82"/>
      <c r="U509" s="82"/>
      <c r="V509" s="82"/>
      <c r="W509" s="82"/>
      <c r="X509" s="82"/>
      <c r="Y509" s="82"/>
      <c r="Z509" s="82"/>
      <c r="AA509" s="82"/>
      <c r="AB509" s="82"/>
    </row>
    <row r="510" spans="1:28" s="85" customFormat="1" x14ac:dyDescent="0.25">
      <c r="A510" s="82"/>
      <c r="B510" s="82"/>
      <c r="C510" s="82"/>
      <c r="D510" s="729"/>
      <c r="E510" s="371" t="s">
        <v>113</v>
      </c>
      <c r="F510" s="372">
        <v>17</v>
      </c>
      <c r="G510" s="373">
        <v>8</v>
      </c>
      <c r="H510" s="374">
        <v>5</v>
      </c>
      <c r="I510" s="375">
        <v>1.1399999999999999</v>
      </c>
      <c r="J510" s="376">
        <f t="shared" si="63"/>
        <v>9.1199999999999992</v>
      </c>
      <c r="K510" s="66">
        <f t="shared" si="51"/>
        <v>1.40448</v>
      </c>
      <c r="L510" s="63">
        <f t="shared" si="52"/>
        <v>0</v>
      </c>
      <c r="M510" s="63">
        <f t="shared" si="53"/>
        <v>0</v>
      </c>
      <c r="N510" s="63">
        <f t="shared" si="54"/>
        <v>0</v>
      </c>
      <c r="O510" s="63">
        <f t="shared" si="55"/>
        <v>0</v>
      </c>
      <c r="P510" s="63">
        <f t="shared" si="56"/>
        <v>0</v>
      </c>
      <c r="Q510" s="561">
        <f t="shared" si="64"/>
        <v>0</v>
      </c>
      <c r="R510" s="174"/>
      <c r="T510" s="82"/>
      <c r="U510" s="82"/>
      <c r="V510" s="82"/>
      <c r="W510" s="82"/>
      <c r="X510" s="82"/>
      <c r="Y510" s="82"/>
      <c r="Z510" s="82"/>
      <c r="AA510" s="82"/>
      <c r="AB510" s="82"/>
    </row>
    <row r="511" spans="1:28" s="85" customFormat="1" x14ac:dyDescent="0.25">
      <c r="A511" s="82"/>
      <c r="B511" s="82"/>
      <c r="C511" s="82"/>
      <c r="D511" s="729"/>
      <c r="E511" s="371" t="s">
        <v>113</v>
      </c>
      <c r="F511" s="372">
        <v>18</v>
      </c>
      <c r="G511" s="373">
        <v>81</v>
      </c>
      <c r="H511" s="374">
        <v>5</v>
      </c>
      <c r="I511" s="375">
        <v>0.33</v>
      </c>
      <c r="J511" s="376">
        <f t="shared" si="63"/>
        <v>26.73</v>
      </c>
      <c r="K511" s="66">
        <f t="shared" si="51"/>
        <v>4.1164199999999997</v>
      </c>
      <c r="L511" s="63">
        <f t="shared" si="52"/>
        <v>0</v>
      </c>
      <c r="M511" s="63">
        <f t="shared" si="53"/>
        <v>0</v>
      </c>
      <c r="N511" s="63">
        <f t="shared" si="54"/>
        <v>0</v>
      </c>
      <c r="O511" s="63">
        <f t="shared" si="55"/>
        <v>0</v>
      </c>
      <c r="P511" s="63">
        <f t="shared" si="56"/>
        <v>0</v>
      </c>
      <c r="Q511" s="561">
        <f t="shared" si="64"/>
        <v>0</v>
      </c>
      <c r="R511" s="174"/>
      <c r="T511" s="82"/>
      <c r="U511" s="82"/>
      <c r="V511" s="82"/>
      <c r="W511" s="82"/>
      <c r="X511" s="82"/>
      <c r="Y511" s="82"/>
      <c r="Z511" s="82"/>
      <c r="AA511" s="82"/>
      <c r="AB511" s="82"/>
    </row>
    <row r="512" spans="1:28" s="85" customFormat="1" x14ac:dyDescent="0.25">
      <c r="A512" s="82"/>
      <c r="B512" s="82"/>
      <c r="C512" s="82"/>
      <c r="D512" s="729"/>
      <c r="E512" s="371" t="s">
        <v>113</v>
      </c>
      <c r="F512" s="372">
        <v>28</v>
      </c>
      <c r="G512" s="373">
        <v>10</v>
      </c>
      <c r="H512" s="374">
        <v>20</v>
      </c>
      <c r="I512" s="375">
        <v>4.12</v>
      </c>
      <c r="J512" s="376">
        <f t="shared" si="63"/>
        <v>41.2</v>
      </c>
      <c r="K512" s="66">
        <f t="shared" si="51"/>
        <v>0</v>
      </c>
      <c r="L512" s="63">
        <f t="shared" si="52"/>
        <v>0</v>
      </c>
      <c r="M512" s="63">
        <f t="shared" si="53"/>
        <v>0</v>
      </c>
      <c r="N512" s="63">
        <f t="shared" si="54"/>
        <v>0</v>
      </c>
      <c r="O512" s="63">
        <f t="shared" si="55"/>
        <v>0</v>
      </c>
      <c r="P512" s="63">
        <f t="shared" si="56"/>
        <v>0</v>
      </c>
      <c r="Q512" s="561">
        <f t="shared" si="64"/>
        <v>101.59920000000001</v>
      </c>
      <c r="R512" s="174"/>
      <c r="T512" s="82"/>
      <c r="U512" s="82"/>
      <c r="V512" s="82"/>
      <c r="W512" s="82"/>
      <c r="X512" s="82"/>
      <c r="Y512" s="82"/>
      <c r="Z512" s="82"/>
      <c r="AA512" s="82"/>
      <c r="AB512" s="82"/>
    </row>
    <row r="513" spans="1:28" s="85" customFormat="1" x14ac:dyDescent="0.25">
      <c r="A513" s="82"/>
      <c r="B513" s="82"/>
      <c r="C513" s="82"/>
      <c r="D513" s="729"/>
      <c r="E513" s="396" t="s">
        <v>184</v>
      </c>
      <c r="F513" s="403">
        <v>15</v>
      </c>
      <c r="G513" s="397">
        <v>18</v>
      </c>
      <c r="H513" s="398">
        <v>5</v>
      </c>
      <c r="I513" s="399">
        <v>0.33</v>
      </c>
      <c r="J513" s="400">
        <f t="shared" si="63"/>
        <v>5.94</v>
      </c>
      <c r="K513" s="401">
        <f t="shared" si="51"/>
        <v>0.91476000000000002</v>
      </c>
      <c r="L513" s="196">
        <f t="shared" si="52"/>
        <v>0</v>
      </c>
      <c r="M513" s="196">
        <f t="shared" si="53"/>
        <v>0</v>
      </c>
      <c r="N513" s="196">
        <f t="shared" si="54"/>
        <v>0</v>
      </c>
      <c r="O513" s="196">
        <f t="shared" si="55"/>
        <v>0</v>
      </c>
      <c r="P513" s="196">
        <f t="shared" si="56"/>
        <v>0</v>
      </c>
      <c r="Q513" s="566">
        <f t="shared" si="64"/>
        <v>0</v>
      </c>
      <c r="R513" s="538"/>
      <c r="T513" s="82"/>
      <c r="U513" s="82"/>
      <c r="V513" s="82"/>
      <c r="W513" s="82"/>
      <c r="X513" s="82"/>
      <c r="Y513" s="82"/>
      <c r="Z513" s="82"/>
      <c r="AA513" s="82"/>
      <c r="AB513" s="82"/>
    </row>
    <row r="514" spans="1:28" s="85" customFormat="1" x14ac:dyDescent="0.25">
      <c r="A514" s="82"/>
      <c r="B514" s="82"/>
      <c r="C514" s="82"/>
      <c r="D514" s="729"/>
      <c r="E514" s="371" t="s">
        <v>184</v>
      </c>
      <c r="F514" s="372">
        <v>16</v>
      </c>
      <c r="G514" s="373">
        <v>5</v>
      </c>
      <c r="H514" s="374">
        <v>5</v>
      </c>
      <c r="I514" s="375">
        <v>1.77</v>
      </c>
      <c r="J514" s="376">
        <f t="shared" si="63"/>
        <v>8.85</v>
      </c>
      <c r="K514" s="66">
        <f t="shared" si="51"/>
        <v>1.3629</v>
      </c>
      <c r="L514" s="63">
        <f t="shared" si="52"/>
        <v>0</v>
      </c>
      <c r="M514" s="63">
        <f t="shared" si="53"/>
        <v>0</v>
      </c>
      <c r="N514" s="63">
        <f t="shared" si="54"/>
        <v>0</v>
      </c>
      <c r="O514" s="63">
        <f t="shared" si="55"/>
        <v>0</v>
      </c>
      <c r="P514" s="63">
        <f t="shared" si="56"/>
        <v>0</v>
      </c>
      <c r="Q514" s="562">
        <f t="shared" si="64"/>
        <v>0</v>
      </c>
      <c r="R514" s="377"/>
      <c r="T514" s="82"/>
      <c r="U514" s="82"/>
      <c r="V514" s="82"/>
      <c r="W514" s="82"/>
      <c r="X514" s="82"/>
      <c r="Y514" s="82"/>
      <c r="Z514" s="82"/>
      <c r="AA514" s="82"/>
      <c r="AB514" s="82"/>
    </row>
    <row r="515" spans="1:28" s="85" customFormat="1" x14ac:dyDescent="0.25">
      <c r="A515" s="82"/>
      <c r="B515" s="82"/>
      <c r="C515" s="82"/>
      <c r="D515" s="729"/>
      <c r="E515" s="371" t="s">
        <v>184</v>
      </c>
      <c r="F515" s="372">
        <v>17</v>
      </c>
      <c r="G515" s="373">
        <v>2</v>
      </c>
      <c r="H515" s="374">
        <v>5</v>
      </c>
      <c r="I515" s="375">
        <v>1.1399999999999999</v>
      </c>
      <c r="J515" s="376">
        <f t="shared" si="63"/>
        <v>2.2799999999999998</v>
      </c>
      <c r="K515" s="66">
        <f t="shared" si="51"/>
        <v>0.35111999999999999</v>
      </c>
      <c r="L515" s="63">
        <f t="shared" si="52"/>
        <v>0</v>
      </c>
      <c r="M515" s="63">
        <f t="shared" si="53"/>
        <v>0</v>
      </c>
      <c r="N515" s="63">
        <f t="shared" si="54"/>
        <v>0</v>
      </c>
      <c r="O515" s="63">
        <f t="shared" si="55"/>
        <v>0</v>
      </c>
      <c r="P515" s="63">
        <f t="shared" si="56"/>
        <v>0</v>
      </c>
      <c r="Q515" s="562">
        <f t="shared" si="64"/>
        <v>0</v>
      </c>
      <c r="R515" s="377"/>
      <c r="T515" s="82"/>
      <c r="U515" s="82"/>
      <c r="V515" s="82"/>
      <c r="W515" s="82"/>
      <c r="X515" s="82"/>
      <c r="Y515" s="82"/>
      <c r="Z515" s="82"/>
      <c r="AA515" s="82"/>
      <c r="AB515" s="82"/>
    </row>
    <row r="516" spans="1:28" s="85" customFormat="1" ht="13.8" thickBot="1" x14ac:dyDescent="0.3">
      <c r="A516" s="82"/>
      <c r="B516" s="82"/>
      <c r="C516" s="82"/>
      <c r="D516" s="731"/>
      <c r="E516" s="390" t="s">
        <v>184</v>
      </c>
      <c r="F516" s="391">
        <v>60</v>
      </c>
      <c r="G516" s="392">
        <v>10</v>
      </c>
      <c r="H516" s="393">
        <v>20</v>
      </c>
      <c r="I516" s="394">
        <v>1.02</v>
      </c>
      <c r="J516" s="395">
        <f t="shared" si="63"/>
        <v>10.199999999999999</v>
      </c>
      <c r="K516" s="221">
        <f t="shared" si="51"/>
        <v>0</v>
      </c>
      <c r="L516" s="222">
        <f t="shared" si="52"/>
        <v>0</v>
      </c>
      <c r="M516" s="222">
        <f t="shared" si="53"/>
        <v>0</v>
      </c>
      <c r="N516" s="222">
        <f t="shared" si="54"/>
        <v>0</v>
      </c>
      <c r="O516" s="222">
        <f t="shared" si="55"/>
        <v>0</v>
      </c>
      <c r="P516" s="222">
        <f t="shared" si="56"/>
        <v>0</v>
      </c>
      <c r="Q516" s="564">
        <f t="shared" si="64"/>
        <v>25.153200000000002</v>
      </c>
      <c r="R516" s="539"/>
      <c r="T516" s="82"/>
      <c r="U516" s="82"/>
      <c r="V516" s="82"/>
      <c r="W516" s="82"/>
      <c r="X516" s="82"/>
      <c r="Y516" s="82"/>
      <c r="Z516" s="82"/>
      <c r="AA516" s="82"/>
      <c r="AB516" s="82"/>
    </row>
    <row r="517" spans="1:28" s="85" customFormat="1" ht="13.8" thickTop="1" x14ac:dyDescent="0.25">
      <c r="A517" s="82"/>
      <c r="B517" s="82"/>
      <c r="C517" s="82"/>
      <c r="D517" s="728" t="s">
        <v>1417</v>
      </c>
      <c r="E517" s="384" t="s">
        <v>49</v>
      </c>
      <c r="F517" s="385">
        <v>5</v>
      </c>
      <c r="G517" s="386">
        <f>2*16</f>
        <v>32</v>
      </c>
      <c r="H517" s="387">
        <v>5</v>
      </c>
      <c r="I517" s="388">
        <v>0.24</v>
      </c>
      <c r="J517" s="389">
        <f t="shared" ref="J517:J684" si="65">G517*I517</f>
        <v>7.68</v>
      </c>
      <c r="K517" s="218">
        <f t="shared" ref="K517:K684" si="66">IF($H517=5,$J517*$B$21,0)</f>
        <v>1.18272</v>
      </c>
      <c r="L517" s="219">
        <f t="shared" ref="L517:L684" si="67">IF($H517=6.3,$J517*$B$22,0)</f>
        <v>0</v>
      </c>
      <c r="M517" s="219">
        <f t="shared" ref="M517:M684" si="68">IF($H517=8,$J517*$B$23,0)</f>
        <v>0</v>
      </c>
      <c r="N517" s="219">
        <f t="shared" ref="N517:N684" si="69">IF($H517=10,$J517*$B$24,0)</f>
        <v>0</v>
      </c>
      <c r="O517" s="219">
        <f t="shared" ref="O517:O684" si="70">IF($H517=12.5,$J517*$B$26,0)</f>
        <v>0</v>
      </c>
      <c r="P517" s="219">
        <f t="shared" ref="P517:P684" si="71">IF($H517=16,$J517*$B$27,0)</f>
        <v>0</v>
      </c>
      <c r="Q517" s="563">
        <f t="shared" si="64"/>
        <v>0</v>
      </c>
      <c r="R517" s="220"/>
      <c r="T517" s="82"/>
      <c r="U517" s="82"/>
      <c r="V517" s="82"/>
      <c r="W517" s="82"/>
      <c r="X517" s="82"/>
      <c r="Y517" s="82"/>
      <c r="Z517" s="82"/>
      <c r="AA517" s="82"/>
      <c r="AB517" s="82"/>
    </row>
    <row r="518" spans="1:28" s="85" customFormat="1" x14ac:dyDescent="0.25">
      <c r="A518" s="82"/>
      <c r="B518" s="82"/>
      <c r="C518" s="82"/>
      <c r="D518" s="729"/>
      <c r="E518" s="371" t="s">
        <v>49</v>
      </c>
      <c r="F518" s="372">
        <v>6</v>
      </c>
      <c r="G518" s="373">
        <f>2*16</f>
        <v>32</v>
      </c>
      <c r="H518" s="374">
        <v>5</v>
      </c>
      <c r="I518" s="375">
        <v>0.99</v>
      </c>
      <c r="J518" s="376">
        <f t="shared" si="65"/>
        <v>31.68</v>
      </c>
      <c r="K518" s="66">
        <f t="shared" si="66"/>
        <v>4.8787199999999995</v>
      </c>
      <c r="L518" s="63">
        <f t="shared" si="67"/>
        <v>0</v>
      </c>
      <c r="M518" s="63">
        <f t="shared" si="68"/>
        <v>0</v>
      </c>
      <c r="N518" s="63">
        <f t="shared" si="69"/>
        <v>0</v>
      </c>
      <c r="O518" s="63">
        <f t="shared" si="70"/>
        <v>0</v>
      </c>
      <c r="P518" s="63">
        <f t="shared" si="71"/>
        <v>0</v>
      </c>
      <c r="Q518" s="561">
        <f t="shared" si="64"/>
        <v>0</v>
      </c>
      <c r="R518" s="174"/>
      <c r="T518" s="82"/>
      <c r="U518" s="82"/>
      <c r="V518" s="82"/>
      <c r="W518" s="82"/>
      <c r="X518" s="82"/>
      <c r="Y518" s="82"/>
      <c r="Z518" s="82"/>
      <c r="AA518" s="82"/>
      <c r="AB518" s="82"/>
    </row>
    <row r="519" spans="1:28" s="85" customFormat="1" x14ac:dyDescent="0.25">
      <c r="A519" s="82"/>
      <c r="B519" s="82"/>
      <c r="C519" s="82"/>
      <c r="D519" s="729"/>
      <c r="E519" s="371" t="s">
        <v>49</v>
      </c>
      <c r="F519" s="372">
        <v>23</v>
      </c>
      <c r="G519" s="373">
        <f>2*8</f>
        <v>16</v>
      </c>
      <c r="H519" s="374">
        <v>10</v>
      </c>
      <c r="I519" s="375">
        <v>1.42</v>
      </c>
      <c r="J519" s="376">
        <f t="shared" si="65"/>
        <v>22.72</v>
      </c>
      <c r="K519" s="66">
        <f t="shared" si="66"/>
        <v>0</v>
      </c>
      <c r="L519" s="63">
        <f t="shared" si="67"/>
        <v>0</v>
      </c>
      <c r="M519" s="63">
        <f t="shared" si="68"/>
        <v>0</v>
      </c>
      <c r="N519" s="63">
        <f t="shared" si="69"/>
        <v>14.018239999999999</v>
      </c>
      <c r="O519" s="63">
        <f t="shared" si="70"/>
        <v>0</v>
      </c>
      <c r="P519" s="63">
        <f t="shared" si="71"/>
        <v>0</v>
      </c>
      <c r="Q519" s="561">
        <f t="shared" si="64"/>
        <v>0</v>
      </c>
      <c r="R519" s="174"/>
      <c r="T519" s="82"/>
      <c r="U519" s="82"/>
      <c r="V519" s="82"/>
      <c r="W519" s="82"/>
      <c r="X519" s="82"/>
      <c r="Y519" s="82"/>
      <c r="Z519" s="82"/>
      <c r="AA519" s="82"/>
      <c r="AB519" s="82"/>
    </row>
    <row r="520" spans="1:28" s="85" customFormat="1" x14ac:dyDescent="0.25">
      <c r="A520" s="82"/>
      <c r="B520" s="82"/>
      <c r="C520" s="82"/>
      <c r="D520" s="729"/>
      <c r="E520" s="371" t="s">
        <v>113</v>
      </c>
      <c r="F520" s="372">
        <v>1</v>
      </c>
      <c r="G520" s="373">
        <f>2*60</f>
        <v>120</v>
      </c>
      <c r="H520" s="374">
        <v>5</v>
      </c>
      <c r="I520" s="375">
        <v>0.24</v>
      </c>
      <c r="J520" s="376">
        <f t="shared" si="65"/>
        <v>28.799999999999997</v>
      </c>
      <c r="K520" s="66">
        <f t="shared" si="66"/>
        <v>4.4351999999999991</v>
      </c>
      <c r="L520" s="63">
        <f t="shared" si="67"/>
        <v>0</v>
      </c>
      <c r="M520" s="63">
        <f t="shared" si="68"/>
        <v>0</v>
      </c>
      <c r="N520" s="63">
        <f t="shared" si="69"/>
        <v>0</v>
      </c>
      <c r="O520" s="63">
        <f t="shared" si="70"/>
        <v>0</v>
      </c>
      <c r="P520" s="63">
        <f t="shared" si="71"/>
        <v>0</v>
      </c>
      <c r="Q520" s="561">
        <f t="shared" si="64"/>
        <v>0</v>
      </c>
      <c r="R520" s="174"/>
      <c r="T520" s="82"/>
      <c r="U520" s="82"/>
      <c r="V520" s="82"/>
      <c r="W520" s="82"/>
      <c r="X520" s="82"/>
      <c r="Y520" s="82"/>
      <c r="Z520" s="82"/>
      <c r="AA520" s="82"/>
      <c r="AB520" s="82"/>
    </row>
    <row r="521" spans="1:28" s="85" customFormat="1" x14ac:dyDescent="0.25">
      <c r="A521" s="82"/>
      <c r="B521" s="82"/>
      <c r="C521" s="82"/>
      <c r="D521" s="729"/>
      <c r="E521" s="371" t="s">
        <v>113</v>
      </c>
      <c r="F521" s="372">
        <v>19</v>
      </c>
      <c r="G521" s="373">
        <f>2*25</f>
        <v>50</v>
      </c>
      <c r="H521" s="374">
        <v>5</v>
      </c>
      <c r="I521" s="375">
        <v>1.67</v>
      </c>
      <c r="J521" s="376">
        <f t="shared" si="65"/>
        <v>83.5</v>
      </c>
      <c r="K521" s="66">
        <f t="shared" si="66"/>
        <v>12.859</v>
      </c>
      <c r="L521" s="63">
        <f t="shared" si="67"/>
        <v>0</v>
      </c>
      <c r="M521" s="63">
        <f t="shared" si="68"/>
        <v>0</v>
      </c>
      <c r="N521" s="63">
        <f t="shared" si="69"/>
        <v>0</v>
      </c>
      <c r="O521" s="63">
        <f t="shared" si="70"/>
        <v>0</v>
      </c>
      <c r="P521" s="63">
        <f t="shared" si="71"/>
        <v>0</v>
      </c>
      <c r="Q521" s="561">
        <f t="shared" si="64"/>
        <v>0</v>
      </c>
      <c r="R521" s="174"/>
      <c r="T521" s="82"/>
      <c r="U521" s="82"/>
      <c r="V521" s="82"/>
      <c r="W521" s="82"/>
      <c r="X521" s="82"/>
      <c r="Y521" s="82"/>
      <c r="Z521" s="82"/>
      <c r="AA521" s="82"/>
      <c r="AB521" s="82"/>
    </row>
    <row r="522" spans="1:28" s="85" customFormat="1" x14ac:dyDescent="0.25">
      <c r="A522" s="82"/>
      <c r="B522" s="82"/>
      <c r="C522" s="82"/>
      <c r="D522" s="729"/>
      <c r="E522" s="371" t="s">
        <v>113</v>
      </c>
      <c r="F522" s="372">
        <v>20</v>
      </c>
      <c r="G522" s="373">
        <f>2*10</f>
        <v>20</v>
      </c>
      <c r="H522" s="374">
        <v>5</v>
      </c>
      <c r="I522" s="375">
        <v>0.99</v>
      </c>
      <c r="J522" s="376">
        <f t="shared" si="65"/>
        <v>19.8</v>
      </c>
      <c r="K522" s="66">
        <f t="shared" si="66"/>
        <v>3.0491999999999999</v>
      </c>
      <c r="L522" s="63">
        <f t="shared" si="67"/>
        <v>0</v>
      </c>
      <c r="M522" s="63">
        <f t="shared" si="68"/>
        <v>0</v>
      </c>
      <c r="N522" s="63">
        <f t="shared" si="69"/>
        <v>0</v>
      </c>
      <c r="O522" s="63">
        <f t="shared" si="70"/>
        <v>0</v>
      </c>
      <c r="P522" s="63">
        <f t="shared" si="71"/>
        <v>0</v>
      </c>
      <c r="Q522" s="561">
        <f t="shared" si="64"/>
        <v>0</v>
      </c>
      <c r="R522" s="174"/>
      <c r="T522" s="82"/>
      <c r="U522" s="82"/>
      <c r="V522" s="82"/>
      <c r="W522" s="82"/>
      <c r="X522" s="82"/>
      <c r="Y522" s="82"/>
      <c r="Z522" s="82"/>
      <c r="AA522" s="82"/>
      <c r="AB522" s="82"/>
    </row>
    <row r="523" spans="1:28" s="85" customFormat="1" ht="13.8" thickBot="1" x14ac:dyDescent="0.3">
      <c r="A523" s="82"/>
      <c r="B523" s="82"/>
      <c r="C523" s="82"/>
      <c r="D523" s="729"/>
      <c r="E523" s="371" t="s">
        <v>113</v>
      </c>
      <c r="F523" s="372">
        <v>23</v>
      </c>
      <c r="G523" s="373">
        <f>2*8</f>
        <v>16</v>
      </c>
      <c r="H523" s="374">
        <v>10</v>
      </c>
      <c r="I523" s="375">
        <v>3.42</v>
      </c>
      <c r="J523" s="376">
        <f t="shared" si="65"/>
        <v>54.72</v>
      </c>
      <c r="K523" s="66">
        <f t="shared" si="66"/>
        <v>0</v>
      </c>
      <c r="L523" s="63">
        <f t="shared" si="67"/>
        <v>0</v>
      </c>
      <c r="M523" s="63">
        <f t="shared" si="68"/>
        <v>0</v>
      </c>
      <c r="N523" s="63">
        <f t="shared" si="69"/>
        <v>33.762239999999998</v>
      </c>
      <c r="O523" s="63">
        <f t="shared" si="70"/>
        <v>0</v>
      </c>
      <c r="P523" s="63">
        <f t="shared" si="71"/>
        <v>0</v>
      </c>
      <c r="Q523" s="561">
        <f t="shared" si="64"/>
        <v>0</v>
      </c>
      <c r="R523" s="174"/>
      <c r="T523" s="82"/>
      <c r="U523" s="82"/>
      <c r="V523" s="82"/>
      <c r="W523" s="82"/>
      <c r="X523" s="82"/>
      <c r="Y523" s="82"/>
      <c r="Z523" s="82"/>
      <c r="AA523" s="82"/>
      <c r="AB523" s="82"/>
    </row>
    <row r="524" spans="1:28" s="85" customFormat="1" ht="13.8" thickTop="1" x14ac:dyDescent="0.25">
      <c r="A524" s="82"/>
      <c r="B524" s="82"/>
      <c r="C524" s="82"/>
      <c r="D524" s="728" t="s">
        <v>1419</v>
      </c>
      <c r="E524" s="384" t="s">
        <v>49</v>
      </c>
      <c r="F524" s="385">
        <v>7</v>
      </c>
      <c r="G524" s="386">
        <v>12</v>
      </c>
      <c r="H524" s="387">
        <v>5</v>
      </c>
      <c r="I524" s="388">
        <v>0.28999999999999998</v>
      </c>
      <c r="J524" s="389">
        <f t="shared" si="65"/>
        <v>3.4799999999999995</v>
      </c>
      <c r="K524" s="218">
        <f t="shared" si="66"/>
        <v>0.53591999999999995</v>
      </c>
      <c r="L524" s="219">
        <f t="shared" si="67"/>
        <v>0</v>
      </c>
      <c r="M524" s="219">
        <f t="shared" si="68"/>
        <v>0</v>
      </c>
      <c r="N524" s="219">
        <f t="shared" si="69"/>
        <v>0</v>
      </c>
      <c r="O524" s="219">
        <f t="shared" si="70"/>
        <v>0</v>
      </c>
      <c r="P524" s="219">
        <f t="shared" si="71"/>
        <v>0</v>
      </c>
      <c r="Q524" s="563">
        <f t="shared" si="64"/>
        <v>0</v>
      </c>
      <c r="R524" s="220"/>
      <c r="T524" s="82"/>
      <c r="U524" s="82"/>
      <c r="V524" s="82"/>
      <c r="W524" s="82"/>
      <c r="X524" s="82"/>
      <c r="Y524" s="82"/>
      <c r="Z524" s="82"/>
      <c r="AA524" s="82"/>
      <c r="AB524" s="82"/>
    </row>
    <row r="525" spans="1:28" s="85" customFormat="1" x14ac:dyDescent="0.25">
      <c r="A525" s="82"/>
      <c r="B525" s="82"/>
      <c r="C525" s="82"/>
      <c r="D525" s="729"/>
      <c r="E525" s="371" t="s">
        <v>49</v>
      </c>
      <c r="F525" s="372">
        <v>8</v>
      </c>
      <c r="G525" s="373">
        <v>3</v>
      </c>
      <c r="H525" s="374">
        <v>5</v>
      </c>
      <c r="I525" s="375">
        <v>2.17</v>
      </c>
      <c r="J525" s="376">
        <f t="shared" si="65"/>
        <v>6.51</v>
      </c>
      <c r="K525" s="66">
        <f t="shared" si="66"/>
        <v>1.00254</v>
      </c>
      <c r="L525" s="63">
        <f t="shared" si="67"/>
        <v>0</v>
      </c>
      <c r="M525" s="63">
        <f t="shared" si="68"/>
        <v>0</v>
      </c>
      <c r="N525" s="63">
        <f t="shared" si="69"/>
        <v>0</v>
      </c>
      <c r="O525" s="63">
        <f t="shared" si="70"/>
        <v>0</v>
      </c>
      <c r="P525" s="63">
        <f t="shared" si="71"/>
        <v>0</v>
      </c>
      <c r="Q525" s="561">
        <f t="shared" si="64"/>
        <v>0</v>
      </c>
      <c r="R525" s="174"/>
      <c r="T525" s="82"/>
      <c r="U525" s="82"/>
      <c r="V525" s="82"/>
      <c r="W525" s="82"/>
      <c r="X525" s="82"/>
      <c r="Y525" s="82"/>
      <c r="Z525" s="82"/>
      <c r="AA525" s="82"/>
      <c r="AB525" s="82"/>
    </row>
    <row r="526" spans="1:28" s="85" customFormat="1" x14ac:dyDescent="0.25">
      <c r="A526" s="82"/>
      <c r="B526" s="82"/>
      <c r="C526" s="82"/>
      <c r="D526" s="729"/>
      <c r="E526" s="371" t="s">
        <v>49</v>
      </c>
      <c r="F526" s="372">
        <v>9</v>
      </c>
      <c r="G526" s="373">
        <v>6</v>
      </c>
      <c r="H526" s="374">
        <v>5</v>
      </c>
      <c r="I526" s="375">
        <v>1.29</v>
      </c>
      <c r="J526" s="376">
        <f t="shared" si="65"/>
        <v>7.74</v>
      </c>
      <c r="K526" s="66">
        <f t="shared" si="66"/>
        <v>1.1919599999999999</v>
      </c>
      <c r="L526" s="63">
        <f t="shared" si="67"/>
        <v>0</v>
      </c>
      <c r="M526" s="63">
        <f t="shared" si="68"/>
        <v>0</v>
      </c>
      <c r="N526" s="63">
        <f t="shared" si="69"/>
        <v>0</v>
      </c>
      <c r="O526" s="63">
        <f t="shared" si="70"/>
        <v>0</v>
      </c>
      <c r="P526" s="63">
        <f t="shared" si="71"/>
        <v>0</v>
      </c>
      <c r="Q526" s="561">
        <f t="shared" si="64"/>
        <v>0</v>
      </c>
      <c r="R526" s="174"/>
      <c r="T526" s="82"/>
      <c r="U526" s="82"/>
      <c r="V526" s="82"/>
      <c r="W526" s="82"/>
      <c r="X526" s="82"/>
      <c r="Y526" s="82"/>
      <c r="Z526" s="82"/>
      <c r="AA526" s="82"/>
      <c r="AB526" s="82"/>
    </row>
    <row r="527" spans="1:28" s="85" customFormat="1" x14ac:dyDescent="0.25">
      <c r="A527" s="82"/>
      <c r="B527" s="82"/>
      <c r="C527" s="82"/>
      <c r="D527" s="729"/>
      <c r="E527" s="371" t="s">
        <v>49</v>
      </c>
      <c r="F527" s="372">
        <v>30</v>
      </c>
      <c r="G527" s="373">
        <v>8</v>
      </c>
      <c r="H527" s="374">
        <v>16</v>
      </c>
      <c r="I527" s="375">
        <v>1.6</v>
      </c>
      <c r="J527" s="376">
        <f t="shared" si="65"/>
        <v>12.8</v>
      </c>
      <c r="K527" s="66">
        <f t="shared" si="66"/>
        <v>0</v>
      </c>
      <c r="L527" s="63">
        <f t="shared" si="67"/>
        <v>0</v>
      </c>
      <c r="M527" s="63">
        <f t="shared" si="68"/>
        <v>0</v>
      </c>
      <c r="N527" s="63">
        <f t="shared" si="69"/>
        <v>0</v>
      </c>
      <c r="O527" s="63">
        <f t="shared" si="70"/>
        <v>0</v>
      </c>
      <c r="P527" s="63">
        <f t="shared" si="71"/>
        <v>20.198400000000003</v>
      </c>
      <c r="Q527" s="561">
        <f t="shared" si="64"/>
        <v>0</v>
      </c>
      <c r="R527" s="174"/>
      <c r="T527" s="82"/>
      <c r="U527" s="82"/>
      <c r="V527" s="82"/>
      <c r="W527" s="82"/>
      <c r="X527" s="82"/>
      <c r="Y527" s="82"/>
      <c r="Z527" s="82"/>
      <c r="AA527" s="82"/>
      <c r="AB527" s="82"/>
    </row>
    <row r="528" spans="1:28" s="85" customFormat="1" x14ac:dyDescent="0.25">
      <c r="A528" s="82"/>
      <c r="B528" s="82"/>
      <c r="C528" s="82"/>
      <c r="D528" s="729"/>
      <c r="E528" s="371" t="s">
        <v>113</v>
      </c>
      <c r="F528" s="372">
        <v>8</v>
      </c>
      <c r="G528" s="373">
        <v>46</v>
      </c>
      <c r="H528" s="374">
        <v>5</v>
      </c>
      <c r="I528" s="375">
        <v>0.28999999999999998</v>
      </c>
      <c r="J528" s="376">
        <f t="shared" si="65"/>
        <v>13.34</v>
      </c>
      <c r="K528" s="66">
        <f t="shared" si="66"/>
        <v>2.05436</v>
      </c>
      <c r="L528" s="63">
        <f t="shared" si="67"/>
        <v>0</v>
      </c>
      <c r="M528" s="63">
        <f t="shared" si="68"/>
        <v>0</v>
      </c>
      <c r="N528" s="63">
        <f t="shared" si="69"/>
        <v>0</v>
      </c>
      <c r="O528" s="63">
        <f t="shared" si="70"/>
        <v>0</v>
      </c>
      <c r="P528" s="63">
        <f t="shared" si="71"/>
        <v>0</v>
      </c>
      <c r="Q528" s="561">
        <f t="shared" si="64"/>
        <v>0</v>
      </c>
      <c r="R528" s="174"/>
      <c r="T528" s="82"/>
      <c r="U528" s="82"/>
      <c r="V528" s="82"/>
      <c r="W528" s="82"/>
      <c r="X528" s="82"/>
      <c r="Y528" s="82"/>
      <c r="Z528" s="82"/>
      <c r="AA528" s="82"/>
      <c r="AB528" s="82"/>
    </row>
    <row r="529" spans="1:28" s="85" customFormat="1" x14ac:dyDescent="0.25">
      <c r="A529" s="82"/>
      <c r="B529" s="82"/>
      <c r="C529" s="82"/>
      <c r="D529" s="729"/>
      <c r="E529" s="371" t="s">
        <v>113</v>
      </c>
      <c r="F529" s="372">
        <v>9</v>
      </c>
      <c r="G529" s="373">
        <v>19</v>
      </c>
      <c r="H529" s="374">
        <v>5</v>
      </c>
      <c r="I529" s="375">
        <v>2.17</v>
      </c>
      <c r="J529" s="376">
        <f t="shared" si="65"/>
        <v>41.23</v>
      </c>
      <c r="K529" s="66">
        <f t="shared" si="66"/>
        <v>6.3494199999999994</v>
      </c>
      <c r="L529" s="63">
        <f t="shared" si="67"/>
        <v>0</v>
      </c>
      <c r="M529" s="63">
        <f t="shared" si="68"/>
        <v>0</v>
      </c>
      <c r="N529" s="63">
        <f t="shared" si="69"/>
        <v>0</v>
      </c>
      <c r="O529" s="63">
        <f t="shared" si="70"/>
        <v>0</v>
      </c>
      <c r="P529" s="63">
        <f t="shared" si="71"/>
        <v>0</v>
      </c>
      <c r="Q529" s="561">
        <f t="shared" si="64"/>
        <v>0</v>
      </c>
      <c r="R529" s="174"/>
      <c r="T529" s="82"/>
      <c r="U529" s="82"/>
      <c r="V529" s="82"/>
      <c r="W529" s="82"/>
      <c r="X529" s="82"/>
      <c r="Y529" s="82"/>
      <c r="Z529" s="82"/>
      <c r="AA529" s="82"/>
      <c r="AB529" s="82"/>
    </row>
    <row r="530" spans="1:28" s="85" customFormat="1" x14ac:dyDescent="0.25">
      <c r="A530" s="82"/>
      <c r="B530" s="82"/>
      <c r="C530" s="82"/>
      <c r="D530" s="729"/>
      <c r="E530" s="371" t="s">
        <v>113</v>
      </c>
      <c r="F530" s="372">
        <v>10</v>
      </c>
      <c r="G530" s="373">
        <v>8</v>
      </c>
      <c r="H530" s="374">
        <v>5</v>
      </c>
      <c r="I530" s="375">
        <v>1.29</v>
      </c>
      <c r="J530" s="376">
        <f t="shared" si="65"/>
        <v>10.32</v>
      </c>
      <c r="K530" s="66">
        <f t="shared" si="66"/>
        <v>1.58928</v>
      </c>
      <c r="L530" s="63">
        <f t="shared" si="67"/>
        <v>0</v>
      </c>
      <c r="M530" s="63">
        <f t="shared" si="68"/>
        <v>0</v>
      </c>
      <c r="N530" s="63">
        <f t="shared" si="69"/>
        <v>0</v>
      </c>
      <c r="O530" s="63">
        <f t="shared" si="70"/>
        <v>0</v>
      </c>
      <c r="P530" s="63">
        <f t="shared" si="71"/>
        <v>0</v>
      </c>
      <c r="Q530" s="561">
        <f t="shared" si="64"/>
        <v>0</v>
      </c>
      <c r="R530" s="174"/>
      <c r="T530" s="82"/>
      <c r="U530" s="82"/>
      <c r="V530" s="82"/>
      <c r="W530" s="82"/>
      <c r="X530" s="82"/>
      <c r="Y530" s="82"/>
      <c r="Z530" s="82"/>
      <c r="AA530" s="82"/>
      <c r="AB530" s="82"/>
    </row>
    <row r="531" spans="1:28" s="85" customFormat="1" x14ac:dyDescent="0.25">
      <c r="A531" s="82"/>
      <c r="B531" s="82"/>
      <c r="C531" s="82"/>
      <c r="D531" s="729"/>
      <c r="E531" s="371" t="s">
        <v>113</v>
      </c>
      <c r="F531" s="372">
        <v>60</v>
      </c>
      <c r="G531" s="373">
        <v>8</v>
      </c>
      <c r="H531" s="374">
        <v>16</v>
      </c>
      <c r="I531" s="375">
        <v>3.98</v>
      </c>
      <c r="J531" s="376">
        <f t="shared" si="65"/>
        <v>31.84</v>
      </c>
      <c r="K531" s="66">
        <f t="shared" si="66"/>
        <v>0</v>
      </c>
      <c r="L531" s="63">
        <f t="shared" si="67"/>
        <v>0</v>
      </c>
      <c r="M531" s="63">
        <f t="shared" si="68"/>
        <v>0</v>
      </c>
      <c r="N531" s="63">
        <f t="shared" si="69"/>
        <v>0</v>
      </c>
      <c r="O531" s="63">
        <f t="shared" si="70"/>
        <v>0</v>
      </c>
      <c r="P531" s="63">
        <f t="shared" si="71"/>
        <v>50.243520000000004</v>
      </c>
      <c r="Q531" s="561">
        <f t="shared" si="64"/>
        <v>0</v>
      </c>
      <c r="R531" s="174"/>
      <c r="T531" s="82"/>
      <c r="U531" s="82"/>
      <c r="V531" s="82"/>
      <c r="W531" s="82"/>
      <c r="X531" s="82"/>
      <c r="Y531" s="82"/>
      <c r="Z531" s="82"/>
      <c r="AA531" s="82"/>
      <c r="AB531" s="82"/>
    </row>
    <row r="532" spans="1:28" s="85" customFormat="1" x14ac:dyDescent="0.25">
      <c r="A532" s="82"/>
      <c r="B532" s="82"/>
      <c r="C532" s="82"/>
      <c r="D532" s="729"/>
      <c r="E532" s="396" t="s">
        <v>184</v>
      </c>
      <c r="F532" s="403">
        <v>4</v>
      </c>
      <c r="G532" s="397">
        <v>14</v>
      </c>
      <c r="H532" s="398">
        <v>5</v>
      </c>
      <c r="I532" s="399">
        <v>0.28999999999999998</v>
      </c>
      <c r="J532" s="400">
        <f t="shared" si="65"/>
        <v>4.0599999999999996</v>
      </c>
      <c r="K532" s="401">
        <f t="shared" si="66"/>
        <v>0.62523999999999991</v>
      </c>
      <c r="L532" s="196">
        <f t="shared" si="67"/>
        <v>0</v>
      </c>
      <c r="M532" s="196">
        <f t="shared" si="68"/>
        <v>0</v>
      </c>
      <c r="N532" s="196">
        <f t="shared" si="69"/>
        <v>0</v>
      </c>
      <c r="O532" s="196">
        <f t="shared" si="70"/>
        <v>0</v>
      </c>
      <c r="P532" s="196">
        <f t="shared" si="71"/>
        <v>0</v>
      </c>
      <c r="Q532" s="566">
        <f t="shared" si="64"/>
        <v>0</v>
      </c>
      <c r="R532" s="538"/>
      <c r="T532" s="82"/>
      <c r="U532" s="82"/>
      <c r="V532" s="82"/>
      <c r="W532" s="82"/>
      <c r="X532" s="82"/>
      <c r="Y532" s="82"/>
      <c r="Z532" s="82"/>
      <c r="AA532" s="82"/>
      <c r="AB532" s="82"/>
    </row>
    <row r="533" spans="1:28" s="85" customFormat="1" x14ac:dyDescent="0.25">
      <c r="A533" s="82"/>
      <c r="B533" s="82"/>
      <c r="C533" s="82"/>
      <c r="D533" s="729"/>
      <c r="E533" s="371" t="s">
        <v>184</v>
      </c>
      <c r="F533" s="372">
        <v>21</v>
      </c>
      <c r="G533" s="373">
        <v>6</v>
      </c>
      <c r="H533" s="374">
        <v>5</v>
      </c>
      <c r="I533" s="375">
        <v>2.17</v>
      </c>
      <c r="J533" s="376">
        <f t="shared" si="65"/>
        <v>13.02</v>
      </c>
      <c r="K533" s="66">
        <f t="shared" si="66"/>
        <v>2.00508</v>
      </c>
      <c r="L533" s="63">
        <f t="shared" si="67"/>
        <v>0</v>
      </c>
      <c r="M533" s="63">
        <f t="shared" si="68"/>
        <v>0</v>
      </c>
      <c r="N533" s="63">
        <f t="shared" si="69"/>
        <v>0</v>
      </c>
      <c r="O533" s="63">
        <f t="shared" si="70"/>
        <v>0</v>
      </c>
      <c r="P533" s="63">
        <f t="shared" si="71"/>
        <v>0</v>
      </c>
      <c r="Q533" s="562">
        <f t="shared" si="64"/>
        <v>0</v>
      </c>
      <c r="R533" s="377"/>
      <c r="T533" s="82"/>
      <c r="U533" s="82"/>
      <c r="V533" s="82"/>
      <c r="W533" s="82"/>
      <c r="X533" s="82"/>
      <c r="Y533" s="82"/>
      <c r="Z533" s="82"/>
      <c r="AA533" s="82"/>
      <c r="AB533" s="82"/>
    </row>
    <row r="534" spans="1:28" s="85" customFormat="1" x14ac:dyDescent="0.25">
      <c r="A534" s="82"/>
      <c r="B534" s="82"/>
      <c r="C534" s="82"/>
      <c r="D534" s="729"/>
      <c r="E534" s="371" t="s">
        <v>184</v>
      </c>
      <c r="F534" s="372">
        <v>22</v>
      </c>
      <c r="G534" s="373">
        <v>2</v>
      </c>
      <c r="H534" s="374">
        <v>5</v>
      </c>
      <c r="I534" s="375">
        <v>1.29</v>
      </c>
      <c r="J534" s="376">
        <f t="shared" si="65"/>
        <v>2.58</v>
      </c>
      <c r="K534" s="66">
        <f t="shared" si="66"/>
        <v>0.39732000000000001</v>
      </c>
      <c r="L534" s="63">
        <f t="shared" si="67"/>
        <v>0</v>
      </c>
      <c r="M534" s="63">
        <f t="shared" si="68"/>
        <v>0</v>
      </c>
      <c r="N534" s="63">
        <f t="shared" si="69"/>
        <v>0</v>
      </c>
      <c r="O534" s="63">
        <f t="shared" si="70"/>
        <v>0</v>
      </c>
      <c r="P534" s="63">
        <f t="shared" si="71"/>
        <v>0</v>
      </c>
      <c r="Q534" s="562">
        <f t="shared" si="64"/>
        <v>0</v>
      </c>
      <c r="R534" s="377"/>
      <c r="T534" s="82"/>
      <c r="U534" s="82"/>
      <c r="V534" s="82"/>
      <c r="W534" s="82"/>
      <c r="X534" s="82"/>
      <c r="Y534" s="82"/>
      <c r="Z534" s="82"/>
      <c r="AA534" s="82"/>
      <c r="AB534" s="82"/>
    </row>
    <row r="535" spans="1:28" s="85" customFormat="1" ht="13.8" thickBot="1" x14ac:dyDescent="0.3">
      <c r="A535" s="82"/>
      <c r="B535" s="82"/>
      <c r="C535" s="82"/>
      <c r="D535" s="731"/>
      <c r="E535" s="390" t="s">
        <v>184</v>
      </c>
      <c r="F535" s="391">
        <v>59</v>
      </c>
      <c r="G535" s="392">
        <v>8</v>
      </c>
      <c r="H535" s="393">
        <v>16</v>
      </c>
      <c r="I535" s="394">
        <v>1.02</v>
      </c>
      <c r="J535" s="395">
        <f t="shared" si="65"/>
        <v>8.16</v>
      </c>
      <c r="K535" s="221">
        <f t="shared" si="66"/>
        <v>0</v>
      </c>
      <c r="L535" s="222">
        <f t="shared" si="67"/>
        <v>0</v>
      </c>
      <c r="M535" s="222">
        <f t="shared" si="68"/>
        <v>0</v>
      </c>
      <c r="N535" s="222">
        <f t="shared" si="69"/>
        <v>0</v>
      </c>
      <c r="O535" s="222">
        <f t="shared" si="70"/>
        <v>0</v>
      </c>
      <c r="P535" s="222">
        <f t="shared" si="71"/>
        <v>12.876480000000001</v>
      </c>
      <c r="Q535" s="564">
        <f t="shared" si="64"/>
        <v>0</v>
      </c>
      <c r="R535" s="539"/>
      <c r="T535" s="82"/>
      <c r="U535" s="82"/>
      <c r="V535" s="82"/>
      <c r="W535" s="82"/>
      <c r="X535" s="82"/>
      <c r="Y535" s="82"/>
      <c r="Z535" s="82"/>
      <c r="AA535" s="82"/>
      <c r="AB535" s="82"/>
    </row>
    <row r="536" spans="1:28" s="85" customFormat="1" ht="13.8" thickTop="1" x14ac:dyDescent="0.25">
      <c r="A536" s="82"/>
      <c r="B536" s="82"/>
      <c r="C536" s="82"/>
      <c r="D536" s="728" t="s">
        <v>1457</v>
      </c>
      <c r="E536" s="384" t="s">
        <v>49</v>
      </c>
      <c r="F536" s="385">
        <v>4</v>
      </c>
      <c r="G536" s="386">
        <v>12</v>
      </c>
      <c r="H536" s="387">
        <v>5</v>
      </c>
      <c r="I536" s="388">
        <v>0.28999999999999998</v>
      </c>
      <c r="J536" s="389">
        <f t="shared" si="65"/>
        <v>3.4799999999999995</v>
      </c>
      <c r="K536" s="218">
        <f t="shared" si="66"/>
        <v>0.53591999999999995</v>
      </c>
      <c r="L536" s="219">
        <f t="shared" si="67"/>
        <v>0</v>
      </c>
      <c r="M536" s="219">
        <f t="shared" si="68"/>
        <v>0</v>
      </c>
      <c r="N536" s="219">
        <f t="shared" si="69"/>
        <v>0</v>
      </c>
      <c r="O536" s="219">
        <f t="shared" si="70"/>
        <v>0</v>
      </c>
      <c r="P536" s="219">
        <f t="shared" si="71"/>
        <v>0</v>
      </c>
      <c r="Q536" s="563">
        <f t="shared" si="64"/>
        <v>0</v>
      </c>
      <c r="R536" s="220"/>
      <c r="T536" s="82"/>
      <c r="U536" s="82"/>
      <c r="V536" s="82"/>
      <c r="W536" s="82"/>
      <c r="X536" s="82"/>
      <c r="Y536" s="82"/>
      <c r="Z536" s="82"/>
      <c r="AA536" s="82"/>
      <c r="AB536" s="82"/>
    </row>
    <row r="537" spans="1:28" s="85" customFormat="1" x14ac:dyDescent="0.25">
      <c r="A537" s="82"/>
      <c r="B537" s="82"/>
      <c r="C537" s="82"/>
      <c r="D537" s="729"/>
      <c r="E537" s="371" t="s">
        <v>49</v>
      </c>
      <c r="F537" s="372">
        <v>5</v>
      </c>
      <c r="G537" s="373">
        <v>3</v>
      </c>
      <c r="H537" s="374">
        <v>5</v>
      </c>
      <c r="I537" s="375">
        <v>1.07</v>
      </c>
      <c r="J537" s="376">
        <f t="shared" si="65"/>
        <v>3.21</v>
      </c>
      <c r="K537" s="66">
        <f t="shared" si="66"/>
        <v>0.49434</v>
      </c>
      <c r="L537" s="63">
        <f t="shared" si="67"/>
        <v>0</v>
      </c>
      <c r="M537" s="63">
        <f t="shared" si="68"/>
        <v>0</v>
      </c>
      <c r="N537" s="63">
        <f t="shared" si="69"/>
        <v>0</v>
      </c>
      <c r="O537" s="63">
        <f t="shared" si="70"/>
        <v>0</v>
      </c>
      <c r="P537" s="63">
        <f t="shared" si="71"/>
        <v>0</v>
      </c>
      <c r="Q537" s="561">
        <f t="shared" si="64"/>
        <v>0</v>
      </c>
      <c r="R537" s="174"/>
      <c r="T537" s="82"/>
      <c r="U537" s="82"/>
      <c r="V537" s="82"/>
      <c r="W537" s="82"/>
      <c r="X537" s="82"/>
      <c r="Y537" s="82"/>
      <c r="Z537" s="82"/>
      <c r="AA537" s="82"/>
      <c r="AB537" s="82"/>
    </row>
    <row r="538" spans="1:28" s="85" customFormat="1" x14ac:dyDescent="0.25">
      <c r="A538" s="82"/>
      <c r="B538" s="82"/>
      <c r="C538" s="82"/>
      <c r="D538" s="729"/>
      <c r="E538" s="371" t="s">
        <v>49</v>
      </c>
      <c r="F538" s="372">
        <v>6</v>
      </c>
      <c r="G538" s="373">
        <v>6</v>
      </c>
      <c r="H538" s="374">
        <v>5</v>
      </c>
      <c r="I538" s="375">
        <v>0.74</v>
      </c>
      <c r="J538" s="376">
        <f t="shared" si="65"/>
        <v>4.4399999999999995</v>
      </c>
      <c r="K538" s="66">
        <f t="shared" si="66"/>
        <v>0.68375999999999992</v>
      </c>
      <c r="L538" s="63">
        <f t="shared" si="67"/>
        <v>0</v>
      </c>
      <c r="M538" s="63">
        <f t="shared" si="68"/>
        <v>0</v>
      </c>
      <c r="N538" s="63">
        <f t="shared" si="69"/>
        <v>0</v>
      </c>
      <c r="O538" s="63">
        <f t="shared" si="70"/>
        <v>0</v>
      </c>
      <c r="P538" s="63">
        <f t="shared" si="71"/>
        <v>0</v>
      </c>
      <c r="Q538" s="561">
        <f t="shared" si="64"/>
        <v>0</v>
      </c>
      <c r="R538" s="174"/>
      <c r="T538" s="82"/>
      <c r="U538" s="82"/>
      <c r="V538" s="82"/>
      <c r="W538" s="82"/>
      <c r="X538" s="82"/>
      <c r="Y538" s="82"/>
      <c r="Z538" s="82"/>
      <c r="AA538" s="82"/>
      <c r="AB538" s="82"/>
    </row>
    <row r="539" spans="1:28" s="85" customFormat="1" x14ac:dyDescent="0.25">
      <c r="A539" s="82"/>
      <c r="B539" s="82"/>
      <c r="C539" s="82"/>
      <c r="D539" s="729"/>
      <c r="E539" s="371" t="s">
        <v>49</v>
      </c>
      <c r="F539" s="372">
        <v>19</v>
      </c>
      <c r="G539" s="373">
        <v>8</v>
      </c>
      <c r="H539" s="374">
        <v>16</v>
      </c>
      <c r="I539" s="375">
        <v>1.55</v>
      </c>
      <c r="J539" s="376">
        <f t="shared" si="65"/>
        <v>12.4</v>
      </c>
      <c r="K539" s="66">
        <f t="shared" si="66"/>
        <v>0</v>
      </c>
      <c r="L539" s="63">
        <f t="shared" si="67"/>
        <v>0</v>
      </c>
      <c r="M539" s="63">
        <f t="shared" si="68"/>
        <v>0</v>
      </c>
      <c r="N539" s="63">
        <f t="shared" si="69"/>
        <v>0</v>
      </c>
      <c r="O539" s="63">
        <f t="shared" si="70"/>
        <v>0</v>
      </c>
      <c r="P539" s="63">
        <f t="shared" si="71"/>
        <v>19.5672</v>
      </c>
      <c r="Q539" s="561">
        <f t="shared" si="64"/>
        <v>0</v>
      </c>
      <c r="R539" s="174"/>
      <c r="T539" s="82"/>
      <c r="U539" s="82"/>
      <c r="V539" s="82"/>
      <c r="W539" s="82"/>
      <c r="X539" s="82"/>
      <c r="Y539" s="82"/>
      <c r="Z539" s="82"/>
      <c r="AA539" s="82"/>
      <c r="AB539" s="82"/>
    </row>
    <row r="540" spans="1:28" s="85" customFormat="1" x14ac:dyDescent="0.25">
      <c r="A540" s="82"/>
      <c r="B540" s="82"/>
      <c r="C540" s="82"/>
      <c r="D540" s="729"/>
      <c r="E540" s="371" t="s">
        <v>113</v>
      </c>
      <c r="F540" s="372">
        <v>6</v>
      </c>
      <c r="G540" s="373">
        <v>46</v>
      </c>
      <c r="H540" s="374">
        <v>5</v>
      </c>
      <c r="I540" s="375">
        <v>0.28999999999999998</v>
      </c>
      <c r="J540" s="376">
        <f t="shared" si="65"/>
        <v>13.34</v>
      </c>
      <c r="K540" s="66">
        <f t="shared" si="66"/>
        <v>2.05436</v>
      </c>
      <c r="L540" s="63">
        <f t="shared" si="67"/>
        <v>0</v>
      </c>
      <c r="M540" s="63">
        <f t="shared" si="68"/>
        <v>0</v>
      </c>
      <c r="N540" s="63">
        <f t="shared" si="69"/>
        <v>0</v>
      </c>
      <c r="O540" s="63">
        <f t="shared" si="70"/>
        <v>0</v>
      </c>
      <c r="P540" s="63">
        <f t="shared" si="71"/>
        <v>0</v>
      </c>
      <c r="Q540" s="561">
        <f t="shared" si="64"/>
        <v>0</v>
      </c>
      <c r="R540" s="174"/>
      <c r="T540" s="82"/>
      <c r="U540" s="82"/>
      <c r="V540" s="82"/>
      <c r="W540" s="82"/>
      <c r="X540" s="82"/>
      <c r="Y540" s="82"/>
      <c r="Z540" s="82"/>
      <c r="AA540" s="82"/>
      <c r="AB540" s="82"/>
    </row>
    <row r="541" spans="1:28" s="85" customFormat="1" x14ac:dyDescent="0.25">
      <c r="A541" s="82"/>
      <c r="B541" s="82"/>
      <c r="C541" s="82"/>
      <c r="D541" s="729"/>
      <c r="E541" s="371" t="s">
        <v>113</v>
      </c>
      <c r="F541" s="372">
        <v>7</v>
      </c>
      <c r="G541" s="373">
        <v>19</v>
      </c>
      <c r="H541" s="374">
        <v>5</v>
      </c>
      <c r="I541" s="375">
        <v>1.07</v>
      </c>
      <c r="J541" s="376">
        <f t="shared" si="65"/>
        <v>20.330000000000002</v>
      </c>
      <c r="K541" s="66">
        <f t="shared" si="66"/>
        <v>3.1308200000000004</v>
      </c>
      <c r="L541" s="63">
        <f t="shared" si="67"/>
        <v>0</v>
      </c>
      <c r="M541" s="63">
        <f t="shared" si="68"/>
        <v>0</v>
      </c>
      <c r="N541" s="63">
        <f t="shared" si="69"/>
        <v>0</v>
      </c>
      <c r="O541" s="63">
        <f t="shared" si="70"/>
        <v>0</v>
      </c>
      <c r="P541" s="63">
        <f t="shared" si="71"/>
        <v>0</v>
      </c>
      <c r="Q541" s="561">
        <f t="shared" si="64"/>
        <v>0</v>
      </c>
      <c r="R541" s="174"/>
      <c r="T541" s="82"/>
      <c r="U541" s="82"/>
      <c r="V541" s="82"/>
      <c r="W541" s="82"/>
      <c r="X541" s="82"/>
      <c r="Y541" s="82"/>
      <c r="Z541" s="82"/>
      <c r="AA541" s="82"/>
      <c r="AB541" s="82"/>
    </row>
    <row r="542" spans="1:28" s="85" customFormat="1" x14ac:dyDescent="0.25">
      <c r="A542" s="82"/>
      <c r="B542" s="82"/>
      <c r="C542" s="82"/>
      <c r="D542" s="729"/>
      <c r="E542" s="371" t="s">
        <v>113</v>
      </c>
      <c r="F542" s="372">
        <v>8</v>
      </c>
      <c r="G542" s="373">
        <v>8</v>
      </c>
      <c r="H542" s="374">
        <v>5</v>
      </c>
      <c r="I542" s="375">
        <v>0.74</v>
      </c>
      <c r="J542" s="376">
        <f t="shared" si="65"/>
        <v>5.92</v>
      </c>
      <c r="K542" s="66">
        <f t="shared" si="66"/>
        <v>0.91167999999999993</v>
      </c>
      <c r="L542" s="63">
        <f t="shared" si="67"/>
        <v>0</v>
      </c>
      <c r="M542" s="63">
        <f t="shared" si="68"/>
        <v>0</v>
      </c>
      <c r="N542" s="63">
        <f t="shared" si="69"/>
        <v>0</v>
      </c>
      <c r="O542" s="63">
        <f t="shared" si="70"/>
        <v>0</v>
      </c>
      <c r="P542" s="63">
        <f t="shared" si="71"/>
        <v>0</v>
      </c>
      <c r="Q542" s="561">
        <f t="shared" si="64"/>
        <v>0</v>
      </c>
      <c r="R542" s="174"/>
      <c r="T542" s="82"/>
      <c r="U542" s="82"/>
      <c r="V542" s="82"/>
      <c r="W542" s="82"/>
      <c r="X542" s="82"/>
      <c r="Y542" s="82"/>
      <c r="Z542" s="82"/>
      <c r="AA542" s="82"/>
      <c r="AB542" s="82"/>
    </row>
    <row r="543" spans="1:28" s="85" customFormat="1" x14ac:dyDescent="0.25">
      <c r="A543" s="82"/>
      <c r="B543" s="82"/>
      <c r="C543" s="82"/>
      <c r="D543" s="729"/>
      <c r="E543" s="371" t="s">
        <v>113</v>
      </c>
      <c r="F543" s="372">
        <v>25</v>
      </c>
      <c r="G543" s="373">
        <v>8</v>
      </c>
      <c r="H543" s="374">
        <v>16</v>
      </c>
      <c r="I543" s="375">
        <v>3.98</v>
      </c>
      <c r="J543" s="376">
        <f t="shared" si="65"/>
        <v>31.84</v>
      </c>
      <c r="K543" s="66">
        <f t="shared" si="66"/>
        <v>0</v>
      </c>
      <c r="L543" s="63">
        <f t="shared" si="67"/>
        <v>0</v>
      </c>
      <c r="M543" s="63">
        <f t="shared" si="68"/>
        <v>0</v>
      </c>
      <c r="N543" s="63">
        <f t="shared" si="69"/>
        <v>0</v>
      </c>
      <c r="O543" s="63">
        <f t="shared" si="70"/>
        <v>0</v>
      </c>
      <c r="P543" s="63">
        <f t="shared" si="71"/>
        <v>50.243520000000004</v>
      </c>
      <c r="Q543" s="561">
        <f t="shared" si="64"/>
        <v>0</v>
      </c>
      <c r="R543" s="174"/>
      <c r="T543" s="82"/>
      <c r="U543" s="82"/>
      <c r="V543" s="82"/>
      <c r="W543" s="82"/>
      <c r="X543" s="82"/>
      <c r="Y543" s="82"/>
      <c r="Z543" s="82"/>
      <c r="AA543" s="82"/>
      <c r="AB543" s="82"/>
    </row>
    <row r="544" spans="1:28" s="85" customFormat="1" x14ac:dyDescent="0.25">
      <c r="A544" s="82"/>
      <c r="B544" s="82"/>
      <c r="C544" s="82"/>
      <c r="D544" s="729"/>
      <c r="E544" s="396" t="s">
        <v>184</v>
      </c>
      <c r="F544" s="403">
        <v>4</v>
      </c>
      <c r="G544" s="397">
        <v>12</v>
      </c>
      <c r="H544" s="398">
        <v>5</v>
      </c>
      <c r="I544" s="399">
        <v>0.28999999999999998</v>
      </c>
      <c r="J544" s="400">
        <f t="shared" si="65"/>
        <v>3.4799999999999995</v>
      </c>
      <c r="K544" s="401">
        <f t="shared" si="66"/>
        <v>0.53591999999999995</v>
      </c>
      <c r="L544" s="196">
        <f t="shared" si="67"/>
        <v>0</v>
      </c>
      <c r="M544" s="196">
        <f t="shared" si="68"/>
        <v>0</v>
      </c>
      <c r="N544" s="196">
        <f t="shared" si="69"/>
        <v>0</v>
      </c>
      <c r="O544" s="196">
        <f t="shared" si="70"/>
        <v>0</v>
      </c>
      <c r="P544" s="196">
        <f t="shared" si="71"/>
        <v>0</v>
      </c>
      <c r="Q544" s="566">
        <f t="shared" si="64"/>
        <v>0</v>
      </c>
      <c r="R544" s="538"/>
      <c r="T544" s="82"/>
      <c r="U544" s="82"/>
      <c r="V544" s="82"/>
      <c r="W544" s="82"/>
      <c r="X544" s="82"/>
      <c r="Y544" s="82"/>
      <c r="Z544" s="82"/>
      <c r="AA544" s="82"/>
      <c r="AB544" s="82"/>
    </row>
    <row r="545" spans="1:28" s="85" customFormat="1" x14ac:dyDescent="0.25">
      <c r="A545" s="82"/>
      <c r="B545" s="82"/>
      <c r="C545" s="82"/>
      <c r="D545" s="729"/>
      <c r="E545" s="371" t="s">
        <v>184</v>
      </c>
      <c r="F545" s="372">
        <v>5</v>
      </c>
      <c r="G545" s="373">
        <v>5</v>
      </c>
      <c r="H545" s="374">
        <v>5</v>
      </c>
      <c r="I545" s="375">
        <v>1.07</v>
      </c>
      <c r="J545" s="376">
        <f t="shared" si="65"/>
        <v>5.3500000000000005</v>
      </c>
      <c r="K545" s="66">
        <f t="shared" si="66"/>
        <v>0.82390000000000008</v>
      </c>
      <c r="L545" s="63">
        <f t="shared" si="67"/>
        <v>0</v>
      </c>
      <c r="M545" s="63">
        <f t="shared" si="68"/>
        <v>0</v>
      </c>
      <c r="N545" s="63">
        <f t="shared" si="69"/>
        <v>0</v>
      </c>
      <c r="O545" s="63">
        <f t="shared" si="70"/>
        <v>0</v>
      </c>
      <c r="P545" s="63">
        <f t="shared" si="71"/>
        <v>0</v>
      </c>
      <c r="Q545" s="562">
        <f t="shared" si="64"/>
        <v>0</v>
      </c>
      <c r="R545" s="377"/>
      <c r="T545" s="82"/>
      <c r="U545" s="82"/>
      <c r="V545" s="82"/>
      <c r="W545" s="82"/>
      <c r="X545" s="82"/>
      <c r="Y545" s="82"/>
      <c r="Z545" s="82"/>
      <c r="AA545" s="82"/>
      <c r="AB545" s="82"/>
    </row>
    <row r="546" spans="1:28" s="85" customFormat="1" x14ac:dyDescent="0.25">
      <c r="A546" s="82"/>
      <c r="B546" s="82"/>
      <c r="C546" s="82"/>
      <c r="D546" s="729"/>
      <c r="E546" s="371" t="s">
        <v>184</v>
      </c>
      <c r="F546" s="372">
        <v>6</v>
      </c>
      <c r="G546" s="373">
        <v>2</v>
      </c>
      <c r="H546" s="374">
        <v>5</v>
      </c>
      <c r="I546" s="375">
        <v>0.74</v>
      </c>
      <c r="J546" s="376">
        <f t="shared" si="65"/>
        <v>1.48</v>
      </c>
      <c r="K546" s="66">
        <f t="shared" si="66"/>
        <v>0.22791999999999998</v>
      </c>
      <c r="L546" s="63">
        <f t="shared" si="67"/>
        <v>0</v>
      </c>
      <c r="M546" s="63">
        <f t="shared" si="68"/>
        <v>0</v>
      </c>
      <c r="N546" s="63">
        <f t="shared" si="69"/>
        <v>0</v>
      </c>
      <c r="O546" s="63">
        <f t="shared" si="70"/>
        <v>0</v>
      </c>
      <c r="P546" s="63">
        <f t="shared" si="71"/>
        <v>0</v>
      </c>
      <c r="Q546" s="562">
        <f t="shared" si="64"/>
        <v>0</v>
      </c>
      <c r="R546" s="377"/>
      <c r="T546" s="82"/>
      <c r="U546" s="82"/>
      <c r="V546" s="82"/>
      <c r="W546" s="82"/>
      <c r="X546" s="82"/>
      <c r="Y546" s="82"/>
      <c r="Z546" s="82"/>
      <c r="AA546" s="82"/>
      <c r="AB546" s="82"/>
    </row>
    <row r="547" spans="1:28" s="85" customFormat="1" ht="13.8" thickBot="1" x14ac:dyDescent="0.3">
      <c r="A547" s="82"/>
      <c r="B547" s="82"/>
      <c r="C547" s="82"/>
      <c r="D547" s="731"/>
      <c r="E547" s="390" t="s">
        <v>184</v>
      </c>
      <c r="F547" s="391">
        <v>59</v>
      </c>
      <c r="G547" s="392">
        <v>8</v>
      </c>
      <c r="H547" s="393">
        <v>16</v>
      </c>
      <c r="I547" s="394">
        <v>1.02</v>
      </c>
      <c r="J547" s="395">
        <f t="shared" si="65"/>
        <v>8.16</v>
      </c>
      <c r="K547" s="221">
        <f t="shared" si="66"/>
        <v>0</v>
      </c>
      <c r="L547" s="222">
        <f t="shared" si="67"/>
        <v>0</v>
      </c>
      <c r="M547" s="222">
        <f t="shared" si="68"/>
        <v>0</v>
      </c>
      <c r="N547" s="222">
        <f t="shared" si="69"/>
        <v>0</v>
      </c>
      <c r="O547" s="222">
        <f t="shared" si="70"/>
        <v>0</v>
      </c>
      <c r="P547" s="222">
        <f t="shared" si="71"/>
        <v>12.876480000000001</v>
      </c>
      <c r="Q547" s="564">
        <f t="shared" si="64"/>
        <v>0</v>
      </c>
      <c r="R547" s="539"/>
      <c r="T547" s="82"/>
      <c r="U547" s="82"/>
      <c r="V547" s="82"/>
      <c r="W547" s="82"/>
      <c r="X547" s="82"/>
      <c r="Y547" s="82"/>
      <c r="Z547" s="82"/>
      <c r="AA547" s="82"/>
      <c r="AB547" s="82"/>
    </row>
    <row r="548" spans="1:28" s="85" customFormat="1" ht="13.8" thickTop="1" x14ac:dyDescent="0.25">
      <c r="A548" s="82"/>
      <c r="B548" s="82"/>
      <c r="C548" s="82"/>
      <c r="D548" s="728" t="s">
        <v>1458</v>
      </c>
      <c r="E548" s="384" t="s">
        <v>49</v>
      </c>
      <c r="F548" s="385">
        <v>4</v>
      </c>
      <c r="G548" s="386">
        <v>12</v>
      </c>
      <c r="H548" s="387">
        <v>5</v>
      </c>
      <c r="I548" s="388">
        <v>0.28999999999999998</v>
      </c>
      <c r="J548" s="389">
        <f t="shared" si="65"/>
        <v>3.4799999999999995</v>
      </c>
      <c r="K548" s="218">
        <f t="shared" si="66"/>
        <v>0.53591999999999995</v>
      </c>
      <c r="L548" s="219">
        <f t="shared" si="67"/>
        <v>0</v>
      </c>
      <c r="M548" s="219">
        <f t="shared" si="68"/>
        <v>0</v>
      </c>
      <c r="N548" s="219">
        <f t="shared" si="69"/>
        <v>0</v>
      </c>
      <c r="O548" s="219">
        <f t="shared" si="70"/>
        <v>0</v>
      </c>
      <c r="P548" s="219">
        <f t="shared" si="71"/>
        <v>0</v>
      </c>
      <c r="Q548" s="563">
        <f t="shared" si="64"/>
        <v>0</v>
      </c>
      <c r="R548" s="220"/>
      <c r="T548" s="82"/>
      <c r="U548" s="82"/>
      <c r="V548" s="82"/>
      <c r="W548" s="82"/>
      <c r="X548" s="82"/>
      <c r="Y548" s="82"/>
      <c r="Z548" s="82"/>
      <c r="AA548" s="82"/>
      <c r="AB548" s="82"/>
    </row>
    <row r="549" spans="1:28" s="85" customFormat="1" x14ac:dyDescent="0.25">
      <c r="A549" s="82"/>
      <c r="B549" s="82"/>
      <c r="C549" s="82"/>
      <c r="D549" s="729"/>
      <c r="E549" s="371" t="s">
        <v>49</v>
      </c>
      <c r="F549" s="372">
        <v>5</v>
      </c>
      <c r="G549" s="373">
        <v>3</v>
      </c>
      <c r="H549" s="374">
        <v>5</v>
      </c>
      <c r="I549" s="375">
        <v>1.07</v>
      </c>
      <c r="J549" s="376">
        <f t="shared" si="65"/>
        <v>3.21</v>
      </c>
      <c r="K549" s="66">
        <f t="shared" si="66"/>
        <v>0.49434</v>
      </c>
      <c r="L549" s="63">
        <f t="shared" si="67"/>
        <v>0</v>
      </c>
      <c r="M549" s="63">
        <f t="shared" si="68"/>
        <v>0</v>
      </c>
      <c r="N549" s="63">
        <f t="shared" si="69"/>
        <v>0</v>
      </c>
      <c r="O549" s="63">
        <f t="shared" si="70"/>
        <v>0</v>
      </c>
      <c r="P549" s="63">
        <f t="shared" si="71"/>
        <v>0</v>
      </c>
      <c r="Q549" s="561">
        <f t="shared" si="64"/>
        <v>0</v>
      </c>
      <c r="R549" s="174"/>
      <c r="T549" s="82"/>
      <c r="U549" s="82"/>
      <c r="V549" s="82"/>
      <c r="W549" s="82"/>
      <c r="X549" s="82"/>
      <c r="Y549" s="82"/>
      <c r="Z549" s="82"/>
      <c r="AA549" s="82"/>
      <c r="AB549" s="82"/>
    </row>
    <row r="550" spans="1:28" s="85" customFormat="1" x14ac:dyDescent="0.25">
      <c r="A550" s="82"/>
      <c r="B550" s="82"/>
      <c r="C550" s="82"/>
      <c r="D550" s="729"/>
      <c r="E550" s="371" t="s">
        <v>49</v>
      </c>
      <c r="F550" s="372">
        <v>6</v>
      </c>
      <c r="G550" s="373">
        <v>6</v>
      </c>
      <c r="H550" s="374">
        <v>5</v>
      </c>
      <c r="I550" s="375">
        <v>0.74</v>
      </c>
      <c r="J550" s="376">
        <f t="shared" si="65"/>
        <v>4.4399999999999995</v>
      </c>
      <c r="K550" s="66">
        <f t="shared" si="66"/>
        <v>0.68375999999999992</v>
      </c>
      <c r="L550" s="63">
        <f t="shared" si="67"/>
        <v>0</v>
      </c>
      <c r="M550" s="63">
        <f t="shared" si="68"/>
        <v>0</v>
      </c>
      <c r="N550" s="63">
        <f t="shared" si="69"/>
        <v>0</v>
      </c>
      <c r="O550" s="63">
        <f t="shared" si="70"/>
        <v>0</v>
      </c>
      <c r="P550" s="63">
        <f t="shared" si="71"/>
        <v>0</v>
      </c>
      <c r="Q550" s="561">
        <f t="shared" si="64"/>
        <v>0</v>
      </c>
      <c r="R550" s="174"/>
      <c r="T550" s="82"/>
      <c r="U550" s="82"/>
      <c r="V550" s="82"/>
      <c r="W550" s="82"/>
      <c r="X550" s="82"/>
      <c r="Y550" s="82"/>
      <c r="Z550" s="82"/>
      <c r="AA550" s="82"/>
      <c r="AB550" s="82"/>
    </row>
    <row r="551" spans="1:28" s="85" customFormat="1" x14ac:dyDescent="0.25">
      <c r="A551" s="82"/>
      <c r="B551" s="82"/>
      <c r="C551" s="82"/>
      <c r="D551" s="729"/>
      <c r="E551" s="371" t="s">
        <v>49</v>
      </c>
      <c r="F551" s="372">
        <v>19</v>
      </c>
      <c r="G551" s="373">
        <v>8</v>
      </c>
      <c r="H551" s="374">
        <v>16</v>
      </c>
      <c r="I551" s="375">
        <v>1.55</v>
      </c>
      <c r="J551" s="376">
        <f t="shared" si="65"/>
        <v>12.4</v>
      </c>
      <c r="K551" s="66">
        <f t="shared" si="66"/>
        <v>0</v>
      </c>
      <c r="L551" s="63">
        <f t="shared" si="67"/>
        <v>0</v>
      </c>
      <c r="M551" s="63">
        <f t="shared" si="68"/>
        <v>0</v>
      </c>
      <c r="N551" s="63">
        <f t="shared" si="69"/>
        <v>0</v>
      </c>
      <c r="O551" s="63">
        <f t="shared" si="70"/>
        <v>0</v>
      </c>
      <c r="P551" s="63">
        <f t="shared" si="71"/>
        <v>19.5672</v>
      </c>
      <c r="Q551" s="561">
        <f t="shared" si="64"/>
        <v>0</v>
      </c>
      <c r="R551" s="174"/>
      <c r="T551" s="82"/>
      <c r="U551" s="82"/>
      <c r="V551" s="82"/>
      <c r="W551" s="82"/>
      <c r="X551" s="82"/>
      <c r="Y551" s="82"/>
      <c r="Z551" s="82"/>
      <c r="AA551" s="82"/>
      <c r="AB551" s="82"/>
    </row>
    <row r="552" spans="1:28" s="85" customFormat="1" x14ac:dyDescent="0.25">
      <c r="A552" s="82"/>
      <c r="B552" s="82"/>
      <c r="C552" s="82"/>
      <c r="D552" s="729"/>
      <c r="E552" s="371" t="s">
        <v>113</v>
      </c>
      <c r="F552" s="372">
        <v>6</v>
      </c>
      <c r="G552" s="373">
        <v>46</v>
      </c>
      <c r="H552" s="374">
        <v>5</v>
      </c>
      <c r="I552" s="375">
        <v>0.28999999999999998</v>
      </c>
      <c r="J552" s="376">
        <f t="shared" si="65"/>
        <v>13.34</v>
      </c>
      <c r="K552" s="66">
        <f t="shared" si="66"/>
        <v>2.05436</v>
      </c>
      <c r="L552" s="63">
        <f t="shared" si="67"/>
        <v>0</v>
      </c>
      <c r="M552" s="63">
        <f t="shared" si="68"/>
        <v>0</v>
      </c>
      <c r="N552" s="63">
        <f t="shared" si="69"/>
        <v>0</v>
      </c>
      <c r="O552" s="63">
        <f t="shared" si="70"/>
        <v>0</v>
      </c>
      <c r="P552" s="63">
        <f t="shared" si="71"/>
        <v>0</v>
      </c>
      <c r="Q552" s="561">
        <f t="shared" si="64"/>
        <v>0</v>
      </c>
      <c r="R552" s="174"/>
      <c r="T552" s="82"/>
      <c r="U552" s="82"/>
      <c r="V552" s="82"/>
      <c r="W552" s="82"/>
      <c r="X552" s="82"/>
      <c r="Y552" s="82"/>
      <c r="Z552" s="82"/>
      <c r="AA552" s="82"/>
      <c r="AB552" s="82"/>
    </row>
    <row r="553" spans="1:28" s="85" customFormat="1" x14ac:dyDescent="0.25">
      <c r="A553" s="82"/>
      <c r="B553" s="82"/>
      <c r="C553" s="82"/>
      <c r="D553" s="729"/>
      <c r="E553" s="371" t="s">
        <v>113</v>
      </c>
      <c r="F553" s="372">
        <v>7</v>
      </c>
      <c r="G553" s="373">
        <v>19</v>
      </c>
      <c r="H553" s="374">
        <v>5</v>
      </c>
      <c r="I553" s="375">
        <v>1.07</v>
      </c>
      <c r="J553" s="376">
        <f t="shared" si="65"/>
        <v>20.330000000000002</v>
      </c>
      <c r="K553" s="66">
        <f t="shared" si="66"/>
        <v>3.1308200000000004</v>
      </c>
      <c r="L553" s="63">
        <f t="shared" si="67"/>
        <v>0</v>
      </c>
      <c r="M553" s="63">
        <f t="shared" si="68"/>
        <v>0</v>
      </c>
      <c r="N553" s="63">
        <f t="shared" si="69"/>
        <v>0</v>
      </c>
      <c r="O553" s="63">
        <f t="shared" si="70"/>
        <v>0</v>
      </c>
      <c r="P553" s="63">
        <f t="shared" si="71"/>
        <v>0</v>
      </c>
      <c r="Q553" s="561">
        <f t="shared" si="64"/>
        <v>0</v>
      </c>
      <c r="R553" s="174"/>
      <c r="T553" s="82"/>
      <c r="U553" s="82"/>
      <c r="V553" s="82"/>
      <c r="W553" s="82"/>
      <c r="X553" s="82"/>
      <c r="Y553" s="82"/>
      <c r="Z553" s="82"/>
      <c r="AA553" s="82"/>
      <c r="AB553" s="82"/>
    </row>
    <row r="554" spans="1:28" s="85" customFormat="1" x14ac:dyDescent="0.25">
      <c r="A554" s="82"/>
      <c r="B554" s="82"/>
      <c r="C554" s="82"/>
      <c r="D554" s="729"/>
      <c r="E554" s="371" t="s">
        <v>113</v>
      </c>
      <c r="F554" s="372">
        <v>8</v>
      </c>
      <c r="G554" s="373">
        <v>8</v>
      </c>
      <c r="H554" s="374">
        <v>5</v>
      </c>
      <c r="I554" s="375">
        <v>0.74</v>
      </c>
      <c r="J554" s="376">
        <f t="shared" si="65"/>
        <v>5.92</v>
      </c>
      <c r="K554" s="66">
        <f t="shared" si="66"/>
        <v>0.91167999999999993</v>
      </c>
      <c r="L554" s="63">
        <f t="shared" si="67"/>
        <v>0</v>
      </c>
      <c r="M554" s="63">
        <f t="shared" si="68"/>
        <v>0</v>
      </c>
      <c r="N554" s="63">
        <f t="shared" si="69"/>
        <v>0</v>
      </c>
      <c r="O554" s="63">
        <f t="shared" si="70"/>
        <v>0</v>
      </c>
      <c r="P554" s="63">
        <f t="shared" si="71"/>
        <v>0</v>
      </c>
      <c r="Q554" s="561">
        <f t="shared" si="64"/>
        <v>0</v>
      </c>
      <c r="R554" s="174"/>
      <c r="T554" s="82"/>
      <c r="U554" s="82"/>
      <c r="V554" s="82"/>
      <c r="W554" s="82"/>
      <c r="X554" s="82"/>
      <c r="Y554" s="82"/>
      <c r="Z554" s="82"/>
      <c r="AA554" s="82"/>
      <c r="AB554" s="82"/>
    </row>
    <row r="555" spans="1:28" s="85" customFormat="1" x14ac:dyDescent="0.25">
      <c r="A555" s="82"/>
      <c r="B555" s="82"/>
      <c r="C555" s="82"/>
      <c r="D555" s="729"/>
      <c r="E555" s="371" t="s">
        <v>113</v>
      </c>
      <c r="F555" s="372">
        <v>25</v>
      </c>
      <c r="G555" s="373">
        <v>8</v>
      </c>
      <c r="H555" s="374">
        <v>16</v>
      </c>
      <c r="I555" s="375">
        <v>3.98</v>
      </c>
      <c r="J555" s="376">
        <f t="shared" si="65"/>
        <v>31.84</v>
      </c>
      <c r="K555" s="66">
        <f t="shared" si="66"/>
        <v>0</v>
      </c>
      <c r="L555" s="63">
        <f t="shared" si="67"/>
        <v>0</v>
      </c>
      <c r="M555" s="63">
        <f t="shared" si="68"/>
        <v>0</v>
      </c>
      <c r="N555" s="63">
        <f t="shared" si="69"/>
        <v>0</v>
      </c>
      <c r="O555" s="63">
        <f t="shared" si="70"/>
        <v>0</v>
      </c>
      <c r="P555" s="63">
        <f t="shared" si="71"/>
        <v>50.243520000000004</v>
      </c>
      <c r="Q555" s="561">
        <f t="shared" si="64"/>
        <v>0</v>
      </c>
      <c r="R555" s="174"/>
      <c r="T555" s="82"/>
      <c r="U555" s="82"/>
      <c r="V555" s="82"/>
      <c r="W555" s="82"/>
      <c r="X555" s="82"/>
      <c r="Y555" s="82"/>
      <c r="Z555" s="82"/>
      <c r="AA555" s="82"/>
      <c r="AB555" s="82"/>
    </row>
    <row r="556" spans="1:28" s="85" customFormat="1" x14ac:dyDescent="0.25">
      <c r="A556" s="82"/>
      <c r="B556" s="82"/>
      <c r="C556" s="82"/>
      <c r="D556" s="729"/>
      <c r="E556" s="396" t="s">
        <v>184</v>
      </c>
      <c r="F556" s="403">
        <v>4</v>
      </c>
      <c r="G556" s="397">
        <v>14</v>
      </c>
      <c r="H556" s="398">
        <v>5</v>
      </c>
      <c r="I556" s="399">
        <v>0.28999999999999998</v>
      </c>
      <c r="J556" s="400">
        <f t="shared" si="65"/>
        <v>4.0599999999999996</v>
      </c>
      <c r="K556" s="401">
        <f t="shared" si="66"/>
        <v>0.62523999999999991</v>
      </c>
      <c r="L556" s="196">
        <f t="shared" si="67"/>
        <v>0</v>
      </c>
      <c r="M556" s="196">
        <f t="shared" si="68"/>
        <v>0</v>
      </c>
      <c r="N556" s="196">
        <f t="shared" si="69"/>
        <v>0</v>
      </c>
      <c r="O556" s="196">
        <f t="shared" si="70"/>
        <v>0</v>
      </c>
      <c r="P556" s="196">
        <f t="shared" si="71"/>
        <v>0</v>
      </c>
      <c r="Q556" s="566">
        <f t="shared" si="64"/>
        <v>0</v>
      </c>
      <c r="R556" s="538"/>
      <c r="T556" s="82"/>
      <c r="U556" s="82"/>
      <c r="V556" s="82"/>
      <c r="W556" s="82"/>
      <c r="X556" s="82"/>
      <c r="Y556" s="82"/>
      <c r="Z556" s="82"/>
      <c r="AA556" s="82"/>
      <c r="AB556" s="82"/>
    </row>
    <row r="557" spans="1:28" s="85" customFormat="1" x14ac:dyDescent="0.25">
      <c r="A557" s="82"/>
      <c r="B557" s="82"/>
      <c r="C557" s="82"/>
      <c r="D557" s="729"/>
      <c r="E557" s="371" t="s">
        <v>184</v>
      </c>
      <c r="F557" s="372">
        <v>5</v>
      </c>
      <c r="G557" s="373">
        <v>6</v>
      </c>
      <c r="H557" s="374">
        <v>5</v>
      </c>
      <c r="I557" s="375">
        <v>1.07</v>
      </c>
      <c r="J557" s="376">
        <f t="shared" si="65"/>
        <v>6.42</v>
      </c>
      <c r="K557" s="66">
        <f t="shared" si="66"/>
        <v>0.98868</v>
      </c>
      <c r="L557" s="63">
        <f t="shared" si="67"/>
        <v>0</v>
      </c>
      <c r="M557" s="63">
        <f t="shared" si="68"/>
        <v>0</v>
      </c>
      <c r="N557" s="63">
        <f t="shared" si="69"/>
        <v>0</v>
      </c>
      <c r="O557" s="63">
        <f t="shared" si="70"/>
        <v>0</v>
      </c>
      <c r="P557" s="63">
        <f t="shared" si="71"/>
        <v>0</v>
      </c>
      <c r="Q557" s="562">
        <f t="shared" si="64"/>
        <v>0</v>
      </c>
      <c r="R557" s="377"/>
      <c r="T557" s="82"/>
      <c r="U557" s="82"/>
      <c r="V557" s="82"/>
      <c r="W557" s="82"/>
      <c r="X557" s="82"/>
      <c r="Y557" s="82"/>
      <c r="Z557" s="82"/>
      <c r="AA557" s="82"/>
      <c r="AB557" s="82"/>
    </row>
    <row r="558" spans="1:28" s="85" customFormat="1" x14ac:dyDescent="0.25">
      <c r="A558" s="82"/>
      <c r="B558" s="82"/>
      <c r="C558" s="82"/>
      <c r="D558" s="729"/>
      <c r="E558" s="371" t="s">
        <v>184</v>
      </c>
      <c r="F558" s="372">
        <v>6</v>
      </c>
      <c r="G558" s="373">
        <v>2</v>
      </c>
      <c r="H558" s="374">
        <v>5</v>
      </c>
      <c r="I558" s="375">
        <v>0.74</v>
      </c>
      <c r="J558" s="376">
        <f t="shared" si="65"/>
        <v>1.48</v>
      </c>
      <c r="K558" s="66">
        <f t="shared" si="66"/>
        <v>0.22791999999999998</v>
      </c>
      <c r="L558" s="63">
        <f t="shared" si="67"/>
        <v>0</v>
      </c>
      <c r="M558" s="63">
        <f t="shared" si="68"/>
        <v>0</v>
      </c>
      <c r="N558" s="63">
        <f t="shared" si="69"/>
        <v>0</v>
      </c>
      <c r="O558" s="63">
        <f t="shared" si="70"/>
        <v>0</v>
      </c>
      <c r="P558" s="63">
        <f t="shared" si="71"/>
        <v>0</v>
      </c>
      <c r="Q558" s="562">
        <f t="shared" si="64"/>
        <v>0</v>
      </c>
      <c r="R558" s="377"/>
      <c r="T558" s="82"/>
      <c r="U558" s="82"/>
      <c r="V558" s="82"/>
      <c r="W558" s="82"/>
      <c r="X558" s="82"/>
      <c r="Y558" s="82"/>
      <c r="Z558" s="82"/>
      <c r="AA558" s="82"/>
      <c r="AB558" s="82"/>
    </row>
    <row r="559" spans="1:28" s="85" customFormat="1" ht="13.8" thickBot="1" x14ac:dyDescent="0.3">
      <c r="A559" s="82"/>
      <c r="B559" s="82"/>
      <c r="C559" s="82"/>
      <c r="D559" s="731"/>
      <c r="E559" s="390" t="s">
        <v>184</v>
      </c>
      <c r="F559" s="391">
        <v>59</v>
      </c>
      <c r="G559" s="392">
        <v>8</v>
      </c>
      <c r="H559" s="393">
        <v>16</v>
      </c>
      <c r="I559" s="394">
        <v>1.02</v>
      </c>
      <c r="J559" s="395">
        <f t="shared" si="65"/>
        <v>8.16</v>
      </c>
      <c r="K559" s="221">
        <f t="shared" si="66"/>
        <v>0</v>
      </c>
      <c r="L559" s="222">
        <f t="shared" si="67"/>
        <v>0</v>
      </c>
      <c r="M559" s="222">
        <f t="shared" si="68"/>
        <v>0</v>
      </c>
      <c r="N559" s="222">
        <f t="shared" si="69"/>
        <v>0</v>
      </c>
      <c r="O559" s="222">
        <f t="shared" si="70"/>
        <v>0</v>
      </c>
      <c r="P559" s="222">
        <f t="shared" si="71"/>
        <v>12.876480000000001</v>
      </c>
      <c r="Q559" s="564">
        <f t="shared" si="64"/>
        <v>0</v>
      </c>
      <c r="R559" s="539"/>
      <c r="T559" s="82"/>
      <c r="U559" s="82"/>
      <c r="V559" s="82"/>
      <c r="W559" s="82"/>
      <c r="X559" s="82"/>
      <c r="Y559" s="82"/>
      <c r="Z559" s="82"/>
      <c r="AA559" s="82"/>
      <c r="AB559" s="82"/>
    </row>
    <row r="560" spans="1:28" s="85" customFormat="1" ht="13.8" thickTop="1" x14ac:dyDescent="0.25">
      <c r="A560" s="82"/>
      <c r="B560" s="82"/>
      <c r="C560" s="82"/>
      <c r="D560" s="728" t="s">
        <v>1459</v>
      </c>
      <c r="E560" s="384" t="s">
        <v>49</v>
      </c>
      <c r="F560" s="385">
        <v>9</v>
      </c>
      <c r="G560" s="386">
        <v>16</v>
      </c>
      <c r="H560" s="387">
        <v>5</v>
      </c>
      <c r="I560" s="388">
        <v>0.28999999999999998</v>
      </c>
      <c r="J560" s="389">
        <f t="shared" si="65"/>
        <v>4.6399999999999997</v>
      </c>
      <c r="K560" s="218">
        <f t="shared" si="66"/>
        <v>0.71455999999999997</v>
      </c>
      <c r="L560" s="219">
        <f t="shared" si="67"/>
        <v>0</v>
      </c>
      <c r="M560" s="219">
        <f t="shared" si="68"/>
        <v>0</v>
      </c>
      <c r="N560" s="219">
        <f t="shared" si="69"/>
        <v>0</v>
      </c>
      <c r="O560" s="219">
        <f t="shared" si="70"/>
        <v>0</v>
      </c>
      <c r="P560" s="219">
        <f t="shared" si="71"/>
        <v>0</v>
      </c>
      <c r="Q560" s="563">
        <f t="shared" si="64"/>
        <v>0</v>
      </c>
      <c r="R560" s="220"/>
      <c r="T560" s="82"/>
      <c r="U560" s="82"/>
      <c r="V560" s="82"/>
      <c r="W560" s="82"/>
      <c r="X560" s="82"/>
      <c r="Y560" s="82"/>
      <c r="Z560" s="82"/>
      <c r="AA560" s="82"/>
      <c r="AB560" s="82"/>
    </row>
    <row r="561" spans="1:28" s="85" customFormat="1" x14ac:dyDescent="0.25">
      <c r="A561" s="82"/>
      <c r="B561" s="82"/>
      <c r="C561" s="82"/>
      <c r="D561" s="729"/>
      <c r="E561" s="371" t="s">
        <v>49</v>
      </c>
      <c r="F561" s="372">
        <v>10</v>
      </c>
      <c r="G561" s="373">
        <v>16</v>
      </c>
      <c r="H561" s="374">
        <v>5</v>
      </c>
      <c r="I561" s="375">
        <v>0.94</v>
      </c>
      <c r="J561" s="376">
        <f t="shared" si="65"/>
        <v>15.04</v>
      </c>
      <c r="K561" s="66">
        <f t="shared" si="66"/>
        <v>2.31616</v>
      </c>
      <c r="L561" s="63">
        <f t="shared" si="67"/>
        <v>0</v>
      </c>
      <c r="M561" s="63">
        <f t="shared" si="68"/>
        <v>0</v>
      </c>
      <c r="N561" s="63">
        <f t="shared" si="69"/>
        <v>0</v>
      </c>
      <c r="O561" s="63">
        <f t="shared" si="70"/>
        <v>0</v>
      </c>
      <c r="P561" s="63">
        <f t="shared" si="71"/>
        <v>0</v>
      </c>
      <c r="Q561" s="561">
        <f t="shared" si="64"/>
        <v>0</v>
      </c>
      <c r="R561" s="174"/>
      <c r="T561" s="82"/>
      <c r="U561" s="82"/>
      <c r="V561" s="82"/>
      <c r="W561" s="82"/>
      <c r="X561" s="82"/>
      <c r="Y561" s="82"/>
      <c r="Z561" s="82"/>
      <c r="AA561" s="82"/>
      <c r="AB561" s="82"/>
    </row>
    <row r="562" spans="1:28" s="85" customFormat="1" x14ac:dyDescent="0.25">
      <c r="A562" s="82"/>
      <c r="B562" s="82"/>
      <c r="C562" s="82"/>
      <c r="D562" s="729"/>
      <c r="E562" s="371" t="s">
        <v>49</v>
      </c>
      <c r="F562" s="372">
        <v>17</v>
      </c>
      <c r="G562" s="373">
        <v>8</v>
      </c>
      <c r="H562" s="374">
        <v>10</v>
      </c>
      <c r="I562" s="375">
        <v>1.37</v>
      </c>
      <c r="J562" s="376">
        <f t="shared" si="65"/>
        <v>10.96</v>
      </c>
      <c r="K562" s="66">
        <f t="shared" si="66"/>
        <v>0</v>
      </c>
      <c r="L562" s="63">
        <f t="shared" si="67"/>
        <v>0</v>
      </c>
      <c r="M562" s="63">
        <f t="shared" si="68"/>
        <v>0</v>
      </c>
      <c r="N562" s="63">
        <f t="shared" si="69"/>
        <v>6.7623200000000008</v>
      </c>
      <c r="O562" s="63">
        <f t="shared" si="70"/>
        <v>0</v>
      </c>
      <c r="P562" s="63">
        <f t="shared" si="71"/>
        <v>0</v>
      </c>
      <c r="Q562" s="561">
        <f t="shared" si="64"/>
        <v>0</v>
      </c>
      <c r="R562" s="174"/>
      <c r="T562" s="82"/>
      <c r="U562" s="82"/>
      <c r="V562" s="82"/>
      <c r="W562" s="82"/>
      <c r="X562" s="82"/>
      <c r="Y562" s="82"/>
      <c r="Z562" s="82"/>
      <c r="AA562" s="82"/>
      <c r="AB562" s="82"/>
    </row>
    <row r="563" spans="1:28" s="85" customFormat="1" x14ac:dyDescent="0.25">
      <c r="A563" s="82"/>
      <c r="B563" s="82"/>
      <c r="C563" s="82"/>
      <c r="D563" s="729"/>
      <c r="E563" s="371" t="s">
        <v>113</v>
      </c>
      <c r="F563" s="372">
        <v>11</v>
      </c>
      <c r="G563" s="373">
        <v>60</v>
      </c>
      <c r="H563" s="374">
        <v>5</v>
      </c>
      <c r="I563" s="375">
        <v>0.28999999999999998</v>
      </c>
      <c r="J563" s="376">
        <f t="shared" si="65"/>
        <v>17.399999999999999</v>
      </c>
      <c r="K563" s="66">
        <f t="shared" si="66"/>
        <v>2.6795999999999998</v>
      </c>
      <c r="L563" s="63">
        <f t="shared" si="67"/>
        <v>0</v>
      </c>
      <c r="M563" s="63">
        <f t="shared" si="68"/>
        <v>0</v>
      </c>
      <c r="N563" s="63">
        <f t="shared" si="69"/>
        <v>0</v>
      </c>
      <c r="O563" s="63">
        <f t="shared" si="70"/>
        <v>0</v>
      </c>
      <c r="P563" s="63">
        <f t="shared" si="71"/>
        <v>0</v>
      </c>
      <c r="Q563" s="561">
        <f t="shared" ref="Q563:Q599" si="72">IF($H563=20,$J563*$B$28,0)</f>
        <v>0</v>
      </c>
      <c r="R563" s="174"/>
      <c r="T563" s="82"/>
      <c r="U563" s="82"/>
      <c r="V563" s="82"/>
      <c r="W563" s="82"/>
      <c r="X563" s="82"/>
      <c r="Y563" s="82"/>
      <c r="Z563" s="82"/>
      <c r="AA563" s="82"/>
      <c r="AB563" s="82"/>
    </row>
    <row r="564" spans="1:28" s="85" customFormat="1" x14ac:dyDescent="0.25">
      <c r="A564" s="82"/>
      <c r="B564" s="82"/>
      <c r="C564" s="82"/>
      <c r="D564" s="729"/>
      <c r="E564" s="371" t="s">
        <v>113</v>
      </c>
      <c r="F564" s="372">
        <v>12</v>
      </c>
      <c r="G564" s="373">
        <v>25</v>
      </c>
      <c r="H564" s="374">
        <v>5</v>
      </c>
      <c r="I564" s="375">
        <v>1.47</v>
      </c>
      <c r="J564" s="376">
        <f t="shared" si="65"/>
        <v>36.75</v>
      </c>
      <c r="K564" s="66">
        <f t="shared" si="66"/>
        <v>5.6594999999999995</v>
      </c>
      <c r="L564" s="63">
        <f t="shared" si="67"/>
        <v>0</v>
      </c>
      <c r="M564" s="63">
        <f t="shared" si="68"/>
        <v>0</v>
      </c>
      <c r="N564" s="63">
        <f t="shared" si="69"/>
        <v>0</v>
      </c>
      <c r="O564" s="63">
        <f t="shared" si="70"/>
        <v>0</v>
      </c>
      <c r="P564" s="63">
        <f t="shared" si="71"/>
        <v>0</v>
      </c>
      <c r="Q564" s="561">
        <f t="shared" si="72"/>
        <v>0</v>
      </c>
      <c r="R564" s="174"/>
      <c r="T564" s="82"/>
      <c r="U564" s="82"/>
      <c r="V564" s="82"/>
      <c r="W564" s="82"/>
      <c r="X564" s="82"/>
      <c r="Y564" s="82"/>
      <c r="Z564" s="82"/>
      <c r="AA564" s="82"/>
      <c r="AB564" s="82"/>
    </row>
    <row r="565" spans="1:28" s="85" customFormat="1" x14ac:dyDescent="0.25">
      <c r="A565" s="82"/>
      <c r="B565" s="82"/>
      <c r="C565" s="82"/>
      <c r="D565" s="729"/>
      <c r="E565" s="371" t="s">
        <v>113</v>
      </c>
      <c r="F565" s="372">
        <v>13</v>
      </c>
      <c r="G565" s="373">
        <v>10</v>
      </c>
      <c r="H565" s="374">
        <v>5</v>
      </c>
      <c r="I565" s="375">
        <v>0.94</v>
      </c>
      <c r="J565" s="376">
        <f t="shared" si="65"/>
        <v>9.3999999999999986</v>
      </c>
      <c r="K565" s="66">
        <f t="shared" si="66"/>
        <v>1.4475999999999998</v>
      </c>
      <c r="L565" s="63">
        <f t="shared" si="67"/>
        <v>0</v>
      </c>
      <c r="M565" s="63">
        <f t="shared" si="68"/>
        <v>0</v>
      </c>
      <c r="N565" s="63">
        <f t="shared" si="69"/>
        <v>0</v>
      </c>
      <c r="O565" s="63">
        <f t="shared" si="70"/>
        <v>0</v>
      </c>
      <c r="P565" s="63">
        <f t="shared" si="71"/>
        <v>0</v>
      </c>
      <c r="Q565" s="561">
        <f t="shared" si="72"/>
        <v>0</v>
      </c>
      <c r="R565" s="174"/>
      <c r="T565" s="82"/>
      <c r="U565" s="82"/>
      <c r="V565" s="82"/>
      <c r="W565" s="82"/>
      <c r="X565" s="82"/>
      <c r="Y565" s="82"/>
      <c r="Z565" s="82"/>
      <c r="AA565" s="82"/>
      <c r="AB565" s="82"/>
    </row>
    <row r="566" spans="1:28" s="85" customFormat="1" x14ac:dyDescent="0.25">
      <c r="A566" s="82"/>
      <c r="B566" s="82"/>
      <c r="C566" s="82"/>
      <c r="D566" s="729"/>
      <c r="E566" s="371" t="s">
        <v>113</v>
      </c>
      <c r="F566" s="372">
        <v>24</v>
      </c>
      <c r="G566" s="373">
        <v>8</v>
      </c>
      <c r="H566" s="374">
        <v>10</v>
      </c>
      <c r="I566" s="375">
        <v>3.78</v>
      </c>
      <c r="J566" s="376">
        <f t="shared" si="65"/>
        <v>30.24</v>
      </c>
      <c r="K566" s="66">
        <f t="shared" si="66"/>
        <v>0</v>
      </c>
      <c r="L566" s="63">
        <f t="shared" si="67"/>
        <v>0</v>
      </c>
      <c r="M566" s="63">
        <f t="shared" si="68"/>
        <v>0</v>
      </c>
      <c r="N566" s="63">
        <f t="shared" si="69"/>
        <v>18.658079999999998</v>
      </c>
      <c r="O566" s="63">
        <f t="shared" si="70"/>
        <v>0</v>
      </c>
      <c r="P566" s="63">
        <f t="shared" si="71"/>
        <v>0</v>
      </c>
      <c r="Q566" s="561">
        <f t="shared" si="72"/>
        <v>0</v>
      </c>
      <c r="R566" s="174"/>
      <c r="T566" s="82"/>
      <c r="U566" s="82"/>
      <c r="V566" s="82"/>
      <c r="W566" s="82"/>
      <c r="X566" s="82"/>
      <c r="Y566" s="82"/>
      <c r="Z566" s="82"/>
      <c r="AA566" s="82"/>
      <c r="AB566" s="82"/>
    </row>
    <row r="567" spans="1:28" s="85" customFormat="1" x14ac:dyDescent="0.25">
      <c r="A567" s="82"/>
      <c r="B567" s="82"/>
      <c r="C567" s="82"/>
      <c r="D567" s="729"/>
      <c r="E567" s="396" t="s">
        <v>184</v>
      </c>
      <c r="F567" s="403">
        <v>9</v>
      </c>
      <c r="G567" s="397">
        <v>20</v>
      </c>
      <c r="H567" s="398">
        <v>5</v>
      </c>
      <c r="I567" s="399">
        <v>0.28999999999999998</v>
      </c>
      <c r="J567" s="400">
        <f t="shared" si="65"/>
        <v>5.8</v>
      </c>
      <c r="K567" s="401">
        <f t="shared" si="66"/>
        <v>0.89319999999999999</v>
      </c>
      <c r="L567" s="196">
        <f t="shared" si="67"/>
        <v>0</v>
      </c>
      <c r="M567" s="196">
        <f t="shared" si="68"/>
        <v>0</v>
      </c>
      <c r="N567" s="196">
        <f t="shared" si="69"/>
        <v>0</v>
      </c>
      <c r="O567" s="196">
        <f t="shared" si="70"/>
        <v>0</v>
      </c>
      <c r="P567" s="196">
        <f t="shared" si="71"/>
        <v>0</v>
      </c>
      <c r="Q567" s="566">
        <f t="shared" si="72"/>
        <v>0</v>
      </c>
      <c r="R567" s="538"/>
      <c r="T567" s="82"/>
      <c r="U567" s="82"/>
      <c r="V567" s="82"/>
      <c r="W567" s="82"/>
      <c r="X567" s="82"/>
      <c r="Y567" s="82"/>
      <c r="Z567" s="82"/>
      <c r="AA567" s="82"/>
      <c r="AB567" s="82"/>
    </row>
    <row r="568" spans="1:28" s="85" customFormat="1" x14ac:dyDescent="0.25">
      <c r="A568" s="82"/>
      <c r="B568" s="82"/>
      <c r="C568" s="82"/>
      <c r="D568" s="729"/>
      <c r="E568" s="371" t="s">
        <v>184</v>
      </c>
      <c r="F568" s="372">
        <v>10</v>
      </c>
      <c r="G568" s="373">
        <v>8</v>
      </c>
      <c r="H568" s="374">
        <v>5</v>
      </c>
      <c r="I568" s="375">
        <v>1.47</v>
      </c>
      <c r="J568" s="376">
        <f t="shared" si="65"/>
        <v>11.76</v>
      </c>
      <c r="K568" s="66">
        <f t="shared" si="66"/>
        <v>1.81104</v>
      </c>
      <c r="L568" s="63">
        <f t="shared" si="67"/>
        <v>0</v>
      </c>
      <c r="M568" s="63">
        <f t="shared" si="68"/>
        <v>0</v>
      </c>
      <c r="N568" s="63">
        <f t="shared" si="69"/>
        <v>0</v>
      </c>
      <c r="O568" s="63">
        <f t="shared" si="70"/>
        <v>0</v>
      </c>
      <c r="P568" s="63">
        <f t="shared" si="71"/>
        <v>0</v>
      </c>
      <c r="Q568" s="562">
        <f t="shared" si="72"/>
        <v>0</v>
      </c>
      <c r="R568" s="377"/>
      <c r="T568" s="82"/>
      <c r="U568" s="82"/>
      <c r="V568" s="82"/>
      <c r="W568" s="82"/>
      <c r="X568" s="82"/>
      <c r="Y568" s="82"/>
      <c r="Z568" s="82"/>
      <c r="AA568" s="82"/>
      <c r="AB568" s="82"/>
    </row>
    <row r="569" spans="1:28" s="85" customFormat="1" x14ac:dyDescent="0.25">
      <c r="A569" s="82"/>
      <c r="B569" s="82"/>
      <c r="C569" s="82"/>
      <c r="D569" s="729"/>
      <c r="E569" s="371" t="s">
        <v>184</v>
      </c>
      <c r="F569" s="372">
        <v>11</v>
      </c>
      <c r="G569" s="373">
        <v>4</v>
      </c>
      <c r="H569" s="374">
        <v>5</v>
      </c>
      <c r="I569" s="375">
        <v>0.94</v>
      </c>
      <c r="J569" s="376">
        <f t="shared" si="65"/>
        <v>3.76</v>
      </c>
      <c r="K569" s="66">
        <f t="shared" si="66"/>
        <v>0.57904</v>
      </c>
      <c r="L569" s="63">
        <f t="shared" si="67"/>
        <v>0</v>
      </c>
      <c r="M569" s="63">
        <f t="shared" si="68"/>
        <v>0</v>
      </c>
      <c r="N569" s="63">
        <f t="shared" si="69"/>
        <v>0</v>
      </c>
      <c r="O569" s="63">
        <f t="shared" si="70"/>
        <v>0</v>
      </c>
      <c r="P569" s="63">
        <f t="shared" si="71"/>
        <v>0</v>
      </c>
      <c r="Q569" s="562">
        <f t="shared" si="72"/>
        <v>0</v>
      </c>
      <c r="R569" s="377"/>
      <c r="T569" s="82"/>
      <c r="U569" s="82"/>
      <c r="V569" s="82"/>
      <c r="W569" s="82"/>
      <c r="X569" s="82"/>
      <c r="Y569" s="82"/>
      <c r="Z569" s="82"/>
      <c r="AA569" s="82"/>
      <c r="AB569" s="82"/>
    </row>
    <row r="570" spans="1:28" s="85" customFormat="1" ht="13.8" thickBot="1" x14ac:dyDescent="0.3">
      <c r="A570" s="82"/>
      <c r="B570" s="82"/>
      <c r="C570" s="82"/>
      <c r="D570" s="731"/>
      <c r="E570" s="390" t="s">
        <v>184</v>
      </c>
      <c r="F570" s="391">
        <v>57</v>
      </c>
      <c r="G570" s="392">
        <v>8</v>
      </c>
      <c r="H570" s="393">
        <v>10</v>
      </c>
      <c r="I570" s="394">
        <v>1.02</v>
      </c>
      <c r="J570" s="395">
        <f t="shared" si="65"/>
        <v>8.16</v>
      </c>
      <c r="K570" s="221">
        <f t="shared" si="66"/>
        <v>0</v>
      </c>
      <c r="L570" s="222">
        <f t="shared" si="67"/>
        <v>0</v>
      </c>
      <c r="M570" s="222">
        <f t="shared" si="68"/>
        <v>0</v>
      </c>
      <c r="N570" s="222">
        <f t="shared" si="69"/>
        <v>5.0347200000000001</v>
      </c>
      <c r="O570" s="222">
        <f t="shared" si="70"/>
        <v>0</v>
      </c>
      <c r="P570" s="222">
        <f t="shared" si="71"/>
        <v>0</v>
      </c>
      <c r="Q570" s="564">
        <f t="shared" si="72"/>
        <v>0</v>
      </c>
      <c r="R570" s="539"/>
      <c r="T570" s="82"/>
      <c r="U570" s="82"/>
      <c r="V570" s="82"/>
      <c r="W570" s="82"/>
      <c r="X570" s="82"/>
      <c r="Y570" s="82"/>
      <c r="Z570" s="82"/>
      <c r="AA570" s="82"/>
      <c r="AB570" s="82"/>
    </row>
    <row r="571" spans="1:28" s="85" customFormat="1" ht="13.8" thickTop="1" x14ac:dyDescent="0.25">
      <c r="A571" s="82"/>
      <c r="B571" s="82"/>
      <c r="C571" s="82"/>
      <c r="D571" s="728" t="s">
        <v>1460</v>
      </c>
      <c r="E571" s="384" t="s">
        <v>49</v>
      </c>
      <c r="F571" s="385">
        <v>9</v>
      </c>
      <c r="G571" s="386">
        <v>16</v>
      </c>
      <c r="H571" s="387">
        <v>5</v>
      </c>
      <c r="I571" s="388">
        <v>0.28999999999999998</v>
      </c>
      <c r="J571" s="389">
        <f t="shared" si="65"/>
        <v>4.6399999999999997</v>
      </c>
      <c r="K571" s="218">
        <f t="shared" si="66"/>
        <v>0.71455999999999997</v>
      </c>
      <c r="L571" s="219">
        <f t="shared" si="67"/>
        <v>0</v>
      </c>
      <c r="M571" s="219">
        <f t="shared" si="68"/>
        <v>0</v>
      </c>
      <c r="N571" s="219">
        <f t="shared" si="69"/>
        <v>0</v>
      </c>
      <c r="O571" s="219">
        <f t="shared" si="70"/>
        <v>0</v>
      </c>
      <c r="P571" s="219">
        <f t="shared" si="71"/>
        <v>0</v>
      </c>
      <c r="Q571" s="563">
        <f t="shared" si="72"/>
        <v>0</v>
      </c>
      <c r="R571" s="220"/>
      <c r="T571" s="82"/>
      <c r="U571" s="82"/>
      <c r="V571" s="82"/>
      <c r="W571" s="82"/>
      <c r="X571" s="82"/>
      <c r="Y571" s="82"/>
      <c r="Z571" s="82"/>
      <c r="AA571" s="82"/>
      <c r="AB571" s="82"/>
    </row>
    <row r="572" spans="1:28" s="85" customFormat="1" x14ac:dyDescent="0.25">
      <c r="A572" s="82"/>
      <c r="B572" s="82"/>
      <c r="C572" s="82"/>
      <c r="D572" s="729"/>
      <c r="E572" s="371" t="s">
        <v>49</v>
      </c>
      <c r="F572" s="372">
        <v>10</v>
      </c>
      <c r="G572" s="373">
        <v>16</v>
      </c>
      <c r="H572" s="374">
        <v>5</v>
      </c>
      <c r="I572" s="375">
        <v>0.94</v>
      </c>
      <c r="J572" s="376">
        <f t="shared" si="65"/>
        <v>15.04</v>
      </c>
      <c r="K572" s="66">
        <f t="shared" si="66"/>
        <v>2.31616</v>
      </c>
      <c r="L572" s="63">
        <f t="shared" si="67"/>
        <v>0</v>
      </c>
      <c r="M572" s="63">
        <f t="shared" si="68"/>
        <v>0</v>
      </c>
      <c r="N572" s="63">
        <f t="shared" si="69"/>
        <v>0</v>
      </c>
      <c r="O572" s="63">
        <f t="shared" si="70"/>
        <v>0</v>
      </c>
      <c r="P572" s="63">
        <f t="shared" si="71"/>
        <v>0</v>
      </c>
      <c r="Q572" s="561">
        <f t="shared" si="72"/>
        <v>0</v>
      </c>
      <c r="R572" s="174"/>
      <c r="T572" s="82"/>
      <c r="U572" s="82"/>
      <c r="V572" s="82"/>
      <c r="W572" s="82"/>
      <c r="X572" s="82"/>
      <c r="Y572" s="82"/>
      <c r="Z572" s="82"/>
      <c r="AA572" s="82"/>
      <c r="AB572" s="82"/>
    </row>
    <row r="573" spans="1:28" s="85" customFormat="1" x14ac:dyDescent="0.25">
      <c r="A573" s="82"/>
      <c r="B573" s="82"/>
      <c r="C573" s="82"/>
      <c r="D573" s="729"/>
      <c r="E573" s="371" t="s">
        <v>49</v>
      </c>
      <c r="F573" s="372">
        <v>17</v>
      </c>
      <c r="G573" s="373">
        <v>8</v>
      </c>
      <c r="H573" s="374">
        <v>10</v>
      </c>
      <c r="I573" s="375">
        <v>1.37</v>
      </c>
      <c r="J573" s="376">
        <f t="shared" si="65"/>
        <v>10.96</v>
      </c>
      <c r="K573" s="66">
        <f t="shared" si="66"/>
        <v>0</v>
      </c>
      <c r="L573" s="63">
        <f t="shared" si="67"/>
        <v>0</v>
      </c>
      <c r="M573" s="63">
        <f t="shared" si="68"/>
        <v>0</v>
      </c>
      <c r="N573" s="63">
        <f t="shared" si="69"/>
        <v>6.7623200000000008</v>
      </c>
      <c r="O573" s="63">
        <f t="shared" si="70"/>
        <v>0</v>
      </c>
      <c r="P573" s="63">
        <f t="shared" si="71"/>
        <v>0</v>
      </c>
      <c r="Q573" s="561">
        <f t="shared" si="72"/>
        <v>0</v>
      </c>
      <c r="R573" s="174"/>
      <c r="T573" s="82"/>
      <c r="U573" s="82"/>
      <c r="V573" s="82"/>
      <c r="W573" s="82"/>
      <c r="X573" s="82"/>
      <c r="Y573" s="82"/>
      <c r="Z573" s="82"/>
      <c r="AA573" s="82"/>
      <c r="AB573" s="82"/>
    </row>
    <row r="574" spans="1:28" s="85" customFormat="1" x14ac:dyDescent="0.25">
      <c r="A574" s="82"/>
      <c r="B574" s="82"/>
      <c r="C574" s="82"/>
      <c r="D574" s="729"/>
      <c r="E574" s="371" t="s">
        <v>113</v>
      </c>
      <c r="F574" s="372">
        <v>5</v>
      </c>
      <c r="G574" s="373">
        <v>60</v>
      </c>
      <c r="H574" s="374">
        <v>5</v>
      </c>
      <c r="I574" s="375">
        <v>0.28999999999999998</v>
      </c>
      <c r="J574" s="376">
        <f t="shared" si="65"/>
        <v>17.399999999999999</v>
      </c>
      <c r="K574" s="66">
        <f t="shared" si="66"/>
        <v>2.6795999999999998</v>
      </c>
      <c r="L574" s="63">
        <f t="shared" si="67"/>
        <v>0</v>
      </c>
      <c r="M574" s="63">
        <f t="shared" si="68"/>
        <v>0</v>
      </c>
      <c r="N574" s="63">
        <f t="shared" si="69"/>
        <v>0</v>
      </c>
      <c r="O574" s="63">
        <f t="shared" si="70"/>
        <v>0</v>
      </c>
      <c r="P574" s="63">
        <f t="shared" si="71"/>
        <v>0</v>
      </c>
      <c r="Q574" s="561">
        <f t="shared" si="72"/>
        <v>0</v>
      </c>
      <c r="R574" s="174"/>
      <c r="T574" s="82"/>
      <c r="U574" s="82"/>
      <c r="V574" s="82"/>
      <c r="W574" s="82"/>
      <c r="X574" s="82"/>
      <c r="Y574" s="82"/>
      <c r="Z574" s="82"/>
      <c r="AA574" s="82"/>
      <c r="AB574" s="82"/>
    </row>
    <row r="575" spans="1:28" s="85" customFormat="1" x14ac:dyDescent="0.25">
      <c r="A575" s="82"/>
      <c r="B575" s="82"/>
      <c r="C575" s="82"/>
      <c r="D575" s="729"/>
      <c r="E575" s="371" t="s">
        <v>113</v>
      </c>
      <c r="F575" s="372">
        <v>6</v>
      </c>
      <c r="G575" s="373">
        <v>25</v>
      </c>
      <c r="H575" s="374">
        <v>5</v>
      </c>
      <c r="I575" s="375">
        <v>1.47</v>
      </c>
      <c r="J575" s="376">
        <f t="shared" si="65"/>
        <v>36.75</v>
      </c>
      <c r="K575" s="66">
        <f t="shared" si="66"/>
        <v>5.6594999999999995</v>
      </c>
      <c r="L575" s="63">
        <f t="shared" si="67"/>
        <v>0</v>
      </c>
      <c r="M575" s="63">
        <f t="shared" si="68"/>
        <v>0</v>
      </c>
      <c r="N575" s="63">
        <f t="shared" si="69"/>
        <v>0</v>
      </c>
      <c r="O575" s="63">
        <f t="shared" si="70"/>
        <v>0</v>
      </c>
      <c r="P575" s="63">
        <f t="shared" si="71"/>
        <v>0</v>
      </c>
      <c r="Q575" s="561">
        <f t="shared" si="72"/>
        <v>0</v>
      </c>
      <c r="R575" s="174"/>
      <c r="T575" s="82"/>
      <c r="U575" s="82"/>
      <c r="V575" s="82"/>
      <c r="W575" s="82"/>
      <c r="X575" s="82"/>
      <c r="Y575" s="82"/>
      <c r="Z575" s="82"/>
      <c r="AA575" s="82"/>
      <c r="AB575" s="82"/>
    </row>
    <row r="576" spans="1:28" s="85" customFormat="1" x14ac:dyDescent="0.25">
      <c r="A576" s="82"/>
      <c r="B576" s="82"/>
      <c r="C576" s="82"/>
      <c r="D576" s="729"/>
      <c r="E576" s="371" t="s">
        <v>113</v>
      </c>
      <c r="F576" s="372">
        <v>7</v>
      </c>
      <c r="G576" s="373">
        <v>10</v>
      </c>
      <c r="H576" s="374">
        <v>5</v>
      </c>
      <c r="I576" s="375">
        <v>0.94</v>
      </c>
      <c r="J576" s="376">
        <f t="shared" si="65"/>
        <v>9.3999999999999986</v>
      </c>
      <c r="K576" s="66">
        <f t="shared" si="66"/>
        <v>1.4475999999999998</v>
      </c>
      <c r="L576" s="63">
        <f t="shared" si="67"/>
        <v>0</v>
      </c>
      <c r="M576" s="63">
        <f t="shared" si="68"/>
        <v>0</v>
      </c>
      <c r="N576" s="63">
        <f t="shared" si="69"/>
        <v>0</v>
      </c>
      <c r="O576" s="63">
        <f t="shared" si="70"/>
        <v>0</v>
      </c>
      <c r="P576" s="63">
        <f t="shared" si="71"/>
        <v>0</v>
      </c>
      <c r="Q576" s="561">
        <f t="shared" si="72"/>
        <v>0</v>
      </c>
      <c r="R576" s="174"/>
      <c r="T576" s="82"/>
      <c r="U576" s="82"/>
      <c r="V576" s="82"/>
      <c r="W576" s="82"/>
      <c r="X576" s="82"/>
      <c r="Y576" s="82"/>
      <c r="Z576" s="82"/>
      <c r="AA576" s="82"/>
      <c r="AB576" s="82"/>
    </row>
    <row r="577" spans="1:28" s="85" customFormat="1" ht="13.8" thickBot="1" x14ac:dyDescent="0.3">
      <c r="A577" s="82"/>
      <c r="B577" s="82"/>
      <c r="C577" s="82"/>
      <c r="D577" s="729"/>
      <c r="E577" s="371" t="s">
        <v>113</v>
      </c>
      <c r="F577" s="372">
        <v>25</v>
      </c>
      <c r="G577" s="373">
        <v>8</v>
      </c>
      <c r="H577" s="374">
        <v>10</v>
      </c>
      <c r="I577" s="375">
        <v>3.42</v>
      </c>
      <c r="J577" s="376">
        <f t="shared" si="65"/>
        <v>27.36</v>
      </c>
      <c r="K577" s="66">
        <f t="shared" si="66"/>
        <v>0</v>
      </c>
      <c r="L577" s="63">
        <f t="shared" si="67"/>
        <v>0</v>
      </c>
      <c r="M577" s="63">
        <f t="shared" si="68"/>
        <v>0</v>
      </c>
      <c r="N577" s="63">
        <f t="shared" si="69"/>
        <v>16.881119999999999</v>
      </c>
      <c r="O577" s="63">
        <f t="shared" si="70"/>
        <v>0</v>
      </c>
      <c r="P577" s="63">
        <f t="shared" si="71"/>
        <v>0</v>
      </c>
      <c r="Q577" s="561">
        <f t="shared" si="72"/>
        <v>0</v>
      </c>
      <c r="R577" s="174"/>
      <c r="T577" s="82"/>
      <c r="U577" s="82"/>
      <c r="V577" s="82"/>
      <c r="W577" s="82"/>
      <c r="X577" s="82"/>
      <c r="Y577" s="82"/>
      <c r="Z577" s="82"/>
      <c r="AA577" s="82"/>
      <c r="AB577" s="82"/>
    </row>
    <row r="578" spans="1:28" s="85" customFormat="1" ht="13.8" thickTop="1" x14ac:dyDescent="0.25">
      <c r="A578" s="82"/>
      <c r="B578" s="82"/>
      <c r="C578" s="82"/>
      <c r="D578" s="728" t="s">
        <v>1461</v>
      </c>
      <c r="E578" s="384" t="s">
        <v>49</v>
      </c>
      <c r="F578" s="385">
        <v>2</v>
      </c>
      <c r="G578" s="386">
        <f>2*4</f>
        <v>8</v>
      </c>
      <c r="H578" s="387">
        <v>5</v>
      </c>
      <c r="I578" s="388">
        <v>0.97</v>
      </c>
      <c r="J578" s="389">
        <f t="shared" si="65"/>
        <v>7.76</v>
      </c>
      <c r="K578" s="218">
        <f t="shared" si="66"/>
        <v>1.1950399999999999</v>
      </c>
      <c r="L578" s="219">
        <f t="shared" si="67"/>
        <v>0</v>
      </c>
      <c r="M578" s="219">
        <f t="shared" si="68"/>
        <v>0</v>
      </c>
      <c r="N578" s="219">
        <f t="shared" si="69"/>
        <v>0</v>
      </c>
      <c r="O578" s="219">
        <f t="shared" si="70"/>
        <v>0</v>
      </c>
      <c r="P578" s="219">
        <f t="shared" si="71"/>
        <v>0</v>
      </c>
      <c r="Q578" s="563">
        <f t="shared" si="72"/>
        <v>0</v>
      </c>
      <c r="R578" s="220"/>
      <c r="T578" s="82"/>
      <c r="U578" s="82"/>
      <c r="V578" s="82"/>
      <c r="W578" s="82"/>
      <c r="X578" s="82"/>
      <c r="Y578" s="82"/>
      <c r="Z578" s="82"/>
      <c r="AA578" s="82"/>
      <c r="AB578" s="82"/>
    </row>
    <row r="579" spans="1:28" s="85" customFormat="1" x14ac:dyDescent="0.25">
      <c r="A579" s="82"/>
      <c r="B579" s="82"/>
      <c r="C579" s="82"/>
      <c r="D579" s="729"/>
      <c r="E579" s="371" t="s">
        <v>49</v>
      </c>
      <c r="F579" s="372">
        <v>3</v>
      </c>
      <c r="G579" s="373">
        <f>2*6</f>
        <v>12</v>
      </c>
      <c r="H579" s="374">
        <v>5</v>
      </c>
      <c r="I579" s="375">
        <v>0.64</v>
      </c>
      <c r="J579" s="376">
        <f t="shared" si="65"/>
        <v>7.68</v>
      </c>
      <c r="K579" s="66">
        <f t="shared" si="66"/>
        <v>1.18272</v>
      </c>
      <c r="L579" s="63">
        <f t="shared" si="67"/>
        <v>0</v>
      </c>
      <c r="M579" s="63">
        <f t="shared" si="68"/>
        <v>0</v>
      </c>
      <c r="N579" s="63">
        <f t="shared" si="69"/>
        <v>0</v>
      </c>
      <c r="O579" s="63">
        <f t="shared" si="70"/>
        <v>0</v>
      </c>
      <c r="P579" s="63">
        <f t="shared" si="71"/>
        <v>0</v>
      </c>
      <c r="Q579" s="561">
        <f t="shared" si="72"/>
        <v>0</v>
      </c>
      <c r="R579" s="174"/>
      <c r="T579" s="82"/>
      <c r="U579" s="82"/>
      <c r="V579" s="82"/>
      <c r="W579" s="82"/>
      <c r="X579" s="82"/>
      <c r="Y579" s="82"/>
      <c r="Z579" s="82"/>
      <c r="AA579" s="82"/>
      <c r="AB579" s="82"/>
    </row>
    <row r="580" spans="1:28" s="85" customFormat="1" x14ac:dyDescent="0.25">
      <c r="A580" s="82"/>
      <c r="B580" s="82"/>
      <c r="C580" s="82"/>
      <c r="D580" s="729"/>
      <c r="E580" s="371" t="s">
        <v>49</v>
      </c>
      <c r="F580" s="372">
        <v>11</v>
      </c>
      <c r="G580" s="373">
        <f>2*14</f>
        <v>28</v>
      </c>
      <c r="H580" s="374">
        <v>5</v>
      </c>
      <c r="I580" s="375">
        <v>0.24</v>
      </c>
      <c r="J580" s="376">
        <f t="shared" si="65"/>
        <v>6.72</v>
      </c>
      <c r="K580" s="66">
        <f t="shared" si="66"/>
        <v>1.03488</v>
      </c>
      <c r="L580" s="63">
        <f t="shared" si="67"/>
        <v>0</v>
      </c>
      <c r="M580" s="63">
        <f t="shared" si="68"/>
        <v>0</v>
      </c>
      <c r="N580" s="63">
        <f t="shared" si="69"/>
        <v>0</v>
      </c>
      <c r="O580" s="63">
        <f t="shared" si="70"/>
        <v>0</v>
      </c>
      <c r="P580" s="63">
        <f t="shared" si="71"/>
        <v>0</v>
      </c>
      <c r="Q580" s="561">
        <f t="shared" si="72"/>
        <v>0</v>
      </c>
      <c r="R580" s="174"/>
      <c r="T580" s="82"/>
      <c r="U580" s="82"/>
      <c r="V580" s="82"/>
      <c r="W580" s="82"/>
      <c r="X580" s="82"/>
      <c r="Y580" s="82"/>
      <c r="Z580" s="82"/>
      <c r="AA580" s="82"/>
      <c r="AB580" s="82"/>
    </row>
    <row r="581" spans="1:28" s="85" customFormat="1" x14ac:dyDescent="0.25">
      <c r="A581" s="82"/>
      <c r="B581" s="82"/>
      <c r="C581" s="82"/>
      <c r="D581" s="729"/>
      <c r="E581" s="371" t="s">
        <v>49</v>
      </c>
      <c r="F581" s="372">
        <v>19</v>
      </c>
      <c r="G581" s="373">
        <f>2*8</f>
        <v>16</v>
      </c>
      <c r="H581" s="374">
        <v>16</v>
      </c>
      <c r="I581" s="375">
        <v>1.55</v>
      </c>
      <c r="J581" s="376">
        <f t="shared" si="65"/>
        <v>24.8</v>
      </c>
      <c r="K581" s="66">
        <f t="shared" si="66"/>
        <v>0</v>
      </c>
      <c r="L581" s="63">
        <f t="shared" si="67"/>
        <v>0</v>
      </c>
      <c r="M581" s="63">
        <f t="shared" si="68"/>
        <v>0</v>
      </c>
      <c r="N581" s="63">
        <f t="shared" si="69"/>
        <v>0</v>
      </c>
      <c r="O581" s="63">
        <f t="shared" si="70"/>
        <v>0</v>
      </c>
      <c r="P581" s="63">
        <f t="shared" si="71"/>
        <v>39.134399999999999</v>
      </c>
      <c r="Q581" s="561">
        <f t="shared" si="72"/>
        <v>0</v>
      </c>
      <c r="R581" s="174"/>
      <c r="T581" s="82"/>
      <c r="U581" s="82"/>
      <c r="V581" s="82"/>
      <c r="W581" s="82"/>
      <c r="X581" s="82"/>
      <c r="Y581" s="82"/>
      <c r="Z581" s="82"/>
      <c r="AA581" s="82"/>
      <c r="AB581" s="82"/>
    </row>
    <row r="582" spans="1:28" s="85" customFormat="1" x14ac:dyDescent="0.25">
      <c r="A582" s="82"/>
      <c r="B582" s="82"/>
      <c r="C582" s="82"/>
      <c r="D582" s="729"/>
      <c r="E582" s="371" t="s">
        <v>113</v>
      </c>
      <c r="F582" s="372">
        <v>4</v>
      </c>
      <c r="G582" s="373">
        <f>2*20</f>
        <v>40</v>
      </c>
      <c r="H582" s="374">
        <v>5</v>
      </c>
      <c r="I582" s="375">
        <v>0.97</v>
      </c>
      <c r="J582" s="376">
        <f t="shared" si="65"/>
        <v>38.799999999999997</v>
      </c>
      <c r="K582" s="66">
        <f t="shared" si="66"/>
        <v>5.9751999999999992</v>
      </c>
      <c r="L582" s="63">
        <f t="shared" si="67"/>
        <v>0</v>
      </c>
      <c r="M582" s="63">
        <f t="shared" si="68"/>
        <v>0</v>
      </c>
      <c r="N582" s="63">
        <f t="shared" si="69"/>
        <v>0</v>
      </c>
      <c r="O582" s="63">
        <f t="shared" si="70"/>
        <v>0</v>
      </c>
      <c r="P582" s="63">
        <f t="shared" si="71"/>
        <v>0</v>
      </c>
      <c r="Q582" s="561">
        <f t="shared" si="72"/>
        <v>0</v>
      </c>
      <c r="R582" s="174"/>
      <c r="T582" s="82"/>
      <c r="U582" s="82"/>
      <c r="V582" s="82"/>
      <c r="W582" s="82"/>
      <c r="X582" s="82"/>
      <c r="Y582" s="82"/>
      <c r="Z582" s="82"/>
      <c r="AA582" s="82"/>
      <c r="AB582" s="82"/>
    </row>
    <row r="583" spans="1:28" s="85" customFormat="1" x14ac:dyDescent="0.25">
      <c r="A583" s="82"/>
      <c r="B583" s="82"/>
      <c r="C583" s="82"/>
      <c r="D583" s="729"/>
      <c r="E583" s="371" t="s">
        <v>113</v>
      </c>
      <c r="F583" s="372">
        <v>5</v>
      </c>
      <c r="G583" s="373">
        <f>2*8</f>
        <v>16</v>
      </c>
      <c r="H583" s="374">
        <v>5</v>
      </c>
      <c r="I583" s="375">
        <v>0.64</v>
      </c>
      <c r="J583" s="376">
        <f t="shared" si="65"/>
        <v>10.24</v>
      </c>
      <c r="K583" s="66">
        <f t="shared" si="66"/>
        <v>1.5769599999999999</v>
      </c>
      <c r="L583" s="63">
        <f t="shared" si="67"/>
        <v>0</v>
      </c>
      <c r="M583" s="63">
        <f t="shared" si="68"/>
        <v>0</v>
      </c>
      <c r="N583" s="63">
        <f t="shared" si="69"/>
        <v>0</v>
      </c>
      <c r="O583" s="63">
        <f t="shared" si="70"/>
        <v>0</v>
      </c>
      <c r="P583" s="63">
        <f t="shared" si="71"/>
        <v>0</v>
      </c>
      <c r="Q583" s="561">
        <f t="shared" si="72"/>
        <v>0</v>
      </c>
      <c r="R583" s="174"/>
      <c r="T583" s="82"/>
      <c r="U583" s="82"/>
      <c r="V583" s="82"/>
      <c r="W583" s="82"/>
      <c r="X583" s="82"/>
      <c r="Y583" s="82"/>
      <c r="Z583" s="82"/>
      <c r="AA583" s="82"/>
      <c r="AB583" s="82"/>
    </row>
    <row r="584" spans="1:28" s="85" customFormat="1" x14ac:dyDescent="0.25">
      <c r="A584" s="82"/>
      <c r="B584" s="82"/>
      <c r="C584" s="82"/>
      <c r="D584" s="729"/>
      <c r="E584" s="371" t="s">
        <v>113</v>
      </c>
      <c r="F584" s="372">
        <v>14</v>
      </c>
      <c r="G584" s="373">
        <f>2*48</f>
        <v>96</v>
      </c>
      <c r="H584" s="374">
        <v>5</v>
      </c>
      <c r="I584" s="375">
        <v>0.24</v>
      </c>
      <c r="J584" s="376">
        <f t="shared" si="65"/>
        <v>23.04</v>
      </c>
      <c r="K584" s="66">
        <f t="shared" si="66"/>
        <v>3.5481599999999998</v>
      </c>
      <c r="L584" s="63">
        <f t="shared" si="67"/>
        <v>0</v>
      </c>
      <c r="M584" s="63">
        <f t="shared" si="68"/>
        <v>0</v>
      </c>
      <c r="N584" s="63">
        <f t="shared" si="69"/>
        <v>0</v>
      </c>
      <c r="O584" s="63">
        <f t="shared" si="70"/>
        <v>0</v>
      </c>
      <c r="P584" s="63">
        <f t="shared" si="71"/>
        <v>0</v>
      </c>
      <c r="Q584" s="561">
        <f t="shared" si="72"/>
        <v>0</v>
      </c>
      <c r="R584" s="174"/>
      <c r="T584" s="82"/>
      <c r="U584" s="82"/>
      <c r="V584" s="82"/>
      <c r="W584" s="82"/>
      <c r="X584" s="82"/>
      <c r="Y584" s="82"/>
      <c r="Z584" s="82"/>
      <c r="AA584" s="82"/>
      <c r="AB584" s="82"/>
    </row>
    <row r="585" spans="1:28" s="85" customFormat="1" ht="13.8" thickBot="1" x14ac:dyDescent="0.3">
      <c r="A585" s="82"/>
      <c r="B585" s="82"/>
      <c r="C585" s="82"/>
      <c r="D585" s="729"/>
      <c r="E585" s="371" t="s">
        <v>113</v>
      </c>
      <c r="F585" s="372">
        <v>26</v>
      </c>
      <c r="G585" s="373">
        <f>2*8</f>
        <v>16</v>
      </c>
      <c r="H585" s="374">
        <v>16</v>
      </c>
      <c r="I585" s="375">
        <v>3.42</v>
      </c>
      <c r="J585" s="376">
        <f t="shared" si="65"/>
        <v>54.72</v>
      </c>
      <c r="K585" s="66">
        <f t="shared" si="66"/>
        <v>0</v>
      </c>
      <c r="L585" s="63">
        <f t="shared" si="67"/>
        <v>0</v>
      </c>
      <c r="M585" s="63">
        <f t="shared" si="68"/>
        <v>0</v>
      </c>
      <c r="N585" s="63">
        <f t="shared" si="69"/>
        <v>0</v>
      </c>
      <c r="O585" s="63">
        <f t="shared" si="70"/>
        <v>0</v>
      </c>
      <c r="P585" s="63">
        <f t="shared" si="71"/>
        <v>86.348160000000007</v>
      </c>
      <c r="Q585" s="561">
        <f t="shared" si="72"/>
        <v>0</v>
      </c>
      <c r="R585" s="174"/>
      <c r="T585" s="82"/>
      <c r="U585" s="82"/>
      <c r="V585" s="82"/>
      <c r="W585" s="82"/>
      <c r="X585" s="82"/>
      <c r="Y585" s="82"/>
      <c r="Z585" s="82"/>
      <c r="AA585" s="82"/>
      <c r="AB585" s="82"/>
    </row>
    <row r="586" spans="1:28" s="85" customFormat="1" ht="13.8" thickTop="1" x14ac:dyDescent="0.25">
      <c r="A586" s="82"/>
      <c r="B586" s="82"/>
      <c r="C586" s="82"/>
      <c r="D586" s="728" t="s">
        <v>1462</v>
      </c>
      <c r="E586" s="384" t="s">
        <v>49</v>
      </c>
      <c r="F586" s="385">
        <v>12</v>
      </c>
      <c r="G586" s="386">
        <v>4</v>
      </c>
      <c r="H586" s="387">
        <v>5</v>
      </c>
      <c r="I586" s="388">
        <v>0.87</v>
      </c>
      <c r="J586" s="389">
        <f t="shared" si="65"/>
        <v>3.48</v>
      </c>
      <c r="K586" s="218">
        <f t="shared" si="66"/>
        <v>0.53591999999999995</v>
      </c>
      <c r="L586" s="219">
        <f t="shared" si="67"/>
        <v>0</v>
      </c>
      <c r="M586" s="219">
        <f t="shared" si="68"/>
        <v>0</v>
      </c>
      <c r="N586" s="219">
        <f t="shared" si="69"/>
        <v>0</v>
      </c>
      <c r="O586" s="219">
        <f t="shared" si="70"/>
        <v>0</v>
      </c>
      <c r="P586" s="219">
        <f t="shared" si="71"/>
        <v>0</v>
      </c>
      <c r="Q586" s="563">
        <f t="shared" si="72"/>
        <v>0</v>
      </c>
      <c r="R586" s="220"/>
      <c r="T586" s="82"/>
      <c r="U586" s="82"/>
      <c r="V586" s="82"/>
      <c r="W586" s="82"/>
      <c r="X586" s="82"/>
      <c r="Y586" s="82"/>
      <c r="Z586" s="82"/>
      <c r="AA586" s="82"/>
      <c r="AB586" s="82"/>
    </row>
    <row r="587" spans="1:28" s="85" customFormat="1" x14ac:dyDescent="0.25">
      <c r="A587" s="82"/>
      <c r="B587" s="82"/>
      <c r="C587" s="82"/>
      <c r="D587" s="729"/>
      <c r="E587" s="371" t="s">
        <v>49</v>
      </c>
      <c r="F587" s="372">
        <v>13</v>
      </c>
      <c r="G587" s="373">
        <v>6</v>
      </c>
      <c r="H587" s="374">
        <v>5</v>
      </c>
      <c r="I587" s="375">
        <v>0.69</v>
      </c>
      <c r="J587" s="376">
        <f t="shared" si="65"/>
        <v>4.1399999999999997</v>
      </c>
      <c r="K587" s="66">
        <f t="shared" si="66"/>
        <v>0.6375599999999999</v>
      </c>
      <c r="L587" s="63">
        <f t="shared" si="67"/>
        <v>0</v>
      </c>
      <c r="M587" s="63">
        <f t="shared" si="68"/>
        <v>0</v>
      </c>
      <c r="N587" s="63">
        <f t="shared" si="69"/>
        <v>0</v>
      </c>
      <c r="O587" s="63">
        <f t="shared" si="70"/>
        <v>0</v>
      </c>
      <c r="P587" s="63">
        <f t="shared" si="71"/>
        <v>0</v>
      </c>
      <c r="Q587" s="561">
        <f t="shared" si="72"/>
        <v>0</v>
      </c>
      <c r="R587" s="174"/>
      <c r="T587" s="82"/>
      <c r="U587" s="82"/>
      <c r="V587" s="82"/>
      <c r="W587" s="82"/>
      <c r="X587" s="82"/>
      <c r="Y587" s="82"/>
      <c r="Z587" s="82"/>
      <c r="AA587" s="82"/>
      <c r="AB587" s="82"/>
    </row>
    <row r="588" spans="1:28" s="85" customFormat="1" ht="13.8" thickBot="1" x14ac:dyDescent="0.3">
      <c r="A588" s="82"/>
      <c r="B588" s="82"/>
      <c r="C588" s="82"/>
      <c r="D588" s="729"/>
      <c r="E588" s="371" t="s">
        <v>49</v>
      </c>
      <c r="F588" s="372">
        <v>18</v>
      </c>
      <c r="G588" s="373">
        <v>4</v>
      </c>
      <c r="H588" s="374">
        <v>12.5</v>
      </c>
      <c r="I588" s="375">
        <v>0.99</v>
      </c>
      <c r="J588" s="376">
        <f t="shared" si="65"/>
        <v>3.96</v>
      </c>
      <c r="K588" s="66">
        <f t="shared" si="66"/>
        <v>0</v>
      </c>
      <c r="L588" s="63">
        <f t="shared" si="67"/>
        <v>0</v>
      </c>
      <c r="M588" s="63">
        <f t="shared" si="68"/>
        <v>0</v>
      </c>
      <c r="N588" s="63">
        <f t="shared" si="69"/>
        <v>0</v>
      </c>
      <c r="O588" s="63">
        <f t="shared" si="70"/>
        <v>3.8134799999999998</v>
      </c>
      <c r="P588" s="63">
        <f t="shared" si="71"/>
        <v>0</v>
      </c>
      <c r="Q588" s="561">
        <f t="shared" si="72"/>
        <v>0</v>
      </c>
      <c r="R588" s="174"/>
      <c r="T588" s="82"/>
      <c r="U588" s="82"/>
      <c r="V588" s="82"/>
      <c r="W588" s="82"/>
      <c r="X588" s="82"/>
      <c r="Y588" s="82"/>
      <c r="Z588" s="82"/>
      <c r="AA588" s="82"/>
      <c r="AB588" s="82"/>
    </row>
    <row r="589" spans="1:28" s="85" customFormat="1" ht="13.8" thickTop="1" x14ac:dyDescent="0.25">
      <c r="A589" s="82"/>
      <c r="B589" s="82"/>
      <c r="C589" s="82"/>
      <c r="D589" s="728" t="s">
        <v>1463</v>
      </c>
      <c r="E589" s="384" t="s">
        <v>49</v>
      </c>
      <c r="F589" s="385">
        <v>12</v>
      </c>
      <c r="G589" s="386">
        <f>2*4</f>
        <v>8</v>
      </c>
      <c r="H589" s="387">
        <v>5</v>
      </c>
      <c r="I589" s="388">
        <v>0.87</v>
      </c>
      <c r="J589" s="389">
        <f t="shared" si="65"/>
        <v>6.96</v>
      </c>
      <c r="K589" s="218">
        <f t="shared" si="66"/>
        <v>1.0718399999999999</v>
      </c>
      <c r="L589" s="219">
        <f t="shared" si="67"/>
        <v>0</v>
      </c>
      <c r="M589" s="219">
        <f t="shared" si="68"/>
        <v>0</v>
      </c>
      <c r="N589" s="219">
        <f t="shared" si="69"/>
        <v>0</v>
      </c>
      <c r="O589" s="219">
        <f t="shared" si="70"/>
        <v>0</v>
      </c>
      <c r="P589" s="219">
        <f t="shared" si="71"/>
        <v>0</v>
      </c>
      <c r="Q589" s="563">
        <f t="shared" si="72"/>
        <v>0</v>
      </c>
      <c r="R589" s="220"/>
      <c r="T589" s="82"/>
      <c r="U589" s="82"/>
      <c r="V589" s="82"/>
      <c r="W589" s="82"/>
      <c r="X589" s="82"/>
      <c r="Y589" s="82"/>
      <c r="Z589" s="82"/>
      <c r="AA589" s="82"/>
      <c r="AB589" s="82"/>
    </row>
    <row r="590" spans="1:28" s="85" customFormat="1" x14ac:dyDescent="0.25">
      <c r="A590" s="82"/>
      <c r="B590" s="82"/>
      <c r="C590" s="82"/>
      <c r="D590" s="729"/>
      <c r="E590" s="371" t="s">
        <v>49</v>
      </c>
      <c r="F590" s="372">
        <v>13</v>
      </c>
      <c r="G590" s="373">
        <f>2*8</f>
        <v>16</v>
      </c>
      <c r="H590" s="374">
        <v>5</v>
      </c>
      <c r="I590" s="375">
        <v>0.69</v>
      </c>
      <c r="J590" s="376">
        <f t="shared" si="65"/>
        <v>11.04</v>
      </c>
      <c r="K590" s="66">
        <f t="shared" si="66"/>
        <v>1.7001599999999999</v>
      </c>
      <c r="L590" s="63">
        <f t="shared" si="67"/>
        <v>0</v>
      </c>
      <c r="M590" s="63">
        <f t="shared" si="68"/>
        <v>0</v>
      </c>
      <c r="N590" s="63">
        <f t="shared" si="69"/>
        <v>0</v>
      </c>
      <c r="O590" s="63">
        <f t="shared" si="70"/>
        <v>0</v>
      </c>
      <c r="P590" s="63">
        <f t="shared" si="71"/>
        <v>0</v>
      </c>
      <c r="Q590" s="561">
        <f t="shared" si="72"/>
        <v>0</v>
      </c>
      <c r="R590" s="174"/>
      <c r="T590" s="82"/>
      <c r="U590" s="82"/>
      <c r="V590" s="82"/>
      <c r="W590" s="82"/>
      <c r="X590" s="82"/>
      <c r="Y590" s="82"/>
      <c r="Z590" s="82"/>
      <c r="AA590" s="82"/>
      <c r="AB590" s="82"/>
    </row>
    <row r="591" spans="1:28" s="85" customFormat="1" ht="13.8" thickBot="1" x14ac:dyDescent="0.3">
      <c r="A591" s="82"/>
      <c r="B591" s="82"/>
      <c r="C591" s="82"/>
      <c r="D591" s="729"/>
      <c r="E591" s="371" t="s">
        <v>49</v>
      </c>
      <c r="F591" s="372">
        <v>18</v>
      </c>
      <c r="G591" s="373">
        <f>2*4</f>
        <v>8</v>
      </c>
      <c r="H591" s="374">
        <v>12.5</v>
      </c>
      <c r="I591" s="375">
        <v>0.99</v>
      </c>
      <c r="J591" s="376">
        <f t="shared" si="65"/>
        <v>7.92</v>
      </c>
      <c r="K591" s="66">
        <f t="shared" si="66"/>
        <v>0</v>
      </c>
      <c r="L591" s="63">
        <f t="shared" si="67"/>
        <v>0</v>
      </c>
      <c r="M591" s="63">
        <f t="shared" si="68"/>
        <v>0</v>
      </c>
      <c r="N591" s="63">
        <f t="shared" si="69"/>
        <v>0</v>
      </c>
      <c r="O591" s="63">
        <f t="shared" si="70"/>
        <v>7.6269599999999995</v>
      </c>
      <c r="P591" s="63">
        <f t="shared" si="71"/>
        <v>0</v>
      </c>
      <c r="Q591" s="561">
        <f t="shared" si="72"/>
        <v>0</v>
      </c>
      <c r="R591" s="174"/>
      <c r="T591" s="82"/>
      <c r="U591" s="82"/>
      <c r="V591" s="82"/>
      <c r="W591" s="82"/>
      <c r="X591" s="82"/>
      <c r="Y591" s="82"/>
      <c r="Z591" s="82"/>
      <c r="AA591" s="82"/>
      <c r="AB591" s="82"/>
    </row>
    <row r="592" spans="1:28" s="85" customFormat="1" ht="13.8" thickTop="1" x14ac:dyDescent="0.25">
      <c r="A592" s="82"/>
      <c r="B592" s="82"/>
      <c r="C592" s="82"/>
      <c r="D592" s="728" t="s">
        <v>1464</v>
      </c>
      <c r="E592" s="384" t="s">
        <v>49</v>
      </c>
      <c r="F592" s="385">
        <v>4</v>
      </c>
      <c r="G592" s="386">
        <v>12</v>
      </c>
      <c r="H592" s="387">
        <v>5</v>
      </c>
      <c r="I592" s="388">
        <v>0.28999999999999998</v>
      </c>
      <c r="J592" s="389">
        <f t="shared" si="65"/>
        <v>3.4799999999999995</v>
      </c>
      <c r="K592" s="218">
        <f t="shared" si="66"/>
        <v>0.53591999999999995</v>
      </c>
      <c r="L592" s="219">
        <f t="shared" si="67"/>
        <v>0</v>
      </c>
      <c r="M592" s="219">
        <f t="shared" si="68"/>
        <v>0</v>
      </c>
      <c r="N592" s="219">
        <f t="shared" si="69"/>
        <v>0</v>
      </c>
      <c r="O592" s="219">
        <f t="shared" si="70"/>
        <v>0</v>
      </c>
      <c r="P592" s="219">
        <f t="shared" si="71"/>
        <v>0</v>
      </c>
      <c r="Q592" s="563">
        <f t="shared" si="72"/>
        <v>0</v>
      </c>
      <c r="R592" s="220"/>
      <c r="T592" s="82"/>
      <c r="U592" s="82"/>
      <c r="V592" s="82"/>
      <c r="W592" s="82"/>
      <c r="X592" s="82"/>
      <c r="Y592" s="82"/>
      <c r="Z592" s="82"/>
      <c r="AA592" s="82"/>
      <c r="AB592" s="82"/>
    </row>
    <row r="593" spans="1:28" s="85" customFormat="1" x14ac:dyDescent="0.25">
      <c r="A593" s="82"/>
      <c r="B593" s="82"/>
      <c r="C593" s="82"/>
      <c r="D593" s="729"/>
      <c r="E593" s="371" t="s">
        <v>49</v>
      </c>
      <c r="F593" s="372">
        <v>7</v>
      </c>
      <c r="G593" s="373">
        <v>3</v>
      </c>
      <c r="H593" s="374">
        <v>5</v>
      </c>
      <c r="I593" s="375">
        <v>1.27</v>
      </c>
      <c r="J593" s="376">
        <f t="shared" si="65"/>
        <v>3.81</v>
      </c>
      <c r="K593" s="66">
        <f t="shared" si="66"/>
        <v>0.58674000000000004</v>
      </c>
      <c r="L593" s="63">
        <f t="shared" si="67"/>
        <v>0</v>
      </c>
      <c r="M593" s="63">
        <f t="shared" si="68"/>
        <v>0</v>
      </c>
      <c r="N593" s="63">
        <f t="shared" si="69"/>
        <v>0</v>
      </c>
      <c r="O593" s="63">
        <f t="shared" si="70"/>
        <v>0</v>
      </c>
      <c r="P593" s="63">
        <f t="shared" si="71"/>
        <v>0</v>
      </c>
      <c r="Q593" s="561">
        <f t="shared" si="72"/>
        <v>0</v>
      </c>
      <c r="R593" s="174"/>
      <c r="T593" s="82"/>
      <c r="U593" s="82"/>
      <c r="V593" s="82"/>
      <c r="W593" s="82"/>
      <c r="X593" s="82"/>
      <c r="Y593" s="82"/>
      <c r="Z593" s="82"/>
      <c r="AA593" s="82"/>
      <c r="AB593" s="82"/>
    </row>
    <row r="594" spans="1:28" s="85" customFormat="1" x14ac:dyDescent="0.25">
      <c r="A594" s="82"/>
      <c r="B594" s="82"/>
      <c r="C594" s="82"/>
      <c r="D594" s="729"/>
      <c r="E594" s="371" t="s">
        <v>49</v>
      </c>
      <c r="F594" s="372">
        <v>8</v>
      </c>
      <c r="G594" s="373">
        <v>6</v>
      </c>
      <c r="H594" s="374">
        <v>5</v>
      </c>
      <c r="I594" s="375">
        <v>0.84</v>
      </c>
      <c r="J594" s="376">
        <f t="shared" si="65"/>
        <v>5.04</v>
      </c>
      <c r="K594" s="66">
        <f t="shared" si="66"/>
        <v>0.77615999999999996</v>
      </c>
      <c r="L594" s="63">
        <f t="shared" si="67"/>
        <v>0</v>
      </c>
      <c r="M594" s="63">
        <f t="shared" si="68"/>
        <v>0</v>
      </c>
      <c r="N594" s="63">
        <f t="shared" si="69"/>
        <v>0</v>
      </c>
      <c r="O594" s="63">
        <f t="shared" si="70"/>
        <v>0</v>
      </c>
      <c r="P594" s="63">
        <f t="shared" si="71"/>
        <v>0</v>
      </c>
      <c r="Q594" s="561">
        <f t="shared" si="72"/>
        <v>0</v>
      </c>
      <c r="R594" s="174"/>
      <c r="T594" s="82"/>
      <c r="U594" s="82"/>
      <c r="V594" s="82"/>
      <c r="W594" s="82"/>
      <c r="X594" s="82"/>
      <c r="Y594" s="82"/>
      <c r="Z594" s="82"/>
      <c r="AA594" s="82"/>
      <c r="AB594" s="82"/>
    </row>
    <row r="595" spans="1:28" s="85" customFormat="1" x14ac:dyDescent="0.25">
      <c r="A595" s="82"/>
      <c r="B595" s="82"/>
      <c r="C595" s="82"/>
      <c r="D595" s="729"/>
      <c r="E595" s="371" t="s">
        <v>49</v>
      </c>
      <c r="F595" s="372">
        <v>19</v>
      </c>
      <c r="G595" s="373">
        <v>8</v>
      </c>
      <c r="H595" s="374">
        <v>16</v>
      </c>
      <c r="I595" s="375">
        <v>1.55</v>
      </c>
      <c r="J595" s="376">
        <f t="shared" si="65"/>
        <v>12.4</v>
      </c>
      <c r="K595" s="66">
        <f t="shared" si="66"/>
        <v>0</v>
      </c>
      <c r="L595" s="63">
        <f t="shared" si="67"/>
        <v>0</v>
      </c>
      <c r="M595" s="63">
        <f t="shared" si="68"/>
        <v>0</v>
      </c>
      <c r="N595" s="63">
        <f t="shared" si="69"/>
        <v>0</v>
      </c>
      <c r="O595" s="63">
        <f t="shared" si="70"/>
        <v>0</v>
      </c>
      <c r="P595" s="63">
        <f t="shared" si="71"/>
        <v>19.5672</v>
      </c>
      <c r="Q595" s="561">
        <f t="shared" si="72"/>
        <v>0</v>
      </c>
      <c r="R595" s="174"/>
      <c r="T595" s="82"/>
      <c r="U595" s="82"/>
      <c r="V595" s="82"/>
      <c r="W595" s="82"/>
      <c r="X595" s="82"/>
      <c r="Y595" s="82"/>
      <c r="Z595" s="82"/>
      <c r="AA595" s="82"/>
      <c r="AB595" s="82"/>
    </row>
    <row r="596" spans="1:28" s="85" customFormat="1" x14ac:dyDescent="0.25">
      <c r="A596" s="82"/>
      <c r="B596" s="82"/>
      <c r="C596" s="82"/>
      <c r="D596" s="729"/>
      <c r="E596" s="371" t="s">
        <v>113</v>
      </c>
      <c r="F596" s="372">
        <v>6</v>
      </c>
      <c r="G596" s="373">
        <v>46</v>
      </c>
      <c r="H596" s="374">
        <v>5</v>
      </c>
      <c r="I596" s="375">
        <v>0.28999999999999998</v>
      </c>
      <c r="J596" s="376">
        <f t="shared" si="65"/>
        <v>13.34</v>
      </c>
      <c r="K596" s="66">
        <f t="shared" si="66"/>
        <v>2.05436</v>
      </c>
      <c r="L596" s="63">
        <f t="shared" si="67"/>
        <v>0</v>
      </c>
      <c r="M596" s="63">
        <f t="shared" si="68"/>
        <v>0</v>
      </c>
      <c r="N596" s="63">
        <f t="shared" si="69"/>
        <v>0</v>
      </c>
      <c r="O596" s="63">
        <f t="shared" si="70"/>
        <v>0</v>
      </c>
      <c r="P596" s="63">
        <f t="shared" si="71"/>
        <v>0</v>
      </c>
      <c r="Q596" s="561">
        <f t="shared" si="72"/>
        <v>0</v>
      </c>
      <c r="R596" s="174"/>
      <c r="T596" s="82"/>
      <c r="U596" s="82"/>
      <c r="V596" s="82"/>
      <c r="W596" s="82"/>
      <c r="X596" s="82"/>
      <c r="Y596" s="82"/>
      <c r="Z596" s="82"/>
      <c r="AA596" s="82"/>
      <c r="AB596" s="82"/>
    </row>
    <row r="597" spans="1:28" s="85" customFormat="1" x14ac:dyDescent="0.25">
      <c r="A597" s="82"/>
      <c r="B597" s="82"/>
      <c r="C597" s="82"/>
      <c r="D597" s="729"/>
      <c r="E597" s="371" t="s">
        <v>113</v>
      </c>
      <c r="F597" s="372">
        <v>9</v>
      </c>
      <c r="G597" s="373">
        <v>19</v>
      </c>
      <c r="H597" s="374">
        <v>5</v>
      </c>
      <c r="I597" s="375">
        <v>1.27</v>
      </c>
      <c r="J597" s="376">
        <f t="shared" si="65"/>
        <v>24.13</v>
      </c>
      <c r="K597" s="66">
        <f t="shared" si="66"/>
        <v>3.7160199999999999</v>
      </c>
      <c r="L597" s="63">
        <f t="shared" si="67"/>
        <v>0</v>
      </c>
      <c r="M597" s="63">
        <f t="shared" si="68"/>
        <v>0</v>
      </c>
      <c r="N597" s="63">
        <f t="shared" si="69"/>
        <v>0</v>
      </c>
      <c r="O597" s="63">
        <f t="shared" si="70"/>
        <v>0</v>
      </c>
      <c r="P597" s="63">
        <f t="shared" si="71"/>
        <v>0</v>
      </c>
      <c r="Q597" s="561">
        <f t="shared" si="72"/>
        <v>0</v>
      </c>
      <c r="R597" s="174"/>
      <c r="T597" s="82"/>
      <c r="U597" s="82"/>
      <c r="V597" s="82"/>
      <c r="W597" s="82"/>
      <c r="X597" s="82"/>
      <c r="Y597" s="82"/>
      <c r="Z597" s="82"/>
      <c r="AA597" s="82"/>
      <c r="AB597" s="82"/>
    </row>
    <row r="598" spans="1:28" s="85" customFormat="1" x14ac:dyDescent="0.25">
      <c r="A598" s="82"/>
      <c r="B598" s="82"/>
      <c r="C598" s="82"/>
      <c r="D598" s="729"/>
      <c r="E598" s="371" t="s">
        <v>113</v>
      </c>
      <c r="F598" s="372">
        <v>10</v>
      </c>
      <c r="G598" s="373">
        <v>8</v>
      </c>
      <c r="H598" s="374">
        <v>5</v>
      </c>
      <c r="I598" s="375">
        <v>0.84</v>
      </c>
      <c r="J598" s="376">
        <f t="shared" si="65"/>
        <v>6.72</v>
      </c>
      <c r="K598" s="66">
        <f t="shared" si="66"/>
        <v>1.03488</v>
      </c>
      <c r="L598" s="63">
        <f t="shared" si="67"/>
        <v>0</v>
      </c>
      <c r="M598" s="63">
        <f t="shared" si="68"/>
        <v>0</v>
      </c>
      <c r="N598" s="63">
        <f t="shared" si="69"/>
        <v>0</v>
      </c>
      <c r="O598" s="63">
        <f t="shared" si="70"/>
        <v>0</v>
      </c>
      <c r="P598" s="63">
        <f t="shared" si="71"/>
        <v>0</v>
      </c>
      <c r="Q598" s="561">
        <f t="shared" si="72"/>
        <v>0</v>
      </c>
      <c r="R598" s="174"/>
      <c r="T598" s="82"/>
      <c r="U598" s="82"/>
      <c r="V598" s="82"/>
      <c r="W598" s="82"/>
      <c r="X598" s="82"/>
      <c r="Y598" s="82"/>
      <c r="Z598" s="82"/>
      <c r="AA598" s="82"/>
      <c r="AB598" s="82"/>
    </row>
    <row r="599" spans="1:28" s="85" customFormat="1" x14ac:dyDescent="0.25">
      <c r="A599" s="82"/>
      <c r="B599" s="82"/>
      <c r="C599" s="82"/>
      <c r="D599" s="729"/>
      <c r="E599" s="371" t="s">
        <v>113</v>
      </c>
      <c r="F599" s="372">
        <v>25</v>
      </c>
      <c r="G599" s="373">
        <v>8</v>
      </c>
      <c r="H599" s="374">
        <v>16</v>
      </c>
      <c r="I599" s="375">
        <v>3.98</v>
      </c>
      <c r="J599" s="376">
        <f t="shared" si="65"/>
        <v>31.84</v>
      </c>
      <c r="K599" s="66">
        <f t="shared" si="66"/>
        <v>0</v>
      </c>
      <c r="L599" s="63">
        <f t="shared" si="67"/>
        <v>0</v>
      </c>
      <c r="M599" s="63">
        <f t="shared" si="68"/>
        <v>0</v>
      </c>
      <c r="N599" s="63">
        <f t="shared" si="69"/>
        <v>0</v>
      </c>
      <c r="O599" s="63">
        <f t="shared" si="70"/>
        <v>0</v>
      </c>
      <c r="P599" s="63">
        <f t="shared" si="71"/>
        <v>50.243520000000004</v>
      </c>
      <c r="Q599" s="561">
        <f t="shared" si="72"/>
        <v>0</v>
      </c>
      <c r="R599" s="174"/>
      <c r="T599" s="82"/>
      <c r="U599" s="82"/>
      <c r="V599" s="82"/>
      <c r="W599" s="82"/>
      <c r="X599" s="82"/>
      <c r="Y599" s="82"/>
      <c r="Z599" s="82"/>
      <c r="AA599" s="82"/>
      <c r="AB599" s="82"/>
    </row>
    <row r="600" spans="1:28" s="85" customFormat="1" x14ac:dyDescent="0.25">
      <c r="A600" s="82"/>
      <c r="B600" s="82"/>
      <c r="C600" s="82"/>
      <c r="D600" s="729"/>
      <c r="E600" s="396" t="s">
        <v>184</v>
      </c>
      <c r="F600" s="403">
        <v>4</v>
      </c>
      <c r="G600" s="397">
        <v>14</v>
      </c>
      <c r="H600" s="398">
        <v>5</v>
      </c>
      <c r="I600" s="399">
        <v>0.28999999999999998</v>
      </c>
      <c r="J600" s="400">
        <f t="shared" si="65"/>
        <v>4.0599999999999996</v>
      </c>
      <c r="K600" s="401">
        <f t="shared" si="66"/>
        <v>0.62523999999999991</v>
      </c>
      <c r="L600" s="196">
        <f t="shared" si="67"/>
        <v>0</v>
      </c>
      <c r="M600" s="196">
        <f t="shared" si="68"/>
        <v>0</v>
      </c>
      <c r="N600" s="196">
        <f t="shared" si="69"/>
        <v>0</v>
      </c>
      <c r="O600" s="196">
        <f t="shared" si="70"/>
        <v>0</v>
      </c>
      <c r="P600" s="196">
        <f t="shared" si="71"/>
        <v>0</v>
      </c>
      <c r="Q600" s="566">
        <f t="shared" ref="Q600:Q656" si="73">IF($H600=20,$J600*$B$28,0)</f>
        <v>0</v>
      </c>
      <c r="R600" s="538"/>
      <c r="T600" s="82"/>
      <c r="U600" s="82"/>
      <c r="V600" s="82"/>
      <c r="W600" s="82"/>
      <c r="X600" s="82"/>
      <c r="Y600" s="82"/>
      <c r="Z600" s="82"/>
      <c r="AA600" s="82"/>
      <c r="AB600" s="82"/>
    </row>
    <row r="601" spans="1:28" s="85" customFormat="1" x14ac:dyDescent="0.25">
      <c r="A601" s="82"/>
      <c r="B601" s="82"/>
      <c r="C601" s="82"/>
      <c r="D601" s="729"/>
      <c r="E601" s="371" t="s">
        <v>184</v>
      </c>
      <c r="F601" s="372">
        <v>7</v>
      </c>
      <c r="G601" s="373">
        <v>6</v>
      </c>
      <c r="H601" s="374">
        <v>5</v>
      </c>
      <c r="I601" s="375">
        <v>1.27</v>
      </c>
      <c r="J601" s="376">
        <f t="shared" si="65"/>
        <v>7.62</v>
      </c>
      <c r="K601" s="66">
        <f t="shared" si="66"/>
        <v>1.1734800000000001</v>
      </c>
      <c r="L601" s="63">
        <f t="shared" si="67"/>
        <v>0</v>
      </c>
      <c r="M601" s="63">
        <f t="shared" si="68"/>
        <v>0</v>
      </c>
      <c r="N601" s="63">
        <f t="shared" si="69"/>
        <v>0</v>
      </c>
      <c r="O601" s="63">
        <f t="shared" si="70"/>
        <v>0</v>
      </c>
      <c r="P601" s="63">
        <f t="shared" si="71"/>
        <v>0</v>
      </c>
      <c r="Q601" s="562">
        <f t="shared" si="73"/>
        <v>0</v>
      </c>
      <c r="R601" s="377"/>
      <c r="T601" s="82"/>
      <c r="U601" s="82"/>
      <c r="V601" s="82"/>
      <c r="W601" s="82"/>
      <c r="X601" s="82"/>
      <c r="Y601" s="82"/>
      <c r="Z601" s="82"/>
      <c r="AA601" s="82"/>
      <c r="AB601" s="82"/>
    </row>
    <row r="602" spans="1:28" s="85" customFormat="1" x14ac:dyDescent="0.25">
      <c r="A602" s="82"/>
      <c r="B602" s="82"/>
      <c r="C602" s="82"/>
      <c r="D602" s="729"/>
      <c r="E602" s="371" t="s">
        <v>184</v>
      </c>
      <c r="F602" s="372">
        <v>8</v>
      </c>
      <c r="G602" s="373">
        <v>2</v>
      </c>
      <c r="H602" s="374">
        <v>5</v>
      </c>
      <c r="I602" s="375">
        <v>0.84</v>
      </c>
      <c r="J602" s="376">
        <f t="shared" si="65"/>
        <v>1.68</v>
      </c>
      <c r="K602" s="66">
        <f t="shared" si="66"/>
        <v>0.25872000000000001</v>
      </c>
      <c r="L602" s="63">
        <f t="shared" si="67"/>
        <v>0</v>
      </c>
      <c r="M602" s="63">
        <f t="shared" si="68"/>
        <v>0</v>
      </c>
      <c r="N602" s="63">
        <f t="shared" si="69"/>
        <v>0</v>
      </c>
      <c r="O602" s="63">
        <f t="shared" si="70"/>
        <v>0</v>
      </c>
      <c r="P602" s="63">
        <f t="shared" si="71"/>
        <v>0</v>
      </c>
      <c r="Q602" s="562">
        <f t="shared" si="73"/>
        <v>0</v>
      </c>
      <c r="R602" s="377"/>
      <c r="T602" s="82"/>
      <c r="U602" s="82"/>
      <c r="V602" s="82"/>
      <c r="W602" s="82"/>
      <c r="X602" s="82"/>
      <c r="Y602" s="82"/>
      <c r="Z602" s="82"/>
      <c r="AA602" s="82"/>
      <c r="AB602" s="82"/>
    </row>
    <row r="603" spans="1:28" s="85" customFormat="1" ht="13.8" thickBot="1" x14ac:dyDescent="0.3">
      <c r="A603" s="82"/>
      <c r="B603" s="82"/>
      <c r="C603" s="82"/>
      <c r="D603" s="731"/>
      <c r="E603" s="390" t="s">
        <v>184</v>
      </c>
      <c r="F603" s="391">
        <v>59</v>
      </c>
      <c r="G603" s="392">
        <v>8</v>
      </c>
      <c r="H603" s="393">
        <v>16</v>
      </c>
      <c r="I603" s="394">
        <v>1.02</v>
      </c>
      <c r="J603" s="395">
        <f t="shared" si="65"/>
        <v>8.16</v>
      </c>
      <c r="K603" s="221">
        <f t="shared" si="66"/>
        <v>0</v>
      </c>
      <c r="L603" s="222">
        <f t="shared" si="67"/>
        <v>0</v>
      </c>
      <c r="M603" s="222">
        <f t="shared" si="68"/>
        <v>0</v>
      </c>
      <c r="N603" s="222">
        <f t="shared" si="69"/>
        <v>0</v>
      </c>
      <c r="O603" s="222">
        <f t="shared" si="70"/>
        <v>0</v>
      </c>
      <c r="P603" s="222">
        <f t="shared" si="71"/>
        <v>12.876480000000001</v>
      </c>
      <c r="Q603" s="564">
        <f t="shared" si="73"/>
        <v>0</v>
      </c>
      <c r="R603" s="539"/>
      <c r="T603" s="82"/>
      <c r="U603" s="82"/>
      <c r="V603" s="82"/>
      <c r="W603" s="82"/>
      <c r="X603" s="82"/>
      <c r="Y603" s="82"/>
      <c r="Z603" s="82"/>
      <c r="AA603" s="82"/>
      <c r="AB603" s="82"/>
    </row>
    <row r="604" spans="1:28" s="85" customFormat="1" ht="13.8" thickTop="1" x14ac:dyDescent="0.25">
      <c r="A604" s="82"/>
      <c r="B604" s="82"/>
      <c r="C604" s="82"/>
      <c r="D604" s="728" t="s">
        <v>1465</v>
      </c>
      <c r="E604" s="384" t="s">
        <v>49</v>
      </c>
      <c r="F604" s="385">
        <v>1</v>
      </c>
      <c r="G604" s="386">
        <f>6*18</f>
        <v>108</v>
      </c>
      <c r="H604" s="387">
        <v>5</v>
      </c>
      <c r="I604" s="388">
        <v>0.24</v>
      </c>
      <c r="J604" s="389">
        <f t="shared" si="65"/>
        <v>25.919999999999998</v>
      </c>
      <c r="K604" s="218">
        <f t="shared" si="66"/>
        <v>3.9916799999999997</v>
      </c>
      <c r="L604" s="219">
        <f t="shared" si="67"/>
        <v>0</v>
      </c>
      <c r="M604" s="219">
        <f t="shared" si="68"/>
        <v>0</v>
      </c>
      <c r="N604" s="219">
        <f t="shared" si="69"/>
        <v>0</v>
      </c>
      <c r="O604" s="219">
        <f t="shared" si="70"/>
        <v>0</v>
      </c>
      <c r="P604" s="219">
        <f t="shared" si="71"/>
        <v>0</v>
      </c>
      <c r="Q604" s="563">
        <f t="shared" si="73"/>
        <v>0</v>
      </c>
      <c r="R604" s="220"/>
      <c r="T604" s="82"/>
      <c r="U604" s="82"/>
      <c r="V604" s="82"/>
      <c r="W604" s="82"/>
      <c r="X604" s="82"/>
      <c r="Y604" s="82"/>
      <c r="Z604" s="82"/>
      <c r="AA604" s="82"/>
      <c r="AB604" s="82"/>
    </row>
    <row r="605" spans="1:28" s="85" customFormat="1" x14ac:dyDescent="0.25">
      <c r="A605" s="82"/>
      <c r="B605" s="82"/>
      <c r="C605" s="82"/>
      <c r="D605" s="729"/>
      <c r="E605" s="371" t="s">
        <v>49</v>
      </c>
      <c r="F605" s="372">
        <v>2</v>
      </c>
      <c r="G605" s="373">
        <f>6*5</f>
        <v>30</v>
      </c>
      <c r="H605" s="374">
        <v>5</v>
      </c>
      <c r="I605" s="375">
        <v>0.97</v>
      </c>
      <c r="J605" s="376">
        <f t="shared" si="65"/>
        <v>29.099999999999998</v>
      </c>
      <c r="K605" s="66">
        <f t="shared" si="66"/>
        <v>4.4813999999999998</v>
      </c>
      <c r="L605" s="63">
        <f t="shared" si="67"/>
        <v>0</v>
      </c>
      <c r="M605" s="63">
        <f t="shared" si="68"/>
        <v>0</v>
      </c>
      <c r="N605" s="63">
        <f t="shared" si="69"/>
        <v>0</v>
      </c>
      <c r="O605" s="63">
        <f t="shared" si="70"/>
        <v>0</v>
      </c>
      <c r="P605" s="63">
        <f t="shared" si="71"/>
        <v>0</v>
      </c>
      <c r="Q605" s="561">
        <f t="shared" si="73"/>
        <v>0</v>
      </c>
      <c r="R605" s="174"/>
      <c r="T605" s="82"/>
      <c r="U605" s="82"/>
      <c r="V605" s="82"/>
      <c r="W605" s="82"/>
      <c r="X605" s="82"/>
      <c r="Y605" s="82"/>
      <c r="Z605" s="82"/>
      <c r="AA605" s="82"/>
      <c r="AB605" s="82"/>
    </row>
    <row r="606" spans="1:28" s="85" customFormat="1" x14ac:dyDescent="0.25">
      <c r="A606" s="82"/>
      <c r="B606" s="82"/>
      <c r="C606" s="82"/>
      <c r="D606" s="729"/>
      <c r="E606" s="371" t="s">
        <v>49</v>
      </c>
      <c r="F606" s="372">
        <v>3</v>
      </c>
      <c r="G606" s="373">
        <f>6*8</f>
        <v>48</v>
      </c>
      <c r="H606" s="374">
        <v>5</v>
      </c>
      <c r="I606" s="375">
        <v>0.64</v>
      </c>
      <c r="J606" s="376">
        <f t="shared" si="65"/>
        <v>30.72</v>
      </c>
      <c r="K606" s="66">
        <f t="shared" si="66"/>
        <v>4.73088</v>
      </c>
      <c r="L606" s="63">
        <f t="shared" si="67"/>
        <v>0</v>
      </c>
      <c r="M606" s="63">
        <f t="shared" si="68"/>
        <v>0</v>
      </c>
      <c r="N606" s="63">
        <f t="shared" si="69"/>
        <v>0</v>
      </c>
      <c r="O606" s="63">
        <f t="shared" si="70"/>
        <v>0</v>
      </c>
      <c r="P606" s="63">
        <f t="shared" si="71"/>
        <v>0</v>
      </c>
      <c r="Q606" s="561">
        <f t="shared" si="73"/>
        <v>0</v>
      </c>
      <c r="R606" s="174"/>
      <c r="T606" s="82"/>
      <c r="U606" s="82"/>
      <c r="V606" s="82"/>
      <c r="W606" s="82"/>
      <c r="X606" s="82"/>
      <c r="Y606" s="82"/>
      <c r="Z606" s="82"/>
      <c r="AA606" s="82"/>
      <c r="AB606" s="82"/>
    </row>
    <row r="607" spans="1:28" s="85" customFormat="1" x14ac:dyDescent="0.25">
      <c r="A607" s="82"/>
      <c r="B607" s="82"/>
      <c r="C607" s="82"/>
      <c r="D607" s="729"/>
      <c r="E607" s="371" t="s">
        <v>49</v>
      </c>
      <c r="F607" s="372">
        <v>17</v>
      </c>
      <c r="G607" s="373">
        <f>6*8</f>
        <v>48</v>
      </c>
      <c r="H607" s="374">
        <v>10</v>
      </c>
      <c r="I607" s="375">
        <v>1.37</v>
      </c>
      <c r="J607" s="376">
        <f t="shared" si="65"/>
        <v>65.760000000000005</v>
      </c>
      <c r="K607" s="66">
        <f t="shared" si="66"/>
        <v>0</v>
      </c>
      <c r="L607" s="63">
        <f t="shared" si="67"/>
        <v>0</v>
      </c>
      <c r="M607" s="63">
        <f t="shared" si="68"/>
        <v>0</v>
      </c>
      <c r="N607" s="63">
        <f t="shared" si="69"/>
        <v>40.573920000000001</v>
      </c>
      <c r="O607" s="63">
        <f t="shared" si="70"/>
        <v>0</v>
      </c>
      <c r="P607" s="63">
        <f t="shared" si="71"/>
        <v>0</v>
      </c>
      <c r="Q607" s="561">
        <f t="shared" si="73"/>
        <v>0</v>
      </c>
      <c r="R607" s="174"/>
      <c r="T607" s="82"/>
      <c r="U607" s="82"/>
      <c r="V607" s="82"/>
      <c r="W607" s="82"/>
      <c r="X607" s="82"/>
      <c r="Y607" s="82"/>
      <c r="Z607" s="82"/>
      <c r="AA607" s="82"/>
      <c r="AB607" s="82"/>
    </row>
    <row r="608" spans="1:28" s="85" customFormat="1" x14ac:dyDescent="0.25">
      <c r="A608" s="82"/>
      <c r="B608" s="82"/>
      <c r="C608" s="82"/>
      <c r="D608" s="729"/>
      <c r="E608" s="371" t="s">
        <v>113</v>
      </c>
      <c r="F608" s="372">
        <v>1</v>
      </c>
      <c r="G608" s="373">
        <f>6*60</f>
        <v>360</v>
      </c>
      <c r="H608" s="374">
        <v>5</v>
      </c>
      <c r="I608" s="375">
        <v>0.24</v>
      </c>
      <c r="J608" s="376">
        <f t="shared" si="65"/>
        <v>86.399999999999991</v>
      </c>
      <c r="K608" s="66">
        <f t="shared" si="66"/>
        <v>13.305599999999998</v>
      </c>
      <c r="L608" s="63">
        <f t="shared" si="67"/>
        <v>0</v>
      </c>
      <c r="M608" s="63">
        <f t="shared" si="68"/>
        <v>0</v>
      </c>
      <c r="N608" s="63">
        <f t="shared" si="69"/>
        <v>0</v>
      </c>
      <c r="O608" s="63">
        <f t="shared" si="70"/>
        <v>0</v>
      </c>
      <c r="P608" s="63">
        <f t="shared" si="71"/>
        <v>0</v>
      </c>
      <c r="Q608" s="561">
        <f t="shared" si="73"/>
        <v>0</v>
      </c>
      <c r="R608" s="174"/>
      <c r="T608" s="82"/>
      <c r="U608" s="82"/>
      <c r="V608" s="82"/>
      <c r="W608" s="82"/>
      <c r="X608" s="82"/>
      <c r="Y608" s="82"/>
      <c r="Z608" s="82"/>
      <c r="AA608" s="82"/>
      <c r="AB608" s="82"/>
    </row>
    <row r="609" spans="1:28" s="85" customFormat="1" x14ac:dyDescent="0.25">
      <c r="A609" s="82"/>
      <c r="B609" s="82"/>
      <c r="C609" s="82"/>
      <c r="D609" s="729"/>
      <c r="E609" s="371" t="s">
        <v>113</v>
      </c>
      <c r="F609" s="372">
        <v>4</v>
      </c>
      <c r="G609" s="373">
        <f>6*25</f>
        <v>150</v>
      </c>
      <c r="H609" s="374">
        <v>5</v>
      </c>
      <c r="I609" s="375">
        <v>0.97</v>
      </c>
      <c r="J609" s="376">
        <f t="shared" si="65"/>
        <v>145.5</v>
      </c>
      <c r="K609" s="66">
        <f t="shared" si="66"/>
        <v>22.407</v>
      </c>
      <c r="L609" s="63">
        <f t="shared" si="67"/>
        <v>0</v>
      </c>
      <c r="M609" s="63">
        <f t="shared" si="68"/>
        <v>0</v>
      </c>
      <c r="N609" s="63">
        <f t="shared" si="69"/>
        <v>0</v>
      </c>
      <c r="O609" s="63">
        <f t="shared" si="70"/>
        <v>0</v>
      </c>
      <c r="P609" s="63">
        <f t="shared" si="71"/>
        <v>0</v>
      </c>
      <c r="Q609" s="561">
        <f t="shared" si="73"/>
        <v>0</v>
      </c>
      <c r="R609" s="174"/>
      <c r="T609" s="82"/>
      <c r="U609" s="82"/>
      <c r="V609" s="82"/>
      <c r="W609" s="82"/>
      <c r="X609" s="82"/>
      <c r="Y609" s="82"/>
      <c r="Z609" s="82"/>
      <c r="AA609" s="82"/>
      <c r="AB609" s="82"/>
    </row>
    <row r="610" spans="1:28" s="85" customFormat="1" x14ac:dyDescent="0.25">
      <c r="A610" s="82"/>
      <c r="B610" s="82"/>
      <c r="C610" s="82"/>
      <c r="D610" s="729"/>
      <c r="E610" s="371" t="s">
        <v>113</v>
      </c>
      <c r="F610" s="372">
        <v>5</v>
      </c>
      <c r="G610" s="373">
        <f>6*10</f>
        <v>60</v>
      </c>
      <c r="H610" s="374">
        <v>5</v>
      </c>
      <c r="I610" s="375">
        <v>0.64</v>
      </c>
      <c r="J610" s="376">
        <f t="shared" si="65"/>
        <v>38.4</v>
      </c>
      <c r="K610" s="66">
        <f t="shared" si="66"/>
        <v>5.9135999999999997</v>
      </c>
      <c r="L610" s="63">
        <f t="shared" si="67"/>
        <v>0</v>
      </c>
      <c r="M610" s="63">
        <f t="shared" si="68"/>
        <v>0</v>
      </c>
      <c r="N610" s="63">
        <f t="shared" si="69"/>
        <v>0</v>
      </c>
      <c r="O610" s="63">
        <f t="shared" si="70"/>
        <v>0</v>
      </c>
      <c r="P610" s="63">
        <f t="shared" si="71"/>
        <v>0</v>
      </c>
      <c r="Q610" s="561">
        <f t="shared" si="73"/>
        <v>0</v>
      </c>
      <c r="R610" s="174"/>
      <c r="T610" s="82"/>
      <c r="U610" s="82"/>
      <c r="V610" s="82"/>
      <c r="W610" s="82"/>
      <c r="X610" s="82"/>
      <c r="Y610" s="82"/>
      <c r="Z610" s="82"/>
      <c r="AA610" s="82"/>
      <c r="AB610" s="82"/>
    </row>
    <row r="611" spans="1:28" s="85" customFormat="1" x14ac:dyDescent="0.25">
      <c r="A611" s="82"/>
      <c r="B611" s="82"/>
      <c r="C611" s="82"/>
      <c r="D611" s="729"/>
      <c r="E611" s="371" t="s">
        <v>113</v>
      </c>
      <c r="F611" s="372">
        <v>24</v>
      </c>
      <c r="G611" s="373">
        <f>6*8</f>
        <v>48</v>
      </c>
      <c r="H611" s="374">
        <v>10</v>
      </c>
      <c r="I611" s="375">
        <v>3.78</v>
      </c>
      <c r="J611" s="376">
        <f t="shared" si="65"/>
        <v>181.44</v>
      </c>
      <c r="K611" s="66">
        <f t="shared" si="66"/>
        <v>0</v>
      </c>
      <c r="L611" s="63">
        <f t="shared" si="67"/>
        <v>0</v>
      </c>
      <c r="M611" s="63">
        <f t="shared" si="68"/>
        <v>0</v>
      </c>
      <c r="N611" s="63">
        <f t="shared" si="69"/>
        <v>111.94848</v>
      </c>
      <c r="O611" s="63">
        <f t="shared" si="70"/>
        <v>0</v>
      </c>
      <c r="P611" s="63">
        <f t="shared" si="71"/>
        <v>0</v>
      </c>
      <c r="Q611" s="561">
        <f t="shared" si="73"/>
        <v>0</v>
      </c>
      <c r="R611" s="174"/>
      <c r="T611" s="82"/>
      <c r="U611" s="82"/>
      <c r="V611" s="82"/>
      <c r="W611" s="82"/>
      <c r="X611" s="82"/>
      <c r="Y611" s="82"/>
      <c r="Z611" s="82"/>
      <c r="AA611" s="82"/>
      <c r="AB611" s="82"/>
    </row>
    <row r="612" spans="1:28" s="85" customFormat="1" x14ac:dyDescent="0.25">
      <c r="A612" s="82"/>
      <c r="B612" s="82"/>
      <c r="C612" s="82"/>
      <c r="D612" s="729"/>
      <c r="E612" s="396" t="s">
        <v>184</v>
      </c>
      <c r="F612" s="403">
        <v>1</v>
      </c>
      <c r="G612" s="397">
        <f>6*20</f>
        <v>120</v>
      </c>
      <c r="H612" s="398">
        <v>5</v>
      </c>
      <c r="I612" s="399">
        <v>0.24</v>
      </c>
      <c r="J612" s="400">
        <f t="shared" si="65"/>
        <v>28.799999999999997</v>
      </c>
      <c r="K612" s="401">
        <f t="shared" si="66"/>
        <v>4.4351999999999991</v>
      </c>
      <c r="L612" s="196">
        <f t="shared" si="67"/>
        <v>0</v>
      </c>
      <c r="M612" s="196">
        <f t="shared" si="68"/>
        <v>0</v>
      </c>
      <c r="N612" s="196">
        <f t="shared" si="69"/>
        <v>0</v>
      </c>
      <c r="O612" s="196">
        <f t="shared" si="70"/>
        <v>0</v>
      </c>
      <c r="P612" s="196">
        <f t="shared" si="71"/>
        <v>0</v>
      </c>
      <c r="Q612" s="566">
        <f t="shared" si="73"/>
        <v>0</v>
      </c>
      <c r="R612" s="538"/>
      <c r="T612" s="82"/>
      <c r="U612" s="82"/>
      <c r="V612" s="82"/>
      <c r="W612" s="82"/>
      <c r="X612" s="82"/>
      <c r="Y612" s="82"/>
      <c r="Z612" s="82"/>
      <c r="AA612" s="82"/>
      <c r="AB612" s="82"/>
    </row>
    <row r="613" spans="1:28" s="85" customFormat="1" x14ac:dyDescent="0.25">
      <c r="A613" s="82"/>
      <c r="B613" s="82"/>
      <c r="C613" s="82"/>
      <c r="D613" s="729"/>
      <c r="E613" s="371" t="s">
        <v>184</v>
      </c>
      <c r="F613" s="372">
        <v>2</v>
      </c>
      <c r="G613" s="373">
        <f>6*8</f>
        <v>48</v>
      </c>
      <c r="H613" s="374">
        <v>5</v>
      </c>
      <c r="I613" s="375">
        <v>0.97</v>
      </c>
      <c r="J613" s="376">
        <f t="shared" si="65"/>
        <v>46.56</v>
      </c>
      <c r="K613" s="66">
        <f t="shared" si="66"/>
        <v>7.1702400000000006</v>
      </c>
      <c r="L613" s="63">
        <f t="shared" si="67"/>
        <v>0</v>
      </c>
      <c r="M613" s="63">
        <f t="shared" si="68"/>
        <v>0</v>
      </c>
      <c r="N613" s="63">
        <f t="shared" si="69"/>
        <v>0</v>
      </c>
      <c r="O613" s="63">
        <f t="shared" si="70"/>
        <v>0</v>
      </c>
      <c r="P613" s="63">
        <f t="shared" si="71"/>
        <v>0</v>
      </c>
      <c r="Q613" s="562">
        <f t="shared" si="73"/>
        <v>0</v>
      </c>
      <c r="R613" s="377"/>
      <c r="T613" s="82"/>
      <c r="U613" s="82"/>
      <c r="V613" s="82"/>
      <c r="W613" s="82"/>
      <c r="X613" s="82"/>
      <c r="Y613" s="82"/>
      <c r="Z613" s="82"/>
      <c r="AA613" s="82"/>
      <c r="AB613" s="82"/>
    </row>
    <row r="614" spans="1:28" s="85" customFormat="1" x14ac:dyDescent="0.25">
      <c r="A614" s="82"/>
      <c r="B614" s="82"/>
      <c r="C614" s="82"/>
      <c r="D614" s="729"/>
      <c r="E614" s="371" t="s">
        <v>184</v>
      </c>
      <c r="F614" s="372">
        <v>3</v>
      </c>
      <c r="G614" s="373">
        <f>6*4</f>
        <v>24</v>
      </c>
      <c r="H614" s="374">
        <v>5</v>
      </c>
      <c r="I614" s="375">
        <v>0.64</v>
      </c>
      <c r="J614" s="376">
        <f t="shared" si="65"/>
        <v>15.36</v>
      </c>
      <c r="K614" s="66">
        <f t="shared" si="66"/>
        <v>2.36544</v>
      </c>
      <c r="L614" s="63">
        <f t="shared" si="67"/>
        <v>0</v>
      </c>
      <c r="M614" s="63">
        <f t="shared" si="68"/>
        <v>0</v>
      </c>
      <c r="N614" s="63">
        <f t="shared" si="69"/>
        <v>0</v>
      </c>
      <c r="O614" s="63">
        <f t="shared" si="70"/>
        <v>0</v>
      </c>
      <c r="P614" s="63">
        <f t="shared" si="71"/>
        <v>0</v>
      </c>
      <c r="Q614" s="562">
        <f t="shared" si="73"/>
        <v>0</v>
      </c>
      <c r="R614" s="377"/>
      <c r="T614" s="82"/>
      <c r="U614" s="82"/>
      <c r="V614" s="82"/>
      <c r="W614" s="82"/>
      <c r="X614" s="82"/>
      <c r="Y614" s="82"/>
      <c r="Z614" s="82"/>
      <c r="AA614" s="82"/>
      <c r="AB614" s="82"/>
    </row>
    <row r="615" spans="1:28" s="85" customFormat="1" ht="13.8" thickBot="1" x14ac:dyDescent="0.3">
      <c r="A615" s="82"/>
      <c r="B615" s="82"/>
      <c r="C615" s="82"/>
      <c r="D615" s="731"/>
      <c r="E615" s="390" t="s">
        <v>184</v>
      </c>
      <c r="F615" s="391">
        <v>57</v>
      </c>
      <c r="G615" s="392">
        <f>6*8</f>
        <v>48</v>
      </c>
      <c r="H615" s="393">
        <v>10</v>
      </c>
      <c r="I615" s="394">
        <v>1.02</v>
      </c>
      <c r="J615" s="395">
        <f t="shared" si="65"/>
        <v>48.96</v>
      </c>
      <c r="K615" s="221">
        <f t="shared" si="66"/>
        <v>0</v>
      </c>
      <c r="L615" s="222">
        <f t="shared" si="67"/>
        <v>0</v>
      </c>
      <c r="M615" s="222">
        <f t="shared" si="68"/>
        <v>0</v>
      </c>
      <c r="N615" s="222">
        <f t="shared" si="69"/>
        <v>30.208320000000001</v>
      </c>
      <c r="O615" s="222">
        <f t="shared" si="70"/>
        <v>0</v>
      </c>
      <c r="P615" s="222">
        <f t="shared" si="71"/>
        <v>0</v>
      </c>
      <c r="Q615" s="564">
        <f t="shared" si="73"/>
        <v>0</v>
      </c>
      <c r="R615" s="539"/>
      <c r="T615" s="82"/>
      <c r="U615" s="82"/>
      <c r="V615" s="82"/>
      <c r="W615" s="82"/>
      <c r="X615" s="82"/>
      <c r="Y615" s="82"/>
      <c r="Z615" s="82"/>
      <c r="AA615" s="82"/>
      <c r="AB615" s="82"/>
    </row>
    <row r="616" spans="1:28" s="85" customFormat="1" ht="13.8" thickTop="1" x14ac:dyDescent="0.25">
      <c r="A616" s="82"/>
      <c r="B616" s="82"/>
      <c r="C616" s="82"/>
      <c r="D616" s="728" t="s">
        <v>1466</v>
      </c>
      <c r="E616" s="384" t="s">
        <v>49</v>
      </c>
      <c r="F616" s="385">
        <v>1</v>
      </c>
      <c r="G616" s="386">
        <f>2*18</f>
        <v>36</v>
      </c>
      <c r="H616" s="387">
        <v>5</v>
      </c>
      <c r="I616" s="388">
        <v>0.24</v>
      </c>
      <c r="J616" s="389">
        <f t="shared" si="65"/>
        <v>8.64</v>
      </c>
      <c r="K616" s="218">
        <f t="shared" si="66"/>
        <v>1.33056</v>
      </c>
      <c r="L616" s="219">
        <f t="shared" si="67"/>
        <v>0</v>
      </c>
      <c r="M616" s="219">
        <f t="shared" si="68"/>
        <v>0</v>
      </c>
      <c r="N616" s="219">
        <f t="shared" si="69"/>
        <v>0</v>
      </c>
      <c r="O616" s="219">
        <f t="shared" si="70"/>
        <v>0</v>
      </c>
      <c r="P616" s="219">
        <f t="shared" si="71"/>
        <v>0</v>
      </c>
      <c r="Q616" s="563">
        <f t="shared" si="73"/>
        <v>0</v>
      </c>
      <c r="R616" s="220"/>
      <c r="T616" s="82"/>
      <c r="U616" s="82"/>
      <c r="V616" s="82"/>
      <c r="W616" s="82"/>
      <c r="X616" s="82"/>
      <c r="Y616" s="82"/>
      <c r="Z616" s="82"/>
      <c r="AA616" s="82"/>
      <c r="AB616" s="82"/>
    </row>
    <row r="617" spans="1:28" s="85" customFormat="1" x14ac:dyDescent="0.25">
      <c r="A617" s="82"/>
      <c r="B617" s="82"/>
      <c r="C617" s="82"/>
      <c r="D617" s="729"/>
      <c r="E617" s="371" t="s">
        <v>49</v>
      </c>
      <c r="F617" s="372">
        <v>2</v>
      </c>
      <c r="G617" s="373">
        <f>2*5</f>
        <v>10</v>
      </c>
      <c r="H617" s="374">
        <v>5</v>
      </c>
      <c r="I617" s="375">
        <v>0.97</v>
      </c>
      <c r="J617" s="376">
        <f t="shared" si="65"/>
        <v>9.6999999999999993</v>
      </c>
      <c r="K617" s="66">
        <f t="shared" si="66"/>
        <v>1.4937999999999998</v>
      </c>
      <c r="L617" s="63">
        <f t="shared" si="67"/>
        <v>0</v>
      </c>
      <c r="M617" s="63">
        <f t="shared" si="68"/>
        <v>0</v>
      </c>
      <c r="N617" s="63">
        <f t="shared" si="69"/>
        <v>0</v>
      </c>
      <c r="O617" s="63">
        <f t="shared" si="70"/>
        <v>0</v>
      </c>
      <c r="P617" s="63">
        <f t="shared" si="71"/>
        <v>0</v>
      </c>
      <c r="Q617" s="561">
        <f t="shared" si="73"/>
        <v>0</v>
      </c>
      <c r="R617" s="174"/>
      <c r="T617" s="82"/>
      <c r="U617" s="82"/>
      <c r="V617" s="82"/>
      <c r="W617" s="82"/>
      <c r="X617" s="82"/>
      <c r="Y617" s="82"/>
      <c r="Z617" s="82"/>
      <c r="AA617" s="82"/>
      <c r="AB617" s="82"/>
    </row>
    <row r="618" spans="1:28" s="85" customFormat="1" x14ac:dyDescent="0.25">
      <c r="A618" s="82"/>
      <c r="B618" s="82"/>
      <c r="C618" s="82"/>
      <c r="D618" s="729"/>
      <c r="E618" s="371" t="s">
        <v>49</v>
      </c>
      <c r="F618" s="372">
        <v>3</v>
      </c>
      <c r="G618" s="373">
        <f>2*8</f>
        <v>16</v>
      </c>
      <c r="H618" s="374">
        <v>5</v>
      </c>
      <c r="I618" s="375">
        <v>0.64</v>
      </c>
      <c r="J618" s="376">
        <f t="shared" si="65"/>
        <v>10.24</v>
      </c>
      <c r="K618" s="66">
        <f t="shared" si="66"/>
        <v>1.5769599999999999</v>
      </c>
      <c r="L618" s="63">
        <f t="shared" si="67"/>
        <v>0</v>
      </c>
      <c r="M618" s="63">
        <f t="shared" si="68"/>
        <v>0</v>
      </c>
      <c r="N618" s="63">
        <f t="shared" si="69"/>
        <v>0</v>
      </c>
      <c r="O618" s="63">
        <f t="shared" si="70"/>
        <v>0</v>
      </c>
      <c r="P618" s="63">
        <f t="shared" si="71"/>
        <v>0</v>
      </c>
      <c r="Q618" s="561">
        <f t="shared" si="73"/>
        <v>0</v>
      </c>
      <c r="R618" s="174"/>
      <c r="T618" s="82"/>
      <c r="U618" s="82"/>
      <c r="V618" s="82"/>
      <c r="W618" s="82"/>
      <c r="X618" s="82"/>
      <c r="Y618" s="82"/>
      <c r="Z618" s="82"/>
      <c r="AA618" s="82"/>
      <c r="AB618" s="82"/>
    </row>
    <row r="619" spans="1:28" s="85" customFormat="1" x14ac:dyDescent="0.25">
      <c r="A619" s="82"/>
      <c r="B619" s="82"/>
      <c r="C619" s="82"/>
      <c r="D619" s="729"/>
      <c r="E619" s="371" t="s">
        <v>49</v>
      </c>
      <c r="F619" s="372">
        <v>17</v>
      </c>
      <c r="G619" s="373">
        <f>2*8</f>
        <v>16</v>
      </c>
      <c r="H619" s="374">
        <v>10</v>
      </c>
      <c r="I619" s="375">
        <v>1.37</v>
      </c>
      <c r="J619" s="376">
        <f t="shared" si="65"/>
        <v>21.92</v>
      </c>
      <c r="K619" s="66">
        <f t="shared" si="66"/>
        <v>0</v>
      </c>
      <c r="L619" s="63">
        <f t="shared" si="67"/>
        <v>0</v>
      </c>
      <c r="M619" s="63">
        <f t="shared" si="68"/>
        <v>0</v>
      </c>
      <c r="N619" s="63">
        <f t="shared" si="69"/>
        <v>13.524640000000002</v>
      </c>
      <c r="O619" s="63">
        <f t="shared" si="70"/>
        <v>0</v>
      </c>
      <c r="P619" s="63">
        <f t="shared" si="71"/>
        <v>0</v>
      </c>
      <c r="Q619" s="561">
        <f t="shared" si="73"/>
        <v>0</v>
      </c>
      <c r="R619" s="174"/>
      <c r="T619" s="82"/>
      <c r="U619" s="82"/>
      <c r="V619" s="82"/>
      <c r="W619" s="82"/>
      <c r="X619" s="82"/>
      <c r="Y619" s="82"/>
      <c r="Z619" s="82"/>
      <c r="AA619" s="82"/>
      <c r="AB619" s="82"/>
    </row>
    <row r="620" spans="1:28" s="85" customFormat="1" x14ac:dyDescent="0.25">
      <c r="A620" s="82"/>
      <c r="B620" s="82"/>
      <c r="C620" s="82"/>
      <c r="D620" s="729"/>
      <c r="E620" s="371" t="s">
        <v>113</v>
      </c>
      <c r="F620" s="372">
        <v>1</v>
      </c>
      <c r="G620" s="373">
        <f>2*60</f>
        <v>120</v>
      </c>
      <c r="H620" s="374">
        <v>5</v>
      </c>
      <c r="I620" s="375">
        <v>0.24</v>
      </c>
      <c r="J620" s="376">
        <f t="shared" si="65"/>
        <v>28.799999999999997</v>
      </c>
      <c r="K620" s="66">
        <f t="shared" si="66"/>
        <v>4.4351999999999991</v>
      </c>
      <c r="L620" s="63">
        <f t="shared" si="67"/>
        <v>0</v>
      </c>
      <c r="M620" s="63">
        <f t="shared" si="68"/>
        <v>0</v>
      </c>
      <c r="N620" s="63">
        <f t="shared" si="69"/>
        <v>0</v>
      </c>
      <c r="O620" s="63">
        <f t="shared" si="70"/>
        <v>0</v>
      </c>
      <c r="P620" s="63">
        <f t="shared" si="71"/>
        <v>0</v>
      </c>
      <c r="Q620" s="561">
        <f t="shared" si="73"/>
        <v>0</v>
      </c>
      <c r="R620" s="174"/>
      <c r="T620" s="82"/>
      <c r="U620" s="82"/>
      <c r="V620" s="82"/>
      <c r="W620" s="82"/>
      <c r="X620" s="82"/>
      <c r="Y620" s="82"/>
      <c r="Z620" s="82"/>
      <c r="AA620" s="82"/>
      <c r="AB620" s="82"/>
    </row>
    <row r="621" spans="1:28" s="85" customFormat="1" x14ac:dyDescent="0.25">
      <c r="A621" s="82"/>
      <c r="B621" s="82"/>
      <c r="C621" s="82"/>
      <c r="D621" s="729"/>
      <c r="E621" s="371" t="s">
        <v>113</v>
      </c>
      <c r="F621" s="372">
        <v>4</v>
      </c>
      <c r="G621" s="373">
        <f>2*25</f>
        <v>50</v>
      </c>
      <c r="H621" s="374">
        <v>5</v>
      </c>
      <c r="I621" s="375">
        <v>0.97</v>
      </c>
      <c r="J621" s="376">
        <f t="shared" si="65"/>
        <v>48.5</v>
      </c>
      <c r="K621" s="66">
        <f t="shared" si="66"/>
        <v>7.4690000000000003</v>
      </c>
      <c r="L621" s="63">
        <f t="shared" si="67"/>
        <v>0</v>
      </c>
      <c r="M621" s="63">
        <f t="shared" si="68"/>
        <v>0</v>
      </c>
      <c r="N621" s="63">
        <f t="shared" si="69"/>
        <v>0</v>
      </c>
      <c r="O621" s="63">
        <f t="shared" si="70"/>
        <v>0</v>
      </c>
      <c r="P621" s="63">
        <f t="shared" si="71"/>
        <v>0</v>
      </c>
      <c r="Q621" s="561">
        <f t="shared" si="73"/>
        <v>0</v>
      </c>
      <c r="R621" s="174"/>
      <c r="T621" s="82"/>
      <c r="U621" s="82"/>
      <c r="V621" s="82"/>
      <c r="W621" s="82"/>
      <c r="X621" s="82"/>
      <c r="Y621" s="82"/>
      <c r="Z621" s="82"/>
      <c r="AA621" s="82"/>
      <c r="AB621" s="82"/>
    </row>
    <row r="622" spans="1:28" s="85" customFormat="1" x14ac:dyDescent="0.25">
      <c r="A622" s="82"/>
      <c r="B622" s="82"/>
      <c r="C622" s="82"/>
      <c r="D622" s="729"/>
      <c r="E622" s="371" t="s">
        <v>113</v>
      </c>
      <c r="F622" s="372">
        <v>5</v>
      </c>
      <c r="G622" s="373">
        <f>2*10</f>
        <v>20</v>
      </c>
      <c r="H622" s="374">
        <v>5</v>
      </c>
      <c r="I622" s="375">
        <v>0.64</v>
      </c>
      <c r="J622" s="376">
        <f t="shared" si="65"/>
        <v>12.8</v>
      </c>
      <c r="K622" s="66">
        <f t="shared" si="66"/>
        <v>1.9712000000000001</v>
      </c>
      <c r="L622" s="63">
        <f t="shared" si="67"/>
        <v>0</v>
      </c>
      <c r="M622" s="63">
        <f t="shared" si="68"/>
        <v>0</v>
      </c>
      <c r="N622" s="63">
        <f t="shared" si="69"/>
        <v>0</v>
      </c>
      <c r="O622" s="63">
        <f t="shared" si="70"/>
        <v>0</v>
      </c>
      <c r="P622" s="63">
        <f t="shared" si="71"/>
        <v>0</v>
      </c>
      <c r="Q622" s="561">
        <f t="shared" si="73"/>
        <v>0</v>
      </c>
      <c r="R622" s="174"/>
      <c r="T622" s="82"/>
      <c r="U622" s="82"/>
      <c r="V622" s="82"/>
      <c r="W622" s="82"/>
      <c r="X622" s="82"/>
      <c r="Y622" s="82"/>
      <c r="Z622" s="82"/>
      <c r="AA622" s="82"/>
      <c r="AB622" s="82"/>
    </row>
    <row r="623" spans="1:28" s="85" customFormat="1" ht="13.8" thickBot="1" x14ac:dyDescent="0.3">
      <c r="A623" s="82"/>
      <c r="B623" s="82"/>
      <c r="C623" s="82"/>
      <c r="D623" s="729"/>
      <c r="E623" s="371" t="s">
        <v>113</v>
      </c>
      <c r="F623" s="372">
        <v>23</v>
      </c>
      <c r="G623" s="373">
        <f>2*8</f>
        <v>16</v>
      </c>
      <c r="H623" s="374">
        <v>10</v>
      </c>
      <c r="I623" s="375">
        <v>3.42</v>
      </c>
      <c r="J623" s="376">
        <f t="shared" si="65"/>
        <v>54.72</v>
      </c>
      <c r="K623" s="66">
        <f t="shared" si="66"/>
        <v>0</v>
      </c>
      <c r="L623" s="63">
        <f t="shared" si="67"/>
        <v>0</v>
      </c>
      <c r="M623" s="63">
        <f t="shared" si="68"/>
        <v>0</v>
      </c>
      <c r="N623" s="63">
        <f t="shared" si="69"/>
        <v>33.762239999999998</v>
      </c>
      <c r="O623" s="63">
        <f t="shared" si="70"/>
        <v>0</v>
      </c>
      <c r="P623" s="63">
        <f t="shared" si="71"/>
        <v>0</v>
      </c>
      <c r="Q623" s="561">
        <f t="shared" si="73"/>
        <v>0</v>
      </c>
      <c r="R623" s="174"/>
      <c r="T623" s="82"/>
      <c r="U623" s="82"/>
      <c r="V623" s="82"/>
      <c r="W623" s="82"/>
      <c r="X623" s="82"/>
      <c r="Y623" s="82"/>
      <c r="Z623" s="82"/>
      <c r="AA623" s="82"/>
      <c r="AB623" s="82"/>
    </row>
    <row r="624" spans="1:28" s="85" customFormat="1" ht="13.8" thickTop="1" x14ac:dyDescent="0.25">
      <c r="A624" s="82"/>
      <c r="B624" s="82"/>
      <c r="C624" s="82"/>
      <c r="D624" s="728" t="s">
        <v>1467</v>
      </c>
      <c r="E624" s="384" t="s">
        <v>49</v>
      </c>
      <c r="F624" s="385">
        <v>5</v>
      </c>
      <c r="G624" s="386">
        <v>5</v>
      </c>
      <c r="H624" s="387">
        <v>5</v>
      </c>
      <c r="I624" s="388">
        <v>1.07</v>
      </c>
      <c r="J624" s="389">
        <f t="shared" si="65"/>
        <v>5.3500000000000005</v>
      </c>
      <c r="K624" s="218">
        <f t="shared" si="66"/>
        <v>0.82390000000000008</v>
      </c>
      <c r="L624" s="219">
        <f t="shared" si="67"/>
        <v>0</v>
      </c>
      <c r="M624" s="219">
        <f t="shared" si="68"/>
        <v>0</v>
      </c>
      <c r="N624" s="219">
        <f t="shared" si="69"/>
        <v>0</v>
      </c>
      <c r="O624" s="219">
        <f t="shared" si="70"/>
        <v>0</v>
      </c>
      <c r="P624" s="219">
        <f t="shared" si="71"/>
        <v>0</v>
      </c>
      <c r="Q624" s="563">
        <f t="shared" si="73"/>
        <v>0</v>
      </c>
      <c r="R624" s="220"/>
      <c r="T624" s="82"/>
      <c r="U624" s="82"/>
      <c r="V624" s="82"/>
      <c r="W624" s="82"/>
      <c r="X624" s="82"/>
      <c r="Y624" s="82"/>
      <c r="Z624" s="82"/>
      <c r="AA624" s="82"/>
      <c r="AB624" s="82"/>
    </row>
    <row r="625" spans="1:28" s="85" customFormat="1" x14ac:dyDescent="0.25">
      <c r="A625" s="82"/>
      <c r="B625" s="82"/>
      <c r="C625" s="82"/>
      <c r="D625" s="729"/>
      <c r="E625" s="371" t="s">
        <v>49</v>
      </c>
      <c r="F625" s="372">
        <v>6</v>
      </c>
      <c r="G625" s="373">
        <v>8</v>
      </c>
      <c r="H625" s="374">
        <v>5</v>
      </c>
      <c r="I625" s="375">
        <v>0.74</v>
      </c>
      <c r="J625" s="376">
        <f t="shared" si="65"/>
        <v>5.92</v>
      </c>
      <c r="K625" s="66">
        <f t="shared" si="66"/>
        <v>0.91167999999999993</v>
      </c>
      <c r="L625" s="63">
        <f t="shared" si="67"/>
        <v>0</v>
      </c>
      <c r="M625" s="63">
        <f t="shared" si="68"/>
        <v>0</v>
      </c>
      <c r="N625" s="63">
        <f t="shared" si="69"/>
        <v>0</v>
      </c>
      <c r="O625" s="63">
        <f t="shared" si="70"/>
        <v>0</v>
      </c>
      <c r="P625" s="63">
        <f t="shared" si="71"/>
        <v>0</v>
      </c>
      <c r="Q625" s="561">
        <f t="shared" si="73"/>
        <v>0</v>
      </c>
      <c r="R625" s="174"/>
      <c r="T625" s="82"/>
      <c r="U625" s="82"/>
      <c r="V625" s="82"/>
      <c r="W625" s="82"/>
      <c r="X625" s="82"/>
      <c r="Y625" s="82"/>
      <c r="Z625" s="82"/>
      <c r="AA625" s="82"/>
      <c r="AB625" s="82"/>
    </row>
    <row r="626" spans="1:28" s="85" customFormat="1" x14ac:dyDescent="0.25">
      <c r="A626" s="82"/>
      <c r="B626" s="82"/>
      <c r="C626" s="82"/>
      <c r="D626" s="729"/>
      <c r="E626" s="371" t="s">
        <v>49</v>
      </c>
      <c r="F626" s="372">
        <v>9</v>
      </c>
      <c r="G626" s="373">
        <v>18</v>
      </c>
      <c r="H626" s="374">
        <v>5</v>
      </c>
      <c r="I626" s="375">
        <v>0.28999999999999998</v>
      </c>
      <c r="J626" s="376">
        <f t="shared" si="65"/>
        <v>5.22</v>
      </c>
      <c r="K626" s="66">
        <f t="shared" si="66"/>
        <v>0.80387999999999993</v>
      </c>
      <c r="L626" s="63">
        <f t="shared" si="67"/>
        <v>0</v>
      </c>
      <c r="M626" s="63">
        <f t="shared" si="68"/>
        <v>0</v>
      </c>
      <c r="N626" s="63">
        <f t="shared" si="69"/>
        <v>0</v>
      </c>
      <c r="O626" s="63">
        <f t="shared" si="70"/>
        <v>0</v>
      </c>
      <c r="P626" s="63">
        <f t="shared" si="71"/>
        <v>0</v>
      </c>
      <c r="Q626" s="561">
        <f t="shared" si="73"/>
        <v>0</v>
      </c>
      <c r="R626" s="174"/>
      <c r="T626" s="82"/>
      <c r="U626" s="82"/>
      <c r="V626" s="82"/>
      <c r="W626" s="82"/>
      <c r="X626" s="82"/>
      <c r="Y626" s="82"/>
      <c r="Z626" s="82"/>
      <c r="AA626" s="82"/>
      <c r="AB626" s="82"/>
    </row>
    <row r="627" spans="1:28" s="85" customFormat="1" x14ac:dyDescent="0.25">
      <c r="A627" s="82"/>
      <c r="B627" s="82"/>
      <c r="C627" s="82"/>
      <c r="D627" s="729"/>
      <c r="E627" s="371" t="s">
        <v>49</v>
      </c>
      <c r="F627" s="372">
        <v>17</v>
      </c>
      <c r="G627" s="373">
        <v>8</v>
      </c>
      <c r="H627" s="374">
        <v>10</v>
      </c>
      <c r="I627" s="375">
        <v>1.37</v>
      </c>
      <c r="J627" s="376">
        <f t="shared" si="65"/>
        <v>10.96</v>
      </c>
      <c r="K627" s="66">
        <f t="shared" si="66"/>
        <v>0</v>
      </c>
      <c r="L627" s="63">
        <f t="shared" si="67"/>
        <v>0</v>
      </c>
      <c r="M627" s="63">
        <f t="shared" si="68"/>
        <v>0</v>
      </c>
      <c r="N627" s="63">
        <f t="shared" si="69"/>
        <v>6.7623200000000008</v>
      </c>
      <c r="O627" s="63">
        <f t="shared" si="70"/>
        <v>0</v>
      </c>
      <c r="P627" s="63">
        <f t="shared" si="71"/>
        <v>0</v>
      </c>
      <c r="Q627" s="561">
        <f t="shared" si="73"/>
        <v>0</v>
      </c>
      <c r="R627" s="174"/>
      <c r="T627" s="82"/>
      <c r="U627" s="82"/>
      <c r="V627" s="82"/>
      <c r="W627" s="82"/>
      <c r="X627" s="82"/>
      <c r="Y627" s="82"/>
      <c r="Z627" s="82"/>
      <c r="AA627" s="82"/>
      <c r="AB627" s="82"/>
    </row>
    <row r="628" spans="1:28" s="85" customFormat="1" x14ac:dyDescent="0.25">
      <c r="A628" s="82"/>
      <c r="B628" s="82"/>
      <c r="C628" s="82"/>
      <c r="D628" s="729"/>
      <c r="E628" s="371" t="s">
        <v>113</v>
      </c>
      <c r="F628" s="372">
        <v>7</v>
      </c>
      <c r="G628" s="373">
        <v>25</v>
      </c>
      <c r="H628" s="374">
        <v>5</v>
      </c>
      <c r="I628" s="375">
        <v>1.07</v>
      </c>
      <c r="J628" s="376">
        <f t="shared" si="65"/>
        <v>26.75</v>
      </c>
      <c r="K628" s="66">
        <f t="shared" si="66"/>
        <v>4.1195000000000004</v>
      </c>
      <c r="L628" s="63">
        <f t="shared" si="67"/>
        <v>0</v>
      </c>
      <c r="M628" s="63">
        <f t="shared" si="68"/>
        <v>0</v>
      </c>
      <c r="N628" s="63">
        <f t="shared" si="69"/>
        <v>0</v>
      </c>
      <c r="O628" s="63">
        <f t="shared" si="70"/>
        <v>0</v>
      </c>
      <c r="P628" s="63">
        <f t="shared" si="71"/>
        <v>0</v>
      </c>
      <c r="Q628" s="561">
        <f t="shared" si="73"/>
        <v>0</v>
      </c>
      <c r="R628" s="174"/>
      <c r="T628" s="82"/>
      <c r="U628" s="82"/>
      <c r="V628" s="82"/>
      <c r="W628" s="82"/>
      <c r="X628" s="82"/>
      <c r="Y628" s="82"/>
      <c r="Z628" s="82"/>
      <c r="AA628" s="82"/>
      <c r="AB628" s="82"/>
    </row>
    <row r="629" spans="1:28" s="85" customFormat="1" x14ac:dyDescent="0.25">
      <c r="A629" s="82"/>
      <c r="B629" s="82"/>
      <c r="C629" s="82"/>
      <c r="D629" s="729"/>
      <c r="E629" s="371" t="s">
        <v>113</v>
      </c>
      <c r="F629" s="372">
        <v>8</v>
      </c>
      <c r="G629" s="373">
        <v>10</v>
      </c>
      <c r="H629" s="374">
        <v>5</v>
      </c>
      <c r="I629" s="375">
        <v>0.74</v>
      </c>
      <c r="J629" s="376">
        <f t="shared" si="65"/>
        <v>7.4</v>
      </c>
      <c r="K629" s="66">
        <f t="shared" si="66"/>
        <v>1.1395999999999999</v>
      </c>
      <c r="L629" s="63">
        <f t="shared" si="67"/>
        <v>0</v>
      </c>
      <c r="M629" s="63">
        <f t="shared" si="68"/>
        <v>0</v>
      </c>
      <c r="N629" s="63">
        <f t="shared" si="69"/>
        <v>0</v>
      </c>
      <c r="O629" s="63">
        <f t="shared" si="70"/>
        <v>0</v>
      </c>
      <c r="P629" s="63">
        <f t="shared" si="71"/>
        <v>0</v>
      </c>
      <c r="Q629" s="561">
        <f t="shared" si="73"/>
        <v>0</v>
      </c>
      <c r="R629" s="174"/>
      <c r="T629" s="82"/>
      <c r="U629" s="82"/>
      <c r="V629" s="82"/>
      <c r="W629" s="82"/>
      <c r="X629" s="82"/>
      <c r="Y629" s="82"/>
      <c r="Z629" s="82"/>
      <c r="AA629" s="82"/>
      <c r="AB629" s="82"/>
    </row>
    <row r="630" spans="1:28" s="85" customFormat="1" x14ac:dyDescent="0.25">
      <c r="A630" s="82"/>
      <c r="B630" s="82"/>
      <c r="C630" s="82"/>
      <c r="D630" s="729"/>
      <c r="E630" s="371" t="s">
        <v>113</v>
      </c>
      <c r="F630" s="372">
        <v>11</v>
      </c>
      <c r="G630" s="373">
        <v>60</v>
      </c>
      <c r="H630" s="374">
        <v>5</v>
      </c>
      <c r="I630" s="375">
        <v>0.28999999999999998</v>
      </c>
      <c r="J630" s="376">
        <f t="shared" si="65"/>
        <v>17.399999999999999</v>
      </c>
      <c r="K630" s="66">
        <f t="shared" si="66"/>
        <v>2.6795999999999998</v>
      </c>
      <c r="L630" s="63">
        <f t="shared" si="67"/>
        <v>0</v>
      </c>
      <c r="M630" s="63">
        <f t="shared" si="68"/>
        <v>0</v>
      </c>
      <c r="N630" s="63">
        <f t="shared" si="69"/>
        <v>0</v>
      </c>
      <c r="O630" s="63">
        <f t="shared" si="70"/>
        <v>0</v>
      </c>
      <c r="P630" s="63">
        <f t="shared" si="71"/>
        <v>0</v>
      </c>
      <c r="Q630" s="561">
        <f t="shared" si="73"/>
        <v>0</v>
      </c>
      <c r="R630" s="174"/>
      <c r="T630" s="82"/>
      <c r="U630" s="82"/>
      <c r="V630" s="82"/>
      <c r="W630" s="82"/>
      <c r="X630" s="82"/>
      <c r="Y630" s="82"/>
      <c r="Z630" s="82"/>
      <c r="AA630" s="82"/>
      <c r="AB630" s="82"/>
    </row>
    <row r="631" spans="1:28" s="85" customFormat="1" ht="13.8" thickBot="1" x14ac:dyDescent="0.3">
      <c r="A631" s="82"/>
      <c r="B631" s="82"/>
      <c r="C631" s="82"/>
      <c r="D631" s="729"/>
      <c r="E631" s="371" t="s">
        <v>113</v>
      </c>
      <c r="F631" s="372">
        <v>23</v>
      </c>
      <c r="G631" s="373">
        <v>8</v>
      </c>
      <c r="H631" s="374">
        <v>10</v>
      </c>
      <c r="I631" s="375">
        <v>3.42</v>
      </c>
      <c r="J631" s="376">
        <f t="shared" si="65"/>
        <v>27.36</v>
      </c>
      <c r="K631" s="66">
        <f t="shared" si="66"/>
        <v>0</v>
      </c>
      <c r="L631" s="63">
        <f t="shared" si="67"/>
        <v>0</v>
      </c>
      <c r="M631" s="63">
        <f t="shared" si="68"/>
        <v>0</v>
      </c>
      <c r="N631" s="63">
        <f t="shared" si="69"/>
        <v>16.881119999999999</v>
      </c>
      <c r="O631" s="63">
        <f t="shared" si="70"/>
        <v>0</v>
      </c>
      <c r="P631" s="63">
        <f t="shared" si="71"/>
        <v>0</v>
      </c>
      <c r="Q631" s="561">
        <f t="shared" si="73"/>
        <v>0</v>
      </c>
      <c r="R631" s="174"/>
      <c r="T631" s="82"/>
      <c r="U631" s="82"/>
      <c r="V631" s="82"/>
      <c r="W631" s="82"/>
      <c r="X631" s="82"/>
      <c r="Y631" s="82"/>
      <c r="Z631" s="82"/>
      <c r="AA631" s="82"/>
      <c r="AB631" s="82"/>
    </row>
    <row r="632" spans="1:28" s="85" customFormat="1" ht="13.8" thickTop="1" x14ac:dyDescent="0.25">
      <c r="A632" s="82"/>
      <c r="B632" s="82"/>
      <c r="C632" s="82"/>
      <c r="D632" s="728" t="s">
        <v>1469</v>
      </c>
      <c r="E632" s="384" t="s">
        <v>49</v>
      </c>
      <c r="F632" s="385">
        <v>1</v>
      </c>
      <c r="G632" s="386">
        <v>18</v>
      </c>
      <c r="H632" s="387">
        <v>5</v>
      </c>
      <c r="I632" s="388">
        <v>0.24</v>
      </c>
      <c r="J632" s="389">
        <f t="shared" si="65"/>
        <v>4.32</v>
      </c>
      <c r="K632" s="218">
        <f t="shared" si="66"/>
        <v>0.66527999999999998</v>
      </c>
      <c r="L632" s="219">
        <f t="shared" si="67"/>
        <v>0</v>
      </c>
      <c r="M632" s="219">
        <f t="shared" si="68"/>
        <v>0</v>
      </c>
      <c r="N632" s="219">
        <f t="shared" si="69"/>
        <v>0</v>
      </c>
      <c r="O632" s="219">
        <f t="shared" si="70"/>
        <v>0</v>
      </c>
      <c r="P632" s="219">
        <f t="shared" si="71"/>
        <v>0</v>
      </c>
      <c r="Q632" s="563">
        <f t="shared" si="73"/>
        <v>0</v>
      </c>
      <c r="R632" s="220"/>
      <c r="T632" s="82"/>
      <c r="U632" s="82"/>
      <c r="V632" s="82"/>
      <c r="W632" s="82"/>
      <c r="X632" s="82"/>
      <c r="Y632" s="82"/>
      <c r="Z632" s="82"/>
      <c r="AA632" s="82"/>
      <c r="AB632" s="82"/>
    </row>
    <row r="633" spans="1:28" s="85" customFormat="1" x14ac:dyDescent="0.25">
      <c r="A633" s="82"/>
      <c r="B633" s="82"/>
      <c r="C633" s="82"/>
      <c r="D633" s="729"/>
      <c r="E633" s="371" t="s">
        <v>49</v>
      </c>
      <c r="F633" s="372">
        <v>2</v>
      </c>
      <c r="G633" s="373">
        <v>18</v>
      </c>
      <c r="H633" s="374">
        <v>5</v>
      </c>
      <c r="I633" s="375">
        <v>1.19</v>
      </c>
      <c r="J633" s="376">
        <f t="shared" si="65"/>
        <v>21.419999999999998</v>
      </c>
      <c r="K633" s="66">
        <f t="shared" si="66"/>
        <v>3.2986799999999996</v>
      </c>
      <c r="L633" s="63">
        <f t="shared" si="67"/>
        <v>0</v>
      </c>
      <c r="M633" s="63">
        <f t="shared" si="68"/>
        <v>0</v>
      </c>
      <c r="N633" s="63">
        <f t="shared" si="69"/>
        <v>0</v>
      </c>
      <c r="O633" s="63">
        <f t="shared" si="70"/>
        <v>0</v>
      </c>
      <c r="P633" s="63">
        <f t="shared" si="71"/>
        <v>0</v>
      </c>
      <c r="Q633" s="561">
        <f t="shared" si="73"/>
        <v>0</v>
      </c>
      <c r="R633" s="174"/>
      <c r="T633" s="82"/>
      <c r="U633" s="82"/>
      <c r="V633" s="82"/>
      <c r="W633" s="82"/>
      <c r="X633" s="82"/>
      <c r="Y633" s="82"/>
      <c r="Z633" s="82"/>
      <c r="AA633" s="82"/>
      <c r="AB633" s="82"/>
    </row>
    <row r="634" spans="1:28" s="85" customFormat="1" x14ac:dyDescent="0.25">
      <c r="A634" s="82"/>
      <c r="B634" s="82"/>
      <c r="C634" s="82"/>
      <c r="D634" s="729"/>
      <c r="E634" s="371" t="s">
        <v>49</v>
      </c>
      <c r="F634" s="372">
        <v>9</v>
      </c>
      <c r="G634" s="373">
        <v>8</v>
      </c>
      <c r="H634" s="374">
        <v>10</v>
      </c>
      <c r="I634" s="375">
        <v>1.47</v>
      </c>
      <c r="J634" s="376">
        <f t="shared" si="65"/>
        <v>11.76</v>
      </c>
      <c r="K634" s="66">
        <f t="shared" si="66"/>
        <v>0</v>
      </c>
      <c r="L634" s="63">
        <f t="shared" si="67"/>
        <v>0</v>
      </c>
      <c r="M634" s="63">
        <f t="shared" si="68"/>
        <v>0</v>
      </c>
      <c r="N634" s="63">
        <f t="shared" si="69"/>
        <v>7.2559199999999997</v>
      </c>
      <c r="O634" s="63">
        <f t="shared" si="70"/>
        <v>0</v>
      </c>
      <c r="P634" s="63">
        <f t="shared" si="71"/>
        <v>0</v>
      </c>
      <c r="Q634" s="561">
        <f t="shared" si="73"/>
        <v>0</v>
      </c>
      <c r="R634" s="174"/>
      <c r="T634" s="82"/>
      <c r="U634" s="82"/>
      <c r="V634" s="82"/>
      <c r="W634" s="82"/>
      <c r="X634" s="82"/>
      <c r="Y634" s="82"/>
      <c r="Z634" s="82"/>
      <c r="AA634" s="82"/>
      <c r="AB634" s="82"/>
    </row>
    <row r="635" spans="1:28" s="85" customFormat="1" x14ac:dyDescent="0.25">
      <c r="A635" s="82"/>
      <c r="B635" s="82"/>
      <c r="C635" s="82"/>
      <c r="D635" s="729"/>
      <c r="E635" s="371" t="s">
        <v>113</v>
      </c>
      <c r="F635" s="372">
        <v>1</v>
      </c>
      <c r="G635" s="373">
        <v>60</v>
      </c>
      <c r="H635" s="374">
        <v>5</v>
      </c>
      <c r="I635" s="375">
        <v>0.24</v>
      </c>
      <c r="J635" s="376">
        <f t="shared" si="65"/>
        <v>14.399999999999999</v>
      </c>
      <c r="K635" s="66">
        <f t="shared" si="66"/>
        <v>2.2175999999999996</v>
      </c>
      <c r="L635" s="63">
        <f t="shared" si="67"/>
        <v>0</v>
      </c>
      <c r="M635" s="63">
        <f t="shared" si="68"/>
        <v>0</v>
      </c>
      <c r="N635" s="63">
        <f t="shared" si="69"/>
        <v>0</v>
      </c>
      <c r="O635" s="63">
        <f t="shared" si="70"/>
        <v>0</v>
      </c>
      <c r="P635" s="63">
        <f t="shared" si="71"/>
        <v>0</v>
      </c>
      <c r="Q635" s="561">
        <f t="shared" si="73"/>
        <v>0</v>
      </c>
      <c r="R635" s="174"/>
      <c r="T635" s="82"/>
      <c r="U635" s="82"/>
      <c r="V635" s="82"/>
      <c r="W635" s="82"/>
      <c r="X635" s="82"/>
      <c r="Y635" s="82"/>
      <c r="Z635" s="82"/>
      <c r="AA635" s="82"/>
      <c r="AB635" s="82"/>
    </row>
    <row r="636" spans="1:28" s="85" customFormat="1" x14ac:dyDescent="0.25">
      <c r="A636" s="82"/>
      <c r="B636" s="82"/>
      <c r="C636" s="82"/>
      <c r="D636" s="729"/>
      <c r="E636" s="371" t="s">
        <v>113</v>
      </c>
      <c r="F636" s="372">
        <v>21</v>
      </c>
      <c r="G636" s="373">
        <v>25</v>
      </c>
      <c r="H636" s="374">
        <v>5</v>
      </c>
      <c r="I636" s="375">
        <v>2.0699999999999998</v>
      </c>
      <c r="J636" s="376">
        <f t="shared" si="65"/>
        <v>51.749999999999993</v>
      </c>
      <c r="K636" s="66">
        <f t="shared" si="66"/>
        <v>7.9694999999999991</v>
      </c>
      <c r="L636" s="63">
        <f t="shared" si="67"/>
        <v>0</v>
      </c>
      <c r="M636" s="63">
        <f t="shared" si="68"/>
        <v>0</v>
      </c>
      <c r="N636" s="63">
        <f t="shared" si="69"/>
        <v>0</v>
      </c>
      <c r="O636" s="63">
        <f t="shared" si="70"/>
        <v>0</v>
      </c>
      <c r="P636" s="63">
        <f t="shared" si="71"/>
        <v>0</v>
      </c>
      <c r="Q636" s="561">
        <f t="shared" si="73"/>
        <v>0</v>
      </c>
      <c r="R636" s="174"/>
      <c r="T636" s="82"/>
      <c r="U636" s="82"/>
      <c r="V636" s="82"/>
      <c r="W636" s="82"/>
      <c r="X636" s="82"/>
      <c r="Y636" s="82"/>
      <c r="Z636" s="82"/>
      <c r="AA636" s="82"/>
      <c r="AB636" s="82"/>
    </row>
    <row r="637" spans="1:28" s="85" customFormat="1" x14ac:dyDescent="0.25">
      <c r="A637" s="82"/>
      <c r="B637" s="82"/>
      <c r="C637" s="82"/>
      <c r="D637" s="729"/>
      <c r="E637" s="371" t="s">
        <v>113</v>
      </c>
      <c r="F637" s="372">
        <v>22</v>
      </c>
      <c r="G637" s="373">
        <v>10</v>
      </c>
      <c r="H637" s="374">
        <v>5</v>
      </c>
      <c r="I637" s="375">
        <v>1.19</v>
      </c>
      <c r="J637" s="376">
        <f t="shared" si="65"/>
        <v>11.899999999999999</v>
      </c>
      <c r="K637" s="66">
        <f t="shared" si="66"/>
        <v>1.8325999999999998</v>
      </c>
      <c r="L637" s="63">
        <f t="shared" si="67"/>
        <v>0</v>
      </c>
      <c r="M637" s="63">
        <f t="shared" si="68"/>
        <v>0</v>
      </c>
      <c r="N637" s="63">
        <f t="shared" si="69"/>
        <v>0</v>
      </c>
      <c r="O637" s="63">
        <f t="shared" si="70"/>
        <v>0</v>
      </c>
      <c r="P637" s="63">
        <f t="shared" si="71"/>
        <v>0</v>
      </c>
      <c r="Q637" s="561">
        <f t="shared" si="73"/>
        <v>0</v>
      </c>
      <c r="R637" s="174"/>
      <c r="T637" s="82"/>
      <c r="U637" s="82"/>
      <c r="V637" s="82"/>
      <c r="W637" s="82"/>
      <c r="X637" s="82"/>
      <c r="Y637" s="82"/>
      <c r="Z637" s="82"/>
      <c r="AA637" s="82"/>
      <c r="AB637" s="82"/>
    </row>
    <row r="638" spans="1:28" s="85" customFormat="1" x14ac:dyDescent="0.25">
      <c r="A638" s="82"/>
      <c r="B638" s="82"/>
      <c r="C638" s="82"/>
      <c r="D638" s="729"/>
      <c r="E638" s="371" t="s">
        <v>113</v>
      </c>
      <c r="F638" s="372">
        <v>24</v>
      </c>
      <c r="G638" s="373">
        <v>8</v>
      </c>
      <c r="H638" s="374">
        <v>10</v>
      </c>
      <c r="I638" s="375">
        <v>3.78</v>
      </c>
      <c r="J638" s="376">
        <f t="shared" si="65"/>
        <v>30.24</v>
      </c>
      <c r="K638" s="66">
        <f t="shared" si="66"/>
        <v>0</v>
      </c>
      <c r="L638" s="63">
        <f t="shared" si="67"/>
        <v>0</v>
      </c>
      <c r="M638" s="63">
        <f t="shared" si="68"/>
        <v>0</v>
      </c>
      <c r="N638" s="63">
        <f t="shared" si="69"/>
        <v>18.658079999999998</v>
      </c>
      <c r="O638" s="63">
        <f t="shared" si="70"/>
        <v>0</v>
      </c>
      <c r="P638" s="63">
        <f t="shared" si="71"/>
        <v>0</v>
      </c>
      <c r="Q638" s="561">
        <f t="shared" si="73"/>
        <v>0</v>
      </c>
      <c r="R638" s="174"/>
      <c r="T638" s="82"/>
      <c r="U638" s="82"/>
      <c r="V638" s="82"/>
      <c r="W638" s="82"/>
      <c r="X638" s="82"/>
      <c r="Y638" s="82"/>
      <c r="Z638" s="82"/>
      <c r="AA638" s="82"/>
      <c r="AB638" s="82"/>
    </row>
    <row r="639" spans="1:28" s="85" customFormat="1" x14ac:dyDescent="0.25">
      <c r="A639" s="82"/>
      <c r="B639" s="82"/>
      <c r="C639" s="82"/>
      <c r="D639" s="729"/>
      <c r="E639" s="396" t="s">
        <v>184</v>
      </c>
      <c r="F639" s="403">
        <v>1</v>
      </c>
      <c r="G639" s="397">
        <v>20</v>
      </c>
      <c r="H639" s="398">
        <v>5</v>
      </c>
      <c r="I639" s="399">
        <v>0.24</v>
      </c>
      <c r="J639" s="400">
        <f t="shared" si="65"/>
        <v>4.8</v>
      </c>
      <c r="K639" s="401">
        <f t="shared" si="66"/>
        <v>0.73919999999999997</v>
      </c>
      <c r="L639" s="196">
        <f t="shared" si="67"/>
        <v>0</v>
      </c>
      <c r="M639" s="196">
        <f t="shared" si="68"/>
        <v>0</v>
      </c>
      <c r="N639" s="196">
        <f t="shared" si="69"/>
        <v>0</v>
      </c>
      <c r="O639" s="196">
        <f t="shared" si="70"/>
        <v>0</v>
      </c>
      <c r="P639" s="196">
        <f t="shared" si="71"/>
        <v>0</v>
      </c>
      <c r="Q639" s="566">
        <f t="shared" si="73"/>
        <v>0</v>
      </c>
      <c r="R639" s="538"/>
      <c r="T639" s="82"/>
      <c r="U639" s="82"/>
      <c r="V639" s="82"/>
      <c r="W639" s="82"/>
      <c r="X639" s="82"/>
      <c r="Y639" s="82"/>
      <c r="Z639" s="82"/>
      <c r="AA639" s="82"/>
      <c r="AB639" s="82"/>
    </row>
    <row r="640" spans="1:28" s="85" customFormat="1" x14ac:dyDescent="0.25">
      <c r="A640" s="82"/>
      <c r="B640" s="82"/>
      <c r="C640" s="82"/>
      <c r="D640" s="729"/>
      <c r="E640" s="371" t="s">
        <v>184</v>
      </c>
      <c r="F640" s="372">
        <v>18</v>
      </c>
      <c r="G640" s="373">
        <v>8</v>
      </c>
      <c r="H640" s="374">
        <v>5</v>
      </c>
      <c r="I640" s="375">
        <v>2.0699999999999998</v>
      </c>
      <c r="J640" s="376">
        <f t="shared" si="65"/>
        <v>16.559999999999999</v>
      </c>
      <c r="K640" s="66">
        <f t="shared" si="66"/>
        <v>2.5502399999999996</v>
      </c>
      <c r="L640" s="63">
        <f t="shared" si="67"/>
        <v>0</v>
      </c>
      <c r="M640" s="63">
        <f t="shared" si="68"/>
        <v>0</v>
      </c>
      <c r="N640" s="63">
        <f t="shared" si="69"/>
        <v>0</v>
      </c>
      <c r="O640" s="63">
        <f t="shared" si="70"/>
        <v>0</v>
      </c>
      <c r="P640" s="63">
        <f t="shared" si="71"/>
        <v>0</v>
      </c>
      <c r="Q640" s="562">
        <f t="shared" si="73"/>
        <v>0</v>
      </c>
      <c r="R640" s="377"/>
      <c r="T640" s="82"/>
      <c r="U640" s="82"/>
      <c r="V640" s="82"/>
      <c r="W640" s="82"/>
      <c r="X640" s="82"/>
      <c r="Y640" s="82"/>
      <c r="Z640" s="82"/>
      <c r="AA640" s="82"/>
      <c r="AB640" s="82"/>
    </row>
    <row r="641" spans="1:28" s="85" customFormat="1" x14ac:dyDescent="0.25">
      <c r="A641" s="82"/>
      <c r="B641" s="82"/>
      <c r="C641" s="82"/>
      <c r="D641" s="729"/>
      <c r="E641" s="371" t="s">
        <v>184</v>
      </c>
      <c r="F641" s="372">
        <v>19</v>
      </c>
      <c r="G641" s="373">
        <v>4</v>
      </c>
      <c r="H641" s="374">
        <v>5</v>
      </c>
      <c r="I641" s="375">
        <v>1.19</v>
      </c>
      <c r="J641" s="376">
        <f t="shared" si="65"/>
        <v>4.76</v>
      </c>
      <c r="K641" s="66">
        <f t="shared" si="66"/>
        <v>0.73303999999999991</v>
      </c>
      <c r="L641" s="63">
        <f t="shared" si="67"/>
        <v>0</v>
      </c>
      <c r="M641" s="63">
        <f t="shared" si="68"/>
        <v>0</v>
      </c>
      <c r="N641" s="63">
        <f t="shared" si="69"/>
        <v>0</v>
      </c>
      <c r="O641" s="63">
        <f t="shared" si="70"/>
        <v>0</v>
      </c>
      <c r="P641" s="63">
        <f t="shared" si="71"/>
        <v>0</v>
      </c>
      <c r="Q641" s="562">
        <f t="shared" si="73"/>
        <v>0</v>
      </c>
      <c r="R641" s="377"/>
      <c r="T641" s="82"/>
      <c r="U641" s="82"/>
      <c r="V641" s="82"/>
      <c r="W641" s="82"/>
      <c r="X641" s="82"/>
      <c r="Y641" s="82"/>
      <c r="Z641" s="82"/>
      <c r="AA641" s="82"/>
      <c r="AB641" s="82"/>
    </row>
    <row r="642" spans="1:28" s="85" customFormat="1" ht="13.8" thickBot="1" x14ac:dyDescent="0.3">
      <c r="A642" s="82"/>
      <c r="B642" s="82"/>
      <c r="C642" s="82"/>
      <c r="D642" s="731"/>
      <c r="E642" s="390" t="s">
        <v>184</v>
      </c>
      <c r="F642" s="391">
        <v>57</v>
      </c>
      <c r="G642" s="392">
        <v>8</v>
      </c>
      <c r="H642" s="393">
        <v>10</v>
      </c>
      <c r="I642" s="394">
        <v>1.02</v>
      </c>
      <c r="J642" s="395">
        <f t="shared" si="65"/>
        <v>8.16</v>
      </c>
      <c r="K642" s="221">
        <f t="shared" si="66"/>
        <v>0</v>
      </c>
      <c r="L642" s="222">
        <f t="shared" si="67"/>
        <v>0</v>
      </c>
      <c r="M642" s="222">
        <f t="shared" si="68"/>
        <v>0</v>
      </c>
      <c r="N642" s="222">
        <f t="shared" si="69"/>
        <v>5.0347200000000001</v>
      </c>
      <c r="O642" s="222">
        <f t="shared" si="70"/>
        <v>0</v>
      </c>
      <c r="P642" s="222">
        <f t="shared" si="71"/>
        <v>0</v>
      </c>
      <c r="Q642" s="564">
        <f t="shared" si="73"/>
        <v>0</v>
      </c>
      <c r="R642" s="539"/>
      <c r="T642" s="82"/>
      <c r="U642" s="82"/>
      <c r="V642" s="82"/>
      <c r="W642" s="82"/>
      <c r="X642" s="82"/>
      <c r="Y642" s="82"/>
      <c r="Z642" s="82"/>
      <c r="AA642" s="82"/>
      <c r="AB642" s="82"/>
    </row>
    <row r="643" spans="1:28" s="85" customFormat="1" ht="13.8" thickTop="1" x14ac:dyDescent="0.25">
      <c r="A643" s="82"/>
      <c r="B643" s="82"/>
      <c r="C643" s="82"/>
      <c r="D643" s="728" t="s">
        <v>1470</v>
      </c>
      <c r="E643" s="384" t="s">
        <v>49</v>
      </c>
      <c r="F643" s="385">
        <v>2</v>
      </c>
      <c r="G643" s="386">
        <v>10</v>
      </c>
      <c r="H643" s="387">
        <v>5</v>
      </c>
      <c r="I643" s="388">
        <v>1.19</v>
      </c>
      <c r="J643" s="389">
        <f t="shared" si="65"/>
        <v>11.899999999999999</v>
      </c>
      <c r="K643" s="218">
        <f t="shared" si="66"/>
        <v>1.8325999999999998</v>
      </c>
      <c r="L643" s="219">
        <f t="shared" si="67"/>
        <v>0</v>
      </c>
      <c r="M643" s="219">
        <f t="shared" si="68"/>
        <v>0</v>
      </c>
      <c r="N643" s="219">
        <f t="shared" si="69"/>
        <v>0</v>
      </c>
      <c r="O643" s="219">
        <f t="shared" si="70"/>
        <v>0</v>
      </c>
      <c r="P643" s="219">
        <f t="shared" si="71"/>
        <v>0</v>
      </c>
      <c r="Q643" s="563">
        <f t="shared" si="73"/>
        <v>0</v>
      </c>
      <c r="R643" s="220"/>
      <c r="T643" s="82"/>
      <c r="U643" s="82"/>
      <c r="V643" s="82"/>
      <c r="W643" s="82"/>
      <c r="X643" s="82"/>
      <c r="Y643" s="82"/>
      <c r="Z643" s="82"/>
      <c r="AA643" s="82"/>
      <c r="AB643" s="82"/>
    </row>
    <row r="644" spans="1:28" s="85" customFormat="1" x14ac:dyDescent="0.25">
      <c r="A644" s="82"/>
      <c r="B644" s="82"/>
      <c r="C644" s="82"/>
      <c r="D644" s="729"/>
      <c r="E644" s="371" t="s">
        <v>49</v>
      </c>
      <c r="F644" s="372">
        <v>3</v>
      </c>
      <c r="G644" s="373">
        <v>8</v>
      </c>
      <c r="H644" s="374">
        <v>5</v>
      </c>
      <c r="I644" s="375">
        <v>2.0699999999999998</v>
      </c>
      <c r="J644" s="376">
        <f t="shared" si="65"/>
        <v>16.559999999999999</v>
      </c>
      <c r="K644" s="66">
        <f t="shared" si="66"/>
        <v>2.5502399999999996</v>
      </c>
      <c r="L644" s="63">
        <f t="shared" si="67"/>
        <v>0</v>
      </c>
      <c r="M644" s="63">
        <f t="shared" si="68"/>
        <v>0</v>
      </c>
      <c r="N644" s="63">
        <f t="shared" si="69"/>
        <v>0</v>
      </c>
      <c r="O644" s="63">
        <f t="shared" si="70"/>
        <v>0</v>
      </c>
      <c r="P644" s="63">
        <f t="shared" si="71"/>
        <v>0</v>
      </c>
      <c r="Q644" s="561">
        <f t="shared" si="73"/>
        <v>0</v>
      </c>
      <c r="R644" s="174"/>
      <c r="T644" s="82"/>
      <c r="U644" s="82"/>
      <c r="V644" s="82"/>
      <c r="W644" s="82"/>
      <c r="X644" s="82"/>
      <c r="Y644" s="82"/>
      <c r="Z644" s="82"/>
      <c r="AA644" s="82"/>
      <c r="AB644" s="82"/>
    </row>
    <row r="645" spans="1:28" s="85" customFormat="1" x14ac:dyDescent="0.25">
      <c r="A645" s="82"/>
      <c r="B645" s="82"/>
      <c r="C645" s="82"/>
      <c r="D645" s="729"/>
      <c r="E645" s="371" t="s">
        <v>49</v>
      </c>
      <c r="F645" s="372">
        <v>4</v>
      </c>
      <c r="G645" s="373">
        <v>26</v>
      </c>
      <c r="H645" s="374">
        <v>5</v>
      </c>
      <c r="I645" s="375">
        <v>0.24</v>
      </c>
      <c r="J645" s="376">
        <f t="shared" si="65"/>
        <v>6.24</v>
      </c>
      <c r="K645" s="66">
        <f t="shared" si="66"/>
        <v>0.96096000000000004</v>
      </c>
      <c r="L645" s="63">
        <f t="shared" si="67"/>
        <v>0</v>
      </c>
      <c r="M645" s="63">
        <f t="shared" si="68"/>
        <v>0</v>
      </c>
      <c r="N645" s="63">
        <f t="shared" si="69"/>
        <v>0</v>
      </c>
      <c r="O645" s="63">
        <f t="shared" si="70"/>
        <v>0</v>
      </c>
      <c r="P645" s="63">
        <f t="shared" si="71"/>
        <v>0</v>
      </c>
      <c r="Q645" s="561">
        <f t="shared" si="73"/>
        <v>0</v>
      </c>
      <c r="R645" s="174"/>
      <c r="T645" s="82"/>
      <c r="U645" s="82"/>
      <c r="V645" s="82"/>
      <c r="W645" s="82"/>
      <c r="X645" s="82"/>
      <c r="Y645" s="82"/>
      <c r="Z645" s="82"/>
      <c r="AA645" s="82"/>
      <c r="AB645" s="82"/>
    </row>
    <row r="646" spans="1:28" s="85" customFormat="1" x14ac:dyDescent="0.25">
      <c r="A646" s="82"/>
      <c r="B646" s="82"/>
      <c r="C646" s="82"/>
      <c r="D646" s="729"/>
      <c r="E646" s="371" t="s">
        <v>49</v>
      </c>
      <c r="F646" s="372">
        <v>11</v>
      </c>
      <c r="G646" s="373">
        <v>8</v>
      </c>
      <c r="H646" s="374">
        <v>16</v>
      </c>
      <c r="I646" s="375">
        <v>1.65</v>
      </c>
      <c r="J646" s="376">
        <f t="shared" si="65"/>
        <v>13.2</v>
      </c>
      <c r="K646" s="66">
        <f t="shared" si="66"/>
        <v>0</v>
      </c>
      <c r="L646" s="63">
        <f t="shared" si="67"/>
        <v>0</v>
      </c>
      <c r="M646" s="63">
        <f t="shared" si="68"/>
        <v>0</v>
      </c>
      <c r="N646" s="63">
        <f t="shared" si="69"/>
        <v>0</v>
      </c>
      <c r="O646" s="63">
        <f t="shared" si="70"/>
        <v>0</v>
      </c>
      <c r="P646" s="63">
        <f t="shared" si="71"/>
        <v>20.829599999999999</v>
      </c>
      <c r="Q646" s="561">
        <f t="shared" si="73"/>
        <v>0</v>
      </c>
      <c r="R646" s="174"/>
      <c r="T646" s="82"/>
      <c r="U646" s="82"/>
      <c r="V646" s="82"/>
      <c r="W646" s="82"/>
      <c r="X646" s="82"/>
      <c r="Y646" s="82"/>
      <c r="Z646" s="82"/>
      <c r="AA646" s="82"/>
      <c r="AB646" s="82"/>
    </row>
    <row r="647" spans="1:28" s="85" customFormat="1" x14ac:dyDescent="0.25">
      <c r="A647" s="82"/>
      <c r="B647" s="82"/>
      <c r="C647" s="82"/>
      <c r="D647" s="729"/>
      <c r="E647" s="371" t="s">
        <v>113</v>
      </c>
      <c r="F647" s="372">
        <v>2</v>
      </c>
      <c r="G647" s="373">
        <v>37</v>
      </c>
      <c r="H647" s="374">
        <v>5</v>
      </c>
      <c r="I647" s="375">
        <v>2.0699999999999998</v>
      </c>
      <c r="J647" s="376">
        <f t="shared" si="65"/>
        <v>76.589999999999989</v>
      </c>
      <c r="K647" s="66">
        <f t="shared" si="66"/>
        <v>11.794859999999998</v>
      </c>
      <c r="L647" s="63">
        <f t="shared" si="67"/>
        <v>0</v>
      </c>
      <c r="M647" s="63">
        <f t="shared" si="68"/>
        <v>0</v>
      </c>
      <c r="N647" s="63">
        <f t="shared" si="69"/>
        <v>0</v>
      </c>
      <c r="O647" s="63">
        <f t="shared" si="70"/>
        <v>0</v>
      </c>
      <c r="P647" s="63">
        <f t="shared" si="71"/>
        <v>0</v>
      </c>
      <c r="Q647" s="561">
        <f t="shared" si="73"/>
        <v>0</v>
      </c>
      <c r="R647" s="174"/>
      <c r="T647" s="82"/>
      <c r="U647" s="82"/>
      <c r="V647" s="82"/>
      <c r="W647" s="82"/>
      <c r="X647" s="82"/>
      <c r="Y647" s="82"/>
      <c r="Z647" s="82"/>
      <c r="AA647" s="82"/>
      <c r="AB647" s="82"/>
    </row>
    <row r="648" spans="1:28" s="85" customFormat="1" x14ac:dyDescent="0.25">
      <c r="A648" s="82"/>
      <c r="B648" s="82"/>
      <c r="C648" s="82"/>
      <c r="D648" s="729"/>
      <c r="E648" s="371" t="s">
        <v>113</v>
      </c>
      <c r="F648" s="372">
        <v>3</v>
      </c>
      <c r="G648" s="373">
        <v>14</v>
      </c>
      <c r="H648" s="374">
        <v>5</v>
      </c>
      <c r="I648" s="375">
        <v>1.19</v>
      </c>
      <c r="J648" s="376">
        <f t="shared" si="65"/>
        <v>16.66</v>
      </c>
      <c r="K648" s="66">
        <f t="shared" si="66"/>
        <v>2.5656400000000001</v>
      </c>
      <c r="L648" s="63">
        <f t="shared" si="67"/>
        <v>0</v>
      </c>
      <c r="M648" s="63">
        <f t="shared" si="68"/>
        <v>0</v>
      </c>
      <c r="N648" s="63">
        <f t="shared" si="69"/>
        <v>0</v>
      </c>
      <c r="O648" s="63">
        <f t="shared" si="70"/>
        <v>0</v>
      </c>
      <c r="P648" s="63">
        <f t="shared" si="71"/>
        <v>0</v>
      </c>
      <c r="Q648" s="561">
        <f t="shared" si="73"/>
        <v>0</v>
      </c>
      <c r="R648" s="174"/>
      <c r="T648" s="82"/>
      <c r="U648" s="82"/>
      <c r="V648" s="82"/>
      <c r="W648" s="82"/>
      <c r="X648" s="82"/>
      <c r="Y648" s="82"/>
      <c r="Z648" s="82"/>
      <c r="AA648" s="82"/>
      <c r="AB648" s="82"/>
    </row>
    <row r="649" spans="1:28" s="85" customFormat="1" x14ac:dyDescent="0.25">
      <c r="A649" s="82"/>
      <c r="B649" s="82"/>
      <c r="C649" s="82"/>
      <c r="D649" s="729"/>
      <c r="E649" s="371" t="s">
        <v>113</v>
      </c>
      <c r="F649" s="372">
        <v>4</v>
      </c>
      <c r="G649" s="373">
        <v>88</v>
      </c>
      <c r="H649" s="374">
        <v>5</v>
      </c>
      <c r="I649" s="375">
        <v>0.24</v>
      </c>
      <c r="J649" s="376">
        <f t="shared" ref="J649:J650" si="74">G649*I649</f>
        <v>21.119999999999997</v>
      </c>
      <c r="K649" s="66">
        <f t="shared" si="66"/>
        <v>3.2524799999999994</v>
      </c>
      <c r="L649" s="63">
        <f t="shared" si="67"/>
        <v>0</v>
      </c>
      <c r="M649" s="63">
        <f t="shared" si="68"/>
        <v>0</v>
      </c>
      <c r="N649" s="63">
        <f t="shared" si="69"/>
        <v>0</v>
      </c>
      <c r="O649" s="63">
        <f t="shared" si="70"/>
        <v>0</v>
      </c>
      <c r="P649" s="63">
        <f t="shared" si="71"/>
        <v>0</v>
      </c>
      <c r="Q649" s="561">
        <f t="shared" si="73"/>
        <v>0</v>
      </c>
      <c r="R649" s="174"/>
      <c r="T649" s="82"/>
      <c r="U649" s="82"/>
      <c r="V649" s="82"/>
      <c r="W649" s="82"/>
      <c r="X649" s="82"/>
      <c r="Y649" s="82"/>
      <c r="Z649" s="82"/>
      <c r="AA649" s="82"/>
      <c r="AB649" s="82"/>
    </row>
    <row r="650" spans="1:28" s="85" customFormat="1" x14ac:dyDescent="0.25">
      <c r="A650" s="82"/>
      <c r="B650" s="82"/>
      <c r="C650" s="82"/>
      <c r="D650" s="729"/>
      <c r="E650" s="371" t="s">
        <v>113</v>
      </c>
      <c r="F650" s="372">
        <v>58</v>
      </c>
      <c r="G650" s="373">
        <v>4</v>
      </c>
      <c r="H650" s="374">
        <v>16</v>
      </c>
      <c r="I650" s="375">
        <v>3.42</v>
      </c>
      <c r="J650" s="376">
        <f t="shared" si="74"/>
        <v>13.68</v>
      </c>
      <c r="K650" s="66">
        <f t="shared" si="66"/>
        <v>0</v>
      </c>
      <c r="L650" s="63">
        <f t="shared" si="67"/>
        <v>0</v>
      </c>
      <c r="M650" s="63">
        <f t="shared" si="68"/>
        <v>0</v>
      </c>
      <c r="N650" s="63">
        <f t="shared" si="69"/>
        <v>0</v>
      </c>
      <c r="O650" s="63">
        <f t="shared" si="70"/>
        <v>0</v>
      </c>
      <c r="P650" s="63">
        <f t="shared" si="71"/>
        <v>21.587040000000002</v>
      </c>
      <c r="Q650" s="561">
        <f t="shared" si="73"/>
        <v>0</v>
      </c>
      <c r="R650" s="174"/>
      <c r="T650" s="82"/>
      <c r="U650" s="82"/>
      <c r="V650" s="82"/>
      <c r="W650" s="82"/>
      <c r="X650" s="82"/>
      <c r="Y650" s="82"/>
      <c r="Z650" s="82"/>
      <c r="AA650" s="82"/>
      <c r="AB650" s="82"/>
    </row>
    <row r="651" spans="1:28" s="85" customFormat="1" x14ac:dyDescent="0.25">
      <c r="A651" s="82"/>
      <c r="B651" s="82"/>
      <c r="C651" s="82"/>
      <c r="D651" s="729"/>
      <c r="E651" s="371" t="s">
        <v>113</v>
      </c>
      <c r="F651" s="372">
        <v>59</v>
      </c>
      <c r="G651" s="373">
        <v>4</v>
      </c>
      <c r="H651" s="374">
        <v>16</v>
      </c>
      <c r="I651" s="375">
        <v>1.07</v>
      </c>
      <c r="J651" s="376">
        <f t="shared" si="65"/>
        <v>4.28</v>
      </c>
      <c r="K651" s="66">
        <f t="shared" si="66"/>
        <v>0</v>
      </c>
      <c r="L651" s="63">
        <f t="shared" si="67"/>
        <v>0</v>
      </c>
      <c r="M651" s="63">
        <f t="shared" si="68"/>
        <v>0</v>
      </c>
      <c r="N651" s="63">
        <f t="shared" si="69"/>
        <v>0</v>
      </c>
      <c r="O651" s="63">
        <f t="shared" si="70"/>
        <v>0</v>
      </c>
      <c r="P651" s="63">
        <f t="shared" si="71"/>
        <v>6.7538400000000003</v>
      </c>
      <c r="Q651" s="561">
        <f t="shared" si="73"/>
        <v>0</v>
      </c>
      <c r="R651" s="174"/>
      <c r="T651" s="82"/>
      <c r="U651" s="82"/>
      <c r="V651" s="82"/>
      <c r="W651" s="82"/>
      <c r="X651" s="82"/>
      <c r="Y651" s="82"/>
      <c r="Z651" s="82"/>
      <c r="AA651" s="82"/>
      <c r="AB651" s="82"/>
    </row>
    <row r="652" spans="1:28" s="85" customFormat="1" x14ac:dyDescent="0.25">
      <c r="A652" s="82"/>
      <c r="B652" s="82"/>
      <c r="C652" s="82"/>
      <c r="D652" s="729"/>
      <c r="E652" s="371" t="s">
        <v>113</v>
      </c>
      <c r="F652" s="372">
        <v>60</v>
      </c>
      <c r="G652" s="373">
        <v>4</v>
      </c>
      <c r="H652" s="374">
        <v>16</v>
      </c>
      <c r="I652" s="375">
        <v>3.98</v>
      </c>
      <c r="J652" s="376">
        <f t="shared" ref="J652" si="75">G652*I652</f>
        <v>15.92</v>
      </c>
      <c r="K652" s="66">
        <f t="shared" si="66"/>
        <v>0</v>
      </c>
      <c r="L652" s="63">
        <f t="shared" si="67"/>
        <v>0</v>
      </c>
      <c r="M652" s="63">
        <f t="shared" si="68"/>
        <v>0</v>
      </c>
      <c r="N652" s="63">
        <f t="shared" si="69"/>
        <v>0</v>
      </c>
      <c r="O652" s="63">
        <f t="shared" si="70"/>
        <v>0</v>
      </c>
      <c r="P652" s="63">
        <f t="shared" si="71"/>
        <v>25.121760000000002</v>
      </c>
      <c r="Q652" s="561">
        <f t="shared" si="73"/>
        <v>0</v>
      </c>
      <c r="R652" s="174"/>
      <c r="T652" s="82"/>
      <c r="U652" s="82"/>
      <c r="V652" s="82"/>
      <c r="W652" s="82"/>
      <c r="X652" s="82"/>
      <c r="Y652" s="82"/>
      <c r="Z652" s="82"/>
      <c r="AA652" s="82"/>
      <c r="AB652" s="82"/>
    </row>
    <row r="653" spans="1:28" s="85" customFormat="1" x14ac:dyDescent="0.25">
      <c r="A653" s="82"/>
      <c r="B653" s="82"/>
      <c r="C653" s="82"/>
      <c r="D653" s="729"/>
      <c r="E653" s="396" t="s">
        <v>184</v>
      </c>
      <c r="F653" s="403">
        <v>2</v>
      </c>
      <c r="G653" s="397">
        <v>6</v>
      </c>
      <c r="H653" s="398">
        <v>5</v>
      </c>
      <c r="I653" s="399">
        <v>0.97</v>
      </c>
      <c r="J653" s="400">
        <f t="shared" si="65"/>
        <v>5.82</v>
      </c>
      <c r="K653" s="401">
        <f t="shared" si="66"/>
        <v>0.89628000000000008</v>
      </c>
      <c r="L653" s="196">
        <f t="shared" si="67"/>
        <v>0</v>
      </c>
      <c r="M653" s="196">
        <f t="shared" si="68"/>
        <v>0</v>
      </c>
      <c r="N653" s="196">
        <f t="shared" si="69"/>
        <v>0</v>
      </c>
      <c r="O653" s="196">
        <f t="shared" si="70"/>
        <v>0</v>
      </c>
      <c r="P653" s="196">
        <f t="shared" si="71"/>
        <v>0</v>
      </c>
      <c r="Q653" s="566">
        <f t="shared" si="73"/>
        <v>0</v>
      </c>
      <c r="R653" s="538"/>
      <c r="T653" s="82"/>
      <c r="U653" s="82"/>
      <c r="V653" s="82"/>
      <c r="W653" s="82"/>
      <c r="X653" s="82"/>
      <c r="Y653" s="82"/>
      <c r="Z653" s="82"/>
      <c r="AA653" s="82"/>
      <c r="AB653" s="82"/>
    </row>
    <row r="654" spans="1:28" s="85" customFormat="1" x14ac:dyDescent="0.25">
      <c r="A654" s="82"/>
      <c r="B654" s="82"/>
      <c r="C654" s="82"/>
      <c r="D654" s="729"/>
      <c r="E654" s="371" t="s">
        <v>184</v>
      </c>
      <c r="F654" s="372">
        <v>3</v>
      </c>
      <c r="G654" s="373">
        <v>2</v>
      </c>
      <c r="H654" s="374">
        <v>5</v>
      </c>
      <c r="I654" s="375">
        <v>0.64</v>
      </c>
      <c r="J654" s="376">
        <f t="shared" si="65"/>
        <v>1.28</v>
      </c>
      <c r="K654" s="66">
        <f t="shared" si="66"/>
        <v>0.19711999999999999</v>
      </c>
      <c r="L654" s="63">
        <f t="shared" si="67"/>
        <v>0</v>
      </c>
      <c r="M654" s="63">
        <f t="shared" si="68"/>
        <v>0</v>
      </c>
      <c r="N654" s="63">
        <f t="shared" si="69"/>
        <v>0</v>
      </c>
      <c r="O654" s="63">
        <f t="shared" si="70"/>
        <v>0</v>
      </c>
      <c r="P654" s="63">
        <f t="shared" si="71"/>
        <v>0</v>
      </c>
      <c r="Q654" s="562">
        <f t="shared" si="73"/>
        <v>0</v>
      </c>
      <c r="R654" s="377"/>
      <c r="T654" s="82"/>
      <c r="U654" s="82"/>
      <c r="V654" s="82"/>
      <c r="W654" s="82"/>
      <c r="X654" s="82"/>
      <c r="Y654" s="82"/>
      <c r="Z654" s="82"/>
      <c r="AA654" s="82"/>
      <c r="AB654" s="82"/>
    </row>
    <row r="655" spans="1:28" s="85" customFormat="1" x14ac:dyDescent="0.25">
      <c r="A655" s="82"/>
      <c r="B655" s="82"/>
      <c r="C655" s="82"/>
      <c r="D655" s="729"/>
      <c r="E655" s="371" t="s">
        <v>184</v>
      </c>
      <c r="F655" s="372">
        <v>20</v>
      </c>
      <c r="G655" s="373">
        <v>14</v>
      </c>
      <c r="H655" s="374">
        <v>5</v>
      </c>
      <c r="I655" s="375">
        <v>0.24</v>
      </c>
      <c r="J655" s="376">
        <f t="shared" si="65"/>
        <v>3.36</v>
      </c>
      <c r="K655" s="66">
        <f t="shared" si="66"/>
        <v>0.51744000000000001</v>
      </c>
      <c r="L655" s="63">
        <f t="shared" si="67"/>
        <v>0</v>
      </c>
      <c r="M655" s="63">
        <f t="shared" si="68"/>
        <v>0</v>
      </c>
      <c r="N655" s="63">
        <f t="shared" si="69"/>
        <v>0</v>
      </c>
      <c r="O655" s="63">
        <f t="shared" si="70"/>
        <v>0</v>
      </c>
      <c r="P655" s="63">
        <f t="shared" si="71"/>
        <v>0</v>
      </c>
      <c r="Q655" s="562">
        <f t="shared" si="73"/>
        <v>0</v>
      </c>
      <c r="R655" s="377"/>
      <c r="T655" s="82"/>
      <c r="U655" s="82"/>
      <c r="V655" s="82"/>
      <c r="W655" s="82"/>
      <c r="X655" s="82"/>
      <c r="Y655" s="82"/>
      <c r="Z655" s="82"/>
      <c r="AA655" s="82"/>
      <c r="AB655" s="82"/>
    </row>
    <row r="656" spans="1:28" s="85" customFormat="1" ht="13.8" thickBot="1" x14ac:dyDescent="0.3">
      <c r="A656" s="82"/>
      <c r="B656" s="82"/>
      <c r="C656" s="82"/>
      <c r="D656" s="731"/>
      <c r="E656" s="390" t="s">
        <v>184</v>
      </c>
      <c r="F656" s="391">
        <v>59</v>
      </c>
      <c r="G656" s="392">
        <v>8</v>
      </c>
      <c r="H656" s="393">
        <v>16</v>
      </c>
      <c r="I656" s="394">
        <v>1.02</v>
      </c>
      <c r="J656" s="395">
        <f t="shared" si="65"/>
        <v>8.16</v>
      </c>
      <c r="K656" s="221">
        <f t="shared" si="66"/>
        <v>0</v>
      </c>
      <c r="L656" s="222">
        <f t="shared" si="67"/>
        <v>0</v>
      </c>
      <c r="M656" s="222">
        <f t="shared" si="68"/>
        <v>0</v>
      </c>
      <c r="N656" s="222">
        <f t="shared" si="69"/>
        <v>0</v>
      </c>
      <c r="O656" s="222">
        <f t="shared" si="70"/>
        <v>0</v>
      </c>
      <c r="P656" s="222">
        <f t="shared" si="71"/>
        <v>12.876480000000001</v>
      </c>
      <c r="Q656" s="564">
        <f t="shared" si="73"/>
        <v>0</v>
      </c>
      <c r="R656" s="539"/>
      <c r="T656" s="82"/>
      <c r="U656" s="82"/>
      <c r="V656" s="82"/>
      <c r="W656" s="82"/>
      <c r="X656" s="82"/>
      <c r="Y656" s="82"/>
      <c r="Z656" s="82"/>
      <c r="AA656" s="82"/>
      <c r="AB656" s="82"/>
    </row>
    <row r="657" spans="1:28" s="85" customFormat="1" ht="13.8" thickTop="1" x14ac:dyDescent="0.25">
      <c r="A657" s="82"/>
      <c r="B657" s="82"/>
      <c r="C657" s="82"/>
      <c r="D657" s="728" t="s">
        <v>1471</v>
      </c>
      <c r="E657" s="384" t="s">
        <v>49</v>
      </c>
      <c r="F657" s="385">
        <v>1</v>
      </c>
      <c r="G657" s="386">
        <f>2*18</f>
        <v>36</v>
      </c>
      <c r="H657" s="387">
        <v>5</v>
      </c>
      <c r="I657" s="388">
        <v>0.24</v>
      </c>
      <c r="J657" s="389">
        <f t="shared" si="65"/>
        <v>8.64</v>
      </c>
      <c r="K657" s="218">
        <f t="shared" si="66"/>
        <v>1.33056</v>
      </c>
      <c r="L657" s="219">
        <f t="shared" si="67"/>
        <v>0</v>
      </c>
      <c r="M657" s="219">
        <f t="shared" si="68"/>
        <v>0</v>
      </c>
      <c r="N657" s="219">
        <f t="shared" si="69"/>
        <v>0</v>
      </c>
      <c r="O657" s="219">
        <f t="shared" si="70"/>
        <v>0</v>
      </c>
      <c r="P657" s="219">
        <f t="shared" si="71"/>
        <v>0</v>
      </c>
      <c r="Q657" s="563">
        <f t="shared" ref="Q657:Q699" si="76">IF($H657=20,$J657*$B$28,0)</f>
        <v>0</v>
      </c>
      <c r="R657" s="220"/>
      <c r="T657" s="82"/>
      <c r="U657" s="82"/>
      <c r="V657" s="82"/>
      <c r="W657" s="82"/>
      <c r="X657" s="82"/>
      <c r="Y657" s="82"/>
      <c r="Z657" s="82"/>
      <c r="AA657" s="82"/>
      <c r="AB657" s="82"/>
    </row>
    <row r="658" spans="1:28" s="85" customFormat="1" x14ac:dyDescent="0.25">
      <c r="A658" s="82"/>
      <c r="B658" s="82"/>
      <c r="C658" s="82"/>
      <c r="D658" s="729"/>
      <c r="E658" s="371" t="s">
        <v>49</v>
      </c>
      <c r="F658" s="372">
        <v>2</v>
      </c>
      <c r="G658" s="373">
        <f>2*8</f>
        <v>16</v>
      </c>
      <c r="H658" s="374">
        <v>5</v>
      </c>
      <c r="I658" s="375">
        <v>1.19</v>
      </c>
      <c r="J658" s="376">
        <f t="shared" si="65"/>
        <v>19.04</v>
      </c>
      <c r="K658" s="66">
        <f t="shared" si="66"/>
        <v>2.9321599999999997</v>
      </c>
      <c r="L658" s="63">
        <f t="shared" si="67"/>
        <v>0</v>
      </c>
      <c r="M658" s="63">
        <f t="shared" si="68"/>
        <v>0</v>
      </c>
      <c r="N658" s="63">
        <f t="shared" si="69"/>
        <v>0</v>
      </c>
      <c r="O658" s="63">
        <f t="shared" si="70"/>
        <v>0</v>
      </c>
      <c r="P658" s="63">
        <f t="shared" si="71"/>
        <v>0</v>
      </c>
      <c r="Q658" s="561">
        <f t="shared" si="76"/>
        <v>0</v>
      </c>
      <c r="R658" s="174"/>
      <c r="T658" s="82"/>
      <c r="U658" s="82"/>
      <c r="V658" s="82"/>
      <c r="W658" s="82"/>
      <c r="X658" s="82"/>
      <c r="Y658" s="82"/>
      <c r="Z658" s="82"/>
      <c r="AA658" s="82"/>
      <c r="AB658" s="82"/>
    </row>
    <row r="659" spans="1:28" s="85" customFormat="1" x14ac:dyDescent="0.25">
      <c r="A659" s="82"/>
      <c r="B659" s="82"/>
      <c r="C659" s="82"/>
      <c r="D659" s="729"/>
      <c r="E659" s="371" t="s">
        <v>49</v>
      </c>
      <c r="F659" s="372">
        <v>3</v>
      </c>
      <c r="G659" s="373">
        <f>2*5</f>
        <v>10</v>
      </c>
      <c r="H659" s="374">
        <v>5</v>
      </c>
      <c r="I659" s="375">
        <v>2.0699999999999998</v>
      </c>
      <c r="J659" s="376">
        <f t="shared" si="65"/>
        <v>20.7</v>
      </c>
      <c r="K659" s="66">
        <f t="shared" si="66"/>
        <v>3.1877999999999997</v>
      </c>
      <c r="L659" s="63">
        <f t="shared" si="67"/>
        <v>0</v>
      </c>
      <c r="M659" s="63">
        <f t="shared" si="68"/>
        <v>0</v>
      </c>
      <c r="N659" s="63">
        <f t="shared" si="69"/>
        <v>0</v>
      </c>
      <c r="O659" s="63">
        <f t="shared" si="70"/>
        <v>0</v>
      </c>
      <c r="P659" s="63">
        <f t="shared" si="71"/>
        <v>0</v>
      </c>
      <c r="Q659" s="561">
        <f t="shared" si="76"/>
        <v>0</v>
      </c>
      <c r="R659" s="174"/>
      <c r="T659" s="82"/>
      <c r="U659" s="82"/>
      <c r="V659" s="82"/>
      <c r="W659" s="82"/>
      <c r="X659" s="82"/>
      <c r="Y659" s="82"/>
      <c r="Z659" s="82"/>
      <c r="AA659" s="82"/>
      <c r="AB659" s="82"/>
    </row>
    <row r="660" spans="1:28" s="85" customFormat="1" x14ac:dyDescent="0.25">
      <c r="A660" s="82"/>
      <c r="B660" s="82"/>
      <c r="C660" s="82"/>
      <c r="D660" s="729"/>
      <c r="E660" s="371" t="s">
        <v>49</v>
      </c>
      <c r="F660" s="372">
        <v>9</v>
      </c>
      <c r="G660" s="373">
        <f>2*8</f>
        <v>16</v>
      </c>
      <c r="H660" s="374">
        <v>10</v>
      </c>
      <c r="I660" s="375">
        <v>1.47</v>
      </c>
      <c r="J660" s="376">
        <f t="shared" si="65"/>
        <v>23.52</v>
      </c>
      <c r="K660" s="66">
        <f t="shared" si="66"/>
        <v>0</v>
      </c>
      <c r="L660" s="63">
        <f t="shared" si="67"/>
        <v>0</v>
      </c>
      <c r="M660" s="63">
        <f t="shared" si="68"/>
        <v>0</v>
      </c>
      <c r="N660" s="63">
        <f t="shared" si="69"/>
        <v>14.511839999999999</v>
      </c>
      <c r="O660" s="63">
        <f t="shared" si="70"/>
        <v>0</v>
      </c>
      <c r="P660" s="63">
        <f t="shared" si="71"/>
        <v>0</v>
      </c>
      <c r="Q660" s="561">
        <f t="shared" si="76"/>
        <v>0</v>
      </c>
      <c r="R660" s="174"/>
      <c r="T660" s="82"/>
      <c r="U660" s="82"/>
      <c r="V660" s="82"/>
      <c r="W660" s="82"/>
      <c r="X660" s="82"/>
      <c r="Y660" s="82"/>
      <c r="Z660" s="82"/>
      <c r="AA660" s="82"/>
      <c r="AB660" s="82"/>
    </row>
    <row r="661" spans="1:28" s="85" customFormat="1" x14ac:dyDescent="0.25">
      <c r="A661" s="82"/>
      <c r="B661" s="82"/>
      <c r="C661" s="82"/>
      <c r="D661" s="729"/>
      <c r="E661" s="371" t="s">
        <v>113</v>
      </c>
      <c r="F661" s="372">
        <v>1</v>
      </c>
      <c r="G661" s="373">
        <f>2*60</f>
        <v>120</v>
      </c>
      <c r="H661" s="374">
        <v>5</v>
      </c>
      <c r="I661" s="375">
        <v>0.24</v>
      </c>
      <c r="J661" s="376">
        <f t="shared" si="65"/>
        <v>28.799999999999997</v>
      </c>
      <c r="K661" s="66">
        <f t="shared" si="66"/>
        <v>4.4351999999999991</v>
      </c>
      <c r="L661" s="63">
        <f t="shared" si="67"/>
        <v>0</v>
      </c>
      <c r="M661" s="63">
        <f t="shared" si="68"/>
        <v>0</v>
      </c>
      <c r="N661" s="63">
        <f t="shared" si="69"/>
        <v>0</v>
      </c>
      <c r="O661" s="63">
        <f t="shared" si="70"/>
        <v>0</v>
      </c>
      <c r="P661" s="63">
        <f t="shared" si="71"/>
        <v>0</v>
      </c>
      <c r="Q661" s="561">
        <f t="shared" si="76"/>
        <v>0</v>
      </c>
      <c r="R661" s="174"/>
      <c r="T661" s="82"/>
      <c r="U661" s="82"/>
      <c r="V661" s="82"/>
      <c r="W661" s="82"/>
      <c r="X661" s="82"/>
      <c r="Y661" s="82"/>
      <c r="Z661" s="82"/>
      <c r="AA661" s="82"/>
      <c r="AB661" s="82"/>
    </row>
    <row r="662" spans="1:28" s="85" customFormat="1" x14ac:dyDescent="0.25">
      <c r="A662" s="82"/>
      <c r="B662" s="82"/>
      <c r="C662" s="82"/>
      <c r="D662" s="729"/>
      <c r="E662" s="371" t="s">
        <v>113</v>
      </c>
      <c r="F662" s="372">
        <v>2</v>
      </c>
      <c r="G662" s="373">
        <f>2*25</f>
        <v>50</v>
      </c>
      <c r="H662" s="374">
        <v>5</v>
      </c>
      <c r="I662" s="375">
        <v>2.0699999999999998</v>
      </c>
      <c r="J662" s="376">
        <f t="shared" si="65"/>
        <v>103.49999999999999</v>
      </c>
      <c r="K662" s="66">
        <f t="shared" si="66"/>
        <v>15.938999999999998</v>
      </c>
      <c r="L662" s="63">
        <f t="shared" si="67"/>
        <v>0</v>
      </c>
      <c r="M662" s="63">
        <f t="shared" si="68"/>
        <v>0</v>
      </c>
      <c r="N662" s="63">
        <f t="shared" si="69"/>
        <v>0</v>
      </c>
      <c r="O662" s="63">
        <f t="shared" si="70"/>
        <v>0</v>
      </c>
      <c r="P662" s="63">
        <f t="shared" si="71"/>
        <v>0</v>
      </c>
      <c r="Q662" s="561">
        <f t="shared" si="76"/>
        <v>0</v>
      </c>
      <c r="R662" s="174"/>
      <c r="T662" s="82"/>
      <c r="U662" s="82"/>
      <c r="V662" s="82"/>
      <c r="W662" s="82"/>
      <c r="X662" s="82"/>
      <c r="Y662" s="82"/>
      <c r="Z662" s="82"/>
      <c r="AA662" s="82"/>
      <c r="AB662" s="82"/>
    </row>
    <row r="663" spans="1:28" s="85" customFormat="1" x14ac:dyDescent="0.25">
      <c r="A663" s="82"/>
      <c r="B663" s="82"/>
      <c r="C663" s="82"/>
      <c r="D663" s="729"/>
      <c r="E663" s="371" t="s">
        <v>113</v>
      </c>
      <c r="F663" s="372">
        <v>3</v>
      </c>
      <c r="G663" s="373">
        <f>2*10</f>
        <v>20</v>
      </c>
      <c r="H663" s="374">
        <v>5</v>
      </c>
      <c r="I663" s="375">
        <v>1.19</v>
      </c>
      <c r="J663" s="376">
        <f t="shared" si="65"/>
        <v>23.799999999999997</v>
      </c>
      <c r="K663" s="66">
        <f t="shared" si="66"/>
        <v>3.6651999999999996</v>
      </c>
      <c r="L663" s="63">
        <f t="shared" si="67"/>
        <v>0</v>
      </c>
      <c r="M663" s="63">
        <f t="shared" si="68"/>
        <v>0</v>
      </c>
      <c r="N663" s="63">
        <f t="shared" si="69"/>
        <v>0</v>
      </c>
      <c r="O663" s="63">
        <f t="shared" si="70"/>
        <v>0</v>
      </c>
      <c r="P663" s="63">
        <f t="shared" si="71"/>
        <v>0</v>
      </c>
      <c r="Q663" s="561">
        <f t="shared" si="76"/>
        <v>0</v>
      </c>
      <c r="R663" s="174"/>
      <c r="T663" s="82"/>
      <c r="U663" s="82"/>
      <c r="V663" s="82"/>
      <c r="W663" s="82"/>
      <c r="X663" s="82"/>
      <c r="Y663" s="82"/>
      <c r="Z663" s="82"/>
      <c r="AA663" s="82"/>
      <c r="AB663" s="82"/>
    </row>
    <row r="664" spans="1:28" s="85" customFormat="1" x14ac:dyDescent="0.25">
      <c r="A664" s="82"/>
      <c r="B664" s="82"/>
      <c r="C664" s="82"/>
      <c r="D664" s="729"/>
      <c r="E664" s="371" t="s">
        <v>113</v>
      </c>
      <c r="F664" s="372">
        <v>25</v>
      </c>
      <c r="G664" s="373">
        <f>2*4</f>
        <v>8</v>
      </c>
      <c r="H664" s="374">
        <v>10</v>
      </c>
      <c r="I664" s="375">
        <v>3.42</v>
      </c>
      <c r="J664" s="376">
        <f t="shared" si="65"/>
        <v>27.36</v>
      </c>
      <c r="K664" s="66">
        <f t="shared" si="66"/>
        <v>0</v>
      </c>
      <c r="L664" s="63">
        <f t="shared" si="67"/>
        <v>0</v>
      </c>
      <c r="M664" s="63">
        <f t="shared" si="68"/>
        <v>0</v>
      </c>
      <c r="N664" s="63">
        <f t="shared" si="69"/>
        <v>16.881119999999999</v>
      </c>
      <c r="O664" s="63">
        <f t="shared" si="70"/>
        <v>0</v>
      </c>
      <c r="P664" s="63">
        <f t="shared" si="71"/>
        <v>0</v>
      </c>
      <c r="Q664" s="561">
        <f t="shared" si="76"/>
        <v>0</v>
      </c>
      <c r="R664" s="174"/>
      <c r="T664" s="82"/>
      <c r="U664" s="82"/>
      <c r="V664" s="82"/>
      <c r="W664" s="82"/>
      <c r="X664" s="82"/>
      <c r="Y664" s="82"/>
      <c r="Z664" s="82"/>
      <c r="AA664" s="82"/>
      <c r="AB664" s="82"/>
    </row>
    <row r="665" spans="1:28" s="85" customFormat="1" x14ac:dyDescent="0.25">
      <c r="A665" s="82"/>
      <c r="B665" s="82"/>
      <c r="C665" s="82"/>
      <c r="D665" s="729"/>
      <c r="E665" s="371" t="s">
        <v>113</v>
      </c>
      <c r="F665" s="372">
        <v>26</v>
      </c>
      <c r="G665" s="373">
        <f>2*4</f>
        <v>8</v>
      </c>
      <c r="H665" s="374">
        <v>10</v>
      </c>
      <c r="I665" s="375">
        <v>0.67</v>
      </c>
      <c r="J665" s="376">
        <f t="shared" ref="J665" si="77">G665*I665</f>
        <v>5.36</v>
      </c>
      <c r="K665" s="66">
        <f t="shared" si="66"/>
        <v>0</v>
      </c>
      <c r="L665" s="63">
        <f t="shared" si="67"/>
        <v>0</v>
      </c>
      <c r="M665" s="63">
        <f t="shared" si="68"/>
        <v>0</v>
      </c>
      <c r="N665" s="63">
        <f t="shared" si="69"/>
        <v>3.3071200000000003</v>
      </c>
      <c r="O665" s="63">
        <f t="shared" si="70"/>
        <v>0</v>
      </c>
      <c r="P665" s="63">
        <f t="shared" si="71"/>
        <v>0</v>
      </c>
      <c r="Q665" s="561">
        <f t="shared" si="76"/>
        <v>0</v>
      </c>
      <c r="R665" s="174"/>
      <c r="T665" s="82"/>
      <c r="U665" s="82"/>
      <c r="V665" s="82"/>
      <c r="W665" s="82"/>
      <c r="X665" s="82"/>
      <c r="Y665" s="82"/>
      <c r="Z665" s="82"/>
      <c r="AA665" s="82"/>
      <c r="AB665" s="82"/>
    </row>
    <row r="666" spans="1:28" s="85" customFormat="1" x14ac:dyDescent="0.25">
      <c r="A666" s="82"/>
      <c r="B666" s="82"/>
      <c r="C666" s="82"/>
      <c r="D666" s="729"/>
      <c r="E666" s="371" t="s">
        <v>113</v>
      </c>
      <c r="F666" s="372">
        <v>27</v>
      </c>
      <c r="G666" s="373">
        <f>2*4</f>
        <v>8</v>
      </c>
      <c r="H666" s="374">
        <v>10</v>
      </c>
      <c r="I666" s="375">
        <v>3.78</v>
      </c>
      <c r="J666" s="376">
        <f t="shared" si="65"/>
        <v>30.24</v>
      </c>
      <c r="K666" s="66">
        <f t="shared" si="66"/>
        <v>0</v>
      </c>
      <c r="L666" s="63">
        <f t="shared" si="67"/>
        <v>0</v>
      </c>
      <c r="M666" s="63">
        <f t="shared" si="68"/>
        <v>0</v>
      </c>
      <c r="N666" s="63">
        <f t="shared" si="69"/>
        <v>18.658079999999998</v>
      </c>
      <c r="O666" s="63">
        <f t="shared" si="70"/>
        <v>0</v>
      </c>
      <c r="P666" s="63">
        <f t="shared" si="71"/>
        <v>0</v>
      </c>
      <c r="Q666" s="561">
        <f t="shared" si="76"/>
        <v>0</v>
      </c>
      <c r="R666" s="174"/>
      <c r="T666" s="82"/>
      <c r="U666" s="82"/>
      <c r="V666" s="82"/>
      <c r="W666" s="82"/>
      <c r="X666" s="82"/>
      <c r="Y666" s="82"/>
      <c r="Z666" s="82"/>
      <c r="AA666" s="82"/>
      <c r="AB666" s="82"/>
    </row>
    <row r="667" spans="1:28" s="85" customFormat="1" x14ac:dyDescent="0.25">
      <c r="A667" s="82"/>
      <c r="B667" s="82"/>
      <c r="C667" s="82"/>
      <c r="D667" s="729"/>
      <c r="E667" s="396" t="s">
        <v>184</v>
      </c>
      <c r="F667" s="403">
        <v>1</v>
      </c>
      <c r="G667" s="397">
        <f>2*20</f>
        <v>40</v>
      </c>
      <c r="H667" s="398">
        <v>5</v>
      </c>
      <c r="I667" s="399">
        <v>0.24</v>
      </c>
      <c r="J667" s="400">
        <f t="shared" si="65"/>
        <v>9.6</v>
      </c>
      <c r="K667" s="401">
        <f t="shared" si="66"/>
        <v>1.4783999999999999</v>
      </c>
      <c r="L667" s="196">
        <f t="shared" si="67"/>
        <v>0</v>
      </c>
      <c r="M667" s="196">
        <f t="shared" si="68"/>
        <v>0</v>
      </c>
      <c r="N667" s="196">
        <f t="shared" si="69"/>
        <v>0</v>
      </c>
      <c r="O667" s="196">
        <f t="shared" si="70"/>
        <v>0</v>
      </c>
      <c r="P667" s="196">
        <f t="shared" si="71"/>
        <v>0</v>
      </c>
      <c r="Q667" s="566">
        <f t="shared" si="76"/>
        <v>0</v>
      </c>
      <c r="R667" s="538"/>
      <c r="T667" s="82"/>
      <c r="U667" s="82"/>
      <c r="V667" s="82"/>
      <c r="W667" s="82"/>
      <c r="X667" s="82"/>
      <c r="Y667" s="82"/>
      <c r="Z667" s="82"/>
      <c r="AA667" s="82"/>
      <c r="AB667" s="82"/>
    </row>
    <row r="668" spans="1:28" s="85" customFormat="1" x14ac:dyDescent="0.25">
      <c r="A668" s="82"/>
      <c r="B668" s="82"/>
      <c r="C668" s="82"/>
      <c r="D668" s="729"/>
      <c r="E668" s="371" t="s">
        <v>184</v>
      </c>
      <c r="F668" s="372">
        <v>2</v>
      </c>
      <c r="G668" s="373">
        <f>2*8</f>
        <v>16</v>
      </c>
      <c r="H668" s="374">
        <v>5</v>
      </c>
      <c r="I668" s="375">
        <v>0.97</v>
      </c>
      <c r="J668" s="376">
        <f t="shared" si="65"/>
        <v>15.52</v>
      </c>
      <c r="K668" s="66">
        <f t="shared" si="66"/>
        <v>2.3900799999999998</v>
      </c>
      <c r="L668" s="63">
        <f t="shared" si="67"/>
        <v>0</v>
      </c>
      <c r="M668" s="63">
        <f t="shared" si="68"/>
        <v>0</v>
      </c>
      <c r="N668" s="63">
        <f t="shared" si="69"/>
        <v>0</v>
      </c>
      <c r="O668" s="63">
        <f t="shared" si="70"/>
        <v>0</v>
      </c>
      <c r="P668" s="63">
        <f t="shared" si="71"/>
        <v>0</v>
      </c>
      <c r="Q668" s="562">
        <f t="shared" si="76"/>
        <v>0</v>
      </c>
      <c r="R668" s="377"/>
      <c r="T668" s="82"/>
      <c r="U668" s="82"/>
      <c r="V668" s="82"/>
      <c r="W668" s="82"/>
      <c r="X668" s="82"/>
      <c r="Y668" s="82"/>
      <c r="Z668" s="82"/>
      <c r="AA668" s="82"/>
      <c r="AB668" s="82"/>
    </row>
    <row r="669" spans="1:28" s="85" customFormat="1" x14ac:dyDescent="0.25">
      <c r="A669" s="82"/>
      <c r="B669" s="82"/>
      <c r="C669" s="82"/>
      <c r="D669" s="729"/>
      <c r="E669" s="371" t="s">
        <v>184</v>
      </c>
      <c r="F669" s="372">
        <v>3</v>
      </c>
      <c r="G669" s="373">
        <f>2*4</f>
        <v>8</v>
      </c>
      <c r="H669" s="374">
        <v>5</v>
      </c>
      <c r="I669" s="375">
        <v>0.64</v>
      </c>
      <c r="J669" s="376">
        <f t="shared" si="65"/>
        <v>5.12</v>
      </c>
      <c r="K669" s="66">
        <f t="shared" si="66"/>
        <v>0.78847999999999996</v>
      </c>
      <c r="L669" s="63">
        <f t="shared" si="67"/>
        <v>0</v>
      </c>
      <c r="M669" s="63">
        <f t="shared" si="68"/>
        <v>0</v>
      </c>
      <c r="N669" s="63">
        <f t="shared" si="69"/>
        <v>0</v>
      </c>
      <c r="O669" s="63">
        <f t="shared" si="70"/>
        <v>0</v>
      </c>
      <c r="P669" s="63">
        <f t="shared" si="71"/>
        <v>0</v>
      </c>
      <c r="Q669" s="562">
        <f t="shared" si="76"/>
        <v>0</v>
      </c>
      <c r="R669" s="377"/>
      <c r="T669" s="82"/>
      <c r="U669" s="82"/>
      <c r="V669" s="82"/>
      <c r="W669" s="82"/>
      <c r="X669" s="82"/>
      <c r="Y669" s="82"/>
      <c r="Z669" s="82"/>
      <c r="AA669" s="82"/>
      <c r="AB669" s="82"/>
    </row>
    <row r="670" spans="1:28" s="85" customFormat="1" ht="13.8" thickBot="1" x14ac:dyDescent="0.3">
      <c r="A670" s="82"/>
      <c r="B670" s="82"/>
      <c r="C670" s="82"/>
      <c r="D670" s="731"/>
      <c r="E670" s="390" t="s">
        <v>184</v>
      </c>
      <c r="F670" s="391">
        <v>57</v>
      </c>
      <c r="G670" s="392">
        <f>2*8</f>
        <v>16</v>
      </c>
      <c r="H670" s="393">
        <v>10</v>
      </c>
      <c r="I670" s="394">
        <v>1.02</v>
      </c>
      <c r="J670" s="395">
        <f t="shared" si="65"/>
        <v>16.32</v>
      </c>
      <c r="K670" s="221">
        <f t="shared" si="66"/>
        <v>0</v>
      </c>
      <c r="L670" s="222">
        <f t="shared" si="67"/>
        <v>0</v>
      </c>
      <c r="M670" s="222">
        <f t="shared" si="68"/>
        <v>0</v>
      </c>
      <c r="N670" s="222">
        <f t="shared" si="69"/>
        <v>10.06944</v>
      </c>
      <c r="O670" s="222">
        <f t="shared" si="70"/>
        <v>0</v>
      </c>
      <c r="P670" s="222">
        <f t="shared" si="71"/>
        <v>0</v>
      </c>
      <c r="Q670" s="564">
        <f t="shared" si="76"/>
        <v>0</v>
      </c>
      <c r="R670" s="539"/>
      <c r="T670" s="82"/>
      <c r="U670" s="82"/>
      <c r="V670" s="82"/>
      <c r="W670" s="82"/>
      <c r="X670" s="82"/>
      <c r="Y670" s="82"/>
      <c r="Z670" s="82"/>
      <c r="AA670" s="82"/>
      <c r="AB670" s="82"/>
    </row>
    <row r="671" spans="1:28" s="85" customFormat="1" ht="13.8" thickTop="1" x14ac:dyDescent="0.25">
      <c r="A671" s="82"/>
      <c r="B671" s="82"/>
      <c r="C671" s="82"/>
      <c r="D671" s="728" t="s">
        <v>1472</v>
      </c>
      <c r="E671" s="384" t="s">
        <v>49</v>
      </c>
      <c r="F671" s="385">
        <v>1</v>
      </c>
      <c r="G671" s="386">
        <v>18</v>
      </c>
      <c r="H671" s="387">
        <v>5</v>
      </c>
      <c r="I671" s="388">
        <v>0.24</v>
      </c>
      <c r="J671" s="389">
        <f t="shared" si="65"/>
        <v>4.32</v>
      </c>
      <c r="K671" s="218">
        <f t="shared" si="66"/>
        <v>0.66527999999999998</v>
      </c>
      <c r="L671" s="219">
        <f t="shared" si="67"/>
        <v>0</v>
      </c>
      <c r="M671" s="219">
        <f t="shared" si="68"/>
        <v>0</v>
      </c>
      <c r="N671" s="219">
        <f t="shared" si="69"/>
        <v>0</v>
      </c>
      <c r="O671" s="219">
        <f t="shared" si="70"/>
        <v>0</v>
      </c>
      <c r="P671" s="219">
        <f t="shared" si="71"/>
        <v>0</v>
      </c>
      <c r="Q671" s="563">
        <f t="shared" si="76"/>
        <v>0</v>
      </c>
      <c r="R671" s="220"/>
      <c r="T671" s="82"/>
      <c r="U671" s="82"/>
      <c r="V671" s="82"/>
      <c r="W671" s="82"/>
      <c r="X671" s="82"/>
      <c r="Y671" s="82"/>
      <c r="Z671" s="82"/>
      <c r="AA671" s="82"/>
      <c r="AB671" s="82"/>
    </row>
    <row r="672" spans="1:28" s="85" customFormat="1" x14ac:dyDescent="0.25">
      <c r="A672" s="82"/>
      <c r="B672" s="82"/>
      <c r="C672" s="82"/>
      <c r="D672" s="729"/>
      <c r="E672" s="371" t="s">
        <v>49</v>
      </c>
      <c r="F672" s="372">
        <v>2</v>
      </c>
      <c r="G672" s="373">
        <v>8</v>
      </c>
      <c r="H672" s="374">
        <v>5</v>
      </c>
      <c r="I672" s="375">
        <v>1.19</v>
      </c>
      <c r="J672" s="376">
        <f t="shared" si="65"/>
        <v>9.52</v>
      </c>
      <c r="K672" s="66">
        <f t="shared" si="66"/>
        <v>1.4660799999999998</v>
      </c>
      <c r="L672" s="63">
        <f t="shared" si="67"/>
        <v>0</v>
      </c>
      <c r="M672" s="63">
        <f t="shared" si="68"/>
        <v>0</v>
      </c>
      <c r="N672" s="63">
        <f t="shared" si="69"/>
        <v>0</v>
      </c>
      <c r="O672" s="63">
        <f t="shared" si="70"/>
        <v>0</v>
      </c>
      <c r="P672" s="63">
        <f t="shared" si="71"/>
        <v>0</v>
      </c>
      <c r="Q672" s="561">
        <f t="shared" si="76"/>
        <v>0</v>
      </c>
      <c r="R672" s="174"/>
      <c r="T672" s="82"/>
      <c r="U672" s="82"/>
      <c r="V672" s="82"/>
      <c r="W672" s="82"/>
      <c r="X672" s="82"/>
      <c r="Y672" s="82"/>
      <c r="Z672" s="82"/>
      <c r="AA672" s="82"/>
      <c r="AB672" s="82"/>
    </row>
    <row r="673" spans="1:28" s="85" customFormat="1" x14ac:dyDescent="0.25">
      <c r="A673" s="82"/>
      <c r="B673" s="82"/>
      <c r="C673" s="82"/>
      <c r="D673" s="729"/>
      <c r="E673" s="371" t="s">
        <v>49</v>
      </c>
      <c r="F673" s="372">
        <v>3</v>
      </c>
      <c r="G673" s="373">
        <v>5</v>
      </c>
      <c r="H673" s="374">
        <v>5</v>
      </c>
      <c r="I673" s="375">
        <v>2.0699999999999998</v>
      </c>
      <c r="J673" s="376">
        <f t="shared" si="65"/>
        <v>10.35</v>
      </c>
      <c r="K673" s="66">
        <f t="shared" si="66"/>
        <v>1.5938999999999999</v>
      </c>
      <c r="L673" s="63">
        <f t="shared" si="67"/>
        <v>0</v>
      </c>
      <c r="M673" s="63">
        <f t="shared" si="68"/>
        <v>0</v>
      </c>
      <c r="N673" s="63">
        <f t="shared" si="69"/>
        <v>0</v>
      </c>
      <c r="O673" s="63">
        <f t="shared" si="70"/>
        <v>0</v>
      </c>
      <c r="P673" s="63">
        <f t="shared" si="71"/>
        <v>0</v>
      </c>
      <c r="Q673" s="561">
        <f t="shared" si="76"/>
        <v>0</v>
      </c>
      <c r="R673" s="174"/>
      <c r="T673" s="82"/>
      <c r="U673" s="82"/>
      <c r="V673" s="82"/>
      <c r="W673" s="82"/>
      <c r="X673" s="82"/>
      <c r="Y673" s="82"/>
      <c r="Z673" s="82"/>
      <c r="AA673" s="82"/>
      <c r="AB673" s="82"/>
    </row>
    <row r="674" spans="1:28" s="85" customFormat="1" x14ac:dyDescent="0.25">
      <c r="A674" s="82"/>
      <c r="B674" s="82"/>
      <c r="C674" s="82"/>
      <c r="D674" s="729"/>
      <c r="E674" s="371" t="s">
        <v>49</v>
      </c>
      <c r="F674" s="372">
        <v>9</v>
      </c>
      <c r="G674" s="373">
        <v>8</v>
      </c>
      <c r="H674" s="374">
        <v>10</v>
      </c>
      <c r="I674" s="375">
        <v>1.47</v>
      </c>
      <c r="J674" s="376">
        <f t="shared" si="65"/>
        <v>11.76</v>
      </c>
      <c r="K674" s="66">
        <f t="shared" si="66"/>
        <v>0</v>
      </c>
      <c r="L674" s="63">
        <f t="shared" si="67"/>
        <v>0</v>
      </c>
      <c r="M674" s="63">
        <f t="shared" si="68"/>
        <v>0</v>
      </c>
      <c r="N674" s="63">
        <f t="shared" si="69"/>
        <v>7.2559199999999997</v>
      </c>
      <c r="O674" s="63">
        <f t="shared" si="70"/>
        <v>0</v>
      </c>
      <c r="P674" s="63">
        <f t="shared" si="71"/>
        <v>0</v>
      </c>
      <c r="Q674" s="561">
        <f t="shared" si="76"/>
        <v>0</v>
      </c>
      <c r="R674" s="174"/>
      <c r="T674" s="82"/>
      <c r="U674" s="82"/>
      <c r="V674" s="82"/>
      <c r="W674" s="82"/>
      <c r="X674" s="82"/>
      <c r="Y674" s="82"/>
      <c r="Z674" s="82"/>
      <c r="AA674" s="82"/>
      <c r="AB674" s="82"/>
    </row>
    <row r="675" spans="1:28" s="85" customFormat="1" x14ac:dyDescent="0.25">
      <c r="A675" s="82"/>
      <c r="B675" s="82"/>
      <c r="C675" s="82"/>
      <c r="D675" s="729"/>
      <c r="E675" s="371" t="s">
        <v>113</v>
      </c>
      <c r="F675" s="372">
        <v>1</v>
      </c>
      <c r="G675" s="373">
        <v>60</v>
      </c>
      <c r="H675" s="374">
        <v>5</v>
      </c>
      <c r="I675" s="375">
        <v>0.24</v>
      </c>
      <c r="J675" s="376">
        <f t="shared" si="65"/>
        <v>14.399999999999999</v>
      </c>
      <c r="K675" s="66">
        <f t="shared" si="66"/>
        <v>2.2175999999999996</v>
      </c>
      <c r="L675" s="63">
        <f t="shared" si="67"/>
        <v>0</v>
      </c>
      <c r="M675" s="63">
        <f t="shared" si="68"/>
        <v>0</v>
      </c>
      <c r="N675" s="63">
        <f t="shared" si="69"/>
        <v>0</v>
      </c>
      <c r="O675" s="63">
        <f t="shared" si="70"/>
        <v>0</v>
      </c>
      <c r="P675" s="63">
        <f t="shared" si="71"/>
        <v>0</v>
      </c>
      <c r="Q675" s="561">
        <f t="shared" si="76"/>
        <v>0</v>
      </c>
      <c r="R675" s="174"/>
      <c r="T675" s="82"/>
      <c r="U675" s="82"/>
      <c r="V675" s="578"/>
      <c r="W675" s="82"/>
      <c r="X675" s="82"/>
      <c r="Y675" s="82"/>
      <c r="Z675" s="578"/>
      <c r="AA675" s="82"/>
      <c r="AB675" s="82"/>
    </row>
    <row r="676" spans="1:28" s="85" customFormat="1" x14ac:dyDescent="0.25">
      <c r="A676" s="82"/>
      <c r="B676" s="82"/>
      <c r="C676" s="82"/>
      <c r="D676" s="729"/>
      <c r="E676" s="371" t="s">
        <v>113</v>
      </c>
      <c r="F676" s="372">
        <v>2</v>
      </c>
      <c r="G676" s="373">
        <v>25</v>
      </c>
      <c r="H676" s="374">
        <v>5</v>
      </c>
      <c r="I676" s="375">
        <v>2.0699999999999998</v>
      </c>
      <c r="J676" s="376">
        <f t="shared" si="65"/>
        <v>51.749999999999993</v>
      </c>
      <c r="K676" s="66">
        <f t="shared" si="66"/>
        <v>7.9694999999999991</v>
      </c>
      <c r="L676" s="63">
        <f t="shared" si="67"/>
        <v>0</v>
      </c>
      <c r="M676" s="63">
        <f t="shared" si="68"/>
        <v>0</v>
      </c>
      <c r="N676" s="63">
        <f t="shared" si="69"/>
        <v>0</v>
      </c>
      <c r="O676" s="63">
        <f t="shared" si="70"/>
        <v>0</v>
      </c>
      <c r="P676" s="63">
        <f t="shared" si="71"/>
        <v>0</v>
      </c>
      <c r="Q676" s="561">
        <f t="shared" si="76"/>
        <v>0</v>
      </c>
      <c r="R676" s="174"/>
      <c r="T676" s="82"/>
      <c r="U676" s="82"/>
      <c r="V676" s="82"/>
      <c r="W676" s="82"/>
      <c r="X676" s="82"/>
      <c r="Y676" s="82"/>
      <c r="Z676" s="82"/>
      <c r="AA676" s="82"/>
      <c r="AB676" s="82"/>
    </row>
    <row r="677" spans="1:28" s="85" customFormat="1" x14ac:dyDescent="0.25">
      <c r="A677" s="82"/>
      <c r="B677" s="82"/>
      <c r="C677" s="82"/>
      <c r="D677" s="729"/>
      <c r="E677" s="371" t="s">
        <v>113</v>
      </c>
      <c r="F677" s="372">
        <v>3</v>
      </c>
      <c r="G677" s="373">
        <v>10</v>
      </c>
      <c r="H677" s="374">
        <v>5</v>
      </c>
      <c r="I677" s="375">
        <v>1.19</v>
      </c>
      <c r="J677" s="376">
        <f t="shared" ref="J677:J678" si="78">G677*I677</f>
        <v>11.899999999999999</v>
      </c>
      <c r="K677" s="66">
        <f t="shared" si="66"/>
        <v>1.8325999999999998</v>
      </c>
      <c r="L677" s="63">
        <f t="shared" si="67"/>
        <v>0</v>
      </c>
      <c r="M677" s="63">
        <f t="shared" si="68"/>
        <v>0</v>
      </c>
      <c r="N677" s="63">
        <f t="shared" si="69"/>
        <v>0</v>
      </c>
      <c r="O677" s="63">
        <f t="shared" si="70"/>
        <v>0</v>
      </c>
      <c r="P677" s="63">
        <f t="shared" si="71"/>
        <v>0</v>
      </c>
      <c r="Q677" s="561">
        <f t="shared" si="76"/>
        <v>0</v>
      </c>
      <c r="R677" s="174"/>
      <c r="T677" s="82"/>
      <c r="U677" s="82"/>
      <c r="V677" s="82"/>
      <c r="W677" s="82"/>
      <c r="X677" s="82"/>
      <c r="Y677" s="82"/>
      <c r="Z677" s="82"/>
      <c r="AA677" s="82"/>
      <c r="AB677" s="82"/>
    </row>
    <row r="678" spans="1:28" s="85" customFormat="1" x14ac:dyDescent="0.25">
      <c r="A678" s="82"/>
      <c r="B678" s="82"/>
      <c r="C678" s="82"/>
      <c r="D678" s="729"/>
      <c r="E678" s="371" t="s">
        <v>113</v>
      </c>
      <c r="F678" s="372">
        <v>25</v>
      </c>
      <c r="G678" s="373">
        <v>4</v>
      </c>
      <c r="H678" s="374">
        <v>10</v>
      </c>
      <c r="I678" s="375">
        <v>3.42</v>
      </c>
      <c r="J678" s="376">
        <f t="shared" si="78"/>
        <v>13.68</v>
      </c>
      <c r="K678" s="66">
        <f t="shared" si="66"/>
        <v>0</v>
      </c>
      <c r="L678" s="63">
        <f t="shared" si="67"/>
        <v>0</v>
      </c>
      <c r="M678" s="63">
        <f t="shared" si="68"/>
        <v>0</v>
      </c>
      <c r="N678" s="63">
        <f t="shared" si="69"/>
        <v>8.4405599999999996</v>
      </c>
      <c r="O678" s="63">
        <f t="shared" si="70"/>
        <v>0</v>
      </c>
      <c r="P678" s="63">
        <f t="shared" si="71"/>
        <v>0</v>
      </c>
      <c r="Q678" s="561">
        <f t="shared" si="76"/>
        <v>0</v>
      </c>
      <c r="R678" s="174"/>
      <c r="T678" s="82"/>
      <c r="U678" s="82"/>
      <c r="V678" s="82"/>
      <c r="W678" s="82"/>
      <c r="X678" s="82"/>
      <c r="Y678" s="82"/>
      <c r="Z678" s="82"/>
      <c r="AA678" s="82"/>
      <c r="AB678" s="82"/>
    </row>
    <row r="679" spans="1:28" s="85" customFormat="1" x14ac:dyDescent="0.25">
      <c r="A679" s="82"/>
      <c r="B679" s="82"/>
      <c r="C679" s="82"/>
      <c r="D679" s="729"/>
      <c r="E679" s="371" t="s">
        <v>113</v>
      </c>
      <c r="F679" s="372">
        <v>26</v>
      </c>
      <c r="G679" s="373">
        <v>4</v>
      </c>
      <c r="H679" s="374">
        <v>10</v>
      </c>
      <c r="I679" s="375">
        <v>0.67</v>
      </c>
      <c r="J679" s="376">
        <f t="shared" si="65"/>
        <v>2.68</v>
      </c>
      <c r="K679" s="66">
        <f t="shared" si="66"/>
        <v>0</v>
      </c>
      <c r="L679" s="63">
        <f t="shared" si="67"/>
        <v>0</v>
      </c>
      <c r="M679" s="63">
        <f t="shared" si="68"/>
        <v>0</v>
      </c>
      <c r="N679" s="63">
        <f t="shared" si="69"/>
        <v>1.6535600000000001</v>
      </c>
      <c r="O679" s="63">
        <f t="shared" si="70"/>
        <v>0</v>
      </c>
      <c r="P679" s="63">
        <f t="shared" si="71"/>
        <v>0</v>
      </c>
      <c r="Q679" s="561">
        <f t="shared" si="76"/>
        <v>0</v>
      </c>
      <c r="R679" s="174"/>
      <c r="T679" s="82"/>
      <c r="U679" s="82"/>
      <c r="V679" s="82"/>
      <c r="W679" s="82"/>
      <c r="X679" s="82"/>
      <c r="Y679" s="82"/>
      <c r="Z679" s="82"/>
      <c r="AA679" s="82"/>
      <c r="AB679" s="82"/>
    </row>
    <row r="680" spans="1:28" s="85" customFormat="1" x14ac:dyDescent="0.25">
      <c r="A680" s="82"/>
      <c r="B680" s="82"/>
      <c r="C680" s="82"/>
      <c r="D680" s="729"/>
      <c r="E680" s="371" t="s">
        <v>113</v>
      </c>
      <c r="F680" s="372">
        <v>27</v>
      </c>
      <c r="G680" s="373">
        <v>4</v>
      </c>
      <c r="H680" s="374">
        <v>10</v>
      </c>
      <c r="I680" s="375">
        <v>3.78</v>
      </c>
      <c r="J680" s="376">
        <f t="shared" si="65"/>
        <v>15.12</v>
      </c>
      <c r="K680" s="66">
        <f t="shared" si="66"/>
        <v>0</v>
      </c>
      <c r="L680" s="63">
        <f t="shared" si="67"/>
        <v>0</v>
      </c>
      <c r="M680" s="63">
        <f t="shared" si="68"/>
        <v>0</v>
      </c>
      <c r="N680" s="63">
        <f t="shared" si="69"/>
        <v>9.3290399999999991</v>
      </c>
      <c r="O680" s="63">
        <f t="shared" si="70"/>
        <v>0</v>
      </c>
      <c r="P680" s="63">
        <f t="shared" si="71"/>
        <v>0</v>
      </c>
      <c r="Q680" s="561">
        <f t="shared" si="76"/>
        <v>0</v>
      </c>
      <c r="R680" s="174"/>
      <c r="T680" s="82"/>
      <c r="U680" s="82"/>
      <c r="V680" s="82"/>
      <c r="W680" s="82"/>
      <c r="X680" s="82"/>
      <c r="Y680" s="82"/>
      <c r="Z680" s="82"/>
      <c r="AA680" s="82"/>
      <c r="AB680" s="82"/>
    </row>
    <row r="681" spans="1:28" s="85" customFormat="1" x14ac:dyDescent="0.25">
      <c r="A681" s="82"/>
      <c r="B681" s="82"/>
      <c r="C681" s="82"/>
      <c r="D681" s="729"/>
      <c r="E681" s="396" t="s">
        <v>184</v>
      </c>
      <c r="F681" s="403">
        <v>1</v>
      </c>
      <c r="G681" s="397">
        <v>20</v>
      </c>
      <c r="H681" s="398">
        <v>5</v>
      </c>
      <c r="I681" s="399">
        <v>0.24</v>
      </c>
      <c r="J681" s="400">
        <f t="shared" si="65"/>
        <v>4.8</v>
      </c>
      <c r="K681" s="401">
        <f t="shared" si="66"/>
        <v>0.73919999999999997</v>
      </c>
      <c r="L681" s="196">
        <f t="shared" si="67"/>
        <v>0</v>
      </c>
      <c r="M681" s="196">
        <f t="shared" si="68"/>
        <v>0</v>
      </c>
      <c r="N681" s="196">
        <f t="shared" si="69"/>
        <v>0</v>
      </c>
      <c r="O681" s="196">
        <f t="shared" si="70"/>
        <v>0</v>
      </c>
      <c r="P681" s="196">
        <f t="shared" si="71"/>
        <v>0</v>
      </c>
      <c r="Q681" s="566">
        <f t="shared" si="76"/>
        <v>0</v>
      </c>
      <c r="R681" s="538"/>
      <c r="T681" s="82"/>
      <c r="U681" s="82"/>
      <c r="V681" s="82"/>
      <c r="W681" s="82"/>
      <c r="X681" s="82"/>
      <c r="Y681" s="82"/>
      <c r="Z681" s="82"/>
      <c r="AA681" s="82"/>
      <c r="AB681" s="82"/>
    </row>
    <row r="682" spans="1:28" s="85" customFormat="1" x14ac:dyDescent="0.25">
      <c r="A682" s="82"/>
      <c r="B682" s="82"/>
      <c r="C682" s="82"/>
      <c r="D682" s="729"/>
      <c r="E682" s="371" t="s">
        <v>184</v>
      </c>
      <c r="F682" s="372">
        <v>2</v>
      </c>
      <c r="G682" s="373">
        <v>8</v>
      </c>
      <c r="H682" s="374">
        <v>5</v>
      </c>
      <c r="I682" s="375">
        <v>0.97</v>
      </c>
      <c r="J682" s="376">
        <f t="shared" si="65"/>
        <v>7.76</v>
      </c>
      <c r="K682" s="66">
        <f t="shared" si="66"/>
        <v>1.1950399999999999</v>
      </c>
      <c r="L682" s="63">
        <f t="shared" si="67"/>
        <v>0</v>
      </c>
      <c r="M682" s="63">
        <f t="shared" si="68"/>
        <v>0</v>
      </c>
      <c r="N682" s="63">
        <f t="shared" si="69"/>
        <v>0</v>
      </c>
      <c r="O682" s="63">
        <f t="shared" si="70"/>
        <v>0</v>
      </c>
      <c r="P682" s="63">
        <f t="shared" si="71"/>
        <v>0</v>
      </c>
      <c r="Q682" s="562">
        <f t="shared" si="76"/>
        <v>0</v>
      </c>
      <c r="R682" s="377"/>
      <c r="T682" s="82"/>
      <c r="U682" s="82"/>
      <c r="V682" s="82"/>
      <c r="W682" s="82"/>
      <c r="X682" s="82"/>
      <c r="Y682" s="82"/>
      <c r="Z682" s="82"/>
      <c r="AA682" s="82"/>
      <c r="AB682" s="82"/>
    </row>
    <row r="683" spans="1:28" s="85" customFormat="1" x14ac:dyDescent="0.25">
      <c r="A683" s="82"/>
      <c r="B683" s="82"/>
      <c r="C683" s="82"/>
      <c r="D683" s="729"/>
      <c r="E683" s="371" t="s">
        <v>184</v>
      </c>
      <c r="F683" s="372">
        <v>3</v>
      </c>
      <c r="G683" s="373">
        <v>4</v>
      </c>
      <c r="H683" s="374">
        <v>5</v>
      </c>
      <c r="I683" s="375">
        <v>0.64</v>
      </c>
      <c r="J683" s="376">
        <f t="shared" si="65"/>
        <v>2.56</v>
      </c>
      <c r="K683" s="66">
        <f t="shared" si="66"/>
        <v>0.39423999999999998</v>
      </c>
      <c r="L683" s="63">
        <f t="shared" si="67"/>
        <v>0</v>
      </c>
      <c r="M683" s="63">
        <f t="shared" si="68"/>
        <v>0</v>
      </c>
      <c r="N683" s="63">
        <f t="shared" si="69"/>
        <v>0</v>
      </c>
      <c r="O683" s="63">
        <f t="shared" si="70"/>
        <v>0</v>
      </c>
      <c r="P683" s="63">
        <f t="shared" si="71"/>
        <v>0</v>
      </c>
      <c r="Q683" s="562">
        <f t="shared" si="76"/>
        <v>0</v>
      </c>
      <c r="R683" s="377"/>
      <c r="T683" s="82"/>
      <c r="U683" s="82"/>
      <c r="V683" s="82"/>
      <c r="W683" s="82"/>
      <c r="X683" s="82"/>
      <c r="Y683" s="82"/>
      <c r="Z683" s="82"/>
      <c r="AA683" s="82"/>
      <c r="AB683" s="82"/>
    </row>
    <row r="684" spans="1:28" s="85" customFormat="1" ht="13.8" thickBot="1" x14ac:dyDescent="0.3">
      <c r="A684" s="82"/>
      <c r="B684" s="82"/>
      <c r="C684" s="82"/>
      <c r="D684" s="731"/>
      <c r="E684" s="390" t="s">
        <v>184</v>
      </c>
      <c r="F684" s="391">
        <v>57</v>
      </c>
      <c r="G684" s="392">
        <v>8</v>
      </c>
      <c r="H684" s="393">
        <v>10</v>
      </c>
      <c r="I684" s="394">
        <v>1.02</v>
      </c>
      <c r="J684" s="395">
        <f t="shared" si="65"/>
        <v>8.16</v>
      </c>
      <c r="K684" s="221">
        <f t="shared" si="66"/>
        <v>0</v>
      </c>
      <c r="L684" s="222">
        <f t="shared" si="67"/>
        <v>0</v>
      </c>
      <c r="M684" s="222">
        <f t="shared" si="68"/>
        <v>0</v>
      </c>
      <c r="N684" s="222">
        <f t="shared" si="69"/>
        <v>5.0347200000000001</v>
      </c>
      <c r="O684" s="222">
        <f t="shared" si="70"/>
        <v>0</v>
      </c>
      <c r="P684" s="222">
        <f t="shared" si="71"/>
        <v>0</v>
      </c>
      <c r="Q684" s="564">
        <f t="shared" si="76"/>
        <v>0</v>
      </c>
      <c r="R684" s="539"/>
      <c r="T684" s="82"/>
      <c r="U684" s="82"/>
      <c r="V684" s="82"/>
      <c r="W684" s="82"/>
      <c r="X684" s="82"/>
      <c r="Y684" s="82"/>
      <c r="Z684" s="82"/>
      <c r="AA684" s="82"/>
      <c r="AB684" s="82"/>
    </row>
    <row r="685" spans="1:28" s="85" customFormat="1" ht="13.8" thickTop="1" x14ac:dyDescent="0.25">
      <c r="A685" s="82"/>
      <c r="B685" s="82"/>
      <c r="C685" s="82"/>
      <c r="D685" s="729"/>
      <c r="E685" s="371" t="s">
        <v>113</v>
      </c>
      <c r="F685" s="372">
        <v>13</v>
      </c>
      <c r="G685" s="373">
        <v>4</v>
      </c>
      <c r="H685" s="374">
        <v>5</v>
      </c>
      <c r="I685" s="375">
        <v>0.85</v>
      </c>
      <c r="J685" s="376">
        <f t="shared" si="32"/>
        <v>3.4</v>
      </c>
      <c r="K685" s="66">
        <f t="shared" si="15"/>
        <v>0.52359999999999995</v>
      </c>
      <c r="L685" s="63">
        <f t="shared" si="16"/>
        <v>0</v>
      </c>
      <c r="M685" s="63">
        <f t="shared" si="17"/>
        <v>0</v>
      </c>
      <c r="N685" s="63">
        <f t="shared" si="18"/>
        <v>0</v>
      </c>
      <c r="O685" s="63">
        <f t="shared" si="19"/>
        <v>0</v>
      </c>
      <c r="P685" s="63">
        <f t="shared" si="20"/>
        <v>0</v>
      </c>
      <c r="Q685" s="561">
        <f t="shared" si="76"/>
        <v>0</v>
      </c>
      <c r="R685" s="174"/>
      <c r="T685" s="82"/>
      <c r="U685" s="82"/>
      <c r="V685" s="82"/>
      <c r="W685" s="82"/>
      <c r="X685" s="82"/>
      <c r="Y685" s="82"/>
      <c r="Z685" s="82"/>
      <c r="AA685" s="82"/>
      <c r="AB685" s="82"/>
    </row>
    <row r="686" spans="1:28" s="85" customFormat="1" x14ac:dyDescent="0.25">
      <c r="A686" s="82"/>
      <c r="B686" s="82"/>
      <c r="C686" s="82"/>
      <c r="D686" s="729"/>
      <c r="E686" s="371" t="s">
        <v>113</v>
      </c>
      <c r="F686" s="372">
        <v>52</v>
      </c>
      <c r="G686" s="373">
        <v>4</v>
      </c>
      <c r="H686" s="374">
        <v>12.5</v>
      </c>
      <c r="I686" s="375">
        <v>1.0900000000000001</v>
      </c>
      <c r="J686" s="376">
        <f t="shared" si="32"/>
        <v>4.3600000000000003</v>
      </c>
      <c r="K686" s="66">
        <f t="shared" si="15"/>
        <v>0</v>
      </c>
      <c r="L686" s="63">
        <f t="shared" si="16"/>
        <v>0</v>
      </c>
      <c r="M686" s="63">
        <f t="shared" si="17"/>
        <v>0</v>
      </c>
      <c r="N686" s="63">
        <f t="shared" si="18"/>
        <v>0</v>
      </c>
      <c r="O686" s="63">
        <f t="shared" si="19"/>
        <v>4.1986800000000004</v>
      </c>
      <c r="P686" s="63">
        <f t="shared" si="20"/>
        <v>0</v>
      </c>
      <c r="Q686" s="561">
        <f t="shared" si="76"/>
        <v>0</v>
      </c>
      <c r="R686" s="174"/>
      <c r="T686" s="82"/>
      <c r="U686" s="82"/>
      <c r="V686" s="82"/>
      <c r="W686" s="82"/>
      <c r="X686" s="82"/>
      <c r="Y686" s="82"/>
      <c r="Z686" s="82"/>
      <c r="AA686" s="82"/>
      <c r="AB686" s="82"/>
    </row>
    <row r="687" spans="1:28" s="85" customFormat="1" x14ac:dyDescent="0.25">
      <c r="A687" s="82"/>
      <c r="B687" s="82"/>
      <c r="C687" s="82"/>
      <c r="D687" s="729"/>
      <c r="E687" s="396" t="s">
        <v>184</v>
      </c>
      <c r="F687" s="403">
        <v>23</v>
      </c>
      <c r="G687" s="397">
        <v>6</v>
      </c>
      <c r="H687" s="398">
        <v>5</v>
      </c>
      <c r="I687" s="399">
        <v>0.87</v>
      </c>
      <c r="J687" s="400">
        <f t="shared" si="32"/>
        <v>5.22</v>
      </c>
      <c r="K687" s="401">
        <f t="shared" si="15"/>
        <v>0.80387999999999993</v>
      </c>
      <c r="L687" s="196">
        <f t="shared" si="16"/>
        <v>0</v>
      </c>
      <c r="M687" s="196">
        <f t="shared" si="17"/>
        <v>0</v>
      </c>
      <c r="N687" s="196">
        <f t="shared" si="18"/>
        <v>0</v>
      </c>
      <c r="O687" s="196">
        <f t="shared" si="19"/>
        <v>0</v>
      </c>
      <c r="P687" s="196">
        <f t="shared" si="20"/>
        <v>0</v>
      </c>
      <c r="Q687" s="566">
        <f t="shared" si="76"/>
        <v>0</v>
      </c>
      <c r="R687" s="538"/>
      <c r="T687" s="82"/>
      <c r="U687" s="82"/>
      <c r="V687" s="82"/>
      <c r="W687" s="82"/>
      <c r="X687" s="82"/>
      <c r="Y687" s="82"/>
      <c r="Z687" s="82"/>
      <c r="AA687" s="82"/>
      <c r="AB687" s="82"/>
    </row>
    <row r="688" spans="1:28" s="85" customFormat="1" x14ac:dyDescent="0.25">
      <c r="A688" s="82"/>
      <c r="B688" s="82"/>
      <c r="C688" s="82"/>
      <c r="D688" s="729"/>
      <c r="E688" s="371" t="s">
        <v>184</v>
      </c>
      <c r="F688" s="372">
        <v>24</v>
      </c>
      <c r="G688" s="373">
        <v>2</v>
      </c>
      <c r="H688" s="374">
        <v>5</v>
      </c>
      <c r="I688" s="375">
        <v>0.64</v>
      </c>
      <c r="J688" s="376">
        <f t="shared" si="32"/>
        <v>1.28</v>
      </c>
      <c r="K688" s="66">
        <f t="shared" si="15"/>
        <v>0.19711999999999999</v>
      </c>
      <c r="L688" s="63">
        <f t="shared" si="16"/>
        <v>0</v>
      </c>
      <c r="M688" s="63">
        <f t="shared" si="17"/>
        <v>0</v>
      </c>
      <c r="N688" s="63">
        <f t="shared" si="18"/>
        <v>0</v>
      </c>
      <c r="O688" s="63">
        <f t="shared" si="19"/>
        <v>0</v>
      </c>
      <c r="P688" s="63">
        <f t="shared" si="20"/>
        <v>0</v>
      </c>
      <c r="Q688" s="562">
        <f t="shared" si="76"/>
        <v>0</v>
      </c>
      <c r="R688" s="377"/>
      <c r="T688" s="82"/>
      <c r="U688" s="82"/>
      <c r="V688" s="82"/>
      <c r="W688" s="82"/>
      <c r="X688" s="82"/>
      <c r="Y688" s="82"/>
      <c r="Z688" s="82"/>
      <c r="AA688" s="82"/>
      <c r="AB688" s="82"/>
    </row>
    <row r="689" spans="1:28" s="85" customFormat="1" ht="13.8" thickBot="1" x14ac:dyDescent="0.3">
      <c r="A689" s="82"/>
      <c r="B689" s="82"/>
      <c r="C689" s="82"/>
      <c r="D689" s="731"/>
      <c r="E689" s="390" t="s">
        <v>184</v>
      </c>
      <c r="F689" s="391">
        <v>58</v>
      </c>
      <c r="G689" s="392">
        <v>4</v>
      </c>
      <c r="H689" s="393">
        <v>12.5</v>
      </c>
      <c r="I689" s="394">
        <v>1.02</v>
      </c>
      <c r="J689" s="395">
        <f t="shared" si="32"/>
        <v>4.08</v>
      </c>
      <c r="K689" s="221">
        <f t="shared" si="15"/>
        <v>0</v>
      </c>
      <c r="L689" s="222">
        <f t="shared" si="16"/>
        <v>0</v>
      </c>
      <c r="M689" s="222">
        <f t="shared" si="17"/>
        <v>0</v>
      </c>
      <c r="N689" s="222">
        <f t="shared" si="18"/>
        <v>0</v>
      </c>
      <c r="O689" s="222">
        <f t="shared" si="19"/>
        <v>3.9290400000000001</v>
      </c>
      <c r="P689" s="222">
        <f t="shared" si="20"/>
        <v>0</v>
      </c>
      <c r="Q689" s="564">
        <f t="shared" si="76"/>
        <v>0</v>
      </c>
      <c r="R689" s="539"/>
      <c r="T689" s="82"/>
      <c r="U689" s="82"/>
      <c r="V689" s="82"/>
      <c r="W689" s="82"/>
      <c r="X689" s="82"/>
      <c r="Y689" s="82"/>
      <c r="Z689" s="82"/>
      <c r="AA689" s="82"/>
      <c r="AB689" s="82"/>
    </row>
    <row r="690" spans="1:28" s="85" customFormat="1" ht="13.8" thickTop="1" x14ac:dyDescent="0.25">
      <c r="A690" s="82"/>
      <c r="B690" s="82"/>
      <c r="C690" s="82"/>
      <c r="D690" s="729"/>
      <c r="E690" s="371" t="s">
        <v>113</v>
      </c>
      <c r="F690" s="372">
        <v>4</v>
      </c>
      <c r="G690" s="373">
        <v>4</v>
      </c>
      <c r="H690" s="374">
        <v>5</v>
      </c>
      <c r="I690" s="375">
        <v>0.65</v>
      </c>
      <c r="J690" s="376">
        <f t="shared" si="32"/>
        <v>2.6</v>
      </c>
      <c r="K690" s="66">
        <f t="shared" si="15"/>
        <v>0.40040000000000003</v>
      </c>
      <c r="L690" s="63">
        <f t="shared" si="16"/>
        <v>0</v>
      </c>
      <c r="M690" s="63">
        <f t="shared" si="17"/>
        <v>0</v>
      </c>
      <c r="N690" s="63">
        <f t="shared" si="18"/>
        <v>0</v>
      </c>
      <c r="O690" s="63">
        <f t="shared" si="19"/>
        <v>0</v>
      </c>
      <c r="P690" s="63">
        <f t="shared" si="20"/>
        <v>0</v>
      </c>
      <c r="Q690" s="561">
        <f t="shared" si="76"/>
        <v>0</v>
      </c>
      <c r="R690" s="174"/>
      <c r="T690" s="82"/>
      <c r="U690" s="82"/>
      <c r="V690" s="82"/>
      <c r="W690" s="82"/>
      <c r="X690" s="82"/>
      <c r="Y690" s="82"/>
      <c r="Z690" s="82"/>
      <c r="AA690" s="82"/>
      <c r="AB690" s="82"/>
    </row>
    <row r="691" spans="1:28" s="85" customFormat="1" x14ac:dyDescent="0.25">
      <c r="A691" s="82"/>
      <c r="B691" s="82"/>
      <c r="C691" s="82"/>
      <c r="D691" s="729"/>
      <c r="E691" s="371" t="s">
        <v>113</v>
      </c>
      <c r="F691" s="372">
        <v>63</v>
      </c>
      <c r="G691" s="373">
        <v>4</v>
      </c>
      <c r="H691" s="374">
        <v>12.5</v>
      </c>
      <c r="I691" s="375">
        <v>1.0900000000000001</v>
      </c>
      <c r="J691" s="376">
        <f t="shared" si="32"/>
        <v>4.3600000000000003</v>
      </c>
      <c r="K691" s="66">
        <f t="shared" si="15"/>
        <v>0</v>
      </c>
      <c r="L691" s="63">
        <f t="shared" si="16"/>
        <v>0</v>
      </c>
      <c r="M691" s="63">
        <f t="shared" si="17"/>
        <v>0</v>
      </c>
      <c r="N691" s="63">
        <f t="shared" si="18"/>
        <v>0</v>
      </c>
      <c r="O691" s="63">
        <f t="shared" si="19"/>
        <v>4.1986800000000004</v>
      </c>
      <c r="P691" s="63">
        <f t="shared" si="20"/>
        <v>0</v>
      </c>
      <c r="Q691" s="561">
        <f t="shared" si="76"/>
        <v>0</v>
      </c>
      <c r="R691" s="174"/>
      <c r="T691" s="82"/>
      <c r="U691" s="82"/>
      <c r="V691" s="82"/>
      <c r="W691" s="82"/>
      <c r="X691" s="82"/>
      <c r="Y691" s="82"/>
      <c r="Z691" s="82"/>
      <c r="AA691" s="82"/>
      <c r="AB691" s="82"/>
    </row>
    <row r="692" spans="1:28" s="85" customFormat="1" x14ac:dyDescent="0.25">
      <c r="A692" s="82"/>
      <c r="B692" s="82"/>
      <c r="C692" s="82"/>
      <c r="D692" s="729"/>
      <c r="E692" s="396" t="s">
        <v>184</v>
      </c>
      <c r="F692" s="403">
        <v>27</v>
      </c>
      <c r="G692" s="397">
        <v>6</v>
      </c>
      <c r="H692" s="398">
        <v>5</v>
      </c>
      <c r="I692" s="399">
        <v>0.67</v>
      </c>
      <c r="J692" s="400">
        <f t="shared" si="32"/>
        <v>4.0200000000000005</v>
      </c>
      <c r="K692" s="401">
        <f t="shared" si="15"/>
        <v>0.61908000000000007</v>
      </c>
      <c r="L692" s="196">
        <f t="shared" si="16"/>
        <v>0</v>
      </c>
      <c r="M692" s="196">
        <f t="shared" si="17"/>
        <v>0</v>
      </c>
      <c r="N692" s="196">
        <f t="shared" si="18"/>
        <v>0</v>
      </c>
      <c r="O692" s="196">
        <f t="shared" si="19"/>
        <v>0</v>
      </c>
      <c r="P692" s="196">
        <f t="shared" si="20"/>
        <v>0</v>
      </c>
      <c r="Q692" s="566">
        <f t="shared" si="76"/>
        <v>0</v>
      </c>
      <c r="R692" s="538"/>
      <c r="T692" s="82"/>
      <c r="U692" s="82"/>
      <c r="V692" s="82"/>
      <c r="W692" s="82"/>
      <c r="X692" s="82"/>
      <c r="Y692" s="82"/>
      <c r="Z692" s="82"/>
      <c r="AA692" s="82"/>
      <c r="AB692" s="82"/>
    </row>
    <row r="693" spans="1:28" s="85" customFormat="1" x14ac:dyDescent="0.25">
      <c r="A693" s="82"/>
      <c r="B693" s="82"/>
      <c r="C693" s="82"/>
      <c r="D693" s="729"/>
      <c r="E693" s="371" t="s">
        <v>184</v>
      </c>
      <c r="F693" s="372">
        <v>28</v>
      </c>
      <c r="G693" s="373">
        <v>2</v>
      </c>
      <c r="H693" s="374">
        <v>5</v>
      </c>
      <c r="I693" s="375">
        <v>0.49</v>
      </c>
      <c r="J693" s="376">
        <f t="shared" si="32"/>
        <v>0.98</v>
      </c>
      <c r="K693" s="66">
        <f t="shared" si="15"/>
        <v>0.15092</v>
      </c>
      <c r="L693" s="63">
        <f t="shared" si="16"/>
        <v>0</v>
      </c>
      <c r="M693" s="63">
        <f t="shared" si="17"/>
        <v>0</v>
      </c>
      <c r="N693" s="63">
        <f t="shared" si="18"/>
        <v>0</v>
      </c>
      <c r="O693" s="63">
        <f t="shared" si="19"/>
        <v>0</v>
      </c>
      <c r="P693" s="63">
        <f t="shared" si="20"/>
        <v>0</v>
      </c>
      <c r="Q693" s="562">
        <f t="shared" si="76"/>
        <v>0</v>
      </c>
      <c r="R693" s="377"/>
      <c r="T693" s="82"/>
      <c r="U693" s="82"/>
      <c r="V693" s="82"/>
      <c r="W693" s="82"/>
      <c r="X693" s="82"/>
      <c r="Y693" s="82"/>
      <c r="Z693" s="82"/>
      <c r="AA693" s="82"/>
      <c r="AB693" s="82"/>
    </row>
    <row r="694" spans="1:28" s="85" customFormat="1" ht="13.8" thickBot="1" x14ac:dyDescent="0.3">
      <c r="A694" s="82"/>
      <c r="B694" s="82"/>
      <c r="C694" s="82"/>
      <c r="D694" s="731"/>
      <c r="E694" s="390" t="s">
        <v>184</v>
      </c>
      <c r="F694" s="391">
        <v>58</v>
      </c>
      <c r="G694" s="392">
        <v>4</v>
      </c>
      <c r="H694" s="393">
        <v>12.5</v>
      </c>
      <c r="I694" s="394">
        <v>1.02</v>
      </c>
      <c r="J694" s="395">
        <f t="shared" si="32"/>
        <v>4.08</v>
      </c>
      <c r="K694" s="221">
        <f t="shared" si="15"/>
        <v>0</v>
      </c>
      <c r="L694" s="222">
        <f t="shared" si="16"/>
        <v>0</v>
      </c>
      <c r="M694" s="222">
        <f t="shared" si="17"/>
        <v>0</v>
      </c>
      <c r="N694" s="222">
        <f t="shared" si="18"/>
        <v>0</v>
      </c>
      <c r="O694" s="222">
        <f t="shared" si="19"/>
        <v>3.9290400000000001</v>
      </c>
      <c r="P694" s="222">
        <f t="shared" si="20"/>
        <v>0</v>
      </c>
      <c r="Q694" s="564">
        <f t="shared" si="76"/>
        <v>0</v>
      </c>
      <c r="R694" s="539"/>
      <c r="T694" s="82"/>
      <c r="U694" s="82"/>
      <c r="V694" s="82"/>
      <c r="W694" s="82"/>
      <c r="X694" s="82"/>
      <c r="Y694" s="82"/>
      <c r="Z694" s="82"/>
      <c r="AA694" s="82"/>
      <c r="AB694" s="82"/>
    </row>
    <row r="695" spans="1:28" s="85" customFormat="1" ht="13.8" thickTop="1" x14ac:dyDescent="0.25">
      <c r="A695" s="82"/>
      <c r="B695" s="82"/>
      <c r="C695" s="82"/>
      <c r="D695" s="729"/>
      <c r="E695" s="371" t="s">
        <v>113</v>
      </c>
      <c r="F695" s="372">
        <v>4</v>
      </c>
      <c r="G695" s="373">
        <v>4</v>
      </c>
      <c r="H695" s="374">
        <v>5</v>
      </c>
      <c r="I695" s="375">
        <v>0.66</v>
      </c>
      <c r="J695" s="376">
        <f t="shared" si="32"/>
        <v>2.64</v>
      </c>
      <c r="K695" s="66">
        <f t="shared" si="15"/>
        <v>0.40656000000000003</v>
      </c>
      <c r="L695" s="63">
        <f t="shared" si="16"/>
        <v>0</v>
      </c>
      <c r="M695" s="63">
        <f t="shared" si="17"/>
        <v>0</v>
      </c>
      <c r="N695" s="63">
        <f t="shared" si="18"/>
        <v>0</v>
      </c>
      <c r="O695" s="63">
        <f t="shared" si="19"/>
        <v>0</v>
      </c>
      <c r="P695" s="63">
        <f t="shared" si="20"/>
        <v>0</v>
      </c>
      <c r="Q695" s="561">
        <f t="shared" si="76"/>
        <v>0</v>
      </c>
      <c r="R695" s="174"/>
      <c r="T695" s="82"/>
      <c r="U695" s="82"/>
      <c r="V695" s="82"/>
      <c r="W695" s="82"/>
      <c r="X695" s="82"/>
      <c r="Y695" s="82"/>
      <c r="Z695" s="82"/>
      <c r="AA695" s="82"/>
      <c r="AB695" s="82"/>
    </row>
    <row r="696" spans="1:28" s="85" customFormat="1" x14ac:dyDescent="0.25">
      <c r="A696" s="82"/>
      <c r="B696" s="82"/>
      <c r="C696" s="82"/>
      <c r="D696" s="729"/>
      <c r="E696" s="371" t="s">
        <v>113</v>
      </c>
      <c r="F696" s="372">
        <v>63</v>
      </c>
      <c r="G696" s="373">
        <v>4</v>
      </c>
      <c r="H696" s="374">
        <v>12.5</v>
      </c>
      <c r="I696" s="375">
        <v>1.0900000000000001</v>
      </c>
      <c r="J696" s="376">
        <f t="shared" si="32"/>
        <v>4.3600000000000003</v>
      </c>
      <c r="K696" s="66">
        <f t="shared" si="15"/>
        <v>0</v>
      </c>
      <c r="L696" s="63">
        <f t="shared" si="16"/>
        <v>0</v>
      </c>
      <c r="M696" s="63">
        <f t="shared" si="17"/>
        <v>0</v>
      </c>
      <c r="N696" s="63">
        <f t="shared" si="18"/>
        <v>0</v>
      </c>
      <c r="O696" s="63">
        <f t="shared" si="19"/>
        <v>4.1986800000000004</v>
      </c>
      <c r="P696" s="63">
        <f t="shared" si="20"/>
        <v>0</v>
      </c>
      <c r="Q696" s="561">
        <f t="shared" si="76"/>
        <v>0</v>
      </c>
      <c r="R696" s="174"/>
      <c r="T696" s="82"/>
      <c r="U696" s="82"/>
      <c r="V696" s="82"/>
      <c r="W696" s="82"/>
      <c r="X696" s="82"/>
      <c r="Y696" s="82"/>
      <c r="Z696" s="82"/>
      <c r="AA696" s="82"/>
      <c r="AB696" s="82"/>
    </row>
    <row r="697" spans="1:28" s="85" customFormat="1" x14ac:dyDescent="0.25">
      <c r="A697" s="82"/>
      <c r="B697" s="82"/>
      <c r="C697" s="82"/>
      <c r="D697" s="729"/>
      <c r="E697" s="396" t="s">
        <v>184</v>
      </c>
      <c r="F697" s="403">
        <v>27</v>
      </c>
      <c r="G697" s="397">
        <v>6</v>
      </c>
      <c r="H697" s="398">
        <v>5</v>
      </c>
      <c r="I697" s="399">
        <v>0.67</v>
      </c>
      <c r="J697" s="400">
        <f t="shared" si="32"/>
        <v>4.0200000000000005</v>
      </c>
      <c r="K697" s="401">
        <f t="shared" si="15"/>
        <v>0.61908000000000007</v>
      </c>
      <c r="L697" s="196">
        <f t="shared" si="16"/>
        <v>0</v>
      </c>
      <c r="M697" s="196">
        <f t="shared" si="17"/>
        <v>0</v>
      </c>
      <c r="N697" s="196">
        <f t="shared" si="18"/>
        <v>0</v>
      </c>
      <c r="O697" s="196">
        <f t="shared" si="19"/>
        <v>0</v>
      </c>
      <c r="P697" s="196">
        <f t="shared" si="20"/>
        <v>0</v>
      </c>
      <c r="Q697" s="566">
        <f t="shared" si="76"/>
        <v>0</v>
      </c>
      <c r="R697" s="538"/>
      <c r="T697" s="82"/>
      <c r="U697" s="82"/>
      <c r="V697" s="82"/>
      <c r="W697" s="82"/>
      <c r="X697" s="82"/>
      <c r="Y697" s="82"/>
      <c r="Z697" s="82"/>
      <c r="AA697" s="82"/>
      <c r="AB697" s="82"/>
    </row>
    <row r="698" spans="1:28" s="85" customFormat="1" x14ac:dyDescent="0.25">
      <c r="A698" s="82"/>
      <c r="B698" s="82"/>
      <c r="C698" s="82"/>
      <c r="D698" s="729"/>
      <c r="E698" s="371" t="s">
        <v>184</v>
      </c>
      <c r="F698" s="372">
        <v>28</v>
      </c>
      <c r="G698" s="373">
        <v>2</v>
      </c>
      <c r="H698" s="374">
        <v>5</v>
      </c>
      <c r="I698" s="375">
        <v>0.49</v>
      </c>
      <c r="J698" s="376">
        <f t="shared" si="32"/>
        <v>0.98</v>
      </c>
      <c r="K698" s="66">
        <f t="shared" si="15"/>
        <v>0.15092</v>
      </c>
      <c r="L698" s="63">
        <f t="shared" si="16"/>
        <v>0</v>
      </c>
      <c r="M698" s="63">
        <f t="shared" si="17"/>
        <v>0</v>
      </c>
      <c r="N698" s="63">
        <f t="shared" si="18"/>
        <v>0</v>
      </c>
      <c r="O698" s="63">
        <f t="shared" si="19"/>
        <v>0</v>
      </c>
      <c r="P698" s="63">
        <f t="shared" si="20"/>
        <v>0</v>
      </c>
      <c r="Q698" s="562">
        <f t="shared" si="76"/>
        <v>0</v>
      </c>
      <c r="R698" s="377"/>
      <c r="T698" s="82"/>
      <c r="U698" s="82"/>
      <c r="V698" s="82"/>
      <c r="W698" s="82"/>
      <c r="X698" s="82"/>
      <c r="Y698" s="82"/>
      <c r="Z698" s="82"/>
      <c r="AA698" s="82"/>
      <c r="AB698" s="82"/>
    </row>
    <row r="699" spans="1:28" s="85" customFormat="1" ht="13.8" thickBot="1" x14ac:dyDescent="0.3">
      <c r="A699" s="82"/>
      <c r="B699" s="82"/>
      <c r="C699" s="82"/>
      <c r="D699" s="731"/>
      <c r="E699" s="390" t="s">
        <v>184</v>
      </c>
      <c r="F699" s="391">
        <v>58</v>
      </c>
      <c r="G699" s="392">
        <v>4</v>
      </c>
      <c r="H699" s="393">
        <v>12.5</v>
      </c>
      <c r="I699" s="394">
        <v>1.02</v>
      </c>
      <c r="J699" s="395">
        <f t="shared" si="32"/>
        <v>4.08</v>
      </c>
      <c r="K699" s="221">
        <f t="shared" si="15"/>
        <v>0</v>
      </c>
      <c r="L699" s="222">
        <f t="shared" si="16"/>
        <v>0</v>
      </c>
      <c r="M699" s="222">
        <f t="shared" si="17"/>
        <v>0</v>
      </c>
      <c r="N699" s="222">
        <f t="shared" si="18"/>
        <v>0</v>
      </c>
      <c r="O699" s="222">
        <f t="shared" si="19"/>
        <v>3.9290400000000001</v>
      </c>
      <c r="P699" s="222">
        <f t="shared" si="20"/>
        <v>0</v>
      </c>
      <c r="Q699" s="564">
        <f t="shared" si="76"/>
        <v>0</v>
      </c>
      <c r="R699" s="539"/>
      <c r="T699" s="82"/>
      <c r="U699" s="82"/>
      <c r="V699" s="82"/>
      <c r="W699" s="82"/>
      <c r="X699" s="82"/>
      <c r="Y699" s="82"/>
      <c r="Z699" s="82"/>
      <c r="AA699" s="82"/>
      <c r="AB699" s="82"/>
    </row>
    <row r="700" spans="1:28" s="85" customFormat="1" ht="13.8" thickTop="1" x14ac:dyDescent="0.25">
      <c r="A700" s="82"/>
      <c r="B700" s="82"/>
      <c r="C700" s="82"/>
      <c r="D700" s="729"/>
      <c r="E700" s="371" t="s">
        <v>113</v>
      </c>
      <c r="F700" s="372">
        <v>2</v>
      </c>
      <c r="G700" s="373">
        <v>4</v>
      </c>
      <c r="H700" s="374">
        <v>5</v>
      </c>
      <c r="I700" s="375">
        <v>0.76</v>
      </c>
      <c r="J700" s="376">
        <f t="shared" ref="J700:J749" si="79">G700*I700</f>
        <v>3.04</v>
      </c>
      <c r="K700" s="66">
        <f t="shared" si="15"/>
        <v>0.46816000000000002</v>
      </c>
      <c r="L700" s="63">
        <f t="shared" si="16"/>
        <v>0</v>
      </c>
      <c r="M700" s="63">
        <f t="shared" si="17"/>
        <v>0</v>
      </c>
      <c r="N700" s="63">
        <f t="shared" si="18"/>
        <v>0</v>
      </c>
      <c r="O700" s="63">
        <f t="shared" si="19"/>
        <v>0</v>
      </c>
      <c r="P700" s="63">
        <f t="shared" si="20"/>
        <v>0</v>
      </c>
      <c r="Q700" s="561">
        <f t="shared" ref="Q700:Q757" si="80">IF($H700=20,$J700*$B$28,0)</f>
        <v>0</v>
      </c>
      <c r="R700" s="174"/>
      <c r="T700" s="82"/>
      <c r="U700" s="82"/>
      <c r="V700" s="82"/>
      <c r="W700" s="82"/>
      <c r="X700" s="82"/>
      <c r="Y700" s="82"/>
      <c r="Z700" s="82"/>
      <c r="AA700" s="82"/>
      <c r="AB700" s="82"/>
    </row>
    <row r="701" spans="1:28" s="85" customFormat="1" x14ac:dyDescent="0.25">
      <c r="A701" s="82"/>
      <c r="B701" s="82"/>
      <c r="C701" s="82"/>
      <c r="D701" s="729"/>
      <c r="E701" s="371" t="s">
        <v>113</v>
      </c>
      <c r="F701" s="372">
        <v>34</v>
      </c>
      <c r="G701" s="373">
        <v>4</v>
      </c>
      <c r="H701" s="374">
        <v>12.5</v>
      </c>
      <c r="I701" s="375">
        <v>1.0900000000000001</v>
      </c>
      <c r="J701" s="376">
        <f t="shared" si="79"/>
        <v>4.3600000000000003</v>
      </c>
      <c r="K701" s="66">
        <f t="shared" si="15"/>
        <v>0</v>
      </c>
      <c r="L701" s="63">
        <f t="shared" si="16"/>
        <v>0</v>
      </c>
      <c r="M701" s="63">
        <f t="shared" si="17"/>
        <v>0</v>
      </c>
      <c r="N701" s="63">
        <f t="shared" si="18"/>
        <v>0</v>
      </c>
      <c r="O701" s="63">
        <f t="shared" si="19"/>
        <v>4.1986800000000004</v>
      </c>
      <c r="P701" s="63">
        <f t="shared" si="20"/>
        <v>0</v>
      </c>
      <c r="Q701" s="561">
        <f t="shared" si="80"/>
        <v>0</v>
      </c>
      <c r="R701" s="174"/>
      <c r="T701" s="82"/>
      <c r="U701" s="82"/>
      <c r="V701" s="82"/>
      <c r="W701" s="82"/>
      <c r="X701" s="82"/>
      <c r="Y701" s="82"/>
      <c r="Z701" s="82"/>
      <c r="AA701" s="82"/>
      <c r="AB701" s="82"/>
    </row>
    <row r="702" spans="1:28" s="85" customFormat="1" x14ac:dyDescent="0.25">
      <c r="A702" s="82"/>
      <c r="B702" s="82"/>
      <c r="C702" s="82"/>
      <c r="D702" s="729"/>
      <c r="E702" s="396" t="s">
        <v>184</v>
      </c>
      <c r="F702" s="403">
        <v>25</v>
      </c>
      <c r="G702" s="397">
        <v>6</v>
      </c>
      <c r="H702" s="398">
        <v>5</v>
      </c>
      <c r="I702" s="399">
        <v>0.77</v>
      </c>
      <c r="J702" s="400">
        <f t="shared" si="79"/>
        <v>4.62</v>
      </c>
      <c r="K702" s="401">
        <f t="shared" si="15"/>
        <v>0.71148</v>
      </c>
      <c r="L702" s="196">
        <f t="shared" si="16"/>
        <v>0</v>
      </c>
      <c r="M702" s="196">
        <f t="shared" si="17"/>
        <v>0</v>
      </c>
      <c r="N702" s="196">
        <f t="shared" si="18"/>
        <v>0</v>
      </c>
      <c r="O702" s="196">
        <f t="shared" si="19"/>
        <v>0</v>
      </c>
      <c r="P702" s="196">
        <f t="shared" si="20"/>
        <v>0</v>
      </c>
      <c r="Q702" s="566">
        <f t="shared" si="80"/>
        <v>0</v>
      </c>
      <c r="R702" s="538"/>
      <c r="T702" s="82"/>
      <c r="U702" s="82"/>
      <c r="V702" s="82"/>
      <c r="W702" s="82"/>
      <c r="X702" s="82"/>
      <c r="Y702" s="82"/>
      <c r="Z702" s="82"/>
      <c r="AA702" s="82"/>
      <c r="AB702" s="82"/>
    </row>
    <row r="703" spans="1:28" s="85" customFormat="1" x14ac:dyDescent="0.25">
      <c r="A703" s="82"/>
      <c r="B703" s="82"/>
      <c r="C703" s="82"/>
      <c r="D703" s="729"/>
      <c r="E703" s="371" t="s">
        <v>184</v>
      </c>
      <c r="F703" s="372">
        <v>26</v>
      </c>
      <c r="G703" s="373">
        <v>2</v>
      </c>
      <c r="H703" s="374">
        <v>5</v>
      </c>
      <c r="I703" s="375">
        <v>0.59</v>
      </c>
      <c r="J703" s="376">
        <f t="shared" si="79"/>
        <v>1.18</v>
      </c>
      <c r="K703" s="66">
        <f t="shared" si="15"/>
        <v>0.18171999999999999</v>
      </c>
      <c r="L703" s="63">
        <f t="shared" si="16"/>
        <v>0</v>
      </c>
      <c r="M703" s="63">
        <f t="shared" si="17"/>
        <v>0</v>
      </c>
      <c r="N703" s="63">
        <f t="shared" si="18"/>
        <v>0</v>
      </c>
      <c r="O703" s="63">
        <f t="shared" si="19"/>
        <v>0</v>
      </c>
      <c r="P703" s="63">
        <f t="shared" si="20"/>
        <v>0</v>
      </c>
      <c r="Q703" s="562">
        <f t="shared" si="80"/>
        <v>0</v>
      </c>
      <c r="R703" s="377"/>
      <c r="T703" s="82"/>
      <c r="U703" s="82"/>
      <c r="V703" s="82"/>
      <c r="W703" s="82"/>
      <c r="X703" s="82"/>
      <c r="Y703" s="82"/>
      <c r="Z703" s="82"/>
      <c r="AA703" s="82"/>
      <c r="AB703" s="82"/>
    </row>
    <row r="704" spans="1:28" s="85" customFormat="1" ht="13.8" thickBot="1" x14ac:dyDescent="0.3">
      <c r="A704" s="82"/>
      <c r="B704" s="82"/>
      <c r="C704" s="82"/>
      <c r="D704" s="731"/>
      <c r="E704" s="390" t="s">
        <v>184</v>
      </c>
      <c r="F704" s="391">
        <v>58</v>
      </c>
      <c r="G704" s="392">
        <v>4</v>
      </c>
      <c r="H704" s="393">
        <v>12.5</v>
      </c>
      <c r="I704" s="394">
        <v>1.02</v>
      </c>
      <c r="J704" s="395">
        <f t="shared" si="79"/>
        <v>4.08</v>
      </c>
      <c r="K704" s="221">
        <f t="shared" si="15"/>
        <v>0</v>
      </c>
      <c r="L704" s="222">
        <f t="shared" si="16"/>
        <v>0</v>
      </c>
      <c r="M704" s="222">
        <f t="shared" si="17"/>
        <v>0</v>
      </c>
      <c r="N704" s="222">
        <f t="shared" si="18"/>
        <v>0</v>
      </c>
      <c r="O704" s="222">
        <f t="shared" si="19"/>
        <v>3.9290400000000001</v>
      </c>
      <c r="P704" s="222">
        <f t="shared" si="20"/>
        <v>0</v>
      </c>
      <c r="Q704" s="564">
        <f t="shared" si="80"/>
        <v>0</v>
      </c>
      <c r="R704" s="539"/>
      <c r="T704" s="82"/>
      <c r="U704" s="82"/>
      <c r="V704" s="82"/>
      <c r="W704" s="82"/>
      <c r="X704" s="82"/>
      <c r="Y704" s="82"/>
      <c r="Z704" s="82"/>
      <c r="AA704" s="82"/>
      <c r="AB704" s="82"/>
    </row>
    <row r="705" spans="1:28" s="16" customFormat="1" ht="15" customHeight="1" thickTop="1" thickBot="1" x14ac:dyDescent="0.3">
      <c r="D705" s="785" t="s">
        <v>583</v>
      </c>
      <c r="E705" s="786"/>
      <c r="F705" s="786"/>
      <c r="G705" s="786"/>
      <c r="H705" s="786"/>
      <c r="I705" s="786"/>
      <c r="J705" s="786"/>
      <c r="K705" s="786"/>
      <c r="L705" s="786"/>
      <c r="M705" s="786"/>
      <c r="N705" s="786"/>
      <c r="O705" s="786"/>
      <c r="P705" s="786"/>
      <c r="Q705" s="786"/>
      <c r="R705" s="786"/>
      <c r="S705" s="577"/>
    </row>
    <row r="706" spans="1:28" s="85" customFormat="1" ht="13.8" thickTop="1" x14ac:dyDescent="0.25">
      <c r="A706" s="82"/>
      <c r="B706" s="82"/>
      <c r="C706" s="82"/>
      <c r="D706" s="728" t="s">
        <v>1523</v>
      </c>
      <c r="E706" s="384" t="s">
        <v>49</v>
      </c>
      <c r="F706" s="385">
        <v>1</v>
      </c>
      <c r="G706" s="386">
        <v>20</v>
      </c>
      <c r="H706" s="387">
        <v>5</v>
      </c>
      <c r="I706" s="388">
        <v>0.24</v>
      </c>
      <c r="J706" s="389">
        <f t="shared" si="79"/>
        <v>4.8</v>
      </c>
      <c r="K706" s="218">
        <f t="shared" si="15"/>
        <v>0.73919999999999997</v>
      </c>
      <c r="L706" s="219">
        <f t="shared" si="16"/>
        <v>0</v>
      </c>
      <c r="M706" s="219">
        <f t="shared" si="17"/>
        <v>0</v>
      </c>
      <c r="N706" s="219">
        <f t="shared" si="18"/>
        <v>0</v>
      </c>
      <c r="O706" s="219">
        <f t="shared" si="19"/>
        <v>0</v>
      </c>
      <c r="P706" s="219">
        <f t="shared" si="20"/>
        <v>0</v>
      </c>
      <c r="Q706" s="563">
        <f t="shared" si="80"/>
        <v>0</v>
      </c>
      <c r="R706" s="220"/>
      <c r="T706" s="82"/>
      <c r="U706" s="82"/>
      <c r="V706" s="82"/>
      <c r="W706" s="82"/>
      <c r="X706" s="82"/>
      <c r="Y706" s="82"/>
      <c r="Z706" s="82"/>
      <c r="AA706" s="82"/>
      <c r="AB706" s="82"/>
    </row>
    <row r="707" spans="1:28" s="85" customFormat="1" x14ac:dyDescent="0.25">
      <c r="A707" s="82"/>
      <c r="B707" s="82"/>
      <c r="C707" s="82"/>
      <c r="D707" s="729"/>
      <c r="E707" s="371" t="s">
        <v>49</v>
      </c>
      <c r="F707" s="372">
        <v>2</v>
      </c>
      <c r="G707" s="373">
        <v>6</v>
      </c>
      <c r="H707" s="374">
        <v>5</v>
      </c>
      <c r="I707" s="375">
        <v>0.97</v>
      </c>
      <c r="J707" s="376">
        <f t="shared" si="79"/>
        <v>5.82</v>
      </c>
      <c r="K707" s="66">
        <f t="shared" si="15"/>
        <v>0.89628000000000008</v>
      </c>
      <c r="L707" s="63">
        <f t="shared" si="16"/>
        <v>0</v>
      </c>
      <c r="M707" s="63">
        <f t="shared" si="17"/>
        <v>0</v>
      </c>
      <c r="N707" s="63">
        <f t="shared" si="18"/>
        <v>0</v>
      </c>
      <c r="O707" s="63">
        <f t="shared" si="19"/>
        <v>0</v>
      </c>
      <c r="P707" s="63">
        <f t="shared" si="20"/>
        <v>0</v>
      </c>
      <c r="Q707" s="561">
        <f t="shared" si="80"/>
        <v>0</v>
      </c>
      <c r="R707" s="174"/>
      <c r="T707" s="82"/>
      <c r="U707" s="82"/>
      <c r="V707" s="82"/>
      <c r="W707" s="82"/>
      <c r="X707" s="82"/>
      <c r="Y707" s="82"/>
      <c r="Z707" s="82"/>
      <c r="AA707" s="82"/>
      <c r="AB707" s="82"/>
    </row>
    <row r="708" spans="1:28" s="85" customFormat="1" x14ac:dyDescent="0.25">
      <c r="A708" s="82"/>
      <c r="B708" s="82"/>
      <c r="C708" s="82"/>
      <c r="D708" s="729"/>
      <c r="E708" s="371" t="s">
        <v>49</v>
      </c>
      <c r="F708" s="372">
        <v>3</v>
      </c>
      <c r="G708" s="373">
        <v>8</v>
      </c>
      <c r="H708" s="374">
        <v>5</v>
      </c>
      <c r="I708" s="375">
        <v>0.64</v>
      </c>
      <c r="J708" s="376">
        <f t="shared" si="79"/>
        <v>5.12</v>
      </c>
      <c r="K708" s="66">
        <f t="shared" si="15"/>
        <v>0.78847999999999996</v>
      </c>
      <c r="L708" s="63">
        <f t="shared" si="16"/>
        <v>0</v>
      </c>
      <c r="M708" s="63">
        <f t="shared" si="17"/>
        <v>0</v>
      </c>
      <c r="N708" s="63">
        <f t="shared" si="18"/>
        <v>0</v>
      </c>
      <c r="O708" s="63">
        <f t="shared" si="19"/>
        <v>0</v>
      </c>
      <c r="P708" s="63">
        <f t="shared" si="20"/>
        <v>0</v>
      </c>
      <c r="Q708" s="561">
        <f t="shared" si="80"/>
        <v>0</v>
      </c>
      <c r="R708" s="174"/>
      <c r="T708" s="82"/>
      <c r="U708" s="82"/>
      <c r="V708" s="82"/>
      <c r="W708" s="82"/>
      <c r="X708" s="82"/>
      <c r="Y708" s="82"/>
      <c r="Z708" s="82"/>
      <c r="AA708" s="82"/>
      <c r="AB708" s="82"/>
    </row>
    <row r="709" spans="1:28" s="85" customFormat="1" x14ac:dyDescent="0.25">
      <c r="A709" s="82"/>
      <c r="B709" s="82"/>
      <c r="C709" s="82"/>
      <c r="D709" s="729"/>
      <c r="E709" s="371" t="s">
        <v>49</v>
      </c>
      <c r="F709" s="372">
        <v>29</v>
      </c>
      <c r="G709" s="373">
        <v>8</v>
      </c>
      <c r="H709" s="374">
        <v>12.5</v>
      </c>
      <c r="I709" s="375">
        <v>1.55</v>
      </c>
      <c r="J709" s="376">
        <f t="shared" si="79"/>
        <v>12.4</v>
      </c>
      <c r="K709" s="66">
        <f t="shared" si="15"/>
        <v>0</v>
      </c>
      <c r="L709" s="63">
        <f t="shared" si="16"/>
        <v>0</v>
      </c>
      <c r="M709" s="63">
        <f t="shared" si="17"/>
        <v>0</v>
      </c>
      <c r="N709" s="63">
        <f t="shared" si="18"/>
        <v>0</v>
      </c>
      <c r="O709" s="63">
        <f t="shared" si="19"/>
        <v>11.9412</v>
      </c>
      <c r="P709" s="63">
        <f t="shared" si="20"/>
        <v>0</v>
      </c>
      <c r="Q709" s="561">
        <f t="shared" si="80"/>
        <v>0</v>
      </c>
      <c r="R709" s="174"/>
      <c r="T709" s="82"/>
      <c r="U709" s="82"/>
      <c r="V709" s="82"/>
      <c r="W709" s="82"/>
      <c r="X709" s="82"/>
      <c r="Y709" s="82"/>
      <c r="Z709" s="82"/>
      <c r="AA709" s="82"/>
      <c r="AB709" s="82"/>
    </row>
    <row r="710" spans="1:28" s="85" customFormat="1" x14ac:dyDescent="0.25">
      <c r="A710" s="82"/>
      <c r="B710" s="82"/>
      <c r="C710" s="82"/>
      <c r="D710" s="729"/>
      <c r="E710" s="371" t="s">
        <v>113</v>
      </c>
      <c r="F710" s="372">
        <v>4</v>
      </c>
      <c r="G710" s="373">
        <v>48</v>
      </c>
      <c r="H710" s="374">
        <v>5</v>
      </c>
      <c r="I710" s="375">
        <v>0.24</v>
      </c>
      <c r="J710" s="376">
        <f t="shared" si="79"/>
        <v>11.52</v>
      </c>
      <c r="K710" s="66">
        <f t="shared" ref="K710:K749" si="81">IF($H710=5,$J710*$B$21,0)</f>
        <v>1.7740799999999999</v>
      </c>
      <c r="L710" s="63">
        <f t="shared" ref="L710:L749" si="82">IF($H710=6.3,$J710*$B$22,0)</f>
        <v>0</v>
      </c>
      <c r="M710" s="63">
        <f t="shared" ref="M710:M749" si="83">IF($H710=8,$J710*$B$23,0)</f>
        <v>0</v>
      </c>
      <c r="N710" s="63">
        <f t="shared" ref="N710:N749" si="84">IF($H710=10,$J710*$B$24,0)</f>
        <v>0</v>
      </c>
      <c r="O710" s="63">
        <f t="shared" ref="O710:O749" si="85">IF($H710=12.5,$J710*$B$26,0)</f>
        <v>0</v>
      </c>
      <c r="P710" s="63">
        <f t="shared" si="20"/>
        <v>0</v>
      </c>
      <c r="Q710" s="561">
        <f t="shared" si="80"/>
        <v>0</v>
      </c>
      <c r="R710" s="174"/>
      <c r="T710" s="82"/>
      <c r="U710" s="82"/>
      <c r="V710" s="82"/>
      <c r="W710" s="82"/>
      <c r="X710" s="82"/>
      <c r="Y710" s="82"/>
      <c r="Z710" s="82"/>
      <c r="AA710" s="82"/>
      <c r="AB710" s="82"/>
    </row>
    <row r="711" spans="1:28" s="85" customFormat="1" x14ac:dyDescent="0.25">
      <c r="A711" s="82"/>
      <c r="B711" s="82"/>
      <c r="C711" s="82"/>
      <c r="D711" s="729"/>
      <c r="E711" s="371" t="s">
        <v>113</v>
      </c>
      <c r="F711" s="372">
        <v>5</v>
      </c>
      <c r="G711" s="373">
        <v>20</v>
      </c>
      <c r="H711" s="374">
        <v>5</v>
      </c>
      <c r="I711" s="375">
        <v>0.97</v>
      </c>
      <c r="J711" s="376">
        <f t="shared" si="79"/>
        <v>19.399999999999999</v>
      </c>
      <c r="K711" s="66">
        <f t="shared" si="81"/>
        <v>2.9875999999999996</v>
      </c>
      <c r="L711" s="63">
        <f t="shared" si="82"/>
        <v>0</v>
      </c>
      <c r="M711" s="63">
        <f t="shared" si="83"/>
        <v>0</v>
      </c>
      <c r="N711" s="63">
        <f t="shared" si="84"/>
        <v>0</v>
      </c>
      <c r="O711" s="63">
        <f t="shared" si="85"/>
        <v>0</v>
      </c>
      <c r="P711" s="63">
        <f t="shared" ref="P711:P749" si="86">IF($H711=16,$J711*$B$27,0)</f>
        <v>0</v>
      </c>
      <c r="Q711" s="561">
        <f t="shared" si="80"/>
        <v>0</v>
      </c>
      <c r="R711" s="174"/>
      <c r="T711" s="82"/>
      <c r="U711" s="82"/>
      <c r="V711" s="82"/>
      <c r="W711" s="82"/>
      <c r="X711" s="82"/>
      <c r="Y711" s="82"/>
      <c r="Z711" s="82"/>
      <c r="AA711" s="82"/>
      <c r="AB711" s="82"/>
    </row>
    <row r="712" spans="1:28" s="85" customFormat="1" x14ac:dyDescent="0.25">
      <c r="A712" s="82"/>
      <c r="B712" s="82"/>
      <c r="C712" s="82"/>
      <c r="D712" s="729"/>
      <c r="E712" s="371" t="s">
        <v>113</v>
      </c>
      <c r="F712" s="372">
        <v>6</v>
      </c>
      <c r="G712" s="373">
        <v>8</v>
      </c>
      <c r="H712" s="374">
        <v>5</v>
      </c>
      <c r="I712" s="375">
        <v>0.64</v>
      </c>
      <c r="J712" s="376">
        <f t="shared" si="79"/>
        <v>5.12</v>
      </c>
      <c r="K712" s="66">
        <f t="shared" si="81"/>
        <v>0.78847999999999996</v>
      </c>
      <c r="L712" s="63">
        <f t="shared" si="82"/>
        <v>0</v>
      </c>
      <c r="M712" s="63">
        <f t="shared" si="83"/>
        <v>0</v>
      </c>
      <c r="N712" s="63">
        <f t="shared" si="84"/>
        <v>0</v>
      </c>
      <c r="O712" s="63">
        <f t="shared" si="85"/>
        <v>0</v>
      </c>
      <c r="P712" s="63">
        <f t="shared" si="86"/>
        <v>0</v>
      </c>
      <c r="Q712" s="561">
        <f t="shared" si="80"/>
        <v>0</v>
      </c>
      <c r="R712" s="174"/>
      <c r="T712" s="82"/>
      <c r="U712" s="82"/>
      <c r="V712" s="82"/>
      <c r="W712" s="82"/>
      <c r="X712" s="82"/>
      <c r="Y712" s="82"/>
      <c r="Z712" s="82"/>
      <c r="AA712" s="82"/>
      <c r="AB712" s="82"/>
    </row>
    <row r="713" spans="1:28" s="85" customFormat="1" x14ac:dyDescent="0.25">
      <c r="A713" s="82"/>
      <c r="B713" s="82"/>
      <c r="C713" s="82"/>
      <c r="D713" s="729"/>
      <c r="E713" s="371" t="s">
        <v>113</v>
      </c>
      <c r="F713" s="372">
        <v>24</v>
      </c>
      <c r="G713" s="373">
        <v>8</v>
      </c>
      <c r="H713" s="374">
        <v>12.5</v>
      </c>
      <c r="I713" s="375">
        <v>3.87</v>
      </c>
      <c r="J713" s="376">
        <f t="shared" si="79"/>
        <v>30.96</v>
      </c>
      <c r="K713" s="66">
        <f t="shared" si="81"/>
        <v>0</v>
      </c>
      <c r="L713" s="63">
        <f t="shared" si="82"/>
        <v>0</v>
      </c>
      <c r="M713" s="63">
        <f t="shared" si="83"/>
        <v>0</v>
      </c>
      <c r="N713" s="63">
        <f t="shared" si="84"/>
        <v>0</v>
      </c>
      <c r="O713" s="63">
        <f t="shared" si="85"/>
        <v>29.81448</v>
      </c>
      <c r="P713" s="63">
        <f t="shared" si="86"/>
        <v>0</v>
      </c>
      <c r="Q713" s="561">
        <f t="shared" si="80"/>
        <v>0</v>
      </c>
      <c r="R713" s="174"/>
      <c r="T713" s="82"/>
      <c r="U713" s="82"/>
      <c r="V713" s="82"/>
      <c r="W713" s="82"/>
      <c r="X713" s="82"/>
      <c r="Y713" s="82"/>
      <c r="Z713" s="82"/>
      <c r="AA713" s="82"/>
      <c r="AB713" s="82"/>
    </row>
    <row r="714" spans="1:28" s="85" customFormat="1" x14ac:dyDescent="0.25">
      <c r="A714" s="82"/>
      <c r="B714" s="82"/>
      <c r="C714" s="82"/>
      <c r="D714" s="729"/>
      <c r="E714" s="396" t="s">
        <v>184</v>
      </c>
      <c r="F714" s="403">
        <v>4</v>
      </c>
      <c r="G714" s="397">
        <v>14</v>
      </c>
      <c r="H714" s="398">
        <v>5</v>
      </c>
      <c r="I714" s="399">
        <v>0.24</v>
      </c>
      <c r="J714" s="400">
        <f t="shared" si="79"/>
        <v>3.36</v>
      </c>
      <c r="K714" s="401">
        <f t="shared" si="81"/>
        <v>0.51744000000000001</v>
      </c>
      <c r="L714" s="196">
        <f t="shared" si="82"/>
        <v>0</v>
      </c>
      <c r="M714" s="196">
        <f t="shared" si="83"/>
        <v>0</v>
      </c>
      <c r="N714" s="196">
        <f t="shared" si="84"/>
        <v>0</v>
      </c>
      <c r="O714" s="196">
        <f t="shared" si="85"/>
        <v>0</v>
      </c>
      <c r="P714" s="196">
        <f t="shared" si="86"/>
        <v>0</v>
      </c>
      <c r="Q714" s="566">
        <f t="shared" si="80"/>
        <v>0</v>
      </c>
      <c r="R714" s="538"/>
      <c r="T714" s="82"/>
      <c r="U714" s="82"/>
      <c r="V714" s="82"/>
      <c r="W714" s="82"/>
      <c r="X714" s="82"/>
      <c r="Y714" s="82"/>
      <c r="Z714" s="82"/>
      <c r="AA714" s="82"/>
      <c r="AB714" s="82"/>
    </row>
    <row r="715" spans="1:28" s="85" customFormat="1" x14ac:dyDescent="0.25">
      <c r="A715" s="82"/>
      <c r="B715" s="82"/>
      <c r="C715" s="82"/>
      <c r="D715" s="729"/>
      <c r="E715" s="371" t="s">
        <v>184</v>
      </c>
      <c r="F715" s="372">
        <v>5</v>
      </c>
      <c r="G715" s="373">
        <v>6</v>
      </c>
      <c r="H715" s="374">
        <v>5</v>
      </c>
      <c r="I715" s="375">
        <v>0.97</v>
      </c>
      <c r="J715" s="376">
        <f t="shared" si="79"/>
        <v>5.82</v>
      </c>
      <c r="K715" s="66">
        <f t="shared" si="81"/>
        <v>0.89628000000000008</v>
      </c>
      <c r="L715" s="63">
        <f t="shared" si="82"/>
        <v>0</v>
      </c>
      <c r="M715" s="63">
        <f t="shared" si="83"/>
        <v>0</v>
      </c>
      <c r="N715" s="63">
        <f t="shared" si="84"/>
        <v>0</v>
      </c>
      <c r="O715" s="63">
        <f t="shared" si="85"/>
        <v>0</v>
      </c>
      <c r="P715" s="63">
        <f t="shared" si="86"/>
        <v>0</v>
      </c>
      <c r="Q715" s="562">
        <f t="shared" si="80"/>
        <v>0</v>
      </c>
      <c r="R715" s="377"/>
      <c r="T715" s="82"/>
      <c r="U715" s="82"/>
      <c r="V715" s="82"/>
      <c r="W715" s="82"/>
      <c r="X715" s="82"/>
      <c r="Y715" s="82"/>
      <c r="Z715" s="82"/>
      <c r="AA715" s="82"/>
      <c r="AB715" s="82"/>
    </row>
    <row r="716" spans="1:28" s="85" customFormat="1" x14ac:dyDescent="0.25">
      <c r="A716" s="82"/>
      <c r="B716" s="82"/>
      <c r="C716" s="82"/>
      <c r="D716" s="729"/>
      <c r="E716" s="371" t="s">
        <v>184</v>
      </c>
      <c r="F716" s="372">
        <v>6</v>
      </c>
      <c r="G716" s="373">
        <v>2</v>
      </c>
      <c r="H716" s="374">
        <v>5</v>
      </c>
      <c r="I716" s="375">
        <v>0.64</v>
      </c>
      <c r="J716" s="376">
        <f t="shared" si="79"/>
        <v>1.28</v>
      </c>
      <c r="K716" s="66">
        <f t="shared" si="81"/>
        <v>0.19711999999999999</v>
      </c>
      <c r="L716" s="63">
        <f t="shared" si="82"/>
        <v>0</v>
      </c>
      <c r="M716" s="63">
        <f t="shared" si="83"/>
        <v>0</v>
      </c>
      <c r="N716" s="63">
        <f t="shared" si="84"/>
        <v>0</v>
      </c>
      <c r="O716" s="63">
        <f t="shared" si="85"/>
        <v>0</v>
      </c>
      <c r="P716" s="63">
        <f t="shared" si="86"/>
        <v>0</v>
      </c>
      <c r="Q716" s="562">
        <f t="shared" si="80"/>
        <v>0</v>
      </c>
      <c r="R716" s="377"/>
      <c r="T716" s="82"/>
      <c r="U716" s="82"/>
      <c r="V716" s="82"/>
      <c r="W716" s="82"/>
      <c r="X716" s="82"/>
      <c r="Y716" s="82"/>
      <c r="Z716" s="82"/>
      <c r="AA716" s="82"/>
      <c r="AB716" s="82"/>
    </row>
    <row r="717" spans="1:28" s="85" customFormat="1" ht="13.8" thickBot="1" x14ac:dyDescent="0.3">
      <c r="A717" s="82"/>
      <c r="B717" s="82"/>
      <c r="C717" s="82"/>
      <c r="D717" s="731"/>
      <c r="E717" s="390" t="s">
        <v>184</v>
      </c>
      <c r="F717" s="391">
        <v>46</v>
      </c>
      <c r="G717" s="392">
        <v>8</v>
      </c>
      <c r="H717" s="393">
        <v>12.5</v>
      </c>
      <c r="I717" s="394">
        <v>1.02</v>
      </c>
      <c r="J717" s="395">
        <f t="shared" si="79"/>
        <v>8.16</v>
      </c>
      <c r="K717" s="221">
        <f t="shared" si="81"/>
        <v>0</v>
      </c>
      <c r="L717" s="222">
        <f t="shared" si="82"/>
        <v>0</v>
      </c>
      <c r="M717" s="222">
        <f t="shared" si="83"/>
        <v>0</v>
      </c>
      <c r="N717" s="222">
        <f t="shared" si="84"/>
        <v>0</v>
      </c>
      <c r="O717" s="222">
        <f t="shared" si="85"/>
        <v>7.8580800000000002</v>
      </c>
      <c r="P717" s="222">
        <f t="shared" si="86"/>
        <v>0</v>
      </c>
      <c r="Q717" s="564">
        <f t="shared" si="80"/>
        <v>0</v>
      </c>
      <c r="R717" s="539"/>
      <c r="T717" s="82"/>
      <c r="U717" s="82"/>
      <c r="V717" s="82"/>
      <c r="W717" s="82"/>
      <c r="X717" s="82"/>
      <c r="Y717" s="82"/>
      <c r="Z717" s="82"/>
      <c r="AA717" s="82"/>
      <c r="AB717" s="82"/>
    </row>
    <row r="718" spans="1:28" s="85" customFormat="1" ht="13.8" thickTop="1" x14ac:dyDescent="0.25">
      <c r="A718" s="82"/>
      <c r="B718" s="82"/>
      <c r="C718" s="82"/>
      <c r="D718" s="728" t="s">
        <v>1524</v>
      </c>
      <c r="E718" s="384" t="s">
        <v>49</v>
      </c>
      <c r="F718" s="385">
        <v>1</v>
      </c>
      <c r="G718" s="386">
        <v>24</v>
      </c>
      <c r="H718" s="387">
        <v>5</v>
      </c>
      <c r="I718" s="388">
        <v>0.24</v>
      </c>
      <c r="J718" s="389">
        <f t="shared" si="79"/>
        <v>5.76</v>
      </c>
      <c r="K718" s="218">
        <f t="shared" si="81"/>
        <v>0.88703999999999994</v>
      </c>
      <c r="L718" s="219">
        <f t="shared" si="82"/>
        <v>0</v>
      </c>
      <c r="M718" s="219">
        <f t="shared" si="83"/>
        <v>0</v>
      </c>
      <c r="N718" s="219">
        <f t="shared" si="84"/>
        <v>0</v>
      </c>
      <c r="O718" s="219">
        <f t="shared" si="85"/>
        <v>0</v>
      </c>
      <c r="P718" s="219">
        <f t="shared" si="86"/>
        <v>0</v>
      </c>
      <c r="Q718" s="563">
        <f t="shared" si="80"/>
        <v>0</v>
      </c>
      <c r="R718" s="220"/>
      <c r="T718" s="82"/>
      <c r="U718" s="82"/>
      <c r="V718" s="82"/>
      <c r="W718" s="82"/>
      <c r="X718" s="82"/>
      <c r="Y718" s="82"/>
      <c r="Z718" s="82"/>
      <c r="AA718" s="82"/>
      <c r="AB718" s="82"/>
    </row>
    <row r="719" spans="1:28" s="85" customFormat="1" x14ac:dyDescent="0.25">
      <c r="A719" s="82"/>
      <c r="B719" s="82"/>
      <c r="C719" s="82"/>
      <c r="D719" s="729"/>
      <c r="E719" s="371" t="s">
        <v>49</v>
      </c>
      <c r="F719" s="372">
        <v>2</v>
      </c>
      <c r="G719" s="373">
        <v>7</v>
      </c>
      <c r="H719" s="374">
        <v>5</v>
      </c>
      <c r="I719" s="375">
        <v>0.97</v>
      </c>
      <c r="J719" s="376">
        <f t="shared" si="79"/>
        <v>6.79</v>
      </c>
      <c r="K719" s="66">
        <f t="shared" si="81"/>
        <v>1.04566</v>
      </c>
      <c r="L719" s="63">
        <f t="shared" si="82"/>
        <v>0</v>
      </c>
      <c r="M719" s="63">
        <f t="shared" si="83"/>
        <v>0</v>
      </c>
      <c r="N719" s="63">
        <f t="shared" si="84"/>
        <v>0</v>
      </c>
      <c r="O719" s="63">
        <f t="shared" si="85"/>
        <v>0</v>
      </c>
      <c r="P719" s="63">
        <f t="shared" si="86"/>
        <v>0</v>
      </c>
      <c r="Q719" s="561">
        <f t="shared" si="80"/>
        <v>0</v>
      </c>
      <c r="R719" s="174"/>
      <c r="T719" s="82"/>
      <c r="U719" s="82"/>
      <c r="V719" s="82"/>
      <c r="W719" s="82"/>
      <c r="X719" s="82"/>
      <c r="Y719" s="82"/>
      <c r="Z719" s="82"/>
      <c r="AA719" s="82"/>
      <c r="AB719" s="82"/>
    </row>
    <row r="720" spans="1:28" s="85" customFormat="1" x14ac:dyDescent="0.25">
      <c r="A720" s="82"/>
      <c r="B720" s="82"/>
      <c r="C720" s="82"/>
      <c r="D720" s="729"/>
      <c r="E720" s="371" t="s">
        <v>49</v>
      </c>
      <c r="F720" s="372">
        <v>3</v>
      </c>
      <c r="G720" s="373">
        <v>10</v>
      </c>
      <c r="H720" s="374">
        <v>5</v>
      </c>
      <c r="I720" s="375">
        <v>0.64</v>
      </c>
      <c r="J720" s="376">
        <f t="shared" si="79"/>
        <v>6.4</v>
      </c>
      <c r="K720" s="66">
        <f t="shared" si="81"/>
        <v>0.98560000000000003</v>
      </c>
      <c r="L720" s="63">
        <f t="shared" si="82"/>
        <v>0</v>
      </c>
      <c r="M720" s="63">
        <f t="shared" si="83"/>
        <v>0</v>
      </c>
      <c r="N720" s="63">
        <f t="shared" si="84"/>
        <v>0</v>
      </c>
      <c r="O720" s="63">
        <f t="shared" si="85"/>
        <v>0</v>
      </c>
      <c r="P720" s="63">
        <f t="shared" si="86"/>
        <v>0</v>
      </c>
      <c r="Q720" s="561">
        <f t="shared" si="80"/>
        <v>0</v>
      </c>
      <c r="R720" s="174"/>
      <c r="T720" s="82"/>
      <c r="U720" s="82"/>
      <c r="V720" s="82"/>
      <c r="W720" s="82"/>
      <c r="X720" s="82"/>
      <c r="Y720" s="82"/>
      <c r="Z720" s="82"/>
      <c r="AA720" s="82"/>
      <c r="AB720" s="82"/>
    </row>
    <row r="721" spans="1:28" s="85" customFormat="1" x14ac:dyDescent="0.25">
      <c r="A721" s="82"/>
      <c r="B721" s="82"/>
      <c r="C721" s="82"/>
      <c r="D721" s="729"/>
      <c r="E721" s="371" t="s">
        <v>49</v>
      </c>
      <c r="F721" s="372">
        <v>29</v>
      </c>
      <c r="G721" s="373">
        <v>8</v>
      </c>
      <c r="H721" s="374">
        <v>12.5</v>
      </c>
      <c r="I721" s="375">
        <v>1.55</v>
      </c>
      <c r="J721" s="376">
        <f t="shared" si="79"/>
        <v>12.4</v>
      </c>
      <c r="K721" s="66">
        <f t="shared" si="81"/>
        <v>0</v>
      </c>
      <c r="L721" s="63">
        <f t="shared" si="82"/>
        <v>0</v>
      </c>
      <c r="M721" s="63">
        <f t="shared" si="83"/>
        <v>0</v>
      </c>
      <c r="N721" s="63">
        <f t="shared" si="84"/>
        <v>0</v>
      </c>
      <c r="O721" s="63">
        <f t="shared" si="85"/>
        <v>11.9412</v>
      </c>
      <c r="P721" s="63">
        <f t="shared" si="86"/>
        <v>0</v>
      </c>
      <c r="Q721" s="561">
        <f t="shared" si="80"/>
        <v>0</v>
      </c>
      <c r="R721" s="174"/>
      <c r="T721" s="82"/>
      <c r="U721" s="82"/>
      <c r="V721" s="82"/>
      <c r="W721" s="82"/>
      <c r="X721" s="82"/>
      <c r="Y721" s="82"/>
      <c r="Z721" s="82"/>
      <c r="AA721" s="82"/>
      <c r="AB721" s="82"/>
    </row>
    <row r="722" spans="1:28" s="85" customFormat="1" x14ac:dyDescent="0.25">
      <c r="A722" s="82"/>
      <c r="B722" s="82"/>
      <c r="C722" s="82"/>
      <c r="D722" s="729"/>
      <c r="E722" s="371" t="s">
        <v>113</v>
      </c>
      <c r="F722" s="372">
        <v>4</v>
      </c>
      <c r="G722" s="373">
        <v>48</v>
      </c>
      <c r="H722" s="374">
        <v>5</v>
      </c>
      <c r="I722" s="375">
        <v>0.24</v>
      </c>
      <c r="J722" s="376">
        <f t="shared" si="79"/>
        <v>11.52</v>
      </c>
      <c r="K722" s="66">
        <f t="shared" si="81"/>
        <v>1.7740799999999999</v>
      </c>
      <c r="L722" s="63">
        <f t="shared" si="82"/>
        <v>0</v>
      </c>
      <c r="M722" s="63">
        <f t="shared" si="83"/>
        <v>0</v>
      </c>
      <c r="N722" s="63">
        <f t="shared" si="84"/>
        <v>0</v>
      </c>
      <c r="O722" s="63">
        <f t="shared" si="85"/>
        <v>0</v>
      </c>
      <c r="P722" s="63">
        <f t="shared" si="86"/>
        <v>0</v>
      </c>
      <c r="Q722" s="561">
        <f t="shared" si="80"/>
        <v>0</v>
      </c>
      <c r="R722" s="174"/>
      <c r="T722" s="82"/>
      <c r="U722" s="82"/>
      <c r="V722" s="82"/>
      <c r="W722" s="82"/>
      <c r="X722" s="82"/>
      <c r="Y722" s="82"/>
      <c r="Z722" s="82"/>
      <c r="AA722" s="82"/>
      <c r="AB722" s="82"/>
    </row>
    <row r="723" spans="1:28" s="85" customFormat="1" x14ac:dyDescent="0.25">
      <c r="A723" s="82"/>
      <c r="B723" s="82"/>
      <c r="C723" s="82"/>
      <c r="D723" s="729"/>
      <c r="E723" s="371" t="s">
        <v>113</v>
      </c>
      <c r="F723" s="372">
        <v>5</v>
      </c>
      <c r="G723" s="373">
        <v>20</v>
      </c>
      <c r="H723" s="374">
        <v>5</v>
      </c>
      <c r="I723" s="375">
        <v>0.97</v>
      </c>
      <c r="J723" s="376">
        <f t="shared" si="79"/>
        <v>19.399999999999999</v>
      </c>
      <c r="K723" s="66">
        <f t="shared" si="81"/>
        <v>2.9875999999999996</v>
      </c>
      <c r="L723" s="63">
        <f t="shared" si="82"/>
        <v>0</v>
      </c>
      <c r="M723" s="63">
        <f t="shared" si="83"/>
        <v>0</v>
      </c>
      <c r="N723" s="63">
        <f t="shared" si="84"/>
        <v>0</v>
      </c>
      <c r="O723" s="63">
        <f t="shared" si="85"/>
        <v>0</v>
      </c>
      <c r="P723" s="63">
        <f t="shared" si="86"/>
        <v>0</v>
      </c>
      <c r="Q723" s="561">
        <f t="shared" si="80"/>
        <v>0</v>
      </c>
      <c r="R723" s="174"/>
      <c r="T723" s="82"/>
      <c r="U723" s="82"/>
      <c r="V723" s="82"/>
      <c r="W723" s="82"/>
      <c r="X723" s="82"/>
      <c r="Y723" s="82"/>
      <c r="Z723" s="82"/>
      <c r="AA723" s="82"/>
      <c r="AB723" s="82"/>
    </row>
    <row r="724" spans="1:28" s="85" customFormat="1" x14ac:dyDescent="0.25">
      <c r="A724" s="82"/>
      <c r="B724" s="82"/>
      <c r="C724" s="82"/>
      <c r="D724" s="729"/>
      <c r="E724" s="371" t="s">
        <v>113</v>
      </c>
      <c r="F724" s="372">
        <v>6</v>
      </c>
      <c r="G724" s="373">
        <v>8</v>
      </c>
      <c r="H724" s="374">
        <v>5</v>
      </c>
      <c r="I724" s="375">
        <v>0.64</v>
      </c>
      <c r="J724" s="376">
        <f t="shared" si="79"/>
        <v>5.12</v>
      </c>
      <c r="K724" s="66">
        <f t="shared" si="81"/>
        <v>0.78847999999999996</v>
      </c>
      <c r="L724" s="63">
        <f t="shared" si="82"/>
        <v>0</v>
      </c>
      <c r="M724" s="63">
        <f t="shared" si="83"/>
        <v>0</v>
      </c>
      <c r="N724" s="63">
        <f t="shared" si="84"/>
        <v>0</v>
      </c>
      <c r="O724" s="63">
        <f t="shared" si="85"/>
        <v>0</v>
      </c>
      <c r="P724" s="63">
        <f t="shared" si="86"/>
        <v>0</v>
      </c>
      <c r="Q724" s="561">
        <f t="shared" si="80"/>
        <v>0</v>
      </c>
      <c r="R724" s="174"/>
      <c r="T724" s="82"/>
      <c r="U724" s="82"/>
      <c r="V724" s="82"/>
      <c r="W724" s="82"/>
      <c r="X724" s="82"/>
      <c r="Y724" s="82"/>
      <c r="Z724" s="82"/>
      <c r="AA724" s="82"/>
      <c r="AB724" s="82"/>
    </row>
    <row r="725" spans="1:28" s="85" customFormat="1" x14ac:dyDescent="0.25">
      <c r="A725" s="82"/>
      <c r="B725" s="82"/>
      <c r="C725" s="82"/>
      <c r="D725" s="729"/>
      <c r="E725" s="371" t="s">
        <v>113</v>
      </c>
      <c r="F725" s="372">
        <v>24</v>
      </c>
      <c r="G725" s="373">
        <v>8</v>
      </c>
      <c r="H725" s="374">
        <v>12.5</v>
      </c>
      <c r="I725" s="375">
        <v>3.87</v>
      </c>
      <c r="J725" s="376">
        <f t="shared" si="79"/>
        <v>30.96</v>
      </c>
      <c r="K725" s="66">
        <f t="shared" si="81"/>
        <v>0</v>
      </c>
      <c r="L725" s="63">
        <f t="shared" si="82"/>
        <v>0</v>
      </c>
      <c r="M725" s="63">
        <f t="shared" si="83"/>
        <v>0</v>
      </c>
      <c r="N725" s="63">
        <f t="shared" si="84"/>
        <v>0</v>
      </c>
      <c r="O725" s="63">
        <f t="shared" si="85"/>
        <v>29.81448</v>
      </c>
      <c r="P725" s="63">
        <f t="shared" si="86"/>
        <v>0</v>
      </c>
      <c r="Q725" s="561">
        <f t="shared" si="80"/>
        <v>0</v>
      </c>
      <c r="R725" s="174"/>
      <c r="T725" s="82"/>
      <c r="U725" s="82"/>
      <c r="V725" s="82"/>
      <c r="W725" s="82"/>
      <c r="X725" s="82"/>
      <c r="Y725" s="82"/>
      <c r="Z725" s="82"/>
      <c r="AA725" s="82"/>
      <c r="AB725" s="82"/>
    </row>
    <row r="726" spans="1:28" s="85" customFormat="1" x14ac:dyDescent="0.25">
      <c r="A726" s="82"/>
      <c r="B726" s="82"/>
      <c r="C726" s="82"/>
      <c r="D726" s="729"/>
      <c r="E726" s="396" t="s">
        <v>184</v>
      </c>
      <c r="F726" s="403">
        <v>4</v>
      </c>
      <c r="G726" s="397">
        <v>14</v>
      </c>
      <c r="H726" s="398">
        <v>5</v>
      </c>
      <c r="I726" s="399">
        <v>0.24</v>
      </c>
      <c r="J726" s="400">
        <f t="shared" si="79"/>
        <v>3.36</v>
      </c>
      <c r="K726" s="401">
        <f t="shared" si="81"/>
        <v>0.51744000000000001</v>
      </c>
      <c r="L726" s="196">
        <f t="shared" si="82"/>
        <v>0</v>
      </c>
      <c r="M726" s="196">
        <f t="shared" si="83"/>
        <v>0</v>
      </c>
      <c r="N726" s="196">
        <f t="shared" si="84"/>
        <v>0</v>
      </c>
      <c r="O726" s="196">
        <f t="shared" si="85"/>
        <v>0</v>
      </c>
      <c r="P726" s="196">
        <f t="shared" si="86"/>
        <v>0</v>
      </c>
      <c r="Q726" s="566">
        <f t="shared" si="80"/>
        <v>0</v>
      </c>
      <c r="R726" s="538"/>
      <c r="T726" s="82"/>
      <c r="U726" s="82"/>
      <c r="V726" s="82"/>
      <c r="W726" s="82"/>
      <c r="X726" s="82"/>
      <c r="Y726" s="82"/>
      <c r="Z726" s="82"/>
      <c r="AA726" s="82"/>
      <c r="AB726" s="82"/>
    </row>
    <row r="727" spans="1:28" s="85" customFormat="1" x14ac:dyDescent="0.25">
      <c r="A727" s="82"/>
      <c r="B727" s="82"/>
      <c r="C727" s="82"/>
      <c r="D727" s="729"/>
      <c r="E727" s="371" t="s">
        <v>184</v>
      </c>
      <c r="F727" s="372">
        <v>5</v>
      </c>
      <c r="G727" s="373">
        <v>6</v>
      </c>
      <c r="H727" s="374">
        <v>5</v>
      </c>
      <c r="I727" s="375">
        <v>0.97</v>
      </c>
      <c r="J727" s="376">
        <f t="shared" si="79"/>
        <v>5.82</v>
      </c>
      <c r="K727" s="66">
        <f t="shared" si="81"/>
        <v>0.89628000000000008</v>
      </c>
      <c r="L727" s="63">
        <f t="shared" si="82"/>
        <v>0</v>
      </c>
      <c r="M727" s="63">
        <f t="shared" si="83"/>
        <v>0</v>
      </c>
      <c r="N727" s="63">
        <f t="shared" si="84"/>
        <v>0</v>
      </c>
      <c r="O727" s="63">
        <f t="shared" si="85"/>
        <v>0</v>
      </c>
      <c r="P727" s="63">
        <f t="shared" si="86"/>
        <v>0</v>
      </c>
      <c r="Q727" s="562">
        <f t="shared" si="80"/>
        <v>0</v>
      </c>
      <c r="R727" s="377"/>
      <c r="T727" s="82"/>
      <c r="U727" s="82"/>
      <c r="V727" s="82"/>
      <c r="W727" s="82"/>
      <c r="X727" s="82"/>
      <c r="Y727" s="82"/>
      <c r="Z727" s="82"/>
      <c r="AA727" s="82"/>
      <c r="AB727" s="82"/>
    </row>
    <row r="728" spans="1:28" s="85" customFormat="1" x14ac:dyDescent="0.25">
      <c r="A728" s="82"/>
      <c r="B728" s="82"/>
      <c r="C728" s="82"/>
      <c r="D728" s="729"/>
      <c r="E728" s="371" t="s">
        <v>184</v>
      </c>
      <c r="F728" s="372">
        <v>6</v>
      </c>
      <c r="G728" s="373">
        <v>2</v>
      </c>
      <c r="H728" s="374">
        <v>5</v>
      </c>
      <c r="I728" s="375">
        <v>0.64</v>
      </c>
      <c r="J728" s="376">
        <f t="shared" si="79"/>
        <v>1.28</v>
      </c>
      <c r="K728" s="66">
        <f t="shared" si="81"/>
        <v>0.19711999999999999</v>
      </c>
      <c r="L728" s="63">
        <f t="shared" si="82"/>
        <v>0</v>
      </c>
      <c r="M728" s="63">
        <f t="shared" si="83"/>
        <v>0</v>
      </c>
      <c r="N728" s="63">
        <f t="shared" si="84"/>
        <v>0</v>
      </c>
      <c r="O728" s="63">
        <f t="shared" si="85"/>
        <v>0</v>
      </c>
      <c r="P728" s="63">
        <f t="shared" si="86"/>
        <v>0</v>
      </c>
      <c r="Q728" s="562">
        <f t="shared" si="80"/>
        <v>0</v>
      </c>
      <c r="R728" s="377"/>
      <c r="T728" s="82"/>
      <c r="U728" s="82"/>
      <c r="V728" s="82"/>
      <c r="W728" s="82"/>
      <c r="X728" s="82"/>
      <c r="Y728" s="82"/>
      <c r="Z728" s="82"/>
      <c r="AA728" s="82"/>
      <c r="AB728" s="82"/>
    </row>
    <row r="729" spans="1:28" s="85" customFormat="1" ht="13.8" thickBot="1" x14ac:dyDescent="0.3">
      <c r="A729" s="82"/>
      <c r="B729" s="82"/>
      <c r="C729" s="82"/>
      <c r="D729" s="731"/>
      <c r="E729" s="390" t="s">
        <v>184</v>
      </c>
      <c r="F729" s="391">
        <v>46</v>
      </c>
      <c r="G729" s="392">
        <v>8</v>
      </c>
      <c r="H729" s="393">
        <v>12.5</v>
      </c>
      <c r="I729" s="394">
        <v>1.02</v>
      </c>
      <c r="J729" s="395">
        <f t="shared" si="79"/>
        <v>8.16</v>
      </c>
      <c r="K729" s="221">
        <f t="shared" si="81"/>
        <v>0</v>
      </c>
      <c r="L729" s="222">
        <f t="shared" si="82"/>
        <v>0</v>
      </c>
      <c r="M729" s="222">
        <f t="shared" si="83"/>
        <v>0</v>
      </c>
      <c r="N729" s="222">
        <f t="shared" si="84"/>
        <v>0</v>
      </c>
      <c r="O729" s="222">
        <f t="shared" si="85"/>
        <v>7.8580800000000002</v>
      </c>
      <c r="P729" s="222">
        <f t="shared" si="86"/>
        <v>0</v>
      </c>
      <c r="Q729" s="564">
        <f t="shared" si="80"/>
        <v>0</v>
      </c>
      <c r="R729" s="539"/>
      <c r="T729" s="82"/>
      <c r="U729" s="82"/>
      <c r="V729" s="82"/>
      <c r="W729" s="82"/>
      <c r="X729" s="82"/>
      <c r="Y729" s="82"/>
      <c r="Z729" s="82"/>
      <c r="AA729" s="82"/>
      <c r="AB729" s="82"/>
    </row>
    <row r="730" spans="1:28" s="85" customFormat="1" ht="13.8" thickTop="1" x14ac:dyDescent="0.25">
      <c r="A730" s="82"/>
      <c r="B730" s="82"/>
      <c r="C730" s="82"/>
      <c r="D730" s="728" t="s">
        <v>1526</v>
      </c>
      <c r="E730" s="384" t="s">
        <v>49</v>
      </c>
      <c r="F730" s="385">
        <v>4</v>
      </c>
      <c r="G730" s="386">
        <f>3*10</f>
        <v>30</v>
      </c>
      <c r="H730" s="387">
        <v>5</v>
      </c>
      <c r="I730" s="388">
        <v>0.33</v>
      </c>
      <c r="J730" s="389">
        <f t="shared" si="79"/>
        <v>9.9</v>
      </c>
      <c r="K730" s="218">
        <f t="shared" si="81"/>
        <v>1.5246</v>
      </c>
      <c r="L730" s="219">
        <f t="shared" si="82"/>
        <v>0</v>
      </c>
      <c r="M730" s="219">
        <f t="shared" si="83"/>
        <v>0</v>
      </c>
      <c r="N730" s="219">
        <f t="shared" si="84"/>
        <v>0</v>
      </c>
      <c r="O730" s="219">
        <f t="shared" si="85"/>
        <v>0</v>
      </c>
      <c r="P730" s="219">
        <f t="shared" si="86"/>
        <v>0</v>
      </c>
      <c r="Q730" s="563">
        <f t="shared" si="80"/>
        <v>0</v>
      </c>
      <c r="R730" s="220"/>
      <c r="T730" s="82"/>
      <c r="U730" s="82"/>
      <c r="V730" s="82"/>
      <c r="W730" s="82"/>
      <c r="X730" s="82"/>
      <c r="Y730" s="82"/>
      <c r="Z730" s="82"/>
      <c r="AA730" s="82"/>
      <c r="AB730" s="82"/>
    </row>
    <row r="731" spans="1:28" s="85" customFormat="1" x14ac:dyDescent="0.25">
      <c r="A731" s="82"/>
      <c r="B731" s="82"/>
      <c r="C731" s="82"/>
      <c r="D731" s="729"/>
      <c r="E731" s="371" t="s">
        <v>49</v>
      </c>
      <c r="F731" s="372">
        <v>5</v>
      </c>
      <c r="G731" s="373">
        <f>3*3</f>
        <v>9</v>
      </c>
      <c r="H731" s="374">
        <v>5</v>
      </c>
      <c r="I731" s="375">
        <v>1.77</v>
      </c>
      <c r="J731" s="376">
        <f t="shared" si="79"/>
        <v>15.93</v>
      </c>
      <c r="K731" s="66">
        <f t="shared" si="81"/>
        <v>2.45322</v>
      </c>
      <c r="L731" s="63">
        <f t="shared" si="82"/>
        <v>0</v>
      </c>
      <c r="M731" s="63">
        <f t="shared" si="83"/>
        <v>0</v>
      </c>
      <c r="N731" s="63">
        <f t="shared" si="84"/>
        <v>0</v>
      </c>
      <c r="O731" s="63">
        <f t="shared" si="85"/>
        <v>0</v>
      </c>
      <c r="P731" s="63">
        <f t="shared" si="86"/>
        <v>0</v>
      </c>
      <c r="Q731" s="561">
        <f t="shared" si="80"/>
        <v>0</v>
      </c>
      <c r="R731" s="174"/>
      <c r="T731" s="82"/>
      <c r="U731" s="82"/>
      <c r="V731" s="82"/>
      <c r="W731" s="82"/>
      <c r="X731" s="82"/>
      <c r="Y731" s="82"/>
      <c r="Z731" s="82"/>
      <c r="AA731" s="82"/>
      <c r="AB731" s="82"/>
    </row>
    <row r="732" spans="1:28" s="85" customFormat="1" x14ac:dyDescent="0.25">
      <c r="A732" s="82"/>
      <c r="B732" s="82"/>
      <c r="C732" s="82"/>
      <c r="D732" s="729"/>
      <c r="E732" s="371" t="s">
        <v>49</v>
      </c>
      <c r="F732" s="372">
        <v>6</v>
      </c>
      <c r="G732" s="373">
        <f>3*4</f>
        <v>12</v>
      </c>
      <c r="H732" s="374">
        <v>5</v>
      </c>
      <c r="I732" s="375">
        <v>1.1399999999999999</v>
      </c>
      <c r="J732" s="376">
        <f t="shared" si="79"/>
        <v>13.68</v>
      </c>
      <c r="K732" s="66">
        <f t="shared" si="81"/>
        <v>2.1067200000000001</v>
      </c>
      <c r="L732" s="63">
        <f t="shared" si="82"/>
        <v>0</v>
      </c>
      <c r="M732" s="63">
        <f t="shared" si="83"/>
        <v>0</v>
      </c>
      <c r="N732" s="63">
        <f t="shared" si="84"/>
        <v>0</v>
      </c>
      <c r="O732" s="63">
        <f t="shared" si="85"/>
        <v>0</v>
      </c>
      <c r="P732" s="63">
        <f t="shared" si="86"/>
        <v>0</v>
      </c>
      <c r="Q732" s="561">
        <f t="shared" si="80"/>
        <v>0</v>
      </c>
      <c r="R732" s="174"/>
      <c r="T732" s="82"/>
      <c r="U732" s="82"/>
      <c r="V732" s="82"/>
      <c r="W732" s="82"/>
      <c r="X732" s="82"/>
      <c r="Y732" s="82"/>
      <c r="Z732" s="82"/>
      <c r="AA732" s="82"/>
      <c r="AB732" s="82"/>
    </row>
    <row r="733" spans="1:28" s="85" customFormat="1" x14ac:dyDescent="0.25">
      <c r="A733" s="82"/>
      <c r="B733" s="82"/>
      <c r="C733" s="82"/>
      <c r="D733" s="729"/>
      <c r="E733" s="371" t="s">
        <v>49</v>
      </c>
      <c r="F733" s="372">
        <v>31</v>
      </c>
      <c r="G733" s="373">
        <f>3*8</f>
        <v>24</v>
      </c>
      <c r="H733" s="374">
        <v>20</v>
      </c>
      <c r="I733" s="375">
        <v>1.72</v>
      </c>
      <c r="J733" s="376">
        <f t="shared" si="79"/>
        <v>41.28</v>
      </c>
      <c r="K733" s="66">
        <f t="shared" si="81"/>
        <v>0</v>
      </c>
      <c r="L733" s="63">
        <f t="shared" si="82"/>
        <v>0</v>
      </c>
      <c r="M733" s="63">
        <f t="shared" si="83"/>
        <v>0</v>
      </c>
      <c r="N733" s="63">
        <f t="shared" si="84"/>
        <v>0</v>
      </c>
      <c r="O733" s="63">
        <f t="shared" si="85"/>
        <v>0</v>
      </c>
      <c r="P733" s="63">
        <f t="shared" si="86"/>
        <v>0</v>
      </c>
      <c r="Q733" s="561">
        <f t="shared" si="80"/>
        <v>101.79648000000002</v>
      </c>
      <c r="R733" s="174"/>
      <c r="T733" s="82"/>
      <c r="U733" s="82"/>
      <c r="V733" s="82"/>
      <c r="W733" s="82"/>
      <c r="X733" s="82"/>
      <c r="Y733" s="82"/>
      <c r="Z733" s="82"/>
      <c r="AA733" s="82"/>
      <c r="AB733" s="82"/>
    </row>
    <row r="734" spans="1:28" s="85" customFormat="1" x14ac:dyDescent="0.25">
      <c r="A734" s="82"/>
      <c r="B734" s="82"/>
      <c r="C734" s="82"/>
      <c r="D734" s="729"/>
      <c r="E734" s="371" t="s">
        <v>113</v>
      </c>
      <c r="F734" s="372">
        <v>7</v>
      </c>
      <c r="G734" s="373">
        <f>3*36</f>
        <v>108</v>
      </c>
      <c r="H734" s="374">
        <v>5</v>
      </c>
      <c r="I734" s="375">
        <v>0.33</v>
      </c>
      <c r="J734" s="376">
        <f t="shared" si="79"/>
        <v>35.64</v>
      </c>
      <c r="K734" s="66">
        <f t="shared" si="81"/>
        <v>5.4885599999999997</v>
      </c>
      <c r="L734" s="63">
        <f t="shared" si="82"/>
        <v>0</v>
      </c>
      <c r="M734" s="63">
        <f t="shared" si="83"/>
        <v>0</v>
      </c>
      <c r="N734" s="63">
        <f t="shared" si="84"/>
        <v>0</v>
      </c>
      <c r="O734" s="63">
        <f t="shared" si="85"/>
        <v>0</v>
      </c>
      <c r="P734" s="63">
        <f t="shared" si="86"/>
        <v>0</v>
      </c>
      <c r="Q734" s="561">
        <f t="shared" si="80"/>
        <v>0</v>
      </c>
      <c r="R734" s="174"/>
      <c r="T734" s="82"/>
      <c r="U734" s="82"/>
      <c r="V734" s="82"/>
      <c r="W734" s="82"/>
      <c r="X734" s="82"/>
      <c r="Y734" s="82"/>
      <c r="Z734" s="82"/>
      <c r="AA734" s="82"/>
      <c r="AB734" s="82"/>
    </row>
    <row r="735" spans="1:28" s="85" customFormat="1" x14ac:dyDescent="0.25">
      <c r="A735" s="82"/>
      <c r="B735" s="82"/>
      <c r="C735" s="82"/>
      <c r="D735" s="729"/>
      <c r="E735" s="371" t="s">
        <v>113</v>
      </c>
      <c r="F735" s="372">
        <v>12</v>
      </c>
      <c r="G735" s="373">
        <f>3*15</f>
        <v>45</v>
      </c>
      <c r="H735" s="374">
        <v>5</v>
      </c>
      <c r="I735" s="375">
        <v>1.77</v>
      </c>
      <c r="J735" s="376">
        <f t="shared" si="79"/>
        <v>79.650000000000006</v>
      </c>
      <c r="K735" s="66">
        <f t="shared" si="81"/>
        <v>12.266100000000002</v>
      </c>
      <c r="L735" s="63">
        <f t="shared" si="82"/>
        <v>0</v>
      </c>
      <c r="M735" s="63">
        <f t="shared" si="83"/>
        <v>0</v>
      </c>
      <c r="N735" s="63">
        <f t="shared" si="84"/>
        <v>0</v>
      </c>
      <c r="O735" s="63">
        <f t="shared" si="85"/>
        <v>0</v>
      </c>
      <c r="P735" s="63">
        <f t="shared" si="86"/>
        <v>0</v>
      </c>
      <c r="Q735" s="561">
        <f t="shared" si="80"/>
        <v>0</v>
      </c>
      <c r="R735" s="174"/>
      <c r="T735" s="82"/>
      <c r="U735" s="82"/>
      <c r="V735" s="82"/>
      <c r="W735" s="82"/>
      <c r="X735" s="82"/>
      <c r="Y735" s="82"/>
      <c r="Z735" s="82"/>
      <c r="AA735" s="82"/>
      <c r="AB735" s="82"/>
    </row>
    <row r="736" spans="1:28" s="85" customFormat="1" x14ac:dyDescent="0.25">
      <c r="A736" s="82"/>
      <c r="B736" s="82"/>
      <c r="C736" s="82"/>
      <c r="D736" s="729"/>
      <c r="E736" s="371" t="s">
        <v>113</v>
      </c>
      <c r="F736" s="372">
        <v>13</v>
      </c>
      <c r="G736" s="373">
        <f>3*6</f>
        <v>18</v>
      </c>
      <c r="H736" s="374">
        <v>5</v>
      </c>
      <c r="I736" s="375">
        <v>1.1399999999999999</v>
      </c>
      <c r="J736" s="376">
        <f t="shared" si="79"/>
        <v>20.52</v>
      </c>
      <c r="K736" s="66">
        <f t="shared" si="81"/>
        <v>3.1600799999999998</v>
      </c>
      <c r="L736" s="63">
        <f t="shared" si="82"/>
        <v>0</v>
      </c>
      <c r="M736" s="63">
        <f t="shared" si="83"/>
        <v>0</v>
      </c>
      <c r="N736" s="63">
        <f t="shared" si="84"/>
        <v>0</v>
      </c>
      <c r="O736" s="63">
        <f t="shared" si="85"/>
        <v>0</v>
      </c>
      <c r="P736" s="63">
        <f t="shared" si="86"/>
        <v>0</v>
      </c>
      <c r="Q736" s="561">
        <f t="shared" si="80"/>
        <v>0</v>
      </c>
      <c r="R736" s="174"/>
      <c r="T736" s="82"/>
      <c r="U736" s="82"/>
      <c r="V736" s="82"/>
      <c r="W736" s="82"/>
      <c r="X736" s="82"/>
      <c r="Y736" s="82"/>
      <c r="Z736" s="82"/>
      <c r="AA736" s="82"/>
      <c r="AB736" s="82"/>
    </row>
    <row r="737" spans="1:28" s="85" customFormat="1" ht="13.8" thickBot="1" x14ac:dyDescent="0.3">
      <c r="A737" s="82"/>
      <c r="B737" s="82"/>
      <c r="C737" s="82"/>
      <c r="D737" s="729"/>
      <c r="E737" s="371" t="s">
        <v>113</v>
      </c>
      <c r="F737" s="372">
        <v>27</v>
      </c>
      <c r="G737" s="373">
        <f>3*8</f>
        <v>24</v>
      </c>
      <c r="H737" s="374">
        <v>20</v>
      </c>
      <c r="I737" s="375">
        <v>3.42</v>
      </c>
      <c r="J737" s="376">
        <f t="shared" si="79"/>
        <v>82.08</v>
      </c>
      <c r="K737" s="66">
        <f t="shared" si="81"/>
        <v>0</v>
      </c>
      <c r="L737" s="63">
        <f t="shared" si="82"/>
        <v>0</v>
      </c>
      <c r="M737" s="63">
        <f t="shared" si="83"/>
        <v>0</v>
      </c>
      <c r="N737" s="63">
        <f t="shared" si="84"/>
        <v>0</v>
      </c>
      <c r="O737" s="63">
        <f t="shared" si="85"/>
        <v>0</v>
      </c>
      <c r="P737" s="63">
        <f t="shared" si="86"/>
        <v>0</v>
      </c>
      <c r="Q737" s="561">
        <f t="shared" si="80"/>
        <v>202.40928000000002</v>
      </c>
      <c r="R737" s="174"/>
      <c r="T737" s="82"/>
      <c r="U737" s="82"/>
      <c r="V737" s="82"/>
      <c r="W737" s="82"/>
      <c r="X737" s="82"/>
      <c r="Y737" s="82"/>
      <c r="Z737" s="82"/>
      <c r="AA737" s="82"/>
      <c r="AB737" s="82"/>
    </row>
    <row r="738" spans="1:28" s="85" customFormat="1" ht="13.8" thickTop="1" x14ac:dyDescent="0.25">
      <c r="A738" s="82"/>
      <c r="B738" s="82"/>
      <c r="C738" s="82"/>
      <c r="D738" s="728" t="s">
        <v>1527</v>
      </c>
      <c r="E738" s="384" t="s">
        <v>49</v>
      </c>
      <c r="F738" s="385">
        <v>4</v>
      </c>
      <c r="G738" s="386">
        <v>27</v>
      </c>
      <c r="H738" s="387">
        <v>5</v>
      </c>
      <c r="I738" s="388">
        <v>0.33</v>
      </c>
      <c r="J738" s="389">
        <f t="shared" si="79"/>
        <v>8.91</v>
      </c>
      <c r="K738" s="218">
        <f t="shared" si="81"/>
        <v>1.3721399999999999</v>
      </c>
      <c r="L738" s="219">
        <f t="shared" si="82"/>
        <v>0</v>
      </c>
      <c r="M738" s="219">
        <f t="shared" si="83"/>
        <v>0</v>
      </c>
      <c r="N738" s="219">
        <f t="shared" si="84"/>
        <v>0</v>
      </c>
      <c r="O738" s="219">
        <f t="shared" si="85"/>
        <v>0</v>
      </c>
      <c r="P738" s="219">
        <f t="shared" si="86"/>
        <v>0</v>
      </c>
      <c r="Q738" s="563">
        <f t="shared" si="80"/>
        <v>0</v>
      </c>
      <c r="R738" s="220"/>
      <c r="T738" s="82"/>
      <c r="U738" s="82"/>
      <c r="V738" s="82"/>
      <c r="W738" s="82"/>
      <c r="X738" s="82"/>
      <c r="Y738" s="82"/>
      <c r="Z738" s="82"/>
      <c r="AA738" s="82"/>
      <c r="AB738" s="82"/>
    </row>
    <row r="739" spans="1:28" s="85" customFormat="1" x14ac:dyDescent="0.25">
      <c r="A739" s="82"/>
      <c r="B739" s="82"/>
      <c r="C739" s="82"/>
      <c r="D739" s="729"/>
      <c r="E739" s="371" t="s">
        <v>49</v>
      </c>
      <c r="F739" s="372">
        <v>5</v>
      </c>
      <c r="G739" s="373">
        <v>5</v>
      </c>
      <c r="H739" s="374">
        <v>5</v>
      </c>
      <c r="I739" s="375">
        <v>1.77</v>
      </c>
      <c r="J739" s="376">
        <f t="shared" si="79"/>
        <v>8.85</v>
      </c>
      <c r="K739" s="66">
        <f t="shared" si="81"/>
        <v>1.3629</v>
      </c>
      <c r="L739" s="63">
        <f t="shared" si="82"/>
        <v>0</v>
      </c>
      <c r="M739" s="63">
        <f t="shared" si="83"/>
        <v>0</v>
      </c>
      <c r="N739" s="63">
        <f t="shared" si="84"/>
        <v>0</v>
      </c>
      <c r="O739" s="63">
        <f t="shared" si="85"/>
        <v>0</v>
      </c>
      <c r="P739" s="63">
        <f t="shared" si="86"/>
        <v>0</v>
      </c>
      <c r="Q739" s="561">
        <f t="shared" si="80"/>
        <v>0</v>
      </c>
      <c r="R739" s="174"/>
      <c r="T739" s="82"/>
      <c r="U739" s="82"/>
      <c r="V739" s="82"/>
      <c r="W739" s="82"/>
      <c r="X739" s="82"/>
      <c r="Y739" s="82"/>
      <c r="Z739" s="82"/>
      <c r="AA739" s="82"/>
      <c r="AB739" s="82"/>
    </row>
    <row r="740" spans="1:28" s="85" customFormat="1" x14ac:dyDescent="0.25">
      <c r="A740" s="82"/>
      <c r="B740" s="82"/>
      <c r="C740" s="82"/>
      <c r="D740" s="729"/>
      <c r="E740" s="371" t="s">
        <v>49</v>
      </c>
      <c r="F740" s="372">
        <v>6</v>
      </c>
      <c r="G740" s="373">
        <v>8</v>
      </c>
      <c r="H740" s="374">
        <v>5</v>
      </c>
      <c r="I740" s="375">
        <v>1.1399999999999999</v>
      </c>
      <c r="J740" s="376">
        <f t="shared" si="79"/>
        <v>9.1199999999999992</v>
      </c>
      <c r="K740" s="66">
        <f t="shared" si="81"/>
        <v>1.40448</v>
      </c>
      <c r="L740" s="63">
        <f t="shared" si="82"/>
        <v>0</v>
      </c>
      <c r="M740" s="63">
        <f t="shared" si="83"/>
        <v>0</v>
      </c>
      <c r="N740" s="63">
        <f t="shared" si="84"/>
        <v>0</v>
      </c>
      <c r="O740" s="63">
        <f t="shared" si="85"/>
        <v>0</v>
      </c>
      <c r="P740" s="63">
        <f t="shared" si="86"/>
        <v>0</v>
      </c>
      <c r="Q740" s="561">
        <f t="shared" si="80"/>
        <v>0</v>
      </c>
      <c r="R740" s="174"/>
      <c r="T740" s="82"/>
      <c r="U740" s="82"/>
      <c r="V740" s="82"/>
      <c r="W740" s="82"/>
      <c r="X740" s="82"/>
      <c r="Y740" s="82"/>
      <c r="Z740" s="82"/>
      <c r="AA740" s="82"/>
      <c r="AB740" s="82"/>
    </row>
    <row r="741" spans="1:28" s="85" customFormat="1" x14ac:dyDescent="0.25">
      <c r="A741" s="82"/>
      <c r="B741" s="82"/>
      <c r="C741" s="82"/>
      <c r="D741" s="729"/>
      <c r="E741" s="371" t="s">
        <v>49</v>
      </c>
      <c r="F741" s="372">
        <v>31</v>
      </c>
      <c r="G741" s="373">
        <v>10</v>
      </c>
      <c r="H741" s="374">
        <v>20</v>
      </c>
      <c r="I741" s="375">
        <v>1.72</v>
      </c>
      <c r="J741" s="376">
        <f t="shared" si="79"/>
        <v>17.2</v>
      </c>
      <c r="K741" s="66">
        <f t="shared" si="81"/>
        <v>0</v>
      </c>
      <c r="L741" s="63">
        <f t="shared" si="82"/>
        <v>0</v>
      </c>
      <c r="M741" s="63">
        <f t="shared" si="83"/>
        <v>0</v>
      </c>
      <c r="N741" s="63">
        <f t="shared" si="84"/>
        <v>0</v>
      </c>
      <c r="O741" s="63">
        <f t="shared" si="85"/>
        <v>0</v>
      </c>
      <c r="P741" s="63">
        <f t="shared" si="86"/>
        <v>0</v>
      </c>
      <c r="Q741" s="561">
        <f t="shared" si="80"/>
        <v>42.415199999999999</v>
      </c>
      <c r="R741" s="174"/>
      <c r="T741" s="82"/>
      <c r="U741" s="82"/>
      <c r="V741" s="82"/>
      <c r="W741" s="82"/>
      <c r="X741" s="82"/>
      <c r="Y741" s="82"/>
      <c r="Z741" s="82"/>
      <c r="AA741" s="82"/>
      <c r="AB741" s="82"/>
    </row>
    <row r="742" spans="1:28" s="85" customFormat="1" x14ac:dyDescent="0.25">
      <c r="A742" s="82"/>
      <c r="B742" s="82"/>
      <c r="C742" s="82"/>
      <c r="D742" s="729"/>
      <c r="E742" s="371" t="s">
        <v>113</v>
      </c>
      <c r="F742" s="372" t="s">
        <v>1587</v>
      </c>
      <c r="G742" s="373">
        <v>81</v>
      </c>
      <c r="H742" s="374">
        <v>5</v>
      </c>
      <c r="I742" s="375">
        <v>0.33</v>
      </c>
      <c r="J742" s="376">
        <f t="shared" si="79"/>
        <v>26.73</v>
      </c>
      <c r="K742" s="66">
        <f t="shared" si="81"/>
        <v>4.1164199999999997</v>
      </c>
      <c r="L742" s="63">
        <f t="shared" si="82"/>
        <v>0</v>
      </c>
      <c r="M742" s="63">
        <f t="shared" si="83"/>
        <v>0</v>
      </c>
      <c r="N742" s="63">
        <f t="shared" si="84"/>
        <v>0</v>
      </c>
      <c r="O742" s="63">
        <f t="shared" si="85"/>
        <v>0</v>
      </c>
      <c r="P742" s="63">
        <f t="shared" si="86"/>
        <v>0</v>
      </c>
      <c r="Q742" s="561">
        <f t="shared" si="80"/>
        <v>0</v>
      </c>
      <c r="R742" s="174"/>
      <c r="T742" s="82"/>
      <c r="U742" s="82"/>
      <c r="V742" s="82"/>
      <c r="W742" s="82"/>
      <c r="X742" s="82"/>
      <c r="Y742" s="82"/>
      <c r="Z742" s="82"/>
      <c r="AA742" s="82"/>
      <c r="AB742" s="82"/>
    </row>
    <row r="743" spans="1:28" s="85" customFormat="1" x14ac:dyDescent="0.25">
      <c r="A743" s="82"/>
      <c r="B743" s="82"/>
      <c r="C743" s="82"/>
      <c r="D743" s="729"/>
      <c r="E743" s="371" t="s">
        <v>113</v>
      </c>
      <c r="F743" s="372">
        <v>12</v>
      </c>
      <c r="G743" s="373">
        <v>23</v>
      </c>
      <c r="H743" s="374">
        <v>5</v>
      </c>
      <c r="I743" s="375">
        <v>1.77</v>
      </c>
      <c r="J743" s="376">
        <f t="shared" si="79"/>
        <v>40.71</v>
      </c>
      <c r="K743" s="66">
        <f t="shared" si="81"/>
        <v>6.2693399999999997</v>
      </c>
      <c r="L743" s="63">
        <f t="shared" si="82"/>
        <v>0</v>
      </c>
      <c r="M743" s="63">
        <f t="shared" si="83"/>
        <v>0</v>
      </c>
      <c r="N743" s="63">
        <f t="shared" si="84"/>
        <v>0</v>
      </c>
      <c r="O743" s="63">
        <f t="shared" si="85"/>
        <v>0</v>
      </c>
      <c r="P743" s="63">
        <f t="shared" si="86"/>
        <v>0</v>
      </c>
      <c r="Q743" s="561">
        <f t="shared" si="80"/>
        <v>0</v>
      </c>
      <c r="R743" s="174"/>
      <c r="T743" s="82"/>
      <c r="U743" s="82"/>
      <c r="V743" s="82"/>
      <c r="W743" s="82"/>
      <c r="X743" s="82"/>
      <c r="Y743" s="82"/>
      <c r="Z743" s="82"/>
      <c r="AA743" s="82"/>
      <c r="AB743" s="82"/>
    </row>
    <row r="744" spans="1:28" s="85" customFormat="1" x14ac:dyDescent="0.25">
      <c r="A744" s="82"/>
      <c r="B744" s="82"/>
      <c r="C744" s="82"/>
      <c r="D744" s="729"/>
      <c r="E744" s="371" t="s">
        <v>113</v>
      </c>
      <c r="F744" s="372">
        <v>13</v>
      </c>
      <c r="G744" s="373">
        <v>8</v>
      </c>
      <c r="H744" s="374">
        <v>5</v>
      </c>
      <c r="I744" s="375">
        <v>1.1399999999999999</v>
      </c>
      <c r="J744" s="376">
        <f t="shared" si="79"/>
        <v>9.1199999999999992</v>
      </c>
      <c r="K744" s="66">
        <f t="shared" si="81"/>
        <v>1.40448</v>
      </c>
      <c r="L744" s="63">
        <f t="shared" si="82"/>
        <v>0</v>
      </c>
      <c r="M744" s="63">
        <f t="shared" si="83"/>
        <v>0</v>
      </c>
      <c r="N744" s="63">
        <f t="shared" si="84"/>
        <v>0</v>
      </c>
      <c r="O744" s="63">
        <f t="shared" si="85"/>
        <v>0</v>
      </c>
      <c r="P744" s="63">
        <f t="shared" si="86"/>
        <v>0</v>
      </c>
      <c r="Q744" s="561">
        <f t="shared" si="80"/>
        <v>0</v>
      </c>
      <c r="R744" s="174"/>
      <c r="T744" s="82"/>
      <c r="U744" s="82"/>
      <c r="V744" s="82"/>
      <c r="W744" s="82"/>
      <c r="X744" s="82"/>
      <c r="Y744" s="82"/>
      <c r="Z744" s="82"/>
      <c r="AA744" s="82"/>
      <c r="AB744" s="82"/>
    </row>
    <row r="745" spans="1:28" s="85" customFormat="1" x14ac:dyDescent="0.25">
      <c r="A745" s="82"/>
      <c r="B745" s="82"/>
      <c r="C745" s="82"/>
      <c r="D745" s="729"/>
      <c r="E745" s="371" t="s">
        <v>113</v>
      </c>
      <c r="F745" s="372">
        <v>26</v>
      </c>
      <c r="G745" s="373">
        <v>10</v>
      </c>
      <c r="H745" s="374">
        <v>20</v>
      </c>
      <c r="I745" s="375">
        <v>4.12</v>
      </c>
      <c r="J745" s="376">
        <f t="shared" si="79"/>
        <v>41.2</v>
      </c>
      <c r="K745" s="66">
        <f t="shared" si="81"/>
        <v>0</v>
      </c>
      <c r="L745" s="63">
        <f t="shared" si="82"/>
        <v>0</v>
      </c>
      <c r="M745" s="63">
        <f t="shared" si="83"/>
        <v>0</v>
      </c>
      <c r="N745" s="63">
        <f t="shared" si="84"/>
        <v>0</v>
      </c>
      <c r="O745" s="63">
        <f t="shared" si="85"/>
        <v>0</v>
      </c>
      <c r="P745" s="63">
        <f t="shared" si="86"/>
        <v>0</v>
      </c>
      <c r="Q745" s="561">
        <f t="shared" si="80"/>
        <v>101.59920000000001</v>
      </c>
      <c r="R745" s="174"/>
      <c r="T745" s="82"/>
      <c r="U745" s="82"/>
      <c r="V745" s="82"/>
      <c r="W745" s="82"/>
      <c r="X745" s="82"/>
      <c r="Y745" s="82"/>
      <c r="Z745" s="82"/>
      <c r="AA745" s="82"/>
      <c r="AB745" s="82"/>
    </row>
    <row r="746" spans="1:28" s="85" customFormat="1" x14ac:dyDescent="0.25">
      <c r="A746" s="82"/>
      <c r="B746" s="82"/>
      <c r="C746" s="82"/>
      <c r="D746" s="729"/>
      <c r="E746" s="396" t="s">
        <v>184</v>
      </c>
      <c r="F746" s="403">
        <v>7</v>
      </c>
      <c r="G746" s="397">
        <v>18</v>
      </c>
      <c r="H746" s="398">
        <v>5</v>
      </c>
      <c r="I746" s="399">
        <v>0.33</v>
      </c>
      <c r="J746" s="400">
        <f t="shared" si="79"/>
        <v>5.94</v>
      </c>
      <c r="K746" s="401">
        <f t="shared" si="81"/>
        <v>0.91476000000000002</v>
      </c>
      <c r="L746" s="196">
        <f t="shared" si="82"/>
        <v>0</v>
      </c>
      <c r="M746" s="196">
        <f t="shared" si="83"/>
        <v>0</v>
      </c>
      <c r="N746" s="196">
        <f t="shared" si="84"/>
        <v>0</v>
      </c>
      <c r="O746" s="196">
        <f t="shared" si="85"/>
        <v>0</v>
      </c>
      <c r="P746" s="196">
        <f t="shared" si="86"/>
        <v>0</v>
      </c>
      <c r="Q746" s="566">
        <f t="shared" si="80"/>
        <v>0</v>
      </c>
      <c r="R746" s="538"/>
      <c r="T746" s="82"/>
      <c r="U746" s="82"/>
      <c r="V746" s="82"/>
      <c r="W746" s="82"/>
      <c r="X746" s="82"/>
      <c r="Y746" s="82"/>
      <c r="Z746" s="82"/>
      <c r="AA746" s="82"/>
      <c r="AB746" s="82"/>
    </row>
    <row r="747" spans="1:28" s="85" customFormat="1" x14ac:dyDescent="0.25">
      <c r="A747" s="82"/>
      <c r="B747" s="82"/>
      <c r="C747" s="82"/>
      <c r="D747" s="729"/>
      <c r="E747" s="371" t="s">
        <v>184</v>
      </c>
      <c r="F747" s="372">
        <v>12</v>
      </c>
      <c r="G747" s="373">
        <v>5</v>
      </c>
      <c r="H747" s="374">
        <v>5</v>
      </c>
      <c r="I747" s="375">
        <v>1.77</v>
      </c>
      <c r="J747" s="376">
        <f t="shared" si="79"/>
        <v>8.85</v>
      </c>
      <c r="K747" s="66">
        <f t="shared" si="81"/>
        <v>1.3629</v>
      </c>
      <c r="L747" s="63">
        <f t="shared" si="82"/>
        <v>0</v>
      </c>
      <c r="M747" s="63">
        <f t="shared" si="83"/>
        <v>0</v>
      </c>
      <c r="N747" s="63">
        <f t="shared" si="84"/>
        <v>0</v>
      </c>
      <c r="O747" s="63">
        <f t="shared" si="85"/>
        <v>0</v>
      </c>
      <c r="P747" s="63">
        <f t="shared" si="86"/>
        <v>0</v>
      </c>
      <c r="Q747" s="562">
        <f t="shared" si="80"/>
        <v>0</v>
      </c>
      <c r="R747" s="377"/>
      <c r="T747" s="82"/>
      <c r="U747" s="82"/>
      <c r="V747" s="82"/>
      <c r="W747" s="82"/>
      <c r="X747" s="82"/>
      <c r="Y747" s="82"/>
      <c r="Z747" s="82"/>
      <c r="AA747" s="82"/>
      <c r="AB747" s="82"/>
    </row>
    <row r="748" spans="1:28" s="85" customFormat="1" x14ac:dyDescent="0.25">
      <c r="A748" s="82"/>
      <c r="B748" s="82"/>
      <c r="C748" s="82"/>
      <c r="D748" s="729"/>
      <c r="E748" s="371" t="s">
        <v>184</v>
      </c>
      <c r="F748" s="372">
        <v>13</v>
      </c>
      <c r="G748" s="373">
        <v>2</v>
      </c>
      <c r="H748" s="374">
        <v>5</v>
      </c>
      <c r="I748" s="375">
        <v>1.1399999999999999</v>
      </c>
      <c r="J748" s="376">
        <f t="shared" si="79"/>
        <v>2.2799999999999998</v>
      </c>
      <c r="K748" s="66">
        <f t="shared" si="81"/>
        <v>0.35111999999999999</v>
      </c>
      <c r="L748" s="63">
        <f t="shared" si="82"/>
        <v>0</v>
      </c>
      <c r="M748" s="63">
        <f t="shared" si="83"/>
        <v>0</v>
      </c>
      <c r="N748" s="63">
        <f t="shared" si="84"/>
        <v>0</v>
      </c>
      <c r="O748" s="63">
        <f t="shared" si="85"/>
        <v>0</v>
      </c>
      <c r="P748" s="63">
        <f t="shared" si="86"/>
        <v>0</v>
      </c>
      <c r="Q748" s="562">
        <f t="shared" si="80"/>
        <v>0</v>
      </c>
      <c r="R748" s="377"/>
      <c r="T748" s="82"/>
      <c r="U748" s="82"/>
      <c r="V748" s="82"/>
      <c r="W748" s="82"/>
      <c r="X748" s="82"/>
      <c r="Y748" s="82"/>
      <c r="Z748" s="82"/>
      <c r="AA748" s="82"/>
      <c r="AB748" s="82"/>
    </row>
    <row r="749" spans="1:28" s="85" customFormat="1" ht="13.8" thickBot="1" x14ac:dyDescent="0.3">
      <c r="A749" s="82"/>
      <c r="B749" s="82"/>
      <c r="C749" s="82"/>
      <c r="D749" s="731"/>
      <c r="E749" s="390" t="s">
        <v>184</v>
      </c>
      <c r="F749" s="391">
        <v>48</v>
      </c>
      <c r="G749" s="392">
        <v>10</v>
      </c>
      <c r="H749" s="393">
        <v>20</v>
      </c>
      <c r="I749" s="394">
        <v>1.02</v>
      </c>
      <c r="J749" s="395">
        <f t="shared" si="79"/>
        <v>10.199999999999999</v>
      </c>
      <c r="K749" s="221">
        <f t="shared" si="81"/>
        <v>0</v>
      </c>
      <c r="L749" s="222">
        <f t="shared" si="82"/>
        <v>0</v>
      </c>
      <c r="M749" s="222">
        <f t="shared" si="83"/>
        <v>0</v>
      </c>
      <c r="N749" s="222">
        <f t="shared" si="84"/>
        <v>0</v>
      </c>
      <c r="O749" s="222">
        <f t="shared" si="85"/>
        <v>0</v>
      </c>
      <c r="P749" s="222">
        <f t="shared" si="86"/>
        <v>0</v>
      </c>
      <c r="Q749" s="564">
        <f t="shared" si="80"/>
        <v>25.153200000000002</v>
      </c>
      <c r="R749" s="539"/>
      <c r="T749" s="82"/>
      <c r="U749" s="82"/>
      <c r="V749" s="82"/>
      <c r="W749" s="82"/>
      <c r="X749" s="82"/>
      <c r="Y749" s="82"/>
      <c r="Z749" s="82"/>
      <c r="AA749" s="82"/>
      <c r="AB749" s="82"/>
    </row>
    <row r="750" spans="1:28" s="85" customFormat="1" ht="13.8" thickTop="1" x14ac:dyDescent="0.25">
      <c r="A750" s="82"/>
      <c r="B750" s="82"/>
      <c r="C750" s="82"/>
      <c r="D750" s="728" t="s">
        <v>1528</v>
      </c>
      <c r="E750" s="384" t="s">
        <v>49</v>
      </c>
      <c r="F750" s="385">
        <v>4</v>
      </c>
      <c r="G750" s="386">
        <v>27</v>
      </c>
      <c r="H750" s="387">
        <v>5</v>
      </c>
      <c r="I750" s="388">
        <v>0.33</v>
      </c>
      <c r="J750" s="389">
        <f t="shared" si="31"/>
        <v>8.91</v>
      </c>
      <c r="K750" s="218">
        <f t="shared" si="15"/>
        <v>1.3721399999999999</v>
      </c>
      <c r="L750" s="219">
        <f t="shared" si="16"/>
        <v>0</v>
      </c>
      <c r="M750" s="219">
        <f t="shared" si="17"/>
        <v>0</v>
      </c>
      <c r="N750" s="219">
        <f t="shared" si="18"/>
        <v>0</v>
      </c>
      <c r="O750" s="219">
        <f t="shared" si="19"/>
        <v>0</v>
      </c>
      <c r="P750" s="219">
        <f t="shared" si="20"/>
        <v>0</v>
      </c>
      <c r="Q750" s="563">
        <f t="shared" si="80"/>
        <v>0</v>
      </c>
      <c r="R750" s="220"/>
      <c r="T750" s="82"/>
      <c r="U750" s="82"/>
      <c r="V750" s="82"/>
      <c r="W750" s="82"/>
      <c r="X750" s="82"/>
      <c r="Y750" s="82"/>
      <c r="Z750" s="82"/>
      <c r="AA750" s="82"/>
      <c r="AB750" s="82"/>
    </row>
    <row r="751" spans="1:28" s="85" customFormat="1" x14ac:dyDescent="0.25">
      <c r="A751" s="82"/>
      <c r="B751" s="82"/>
      <c r="C751" s="82"/>
      <c r="D751" s="729"/>
      <c r="E751" s="371" t="s">
        <v>49</v>
      </c>
      <c r="F751" s="372">
        <v>5</v>
      </c>
      <c r="G751" s="373">
        <v>5</v>
      </c>
      <c r="H751" s="374">
        <v>5</v>
      </c>
      <c r="I751" s="375">
        <v>1.77</v>
      </c>
      <c r="J751" s="376">
        <f t="shared" si="31"/>
        <v>8.85</v>
      </c>
      <c r="K751" s="66">
        <f t="shared" si="15"/>
        <v>1.3629</v>
      </c>
      <c r="L751" s="63">
        <f t="shared" si="16"/>
        <v>0</v>
      </c>
      <c r="M751" s="63">
        <f t="shared" si="17"/>
        <v>0</v>
      </c>
      <c r="N751" s="63">
        <f t="shared" si="18"/>
        <v>0</v>
      </c>
      <c r="O751" s="63">
        <f t="shared" si="19"/>
        <v>0</v>
      </c>
      <c r="P751" s="63">
        <f t="shared" si="20"/>
        <v>0</v>
      </c>
      <c r="Q751" s="561">
        <f t="shared" si="80"/>
        <v>0</v>
      </c>
      <c r="R751" s="174"/>
      <c r="T751" s="82"/>
      <c r="U751" s="82"/>
      <c r="V751" s="82"/>
      <c r="W751" s="82"/>
      <c r="X751" s="82"/>
      <c r="Y751" s="82"/>
      <c r="Z751" s="82"/>
      <c r="AA751" s="82"/>
      <c r="AB751" s="82"/>
    </row>
    <row r="752" spans="1:28" s="85" customFormat="1" x14ac:dyDescent="0.25">
      <c r="A752" s="82"/>
      <c r="B752" s="82"/>
      <c r="C752" s="82"/>
      <c r="D752" s="729"/>
      <c r="E752" s="371" t="s">
        <v>49</v>
      </c>
      <c r="F752" s="372">
        <v>6</v>
      </c>
      <c r="G752" s="373">
        <v>8</v>
      </c>
      <c r="H752" s="374">
        <v>5</v>
      </c>
      <c r="I752" s="375">
        <v>1.1399999999999999</v>
      </c>
      <c r="J752" s="376">
        <f t="shared" si="31"/>
        <v>9.1199999999999992</v>
      </c>
      <c r="K752" s="66">
        <f t="shared" si="15"/>
        <v>1.40448</v>
      </c>
      <c r="L752" s="63">
        <f t="shared" si="16"/>
        <v>0</v>
      </c>
      <c r="M752" s="63">
        <f t="shared" si="17"/>
        <v>0</v>
      </c>
      <c r="N752" s="63">
        <f t="shared" si="18"/>
        <v>0</v>
      </c>
      <c r="O752" s="63">
        <f t="shared" si="19"/>
        <v>0</v>
      </c>
      <c r="P752" s="63">
        <f t="shared" si="20"/>
        <v>0</v>
      </c>
      <c r="Q752" s="561">
        <f t="shared" si="80"/>
        <v>0</v>
      </c>
      <c r="R752" s="174"/>
      <c r="T752" s="82"/>
      <c r="U752" s="82"/>
      <c r="V752" s="82"/>
      <c r="W752" s="82"/>
      <c r="X752" s="82"/>
      <c r="Y752" s="82"/>
      <c r="Z752" s="82"/>
      <c r="AA752" s="82"/>
      <c r="AB752" s="82"/>
    </row>
    <row r="753" spans="1:28" s="85" customFormat="1" x14ac:dyDescent="0.25">
      <c r="A753" s="82"/>
      <c r="B753" s="82"/>
      <c r="C753" s="82"/>
      <c r="D753" s="729"/>
      <c r="E753" s="371" t="s">
        <v>49</v>
      </c>
      <c r="F753" s="372">
        <v>31</v>
      </c>
      <c r="G753" s="373">
        <v>10</v>
      </c>
      <c r="H753" s="374">
        <v>20</v>
      </c>
      <c r="I753" s="375">
        <v>1.72</v>
      </c>
      <c r="J753" s="376">
        <f t="shared" si="31"/>
        <v>17.2</v>
      </c>
      <c r="K753" s="66">
        <f t="shared" si="15"/>
        <v>0</v>
      </c>
      <c r="L753" s="63">
        <f t="shared" si="16"/>
        <v>0</v>
      </c>
      <c r="M753" s="63">
        <f t="shared" si="17"/>
        <v>0</v>
      </c>
      <c r="N753" s="63">
        <f t="shared" si="18"/>
        <v>0</v>
      </c>
      <c r="O753" s="63">
        <f t="shared" si="19"/>
        <v>0</v>
      </c>
      <c r="P753" s="63">
        <f t="shared" si="20"/>
        <v>0</v>
      </c>
      <c r="Q753" s="561">
        <f t="shared" si="80"/>
        <v>42.415199999999999</v>
      </c>
      <c r="R753" s="174"/>
      <c r="T753" s="82"/>
      <c r="U753" s="82"/>
      <c r="V753" s="82"/>
      <c r="W753" s="82"/>
      <c r="X753" s="82"/>
      <c r="Y753" s="82"/>
      <c r="Z753" s="82"/>
      <c r="AA753" s="82"/>
      <c r="AB753" s="82"/>
    </row>
    <row r="754" spans="1:28" s="85" customFormat="1" x14ac:dyDescent="0.25">
      <c r="A754" s="82"/>
      <c r="B754" s="82"/>
      <c r="C754" s="82"/>
      <c r="D754" s="729"/>
      <c r="E754" s="371" t="s">
        <v>113</v>
      </c>
      <c r="F754" s="372" t="s">
        <v>1587</v>
      </c>
      <c r="G754" s="373">
        <v>81</v>
      </c>
      <c r="H754" s="374">
        <v>5</v>
      </c>
      <c r="I754" s="375">
        <v>0.33</v>
      </c>
      <c r="J754" s="376">
        <f t="shared" si="31"/>
        <v>26.73</v>
      </c>
      <c r="K754" s="66">
        <f t="shared" si="15"/>
        <v>4.1164199999999997</v>
      </c>
      <c r="L754" s="63">
        <f t="shared" si="16"/>
        <v>0</v>
      </c>
      <c r="M754" s="63">
        <f t="shared" si="17"/>
        <v>0</v>
      </c>
      <c r="N754" s="63">
        <f t="shared" si="18"/>
        <v>0</v>
      </c>
      <c r="O754" s="63">
        <f t="shared" si="19"/>
        <v>0</v>
      </c>
      <c r="P754" s="63">
        <f t="shared" si="20"/>
        <v>0</v>
      </c>
      <c r="Q754" s="561">
        <f t="shared" si="80"/>
        <v>0</v>
      </c>
      <c r="R754" s="174"/>
      <c r="T754" s="82"/>
      <c r="U754" s="82"/>
      <c r="V754" s="82"/>
      <c r="W754" s="82"/>
      <c r="X754" s="82"/>
      <c r="Y754" s="82"/>
      <c r="Z754" s="82"/>
      <c r="AA754" s="82"/>
      <c r="AB754" s="82"/>
    </row>
    <row r="755" spans="1:28" s="85" customFormat="1" x14ac:dyDescent="0.25">
      <c r="A755" s="82"/>
      <c r="B755" s="82"/>
      <c r="C755" s="82"/>
      <c r="D755" s="729"/>
      <c r="E755" s="371" t="s">
        <v>113</v>
      </c>
      <c r="F755" s="372">
        <v>12</v>
      </c>
      <c r="G755" s="373">
        <v>23</v>
      </c>
      <c r="H755" s="374">
        <v>5</v>
      </c>
      <c r="I755" s="375">
        <v>1.77</v>
      </c>
      <c r="J755" s="376">
        <f t="shared" si="31"/>
        <v>40.71</v>
      </c>
      <c r="K755" s="66">
        <f t="shared" si="15"/>
        <v>6.2693399999999997</v>
      </c>
      <c r="L755" s="63">
        <f t="shared" si="16"/>
        <v>0</v>
      </c>
      <c r="M755" s="63">
        <f t="shared" si="17"/>
        <v>0</v>
      </c>
      <c r="N755" s="63">
        <f t="shared" si="18"/>
        <v>0</v>
      </c>
      <c r="O755" s="63">
        <f t="shared" si="19"/>
        <v>0</v>
      </c>
      <c r="P755" s="63">
        <f t="shared" si="20"/>
        <v>0</v>
      </c>
      <c r="Q755" s="561">
        <f t="shared" si="80"/>
        <v>0</v>
      </c>
      <c r="R755" s="174"/>
      <c r="T755" s="82"/>
      <c r="U755" s="82"/>
      <c r="V755" s="82"/>
      <c r="W755" s="82"/>
      <c r="X755" s="82"/>
      <c r="Y755" s="82"/>
      <c r="Z755" s="82"/>
      <c r="AA755" s="82"/>
      <c r="AB755" s="82"/>
    </row>
    <row r="756" spans="1:28" s="85" customFormat="1" x14ac:dyDescent="0.25">
      <c r="A756" s="82"/>
      <c r="B756" s="82"/>
      <c r="C756" s="82"/>
      <c r="D756" s="729"/>
      <c r="E756" s="371" t="s">
        <v>113</v>
      </c>
      <c r="F756" s="372">
        <v>13</v>
      </c>
      <c r="G756" s="373">
        <v>8</v>
      </c>
      <c r="H756" s="374">
        <v>5</v>
      </c>
      <c r="I756" s="375">
        <v>1.1399999999999999</v>
      </c>
      <c r="J756" s="376">
        <f t="shared" si="31"/>
        <v>9.1199999999999992</v>
      </c>
      <c r="K756" s="66">
        <f t="shared" si="15"/>
        <v>1.40448</v>
      </c>
      <c r="L756" s="63">
        <f t="shared" si="16"/>
        <v>0</v>
      </c>
      <c r="M756" s="63">
        <f t="shared" si="17"/>
        <v>0</v>
      </c>
      <c r="N756" s="63">
        <f t="shared" si="18"/>
        <v>0</v>
      </c>
      <c r="O756" s="63">
        <f t="shared" si="19"/>
        <v>0</v>
      </c>
      <c r="P756" s="63">
        <f t="shared" si="20"/>
        <v>0</v>
      </c>
      <c r="Q756" s="561">
        <f t="shared" si="80"/>
        <v>0</v>
      </c>
      <c r="R756" s="174"/>
      <c r="T756" s="82"/>
      <c r="U756" s="82"/>
      <c r="V756" s="82"/>
      <c r="W756" s="82"/>
      <c r="X756" s="82"/>
      <c r="Y756" s="82"/>
      <c r="Z756" s="82"/>
      <c r="AA756" s="82"/>
      <c r="AB756" s="82"/>
    </row>
    <row r="757" spans="1:28" s="85" customFormat="1" x14ac:dyDescent="0.25">
      <c r="A757" s="82"/>
      <c r="B757" s="82"/>
      <c r="C757" s="82"/>
      <c r="D757" s="729"/>
      <c r="E757" s="371" t="s">
        <v>113</v>
      </c>
      <c r="F757" s="372">
        <v>26</v>
      </c>
      <c r="G757" s="373">
        <v>10</v>
      </c>
      <c r="H757" s="374">
        <v>20</v>
      </c>
      <c r="I757" s="375">
        <v>4.12</v>
      </c>
      <c r="J757" s="376">
        <f t="shared" si="31"/>
        <v>41.2</v>
      </c>
      <c r="K757" s="66">
        <f t="shared" si="15"/>
        <v>0</v>
      </c>
      <c r="L757" s="63">
        <f t="shared" si="16"/>
        <v>0</v>
      </c>
      <c r="M757" s="63">
        <f t="shared" si="17"/>
        <v>0</v>
      </c>
      <c r="N757" s="63">
        <f t="shared" si="18"/>
        <v>0</v>
      </c>
      <c r="O757" s="63">
        <f t="shared" si="19"/>
        <v>0</v>
      </c>
      <c r="P757" s="63">
        <f t="shared" si="20"/>
        <v>0</v>
      </c>
      <c r="Q757" s="561">
        <f t="shared" si="80"/>
        <v>101.59920000000001</v>
      </c>
      <c r="R757" s="174"/>
      <c r="T757" s="82"/>
      <c r="U757" s="82"/>
      <c r="V757" s="82"/>
      <c r="W757" s="82"/>
      <c r="X757" s="82"/>
      <c r="Y757" s="82"/>
      <c r="Z757" s="82"/>
      <c r="AA757" s="82"/>
      <c r="AB757" s="82"/>
    </row>
    <row r="758" spans="1:28" s="85" customFormat="1" x14ac:dyDescent="0.25">
      <c r="A758" s="82"/>
      <c r="B758" s="82"/>
      <c r="C758" s="82"/>
      <c r="D758" s="729"/>
      <c r="E758" s="396" t="s">
        <v>184</v>
      </c>
      <c r="F758" s="403">
        <v>7</v>
      </c>
      <c r="G758" s="397">
        <v>27</v>
      </c>
      <c r="H758" s="398">
        <v>5</v>
      </c>
      <c r="I758" s="399">
        <v>0.33</v>
      </c>
      <c r="J758" s="400">
        <f t="shared" ref="J758:J2168" si="87">G758*I758</f>
        <v>8.91</v>
      </c>
      <c r="K758" s="401">
        <f t="shared" si="15"/>
        <v>1.3721399999999999</v>
      </c>
      <c r="L758" s="196">
        <f t="shared" si="16"/>
        <v>0</v>
      </c>
      <c r="M758" s="196">
        <f t="shared" si="17"/>
        <v>0</v>
      </c>
      <c r="N758" s="196">
        <f t="shared" si="18"/>
        <v>0</v>
      </c>
      <c r="O758" s="196">
        <f t="shared" si="19"/>
        <v>0</v>
      </c>
      <c r="P758" s="196">
        <f t="shared" si="20"/>
        <v>0</v>
      </c>
      <c r="Q758" s="566">
        <f t="shared" ref="Q758:Q804" si="88">IF($H758=20,$J758*$B$28,0)</f>
        <v>0</v>
      </c>
      <c r="R758" s="538"/>
      <c r="T758" s="82"/>
      <c r="U758" s="82"/>
      <c r="V758" s="82"/>
      <c r="W758" s="82"/>
      <c r="X758" s="82"/>
      <c r="Y758" s="82"/>
      <c r="Z758" s="82"/>
      <c r="AA758" s="82"/>
      <c r="AB758" s="82"/>
    </row>
    <row r="759" spans="1:28" s="85" customFormat="1" x14ac:dyDescent="0.25">
      <c r="A759" s="82"/>
      <c r="B759" s="82"/>
      <c r="C759" s="82"/>
      <c r="D759" s="729"/>
      <c r="E759" s="371" t="s">
        <v>184</v>
      </c>
      <c r="F759" s="372">
        <v>12</v>
      </c>
      <c r="G759" s="373">
        <v>7</v>
      </c>
      <c r="H759" s="374">
        <v>5</v>
      </c>
      <c r="I759" s="375">
        <v>1.77</v>
      </c>
      <c r="J759" s="376">
        <f t="shared" si="87"/>
        <v>12.39</v>
      </c>
      <c r="K759" s="66">
        <f t="shared" si="15"/>
        <v>1.9080600000000001</v>
      </c>
      <c r="L759" s="63">
        <f t="shared" si="16"/>
        <v>0</v>
      </c>
      <c r="M759" s="63">
        <f t="shared" si="17"/>
        <v>0</v>
      </c>
      <c r="N759" s="63">
        <f t="shared" si="18"/>
        <v>0</v>
      </c>
      <c r="O759" s="63">
        <f t="shared" si="19"/>
        <v>0</v>
      </c>
      <c r="P759" s="63">
        <f t="shared" si="20"/>
        <v>0</v>
      </c>
      <c r="Q759" s="562">
        <f t="shared" si="88"/>
        <v>0</v>
      </c>
      <c r="R759" s="377"/>
      <c r="T759" s="82"/>
      <c r="U759" s="82"/>
      <c r="V759" s="82"/>
      <c r="W759" s="82"/>
      <c r="X759" s="82"/>
      <c r="Y759" s="82"/>
      <c r="Z759" s="82"/>
      <c r="AA759" s="82"/>
      <c r="AB759" s="82"/>
    </row>
    <row r="760" spans="1:28" s="85" customFormat="1" x14ac:dyDescent="0.25">
      <c r="A760" s="82"/>
      <c r="B760" s="82"/>
      <c r="C760" s="82"/>
      <c r="D760" s="729"/>
      <c r="E760" s="371" t="s">
        <v>184</v>
      </c>
      <c r="F760" s="372">
        <v>13</v>
      </c>
      <c r="G760" s="373">
        <v>4</v>
      </c>
      <c r="H760" s="374">
        <v>5</v>
      </c>
      <c r="I760" s="375">
        <v>1.1399999999999999</v>
      </c>
      <c r="J760" s="376">
        <f t="shared" si="87"/>
        <v>4.5599999999999996</v>
      </c>
      <c r="K760" s="66">
        <f t="shared" si="15"/>
        <v>0.70223999999999998</v>
      </c>
      <c r="L760" s="63">
        <f t="shared" si="16"/>
        <v>0</v>
      </c>
      <c r="M760" s="63">
        <f t="shared" si="17"/>
        <v>0</v>
      </c>
      <c r="N760" s="63">
        <f t="shared" si="18"/>
        <v>0</v>
      </c>
      <c r="O760" s="63">
        <f t="shared" si="19"/>
        <v>0</v>
      </c>
      <c r="P760" s="63">
        <f t="shared" si="20"/>
        <v>0</v>
      </c>
      <c r="Q760" s="562">
        <f t="shared" si="88"/>
        <v>0</v>
      </c>
      <c r="R760" s="377"/>
      <c r="T760" s="82"/>
      <c r="U760" s="82"/>
      <c r="V760" s="82"/>
      <c r="W760" s="82"/>
      <c r="X760" s="82"/>
      <c r="Y760" s="82"/>
      <c r="Z760" s="82"/>
      <c r="AA760" s="82"/>
      <c r="AB760" s="82"/>
    </row>
    <row r="761" spans="1:28" s="85" customFormat="1" ht="13.8" thickBot="1" x14ac:dyDescent="0.3">
      <c r="A761" s="82"/>
      <c r="B761" s="82"/>
      <c r="C761" s="82"/>
      <c r="D761" s="731"/>
      <c r="E761" s="390" t="s">
        <v>184</v>
      </c>
      <c r="F761" s="391">
        <v>48</v>
      </c>
      <c r="G761" s="392">
        <v>10</v>
      </c>
      <c r="H761" s="393">
        <v>20</v>
      </c>
      <c r="I761" s="394">
        <v>1.02</v>
      </c>
      <c r="J761" s="395">
        <f t="shared" si="87"/>
        <v>10.199999999999999</v>
      </c>
      <c r="K761" s="221">
        <f t="shared" si="15"/>
        <v>0</v>
      </c>
      <c r="L761" s="222">
        <f t="shared" si="16"/>
        <v>0</v>
      </c>
      <c r="M761" s="222">
        <f t="shared" si="17"/>
        <v>0</v>
      </c>
      <c r="N761" s="222">
        <f t="shared" si="18"/>
        <v>0</v>
      </c>
      <c r="O761" s="222">
        <f t="shared" si="19"/>
        <v>0</v>
      </c>
      <c r="P761" s="222">
        <f t="shared" si="20"/>
        <v>0</v>
      </c>
      <c r="Q761" s="564">
        <f t="shared" si="88"/>
        <v>25.153200000000002</v>
      </c>
      <c r="R761" s="539"/>
      <c r="T761" s="82"/>
      <c r="U761" s="82"/>
      <c r="V761" s="82"/>
      <c r="W761" s="82"/>
      <c r="X761" s="82"/>
      <c r="Y761" s="82"/>
      <c r="Z761" s="82"/>
      <c r="AA761" s="82"/>
      <c r="AB761" s="82"/>
    </row>
    <row r="762" spans="1:28" s="85" customFormat="1" ht="13.8" thickTop="1" x14ac:dyDescent="0.25">
      <c r="A762" s="82"/>
      <c r="B762" s="82"/>
      <c r="C762" s="82"/>
      <c r="D762" s="728" t="s">
        <v>1588</v>
      </c>
      <c r="E762" s="384" t="s">
        <v>49</v>
      </c>
      <c r="F762" s="385">
        <v>7</v>
      </c>
      <c r="G762" s="386">
        <f>2*18</f>
        <v>36</v>
      </c>
      <c r="H762" s="387">
        <v>5</v>
      </c>
      <c r="I762" s="388">
        <v>0.24</v>
      </c>
      <c r="J762" s="389">
        <f t="shared" ref="J762:J801" si="89">G762*I762</f>
        <v>8.64</v>
      </c>
      <c r="K762" s="218">
        <f t="shared" si="15"/>
        <v>1.33056</v>
      </c>
      <c r="L762" s="219">
        <f t="shared" si="16"/>
        <v>0</v>
      </c>
      <c r="M762" s="219">
        <f t="shared" si="17"/>
        <v>0</v>
      </c>
      <c r="N762" s="219">
        <f t="shared" si="18"/>
        <v>0</v>
      </c>
      <c r="O762" s="219">
        <f t="shared" si="19"/>
        <v>0</v>
      </c>
      <c r="P762" s="219">
        <f t="shared" si="20"/>
        <v>0</v>
      </c>
      <c r="Q762" s="563">
        <f t="shared" si="88"/>
        <v>0</v>
      </c>
      <c r="R762" s="220"/>
      <c r="T762" s="82"/>
      <c r="U762" s="82"/>
      <c r="V762" s="82"/>
      <c r="W762" s="82"/>
      <c r="X762" s="82"/>
      <c r="Y762" s="82"/>
      <c r="Z762" s="82"/>
      <c r="AA762" s="82"/>
      <c r="AB762" s="82"/>
    </row>
    <row r="763" spans="1:28" s="85" customFormat="1" x14ac:dyDescent="0.25">
      <c r="A763" s="82"/>
      <c r="B763" s="82"/>
      <c r="C763" s="82"/>
      <c r="D763" s="729"/>
      <c r="E763" s="371" t="s">
        <v>49</v>
      </c>
      <c r="F763" s="372">
        <v>8</v>
      </c>
      <c r="G763" s="373">
        <f>2*5</f>
        <v>10</v>
      </c>
      <c r="H763" s="374">
        <v>5</v>
      </c>
      <c r="I763" s="375">
        <v>2.0699999999999998</v>
      </c>
      <c r="J763" s="376">
        <f t="shared" si="89"/>
        <v>20.7</v>
      </c>
      <c r="K763" s="66">
        <f t="shared" si="15"/>
        <v>3.1877999999999997</v>
      </c>
      <c r="L763" s="63">
        <f t="shared" si="16"/>
        <v>0</v>
      </c>
      <c r="M763" s="63">
        <f t="shared" si="17"/>
        <v>0</v>
      </c>
      <c r="N763" s="63">
        <f t="shared" si="18"/>
        <v>0</v>
      </c>
      <c r="O763" s="63">
        <f t="shared" si="19"/>
        <v>0</v>
      </c>
      <c r="P763" s="63">
        <f t="shared" si="20"/>
        <v>0</v>
      </c>
      <c r="Q763" s="561">
        <f t="shared" si="88"/>
        <v>0</v>
      </c>
      <c r="R763" s="174"/>
      <c r="T763" s="82"/>
      <c r="U763" s="82"/>
      <c r="V763" s="82"/>
      <c r="W763" s="82"/>
      <c r="X763" s="82"/>
      <c r="Y763" s="82"/>
      <c r="Z763" s="82"/>
      <c r="AA763" s="82"/>
      <c r="AB763" s="82"/>
    </row>
    <row r="764" spans="1:28" s="85" customFormat="1" x14ac:dyDescent="0.25">
      <c r="A764" s="82"/>
      <c r="B764" s="82"/>
      <c r="C764" s="82"/>
      <c r="D764" s="729"/>
      <c r="E764" s="371" t="s">
        <v>49</v>
      </c>
      <c r="F764" s="372">
        <v>9</v>
      </c>
      <c r="G764" s="373">
        <f>2*8</f>
        <v>16</v>
      </c>
      <c r="H764" s="374">
        <v>5</v>
      </c>
      <c r="I764" s="375">
        <v>1.19</v>
      </c>
      <c r="J764" s="376">
        <f t="shared" si="89"/>
        <v>19.04</v>
      </c>
      <c r="K764" s="66">
        <f t="shared" si="15"/>
        <v>2.9321599999999997</v>
      </c>
      <c r="L764" s="63">
        <f t="shared" si="16"/>
        <v>0</v>
      </c>
      <c r="M764" s="63">
        <f t="shared" si="17"/>
        <v>0</v>
      </c>
      <c r="N764" s="63">
        <f t="shared" si="18"/>
        <v>0</v>
      </c>
      <c r="O764" s="63">
        <f t="shared" si="19"/>
        <v>0</v>
      </c>
      <c r="P764" s="63">
        <f t="shared" si="20"/>
        <v>0</v>
      </c>
      <c r="Q764" s="561">
        <f t="shared" si="88"/>
        <v>0</v>
      </c>
      <c r="R764" s="174"/>
      <c r="T764" s="82"/>
      <c r="U764" s="82"/>
      <c r="V764" s="82"/>
      <c r="W764" s="82"/>
      <c r="X764" s="82"/>
      <c r="Y764" s="82"/>
      <c r="Z764" s="82"/>
      <c r="AA764" s="82"/>
      <c r="AB764" s="82"/>
    </row>
    <row r="765" spans="1:28" s="85" customFormat="1" x14ac:dyDescent="0.25">
      <c r="A765" s="82"/>
      <c r="B765" s="82"/>
      <c r="C765" s="82"/>
      <c r="D765" s="729"/>
      <c r="E765" s="371" t="s">
        <v>49</v>
      </c>
      <c r="F765" s="372">
        <v>23</v>
      </c>
      <c r="G765" s="373">
        <f>2*8</f>
        <v>16</v>
      </c>
      <c r="H765" s="374">
        <v>10</v>
      </c>
      <c r="I765" s="375">
        <v>1.47</v>
      </c>
      <c r="J765" s="376">
        <f t="shared" si="89"/>
        <v>23.52</v>
      </c>
      <c r="K765" s="66">
        <f t="shared" si="15"/>
        <v>0</v>
      </c>
      <c r="L765" s="63">
        <f t="shared" si="16"/>
        <v>0</v>
      </c>
      <c r="M765" s="63">
        <f t="shared" si="17"/>
        <v>0</v>
      </c>
      <c r="N765" s="63">
        <f t="shared" si="18"/>
        <v>14.511839999999999</v>
      </c>
      <c r="O765" s="63">
        <f t="shared" si="19"/>
        <v>0</v>
      </c>
      <c r="P765" s="63">
        <f t="shared" si="20"/>
        <v>0</v>
      </c>
      <c r="Q765" s="561">
        <f t="shared" si="88"/>
        <v>0</v>
      </c>
      <c r="R765" s="174"/>
      <c r="T765" s="82"/>
      <c r="U765" s="82"/>
      <c r="V765" s="82"/>
      <c r="W765" s="82"/>
      <c r="X765" s="82"/>
      <c r="Y765" s="82"/>
      <c r="Z765" s="82"/>
      <c r="AA765" s="82"/>
      <c r="AB765" s="82"/>
    </row>
    <row r="766" spans="1:28" s="85" customFormat="1" x14ac:dyDescent="0.25">
      <c r="A766" s="82"/>
      <c r="B766" s="82"/>
      <c r="C766" s="82"/>
      <c r="D766" s="729"/>
      <c r="E766" s="371" t="s">
        <v>113</v>
      </c>
      <c r="F766" s="372">
        <v>15</v>
      </c>
      <c r="G766" s="373">
        <f>2*25</f>
        <v>50</v>
      </c>
      <c r="H766" s="374">
        <v>5</v>
      </c>
      <c r="I766" s="375">
        <v>2.0699999999999998</v>
      </c>
      <c r="J766" s="376">
        <f t="shared" si="89"/>
        <v>103.49999999999999</v>
      </c>
      <c r="K766" s="66">
        <f t="shared" si="15"/>
        <v>15.938999999999998</v>
      </c>
      <c r="L766" s="63">
        <f t="shared" si="16"/>
        <v>0</v>
      </c>
      <c r="M766" s="63">
        <f t="shared" si="17"/>
        <v>0</v>
      </c>
      <c r="N766" s="63">
        <f t="shared" si="18"/>
        <v>0</v>
      </c>
      <c r="O766" s="63">
        <f t="shared" si="19"/>
        <v>0</v>
      </c>
      <c r="P766" s="63">
        <f t="shared" si="20"/>
        <v>0</v>
      </c>
      <c r="Q766" s="561">
        <f t="shared" si="88"/>
        <v>0</v>
      </c>
      <c r="R766" s="174"/>
      <c r="T766" s="82"/>
      <c r="U766" s="82"/>
      <c r="V766" s="82"/>
      <c r="W766" s="82"/>
      <c r="X766" s="82"/>
      <c r="Y766" s="82"/>
      <c r="Z766" s="82"/>
      <c r="AA766" s="82"/>
      <c r="AB766" s="82"/>
    </row>
    <row r="767" spans="1:28" s="85" customFormat="1" x14ac:dyDescent="0.25">
      <c r="A767" s="82"/>
      <c r="B767" s="82"/>
      <c r="C767" s="82"/>
      <c r="D767" s="729"/>
      <c r="E767" s="371" t="s">
        <v>113</v>
      </c>
      <c r="F767" s="372">
        <v>16</v>
      </c>
      <c r="G767" s="373">
        <f>2*10</f>
        <v>20</v>
      </c>
      <c r="H767" s="374">
        <v>5</v>
      </c>
      <c r="I767" s="375">
        <v>1.19</v>
      </c>
      <c r="J767" s="376">
        <f t="shared" si="89"/>
        <v>23.799999999999997</v>
      </c>
      <c r="K767" s="66">
        <f t="shared" si="15"/>
        <v>3.6651999999999996</v>
      </c>
      <c r="L767" s="63">
        <f t="shared" si="16"/>
        <v>0</v>
      </c>
      <c r="M767" s="63">
        <f t="shared" si="17"/>
        <v>0</v>
      </c>
      <c r="N767" s="63">
        <f t="shared" si="18"/>
        <v>0</v>
      </c>
      <c r="O767" s="63">
        <f t="shared" si="19"/>
        <v>0</v>
      </c>
      <c r="P767" s="63">
        <f t="shared" si="20"/>
        <v>0</v>
      </c>
      <c r="Q767" s="561">
        <f t="shared" si="88"/>
        <v>0</v>
      </c>
      <c r="R767" s="174"/>
      <c r="T767" s="82"/>
      <c r="U767" s="82"/>
      <c r="V767" s="82"/>
      <c r="W767" s="82"/>
      <c r="X767" s="82"/>
      <c r="Y767" s="82"/>
      <c r="Z767" s="82"/>
      <c r="AA767" s="82"/>
      <c r="AB767" s="82"/>
    </row>
    <row r="768" spans="1:28" s="85" customFormat="1" x14ac:dyDescent="0.25">
      <c r="A768" s="82"/>
      <c r="B768" s="82"/>
      <c r="C768" s="82"/>
      <c r="D768" s="729"/>
      <c r="E768" s="371" t="s">
        <v>113</v>
      </c>
      <c r="F768" s="372">
        <v>17</v>
      </c>
      <c r="G768" s="373">
        <f>2*60</f>
        <v>120</v>
      </c>
      <c r="H768" s="374">
        <v>5</v>
      </c>
      <c r="I768" s="375">
        <v>0.24</v>
      </c>
      <c r="J768" s="376">
        <f t="shared" si="89"/>
        <v>28.799999999999997</v>
      </c>
      <c r="K768" s="66">
        <f t="shared" si="15"/>
        <v>4.4351999999999991</v>
      </c>
      <c r="L768" s="63">
        <f t="shared" si="16"/>
        <v>0</v>
      </c>
      <c r="M768" s="63">
        <f t="shared" si="17"/>
        <v>0</v>
      </c>
      <c r="N768" s="63">
        <f t="shared" si="18"/>
        <v>0</v>
      </c>
      <c r="O768" s="63">
        <f t="shared" si="19"/>
        <v>0</v>
      </c>
      <c r="P768" s="63">
        <f t="shared" si="20"/>
        <v>0</v>
      </c>
      <c r="Q768" s="561">
        <f t="shared" si="88"/>
        <v>0</v>
      </c>
      <c r="R768" s="174"/>
      <c r="T768" s="82"/>
      <c r="U768" s="82"/>
      <c r="V768" s="82"/>
      <c r="W768" s="82"/>
      <c r="X768" s="82"/>
      <c r="Y768" s="82"/>
      <c r="Z768" s="82"/>
      <c r="AA768" s="82"/>
      <c r="AB768" s="82"/>
    </row>
    <row r="769" spans="1:28" s="85" customFormat="1" x14ac:dyDescent="0.25">
      <c r="A769" s="82"/>
      <c r="B769" s="82"/>
      <c r="C769" s="82"/>
      <c r="D769" s="729"/>
      <c r="E769" s="371" t="s">
        <v>113</v>
      </c>
      <c r="F769" s="372">
        <v>21</v>
      </c>
      <c r="G769" s="373">
        <f>2*4</f>
        <v>8</v>
      </c>
      <c r="H769" s="374">
        <v>10</v>
      </c>
      <c r="I769" s="375">
        <v>3.42</v>
      </c>
      <c r="J769" s="376">
        <f t="shared" si="89"/>
        <v>27.36</v>
      </c>
      <c r="K769" s="66">
        <f t="shared" si="15"/>
        <v>0</v>
      </c>
      <c r="L769" s="63">
        <f t="shared" si="16"/>
        <v>0</v>
      </c>
      <c r="M769" s="63">
        <f t="shared" si="17"/>
        <v>0</v>
      </c>
      <c r="N769" s="63">
        <f t="shared" si="18"/>
        <v>16.881119999999999</v>
      </c>
      <c r="O769" s="63">
        <f t="shared" si="19"/>
        <v>0</v>
      </c>
      <c r="P769" s="63">
        <f t="shared" si="20"/>
        <v>0</v>
      </c>
      <c r="Q769" s="561">
        <f t="shared" si="88"/>
        <v>0</v>
      </c>
      <c r="R769" s="174"/>
      <c r="T769" s="82"/>
      <c r="U769" s="82"/>
      <c r="V769" s="82"/>
      <c r="W769" s="82"/>
      <c r="X769" s="82"/>
      <c r="Y769" s="82"/>
      <c r="Z769" s="82"/>
      <c r="AA769" s="82"/>
      <c r="AB769" s="82"/>
    </row>
    <row r="770" spans="1:28" s="85" customFormat="1" x14ac:dyDescent="0.25">
      <c r="A770" s="82"/>
      <c r="B770" s="82"/>
      <c r="C770" s="82"/>
      <c r="D770" s="729"/>
      <c r="E770" s="371" t="s">
        <v>113</v>
      </c>
      <c r="F770" s="372">
        <v>22</v>
      </c>
      <c r="G770" s="373">
        <f>2*4</f>
        <v>8</v>
      </c>
      <c r="H770" s="374">
        <v>10</v>
      </c>
      <c r="I770" s="375">
        <v>0.67</v>
      </c>
      <c r="J770" s="376">
        <f t="shared" si="89"/>
        <v>5.36</v>
      </c>
      <c r="K770" s="66">
        <f t="shared" si="15"/>
        <v>0</v>
      </c>
      <c r="L770" s="63">
        <f t="shared" si="16"/>
        <v>0</v>
      </c>
      <c r="M770" s="63">
        <f t="shared" si="17"/>
        <v>0</v>
      </c>
      <c r="N770" s="63">
        <f t="shared" si="18"/>
        <v>3.3071200000000003</v>
      </c>
      <c r="O770" s="63">
        <f t="shared" si="19"/>
        <v>0</v>
      </c>
      <c r="P770" s="63">
        <f t="shared" si="20"/>
        <v>0</v>
      </c>
      <c r="Q770" s="561">
        <f t="shared" si="88"/>
        <v>0</v>
      </c>
      <c r="R770" s="174"/>
      <c r="T770" s="82"/>
      <c r="U770" s="82"/>
      <c r="V770" s="82"/>
      <c r="W770" s="82"/>
      <c r="X770" s="82"/>
      <c r="Y770" s="82"/>
      <c r="Z770" s="82"/>
      <c r="AA770" s="82"/>
      <c r="AB770" s="82"/>
    </row>
    <row r="771" spans="1:28" s="85" customFormat="1" x14ac:dyDescent="0.25">
      <c r="A771" s="82"/>
      <c r="B771" s="82"/>
      <c r="C771" s="82"/>
      <c r="D771" s="729"/>
      <c r="E771" s="371" t="s">
        <v>113</v>
      </c>
      <c r="F771" s="372">
        <v>23</v>
      </c>
      <c r="G771" s="373">
        <f>2*4</f>
        <v>8</v>
      </c>
      <c r="H771" s="374">
        <v>10</v>
      </c>
      <c r="I771" s="375">
        <v>3.78</v>
      </c>
      <c r="J771" s="376">
        <f t="shared" ref="J771" si="90">G771*I771</f>
        <v>30.24</v>
      </c>
      <c r="K771" s="66">
        <f t="shared" si="15"/>
        <v>0</v>
      </c>
      <c r="L771" s="63">
        <f t="shared" si="16"/>
        <v>0</v>
      </c>
      <c r="M771" s="63">
        <f t="shared" si="17"/>
        <v>0</v>
      </c>
      <c r="N771" s="63">
        <f t="shared" si="18"/>
        <v>18.658079999999998</v>
      </c>
      <c r="O771" s="63">
        <f t="shared" si="19"/>
        <v>0</v>
      </c>
      <c r="P771" s="63">
        <f t="shared" si="20"/>
        <v>0</v>
      </c>
      <c r="Q771" s="561">
        <f t="shared" si="88"/>
        <v>0</v>
      </c>
      <c r="R771" s="174"/>
      <c r="T771" s="82"/>
      <c r="U771" s="82"/>
      <c r="V771" s="82"/>
      <c r="W771" s="82"/>
      <c r="X771" s="82"/>
      <c r="Y771" s="82"/>
      <c r="Z771" s="82"/>
      <c r="AA771" s="82"/>
      <c r="AB771" s="82"/>
    </row>
    <row r="772" spans="1:28" s="85" customFormat="1" x14ac:dyDescent="0.25">
      <c r="A772" s="82"/>
      <c r="B772" s="82"/>
      <c r="C772" s="82"/>
      <c r="D772" s="729"/>
      <c r="E772" s="396" t="s">
        <v>184</v>
      </c>
      <c r="F772" s="403">
        <v>5</v>
      </c>
      <c r="G772" s="397">
        <f>2*8</f>
        <v>16</v>
      </c>
      <c r="H772" s="398">
        <v>5</v>
      </c>
      <c r="I772" s="399">
        <v>0.97</v>
      </c>
      <c r="J772" s="400">
        <f t="shared" si="89"/>
        <v>15.52</v>
      </c>
      <c r="K772" s="401">
        <f t="shared" si="15"/>
        <v>2.3900799999999998</v>
      </c>
      <c r="L772" s="196">
        <f t="shared" si="16"/>
        <v>0</v>
      </c>
      <c r="M772" s="196">
        <f t="shared" si="17"/>
        <v>0</v>
      </c>
      <c r="N772" s="196">
        <f t="shared" si="18"/>
        <v>0</v>
      </c>
      <c r="O772" s="196">
        <f t="shared" si="19"/>
        <v>0</v>
      </c>
      <c r="P772" s="196">
        <f t="shared" si="20"/>
        <v>0</v>
      </c>
      <c r="Q772" s="566">
        <f t="shared" si="88"/>
        <v>0</v>
      </c>
      <c r="R772" s="538"/>
      <c r="T772" s="82"/>
      <c r="U772" s="82"/>
      <c r="V772" s="82"/>
      <c r="W772" s="82"/>
      <c r="X772" s="82"/>
      <c r="Y772" s="82"/>
      <c r="Z772" s="82"/>
      <c r="AA772" s="82"/>
      <c r="AB772" s="82"/>
    </row>
    <row r="773" spans="1:28" s="85" customFormat="1" x14ac:dyDescent="0.25">
      <c r="A773" s="82"/>
      <c r="B773" s="82"/>
      <c r="C773" s="82"/>
      <c r="D773" s="729"/>
      <c r="E773" s="371" t="s">
        <v>184</v>
      </c>
      <c r="F773" s="372">
        <v>6</v>
      </c>
      <c r="G773" s="373">
        <f>2*4</f>
        <v>8</v>
      </c>
      <c r="H773" s="374">
        <v>5</v>
      </c>
      <c r="I773" s="375">
        <v>0.64</v>
      </c>
      <c r="J773" s="376">
        <f t="shared" si="89"/>
        <v>5.12</v>
      </c>
      <c r="K773" s="66">
        <f t="shared" si="15"/>
        <v>0.78847999999999996</v>
      </c>
      <c r="L773" s="63">
        <f t="shared" si="16"/>
        <v>0</v>
      </c>
      <c r="M773" s="63">
        <f t="shared" si="17"/>
        <v>0</v>
      </c>
      <c r="N773" s="63">
        <f t="shared" si="18"/>
        <v>0</v>
      </c>
      <c r="O773" s="63">
        <f t="shared" si="19"/>
        <v>0</v>
      </c>
      <c r="P773" s="63">
        <f t="shared" si="20"/>
        <v>0</v>
      </c>
      <c r="Q773" s="562">
        <f t="shared" si="88"/>
        <v>0</v>
      </c>
      <c r="R773" s="377"/>
      <c r="T773" s="82"/>
      <c r="U773" s="82"/>
      <c r="V773" s="82"/>
      <c r="W773" s="82"/>
      <c r="X773" s="82"/>
      <c r="Y773" s="82"/>
      <c r="Z773" s="82"/>
      <c r="AA773" s="82"/>
      <c r="AB773" s="82"/>
    </row>
    <row r="774" spans="1:28" s="85" customFormat="1" x14ac:dyDescent="0.25">
      <c r="A774" s="82"/>
      <c r="B774" s="82"/>
      <c r="C774" s="82"/>
      <c r="D774" s="729"/>
      <c r="E774" s="371" t="s">
        <v>184</v>
      </c>
      <c r="F774" s="372">
        <v>17</v>
      </c>
      <c r="G774" s="373">
        <f>2*20</f>
        <v>40</v>
      </c>
      <c r="H774" s="374">
        <v>5</v>
      </c>
      <c r="I774" s="375">
        <v>0.24</v>
      </c>
      <c r="J774" s="376">
        <f t="shared" si="89"/>
        <v>9.6</v>
      </c>
      <c r="K774" s="66">
        <f t="shared" si="15"/>
        <v>1.4783999999999999</v>
      </c>
      <c r="L774" s="63">
        <f t="shared" si="16"/>
        <v>0</v>
      </c>
      <c r="M774" s="63">
        <f t="shared" si="17"/>
        <v>0</v>
      </c>
      <c r="N774" s="63">
        <f t="shared" si="18"/>
        <v>0</v>
      </c>
      <c r="O774" s="63">
        <f t="shared" si="19"/>
        <v>0</v>
      </c>
      <c r="P774" s="63">
        <f t="shared" si="20"/>
        <v>0</v>
      </c>
      <c r="Q774" s="562">
        <f t="shared" si="88"/>
        <v>0</v>
      </c>
      <c r="R774" s="377"/>
      <c r="T774" s="82"/>
      <c r="U774" s="82"/>
      <c r="V774" s="82"/>
      <c r="W774" s="82"/>
      <c r="X774" s="82"/>
      <c r="Y774" s="82"/>
      <c r="Z774" s="82"/>
      <c r="AA774" s="82"/>
      <c r="AB774" s="82"/>
    </row>
    <row r="775" spans="1:28" s="85" customFormat="1" ht="13.8" thickBot="1" x14ac:dyDescent="0.3">
      <c r="A775" s="82"/>
      <c r="B775" s="82"/>
      <c r="C775" s="82"/>
      <c r="D775" s="731"/>
      <c r="E775" s="390" t="s">
        <v>184</v>
      </c>
      <c r="F775" s="391">
        <v>45</v>
      </c>
      <c r="G775" s="392">
        <f>2*8</f>
        <v>16</v>
      </c>
      <c r="H775" s="393">
        <v>10</v>
      </c>
      <c r="I775" s="394">
        <v>1.02</v>
      </c>
      <c r="J775" s="395">
        <f t="shared" si="89"/>
        <v>16.32</v>
      </c>
      <c r="K775" s="221">
        <f t="shared" si="15"/>
        <v>0</v>
      </c>
      <c r="L775" s="222">
        <f t="shared" si="16"/>
        <v>0</v>
      </c>
      <c r="M775" s="222">
        <f t="shared" si="17"/>
        <v>0</v>
      </c>
      <c r="N775" s="222">
        <f t="shared" si="18"/>
        <v>10.06944</v>
      </c>
      <c r="O775" s="222">
        <f t="shared" si="19"/>
        <v>0</v>
      </c>
      <c r="P775" s="222">
        <f t="shared" si="20"/>
        <v>0</v>
      </c>
      <c r="Q775" s="564">
        <f t="shared" si="88"/>
        <v>0</v>
      </c>
      <c r="R775" s="539"/>
      <c r="T775" s="82"/>
      <c r="U775" s="82"/>
      <c r="V775" s="82"/>
      <c r="W775" s="82"/>
      <c r="X775" s="82"/>
      <c r="Y775" s="82"/>
      <c r="Z775" s="82"/>
      <c r="AA775" s="82"/>
      <c r="AB775" s="82"/>
    </row>
    <row r="776" spans="1:28" s="85" customFormat="1" ht="13.8" thickTop="1" x14ac:dyDescent="0.25">
      <c r="A776" s="82"/>
      <c r="B776" s="82"/>
      <c r="C776" s="82"/>
      <c r="D776" s="728" t="s">
        <v>1531</v>
      </c>
      <c r="E776" s="384" t="s">
        <v>49</v>
      </c>
      <c r="F776" s="385">
        <v>7</v>
      </c>
      <c r="G776" s="386">
        <v>20</v>
      </c>
      <c r="H776" s="387">
        <v>5</v>
      </c>
      <c r="I776" s="388">
        <v>0.24</v>
      </c>
      <c r="J776" s="389">
        <f t="shared" si="89"/>
        <v>4.8</v>
      </c>
      <c r="K776" s="218">
        <f t="shared" si="15"/>
        <v>0.73919999999999997</v>
      </c>
      <c r="L776" s="219">
        <f t="shared" si="16"/>
        <v>0</v>
      </c>
      <c r="M776" s="219">
        <f t="shared" si="17"/>
        <v>0</v>
      </c>
      <c r="N776" s="219">
        <f t="shared" si="18"/>
        <v>0</v>
      </c>
      <c r="O776" s="219">
        <f t="shared" si="19"/>
        <v>0</v>
      </c>
      <c r="P776" s="219">
        <f t="shared" si="20"/>
        <v>0</v>
      </c>
      <c r="Q776" s="563">
        <f t="shared" si="88"/>
        <v>0</v>
      </c>
      <c r="R776" s="220"/>
      <c r="T776" s="82"/>
      <c r="U776" s="82"/>
      <c r="V776" s="82"/>
      <c r="W776" s="82"/>
      <c r="X776" s="82"/>
      <c r="Y776" s="82"/>
      <c r="Z776" s="82"/>
      <c r="AA776" s="82"/>
      <c r="AB776" s="82"/>
    </row>
    <row r="777" spans="1:28" s="85" customFormat="1" x14ac:dyDescent="0.25">
      <c r="A777" s="82"/>
      <c r="B777" s="82"/>
      <c r="C777" s="82"/>
      <c r="D777" s="729"/>
      <c r="E777" s="371" t="s">
        <v>49</v>
      </c>
      <c r="F777" s="372">
        <v>9</v>
      </c>
      <c r="G777" s="373">
        <v>20</v>
      </c>
      <c r="H777" s="374">
        <v>5</v>
      </c>
      <c r="I777" s="375">
        <v>1.19</v>
      </c>
      <c r="J777" s="376">
        <f t="shared" si="89"/>
        <v>23.799999999999997</v>
      </c>
      <c r="K777" s="66">
        <f t="shared" si="15"/>
        <v>3.6651999999999996</v>
      </c>
      <c r="L777" s="63">
        <f t="shared" si="16"/>
        <v>0</v>
      </c>
      <c r="M777" s="63">
        <f t="shared" si="17"/>
        <v>0</v>
      </c>
      <c r="N777" s="63">
        <f t="shared" si="18"/>
        <v>0</v>
      </c>
      <c r="O777" s="63">
        <f t="shared" si="19"/>
        <v>0</v>
      </c>
      <c r="P777" s="63">
        <f t="shared" si="20"/>
        <v>0</v>
      </c>
      <c r="Q777" s="561">
        <f t="shared" si="88"/>
        <v>0</v>
      </c>
      <c r="R777" s="174"/>
      <c r="T777" s="82"/>
      <c r="U777" s="82"/>
      <c r="V777" s="82"/>
      <c r="W777" s="82"/>
      <c r="X777" s="82"/>
      <c r="Y777" s="82"/>
      <c r="Z777" s="82"/>
      <c r="AA777" s="82"/>
      <c r="AB777" s="82"/>
    </row>
    <row r="778" spans="1:28" s="85" customFormat="1" x14ac:dyDescent="0.25">
      <c r="A778" s="82"/>
      <c r="B778" s="82"/>
      <c r="C778" s="82"/>
      <c r="D778" s="729"/>
      <c r="E778" s="371" t="s">
        <v>49</v>
      </c>
      <c r="F778" s="372">
        <v>24</v>
      </c>
      <c r="G778" s="373">
        <v>8</v>
      </c>
      <c r="H778" s="374">
        <v>10</v>
      </c>
      <c r="I778" s="375">
        <v>1.57</v>
      </c>
      <c r="J778" s="376">
        <f t="shared" si="89"/>
        <v>12.56</v>
      </c>
      <c r="K778" s="66">
        <f t="shared" si="15"/>
        <v>0</v>
      </c>
      <c r="L778" s="63">
        <f t="shared" si="16"/>
        <v>0</v>
      </c>
      <c r="M778" s="63">
        <f t="shared" si="17"/>
        <v>0</v>
      </c>
      <c r="N778" s="63">
        <f t="shared" si="18"/>
        <v>7.7495200000000004</v>
      </c>
      <c r="O778" s="63">
        <f t="shared" si="19"/>
        <v>0</v>
      </c>
      <c r="P778" s="63">
        <f t="shared" si="20"/>
        <v>0</v>
      </c>
      <c r="Q778" s="561">
        <f t="shared" si="88"/>
        <v>0</v>
      </c>
      <c r="R778" s="174"/>
      <c r="T778" s="82"/>
      <c r="U778" s="82"/>
      <c r="V778" s="82"/>
      <c r="W778" s="82"/>
      <c r="X778" s="82"/>
      <c r="Y778" s="82"/>
      <c r="Z778" s="82"/>
      <c r="AA778" s="82"/>
      <c r="AB778" s="82"/>
    </row>
    <row r="779" spans="1:28" s="85" customFormat="1" x14ac:dyDescent="0.25">
      <c r="A779" s="82"/>
      <c r="B779" s="82"/>
      <c r="C779" s="82"/>
      <c r="D779" s="729"/>
      <c r="E779" s="371" t="s">
        <v>113</v>
      </c>
      <c r="F779" s="372">
        <v>15</v>
      </c>
      <c r="G779" s="373">
        <v>25</v>
      </c>
      <c r="H779" s="374">
        <v>5</v>
      </c>
      <c r="I779" s="375">
        <v>2.0699999999999998</v>
      </c>
      <c r="J779" s="376">
        <f t="shared" si="89"/>
        <v>51.749999999999993</v>
      </c>
      <c r="K779" s="66">
        <f t="shared" si="15"/>
        <v>7.9694999999999991</v>
      </c>
      <c r="L779" s="63">
        <f t="shared" si="16"/>
        <v>0</v>
      </c>
      <c r="M779" s="63">
        <f t="shared" si="17"/>
        <v>0</v>
      </c>
      <c r="N779" s="63">
        <f t="shared" si="18"/>
        <v>0</v>
      </c>
      <c r="O779" s="63">
        <f t="shared" si="19"/>
        <v>0</v>
      </c>
      <c r="P779" s="63">
        <f t="shared" si="20"/>
        <v>0</v>
      </c>
      <c r="Q779" s="561">
        <f t="shared" si="88"/>
        <v>0</v>
      </c>
      <c r="R779" s="174"/>
      <c r="T779" s="82"/>
      <c r="U779" s="82"/>
      <c r="V779" s="82"/>
      <c r="W779" s="82"/>
      <c r="X779" s="82"/>
      <c r="Y779" s="82"/>
      <c r="Z779" s="82"/>
      <c r="AA779" s="82"/>
      <c r="AB779" s="82"/>
    </row>
    <row r="780" spans="1:28" s="85" customFormat="1" x14ac:dyDescent="0.25">
      <c r="A780" s="82"/>
      <c r="B780" s="82"/>
      <c r="C780" s="82"/>
      <c r="D780" s="729"/>
      <c r="E780" s="371" t="s">
        <v>113</v>
      </c>
      <c r="F780" s="372">
        <v>16</v>
      </c>
      <c r="G780" s="373">
        <v>10</v>
      </c>
      <c r="H780" s="374">
        <v>5</v>
      </c>
      <c r="I780" s="375">
        <v>1.19</v>
      </c>
      <c r="J780" s="376">
        <f t="shared" si="89"/>
        <v>11.899999999999999</v>
      </c>
      <c r="K780" s="66">
        <f t="shared" si="15"/>
        <v>1.8325999999999998</v>
      </c>
      <c r="L780" s="63">
        <f t="shared" si="16"/>
        <v>0</v>
      </c>
      <c r="M780" s="63">
        <f t="shared" si="17"/>
        <v>0</v>
      </c>
      <c r="N780" s="63">
        <f t="shared" si="18"/>
        <v>0</v>
      </c>
      <c r="O780" s="63">
        <f t="shared" si="19"/>
        <v>0</v>
      </c>
      <c r="P780" s="63">
        <f t="shared" si="20"/>
        <v>0</v>
      </c>
      <c r="Q780" s="561">
        <f t="shared" si="88"/>
        <v>0</v>
      </c>
      <c r="R780" s="174"/>
      <c r="T780" s="82"/>
      <c r="U780" s="82"/>
      <c r="V780" s="82"/>
      <c r="W780" s="82"/>
      <c r="X780" s="82"/>
      <c r="Y780" s="82"/>
      <c r="Z780" s="82"/>
      <c r="AA780" s="82"/>
      <c r="AB780" s="82"/>
    </row>
    <row r="781" spans="1:28" s="85" customFormat="1" x14ac:dyDescent="0.25">
      <c r="A781" s="82"/>
      <c r="B781" s="82"/>
      <c r="C781" s="82"/>
      <c r="D781" s="729"/>
      <c r="E781" s="371" t="s">
        <v>113</v>
      </c>
      <c r="F781" s="372">
        <v>17</v>
      </c>
      <c r="G781" s="373">
        <v>60</v>
      </c>
      <c r="H781" s="374">
        <v>5</v>
      </c>
      <c r="I781" s="375">
        <v>0.24</v>
      </c>
      <c r="J781" s="376">
        <f t="shared" si="89"/>
        <v>14.399999999999999</v>
      </c>
      <c r="K781" s="66">
        <f t="shared" si="15"/>
        <v>2.2175999999999996</v>
      </c>
      <c r="L781" s="63">
        <f t="shared" si="16"/>
        <v>0</v>
      </c>
      <c r="M781" s="63">
        <f t="shared" si="17"/>
        <v>0</v>
      </c>
      <c r="N781" s="63">
        <f t="shared" si="18"/>
        <v>0</v>
      </c>
      <c r="O781" s="63">
        <f t="shared" si="19"/>
        <v>0</v>
      </c>
      <c r="P781" s="63">
        <f t="shared" si="20"/>
        <v>0</v>
      </c>
      <c r="Q781" s="561">
        <f t="shared" si="88"/>
        <v>0</v>
      </c>
      <c r="R781" s="174"/>
      <c r="T781" s="82"/>
      <c r="U781" s="82"/>
      <c r="V781" s="82"/>
      <c r="W781" s="82"/>
      <c r="X781" s="82"/>
      <c r="Y781" s="82"/>
      <c r="Z781" s="82"/>
      <c r="AA781" s="82"/>
      <c r="AB781" s="82"/>
    </row>
    <row r="782" spans="1:28" s="85" customFormat="1" x14ac:dyDescent="0.25">
      <c r="A782" s="82"/>
      <c r="B782" s="82"/>
      <c r="C782" s="82"/>
      <c r="D782" s="729"/>
      <c r="E782" s="371" t="s">
        <v>113</v>
      </c>
      <c r="F782" s="372">
        <v>23</v>
      </c>
      <c r="G782" s="373">
        <v>8</v>
      </c>
      <c r="H782" s="374">
        <v>10</v>
      </c>
      <c r="I782" s="375">
        <v>3.78</v>
      </c>
      <c r="J782" s="376">
        <f t="shared" si="89"/>
        <v>30.24</v>
      </c>
      <c r="K782" s="66">
        <f t="shared" si="15"/>
        <v>0</v>
      </c>
      <c r="L782" s="63">
        <f t="shared" si="16"/>
        <v>0</v>
      </c>
      <c r="M782" s="63">
        <f t="shared" si="17"/>
        <v>0</v>
      </c>
      <c r="N782" s="63">
        <f t="shared" si="18"/>
        <v>18.658079999999998</v>
      </c>
      <c r="O782" s="63">
        <f t="shared" si="19"/>
        <v>0</v>
      </c>
      <c r="P782" s="63">
        <f t="shared" si="20"/>
        <v>0</v>
      </c>
      <c r="Q782" s="561">
        <f t="shared" si="88"/>
        <v>0</v>
      </c>
      <c r="R782" s="174"/>
      <c r="T782" s="82"/>
      <c r="U782" s="82"/>
      <c r="V782" s="82"/>
      <c r="W782" s="82"/>
      <c r="X782" s="82"/>
      <c r="Y782" s="82"/>
      <c r="Z782" s="82"/>
      <c r="AA782" s="82"/>
      <c r="AB782" s="82"/>
    </row>
    <row r="783" spans="1:28" s="85" customFormat="1" x14ac:dyDescent="0.25">
      <c r="A783" s="82"/>
      <c r="B783" s="82"/>
      <c r="C783" s="82"/>
      <c r="D783" s="729"/>
      <c r="E783" s="396" t="s">
        <v>184</v>
      </c>
      <c r="F783" s="403">
        <v>15</v>
      </c>
      <c r="G783" s="397">
        <v>8</v>
      </c>
      <c r="H783" s="398">
        <v>5</v>
      </c>
      <c r="I783" s="399">
        <v>2.0699999999999998</v>
      </c>
      <c r="J783" s="400">
        <f t="shared" si="89"/>
        <v>16.559999999999999</v>
      </c>
      <c r="K783" s="401">
        <f t="shared" si="15"/>
        <v>2.5502399999999996</v>
      </c>
      <c r="L783" s="196">
        <f t="shared" si="16"/>
        <v>0</v>
      </c>
      <c r="M783" s="196">
        <f t="shared" si="17"/>
        <v>0</v>
      </c>
      <c r="N783" s="196">
        <f t="shared" si="18"/>
        <v>0</v>
      </c>
      <c r="O783" s="196">
        <f t="shared" si="19"/>
        <v>0</v>
      </c>
      <c r="P783" s="196">
        <f t="shared" si="20"/>
        <v>0</v>
      </c>
      <c r="Q783" s="566">
        <f t="shared" si="88"/>
        <v>0</v>
      </c>
      <c r="R783" s="538"/>
      <c r="T783" s="82"/>
      <c r="U783" s="82"/>
      <c r="V783" s="82"/>
      <c r="W783" s="82"/>
      <c r="X783" s="82"/>
      <c r="Y783" s="82"/>
      <c r="Z783" s="82"/>
      <c r="AA783" s="82"/>
      <c r="AB783" s="82"/>
    </row>
    <row r="784" spans="1:28" s="85" customFormat="1" x14ac:dyDescent="0.25">
      <c r="A784" s="82"/>
      <c r="B784" s="82"/>
      <c r="C784" s="82"/>
      <c r="D784" s="729"/>
      <c r="E784" s="371" t="s">
        <v>184</v>
      </c>
      <c r="F784" s="372">
        <v>16</v>
      </c>
      <c r="G784" s="373">
        <v>4</v>
      </c>
      <c r="H784" s="374">
        <v>5</v>
      </c>
      <c r="I784" s="375">
        <v>1.19</v>
      </c>
      <c r="J784" s="376">
        <f t="shared" si="89"/>
        <v>4.76</v>
      </c>
      <c r="K784" s="66">
        <f t="shared" si="15"/>
        <v>0.73303999999999991</v>
      </c>
      <c r="L784" s="63">
        <f t="shared" si="16"/>
        <v>0</v>
      </c>
      <c r="M784" s="63">
        <f t="shared" si="17"/>
        <v>0</v>
      </c>
      <c r="N784" s="63">
        <f t="shared" si="18"/>
        <v>0</v>
      </c>
      <c r="O784" s="63">
        <f t="shared" si="19"/>
        <v>0</v>
      </c>
      <c r="P784" s="63">
        <f t="shared" si="20"/>
        <v>0</v>
      </c>
      <c r="Q784" s="562">
        <f t="shared" si="88"/>
        <v>0</v>
      </c>
      <c r="R784" s="377"/>
      <c r="T784" s="82"/>
      <c r="U784" s="82"/>
      <c r="V784" s="82"/>
      <c r="W784" s="82"/>
      <c r="X784" s="82"/>
      <c r="Y784" s="82"/>
      <c r="Z784" s="82"/>
      <c r="AA784" s="82"/>
      <c r="AB784" s="82"/>
    </row>
    <row r="785" spans="1:28" s="85" customFormat="1" x14ac:dyDescent="0.25">
      <c r="A785" s="82"/>
      <c r="B785" s="82"/>
      <c r="C785" s="82"/>
      <c r="D785" s="729"/>
      <c r="E785" s="371" t="s">
        <v>184</v>
      </c>
      <c r="F785" s="372">
        <v>17</v>
      </c>
      <c r="G785" s="373">
        <v>20</v>
      </c>
      <c r="H785" s="374">
        <v>5</v>
      </c>
      <c r="I785" s="375">
        <v>0.24</v>
      </c>
      <c r="J785" s="376">
        <f t="shared" si="89"/>
        <v>4.8</v>
      </c>
      <c r="K785" s="66">
        <f t="shared" si="15"/>
        <v>0.73919999999999997</v>
      </c>
      <c r="L785" s="63">
        <f t="shared" si="16"/>
        <v>0</v>
      </c>
      <c r="M785" s="63">
        <f t="shared" si="17"/>
        <v>0</v>
      </c>
      <c r="N785" s="63">
        <f t="shared" si="18"/>
        <v>0</v>
      </c>
      <c r="O785" s="63">
        <f t="shared" si="19"/>
        <v>0</v>
      </c>
      <c r="P785" s="63">
        <f t="shared" si="20"/>
        <v>0</v>
      </c>
      <c r="Q785" s="562">
        <f t="shared" si="88"/>
        <v>0</v>
      </c>
      <c r="R785" s="377"/>
      <c r="T785" s="82"/>
      <c r="U785" s="82"/>
      <c r="V785" s="82"/>
      <c r="W785" s="82"/>
      <c r="X785" s="82"/>
      <c r="Y785" s="82"/>
      <c r="Z785" s="82"/>
      <c r="AA785" s="82"/>
      <c r="AB785" s="82"/>
    </row>
    <row r="786" spans="1:28" s="85" customFormat="1" ht="13.8" thickBot="1" x14ac:dyDescent="0.3">
      <c r="A786" s="82"/>
      <c r="B786" s="82"/>
      <c r="C786" s="82"/>
      <c r="D786" s="731"/>
      <c r="E786" s="390" t="s">
        <v>184</v>
      </c>
      <c r="F786" s="391">
        <v>45</v>
      </c>
      <c r="G786" s="392">
        <v>8</v>
      </c>
      <c r="H786" s="393">
        <v>10</v>
      </c>
      <c r="I786" s="394">
        <v>1.02</v>
      </c>
      <c r="J786" s="395">
        <f t="shared" si="89"/>
        <v>8.16</v>
      </c>
      <c r="K786" s="221">
        <f t="shared" si="15"/>
        <v>0</v>
      </c>
      <c r="L786" s="222">
        <f t="shared" si="16"/>
        <v>0</v>
      </c>
      <c r="M786" s="222">
        <f t="shared" si="17"/>
        <v>0</v>
      </c>
      <c r="N786" s="222">
        <f t="shared" si="18"/>
        <v>5.0347200000000001</v>
      </c>
      <c r="O786" s="222">
        <f t="shared" si="19"/>
        <v>0</v>
      </c>
      <c r="P786" s="222">
        <f t="shared" si="20"/>
        <v>0</v>
      </c>
      <c r="Q786" s="564">
        <f t="shared" si="88"/>
        <v>0</v>
      </c>
      <c r="R786" s="539"/>
      <c r="T786" s="82"/>
      <c r="U786" s="82"/>
      <c r="V786" s="82"/>
      <c r="W786" s="82"/>
      <c r="X786" s="82"/>
      <c r="Y786" s="82"/>
      <c r="Z786" s="82"/>
      <c r="AA786" s="82"/>
      <c r="AB786" s="82"/>
    </row>
    <row r="787" spans="1:28" s="85" customFormat="1" ht="13.8" thickTop="1" x14ac:dyDescent="0.25">
      <c r="A787" s="82"/>
      <c r="B787" s="82"/>
      <c r="C787" s="82"/>
      <c r="D787" s="728" t="s">
        <v>1586</v>
      </c>
      <c r="E787" s="384" t="s">
        <v>49</v>
      </c>
      <c r="F787" s="385">
        <v>4</v>
      </c>
      <c r="G787" s="386">
        <f>4*7</f>
        <v>28</v>
      </c>
      <c r="H787" s="387">
        <v>5</v>
      </c>
      <c r="I787" s="388">
        <v>0.24</v>
      </c>
      <c r="J787" s="389">
        <f t="shared" si="89"/>
        <v>6.72</v>
      </c>
      <c r="K787" s="218">
        <f t="shared" si="15"/>
        <v>1.03488</v>
      </c>
      <c r="L787" s="219">
        <f t="shared" si="16"/>
        <v>0</v>
      </c>
      <c r="M787" s="219">
        <f t="shared" si="17"/>
        <v>0</v>
      </c>
      <c r="N787" s="219">
        <f t="shared" si="18"/>
        <v>0</v>
      </c>
      <c r="O787" s="219">
        <f t="shared" si="19"/>
        <v>0</v>
      </c>
      <c r="P787" s="219">
        <f t="shared" si="20"/>
        <v>0</v>
      </c>
      <c r="Q787" s="563">
        <f t="shared" si="88"/>
        <v>0</v>
      </c>
      <c r="R787" s="220"/>
      <c r="T787" s="82"/>
      <c r="U787" s="82"/>
      <c r="V787" s="82"/>
      <c r="W787" s="82"/>
      <c r="X787" s="82"/>
      <c r="Y787" s="82"/>
      <c r="Z787" s="82"/>
      <c r="AA787" s="82"/>
      <c r="AB787" s="82"/>
    </row>
    <row r="788" spans="1:28" s="85" customFormat="1" x14ac:dyDescent="0.25">
      <c r="A788" s="82"/>
      <c r="B788" s="82"/>
      <c r="C788" s="82"/>
      <c r="D788" s="729"/>
      <c r="E788" s="371" t="s">
        <v>49</v>
      </c>
      <c r="F788" s="372">
        <v>5</v>
      </c>
      <c r="G788" s="373">
        <f>4*4</f>
        <v>16</v>
      </c>
      <c r="H788" s="374">
        <v>5</v>
      </c>
      <c r="I788" s="375">
        <v>0.97</v>
      </c>
      <c r="J788" s="376">
        <f t="shared" si="89"/>
        <v>15.52</v>
      </c>
      <c r="K788" s="66">
        <f t="shared" si="15"/>
        <v>2.3900799999999998</v>
      </c>
      <c r="L788" s="63">
        <f t="shared" si="16"/>
        <v>0</v>
      </c>
      <c r="M788" s="63">
        <f t="shared" si="17"/>
        <v>0</v>
      </c>
      <c r="N788" s="63">
        <f t="shared" si="18"/>
        <v>0</v>
      </c>
      <c r="O788" s="63">
        <f t="shared" si="19"/>
        <v>0</v>
      </c>
      <c r="P788" s="63">
        <f t="shared" si="20"/>
        <v>0</v>
      </c>
      <c r="Q788" s="561">
        <f t="shared" si="88"/>
        <v>0</v>
      </c>
      <c r="R788" s="174"/>
      <c r="T788" s="82"/>
      <c r="U788" s="82"/>
      <c r="V788" s="82"/>
      <c r="W788" s="82"/>
      <c r="X788" s="82"/>
      <c r="Y788" s="82"/>
      <c r="Z788" s="82"/>
      <c r="AA788" s="82"/>
      <c r="AB788" s="82"/>
    </row>
    <row r="789" spans="1:28" s="85" customFormat="1" x14ac:dyDescent="0.25">
      <c r="A789" s="82"/>
      <c r="B789" s="82"/>
      <c r="C789" s="82"/>
      <c r="D789" s="729"/>
      <c r="E789" s="371" t="s">
        <v>49</v>
      </c>
      <c r="F789" s="372">
        <v>6</v>
      </c>
      <c r="G789" s="373">
        <f>4*6</f>
        <v>24</v>
      </c>
      <c r="H789" s="374">
        <v>5</v>
      </c>
      <c r="I789" s="375">
        <v>0.64</v>
      </c>
      <c r="J789" s="376">
        <f t="shared" si="89"/>
        <v>15.36</v>
      </c>
      <c r="K789" s="66">
        <f t="shared" si="15"/>
        <v>2.36544</v>
      </c>
      <c r="L789" s="63">
        <f t="shared" si="16"/>
        <v>0</v>
      </c>
      <c r="M789" s="63">
        <f t="shared" si="17"/>
        <v>0</v>
      </c>
      <c r="N789" s="63">
        <f t="shared" si="18"/>
        <v>0</v>
      </c>
      <c r="O789" s="63">
        <f t="shared" si="19"/>
        <v>0</v>
      </c>
      <c r="P789" s="63">
        <f t="shared" si="20"/>
        <v>0</v>
      </c>
      <c r="Q789" s="561">
        <f t="shared" si="88"/>
        <v>0</v>
      </c>
      <c r="R789" s="174"/>
      <c r="T789" s="82"/>
      <c r="U789" s="82"/>
      <c r="V789" s="82"/>
      <c r="W789" s="82"/>
      <c r="X789" s="82"/>
      <c r="Y789" s="82"/>
      <c r="Z789" s="82"/>
      <c r="AA789" s="82"/>
      <c r="AB789" s="82"/>
    </row>
    <row r="790" spans="1:28" s="85" customFormat="1" x14ac:dyDescent="0.25">
      <c r="A790" s="82"/>
      <c r="B790" s="82"/>
      <c r="C790" s="82"/>
      <c r="D790" s="729"/>
      <c r="E790" s="371" t="s">
        <v>49</v>
      </c>
      <c r="F790" s="372">
        <v>19</v>
      </c>
      <c r="G790" s="373">
        <f>4*6</f>
        <v>24</v>
      </c>
      <c r="H790" s="374">
        <v>12.5</v>
      </c>
      <c r="I790" s="375">
        <v>1.45</v>
      </c>
      <c r="J790" s="376">
        <f t="shared" si="89"/>
        <v>34.799999999999997</v>
      </c>
      <c r="K790" s="66">
        <f t="shared" si="15"/>
        <v>0</v>
      </c>
      <c r="L790" s="63">
        <f t="shared" si="16"/>
        <v>0</v>
      </c>
      <c r="M790" s="63">
        <f t="shared" si="17"/>
        <v>0</v>
      </c>
      <c r="N790" s="63">
        <f t="shared" si="18"/>
        <v>0</v>
      </c>
      <c r="O790" s="63">
        <f t="shared" si="19"/>
        <v>33.5124</v>
      </c>
      <c r="P790" s="63">
        <f t="shared" si="20"/>
        <v>0</v>
      </c>
      <c r="Q790" s="561">
        <f t="shared" si="88"/>
        <v>0</v>
      </c>
      <c r="R790" s="174"/>
      <c r="T790" s="82"/>
      <c r="U790" s="82"/>
      <c r="V790" s="82"/>
      <c r="W790" s="82"/>
      <c r="X790" s="82"/>
      <c r="Y790" s="82"/>
      <c r="Z790" s="82"/>
      <c r="AA790" s="82"/>
      <c r="AB790" s="82"/>
    </row>
    <row r="791" spans="1:28" s="85" customFormat="1" x14ac:dyDescent="0.25">
      <c r="A791" s="82"/>
      <c r="B791" s="82"/>
      <c r="C791" s="82"/>
      <c r="D791" s="729"/>
      <c r="E791" s="371" t="s">
        <v>113</v>
      </c>
      <c r="F791" s="372">
        <v>4</v>
      </c>
      <c r="G791" s="373">
        <f>4*24</f>
        <v>96</v>
      </c>
      <c r="H791" s="374">
        <v>5</v>
      </c>
      <c r="I791" s="375">
        <v>0.24</v>
      </c>
      <c r="J791" s="376">
        <f t="shared" si="89"/>
        <v>23.04</v>
      </c>
      <c r="K791" s="66">
        <f t="shared" si="15"/>
        <v>3.5481599999999998</v>
      </c>
      <c r="L791" s="63">
        <f t="shared" si="16"/>
        <v>0</v>
      </c>
      <c r="M791" s="63">
        <f t="shared" si="17"/>
        <v>0</v>
      </c>
      <c r="N791" s="63">
        <f t="shared" si="18"/>
        <v>0</v>
      </c>
      <c r="O791" s="63">
        <f t="shared" si="19"/>
        <v>0</v>
      </c>
      <c r="P791" s="63">
        <f t="shared" si="20"/>
        <v>0</v>
      </c>
      <c r="Q791" s="561">
        <f t="shared" si="88"/>
        <v>0</v>
      </c>
      <c r="R791" s="174"/>
      <c r="T791" s="82"/>
      <c r="U791" s="82"/>
      <c r="V791" s="82"/>
      <c r="W791" s="82"/>
      <c r="X791" s="82"/>
      <c r="Y791" s="82"/>
      <c r="Z791" s="82"/>
      <c r="AA791" s="82"/>
      <c r="AB791" s="82"/>
    </row>
    <row r="792" spans="1:28" s="85" customFormat="1" x14ac:dyDescent="0.25">
      <c r="A792" s="82"/>
      <c r="B792" s="82"/>
      <c r="C792" s="82"/>
      <c r="D792" s="729"/>
      <c r="E792" s="371" t="s">
        <v>113</v>
      </c>
      <c r="F792" s="372">
        <v>5</v>
      </c>
      <c r="G792" s="373">
        <f>4*20</f>
        <v>80</v>
      </c>
      <c r="H792" s="374">
        <v>5</v>
      </c>
      <c r="I792" s="375">
        <v>0.97</v>
      </c>
      <c r="J792" s="376">
        <f t="shared" si="89"/>
        <v>77.599999999999994</v>
      </c>
      <c r="K792" s="66">
        <f t="shared" si="15"/>
        <v>11.950399999999998</v>
      </c>
      <c r="L792" s="63">
        <f t="shared" si="16"/>
        <v>0</v>
      </c>
      <c r="M792" s="63">
        <f t="shared" si="17"/>
        <v>0</v>
      </c>
      <c r="N792" s="63">
        <f t="shared" si="18"/>
        <v>0</v>
      </c>
      <c r="O792" s="63">
        <f t="shared" si="19"/>
        <v>0</v>
      </c>
      <c r="P792" s="63">
        <f t="shared" si="20"/>
        <v>0</v>
      </c>
      <c r="Q792" s="561">
        <f t="shared" si="88"/>
        <v>0</v>
      </c>
      <c r="R792" s="174"/>
      <c r="T792" s="82"/>
      <c r="U792" s="82"/>
      <c r="V792" s="82"/>
      <c r="W792" s="82"/>
      <c r="X792" s="82"/>
      <c r="Y792" s="82"/>
      <c r="Z792" s="82"/>
      <c r="AA792" s="82"/>
      <c r="AB792" s="82"/>
    </row>
    <row r="793" spans="1:28" s="85" customFormat="1" x14ac:dyDescent="0.25">
      <c r="A793" s="82"/>
      <c r="B793" s="82"/>
      <c r="C793" s="82"/>
      <c r="D793" s="729"/>
      <c r="E793" s="371" t="s">
        <v>113</v>
      </c>
      <c r="F793" s="372">
        <v>6</v>
      </c>
      <c r="G793" s="373">
        <f>4*8</f>
        <v>32</v>
      </c>
      <c r="H793" s="374">
        <v>5</v>
      </c>
      <c r="I793" s="375">
        <v>0.64</v>
      </c>
      <c r="J793" s="376">
        <f t="shared" si="89"/>
        <v>20.48</v>
      </c>
      <c r="K793" s="66">
        <f t="shared" si="15"/>
        <v>3.1539199999999998</v>
      </c>
      <c r="L793" s="63">
        <f t="shared" si="16"/>
        <v>0</v>
      </c>
      <c r="M793" s="63">
        <f t="shared" si="17"/>
        <v>0</v>
      </c>
      <c r="N793" s="63">
        <f t="shared" si="18"/>
        <v>0</v>
      </c>
      <c r="O793" s="63">
        <f t="shared" si="19"/>
        <v>0</v>
      </c>
      <c r="P793" s="63">
        <f t="shared" si="20"/>
        <v>0</v>
      </c>
      <c r="Q793" s="561">
        <f t="shared" si="88"/>
        <v>0</v>
      </c>
      <c r="R793" s="174"/>
      <c r="T793" s="82"/>
      <c r="U793" s="82"/>
      <c r="V793" s="82"/>
      <c r="W793" s="82"/>
      <c r="X793" s="82"/>
      <c r="Y793" s="82"/>
      <c r="Z793" s="82"/>
      <c r="AA793" s="82"/>
      <c r="AB793" s="82"/>
    </row>
    <row r="794" spans="1:28" s="85" customFormat="1" x14ac:dyDescent="0.25">
      <c r="A794" s="82"/>
      <c r="B794" s="82"/>
      <c r="C794" s="82"/>
      <c r="D794" s="729"/>
      <c r="E794" s="371" t="s">
        <v>113</v>
      </c>
      <c r="F794" s="372">
        <v>24</v>
      </c>
      <c r="G794" s="373">
        <f>4*6</f>
        <v>24</v>
      </c>
      <c r="H794" s="374">
        <v>12.5</v>
      </c>
      <c r="I794" s="375">
        <v>3.87</v>
      </c>
      <c r="J794" s="376">
        <f t="shared" si="89"/>
        <v>92.88</v>
      </c>
      <c r="K794" s="66">
        <f t="shared" si="15"/>
        <v>0</v>
      </c>
      <c r="L794" s="63">
        <f t="shared" si="16"/>
        <v>0</v>
      </c>
      <c r="M794" s="63">
        <f t="shared" si="17"/>
        <v>0</v>
      </c>
      <c r="N794" s="63">
        <f t="shared" si="18"/>
        <v>0</v>
      </c>
      <c r="O794" s="63">
        <f t="shared" si="19"/>
        <v>89.443439999999995</v>
      </c>
      <c r="P794" s="63">
        <f t="shared" si="20"/>
        <v>0</v>
      </c>
      <c r="Q794" s="561">
        <f t="shared" si="88"/>
        <v>0</v>
      </c>
      <c r="R794" s="174"/>
      <c r="T794" s="82"/>
      <c r="U794" s="82"/>
      <c r="V794" s="82"/>
      <c r="W794" s="82"/>
      <c r="X794" s="82"/>
      <c r="Y794" s="82"/>
      <c r="Z794" s="82"/>
      <c r="AA794" s="82"/>
      <c r="AB794" s="82"/>
    </row>
    <row r="795" spans="1:28" s="85" customFormat="1" x14ac:dyDescent="0.25">
      <c r="A795" s="82"/>
      <c r="B795" s="82"/>
      <c r="C795" s="82"/>
      <c r="D795" s="729"/>
      <c r="E795" s="396" t="s">
        <v>184</v>
      </c>
      <c r="F795" s="403">
        <v>4</v>
      </c>
      <c r="G795" s="397">
        <f>4*7</f>
        <v>28</v>
      </c>
      <c r="H795" s="398">
        <v>5</v>
      </c>
      <c r="I795" s="399">
        <v>0.24</v>
      </c>
      <c r="J795" s="400">
        <f t="shared" si="89"/>
        <v>6.72</v>
      </c>
      <c r="K795" s="401">
        <f t="shared" si="15"/>
        <v>1.03488</v>
      </c>
      <c r="L795" s="196">
        <f t="shared" si="16"/>
        <v>0</v>
      </c>
      <c r="M795" s="196">
        <f t="shared" si="17"/>
        <v>0</v>
      </c>
      <c r="N795" s="196">
        <f t="shared" si="18"/>
        <v>0</v>
      </c>
      <c r="O795" s="196">
        <f t="shared" si="19"/>
        <v>0</v>
      </c>
      <c r="P795" s="196">
        <f t="shared" si="20"/>
        <v>0</v>
      </c>
      <c r="Q795" s="566">
        <f t="shared" si="88"/>
        <v>0</v>
      </c>
      <c r="R795" s="538"/>
      <c r="T795" s="82"/>
      <c r="U795" s="82"/>
      <c r="V795" s="82"/>
      <c r="W795" s="82"/>
      <c r="X795" s="82"/>
      <c r="Y795" s="82"/>
      <c r="Z795" s="82"/>
      <c r="AA795" s="82"/>
      <c r="AB795" s="82"/>
    </row>
    <row r="796" spans="1:28" s="85" customFormat="1" x14ac:dyDescent="0.25">
      <c r="A796" s="82"/>
      <c r="B796" s="82"/>
      <c r="C796" s="82"/>
      <c r="D796" s="729"/>
      <c r="E796" s="371" t="s">
        <v>184</v>
      </c>
      <c r="F796" s="372">
        <v>5</v>
      </c>
      <c r="G796" s="373">
        <f>4*6</f>
        <v>24</v>
      </c>
      <c r="H796" s="374">
        <v>5</v>
      </c>
      <c r="I796" s="375">
        <v>0.97</v>
      </c>
      <c r="J796" s="376">
        <f t="shared" si="89"/>
        <v>23.28</v>
      </c>
      <c r="K796" s="66">
        <f t="shared" si="15"/>
        <v>3.5851200000000003</v>
      </c>
      <c r="L796" s="63">
        <f t="shared" si="16"/>
        <v>0</v>
      </c>
      <c r="M796" s="63">
        <f t="shared" si="17"/>
        <v>0</v>
      </c>
      <c r="N796" s="63">
        <f t="shared" si="18"/>
        <v>0</v>
      </c>
      <c r="O796" s="63">
        <f t="shared" si="19"/>
        <v>0</v>
      </c>
      <c r="P796" s="63">
        <f t="shared" si="20"/>
        <v>0</v>
      </c>
      <c r="Q796" s="562">
        <f t="shared" si="88"/>
        <v>0</v>
      </c>
      <c r="R796" s="377"/>
      <c r="T796" s="82"/>
      <c r="U796" s="82"/>
      <c r="V796" s="82"/>
      <c r="W796" s="82"/>
      <c r="X796" s="82"/>
      <c r="Y796" s="82"/>
      <c r="Z796" s="82"/>
      <c r="AA796" s="82"/>
      <c r="AB796" s="82"/>
    </row>
    <row r="797" spans="1:28" s="85" customFormat="1" x14ac:dyDescent="0.25">
      <c r="A797" s="82"/>
      <c r="B797" s="82"/>
      <c r="C797" s="82"/>
      <c r="D797" s="729"/>
      <c r="E797" s="371" t="s">
        <v>184</v>
      </c>
      <c r="F797" s="372">
        <v>6</v>
      </c>
      <c r="G797" s="373">
        <f>4*2</f>
        <v>8</v>
      </c>
      <c r="H797" s="374">
        <v>5</v>
      </c>
      <c r="I797" s="375">
        <v>0.64</v>
      </c>
      <c r="J797" s="376">
        <f t="shared" si="89"/>
        <v>5.12</v>
      </c>
      <c r="K797" s="66">
        <f t="shared" si="15"/>
        <v>0.78847999999999996</v>
      </c>
      <c r="L797" s="63">
        <f t="shared" si="16"/>
        <v>0</v>
      </c>
      <c r="M797" s="63">
        <f t="shared" si="17"/>
        <v>0</v>
      </c>
      <c r="N797" s="63">
        <f t="shared" si="18"/>
        <v>0</v>
      </c>
      <c r="O797" s="63">
        <f t="shared" si="19"/>
        <v>0</v>
      </c>
      <c r="P797" s="63">
        <f t="shared" si="20"/>
        <v>0</v>
      </c>
      <c r="Q797" s="562">
        <f t="shared" si="88"/>
        <v>0</v>
      </c>
      <c r="R797" s="377"/>
      <c r="T797" s="82"/>
      <c r="U797" s="82"/>
      <c r="V797" s="82"/>
      <c r="W797" s="82"/>
      <c r="X797" s="82"/>
      <c r="Y797" s="82"/>
      <c r="Z797" s="82"/>
      <c r="AA797" s="82"/>
      <c r="AB797" s="82"/>
    </row>
    <row r="798" spans="1:28" s="85" customFormat="1" ht="13.8" thickBot="1" x14ac:dyDescent="0.3">
      <c r="A798" s="82"/>
      <c r="B798" s="82"/>
      <c r="C798" s="82"/>
      <c r="D798" s="731"/>
      <c r="E798" s="390" t="s">
        <v>184</v>
      </c>
      <c r="F798" s="391">
        <v>46</v>
      </c>
      <c r="G798" s="392">
        <f>4*6</f>
        <v>24</v>
      </c>
      <c r="H798" s="393">
        <v>12.5</v>
      </c>
      <c r="I798" s="394">
        <v>1.02</v>
      </c>
      <c r="J798" s="395">
        <f t="shared" si="89"/>
        <v>24.48</v>
      </c>
      <c r="K798" s="221">
        <f t="shared" si="15"/>
        <v>0</v>
      </c>
      <c r="L798" s="222">
        <f t="shared" si="16"/>
        <v>0</v>
      </c>
      <c r="M798" s="222">
        <f t="shared" si="17"/>
        <v>0</v>
      </c>
      <c r="N798" s="222">
        <f t="shared" si="18"/>
        <v>0</v>
      </c>
      <c r="O798" s="222">
        <f t="shared" si="19"/>
        <v>23.57424</v>
      </c>
      <c r="P798" s="222">
        <f t="shared" si="20"/>
        <v>0</v>
      </c>
      <c r="Q798" s="564">
        <f t="shared" si="88"/>
        <v>0</v>
      </c>
      <c r="R798" s="539"/>
      <c r="T798" s="82"/>
      <c r="U798" s="82"/>
      <c r="V798" s="82"/>
      <c r="W798" s="82"/>
      <c r="X798" s="82"/>
      <c r="Y798" s="82"/>
      <c r="Z798" s="82"/>
      <c r="AA798" s="82"/>
      <c r="AB798" s="82"/>
    </row>
    <row r="799" spans="1:28" s="85" customFormat="1" ht="13.8" thickTop="1" x14ac:dyDescent="0.25">
      <c r="A799" s="82"/>
      <c r="B799" s="82"/>
      <c r="C799" s="82"/>
      <c r="D799" s="728" t="s">
        <v>1569</v>
      </c>
      <c r="E799" s="384" t="s">
        <v>49</v>
      </c>
      <c r="F799" s="385">
        <v>12</v>
      </c>
      <c r="G799" s="386">
        <v>4</v>
      </c>
      <c r="H799" s="387">
        <v>5</v>
      </c>
      <c r="I799" s="388">
        <v>0.87</v>
      </c>
      <c r="J799" s="389">
        <f t="shared" si="89"/>
        <v>3.48</v>
      </c>
      <c r="K799" s="218">
        <f t="shared" si="15"/>
        <v>0.53591999999999995</v>
      </c>
      <c r="L799" s="219">
        <f t="shared" si="16"/>
        <v>0</v>
      </c>
      <c r="M799" s="219">
        <f t="shared" si="17"/>
        <v>0</v>
      </c>
      <c r="N799" s="219">
        <f t="shared" si="18"/>
        <v>0</v>
      </c>
      <c r="O799" s="219">
        <f t="shared" si="19"/>
        <v>0</v>
      </c>
      <c r="P799" s="219">
        <f t="shared" si="20"/>
        <v>0</v>
      </c>
      <c r="Q799" s="563">
        <f t="shared" si="88"/>
        <v>0</v>
      </c>
      <c r="R799" s="220"/>
      <c r="T799" s="82"/>
      <c r="U799" s="82"/>
      <c r="V799" s="82"/>
      <c r="W799" s="82"/>
      <c r="X799" s="82"/>
      <c r="Y799" s="82"/>
      <c r="Z799" s="82"/>
      <c r="AA799" s="82"/>
      <c r="AB799" s="82"/>
    </row>
    <row r="800" spans="1:28" s="85" customFormat="1" x14ac:dyDescent="0.25">
      <c r="A800" s="82"/>
      <c r="B800" s="82"/>
      <c r="C800" s="82"/>
      <c r="D800" s="729"/>
      <c r="E800" s="371" t="s">
        <v>49</v>
      </c>
      <c r="F800" s="372">
        <v>13</v>
      </c>
      <c r="G800" s="373">
        <v>8</v>
      </c>
      <c r="H800" s="374">
        <v>5</v>
      </c>
      <c r="I800" s="375">
        <v>0.69</v>
      </c>
      <c r="J800" s="376">
        <f t="shared" si="89"/>
        <v>5.52</v>
      </c>
      <c r="K800" s="66">
        <f t="shared" si="15"/>
        <v>0.85007999999999995</v>
      </c>
      <c r="L800" s="63">
        <f t="shared" si="16"/>
        <v>0</v>
      </c>
      <c r="M800" s="63">
        <f t="shared" si="17"/>
        <v>0</v>
      </c>
      <c r="N800" s="63">
        <f t="shared" si="18"/>
        <v>0</v>
      </c>
      <c r="O800" s="63">
        <f t="shared" si="19"/>
        <v>0</v>
      </c>
      <c r="P800" s="63">
        <f t="shared" si="20"/>
        <v>0</v>
      </c>
      <c r="Q800" s="561">
        <f t="shared" si="88"/>
        <v>0</v>
      </c>
      <c r="R800" s="174"/>
      <c r="T800" s="82"/>
      <c r="U800" s="82"/>
      <c r="V800" s="82"/>
      <c r="W800" s="82"/>
      <c r="X800" s="82"/>
      <c r="Y800" s="82"/>
      <c r="Z800" s="82"/>
      <c r="AA800" s="82"/>
      <c r="AB800" s="82"/>
    </row>
    <row r="801" spans="1:28" s="85" customFormat="1" ht="13.8" thickBot="1" x14ac:dyDescent="0.3">
      <c r="A801" s="82"/>
      <c r="B801" s="82"/>
      <c r="C801" s="82"/>
      <c r="D801" s="729"/>
      <c r="E801" s="371" t="s">
        <v>49</v>
      </c>
      <c r="F801" s="372">
        <v>20</v>
      </c>
      <c r="G801" s="373">
        <v>4</v>
      </c>
      <c r="H801" s="374">
        <v>12.5</v>
      </c>
      <c r="I801" s="375">
        <v>0.99</v>
      </c>
      <c r="J801" s="376">
        <f t="shared" si="89"/>
        <v>3.96</v>
      </c>
      <c r="K801" s="66">
        <f t="shared" si="15"/>
        <v>0</v>
      </c>
      <c r="L801" s="63">
        <f t="shared" si="16"/>
        <v>0</v>
      </c>
      <c r="M801" s="63">
        <f t="shared" si="17"/>
        <v>0</v>
      </c>
      <c r="N801" s="63">
        <f t="shared" si="18"/>
        <v>0</v>
      </c>
      <c r="O801" s="63">
        <f t="shared" si="19"/>
        <v>3.8134799999999998</v>
      </c>
      <c r="P801" s="63">
        <f t="shared" si="20"/>
        <v>0</v>
      </c>
      <c r="Q801" s="561">
        <f t="shared" si="88"/>
        <v>0</v>
      </c>
      <c r="R801" s="174"/>
      <c r="T801" s="82"/>
      <c r="U801" s="82"/>
      <c r="V801" s="82"/>
      <c r="W801" s="82"/>
      <c r="X801" s="82"/>
      <c r="Y801" s="82"/>
      <c r="Z801" s="82"/>
      <c r="AA801" s="82"/>
      <c r="AB801" s="82"/>
    </row>
    <row r="802" spans="1:28" s="85" customFormat="1" ht="13.8" thickTop="1" x14ac:dyDescent="0.25">
      <c r="A802" s="82"/>
      <c r="B802" s="82"/>
      <c r="C802" s="82"/>
      <c r="D802" s="728" t="s">
        <v>1570</v>
      </c>
      <c r="E802" s="384" t="s">
        <v>49</v>
      </c>
      <c r="F802" s="385">
        <v>12</v>
      </c>
      <c r="G802" s="386">
        <f>2*4</f>
        <v>8</v>
      </c>
      <c r="H802" s="387">
        <v>5</v>
      </c>
      <c r="I802" s="388">
        <v>0.87</v>
      </c>
      <c r="J802" s="389">
        <f t="shared" si="87"/>
        <v>6.96</v>
      </c>
      <c r="K802" s="218">
        <f t="shared" si="15"/>
        <v>1.0718399999999999</v>
      </c>
      <c r="L802" s="219">
        <f t="shared" si="16"/>
        <v>0</v>
      </c>
      <c r="M802" s="219">
        <f t="shared" si="17"/>
        <v>0</v>
      </c>
      <c r="N802" s="219">
        <f t="shared" si="18"/>
        <v>0</v>
      </c>
      <c r="O802" s="219">
        <f t="shared" si="19"/>
        <v>0</v>
      </c>
      <c r="P802" s="219">
        <f t="shared" si="20"/>
        <v>0</v>
      </c>
      <c r="Q802" s="563">
        <f t="shared" si="88"/>
        <v>0</v>
      </c>
      <c r="R802" s="220"/>
      <c r="T802" s="82"/>
      <c r="U802" s="82"/>
      <c r="V802" s="82"/>
      <c r="W802" s="82"/>
      <c r="X802" s="82"/>
      <c r="Y802" s="82"/>
      <c r="Z802" s="82"/>
      <c r="AA802" s="82"/>
      <c r="AB802" s="82"/>
    </row>
    <row r="803" spans="1:28" s="85" customFormat="1" x14ac:dyDescent="0.25">
      <c r="A803" s="82"/>
      <c r="B803" s="82"/>
      <c r="C803" s="82"/>
      <c r="D803" s="729"/>
      <c r="E803" s="371" t="s">
        <v>49</v>
      </c>
      <c r="F803" s="372">
        <v>13</v>
      </c>
      <c r="G803" s="373">
        <f>2*6</f>
        <v>12</v>
      </c>
      <c r="H803" s="374">
        <v>5</v>
      </c>
      <c r="I803" s="375">
        <v>0.69</v>
      </c>
      <c r="J803" s="376">
        <f t="shared" si="87"/>
        <v>8.2799999999999994</v>
      </c>
      <c r="K803" s="66">
        <f t="shared" si="15"/>
        <v>1.2751199999999998</v>
      </c>
      <c r="L803" s="63">
        <f t="shared" si="16"/>
        <v>0</v>
      </c>
      <c r="M803" s="63">
        <f t="shared" si="17"/>
        <v>0</v>
      </c>
      <c r="N803" s="63">
        <f t="shared" si="18"/>
        <v>0</v>
      </c>
      <c r="O803" s="63">
        <f t="shared" si="19"/>
        <v>0</v>
      </c>
      <c r="P803" s="63">
        <f t="shared" si="20"/>
        <v>0</v>
      </c>
      <c r="Q803" s="561">
        <f t="shared" si="88"/>
        <v>0</v>
      </c>
      <c r="R803" s="174"/>
      <c r="T803" s="82"/>
      <c r="U803" s="82"/>
      <c r="V803" s="82"/>
      <c r="W803" s="82"/>
      <c r="X803" s="82"/>
      <c r="Y803" s="82"/>
      <c r="Z803" s="82"/>
      <c r="AA803" s="82"/>
      <c r="AB803" s="82"/>
    </row>
    <row r="804" spans="1:28" s="85" customFormat="1" ht="13.8" thickBot="1" x14ac:dyDescent="0.3">
      <c r="A804" s="82"/>
      <c r="B804" s="82"/>
      <c r="C804" s="82"/>
      <c r="D804" s="729"/>
      <c r="E804" s="371" t="s">
        <v>49</v>
      </c>
      <c r="F804" s="372">
        <v>20</v>
      </c>
      <c r="G804" s="373">
        <f>2*4</f>
        <v>8</v>
      </c>
      <c r="H804" s="374">
        <v>12.5</v>
      </c>
      <c r="I804" s="375">
        <v>0.99</v>
      </c>
      <c r="J804" s="376">
        <f t="shared" si="87"/>
        <v>7.92</v>
      </c>
      <c r="K804" s="66">
        <f t="shared" si="15"/>
        <v>0</v>
      </c>
      <c r="L804" s="63">
        <f t="shared" si="16"/>
        <v>0</v>
      </c>
      <c r="M804" s="63">
        <f t="shared" si="17"/>
        <v>0</v>
      </c>
      <c r="N804" s="63">
        <f t="shared" si="18"/>
        <v>0</v>
      </c>
      <c r="O804" s="63">
        <f t="shared" si="19"/>
        <v>7.6269599999999995</v>
      </c>
      <c r="P804" s="63">
        <f t="shared" si="20"/>
        <v>0</v>
      </c>
      <c r="Q804" s="561">
        <f t="shared" si="88"/>
        <v>0</v>
      </c>
      <c r="R804" s="174"/>
      <c r="T804" s="82"/>
      <c r="U804" s="82"/>
      <c r="V804" s="82"/>
      <c r="W804" s="82"/>
      <c r="X804" s="82"/>
      <c r="Y804" s="82"/>
      <c r="Z804" s="82"/>
      <c r="AA804" s="82"/>
      <c r="AB804" s="82"/>
    </row>
    <row r="805" spans="1:28" s="85" customFormat="1" ht="13.8" thickTop="1" x14ac:dyDescent="0.25">
      <c r="A805" s="82"/>
      <c r="B805" s="82"/>
      <c r="C805" s="82"/>
      <c r="D805" s="728" t="s">
        <v>1571</v>
      </c>
      <c r="E805" s="384" t="s">
        <v>49</v>
      </c>
      <c r="F805" s="385">
        <v>13</v>
      </c>
      <c r="G805" s="386">
        <v>16</v>
      </c>
      <c r="H805" s="387">
        <v>5</v>
      </c>
      <c r="I805" s="388">
        <v>0.69</v>
      </c>
      <c r="J805" s="389">
        <f t="shared" ref="J805:J806" si="91">G805*I805</f>
        <v>11.04</v>
      </c>
      <c r="K805" s="218">
        <f t="shared" si="15"/>
        <v>1.7001599999999999</v>
      </c>
      <c r="L805" s="219">
        <f t="shared" si="16"/>
        <v>0</v>
      </c>
      <c r="M805" s="219">
        <f t="shared" si="17"/>
        <v>0</v>
      </c>
      <c r="N805" s="219">
        <f t="shared" si="18"/>
        <v>0</v>
      </c>
      <c r="O805" s="219">
        <f t="shared" si="19"/>
        <v>0</v>
      </c>
      <c r="P805" s="219">
        <f t="shared" si="20"/>
        <v>0</v>
      </c>
      <c r="Q805" s="563">
        <f t="shared" ref="Q805:Q2192" si="92">IF($H805=20,$J805*$B$28,0)</f>
        <v>0</v>
      </c>
      <c r="R805" s="220"/>
      <c r="T805" s="82"/>
      <c r="U805" s="82"/>
      <c r="V805" s="82"/>
      <c r="W805" s="82"/>
      <c r="X805" s="82"/>
      <c r="Y805" s="82"/>
      <c r="Z805" s="82"/>
      <c r="AA805" s="82"/>
      <c r="AB805" s="82"/>
    </row>
    <row r="806" spans="1:28" s="85" customFormat="1" ht="13.8" thickBot="1" x14ac:dyDescent="0.3">
      <c r="A806" s="82"/>
      <c r="B806" s="82"/>
      <c r="C806" s="82"/>
      <c r="D806" s="729"/>
      <c r="E806" s="371" t="s">
        <v>49</v>
      </c>
      <c r="F806" s="372">
        <v>17</v>
      </c>
      <c r="G806" s="373">
        <v>4</v>
      </c>
      <c r="H806" s="374">
        <v>10</v>
      </c>
      <c r="I806" s="375">
        <v>1</v>
      </c>
      <c r="J806" s="376">
        <f t="shared" si="91"/>
        <v>4</v>
      </c>
      <c r="K806" s="66">
        <f t="shared" si="15"/>
        <v>0</v>
      </c>
      <c r="L806" s="63">
        <f t="shared" si="16"/>
        <v>0</v>
      </c>
      <c r="M806" s="63">
        <f t="shared" si="17"/>
        <v>0</v>
      </c>
      <c r="N806" s="63">
        <f t="shared" si="18"/>
        <v>2.468</v>
      </c>
      <c r="O806" s="63">
        <f t="shared" si="19"/>
        <v>0</v>
      </c>
      <c r="P806" s="63">
        <f t="shared" si="20"/>
        <v>0</v>
      </c>
      <c r="Q806" s="561">
        <f t="shared" si="92"/>
        <v>0</v>
      </c>
      <c r="R806" s="174"/>
      <c r="T806" s="82"/>
      <c r="U806" s="82"/>
      <c r="V806" s="82"/>
      <c r="W806" s="82"/>
      <c r="X806" s="82"/>
      <c r="Y806" s="82"/>
      <c r="Z806" s="82"/>
      <c r="AA806" s="82"/>
      <c r="AB806" s="82"/>
    </row>
    <row r="807" spans="1:28" s="85" customFormat="1" ht="13.8" thickTop="1" x14ac:dyDescent="0.25">
      <c r="A807" s="82"/>
      <c r="B807" s="82"/>
      <c r="C807" s="82"/>
      <c r="D807" s="728" t="s">
        <v>1572</v>
      </c>
      <c r="E807" s="384" t="s">
        <v>49</v>
      </c>
      <c r="F807" s="385">
        <v>11</v>
      </c>
      <c r="G807" s="386">
        <v>16</v>
      </c>
      <c r="H807" s="387">
        <v>5</v>
      </c>
      <c r="I807" s="388">
        <v>0.94</v>
      </c>
      <c r="J807" s="389">
        <f t="shared" ref="J807:J2160" si="93">G807*I807</f>
        <v>15.04</v>
      </c>
      <c r="K807" s="218">
        <f t="shared" si="15"/>
        <v>2.31616</v>
      </c>
      <c r="L807" s="219">
        <f t="shared" si="16"/>
        <v>0</v>
      </c>
      <c r="M807" s="219">
        <f t="shared" si="17"/>
        <v>0</v>
      </c>
      <c r="N807" s="219">
        <f t="shared" si="18"/>
        <v>0</v>
      </c>
      <c r="O807" s="219">
        <f t="shared" si="19"/>
        <v>0</v>
      </c>
      <c r="P807" s="219">
        <f t="shared" si="20"/>
        <v>0</v>
      </c>
      <c r="Q807" s="563">
        <f t="shared" si="92"/>
        <v>0</v>
      </c>
      <c r="R807" s="220"/>
      <c r="T807" s="82"/>
      <c r="U807" s="82"/>
      <c r="V807" s="82"/>
      <c r="W807" s="82"/>
      <c r="X807" s="82"/>
      <c r="Y807" s="82"/>
      <c r="Z807" s="82"/>
      <c r="AA807" s="82"/>
      <c r="AB807" s="82"/>
    </row>
    <row r="808" spans="1:28" s="85" customFormat="1" x14ac:dyDescent="0.25">
      <c r="A808" s="82"/>
      <c r="B808" s="82"/>
      <c r="C808" s="82"/>
      <c r="D808" s="729"/>
      <c r="E808" s="371" t="s">
        <v>49</v>
      </c>
      <c r="F808" s="372">
        <v>14</v>
      </c>
      <c r="G808" s="373">
        <v>16</v>
      </c>
      <c r="H808" s="374">
        <v>5</v>
      </c>
      <c r="I808" s="375">
        <v>0.28999999999999998</v>
      </c>
      <c r="J808" s="376">
        <f t="shared" si="93"/>
        <v>4.6399999999999997</v>
      </c>
      <c r="K808" s="66">
        <f t="shared" si="15"/>
        <v>0.71455999999999997</v>
      </c>
      <c r="L808" s="63">
        <f t="shared" si="16"/>
        <v>0</v>
      </c>
      <c r="M808" s="63">
        <f t="shared" si="17"/>
        <v>0</v>
      </c>
      <c r="N808" s="63">
        <f t="shared" si="18"/>
        <v>0</v>
      </c>
      <c r="O808" s="63">
        <f t="shared" si="19"/>
        <v>0</v>
      </c>
      <c r="P808" s="63">
        <f t="shared" si="20"/>
        <v>0</v>
      </c>
      <c r="Q808" s="561">
        <f t="shared" si="92"/>
        <v>0</v>
      </c>
      <c r="R808" s="174"/>
      <c r="T808" s="82"/>
      <c r="U808" s="82"/>
      <c r="V808" s="82"/>
      <c r="W808" s="82"/>
      <c r="X808" s="82"/>
      <c r="Y808" s="82"/>
      <c r="Z808" s="82"/>
      <c r="AA808" s="82"/>
      <c r="AB808" s="82"/>
    </row>
    <row r="809" spans="1:28" s="85" customFormat="1" x14ac:dyDescent="0.25">
      <c r="A809" s="82"/>
      <c r="B809" s="82"/>
      <c r="C809" s="82"/>
      <c r="D809" s="729"/>
      <c r="E809" s="371" t="s">
        <v>49</v>
      </c>
      <c r="F809" s="372">
        <v>18</v>
      </c>
      <c r="G809" s="373">
        <v>8</v>
      </c>
      <c r="H809" s="374">
        <v>10</v>
      </c>
      <c r="I809" s="375">
        <v>1.37</v>
      </c>
      <c r="J809" s="376">
        <f t="shared" si="93"/>
        <v>10.96</v>
      </c>
      <c r="K809" s="66">
        <f t="shared" si="15"/>
        <v>0</v>
      </c>
      <c r="L809" s="63">
        <f t="shared" si="16"/>
        <v>0</v>
      </c>
      <c r="M809" s="63">
        <f t="shared" si="17"/>
        <v>0</v>
      </c>
      <c r="N809" s="63">
        <f t="shared" si="18"/>
        <v>6.7623200000000008</v>
      </c>
      <c r="O809" s="63">
        <f t="shared" si="19"/>
        <v>0</v>
      </c>
      <c r="P809" s="63">
        <f t="shared" si="20"/>
        <v>0</v>
      </c>
      <c r="Q809" s="561">
        <f t="shared" si="92"/>
        <v>0</v>
      </c>
      <c r="R809" s="174"/>
      <c r="T809" s="82"/>
      <c r="U809" s="82"/>
      <c r="V809" s="82"/>
      <c r="W809" s="82"/>
      <c r="X809" s="82"/>
      <c r="Y809" s="82"/>
      <c r="Z809" s="82"/>
      <c r="AA809" s="82"/>
      <c r="AB809" s="82"/>
    </row>
    <row r="810" spans="1:28" s="85" customFormat="1" x14ac:dyDescent="0.25">
      <c r="A810" s="82"/>
      <c r="B810" s="82"/>
      <c r="C810" s="82"/>
      <c r="D810" s="729"/>
      <c r="E810" s="371" t="s">
        <v>113</v>
      </c>
      <c r="F810" s="372">
        <v>10</v>
      </c>
      <c r="G810" s="373">
        <v>25</v>
      </c>
      <c r="H810" s="374">
        <v>5</v>
      </c>
      <c r="I810" s="375">
        <v>1.47</v>
      </c>
      <c r="J810" s="376">
        <f t="shared" si="93"/>
        <v>36.75</v>
      </c>
      <c r="K810" s="66">
        <f t="shared" si="15"/>
        <v>5.6594999999999995</v>
      </c>
      <c r="L810" s="63">
        <f t="shared" si="16"/>
        <v>0</v>
      </c>
      <c r="M810" s="63">
        <f t="shared" si="17"/>
        <v>0</v>
      </c>
      <c r="N810" s="63">
        <f t="shared" si="18"/>
        <v>0</v>
      </c>
      <c r="O810" s="63">
        <f t="shared" si="19"/>
        <v>0</v>
      </c>
      <c r="P810" s="63">
        <f t="shared" si="20"/>
        <v>0</v>
      </c>
      <c r="Q810" s="561">
        <f t="shared" si="92"/>
        <v>0</v>
      </c>
      <c r="R810" s="174"/>
      <c r="T810" s="82"/>
      <c r="U810" s="82"/>
      <c r="V810" s="82"/>
      <c r="W810" s="82"/>
      <c r="X810" s="82"/>
      <c r="Y810" s="82"/>
      <c r="Z810" s="82"/>
      <c r="AA810" s="82"/>
      <c r="AB810" s="82"/>
    </row>
    <row r="811" spans="1:28" s="85" customFormat="1" x14ac:dyDescent="0.25">
      <c r="A811" s="82"/>
      <c r="B811" s="82"/>
      <c r="C811" s="82"/>
      <c r="D811" s="729"/>
      <c r="E811" s="371" t="s">
        <v>113</v>
      </c>
      <c r="F811" s="372">
        <v>11</v>
      </c>
      <c r="G811" s="373">
        <v>10</v>
      </c>
      <c r="H811" s="374">
        <v>5</v>
      </c>
      <c r="I811" s="375">
        <v>0.94</v>
      </c>
      <c r="J811" s="376">
        <f t="shared" si="93"/>
        <v>9.3999999999999986</v>
      </c>
      <c r="K811" s="66">
        <f t="shared" si="15"/>
        <v>1.4475999999999998</v>
      </c>
      <c r="L811" s="63">
        <f t="shared" si="16"/>
        <v>0</v>
      </c>
      <c r="M811" s="63">
        <f t="shared" si="17"/>
        <v>0</v>
      </c>
      <c r="N811" s="63">
        <f t="shared" si="18"/>
        <v>0</v>
      </c>
      <c r="O811" s="63">
        <f t="shared" si="19"/>
        <v>0</v>
      </c>
      <c r="P811" s="63">
        <f t="shared" si="20"/>
        <v>0</v>
      </c>
      <c r="Q811" s="561">
        <f t="shared" si="92"/>
        <v>0</v>
      </c>
      <c r="R811" s="174"/>
      <c r="T811" s="82"/>
      <c r="U811" s="82"/>
      <c r="V811" s="82"/>
      <c r="W811" s="82"/>
      <c r="X811" s="82"/>
      <c r="Y811" s="82"/>
      <c r="Z811" s="82"/>
      <c r="AA811" s="82"/>
      <c r="AB811" s="82"/>
    </row>
    <row r="812" spans="1:28" s="85" customFormat="1" x14ac:dyDescent="0.25">
      <c r="A812" s="82"/>
      <c r="B812" s="82"/>
      <c r="C812" s="82"/>
      <c r="D812" s="729"/>
      <c r="E812" s="371" t="s">
        <v>113</v>
      </c>
      <c r="F812" s="372">
        <v>18</v>
      </c>
      <c r="G812" s="373">
        <v>60</v>
      </c>
      <c r="H812" s="374">
        <v>5</v>
      </c>
      <c r="I812" s="375">
        <v>0.28999999999999998</v>
      </c>
      <c r="J812" s="376">
        <f t="shared" si="93"/>
        <v>17.399999999999999</v>
      </c>
      <c r="K812" s="66">
        <f t="shared" si="15"/>
        <v>2.6795999999999998</v>
      </c>
      <c r="L812" s="63">
        <f t="shared" si="16"/>
        <v>0</v>
      </c>
      <c r="M812" s="63">
        <f t="shared" si="17"/>
        <v>0</v>
      </c>
      <c r="N812" s="63">
        <f t="shared" si="18"/>
        <v>0</v>
      </c>
      <c r="O812" s="63">
        <f t="shared" si="19"/>
        <v>0</v>
      </c>
      <c r="P812" s="63">
        <f t="shared" si="20"/>
        <v>0</v>
      </c>
      <c r="Q812" s="561">
        <f t="shared" si="92"/>
        <v>0</v>
      </c>
      <c r="R812" s="174"/>
      <c r="T812" s="82"/>
      <c r="U812" s="82"/>
      <c r="V812" s="82"/>
      <c r="W812" s="82"/>
      <c r="X812" s="82"/>
      <c r="Y812" s="82"/>
      <c r="Z812" s="82"/>
      <c r="AA812" s="82"/>
      <c r="AB812" s="82"/>
    </row>
    <row r="813" spans="1:28" s="85" customFormat="1" ht="13.8" thickBot="1" x14ac:dyDescent="0.3">
      <c r="A813" s="82"/>
      <c r="B813" s="82"/>
      <c r="C813" s="82"/>
      <c r="D813" s="729"/>
      <c r="E813" s="371" t="s">
        <v>113</v>
      </c>
      <c r="F813" s="372">
        <v>21</v>
      </c>
      <c r="G813" s="373">
        <v>8</v>
      </c>
      <c r="H813" s="374">
        <v>10</v>
      </c>
      <c r="I813" s="375">
        <v>3.42</v>
      </c>
      <c r="J813" s="376">
        <f t="shared" si="93"/>
        <v>27.36</v>
      </c>
      <c r="K813" s="66">
        <f t="shared" si="15"/>
        <v>0</v>
      </c>
      <c r="L813" s="63">
        <f t="shared" si="16"/>
        <v>0</v>
      </c>
      <c r="M813" s="63">
        <f t="shared" si="17"/>
        <v>0</v>
      </c>
      <c r="N813" s="63">
        <f t="shared" si="18"/>
        <v>16.881119999999999</v>
      </c>
      <c r="O813" s="63">
        <f t="shared" si="19"/>
        <v>0</v>
      </c>
      <c r="P813" s="63">
        <f t="shared" si="20"/>
        <v>0</v>
      </c>
      <c r="Q813" s="561">
        <f t="shared" si="92"/>
        <v>0</v>
      </c>
      <c r="R813" s="174"/>
      <c r="T813" s="82"/>
      <c r="U813" s="82"/>
      <c r="V813" s="82"/>
      <c r="W813" s="82"/>
      <c r="X813" s="82"/>
      <c r="Y813" s="82"/>
      <c r="Z813" s="82"/>
      <c r="AA813" s="82"/>
      <c r="AB813" s="82"/>
    </row>
    <row r="814" spans="1:28" s="85" customFormat="1" ht="13.8" thickTop="1" x14ac:dyDescent="0.25">
      <c r="A814" s="82"/>
      <c r="B814" s="82"/>
      <c r="C814" s="82"/>
      <c r="D814" s="728" t="s">
        <v>1573</v>
      </c>
      <c r="E814" s="384" t="s">
        <v>49</v>
      </c>
      <c r="F814" s="385">
        <v>1</v>
      </c>
      <c r="G814" s="386">
        <f>2*7</f>
        <v>14</v>
      </c>
      <c r="H814" s="387">
        <v>5</v>
      </c>
      <c r="I814" s="388">
        <v>0.28999999999999998</v>
      </c>
      <c r="J814" s="389">
        <f t="shared" ref="J814:J1034" si="94">G814*I814</f>
        <v>4.0599999999999996</v>
      </c>
      <c r="K814" s="218">
        <f t="shared" ref="K814:K873" si="95">IF($H814=5,$J814*$B$21,0)</f>
        <v>0.62523999999999991</v>
      </c>
      <c r="L814" s="219">
        <f t="shared" ref="L814:L873" si="96">IF($H814=6.3,$J814*$B$22,0)</f>
        <v>0</v>
      </c>
      <c r="M814" s="219">
        <f t="shared" ref="M814:M873" si="97">IF($H814=8,$J814*$B$23,0)</f>
        <v>0</v>
      </c>
      <c r="N814" s="219">
        <f t="shared" ref="N814:N873" si="98">IF($H814=10,$J814*$B$24,0)</f>
        <v>0</v>
      </c>
      <c r="O814" s="219">
        <f t="shared" ref="O814:O873" si="99">IF($H814=12.5,$J814*$B$26,0)</f>
        <v>0</v>
      </c>
      <c r="P814" s="219">
        <f t="shared" ref="P814:P873" si="100">IF($H814=16,$J814*$B$27,0)</f>
        <v>0</v>
      </c>
      <c r="Q814" s="563">
        <f t="shared" ref="Q814:Q1034" si="101">IF($H814=20,$J814*$B$28,0)</f>
        <v>0</v>
      </c>
      <c r="R814" s="220"/>
      <c r="T814" s="82"/>
      <c r="U814" s="82"/>
      <c r="V814" s="82"/>
      <c r="W814" s="82"/>
      <c r="X814" s="82"/>
      <c r="Y814" s="82"/>
      <c r="Z814" s="82"/>
      <c r="AA814" s="82"/>
      <c r="AB814" s="82"/>
    </row>
    <row r="815" spans="1:28" s="85" customFormat="1" x14ac:dyDescent="0.25">
      <c r="A815" s="82"/>
      <c r="B815" s="82"/>
      <c r="C815" s="82"/>
      <c r="D815" s="729"/>
      <c r="E815" s="371" t="s">
        <v>49</v>
      </c>
      <c r="F815" s="372">
        <v>10</v>
      </c>
      <c r="G815" s="373">
        <f>2*4</f>
        <v>8</v>
      </c>
      <c r="H815" s="374">
        <v>5</v>
      </c>
      <c r="I815" s="375">
        <v>1.47</v>
      </c>
      <c r="J815" s="376">
        <f t="shared" si="94"/>
        <v>11.76</v>
      </c>
      <c r="K815" s="66">
        <f t="shared" si="95"/>
        <v>1.81104</v>
      </c>
      <c r="L815" s="63">
        <f t="shared" si="96"/>
        <v>0</v>
      </c>
      <c r="M815" s="63">
        <f t="shared" si="97"/>
        <v>0</v>
      </c>
      <c r="N815" s="63">
        <f t="shared" si="98"/>
        <v>0</v>
      </c>
      <c r="O815" s="63">
        <f t="shared" si="99"/>
        <v>0</v>
      </c>
      <c r="P815" s="63">
        <f t="shared" si="100"/>
        <v>0</v>
      </c>
      <c r="Q815" s="561">
        <f t="shared" si="101"/>
        <v>0</v>
      </c>
      <c r="R815" s="174"/>
      <c r="T815" s="82"/>
      <c r="U815" s="82"/>
      <c r="V815" s="82"/>
      <c r="W815" s="82"/>
      <c r="X815" s="82"/>
      <c r="Y815" s="82"/>
      <c r="Z815" s="82"/>
      <c r="AA815" s="82"/>
      <c r="AB815" s="82"/>
    </row>
    <row r="816" spans="1:28" s="85" customFormat="1" x14ac:dyDescent="0.25">
      <c r="A816" s="82"/>
      <c r="B816" s="82"/>
      <c r="C816" s="82"/>
      <c r="D816" s="729"/>
      <c r="E816" s="371" t="s">
        <v>49</v>
      </c>
      <c r="F816" s="372">
        <v>11</v>
      </c>
      <c r="G816" s="373">
        <f>2*6</f>
        <v>12</v>
      </c>
      <c r="H816" s="374">
        <v>5</v>
      </c>
      <c r="I816" s="375">
        <v>0.94</v>
      </c>
      <c r="J816" s="376">
        <f t="shared" si="94"/>
        <v>11.28</v>
      </c>
      <c r="K816" s="66">
        <f t="shared" si="95"/>
        <v>1.7371199999999998</v>
      </c>
      <c r="L816" s="63">
        <f t="shared" si="96"/>
        <v>0</v>
      </c>
      <c r="M816" s="63">
        <f t="shared" si="97"/>
        <v>0</v>
      </c>
      <c r="N816" s="63">
        <f t="shared" si="98"/>
        <v>0</v>
      </c>
      <c r="O816" s="63">
        <f t="shared" si="99"/>
        <v>0</v>
      </c>
      <c r="P816" s="63">
        <f t="shared" si="100"/>
        <v>0</v>
      </c>
      <c r="Q816" s="561">
        <f t="shared" si="101"/>
        <v>0</v>
      </c>
      <c r="R816" s="174"/>
      <c r="T816" s="82"/>
      <c r="U816" s="82"/>
      <c r="V816" s="82"/>
      <c r="W816" s="82"/>
      <c r="X816" s="82"/>
      <c r="Y816" s="82"/>
      <c r="Z816" s="82"/>
      <c r="AA816" s="82"/>
      <c r="AB816" s="82"/>
    </row>
    <row r="817" spans="1:28" s="85" customFormat="1" x14ac:dyDescent="0.25">
      <c r="A817" s="82"/>
      <c r="B817" s="82"/>
      <c r="C817" s="82"/>
      <c r="D817" s="729"/>
      <c r="E817" s="371" t="s">
        <v>49</v>
      </c>
      <c r="F817" s="372">
        <v>19</v>
      </c>
      <c r="G817" s="373">
        <f>2*6</f>
        <v>12</v>
      </c>
      <c r="H817" s="374">
        <v>12.5</v>
      </c>
      <c r="I817" s="375">
        <v>1.45</v>
      </c>
      <c r="J817" s="376">
        <f t="shared" si="94"/>
        <v>17.399999999999999</v>
      </c>
      <c r="K817" s="66">
        <f t="shared" si="95"/>
        <v>0</v>
      </c>
      <c r="L817" s="63">
        <f t="shared" si="96"/>
        <v>0</v>
      </c>
      <c r="M817" s="63">
        <f t="shared" si="97"/>
        <v>0</v>
      </c>
      <c r="N817" s="63">
        <f t="shared" si="98"/>
        <v>0</v>
      </c>
      <c r="O817" s="63">
        <f t="shared" si="99"/>
        <v>16.7562</v>
      </c>
      <c r="P817" s="63">
        <f t="shared" si="100"/>
        <v>0</v>
      </c>
      <c r="Q817" s="561">
        <f t="shared" si="101"/>
        <v>0</v>
      </c>
      <c r="R817" s="174"/>
      <c r="T817" s="82"/>
      <c r="U817" s="82"/>
      <c r="V817" s="82"/>
      <c r="W817" s="82"/>
      <c r="X817" s="82"/>
      <c r="Y817" s="82"/>
      <c r="Z817" s="82"/>
      <c r="AA817" s="82"/>
      <c r="AB817" s="82"/>
    </row>
    <row r="818" spans="1:28" s="85" customFormat="1" x14ac:dyDescent="0.25">
      <c r="A818" s="82"/>
      <c r="B818" s="82"/>
      <c r="C818" s="82"/>
      <c r="D818" s="729"/>
      <c r="E818" s="371" t="s">
        <v>113</v>
      </c>
      <c r="F818" s="372">
        <v>1</v>
      </c>
      <c r="G818" s="373">
        <f>2*24</f>
        <v>48</v>
      </c>
      <c r="H818" s="374">
        <v>5</v>
      </c>
      <c r="I818" s="375">
        <v>0.28999999999999998</v>
      </c>
      <c r="J818" s="376">
        <f t="shared" si="94"/>
        <v>13.919999999999998</v>
      </c>
      <c r="K818" s="66">
        <f t="shared" si="95"/>
        <v>2.1436799999999998</v>
      </c>
      <c r="L818" s="63">
        <f t="shared" si="96"/>
        <v>0</v>
      </c>
      <c r="M818" s="63">
        <f t="shared" si="97"/>
        <v>0</v>
      </c>
      <c r="N818" s="63">
        <f t="shared" si="98"/>
        <v>0</v>
      </c>
      <c r="O818" s="63">
        <f t="shared" si="99"/>
        <v>0</v>
      </c>
      <c r="P818" s="63">
        <f t="shared" si="100"/>
        <v>0</v>
      </c>
      <c r="Q818" s="561">
        <f t="shared" si="101"/>
        <v>0</v>
      </c>
      <c r="R818" s="174"/>
      <c r="T818" s="82"/>
      <c r="U818" s="82"/>
      <c r="V818" s="82"/>
      <c r="W818" s="82"/>
      <c r="X818" s="82"/>
      <c r="Y818" s="82"/>
      <c r="Z818" s="82"/>
      <c r="AA818" s="82"/>
      <c r="AB818" s="82"/>
    </row>
    <row r="819" spans="1:28" s="85" customFormat="1" x14ac:dyDescent="0.25">
      <c r="A819" s="82"/>
      <c r="B819" s="82"/>
      <c r="C819" s="82"/>
      <c r="D819" s="729"/>
      <c r="E819" s="371" t="s">
        <v>113</v>
      </c>
      <c r="F819" s="372">
        <v>10</v>
      </c>
      <c r="G819" s="373">
        <f>2*20</f>
        <v>40</v>
      </c>
      <c r="H819" s="374">
        <v>5</v>
      </c>
      <c r="I819" s="375">
        <v>1.47</v>
      </c>
      <c r="J819" s="376">
        <f t="shared" si="94"/>
        <v>58.8</v>
      </c>
      <c r="K819" s="66">
        <f t="shared" si="95"/>
        <v>9.0551999999999992</v>
      </c>
      <c r="L819" s="63">
        <f t="shared" si="96"/>
        <v>0</v>
      </c>
      <c r="M819" s="63">
        <f t="shared" si="97"/>
        <v>0</v>
      </c>
      <c r="N819" s="63">
        <f t="shared" si="98"/>
        <v>0</v>
      </c>
      <c r="O819" s="63">
        <f t="shared" si="99"/>
        <v>0</v>
      </c>
      <c r="P819" s="63">
        <f t="shared" si="100"/>
        <v>0</v>
      </c>
      <c r="Q819" s="561">
        <f t="shared" si="101"/>
        <v>0</v>
      </c>
      <c r="R819" s="174"/>
      <c r="T819" s="82"/>
      <c r="U819" s="82"/>
      <c r="V819" s="82"/>
      <c r="W819" s="82"/>
      <c r="X819" s="82"/>
      <c r="Y819" s="82"/>
      <c r="Z819" s="82"/>
      <c r="AA819" s="82"/>
      <c r="AB819" s="82"/>
    </row>
    <row r="820" spans="1:28" s="85" customFormat="1" x14ac:dyDescent="0.25">
      <c r="A820" s="82"/>
      <c r="B820" s="82"/>
      <c r="C820" s="82"/>
      <c r="D820" s="729"/>
      <c r="E820" s="371" t="s">
        <v>113</v>
      </c>
      <c r="F820" s="372">
        <v>11</v>
      </c>
      <c r="G820" s="373">
        <f>2*8</f>
        <v>16</v>
      </c>
      <c r="H820" s="374">
        <v>5</v>
      </c>
      <c r="I820" s="375">
        <v>0.94</v>
      </c>
      <c r="J820" s="376">
        <f t="shared" si="94"/>
        <v>15.04</v>
      </c>
      <c r="K820" s="66">
        <f t="shared" si="95"/>
        <v>2.31616</v>
      </c>
      <c r="L820" s="63">
        <f t="shared" si="96"/>
        <v>0</v>
      </c>
      <c r="M820" s="63">
        <f t="shared" si="97"/>
        <v>0</v>
      </c>
      <c r="N820" s="63">
        <f t="shared" si="98"/>
        <v>0</v>
      </c>
      <c r="O820" s="63">
        <f t="shared" si="99"/>
        <v>0</v>
      </c>
      <c r="P820" s="63">
        <f t="shared" si="100"/>
        <v>0</v>
      </c>
      <c r="Q820" s="561">
        <f t="shared" si="101"/>
        <v>0</v>
      </c>
      <c r="R820" s="174"/>
      <c r="T820" s="82"/>
      <c r="U820" s="82"/>
      <c r="V820" s="82"/>
      <c r="W820" s="82"/>
      <c r="X820" s="82"/>
      <c r="Y820" s="82"/>
      <c r="Z820" s="82"/>
      <c r="AA820" s="82"/>
      <c r="AB820" s="82"/>
    </row>
    <row r="821" spans="1:28" s="85" customFormat="1" x14ac:dyDescent="0.25">
      <c r="A821" s="82"/>
      <c r="B821" s="82"/>
      <c r="C821" s="82"/>
      <c r="D821" s="729"/>
      <c r="E821" s="371" t="s">
        <v>113</v>
      </c>
      <c r="F821" s="372">
        <v>24</v>
      </c>
      <c r="G821" s="373">
        <f>2*6</f>
        <v>12</v>
      </c>
      <c r="H821" s="374">
        <v>12.5</v>
      </c>
      <c r="I821" s="375">
        <v>3.87</v>
      </c>
      <c r="J821" s="376">
        <f t="shared" si="94"/>
        <v>46.44</v>
      </c>
      <c r="K821" s="66">
        <f t="shared" si="95"/>
        <v>0</v>
      </c>
      <c r="L821" s="63">
        <f t="shared" si="96"/>
        <v>0</v>
      </c>
      <c r="M821" s="63">
        <f t="shared" si="97"/>
        <v>0</v>
      </c>
      <c r="N821" s="63">
        <f t="shared" si="98"/>
        <v>0</v>
      </c>
      <c r="O821" s="63">
        <f t="shared" si="99"/>
        <v>44.721719999999998</v>
      </c>
      <c r="P821" s="63">
        <f t="shared" si="100"/>
        <v>0</v>
      </c>
      <c r="Q821" s="561">
        <f t="shared" si="101"/>
        <v>0</v>
      </c>
      <c r="R821" s="174"/>
      <c r="T821" s="82"/>
      <c r="U821" s="82"/>
      <c r="V821" s="82"/>
      <c r="W821" s="82"/>
      <c r="X821" s="82"/>
      <c r="Y821" s="82"/>
      <c r="Z821" s="82"/>
      <c r="AA821" s="82"/>
      <c r="AB821" s="82"/>
    </row>
    <row r="822" spans="1:28" s="85" customFormat="1" x14ac:dyDescent="0.25">
      <c r="A822" s="82"/>
      <c r="B822" s="82"/>
      <c r="C822" s="82"/>
      <c r="D822" s="729"/>
      <c r="E822" s="396" t="s">
        <v>184</v>
      </c>
      <c r="F822" s="403">
        <v>1</v>
      </c>
      <c r="G822" s="397">
        <f>2*7</f>
        <v>14</v>
      </c>
      <c r="H822" s="398">
        <v>5</v>
      </c>
      <c r="I822" s="399">
        <v>0.28999999999999998</v>
      </c>
      <c r="J822" s="400">
        <f t="shared" si="94"/>
        <v>4.0599999999999996</v>
      </c>
      <c r="K822" s="401">
        <f t="shared" si="95"/>
        <v>0.62523999999999991</v>
      </c>
      <c r="L822" s="196">
        <f t="shared" si="96"/>
        <v>0</v>
      </c>
      <c r="M822" s="196">
        <f t="shared" si="97"/>
        <v>0</v>
      </c>
      <c r="N822" s="196">
        <f t="shared" si="98"/>
        <v>0</v>
      </c>
      <c r="O822" s="196">
        <f t="shared" si="99"/>
        <v>0</v>
      </c>
      <c r="P822" s="196">
        <f t="shared" si="100"/>
        <v>0</v>
      </c>
      <c r="Q822" s="566">
        <f t="shared" si="101"/>
        <v>0</v>
      </c>
      <c r="R822" s="538"/>
      <c r="T822" s="82"/>
      <c r="U822" s="82"/>
      <c r="V822" s="82"/>
      <c r="W822" s="82"/>
      <c r="X822" s="82"/>
      <c r="Y822" s="82"/>
      <c r="Z822" s="82"/>
      <c r="AA822" s="82"/>
      <c r="AB822" s="82"/>
    </row>
    <row r="823" spans="1:28" s="85" customFormat="1" x14ac:dyDescent="0.25">
      <c r="A823" s="82"/>
      <c r="B823" s="82"/>
      <c r="C823" s="82"/>
      <c r="D823" s="729"/>
      <c r="E823" s="371" t="s">
        <v>184</v>
      </c>
      <c r="F823" s="372">
        <v>10</v>
      </c>
      <c r="G823" s="373">
        <f>2*6</f>
        <v>12</v>
      </c>
      <c r="H823" s="374">
        <v>5</v>
      </c>
      <c r="I823" s="375">
        <v>1.47</v>
      </c>
      <c r="J823" s="376">
        <f t="shared" si="94"/>
        <v>17.64</v>
      </c>
      <c r="K823" s="66">
        <f t="shared" si="95"/>
        <v>2.7165599999999999</v>
      </c>
      <c r="L823" s="63">
        <f t="shared" si="96"/>
        <v>0</v>
      </c>
      <c r="M823" s="63">
        <f t="shared" si="97"/>
        <v>0</v>
      </c>
      <c r="N823" s="63">
        <f t="shared" si="98"/>
        <v>0</v>
      </c>
      <c r="O823" s="63">
        <f t="shared" si="99"/>
        <v>0</v>
      </c>
      <c r="P823" s="63">
        <f t="shared" si="100"/>
        <v>0</v>
      </c>
      <c r="Q823" s="562">
        <f t="shared" si="101"/>
        <v>0</v>
      </c>
      <c r="R823" s="377"/>
      <c r="T823" s="82"/>
      <c r="U823" s="82"/>
      <c r="V823" s="82"/>
      <c r="W823" s="82"/>
      <c r="X823" s="82"/>
      <c r="Y823" s="82"/>
      <c r="Z823" s="82"/>
      <c r="AA823" s="82"/>
      <c r="AB823" s="82"/>
    </row>
    <row r="824" spans="1:28" s="85" customFormat="1" x14ac:dyDescent="0.25">
      <c r="A824" s="82"/>
      <c r="B824" s="82"/>
      <c r="C824" s="82"/>
      <c r="D824" s="729"/>
      <c r="E824" s="371" t="s">
        <v>184</v>
      </c>
      <c r="F824" s="372">
        <v>11</v>
      </c>
      <c r="G824" s="373">
        <f>2*2</f>
        <v>4</v>
      </c>
      <c r="H824" s="374">
        <v>5</v>
      </c>
      <c r="I824" s="375">
        <v>0.94</v>
      </c>
      <c r="J824" s="376">
        <f t="shared" si="94"/>
        <v>3.76</v>
      </c>
      <c r="K824" s="66">
        <f t="shared" si="95"/>
        <v>0.57904</v>
      </c>
      <c r="L824" s="63">
        <f t="shared" si="96"/>
        <v>0</v>
      </c>
      <c r="M824" s="63">
        <f t="shared" si="97"/>
        <v>0</v>
      </c>
      <c r="N824" s="63">
        <f t="shared" si="98"/>
        <v>0</v>
      </c>
      <c r="O824" s="63">
        <f t="shared" si="99"/>
        <v>0</v>
      </c>
      <c r="P824" s="63">
        <f t="shared" si="100"/>
        <v>0</v>
      </c>
      <c r="Q824" s="562">
        <f t="shared" si="101"/>
        <v>0</v>
      </c>
      <c r="R824" s="377"/>
      <c r="T824" s="82"/>
      <c r="U824" s="82"/>
      <c r="V824" s="82"/>
      <c r="W824" s="82"/>
      <c r="X824" s="82"/>
      <c r="Y824" s="82"/>
      <c r="Z824" s="82"/>
      <c r="AA824" s="82"/>
      <c r="AB824" s="82"/>
    </row>
    <row r="825" spans="1:28" s="85" customFormat="1" ht="13.8" thickBot="1" x14ac:dyDescent="0.3">
      <c r="A825" s="82"/>
      <c r="B825" s="82"/>
      <c r="C825" s="82"/>
      <c r="D825" s="731"/>
      <c r="E825" s="390" t="s">
        <v>184</v>
      </c>
      <c r="F825" s="391">
        <v>46</v>
      </c>
      <c r="G825" s="392">
        <f>2*6</f>
        <v>12</v>
      </c>
      <c r="H825" s="393">
        <v>12.5</v>
      </c>
      <c r="I825" s="394">
        <v>1.02</v>
      </c>
      <c r="J825" s="395">
        <f t="shared" si="94"/>
        <v>12.24</v>
      </c>
      <c r="K825" s="221">
        <f t="shared" si="95"/>
        <v>0</v>
      </c>
      <c r="L825" s="222">
        <f t="shared" si="96"/>
        <v>0</v>
      </c>
      <c r="M825" s="222">
        <f t="shared" si="97"/>
        <v>0</v>
      </c>
      <c r="N825" s="222">
        <f t="shared" si="98"/>
        <v>0</v>
      </c>
      <c r="O825" s="222">
        <f t="shared" si="99"/>
        <v>11.78712</v>
      </c>
      <c r="P825" s="222">
        <f t="shared" si="100"/>
        <v>0</v>
      </c>
      <c r="Q825" s="564">
        <f t="shared" si="101"/>
        <v>0</v>
      </c>
      <c r="R825" s="539"/>
      <c r="T825" s="82"/>
      <c r="U825" s="82"/>
      <c r="V825" s="82"/>
      <c r="W825" s="82"/>
      <c r="X825" s="82"/>
      <c r="Y825" s="82"/>
      <c r="Z825" s="82"/>
      <c r="AA825" s="82"/>
      <c r="AB825" s="82"/>
    </row>
    <row r="826" spans="1:28" s="85" customFormat="1" ht="13.8" thickTop="1" x14ac:dyDescent="0.25">
      <c r="A826" s="82"/>
      <c r="B826" s="82"/>
      <c r="C826" s="82"/>
      <c r="D826" s="728" t="s">
        <v>1574</v>
      </c>
      <c r="E826" s="384" t="s">
        <v>49</v>
      </c>
      <c r="F826" s="385">
        <v>10</v>
      </c>
      <c r="G826" s="386">
        <v>5</v>
      </c>
      <c r="H826" s="387">
        <v>5</v>
      </c>
      <c r="I826" s="388">
        <v>1.47</v>
      </c>
      <c r="J826" s="389">
        <f t="shared" si="94"/>
        <v>7.35</v>
      </c>
      <c r="K826" s="218">
        <f t="shared" si="95"/>
        <v>1.1318999999999999</v>
      </c>
      <c r="L826" s="219">
        <f t="shared" si="96"/>
        <v>0</v>
      </c>
      <c r="M826" s="219">
        <f t="shared" si="97"/>
        <v>0</v>
      </c>
      <c r="N826" s="219">
        <f t="shared" si="98"/>
        <v>0</v>
      </c>
      <c r="O826" s="219">
        <f t="shared" si="99"/>
        <v>0</v>
      </c>
      <c r="P826" s="219">
        <f t="shared" si="100"/>
        <v>0</v>
      </c>
      <c r="Q826" s="563">
        <f t="shared" si="101"/>
        <v>0</v>
      </c>
      <c r="R826" s="220"/>
      <c r="T826" s="82"/>
      <c r="U826" s="82"/>
      <c r="V826" s="82"/>
      <c r="W826" s="82"/>
      <c r="X826" s="82"/>
      <c r="Y826" s="82"/>
      <c r="Z826" s="82"/>
      <c r="AA826" s="82"/>
      <c r="AB826" s="82"/>
    </row>
    <row r="827" spans="1:28" s="85" customFormat="1" x14ac:dyDescent="0.25">
      <c r="A827" s="82"/>
      <c r="B827" s="82"/>
      <c r="C827" s="82"/>
      <c r="D827" s="729"/>
      <c r="E827" s="371" t="s">
        <v>49</v>
      </c>
      <c r="F827" s="372">
        <v>11</v>
      </c>
      <c r="G827" s="373">
        <v>8</v>
      </c>
      <c r="H827" s="374">
        <v>5</v>
      </c>
      <c r="I827" s="375">
        <v>0.94</v>
      </c>
      <c r="J827" s="376">
        <f t="shared" si="94"/>
        <v>7.52</v>
      </c>
      <c r="K827" s="66">
        <f t="shared" si="95"/>
        <v>1.15808</v>
      </c>
      <c r="L827" s="63">
        <f t="shared" si="96"/>
        <v>0</v>
      </c>
      <c r="M827" s="63">
        <f t="shared" si="97"/>
        <v>0</v>
      </c>
      <c r="N827" s="63">
        <f t="shared" si="98"/>
        <v>0</v>
      </c>
      <c r="O827" s="63">
        <f t="shared" si="99"/>
        <v>0</v>
      </c>
      <c r="P827" s="63">
        <f t="shared" si="100"/>
        <v>0</v>
      </c>
      <c r="Q827" s="561">
        <f t="shared" si="101"/>
        <v>0</v>
      </c>
      <c r="R827" s="174"/>
      <c r="T827" s="82"/>
      <c r="U827" s="82"/>
      <c r="V827" s="82"/>
      <c r="W827" s="82"/>
      <c r="X827" s="82"/>
      <c r="Y827" s="82"/>
      <c r="Z827" s="82"/>
      <c r="AA827" s="82"/>
      <c r="AB827" s="82"/>
    </row>
    <row r="828" spans="1:28" s="85" customFormat="1" x14ac:dyDescent="0.25">
      <c r="A828" s="82"/>
      <c r="B828" s="82"/>
      <c r="C828" s="82"/>
      <c r="D828" s="729"/>
      <c r="E828" s="371" t="s">
        <v>49</v>
      </c>
      <c r="F828" s="372">
        <v>14</v>
      </c>
      <c r="G828" s="373">
        <v>18</v>
      </c>
      <c r="H828" s="374">
        <v>5</v>
      </c>
      <c r="I828" s="375">
        <v>0.28999999999999998</v>
      </c>
      <c r="J828" s="376">
        <f t="shared" si="94"/>
        <v>5.22</v>
      </c>
      <c r="K828" s="66">
        <f t="shared" si="95"/>
        <v>0.80387999999999993</v>
      </c>
      <c r="L828" s="63">
        <f t="shared" si="96"/>
        <v>0</v>
      </c>
      <c r="M828" s="63">
        <f t="shared" si="97"/>
        <v>0</v>
      </c>
      <c r="N828" s="63">
        <f t="shared" si="98"/>
        <v>0</v>
      </c>
      <c r="O828" s="63">
        <f t="shared" si="99"/>
        <v>0</v>
      </c>
      <c r="P828" s="63">
        <f t="shared" si="100"/>
        <v>0</v>
      </c>
      <c r="Q828" s="561">
        <f t="shared" si="101"/>
        <v>0</v>
      </c>
      <c r="R828" s="174"/>
      <c r="T828" s="82"/>
      <c r="U828" s="82"/>
      <c r="V828" s="82"/>
      <c r="W828" s="82"/>
      <c r="X828" s="82"/>
      <c r="Y828" s="82"/>
      <c r="Z828" s="82"/>
      <c r="AA828" s="82"/>
      <c r="AB828" s="82"/>
    </row>
    <row r="829" spans="1:28" s="85" customFormat="1" x14ac:dyDescent="0.25">
      <c r="A829" s="82"/>
      <c r="B829" s="82"/>
      <c r="C829" s="82"/>
      <c r="D829" s="729"/>
      <c r="E829" s="371" t="s">
        <v>49</v>
      </c>
      <c r="F829" s="372">
        <v>18</v>
      </c>
      <c r="G829" s="373">
        <v>8</v>
      </c>
      <c r="H829" s="374">
        <v>10</v>
      </c>
      <c r="I829" s="375">
        <v>1.37</v>
      </c>
      <c r="J829" s="376">
        <f t="shared" si="94"/>
        <v>10.96</v>
      </c>
      <c r="K829" s="66">
        <f t="shared" si="95"/>
        <v>0</v>
      </c>
      <c r="L829" s="63">
        <f t="shared" si="96"/>
        <v>0</v>
      </c>
      <c r="M829" s="63">
        <f t="shared" si="97"/>
        <v>0</v>
      </c>
      <c r="N829" s="63">
        <f t="shared" si="98"/>
        <v>6.7623200000000008</v>
      </c>
      <c r="O829" s="63">
        <f t="shared" si="99"/>
        <v>0</v>
      </c>
      <c r="P829" s="63">
        <f t="shared" si="100"/>
        <v>0</v>
      </c>
      <c r="Q829" s="561">
        <f t="shared" si="101"/>
        <v>0</v>
      </c>
      <c r="R829" s="174"/>
      <c r="T829" s="82"/>
      <c r="U829" s="82"/>
      <c r="V829" s="82"/>
      <c r="W829" s="82"/>
      <c r="X829" s="82"/>
      <c r="Y829" s="82"/>
      <c r="Z829" s="82"/>
      <c r="AA829" s="82"/>
      <c r="AB829" s="82"/>
    </row>
    <row r="830" spans="1:28" s="85" customFormat="1" x14ac:dyDescent="0.25">
      <c r="A830" s="82"/>
      <c r="B830" s="82"/>
      <c r="C830" s="82"/>
      <c r="D830" s="729"/>
      <c r="E830" s="371" t="s">
        <v>113</v>
      </c>
      <c r="F830" s="372">
        <v>10</v>
      </c>
      <c r="G830" s="373">
        <v>25</v>
      </c>
      <c r="H830" s="374">
        <v>5</v>
      </c>
      <c r="I830" s="375">
        <v>1.47</v>
      </c>
      <c r="J830" s="376">
        <f t="shared" si="94"/>
        <v>36.75</v>
      </c>
      <c r="K830" s="66">
        <f t="shared" si="95"/>
        <v>5.6594999999999995</v>
      </c>
      <c r="L830" s="63">
        <f t="shared" si="96"/>
        <v>0</v>
      </c>
      <c r="M830" s="63">
        <f t="shared" si="97"/>
        <v>0</v>
      </c>
      <c r="N830" s="63">
        <f t="shared" si="98"/>
        <v>0</v>
      </c>
      <c r="O830" s="63">
        <f t="shared" si="99"/>
        <v>0</v>
      </c>
      <c r="P830" s="63">
        <f t="shared" si="100"/>
        <v>0</v>
      </c>
      <c r="Q830" s="561">
        <f t="shared" si="101"/>
        <v>0</v>
      </c>
      <c r="R830" s="174"/>
      <c r="T830" s="82"/>
      <c r="U830" s="82"/>
      <c r="V830" s="82"/>
      <c r="W830" s="82"/>
      <c r="X830" s="82"/>
      <c r="Y830" s="82"/>
      <c r="Z830" s="82"/>
      <c r="AA830" s="82"/>
      <c r="AB830" s="82"/>
    </row>
    <row r="831" spans="1:28" s="85" customFormat="1" x14ac:dyDescent="0.25">
      <c r="A831" s="82"/>
      <c r="B831" s="82"/>
      <c r="C831" s="82"/>
      <c r="D831" s="729"/>
      <c r="E831" s="371" t="s">
        <v>113</v>
      </c>
      <c r="F831" s="372">
        <v>11</v>
      </c>
      <c r="G831" s="373">
        <v>10</v>
      </c>
      <c r="H831" s="374">
        <v>5</v>
      </c>
      <c r="I831" s="375">
        <v>0.94</v>
      </c>
      <c r="J831" s="376">
        <f t="shared" si="94"/>
        <v>9.3999999999999986</v>
      </c>
      <c r="K831" s="66">
        <f t="shared" si="95"/>
        <v>1.4475999999999998</v>
      </c>
      <c r="L831" s="63">
        <f t="shared" si="96"/>
        <v>0</v>
      </c>
      <c r="M831" s="63">
        <f t="shared" si="97"/>
        <v>0</v>
      </c>
      <c r="N831" s="63">
        <f t="shared" si="98"/>
        <v>0</v>
      </c>
      <c r="O831" s="63">
        <f t="shared" si="99"/>
        <v>0</v>
      </c>
      <c r="P831" s="63">
        <f t="shared" si="100"/>
        <v>0</v>
      </c>
      <c r="Q831" s="561">
        <f t="shared" si="101"/>
        <v>0</v>
      </c>
      <c r="R831" s="174"/>
      <c r="T831" s="82"/>
      <c r="U831" s="82"/>
      <c r="V831" s="82"/>
      <c r="W831" s="82"/>
      <c r="X831" s="82"/>
      <c r="Y831" s="82"/>
      <c r="Z831" s="82"/>
      <c r="AA831" s="82"/>
      <c r="AB831" s="82"/>
    </row>
    <row r="832" spans="1:28" s="85" customFormat="1" x14ac:dyDescent="0.25">
      <c r="A832" s="82"/>
      <c r="B832" s="82"/>
      <c r="C832" s="82"/>
      <c r="D832" s="729"/>
      <c r="E832" s="371" t="s">
        <v>113</v>
      </c>
      <c r="F832" s="372">
        <v>18</v>
      </c>
      <c r="G832" s="373">
        <v>60</v>
      </c>
      <c r="H832" s="374">
        <v>5</v>
      </c>
      <c r="I832" s="375">
        <v>0.28999999999999998</v>
      </c>
      <c r="J832" s="376">
        <f t="shared" si="94"/>
        <v>17.399999999999999</v>
      </c>
      <c r="K832" s="66">
        <f t="shared" si="95"/>
        <v>2.6795999999999998</v>
      </c>
      <c r="L832" s="63">
        <f t="shared" si="96"/>
        <v>0</v>
      </c>
      <c r="M832" s="63">
        <f t="shared" si="97"/>
        <v>0</v>
      </c>
      <c r="N832" s="63">
        <f t="shared" si="98"/>
        <v>0</v>
      </c>
      <c r="O832" s="63">
        <f t="shared" si="99"/>
        <v>0</v>
      </c>
      <c r="P832" s="63">
        <f t="shared" si="100"/>
        <v>0</v>
      </c>
      <c r="Q832" s="561">
        <f t="shared" si="101"/>
        <v>0</v>
      </c>
      <c r="R832" s="174"/>
      <c r="T832" s="82"/>
      <c r="U832" s="82"/>
      <c r="V832" s="82"/>
      <c r="W832" s="82"/>
      <c r="X832" s="82"/>
      <c r="Y832" s="82"/>
      <c r="Z832" s="82"/>
      <c r="AA832" s="82"/>
      <c r="AB832" s="82"/>
    </row>
    <row r="833" spans="1:28" s="85" customFormat="1" ht="13.8" thickBot="1" x14ac:dyDescent="0.3">
      <c r="A833" s="82"/>
      <c r="B833" s="82"/>
      <c r="C833" s="82"/>
      <c r="D833" s="729"/>
      <c r="E833" s="371" t="s">
        <v>113</v>
      </c>
      <c r="F833" s="372">
        <v>21</v>
      </c>
      <c r="G833" s="373">
        <v>8</v>
      </c>
      <c r="H833" s="374">
        <v>10</v>
      </c>
      <c r="I833" s="375">
        <v>3.42</v>
      </c>
      <c r="J833" s="376">
        <f t="shared" si="94"/>
        <v>27.36</v>
      </c>
      <c r="K833" s="66">
        <f t="shared" si="95"/>
        <v>0</v>
      </c>
      <c r="L833" s="63">
        <f t="shared" si="96"/>
        <v>0</v>
      </c>
      <c r="M833" s="63">
        <f t="shared" si="97"/>
        <v>0</v>
      </c>
      <c r="N833" s="63">
        <f t="shared" si="98"/>
        <v>16.881119999999999</v>
      </c>
      <c r="O833" s="63">
        <f t="shared" si="99"/>
        <v>0</v>
      </c>
      <c r="P833" s="63">
        <f t="shared" si="100"/>
        <v>0</v>
      </c>
      <c r="Q833" s="561">
        <f t="shared" si="101"/>
        <v>0</v>
      </c>
      <c r="R833" s="174"/>
      <c r="T833" s="82"/>
      <c r="U833" s="82"/>
      <c r="V833" s="82"/>
      <c r="W833" s="82"/>
      <c r="X833" s="82"/>
      <c r="Y833" s="82"/>
      <c r="Z833" s="82"/>
      <c r="AA833" s="82"/>
      <c r="AB833" s="82"/>
    </row>
    <row r="834" spans="1:28" s="85" customFormat="1" ht="13.8" thickTop="1" x14ac:dyDescent="0.25">
      <c r="A834" s="82"/>
      <c r="B834" s="82"/>
      <c r="C834" s="82"/>
      <c r="D834" s="728" t="s">
        <v>1575</v>
      </c>
      <c r="E834" s="384" t="s">
        <v>49</v>
      </c>
      <c r="F834" s="385">
        <v>4</v>
      </c>
      <c r="G834" s="386">
        <v>22</v>
      </c>
      <c r="H834" s="387">
        <v>5</v>
      </c>
      <c r="I834" s="388">
        <v>0.24</v>
      </c>
      <c r="J834" s="389">
        <f t="shared" si="94"/>
        <v>5.2799999999999994</v>
      </c>
      <c r="K834" s="218">
        <f t="shared" si="95"/>
        <v>0.81311999999999984</v>
      </c>
      <c r="L834" s="219">
        <f t="shared" si="96"/>
        <v>0</v>
      </c>
      <c r="M834" s="219">
        <f t="shared" si="97"/>
        <v>0</v>
      </c>
      <c r="N834" s="219">
        <f t="shared" si="98"/>
        <v>0</v>
      </c>
      <c r="O834" s="219">
        <f t="shared" si="99"/>
        <v>0</v>
      </c>
      <c r="P834" s="219">
        <f t="shared" si="100"/>
        <v>0</v>
      </c>
      <c r="Q834" s="563">
        <f t="shared" si="101"/>
        <v>0</v>
      </c>
      <c r="R834" s="220"/>
      <c r="T834" s="82"/>
      <c r="U834" s="82"/>
      <c r="V834" s="82"/>
      <c r="W834" s="82"/>
      <c r="X834" s="82"/>
      <c r="Y834" s="82"/>
      <c r="Z834" s="82"/>
      <c r="AA834" s="82"/>
      <c r="AB834" s="82"/>
    </row>
    <row r="835" spans="1:28" s="85" customFormat="1" x14ac:dyDescent="0.25">
      <c r="A835" s="82"/>
      <c r="B835" s="82"/>
      <c r="C835" s="82"/>
      <c r="D835" s="729"/>
      <c r="E835" s="371" t="s">
        <v>49</v>
      </c>
      <c r="F835" s="372">
        <v>5</v>
      </c>
      <c r="G835" s="373">
        <v>6</v>
      </c>
      <c r="H835" s="374">
        <v>5</v>
      </c>
      <c r="I835" s="375">
        <v>0.97</v>
      </c>
      <c r="J835" s="376">
        <f t="shared" si="94"/>
        <v>5.82</v>
      </c>
      <c r="K835" s="66">
        <f t="shared" si="95"/>
        <v>0.89628000000000008</v>
      </c>
      <c r="L835" s="63">
        <f t="shared" si="96"/>
        <v>0</v>
      </c>
      <c r="M835" s="63">
        <f t="shared" si="97"/>
        <v>0</v>
      </c>
      <c r="N835" s="63">
        <f t="shared" si="98"/>
        <v>0</v>
      </c>
      <c r="O835" s="63">
        <f t="shared" si="99"/>
        <v>0</v>
      </c>
      <c r="P835" s="63">
        <f t="shared" si="100"/>
        <v>0</v>
      </c>
      <c r="Q835" s="561">
        <f t="shared" si="101"/>
        <v>0</v>
      </c>
      <c r="R835" s="174"/>
      <c r="T835" s="82"/>
      <c r="U835" s="82"/>
      <c r="V835" s="82"/>
      <c r="W835" s="82"/>
      <c r="X835" s="82"/>
      <c r="Y835" s="82"/>
      <c r="Z835" s="82"/>
      <c r="AA835" s="82"/>
      <c r="AB835" s="82"/>
    </row>
    <row r="836" spans="1:28" s="85" customFormat="1" x14ac:dyDescent="0.25">
      <c r="A836" s="82"/>
      <c r="B836" s="82"/>
      <c r="C836" s="82"/>
      <c r="D836" s="729"/>
      <c r="E836" s="371" t="s">
        <v>49</v>
      </c>
      <c r="F836" s="372">
        <v>6</v>
      </c>
      <c r="G836" s="373">
        <v>10</v>
      </c>
      <c r="H836" s="374">
        <v>5</v>
      </c>
      <c r="I836" s="375">
        <v>0.64</v>
      </c>
      <c r="J836" s="376">
        <f t="shared" si="94"/>
        <v>6.4</v>
      </c>
      <c r="K836" s="66">
        <f t="shared" si="95"/>
        <v>0.98560000000000003</v>
      </c>
      <c r="L836" s="63">
        <f t="shared" si="96"/>
        <v>0</v>
      </c>
      <c r="M836" s="63">
        <f t="shared" si="97"/>
        <v>0</v>
      </c>
      <c r="N836" s="63">
        <f t="shared" si="98"/>
        <v>0</v>
      </c>
      <c r="O836" s="63">
        <f t="shared" si="99"/>
        <v>0</v>
      </c>
      <c r="P836" s="63">
        <f t="shared" si="100"/>
        <v>0</v>
      </c>
      <c r="Q836" s="561">
        <f t="shared" si="101"/>
        <v>0</v>
      </c>
      <c r="R836" s="174"/>
      <c r="T836" s="82"/>
      <c r="U836" s="82"/>
      <c r="V836" s="82"/>
      <c r="W836" s="82"/>
      <c r="X836" s="82"/>
      <c r="Y836" s="82"/>
      <c r="Z836" s="82"/>
      <c r="AA836" s="82"/>
      <c r="AB836" s="82"/>
    </row>
    <row r="837" spans="1:28" s="85" customFormat="1" x14ac:dyDescent="0.25">
      <c r="A837" s="82"/>
      <c r="B837" s="82"/>
      <c r="C837" s="82"/>
      <c r="D837" s="729"/>
      <c r="E837" s="371" t="s">
        <v>49</v>
      </c>
      <c r="F837" s="372">
        <v>19</v>
      </c>
      <c r="G837" s="373">
        <v>8</v>
      </c>
      <c r="H837" s="374">
        <v>12.5</v>
      </c>
      <c r="I837" s="375">
        <v>1.45</v>
      </c>
      <c r="J837" s="376">
        <f t="shared" si="94"/>
        <v>11.6</v>
      </c>
      <c r="K837" s="66">
        <f t="shared" si="95"/>
        <v>0</v>
      </c>
      <c r="L837" s="63">
        <f t="shared" si="96"/>
        <v>0</v>
      </c>
      <c r="M837" s="63">
        <f t="shared" si="97"/>
        <v>0</v>
      </c>
      <c r="N837" s="63">
        <f t="shared" si="98"/>
        <v>0</v>
      </c>
      <c r="O837" s="63">
        <f t="shared" si="99"/>
        <v>11.1708</v>
      </c>
      <c r="P837" s="63">
        <f t="shared" si="100"/>
        <v>0</v>
      </c>
      <c r="Q837" s="561">
        <f t="shared" si="101"/>
        <v>0</v>
      </c>
      <c r="R837" s="174"/>
      <c r="T837" s="82"/>
      <c r="U837" s="82"/>
      <c r="V837" s="82"/>
      <c r="W837" s="82"/>
      <c r="X837" s="82"/>
      <c r="Y837" s="82"/>
      <c r="Z837" s="82"/>
      <c r="AA837" s="82"/>
      <c r="AB837" s="82"/>
    </row>
    <row r="838" spans="1:28" s="85" customFormat="1" x14ac:dyDescent="0.25">
      <c r="A838" s="82"/>
      <c r="B838" s="82"/>
      <c r="C838" s="82"/>
      <c r="D838" s="729"/>
      <c r="E838" s="371" t="s">
        <v>113</v>
      </c>
      <c r="F838" s="372">
        <v>4</v>
      </c>
      <c r="G838" s="373">
        <v>48</v>
      </c>
      <c r="H838" s="374">
        <v>5</v>
      </c>
      <c r="I838" s="375">
        <v>0.24</v>
      </c>
      <c r="J838" s="376">
        <f t="shared" si="94"/>
        <v>11.52</v>
      </c>
      <c r="K838" s="66">
        <f t="shared" si="95"/>
        <v>1.7740799999999999</v>
      </c>
      <c r="L838" s="63">
        <f t="shared" si="96"/>
        <v>0</v>
      </c>
      <c r="M838" s="63">
        <f t="shared" si="97"/>
        <v>0</v>
      </c>
      <c r="N838" s="63">
        <f t="shared" si="98"/>
        <v>0</v>
      </c>
      <c r="O838" s="63">
        <f t="shared" si="99"/>
        <v>0</v>
      </c>
      <c r="P838" s="63">
        <f t="shared" si="100"/>
        <v>0</v>
      </c>
      <c r="Q838" s="561">
        <f t="shared" si="101"/>
        <v>0</v>
      </c>
      <c r="R838" s="174"/>
      <c r="T838" s="82"/>
      <c r="U838" s="82"/>
      <c r="V838" s="82"/>
      <c r="W838" s="82"/>
      <c r="X838" s="82"/>
      <c r="Y838" s="82"/>
      <c r="Z838" s="82"/>
      <c r="AA838" s="82"/>
      <c r="AB838" s="82"/>
    </row>
    <row r="839" spans="1:28" s="85" customFormat="1" x14ac:dyDescent="0.25">
      <c r="A839" s="82"/>
      <c r="B839" s="82"/>
      <c r="C839" s="82"/>
      <c r="D839" s="729"/>
      <c r="E839" s="371" t="s">
        <v>113</v>
      </c>
      <c r="F839" s="372">
        <v>5</v>
      </c>
      <c r="G839" s="373">
        <v>20</v>
      </c>
      <c r="H839" s="374">
        <v>5</v>
      </c>
      <c r="I839" s="375">
        <v>0.97</v>
      </c>
      <c r="J839" s="376">
        <f t="shared" si="94"/>
        <v>19.399999999999999</v>
      </c>
      <c r="K839" s="66">
        <f t="shared" si="95"/>
        <v>2.9875999999999996</v>
      </c>
      <c r="L839" s="63">
        <f t="shared" si="96"/>
        <v>0</v>
      </c>
      <c r="M839" s="63">
        <f t="shared" si="97"/>
        <v>0</v>
      </c>
      <c r="N839" s="63">
        <f t="shared" si="98"/>
        <v>0</v>
      </c>
      <c r="O839" s="63">
        <f t="shared" si="99"/>
        <v>0</v>
      </c>
      <c r="P839" s="63">
        <f t="shared" si="100"/>
        <v>0</v>
      </c>
      <c r="Q839" s="561">
        <f t="shared" si="101"/>
        <v>0</v>
      </c>
      <c r="R839" s="174"/>
      <c r="T839" s="82"/>
      <c r="U839" s="82"/>
      <c r="V839" s="82"/>
      <c r="W839" s="82"/>
      <c r="X839" s="82"/>
      <c r="Y839" s="82"/>
      <c r="Z839" s="82"/>
      <c r="AA839" s="82"/>
      <c r="AB839" s="82"/>
    </row>
    <row r="840" spans="1:28" s="85" customFormat="1" x14ac:dyDescent="0.25">
      <c r="A840" s="82"/>
      <c r="B840" s="82"/>
      <c r="C840" s="82"/>
      <c r="D840" s="729"/>
      <c r="E840" s="371" t="s">
        <v>113</v>
      </c>
      <c r="F840" s="372">
        <v>6</v>
      </c>
      <c r="G840" s="373">
        <v>8</v>
      </c>
      <c r="H840" s="374">
        <v>5</v>
      </c>
      <c r="I840" s="375">
        <v>0.64</v>
      </c>
      <c r="J840" s="376">
        <f t="shared" si="94"/>
        <v>5.12</v>
      </c>
      <c r="K840" s="66">
        <f t="shared" si="95"/>
        <v>0.78847999999999996</v>
      </c>
      <c r="L840" s="63">
        <f t="shared" si="96"/>
        <v>0</v>
      </c>
      <c r="M840" s="63">
        <f t="shared" si="97"/>
        <v>0</v>
      </c>
      <c r="N840" s="63">
        <f t="shared" si="98"/>
        <v>0</v>
      </c>
      <c r="O840" s="63">
        <f t="shared" si="99"/>
        <v>0</v>
      </c>
      <c r="P840" s="63">
        <f t="shared" si="100"/>
        <v>0</v>
      </c>
      <c r="Q840" s="561">
        <f t="shared" si="101"/>
        <v>0</v>
      </c>
      <c r="R840" s="174"/>
      <c r="T840" s="82"/>
      <c r="U840" s="82"/>
      <c r="V840" s="82"/>
      <c r="W840" s="82"/>
      <c r="X840" s="82"/>
      <c r="Y840" s="82"/>
      <c r="Z840" s="82"/>
      <c r="AA840" s="82"/>
      <c r="AB840" s="82"/>
    </row>
    <row r="841" spans="1:28" s="85" customFormat="1" x14ac:dyDescent="0.25">
      <c r="A841" s="82"/>
      <c r="B841" s="82"/>
      <c r="C841" s="82"/>
      <c r="D841" s="729"/>
      <c r="E841" s="371" t="s">
        <v>113</v>
      </c>
      <c r="F841" s="372">
        <v>24</v>
      </c>
      <c r="G841" s="373">
        <v>8</v>
      </c>
      <c r="H841" s="374">
        <v>12.5</v>
      </c>
      <c r="I841" s="375">
        <v>3.87</v>
      </c>
      <c r="J841" s="376">
        <f t="shared" si="94"/>
        <v>30.96</v>
      </c>
      <c r="K841" s="66">
        <f t="shared" si="95"/>
        <v>0</v>
      </c>
      <c r="L841" s="63">
        <f t="shared" si="96"/>
        <v>0</v>
      </c>
      <c r="M841" s="63">
        <f t="shared" si="97"/>
        <v>0</v>
      </c>
      <c r="N841" s="63">
        <f t="shared" si="98"/>
        <v>0</v>
      </c>
      <c r="O841" s="63">
        <f t="shared" si="99"/>
        <v>29.81448</v>
      </c>
      <c r="P841" s="63">
        <f t="shared" si="100"/>
        <v>0</v>
      </c>
      <c r="Q841" s="561">
        <f t="shared" si="101"/>
        <v>0</v>
      </c>
      <c r="R841" s="174"/>
      <c r="T841" s="82"/>
      <c r="U841" s="82"/>
      <c r="V841" s="82"/>
      <c r="W841" s="82"/>
      <c r="X841" s="82"/>
      <c r="Y841" s="82"/>
      <c r="Z841" s="82"/>
      <c r="AA841" s="82"/>
      <c r="AB841" s="82"/>
    </row>
    <row r="842" spans="1:28" s="85" customFormat="1" x14ac:dyDescent="0.25">
      <c r="A842" s="82"/>
      <c r="B842" s="82"/>
      <c r="C842" s="82"/>
      <c r="D842" s="729"/>
      <c r="E842" s="396" t="s">
        <v>184</v>
      </c>
      <c r="F842" s="403">
        <v>4</v>
      </c>
      <c r="G842" s="397">
        <v>14</v>
      </c>
      <c r="H842" s="398">
        <v>5</v>
      </c>
      <c r="I842" s="399">
        <v>0.24</v>
      </c>
      <c r="J842" s="400">
        <f t="shared" si="94"/>
        <v>3.36</v>
      </c>
      <c r="K842" s="401">
        <f t="shared" si="95"/>
        <v>0.51744000000000001</v>
      </c>
      <c r="L842" s="196">
        <f t="shared" si="96"/>
        <v>0</v>
      </c>
      <c r="M842" s="196">
        <f t="shared" si="97"/>
        <v>0</v>
      </c>
      <c r="N842" s="196">
        <f t="shared" si="98"/>
        <v>0</v>
      </c>
      <c r="O842" s="196">
        <f t="shared" si="99"/>
        <v>0</v>
      </c>
      <c r="P842" s="196">
        <f t="shared" si="100"/>
        <v>0</v>
      </c>
      <c r="Q842" s="566">
        <f t="shared" si="101"/>
        <v>0</v>
      </c>
      <c r="R842" s="538"/>
      <c r="T842" s="82"/>
      <c r="U842" s="82"/>
      <c r="V842" s="82"/>
      <c r="W842" s="82"/>
      <c r="X842" s="82"/>
      <c r="Y842" s="82"/>
      <c r="Z842" s="82"/>
      <c r="AA842" s="82"/>
      <c r="AB842" s="82"/>
    </row>
    <row r="843" spans="1:28" s="85" customFormat="1" x14ac:dyDescent="0.25">
      <c r="A843" s="82"/>
      <c r="B843" s="82"/>
      <c r="C843" s="82"/>
      <c r="D843" s="729"/>
      <c r="E843" s="371" t="s">
        <v>184</v>
      </c>
      <c r="F843" s="372">
        <v>5</v>
      </c>
      <c r="G843" s="373">
        <v>6</v>
      </c>
      <c r="H843" s="374">
        <v>5</v>
      </c>
      <c r="I843" s="375">
        <v>0.97</v>
      </c>
      <c r="J843" s="376">
        <f t="shared" si="94"/>
        <v>5.82</v>
      </c>
      <c r="K843" s="66">
        <f t="shared" si="95"/>
        <v>0.89628000000000008</v>
      </c>
      <c r="L843" s="63">
        <f t="shared" si="96"/>
        <v>0</v>
      </c>
      <c r="M843" s="63">
        <f t="shared" si="97"/>
        <v>0</v>
      </c>
      <c r="N843" s="63">
        <f t="shared" si="98"/>
        <v>0</v>
      </c>
      <c r="O843" s="63">
        <f t="shared" si="99"/>
        <v>0</v>
      </c>
      <c r="P843" s="63">
        <f t="shared" si="100"/>
        <v>0</v>
      </c>
      <c r="Q843" s="562">
        <f t="shared" si="101"/>
        <v>0</v>
      </c>
      <c r="R843" s="377"/>
      <c r="T843" s="82"/>
      <c r="U843" s="82"/>
      <c r="V843" s="82"/>
      <c r="W843" s="82"/>
      <c r="X843" s="82"/>
      <c r="Y843" s="82"/>
      <c r="Z843" s="82"/>
      <c r="AA843" s="82"/>
      <c r="AB843" s="82"/>
    </row>
    <row r="844" spans="1:28" s="85" customFormat="1" x14ac:dyDescent="0.25">
      <c r="A844" s="82"/>
      <c r="B844" s="82"/>
      <c r="C844" s="82"/>
      <c r="D844" s="729"/>
      <c r="E844" s="371" t="s">
        <v>184</v>
      </c>
      <c r="F844" s="372">
        <v>6</v>
      </c>
      <c r="G844" s="373">
        <v>2</v>
      </c>
      <c r="H844" s="374">
        <v>5</v>
      </c>
      <c r="I844" s="375">
        <v>0.64</v>
      </c>
      <c r="J844" s="376">
        <f t="shared" si="94"/>
        <v>1.28</v>
      </c>
      <c r="K844" s="66">
        <f t="shared" si="95"/>
        <v>0.19711999999999999</v>
      </c>
      <c r="L844" s="63">
        <f t="shared" si="96"/>
        <v>0</v>
      </c>
      <c r="M844" s="63">
        <f t="shared" si="97"/>
        <v>0</v>
      </c>
      <c r="N844" s="63">
        <f t="shared" si="98"/>
        <v>0</v>
      </c>
      <c r="O844" s="63">
        <f t="shared" si="99"/>
        <v>0</v>
      </c>
      <c r="P844" s="63">
        <f t="shared" si="100"/>
        <v>0</v>
      </c>
      <c r="Q844" s="562">
        <f t="shared" si="101"/>
        <v>0</v>
      </c>
      <c r="R844" s="377"/>
      <c r="T844" s="82"/>
      <c r="U844" s="82"/>
      <c r="V844" s="82"/>
      <c r="W844" s="82"/>
      <c r="X844" s="82"/>
      <c r="Y844" s="82"/>
      <c r="Z844" s="82"/>
      <c r="AA844" s="82"/>
      <c r="AB844" s="82"/>
    </row>
    <row r="845" spans="1:28" s="85" customFormat="1" ht="13.8" thickBot="1" x14ac:dyDescent="0.3">
      <c r="A845" s="82"/>
      <c r="B845" s="82"/>
      <c r="C845" s="82"/>
      <c r="D845" s="731"/>
      <c r="E845" s="390" t="s">
        <v>184</v>
      </c>
      <c r="F845" s="391">
        <v>46</v>
      </c>
      <c r="G845" s="392">
        <v>8</v>
      </c>
      <c r="H845" s="393">
        <v>12.5</v>
      </c>
      <c r="I845" s="394">
        <v>1.02</v>
      </c>
      <c r="J845" s="395">
        <f t="shared" si="94"/>
        <v>8.16</v>
      </c>
      <c r="K845" s="221">
        <f t="shared" si="95"/>
        <v>0</v>
      </c>
      <c r="L845" s="222">
        <f t="shared" si="96"/>
        <v>0</v>
      </c>
      <c r="M845" s="222">
        <f t="shared" si="97"/>
        <v>0</v>
      </c>
      <c r="N845" s="222">
        <f t="shared" si="98"/>
        <v>0</v>
      </c>
      <c r="O845" s="222">
        <f t="shared" si="99"/>
        <v>7.8580800000000002</v>
      </c>
      <c r="P845" s="222">
        <f t="shared" si="100"/>
        <v>0</v>
      </c>
      <c r="Q845" s="564">
        <f t="shared" si="101"/>
        <v>0</v>
      </c>
      <c r="R845" s="539"/>
      <c r="T845" s="82"/>
      <c r="U845" s="82"/>
      <c r="V845" s="82"/>
      <c r="W845" s="82"/>
      <c r="X845" s="82"/>
      <c r="Y845" s="82"/>
      <c r="Z845" s="82"/>
      <c r="AA845" s="82"/>
      <c r="AB845" s="82"/>
    </row>
    <row r="846" spans="1:28" s="85" customFormat="1" ht="13.8" thickTop="1" x14ac:dyDescent="0.25">
      <c r="A846" s="82"/>
      <c r="B846" s="82"/>
      <c r="C846" s="82"/>
      <c r="D846" s="728" t="s">
        <v>1576</v>
      </c>
      <c r="E846" s="384" t="s">
        <v>49</v>
      </c>
      <c r="F846" s="385">
        <v>1</v>
      </c>
      <c r="G846" s="386">
        <f>2*14</f>
        <v>28</v>
      </c>
      <c r="H846" s="387">
        <v>5</v>
      </c>
      <c r="I846" s="388">
        <v>0.28999999999999998</v>
      </c>
      <c r="J846" s="389">
        <f t="shared" si="94"/>
        <v>8.1199999999999992</v>
      </c>
      <c r="K846" s="218">
        <f t="shared" si="95"/>
        <v>1.2504799999999998</v>
      </c>
      <c r="L846" s="219">
        <f t="shared" si="96"/>
        <v>0</v>
      </c>
      <c r="M846" s="219">
        <f t="shared" si="97"/>
        <v>0</v>
      </c>
      <c r="N846" s="219">
        <f t="shared" si="98"/>
        <v>0</v>
      </c>
      <c r="O846" s="219">
        <f t="shared" si="99"/>
        <v>0</v>
      </c>
      <c r="P846" s="219">
        <f t="shared" si="100"/>
        <v>0</v>
      </c>
      <c r="Q846" s="563">
        <f t="shared" si="101"/>
        <v>0</v>
      </c>
      <c r="R846" s="220"/>
      <c r="T846" s="82"/>
      <c r="U846" s="82"/>
      <c r="V846" s="82"/>
      <c r="W846" s="82"/>
      <c r="X846" s="82"/>
      <c r="Y846" s="82"/>
      <c r="Z846" s="82"/>
      <c r="AA846" s="82"/>
      <c r="AB846" s="82"/>
    </row>
    <row r="847" spans="1:28" s="85" customFormat="1" x14ac:dyDescent="0.25">
      <c r="A847" s="82"/>
      <c r="B847" s="82"/>
      <c r="C847" s="82"/>
      <c r="D847" s="729"/>
      <c r="E847" s="371" t="s">
        <v>49</v>
      </c>
      <c r="F847" s="372">
        <v>2</v>
      </c>
      <c r="G847" s="373">
        <f>2*4</f>
        <v>8</v>
      </c>
      <c r="H847" s="374">
        <v>5</v>
      </c>
      <c r="I847" s="375">
        <v>1.27</v>
      </c>
      <c r="J847" s="376">
        <f t="shared" si="94"/>
        <v>10.16</v>
      </c>
      <c r="K847" s="66">
        <f t="shared" si="95"/>
        <v>1.56464</v>
      </c>
      <c r="L847" s="63">
        <f t="shared" si="96"/>
        <v>0</v>
      </c>
      <c r="M847" s="63">
        <f t="shared" si="97"/>
        <v>0</v>
      </c>
      <c r="N847" s="63">
        <f t="shared" si="98"/>
        <v>0</v>
      </c>
      <c r="O847" s="63">
        <f t="shared" si="99"/>
        <v>0</v>
      </c>
      <c r="P847" s="63">
        <f t="shared" si="100"/>
        <v>0</v>
      </c>
      <c r="Q847" s="561">
        <f t="shared" si="101"/>
        <v>0</v>
      </c>
      <c r="R847" s="174"/>
      <c r="T847" s="82"/>
      <c r="U847" s="82"/>
      <c r="V847" s="82"/>
      <c r="W847" s="82"/>
      <c r="X847" s="82"/>
      <c r="Y847" s="82"/>
      <c r="Z847" s="82"/>
      <c r="AA847" s="82"/>
      <c r="AB847" s="82"/>
    </row>
    <row r="848" spans="1:28" s="85" customFormat="1" x14ac:dyDescent="0.25">
      <c r="A848" s="82"/>
      <c r="B848" s="82"/>
      <c r="C848" s="82"/>
      <c r="D848" s="729"/>
      <c r="E848" s="371" t="s">
        <v>49</v>
      </c>
      <c r="F848" s="372">
        <v>3</v>
      </c>
      <c r="G848" s="373">
        <f>2*6</f>
        <v>12</v>
      </c>
      <c r="H848" s="374">
        <v>5</v>
      </c>
      <c r="I848" s="375">
        <v>0.84</v>
      </c>
      <c r="J848" s="376">
        <f t="shared" si="94"/>
        <v>10.08</v>
      </c>
      <c r="K848" s="66">
        <f t="shared" si="95"/>
        <v>1.5523199999999999</v>
      </c>
      <c r="L848" s="63">
        <f t="shared" si="96"/>
        <v>0</v>
      </c>
      <c r="M848" s="63">
        <f t="shared" si="97"/>
        <v>0</v>
      </c>
      <c r="N848" s="63">
        <f t="shared" si="98"/>
        <v>0</v>
      </c>
      <c r="O848" s="63">
        <f t="shared" si="99"/>
        <v>0</v>
      </c>
      <c r="P848" s="63">
        <f t="shared" si="100"/>
        <v>0</v>
      </c>
      <c r="Q848" s="561">
        <f t="shared" si="101"/>
        <v>0</v>
      </c>
      <c r="R848" s="174"/>
      <c r="T848" s="82"/>
      <c r="U848" s="82"/>
      <c r="V848" s="82"/>
      <c r="W848" s="82"/>
      <c r="X848" s="82"/>
      <c r="Y848" s="82"/>
      <c r="Z848" s="82"/>
      <c r="AA848" s="82"/>
      <c r="AB848" s="82"/>
    </row>
    <row r="849" spans="1:28" s="85" customFormat="1" x14ac:dyDescent="0.25">
      <c r="A849" s="82"/>
      <c r="B849" s="82"/>
      <c r="C849" s="82"/>
      <c r="D849" s="729"/>
      <c r="E849" s="371" t="s">
        <v>49</v>
      </c>
      <c r="F849" s="372">
        <v>19</v>
      </c>
      <c r="G849" s="373">
        <f>2*8</f>
        <v>16</v>
      </c>
      <c r="H849" s="374">
        <v>12.5</v>
      </c>
      <c r="I849" s="375">
        <v>1.45</v>
      </c>
      <c r="J849" s="376">
        <f t="shared" si="94"/>
        <v>23.2</v>
      </c>
      <c r="K849" s="66">
        <f t="shared" si="95"/>
        <v>0</v>
      </c>
      <c r="L849" s="63">
        <f t="shared" si="96"/>
        <v>0</v>
      </c>
      <c r="M849" s="63">
        <f t="shared" si="97"/>
        <v>0</v>
      </c>
      <c r="N849" s="63">
        <f t="shared" si="98"/>
        <v>0</v>
      </c>
      <c r="O849" s="63">
        <f t="shared" si="99"/>
        <v>22.3416</v>
      </c>
      <c r="P849" s="63">
        <f t="shared" si="100"/>
        <v>0</v>
      </c>
      <c r="Q849" s="561">
        <f t="shared" si="101"/>
        <v>0</v>
      </c>
      <c r="R849" s="174"/>
      <c r="T849" s="82"/>
      <c r="U849" s="82"/>
      <c r="V849" s="82"/>
      <c r="W849" s="82"/>
      <c r="X849" s="82"/>
      <c r="Y849" s="82"/>
      <c r="Z849" s="82"/>
      <c r="AA849" s="82"/>
      <c r="AB849" s="82"/>
    </row>
    <row r="850" spans="1:28" s="85" customFormat="1" x14ac:dyDescent="0.25">
      <c r="A850" s="82"/>
      <c r="B850" s="82"/>
      <c r="C850" s="82"/>
      <c r="D850" s="729"/>
      <c r="E850" s="371" t="s">
        <v>113</v>
      </c>
      <c r="F850" s="372">
        <v>1</v>
      </c>
      <c r="G850" s="373">
        <f>2*48</f>
        <v>96</v>
      </c>
      <c r="H850" s="374">
        <v>5</v>
      </c>
      <c r="I850" s="375">
        <v>0.28999999999999998</v>
      </c>
      <c r="J850" s="376">
        <f t="shared" si="94"/>
        <v>27.839999999999996</v>
      </c>
      <c r="K850" s="66">
        <f t="shared" si="95"/>
        <v>4.2873599999999996</v>
      </c>
      <c r="L850" s="63">
        <f t="shared" si="96"/>
        <v>0</v>
      </c>
      <c r="M850" s="63">
        <f t="shared" si="97"/>
        <v>0</v>
      </c>
      <c r="N850" s="63">
        <f t="shared" si="98"/>
        <v>0</v>
      </c>
      <c r="O850" s="63">
        <f t="shared" si="99"/>
        <v>0</v>
      </c>
      <c r="P850" s="63">
        <f t="shared" si="100"/>
        <v>0</v>
      </c>
      <c r="Q850" s="561">
        <f t="shared" si="101"/>
        <v>0</v>
      </c>
      <c r="R850" s="174"/>
      <c r="T850" s="82"/>
      <c r="U850" s="82"/>
      <c r="V850" s="82"/>
      <c r="W850" s="82"/>
      <c r="X850" s="82"/>
      <c r="Y850" s="82"/>
      <c r="Z850" s="82"/>
      <c r="AA850" s="82"/>
      <c r="AB850" s="82"/>
    </row>
    <row r="851" spans="1:28" s="85" customFormat="1" x14ac:dyDescent="0.25">
      <c r="A851" s="82"/>
      <c r="B851" s="82"/>
      <c r="C851" s="82"/>
      <c r="D851" s="729"/>
      <c r="E851" s="371" t="s">
        <v>113</v>
      </c>
      <c r="F851" s="372">
        <v>2</v>
      </c>
      <c r="G851" s="373">
        <f>2*20</f>
        <v>40</v>
      </c>
      <c r="H851" s="374">
        <v>5</v>
      </c>
      <c r="I851" s="375">
        <v>1.27</v>
      </c>
      <c r="J851" s="376">
        <f t="shared" si="94"/>
        <v>50.8</v>
      </c>
      <c r="K851" s="66">
        <f t="shared" si="95"/>
        <v>7.823199999999999</v>
      </c>
      <c r="L851" s="63">
        <f t="shared" si="96"/>
        <v>0</v>
      </c>
      <c r="M851" s="63">
        <f t="shared" si="97"/>
        <v>0</v>
      </c>
      <c r="N851" s="63">
        <f t="shared" si="98"/>
        <v>0</v>
      </c>
      <c r="O851" s="63">
        <f t="shared" si="99"/>
        <v>0</v>
      </c>
      <c r="P851" s="63">
        <f t="shared" si="100"/>
        <v>0</v>
      </c>
      <c r="Q851" s="561">
        <f t="shared" si="101"/>
        <v>0</v>
      </c>
      <c r="R851" s="174"/>
      <c r="T851" s="82"/>
      <c r="U851" s="82"/>
      <c r="V851" s="82"/>
      <c r="W851" s="82"/>
      <c r="X851" s="82"/>
      <c r="Y851" s="82"/>
      <c r="Z851" s="82"/>
      <c r="AA851" s="82"/>
      <c r="AB851" s="82"/>
    </row>
    <row r="852" spans="1:28" s="85" customFormat="1" x14ac:dyDescent="0.25">
      <c r="A852" s="82"/>
      <c r="B852" s="82"/>
      <c r="C852" s="82"/>
      <c r="D852" s="729"/>
      <c r="E852" s="371" t="s">
        <v>113</v>
      </c>
      <c r="F852" s="372">
        <v>3</v>
      </c>
      <c r="G852" s="373">
        <f>2*8</f>
        <v>16</v>
      </c>
      <c r="H852" s="374">
        <v>5</v>
      </c>
      <c r="I852" s="375">
        <v>0.84</v>
      </c>
      <c r="J852" s="376">
        <f t="shared" si="94"/>
        <v>13.44</v>
      </c>
      <c r="K852" s="66">
        <f t="shared" si="95"/>
        <v>2.06976</v>
      </c>
      <c r="L852" s="63">
        <f t="shared" si="96"/>
        <v>0</v>
      </c>
      <c r="M852" s="63">
        <f t="shared" si="97"/>
        <v>0</v>
      </c>
      <c r="N852" s="63">
        <f t="shared" si="98"/>
        <v>0</v>
      </c>
      <c r="O852" s="63">
        <f t="shared" si="99"/>
        <v>0</v>
      </c>
      <c r="P852" s="63">
        <f t="shared" si="100"/>
        <v>0</v>
      </c>
      <c r="Q852" s="561">
        <f t="shared" si="101"/>
        <v>0</v>
      </c>
      <c r="R852" s="174"/>
      <c r="T852" s="82"/>
      <c r="U852" s="82"/>
      <c r="V852" s="82"/>
      <c r="W852" s="82"/>
      <c r="X852" s="82"/>
      <c r="Y852" s="82"/>
      <c r="Z852" s="82"/>
      <c r="AA852" s="82"/>
      <c r="AB852" s="82"/>
    </row>
    <row r="853" spans="1:28" s="85" customFormat="1" x14ac:dyDescent="0.25">
      <c r="A853" s="82"/>
      <c r="B853" s="82"/>
      <c r="C853" s="82"/>
      <c r="D853" s="729"/>
      <c r="E853" s="371" t="s">
        <v>113</v>
      </c>
      <c r="F853" s="372">
        <v>24</v>
      </c>
      <c r="G853" s="373">
        <f>2*8</f>
        <v>16</v>
      </c>
      <c r="H853" s="374">
        <v>12.5</v>
      </c>
      <c r="I853" s="375">
        <v>3.87</v>
      </c>
      <c r="J853" s="376">
        <f t="shared" si="94"/>
        <v>61.92</v>
      </c>
      <c r="K853" s="66">
        <f t="shared" si="95"/>
        <v>0</v>
      </c>
      <c r="L853" s="63">
        <f t="shared" si="96"/>
        <v>0</v>
      </c>
      <c r="M853" s="63">
        <f t="shared" si="97"/>
        <v>0</v>
      </c>
      <c r="N853" s="63">
        <f t="shared" si="98"/>
        <v>0</v>
      </c>
      <c r="O853" s="63">
        <f t="shared" si="99"/>
        <v>59.628959999999999</v>
      </c>
      <c r="P853" s="63">
        <f t="shared" si="100"/>
        <v>0</v>
      </c>
      <c r="Q853" s="561">
        <f t="shared" si="101"/>
        <v>0</v>
      </c>
      <c r="R853" s="174"/>
      <c r="T853" s="82"/>
      <c r="U853" s="82"/>
      <c r="V853" s="82"/>
      <c r="W853" s="82"/>
      <c r="X853" s="82"/>
      <c r="Y853" s="82"/>
      <c r="Z853" s="82"/>
      <c r="AA853" s="82"/>
      <c r="AB853" s="82"/>
    </row>
    <row r="854" spans="1:28" s="85" customFormat="1" x14ac:dyDescent="0.25">
      <c r="A854" s="82"/>
      <c r="B854" s="82"/>
      <c r="C854" s="82"/>
      <c r="D854" s="729"/>
      <c r="E854" s="396" t="s">
        <v>184</v>
      </c>
      <c r="F854" s="403">
        <v>1</v>
      </c>
      <c r="G854" s="397">
        <f>2*14</f>
        <v>28</v>
      </c>
      <c r="H854" s="398">
        <v>5</v>
      </c>
      <c r="I854" s="399">
        <v>0.28999999999999998</v>
      </c>
      <c r="J854" s="400">
        <f t="shared" si="94"/>
        <v>8.1199999999999992</v>
      </c>
      <c r="K854" s="401">
        <f t="shared" si="95"/>
        <v>1.2504799999999998</v>
      </c>
      <c r="L854" s="196">
        <f t="shared" si="96"/>
        <v>0</v>
      </c>
      <c r="M854" s="196">
        <f t="shared" si="97"/>
        <v>0</v>
      </c>
      <c r="N854" s="196">
        <f t="shared" si="98"/>
        <v>0</v>
      </c>
      <c r="O854" s="196">
        <f t="shared" si="99"/>
        <v>0</v>
      </c>
      <c r="P854" s="196">
        <f t="shared" si="100"/>
        <v>0</v>
      </c>
      <c r="Q854" s="566">
        <f t="shared" si="101"/>
        <v>0</v>
      </c>
      <c r="R854" s="538"/>
      <c r="T854" s="82"/>
      <c r="U854" s="82"/>
      <c r="V854" s="82"/>
      <c r="W854" s="82"/>
      <c r="X854" s="82"/>
      <c r="Y854" s="82"/>
      <c r="Z854" s="82"/>
      <c r="AA854" s="82"/>
      <c r="AB854" s="82"/>
    </row>
    <row r="855" spans="1:28" s="85" customFormat="1" x14ac:dyDescent="0.25">
      <c r="A855" s="82"/>
      <c r="B855" s="82"/>
      <c r="C855" s="82"/>
      <c r="D855" s="729"/>
      <c r="E855" s="371" t="s">
        <v>184</v>
      </c>
      <c r="F855" s="372">
        <v>2</v>
      </c>
      <c r="G855" s="373">
        <f>2*6</f>
        <v>12</v>
      </c>
      <c r="H855" s="374">
        <v>5</v>
      </c>
      <c r="I855" s="375">
        <v>1.27</v>
      </c>
      <c r="J855" s="376">
        <f t="shared" si="94"/>
        <v>15.24</v>
      </c>
      <c r="K855" s="66">
        <f t="shared" si="95"/>
        <v>2.3469600000000002</v>
      </c>
      <c r="L855" s="63">
        <f t="shared" si="96"/>
        <v>0</v>
      </c>
      <c r="M855" s="63">
        <f t="shared" si="97"/>
        <v>0</v>
      </c>
      <c r="N855" s="63">
        <f t="shared" si="98"/>
        <v>0</v>
      </c>
      <c r="O855" s="63">
        <f t="shared" si="99"/>
        <v>0</v>
      </c>
      <c r="P855" s="63">
        <f t="shared" si="100"/>
        <v>0</v>
      </c>
      <c r="Q855" s="562">
        <f t="shared" si="101"/>
        <v>0</v>
      </c>
      <c r="R855" s="377"/>
      <c r="T855" s="82"/>
      <c r="U855" s="82"/>
      <c r="V855" s="82"/>
      <c r="W855" s="82"/>
      <c r="X855" s="82"/>
      <c r="Y855" s="82"/>
      <c r="Z855" s="82"/>
      <c r="AA855" s="82"/>
      <c r="AB855" s="82"/>
    </row>
    <row r="856" spans="1:28" s="85" customFormat="1" x14ac:dyDescent="0.25">
      <c r="A856" s="82"/>
      <c r="B856" s="82"/>
      <c r="C856" s="82"/>
      <c r="D856" s="729"/>
      <c r="E856" s="371" t="s">
        <v>184</v>
      </c>
      <c r="F856" s="372">
        <v>3</v>
      </c>
      <c r="G856" s="373">
        <f>2*2</f>
        <v>4</v>
      </c>
      <c r="H856" s="374">
        <v>5</v>
      </c>
      <c r="I856" s="375">
        <v>0.84</v>
      </c>
      <c r="J856" s="376">
        <f t="shared" si="94"/>
        <v>3.36</v>
      </c>
      <c r="K856" s="66">
        <f t="shared" si="95"/>
        <v>0.51744000000000001</v>
      </c>
      <c r="L856" s="63">
        <f t="shared" si="96"/>
        <v>0</v>
      </c>
      <c r="M856" s="63">
        <f t="shared" si="97"/>
        <v>0</v>
      </c>
      <c r="N856" s="63">
        <f t="shared" si="98"/>
        <v>0</v>
      </c>
      <c r="O856" s="63">
        <f t="shared" si="99"/>
        <v>0</v>
      </c>
      <c r="P856" s="63">
        <f t="shared" si="100"/>
        <v>0</v>
      </c>
      <c r="Q856" s="562">
        <f t="shared" si="101"/>
        <v>0</v>
      </c>
      <c r="R856" s="377"/>
      <c r="T856" s="82"/>
      <c r="U856" s="82"/>
      <c r="V856" s="82"/>
      <c r="W856" s="82"/>
      <c r="X856" s="82"/>
      <c r="Y856" s="82"/>
      <c r="Z856" s="82"/>
      <c r="AA856" s="82"/>
      <c r="AB856" s="82"/>
    </row>
    <row r="857" spans="1:28" s="85" customFormat="1" ht="13.8" thickBot="1" x14ac:dyDescent="0.3">
      <c r="A857" s="82"/>
      <c r="B857" s="82"/>
      <c r="C857" s="82"/>
      <c r="D857" s="731"/>
      <c r="E857" s="390" t="s">
        <v>184</v>
      </c>
      <c r="F857" s="391">
        <v>46</v>
      </c>
      <c r="G857" s="392">
        <f>2*8</f>
        <v>16</v>
      </c>
      <c r="H857" s="393">
        <v>12.5</v>
      </c>
      <c r="I857" s="394">
        <v>1.02</v>
      </c>
      <c r="J857" s="395">
        <f t="shared" si="94"/>
        <v>16.32</v>
      </c>
      <c r="K857" s="221">
        <f t="shared" si="95"/>
        <v>0</v>
      </c>
      <c r="L857" s="222">
        <f t="shared" si="96"/>
        <v>0</v>
      </c>
      <c r="M857" s="222">
        <f t="shared" si="97"/>
        <v>0</v>
      </c>
      <c r="N857" s="222">
        <f t="shared" si="98"/>
        <v>0</v>
      </c>
      <c r="O857" s="222">
        <f t="shared" si="99"/>
        <v>15.71616</v>
      </c>
      <c r="P857" s="222">
        <f t="shared" si="100"/>
        <v>0</v>
      </c>
      <c r="Q857" s="564">
        <f t="shared" si="101"/>
        <v>0</v>
      </c>
      <c r="R857" s="539"/>
      <c r="T857" s="82"/>
      <c r="U857" s="82"/>
      <c r="V857" s="82"/>
      <c r="W857" s="82"/>
      <c r="X857" s="82"/>
      <c r="Y857" s="82"/>
      <c r="Z857" s="82"/>
      <c r="AA857" s="82"/>
      <c r="AB857" s="82"/>
    </row>
    <row r="858" spans="1:28" s="85" customFormat="1" ht="13.8" thickTop="1" x14ac:dyDescent="0.25">
      <c r="A858" s="82"/>
      <c r="B858" s="82"/>
      <c r="C858" s="82"/>
      <c r="D858" s="728" t="s">
        <v>1577</v>
      </c>
      <c r="E858" s="384" t="s">
        <v>49</v>
      </c>
      <c r="F858" s="385">
        <v>4</v>
      </c>
      <c r="G858" s="386">
        <v>18</v>
      </c>
      <c r="H858" s="387">
        <v>5</v>
      </c>
      <c r="I858" s="388">
        <v>0.24</v>
      </c>
      <c r="J858" s="389">
        <f t="shared" si="94"/>
        <v>4.32</v>
      </c>
      <c r="K858" s="218">
        <f t="shared" si="95"/>
        <v>0.66527999999999998</v>
      </c>
      <c r="L858" s="219">
        <f t="shared" si="96"/>
        <v>0</v>
      </c>
      <c r="M858" s="219">
        <f t="shared" si="97"/>
        <v>0</v>
      </c>
      <c r="N858" s="219">
        <f t="shared" si="98"/>
        <v>0</v>
      </c>
      <c r="O858" s="219">
        <f t="shared" si="99"/>
        <v>0</v>
      </c>
      <c r="P858" s="219">
        <f t="shared" si="100"/>
        <v>0</v>
      </c>
      <c r="Q858" s="563">
        <f t="shared" si="101"/>
        <v>0</v>
      </c>
      <c r="R858" s="220"/>
      <c r="T858" s="82"/>
      <c r="U858" s="82"/>
      <c r="V858" s="82"/>
      <c r="W858" s="82"/>
      <c r="X858" s="82"/>
      <c r="Y858" s="82"/>
      <c r="Z858" s="82"/>
      <c r="AA858" s="82"/>
      <c r="AB858" s="82"/>
    </row>
    <row r="859" spans="1:28" s="85" customFormat="1" x14ac:dyDescent="0.25">
      <c r="A859" s="82"/>
      <c r="B859" s="82"/>
      <c r="C859" s="82"/>
      <c r="D859" s="729"/>
      <c r="E859" s="371" t="s">
        <v>49</v>
      </c>
      <c r="F859" s="372">
        <v>5</v>
      </c>
      <c r="G859" s="373">
        <v>5</v>
      </c>
      <c r="H859" s="374">
        <v>5</v>
      </c>
      <c r="I859" s="375">
        <v>0.97</v>
      </c>
      <c r="J859" s="376">
        <f t="shared" si="94"/>
        <v>4.8499999999999996</v>
      </c>
      <c r="K859" s="66">
        <f t="shared" si="95"/>
        <v>0.7468999999999999</v>
      </c>
      <c r="L859" s="63">
        <f t="shared" si="96"/>
        <v>0</v>
      </c>
      <c r="M859" s="63">
        <f t="shared" si="97"/>
        <v>0</v>
      </c>
      <c r="N859" s="63">
        <f t="shared" si="98"/>
        <v>0</v>
      </c>
      <c r="O859" s="63">
        <f t="shared" si="99"/>
        <v>0</v>
      </c>
      <c r="P859" s="63">
        <f t="shared" si="100"/>
        <v>0</v>
      </c>
      <c r="Q859" s="561">
        <f t="shared" si="101"/>
        <v>0</v>
      </c>
      <c r="R859" s="174"/>
      <c r="T859" s="82"/>
      <c r="U859" s="82"/>
      <c r="V859" s="82"/>
      <c r="W859" s="82"/>
      <c r="X859" s="82"/>
      <c r="Y859" s="82"/>
      <c r="Z859" s="82"/>
      <c r="AA859" s="82"/>
      <c r="AB859" s="82"/>
    </row>
    <row r="860" spans="1:28" s="85" customFormat="1" x14ac:dyDescent="0.25">
      <c r="A860" s="82"/>
      <c r="B860" s="82"/>
      <c r="C860" s="82"/>
      <c r="D860" s="729"/>
      <c r="E860" s="371" t="s">
        <v>49</v>
      </c>
      <c r="F860" s="372">
        <v>6</v>
      </c>
      <c r="G860" s="373">
        <v>8</v>
      </c>
      <c r="H860" s="374">
        <v>5</v>
      </c>
      <c r="I860" s="375">
        <v>0.64</v>
      </c>
      <c r="J860" s="376">
        <f t="shared" si="94"/>
        <v>5.12</v>
      </c>
      <c r="K860" s="66">
        <f t="shared" si="95"/>
        <v>0.78847999999999996</v>
      </c>
      <c r="L860" s="63">
        <f t="shared" si="96"/>
        <v>0</v>
      </c>
      <c r="M860" s="63">
        <f t="shared" si="97"/>
        <v>0</v>
      </c>
      <c r="N860" s="63">
        <f t="shared" si="98"/>
        <v>0</v>
      </c>
      <c r="O860" s="63">
        <f t="shared" si="99"/>
        <v>0</v>
      </c>
      <c r="P860" s="63">
        <f t="shared" si="100"/>
        <v>0</v>
      </c>
      <c r="Q860" s="561">
        <f t="shared" si="101"/>
        <v>0</v>
      </c>
      <c r="R860" s="174"/>
      <c r="T860" s="82"/>
      <c r="U860" s="82"/>
      <c r="V860" s="82"/>
      <c r="W860" s="82"/>
      <c r="X860" s="82"/>
      <c r="Y860" s="82"/>
      <c r="Z860" s="82"/>
      <c r="AA860" s="82"/>
      <c r="AB860" s="82"/>
    </row>
    <row r="861" spans="1:28" s="85" customFormat="1" x14ac:dyDescent="0.25">
      <c r="A861" s="82"/>
      <c r="B861" s="82"/>
      <c r="C861" s="82"/>
      <c r="D861" s="729"/>
      <c r="E861" s="371" t="s">
        <v>49</v>
      </c>
      <c r="F861" s="372">
        <v>19</v>
      </c>
      <c r="G861" s="373">
        <v>8</v>
      </c>
      <c r="H861" s="374">
        <v>12.5</v>
      </c>
      <c r="I861" s="375">
        <v>1.45</v>
      </c>
      <c r="J861" s="376">
        <f t="shared" si="94"/>
        <v>11.6</v>
      </c>
      <c r="K861" s="66">
        <f t="shared" si="95"/>
        <v>0</v>
      </c>
      <c r="L861" s="63">
        <f t="shared" si="96"/>
        <v>0</v>
      </c>
      <c r="M861" s="63">
        <f t="shared" si="97"/>
        <v>0</v>
      </c>
      <c r="N861" s="63">
        <f t="shared" si="98"/>
        <v>0</v>
      </c>
      <c r="O861" s="63">
        <f t="shared" si="99"/>
        <v>11.1708</v>
      </c>
      <c r="P861" s="63">
        <f t="shared" si="100"/>
        <v>0</v>
      </c>
      <c r="Q861" s="561">
        <f t="shared" si="101"/>
        <v>0</v>
      </c>
      <c r="R861" s="174"/>
      <c r="T861" s="82"/>
      <c r="U861" s="82"/>
      <c r="V861" s="82"/>
      <c r="W861" s="82"/>
      <c r="X861" s="82"/>
      <c r="Y861" s="82"/>
      <c r="Z861" s="82"/>
      <c r="AA861" s="82"/>
      <c r="AB861" s="82"/>
    </row>
    <row r="862" spans="1:28" s="85" customFormat="1" x14ac:dyDescent="0.25">
      <c r="A862" s="82"/>
      <c r="B862" s="82"/>
      <c r="C862" s="82"/>
      <c r="D862" s="729"/>
      <c r="E862" s="371" t="s">
        <v>113</v>
      </c>
      <c r="F862" s="372">
        <v>4</v>
      </c>
      <c r="G862" s="373">
        <v>48</v>
      </c>
      <c r="H862" s="374">
        <v>5</v>
      </c>
      <c r="I862" s="375">
        <v>0.24</v>
      </c>
      <c r="J862" s="376">
        <f t="shared" si="94"/>
        <v>11.52</v>
      </c>
      <c r="K862" s="66">
        <f t="shared" si="95"/>
        <v>1.7740799999999999</v>
      </c>
      <c r="L862" s="63">
        <f t="shared" si="96"/>
        <v>0</v>
      </c>
      <c r="M862" s="63">
        <f t="shared" si="97"/>
        <v>0</v>
      </c>
      <c r="N862" s="63">
        <f t="shared" si="98"/>
        <v>0</v>
      </c>
      <c r="O862" s="63">
        <f t="shared" si="99"/>
        <v>0</v>
      </c>
      <c r="P862" s="63">
        <f t="shared" si="100"/>
        <v>0</v>
      </c>
      <c r="Q862" s="561">
        <f t="shared" si="101"/>
        <v>0</v>
      </c>
      <c r="R862" s="174"/>
      <c r="T862" s="82"/>
      <c r="U862" s="82"/>
      <c r="V862" s="82"/>
      <c r="W862" s="82"/>
      <c r="X862" s="82"/>
      <c r="Y862" s="82"/>
      <c r="Z862" s="82"/>
      <c r="AA862" s="82"/>
      <c r="AB862" s="82"/>
    </row>
    <row r="863" spans="1:28" s="85" customFormat="1" x14ac:dyDescent="0.25">
      <c r="A863" s="82"/>
      <c r="B863" s="82"/>
      <c r="C863" s="82"/>
      <c r="D863" s="729"/>
      <c r="E863" s="371" t="s">
        <v>113</v>
      </c>
      <c r="F863" s="372">
        <v>5</v>
      </c>
      <c r="G863" s="373">
        <v>20</v>
      </c>
      <c r="H863" s="374">
        <v>5</v>
      </c>
      <c r="I863" s="375">
        <v>0.97</v>
      </c>
      <c r="J863" s="376">
        <f t="shared" si="94"/>
        <v>19.399999999999999</v>
      </c>
      <c r="K863" s="66">
        <f t="shared" si="95"/>
        <v>2.9875999999999996</v>
      </c>
      <c r="L863" s="63">
        <f t="shared" si="96"/>
        <v>0</v>
      </c>
      <c r="M863" s="63">
        <f t="shared" si="97"/>
        <v>0</v>
      </c>
      <c r="N863" s="63">
        <f t="shared" si="98"/>
        <v>0</v>
      </c>
      <c r="O863" s="63">
        <f t="shared" si="99"/>
        <v>0</v>
      </c>
      <c r="P863" s="63">
        <f t="shared" si="100"/>
        <v>0</v>
      </c>
      <c r="Q863" s="561">
        <f t="shared" si="101"/>
        <v>0</v>
      </c>
      <c r="R863" s="174"/>
      <c r="T863" s="82"/>
      <c r="U863" s="82"/>
      <c r="V863" s="82"/>
      <c r="W863" s="82"/>
      <c r="X863" s="82"/>
      <c r="Y863" s="82"/>
      <c r="Z863" s="82"/>
      <c r="AA863" s="82"/>
      <c r="AB863" s="82"/>
    </row>
    <row r="864" spans="1:28" s="85" customFormat="1" x14ac:dyDescent="0.25">
      <c r="A864" s="82"/>
      <c r="B864" s="82"/>
      <c r="C864" s="82"/>
      <c r="D864" s="729"/>
      <c r="E864" s="371" t="s">
        <v>113</v>
      </c>
      <c r="F864" s="372">
        <v>6</v>
      </c>
      <c r="G864" s="373">
        <v>8</v>
      </c>
      <c r="H864" s="374">
        <v>5</v>
      </c>
      <c r="I864" s="375">
        <v>0.64</v>
      </c>
      <c r="J864" s="376">
        <f t="shared" si="94"/>
        <v>5.12</v>
      </c>
      <c r="K864" s="66">
        <f t="shared" si="95"/>
        <v>0.78847999999999996</v>
      </c>
      <c r="L864" s="63">
        <f t="shared" si="96"/>
        <v>0</v>
      </c>
      <c r="M864" s="63">
        <f t="shared" si="97"/>
        <v>0</v>
      </c>
      <c r="N864" s="63">
        <f t="shared" si="98"/>
        <v>0</v>
      </c>
      <c r="O864" s="63">
        <f t="shared" si="99"/>
        <v>0</v>
      </c>
      <c r="P864" s="63">
        <f t="shared" si="100"/>
        <v>0</v>
      </c>
      <c r="Q864" s="561">
        <f t="shared" si="101"/>
        <v>0</v>
      </c>
      <c r="R864" s="174"/>
      <c r="T864" s="82"/>
      <c r="U864" s="82"/>
      <c r="V864" s="82"/>
      <c r="W864" s="82"/>
      <c r="X864" s="82"/>
      <c r="Y864" s="82"/>
      <c r="Z864" s="82"/>
      <c r="AA864" s="82"/>
      <c r="AB864" s="82"/>
    </row>
    <row r="865" spans="1:28" s="85" customFormat="1" x14ac:dyDescent="0.25">
      <c r="A865" s="82"/>
      <c r="B865" s="82"/>
      <c r="C865" s="82"/>
      <c r="D865" s="729"/>
      <c r="E865" s="371" t="s">
        <v>113</v>
      </c>
      <c r="F865" s="372">
        <v>24</v>
      </c>
      <c r="G865" s="373">
        <v>8</v>
      </c>
      <c r="H865" s="374">
        <v>12.5</v>
      </c>
      <c r="I865" s="375">
        <v>3.87</v>
      </c>
      <c r="J865" s="376">
        <f t="shared" si="94"/>
        <v>30.96</v>
      </c>
      <c r="K865" s="66">
        <f t="shared" si="95"/>
        <v>0</v>
      </c>
      <c r="L865" s="63">
        <f t="shared" si="96"/>
        <v>0</v>
      </c>
      <c r="M865" s="63">
        <f t="shared" si="97"/>
        <v>0</v>
      </c>
      <c r="N865" s="63">
        <f t="shared" si="98"/>
        <v>0</v>
      </c>
      <c r="O865" s="63">
        <f t="shared" si="99"/>
        <v>29.81448</v>
      </c>
      <c r="P865" s="63">
        <f t="shared" si="100"/>
        <v>0</v>
      </c>
      <c r="Q865" s="561">
        <f t="shared" si="101"/>
        <v>0</v>
      </c>
      <c r="R865" s="174"/>
      <c r="T865" s="82"/>
      <c r="U865" s="82"/>
      <c r="V865" s="82"/>
      <c r="W865" s="82"/>
      <c r="X865" s="82"/>
      <c r="Y865" s="82"/>
      <c r="Z865" s="82"/>
      <c r="AA865" s="82"/>
      <c r="AB865" s="82"/>
    </row>
    <row r="866" spans="1:28" s="85" customFormat="1" x14ac:dyDescent="0.25">
      <c r="A866" s="82"/>
      <c r="B866" s="82"/>
      <c r="C866" s="82"/>
      <c r="D866" s="729"/>
      <c r="E866" s="396" t="s">
        <v>184</v>
      </c>
      <c r="F866" s="403">
        <v>4</v>
      </c>
      <c r="G866" s="397">
        <v>14</v>
      </c>
      <c r="H866" s="398">
        <v>5</v>
      </c>
      <c r="I866" s="399">
        <v>0.24</v>
      </c>
      <c r="J866" s="400">
        <f t="shared" si="94"/>
        <v>3.36</v>
      </c>
      <c r="K866" s="401">
        <f t="shared" si="95"/>
        <v>0.51744000000000001</v>
      </c>
      <c r="L866" s="196">
        <f t="shared" si="96"/>
        <v>0</v>
      </c>
      <c r="M866" s="196">
        <f t="shared" si="97"/>
        <v>0</v>
      </c>
      <c r="N866" s="196">
        <f t="shared" si="98"/>
        <v>0</v>
      </c>
      <c r="O866" s="196">
        <f t="shared" si="99"/>
        <v>0</v>
      </c>
      <c r="P866" s="196">
        <f t="shared" si="100"/>
        <v>0</v>
      </c>
      <c r="Q866" s="566">
        <f t="shared" si="101"/>
        <v>0</v>
      </c>
      <c r="R866" s="538"/>
      <c r="T866" s="82"/>
      <c r="U866" s="82"/>
      <c r="V866" s="82"/>
      <c r="W866" s="82"/>
      <c r="X866" s="82"/>
      <c r="Y866" s="82"/>
      <c r="Z866" s="82"/>
      <c r="AA866" s="82"/>
      <c r="AB866" s="82"/>
    </row>
    <row r="867" spans="1:28" s="85" customFormat="1" x14ac:dyDescent="0.25">
      <c r="A867" s="82"/>
      <c r="B867" s="82"/>
      <c r="C867" s="82"/>
      <c r="D867" s="729"/>
      <c r="E867" s="371" t="s">
        <v>184</v>
      </c>
      <c r="F867" s="372">
        <v>5</v>
      </c>
      <c r="G867" s="373">
        <v>6</v>
      </c>
      <c r="H867" s="374">
        <v>5</v>
      </c>
      <c r="I867" s="375">
        <v>0.97</v>
      </c>
      <c r="J867" s="376">
        <f t="shared" si="94"/>
        <v>5.82</v>
      </c>
      <c r="K867" s="66">
        <f t="shared" si="95"/>
        <v>0.89628000000000008</v>
      </c>
      <c r="L867" s="63">
        <f t="shared" si="96"/>
        <v>0</v>
      </c>
      <c r="M867" s="63">
        <f t="shared" si="97"/>
        <v>0</v>
      </c>
      <c r="N867" s="63">
        <f t="shared" si="98"/>
        <v>0</v>
      </c>
      <c r="O867" s="63">
        <f t="shared" si="99"/>
        <v>0</v>
      </c>
      <c r="P867" s="63">
        <f t="shared" si="100"/>
        <v>0</v>
      </c>
      <c r="Q867" s="562">
        <f t="shared" si="101"/>
        <v>0</v>
      </c>
      <c r="R867" s="377"/>
      <c r="T867" s="82"/>
      <c r="U867" s="82"/>
      <c r="V867" s="82"/>
      <c r="W867" s="82"/>
      <c r="X867" s="82"/>
      <c r="Y867" s="82"/>
      <c r="Z867" s="82"/>
      <c r="AA867" s="82"/>
      <c r="AB867" s="82"/>
    </row>
    <row r="868" spans="1:28" s="85" customFormat="1" x14ac:dyDescent="0.25">
      <c r="A868" s="82"/>
      <c r="B868" s="82"/>
      <c r="C868" s="82"/>
      <c r="D868" s="729"/>
      <c r="E868" s="371" t="s">
        <v>184</v>
      </c>
      <c r="F868" s="372">
        <v>6</v>
      </c>
      <c r="G868" s="373">
        <v>2</v>
      </c>
      <c r="H868" s="374">
        <v>5</v>
      </c>
      <c r="I868" s="375">
        <v>0.64</v>
      </c>
      <c r="J868" s="376">
        <f t="shared" si="94"/>
        <v>1.28</v>
      </c>
      <c r="K868" s="66">
        <f t="shared" si="95"/>
        <v>0.19711999999999999</v>
      </c>
      <c r="L868" s="63">
        <f t="shared" si="96"/>
        <v>0</v>
      </c>
      <c r="M868" s="63">
        <f t="shared" si="97"/>
        <v>0</v>
      </c>
      <c r="N868" s="63">
        <f t="shared" si="98"/>
        <v>0</v>
      </c>
      <c r="O868" s="63">
        <f t="shared" si="99"/>
        <v>0</v>
      </c>
      <c r="P868" s="63">
        <f t="shared" si="100"/>
        <v>0</v>
      </c>
      <c r="Q868" s="562">
        <f t="shared" si="101"/>
        <v>0</v>
      </c>
      <c r="R868" s="377"/>
      <c r="T868" s="82"/>
      <c r="U868" s="82"/>
      <c r="V868" s="82"/>
      <c r="W868" s="82"/>
      <c r="X868" s="82"/>
      <c r="Y868" s="82"/>
      <c r="Z868" s="82"/>
      <c r="AA868" s="82"/>
      <c r="AB868" s="82"/>
    </row>
    <row r="869" spans="1:28" s="85" customFormat="1" ht="13.8" thickBot="1" x14ac:dyDescent="0.3">
      <c r="A869" s="82"/>
      <c r="B869" s="82"/>
      <c r="C869" s="82"/>
      <c r="D869" s="731"/>
      <c r="E869" s="390" t="s">
        <v>184</v>
      </c>
      <c r="F869" s="391">
        <v>46</v>
      </c>
      <c r="G869" s="392">
        <v>8</v>
      </c>
      <c r="H869" s="393">
        <v>12.5</v>
      </c>
      <c r="I869" s="394">
        <v>1.02</v>
      </c>
      <c r="J869" s="395">
        <f t="shared" si="94"/>
        <v>8.16</v>
      </c>
      <c r="K869" s="221">
        <f t="shared" si="95"/>
        <v>0</v>
      </c>
      <c r="L869" s="222">
        <f t="shared" si="96"/>
        <v>0</v>
      </c>
      <c r="M869" s="222">
        <f t="shared" si="97"/>
        <v>0</v>
      </c>
      <c r="N869" s="222">
        <f t="shared" si="98"/>
        <v>0</v>
      </c>
      <c r="O869" s="222">
        <f t="shared" si="99"/>
        <v>7.8580800000000002</v>
      </c>
      <c r="P869" s="222">
        <f t="shared" si="100"/>
        <v>0</v>
      </c>
      <c r="Q869" s="564">
        <f t="shared" si="101"/>
        <v>0</v>
      </c>
      <c r="R869" s="539"/>
      <c r="T869" s="82"/>
      <c r="U869" s="82"/>
      <c r="V869" s="82"/>
      <c r="W869" s="82"/>
      <c r="X869" s="82"/>
      <c r="Y869" s="82"/>
      <c r="Z869" s="82"/>
      <c r="AA869" s="82"/>
      <c r="AB869" s="82"/>
    </row>
    <row r="870" spans="1:28" s="85" customFormat="1" ht="13.8" thickTop="1" x14ac:dyDescent="0.25">
      <c r="A870" s="82"/>
      <c r="B870" s="82"/>
      <c r="C870" s="82"/>
      <c r="D870" s="728" t="s">
        <v>1578</v>
      </c>
      <c r="E870" s="384" t="s">
        <v>49</v>
      </c>
      <c r="F870" s="385">
        <v>7</v>
      </c>
      <c r="G870" s="386">
        <v>24</v>
      </c>
      <c r="H870" s="387">
        <v>5</v>
      </c>
      <c r="I870" s="388">
        <v>0.33</v>
      </c>
      <c r="J870" s="389">
        <f t="shared" si="94"/>
        <v>7.92</v>
      </c>
      <c r="K870" s="218">
        <f t="shared" si="95"/>
        <v>1.2196799999999999</v>
      </c>
      <c r="L870" s="219">
        <f t="shared" si="96"/>
        <v>0</v>
      </c>
      <c r="M870" s="219">
        <f t="shared" si="97"/>
        <v>0</v>
      </c>
      <c r="N870" s="219">
        <f t="shared" si="98"/>
        <v>0</v>
      </c>
      <c r="O870" s="219">
        <f t="shared" si="99"/>
        <v>0</v>
      </c>
      <c r="P870" s="219">
        <f t="shared" si="100"/>
        <v>0</v>
      </c>
      <c r="Q870" s="563">
        <f t="shared" si="101"/>
        <v>0</v>
      </c>
      <c r="R870" s="220"/>
      <c r="T870" s="82"/>
      <c r="U870" s="82"/>
      <c r="V870" s="82"/>
      <c r="W870" s="82"/>
      <c r="X870" s="82"/>
      <c r="Y870" s="82"/>
      <c r="Z870" s="82"/>
      <c r="AA870" s="82"/>
      <c r="AB870" s="82"/>
    </row>
    <row r="871" spans="1:28" s="85" customFormat="1" x14ac:dyDescent="0.25">
      <c r="A871" s="82"/>
      <c r="B871" s="82"/>
      <c r="C871" s="82"/>
      <c r="D871" s="729"/>
      <c r="E871" s="371" t="s">
        <v>49</v>
      </c>
      <c r="F871" s="372">
        <v>8</v>
      </c>
      <c r="G871" s="373">
        <v>4</v>
      </c>
      <c r="H871" s="374">
        <v>5</v>
      </c>
      <c r="I871" s="375">
        <v>1.37</v>
      </c>
      <c r="J871" s="376">
        <f t="shared" si="94"/>
        <v>5.48</v>
      </c>
      <c r="K871" s="66">
        <f t="shared" si="95"/>
        <v>0.84392</v>
      </c>
      <c r="L871" s="63">
        <f t="shared" si="96"/>
        <v>0</v>
      </c>
      <c r="M871" s="63">
        <f t="shared" si="97"/>
        <v>0</v>
      </c>
      <c r="N871" s="63">
        <f t="shared" si="98"/>
        <v>0</v>
      </c>
      <c r="O871" s="63">
        <f t="shared" si="99"/>
        <v>0</v>
      </c>
      <c r="P871" s="63">
        <f t="shared" si="100"/>
        <v>0</v>
      </c>
      <c r="Q871" s="561">
        <f t="shared" si="101"/>
        <v>0</v>
      </c>
      <c r="R871" s="174"/>
      <c r="T871" s="82"/>
      <c r="U871" s="82"/>
      <c r="V871" s="82"/>
      <c r="W871" s="82"/>
      <c r="X871" s="82"/>
      <c r="Y871" s="82"/>
      <c r="Z871" s="82"/>
      <c r="AA871" s="82"/>
      <c r="AB871" s="82"/>
    </row>
    <row r="872" spans="1:28" s="85" customFormat="1" x14ac:dyDescent="0.25">
      <c r="A872" s="82"/>
      <c r="B872" s="82"/>
      <c r="C872" s="82"/>
      <c r="D872" s="729"/>
      <c r="E872" s="371" t="s">
        <v>49</v>
      </c>
      <c r="F872" s="372">
        <v>9</v>
      </c>
      <c r="G872" s="373">
        <v>8</v>
      </c>
      <c r="H872" s="374">
        <v>5</v>
      </c>
      <c r="I872" s="375">
        <v>0.94</v>
      </c>
      <c r="J872" s="376">
        <f t="shared" si="94"/>
        <v>7.52</v>
      </c>
      <c r="K872" s="66">
        <f t="shared" si="95"/>
        <v>1.15808</v>
      </c>
      <c r="L872" s="63">
        <f t="shared" si="96"/>
        <v>0</v>
      </c>
      <c r="M872" s="63">
        <f t="shared" si="97"/>
        <v>0</v>
      </c>
      <c r="N872" s="63">
        <f t="shared" si="98"/>
        <v>0</v>
      </c>
      <c r="O872" s="63">
        <f t="shared" si="99"/>
        <v>0</v>
      </c>
      <c r="P872" s="63">
        <f t="shared" si="100"/>
        <v>0</v>
      </c>
      <c r="Q872" s="561">
        <f t="shared" si="101"/>
        <v>0</v>
      </c>
      <c r="R872" s="174"/>
      <c r="T872" s="82"/>
      <c r="U872" s="82"/>
      <c r="V872" s="82"/>
      <c r="W872" s="82"/>
      <c r="X872" s="82"/>
      <c r="Y872" s="82"/>
      <c r="Z872" s="82"/>
      <c r="AA872" s="82"/>
      <c r="AB872" s="82"/>
    </row>
    <row r="873" spans="1:28" s="85" customFormat="1" x14ac:dyDescent="0.25">
      <c r="A873" s="82"/>
      <c r="B873" s="82"/>
      <c r="C873" s="82"/>
      <c r="D873" s="729"/>
      <c r="E873" s="371" t="s">
        <v>49</v>
      </c>
      <c r="F873" s="372">
        <v>21</v>
      </c>
      <c r="G873" s="373">
        <v>10</v>
      </c>
      <c r="H873" s="374">
        <v>20</v>
      </c>
      <c r="I873" s="375">
        <v>1.67</v>
      </c>
      <c r="J873" s="376">
        <f t="shared" si="94"/>
        <v>16.7</v>
      </c>
      <c r="K873" s="66">
        <f t="shared" si="95"/>
        <v>0</v>
      </c>
      <c r="L873" s="63">
        <f t="shared" si="96"/>
        <v>0</v>
      </c>
      <c r="M873" s="63">
        <f t="shared" si="97"/>
        <v>0</v>
      </c>
      <c r="N873" s="63">
        <f t="shared" si="98"/>
        <v>0</v>
      </c>
      <c r="O873" s="63">
        <f t="shared" si="99"/>
        <v>0</v>
      </c>
      <c r="P873" s="63">
        <f t="shared" si="100"/>
        <v>0</v>
      </c>
      <c r="Q873" s="561">
        <f t="shared" si="101"/>
        <v>41.182200000000002</v>
      </c>
      <c r="R873" s="174"/>
      <c r="T873" s="82"/>
      <c r="U873" s="82"/>
      <c r="V873" s="82"/>
      <c r="W873" s="82"/>
      <c r="X873" s="82"/>
      <c r="Y873" s="82"/>
      <c r="Z873" s="82"/>
      <c r="AA873" s="82"/>
      <c r="AB873" s="82"/>
    </row>
    <row r="874" spans="1:28" s="85" customFormat="1" x14ac:dyDescent="0.25">
      <c r="A874" s="82"/>
      <c r="B874" s="82"/>
      <c r="C874" s="82"/>
      <c r="D874" s="729"/>
      <c r="E874" s="371" t="s">
        <v>113</v>
      </c>
      <c r="F874" s="372">
        <v>7</v>
      </c>
      <c r="G874" s="373">
        <v>81</v>
      </c>
      <c r="H874" s="374">
        <v>5</v>
      </c>
      <c r="I874" s="375">
        <v>0.33</v>
      </c>
      <c r="J874" s="376">
        <f t="shared" si="94"/>
        <v>26.73</v>
      </c>
      <c r="K874" s="66">
        <f t="shared" ref="K874:K926" si="102">IF($H874=5,$J874*$B$21,0)</f>
        <v>4.1164199999999997</v>
      </c>
      <c r="L874" s="63">
        <f t="shared" ref="L874:L926" si="103">IF($H874=6.3,$J874*$B$22,0)</f>
        <v>0</v>
      </c>
      <c r="M874" s="63">
        <f t="shared" ref="M874:M926" si="104">IF($H874=8,$J874*$B$23,0)</f>
        <v>0</v>
      </c>
      <c r="N874" s="63">
        <f t="shared" ref="N874:N926" si="105">IF($H874=10,$J874*$B$24,0)</f>
        <v>0</v>
      </c>
      <c r="O874" s="63">
        <f t="shared" ref="O874:O926" si="106">IF($H874=12.5,$J874*$B$26,0)</f>
        <v>0</v>
      </c>
      <c r="P874" s="63">
        <f t="shared" ref="P874:P926" si="107">IF($H874=16,$J874*$B$27,0)</f>
        <v>0</v>
      </c>
      <c r="Q874" s="561">
        <f t="shared" si="101"/>
        <v>0</v>
      </c>
      <c r="R874" s="174"/>
      <c r="T874" s="82"/>
      <c r="U874" s="82"/>
      <c r="V874" s="82"/>
      <c r="W874" s="82"/>
      <c r="X874" s="82"/>
      <c r="Y874" s="82"/>
      <c r="Z874" s="82"/>
      <c r="AA874" s="82"/>
      <c r="AB874" s="82"/>
    </row>
    <row r="875" spans="1:28" s="85" customFormat="1" x14ac:dyDescent="0.25">
      <c r="A875" s="82"/>
      <c r="B875" s="82"/>
      <c r="C875" s="82"/>
      <c r="D875" s="729"/>
      <c r="E875" s="371" t="s">
        <v>113</v>
      </c>
      <c r="F875" s="372">
        <v>8</v>
      </c>
      <c r="G875" s="373">
        <v>23</v>
      </c>
      <c r="H875" s="374">
        <v>5</v>
      </c>
      <c r="I875" s="375">
        <v>1.37</v>
      </c>
      <c r="J875" s="376">
        <f t="shared" si="94"/>
        <v>31.51</v>
      </c>
      <c r="K875" s="66">
        <f t="shared" si="102"/>
        <v>4.8525400000000003</v>
      </c>
      <c r="L875" s="63">
        <f t="shared" si="103"/>
        <v>0</v>
      </c>
      <c r="M875" s="63">
        <f t="shared" si="104"/>
        <v>0</v>
      </c>
      <c r="N875" s="63">
        <f t="shared" si="105"/>
        <v>0</v>
      </c>
      <c r="O875" s="63">
        <f t="shared" si="106"/>
        <v>0</v>
      </c>
      <c r="P875" s="63">
        <f t="shared" si="107"/>
        <v>0</v>
      </c>
      <c r="Q875" s="561">
        <f t="shared" si="101"/>
        <v>0</v>
      </c>
      <c r="R875" s="174"/>
      <c r="T875" s="82"/>
      <c r="U875" s="82"/>
      <c r="V875" s="82"/>
      <c r="W875" s="82"/>
      <c r="X875" s="82"/>
      <c r="Y875" s="82"/>
      <c r="Z875" s="82"/>
      <c r="AA875" s="82"/>
      <c r="AB875" s="82"/>
    </row>
    <row r="876" spans="1:28" s="85" customFormat="1" x14ac:dyDescent="0.25">
      <c r="A876" s="82"/>
      <c r="B876" s="82"/>
      <c r="C876" s="82"/>
      <c r="D876" s="729"/>
      <c r="E876" s="371" t="s">
        <v>113</v>
      </c>
      <c r="F876" s="372">
        <v>9</v>
      </c>
      <c r="G876" s="373">
        <v>8</v>
      </c>
      <c r="H876" s="374">
        <v>5</v>
      </c>
      <c r="I876" s="375">
        <v>0.94</v>
      </c>
      <c r="J876" s="376">
        <f t="shared" si="94"/>
        <v>7.52</v>
      </c>
      <c r="K876" s="66">
        <f t="shared" si="102"/>
        <v>1.15808</v>
      </c>
      <c r="L876" s="63">
        <f t="shared" si="103"/>
        <v>0</v>
      </c>
      <c r="M876" s="63">
        <f t="shared" si="104"/>
        <v>0</v>
      </c>
      <c r="N876" s="63">
        <f t="shared" si="105"/>
        <v>0</v>
      </c>
      <c r="O876" s="63">
        <f t="shared" si="106"/>
        <v>0</v>
      </c>
      <c r="P876" s="63">
        <f t="shared" si="107"/>
        <v>0</v>
      </c>
      <c r="Q876" s="561">
        <f t="shared" si="101"/>
        <v>0</v>
      </c>
      <c r="R876" s="174"/>
      <c r="T876" s="82"/>
      <c r="U876" s="82"/>
      <c r="V876" s="82"/>
      <c r="W876" s="82"/>
      <c r="X876" s="82"/>
      <c r="Y876" s="82"/>
      <c r="Z876" s="82"/>
      <c r="AA876" s="82"/>
      <c r="AB876" s="82"/>
    </row>
    <row r="877" spans="1:28" s="85" customFormat="1" x14ac:dyDescent="0.25">
      <c r="A877" s="82"/>
      <c r="B877" s="82"/>
      <c r="C877" s="82"/>
      <c r="D877" s="729"/>
      <c r="E877" s="371" t="s">
        <v>113</v>
      </c>
      <c r="F877" s="372">
        <v>25</v>
      </c>
      <c r="G877" s="373">
        <v>10</v>
      </c>
      <c r="H877" s="374">
        <v>20</v>
      </c>
      <c r="I877" s="375">
        <v>4.12</v>
      </c>
      <c r="J877" s="376">
        <f t="shared" si="94"/>
        <v>41.2</v>
      </c>
      <c r="K877" s="66">
        <f t="shared" si="102"/>
        <v>0</v>
      </c>
      <c r="L877" s="63">
        <f t="shared" si="103"/>
        <v>0</v>
      </c>
      <c r="M877" s="63">
        <f t="shared" si="104"/>
        <v>0</v>
      </c>
      <c r="N877" s="63">
        <f t="shared" si="105"/>
        <v>0</v>
      </c>
      <c r="O877" s="63">
        <f t="shared" si="106"/>
        <v>0</v>
      </c>
      <c r="P877" s="63">
        <f t="shared" si="107"/>
        <v>0</v>
      </c>
      <c r="Q877" s="561">
        <f t="shared" si="101"/>
        <v>101.59920000000001</v>
      </c>
      <c r="R877" s="174"/>
      <c r="T877" s="82"/>
      <c r="U877" s="82"/>
      <c r="V877" s="82"/>
      <c r="W877" s="82"/>
      <c r="X877" s="82"/>
      <c r="Y877" s="82"/>
      <c r="Z877" s="82"/>
      <c r="AA877" s="82"/>
      <c r="AB877" s="82"/>
    </row>
    <row r="878" spans="1:28" s="85" customFormat="1" x14ac:dyDescent="0.25">
      <c r="A878" s="82"/>
      <c r="B878" s="82"/>
      <c r="C878" s="82"/>
      <c r="D878" s="729"/>
      <c r="E878" s="396" t="s">
        <v>184</v>
      </c>
      <c r="F878" s="403">
        <v>7</v>
      </c>
      <c r="G878" s="397">
        <v>27</v>
      </c>
      <c r="H878" s="398">
        <v>5</v>
      </c>
      <c r="I878" s="399">
        <v>0.33</v>
      </c>
      <c r="J878" s="400">
        <f t="shared" si="94"/>
        <v>8.91</v>
      </c>
      <c r="K878" s="401">
        <f t="shared" si="102"/>
        <v>1.3721399999999999</v>
      </c>
      <c r="L878" s="196">
        <f t="shared" si="103"/>
        <v>0</v>
      </c>
      <c r="M878" s="196">
        <f t="shared" si="104"/>
        <v>0</v>
      </c>
      <c r="N878" s="196">
        <f t="shared" si="105"/>
        <v>0</v>
      </c>
      <c r="O878" s="196">
        <f t="shared" si="106"/>
        <v>0</v>
      </c>
      <c r="P878" s="196">
        <f t="shared" si="107"/>
        <v>0</v>
      </c>
      <c r="Q878" s="566">
        <f t="shared" si="101"/>
        <v>0</v>
      </c>
      <c r="R878" s="538"/>
      <c r="T878" s="82"/>
      <c r="U878" s="82"/>
      <c r="V878" s="82"/>
      <c r="W878" s="82"/>
      <c r="X878" s="82"/>
      <c r="Y878" s="82"/>
      <c r="Z878" s="82"/>
      <c r="AA878" s="82"/>
      <c r="AB878" s="82"/>
    </row>
    <row r="879" spans="1:28" s="85" customFormat="1" x14ac:dyDescent="0.25">
      <c r="A879" s="82"/>
      <c r="B879" s="82"/>
      <c r="C879" s="82"/>
      <c r="D879" s="729"/>
      <c r="E879" s="371" t="s">
        <v>184</v>
      </c>
      <c r="F879" s="372">
        <v>8</v>
      </c>
      <c r="G879" s="373">
        <v>7</v>
      </c>
      <c r="H879" s="374">
        <v>5</v>
      </c>
      <c r="I879" s="375">
        <v>1.37</v>
      </c>
      <c r="J879" s="376">
        <f t="shared" si="94"/>
        <v>9.59</v>
      </c>
      <c r="K879" s="66">
        <f t="shared" si="102"/>
        <v>1.4768600000000001</v>
      </c>
      <c r="L879" s="63">
        <f t="shared" si="103"/>
        <v>0</v>
      </c>
      <c r="M879" s="63">
        <f t="shared" si="104"/>
        <v>0</v>
      </c>
      <c r="N879" s="63">
        <f t="shared" si="105"/>
        <v>0</v>
      </c>
      <c r="O879" s="63">
        <f t="shared" si="106"/>
        <v>0</v>
      </c>
      <c r="P879" s="63">
        <f t="shared" si="107"/>
        <v>0</v>
      </c>
      <c r="Q879" s="562">
        <f t="shared" si="101"/>
        <v>0</v>
      </c>
      <c r="R879" s="377"/>
      <c r="T879" s="82"/>
      <c r="U879" s="82"/>
      <c r="V879" s="82"/>
      <c r="W879" s="82"/>
      <c r="X879" s="82"/>
      <c r="Y879" s="82"/>
      <c r="Z879" s="82"/>
      <c r="AA879" s="82"/>
      <c r="AB879" s="82"/>
    </row>
    <row r="880" spans="1:28" s="85" customFormat="1" x14ac:dyDescent="0.25">
      <c r="A880" s="82"/>
      <c r="B880" s="82"/>
      <c r="C880" s="82"/>
      <c r="D880" s="729"/>
      <c r="E880" s="371" t="s">
        <v>184</v>
      </c>
      <c r="F880" s="372">
        <v>9</v>
      </c>
      <c r="G880" s="373">
        <v>4</v>
      </c>
      <c r="H880" s="374">
        <v>5</v>
      </c>
      <c r="I880" s="375">
        <v>0.94</v>
      </c>
      <c r="J880" s="376">
        <f t="shared" si="94"/>
        <v>3.76</v>
      </c>
      <c r="K880" s="66">
        <f t="shared" si="102"/>
        <v>0.57904</v>
      </c>
      <c r="L880" s="63">
        <f t="shared" si="103"/>
        <v>0</v>
      </c>
      <c r="M880" s="63">
        <f t="shared" si="104"/>
        <v>0</v>
      </c>
      <c r="N880" s="63">
        <f t="shared" si="105"/>
        <v>0</v>
      </c>
      <c r="O880" s="63">
        <f t="shared" si="106"/>
        <v>0</v>
      </c>
      <c r="P880" s="63">
        <f t="shared" si="107"/>
        <v>0</v>
      </c>
      <c r="Q880" s="562">
        <f t="shared" si="101"/>
        <v>0</v>
      </c>
      <c r="R880" s="377"/>
      <c r="T880" s="82"/>
      <c r="U880" s="82"/>
      <c r="V880" s="82"/>
      <c r="W880" s="82"/>
      <c r="X880" s="82"/>
      <c r="Y880" s="82"/>
      <c r="Z880" s="82"/>
      <c r="AA880" s="82"/>
      <c r="AB880" s="82"/>
    </row>
    <row r="881" spans="1:28" s="85" customFormat="1" ht="13.8" thickBot="1" x14ac:dyDescent="0.3">
      <c r="A881" s="82"/>
      <c r="B881" s="82"/>
      <c r="C881" s="82"/>
      <c r="D881" s="731"/>
      <c r="E881" s="390" t="s">
        <v>184</v>
      </c>
      <c r="F881" s="391">
        <v>48</v>
      </c>
      <c r="G881" s="392">
        <v>10</v>
      </c>
      <c r="H881" s="393">
        <v>20</v>
      </c>
      <c r="I881" s="394">
        <v>1.02</v>
      </c>
      <c r="J881" s="395">
        <f t="shared" si="94"/>
        <v>10.199999999999999</v>
      </c>
      <c r="K881" s="221">
        <f t="shared" si="102"/>
        <v>0</v>
      </c>
      <c r="L881" s="222">
        <f t="shared" si="103"/>
        <v>0</v>
      </c>
      <c r="M881" s="222">
        <f t="shared" si="104"/>
        <v>0</v>
      </c>
      <c r="N881" s="222">
        <f t="shared" si="105"/>
        <v>0</v>
      </c>
      <c r="O881" s="222">
        <f t="shared" si="106"/>
        <v>0</v>
      </c>
      <c r="P881" s="222">
        <f t="shared" si="107"/>
        <v>0</v>
      </c>
      <c r="Q881" s="564">
        <f t="shared" si="101"/>
        <v>25.153200000000002</v>
      </c>
      <c r="R881" s="539"/>
      <c r="T881" s="82"/>
      <c r="U881" s="82"/>
      <c r="V881" s="82"/>
      <c r="W881" s="82"/>
      <c r="X881" s="82"/>
      <c r="Y881" s="82"/>
      <c r="Z881" s="82"/>
      <c r="AA881" s="82"/>
      <c r="AB881" s="82"/>
    </row>
    <row r="882" spans="1:28" s="85" customFormat="1" ht="13.8" thickTop="1" x14ac:dyDescent="0.25">
      <c r="A882" s="82"/>
      <c r="B882" s="82"/>
      <c r="C882" s="82"/>
      <c r="D882" s="728" t="s">
        <v>1584</v>
      </c>
      <c r="E882" s="384" t="s">
        <v>49</v>
      </c>
      <c r="F882" s="385">
        <v>1</v>
      </c>
      <c r="G882" s="386">
        <v>24</v>
      </c>
      <c r="H882" s="387">
        <v>5</v>
      </c>
      <c r="I882" s="388">
        <v>0.24</v>
      </c>
      <c r="J882" s="389">
        <f t="shared" si="94"/>
        <v>5.76</v>
      </c>
      <c r="K882" s="218">
        <f t="shared" si="102"/>
        <v>0.88703999999999994</v>
      </c>
      <c r="L882" s="219">
        <f t="shared" si="103"/>
        <v>0</v>
      </c>
      <c r="M882" s="219">
        <f t="shared" si="104"/>
        <v>0</v>
      </c>
      <c r="N882" s="219">
        <f t="shared" si="105"/>
        <v>0</v>
      </c>
      <c r="O882" s="219">
        <f t="shared" si="106"/>
        <v>0</v>
      </c>
      <c r="P882" s="219">
        <f t="shared" si="107"/>
        <v>0</v>
      </c>
      <c r="Q882" s="563">
        <f t="shared" si="101"/>
        <v>0</v>
      </c>
      <c r="R882" s="220"/>
      <c r="T882" s="82"/>
      <c r="U882" s="82"/>
      <c r="V882" s="82"/>
      <c r="W882" s="82"/>
      <c r="X882" s="82"/>
      <c r="Y882" s="82"/>
      <c r="Z882" s="82"/>
      <c r="AA882" s="82"/>
      <c r="AB882" s="82"/>
    </row>
    <row r="883" spans="1:28" s="85" customFormat="1" x14ac:dyDescent="0.25">
      <c r="A883" s="82"/>
      <c r="B883" s="82"/>
      <c r="C883" s="82"/>
      <c r="D883" s="729"/>
      <c r="E883" s="371" t="s">
        <v>49</v>
      </c>
      <c r="F883" s="372">
        <v>2</v>
      </c>
      <c r="G883" s="373">
        <v>7</v>
      </c>
      <c r="H883" s="374">
        <v>5</v>
      </c>
      <c r="I883" s="375">
        <v>2.0699999999999998</v>
      </c>
      <c r="J883" s="376">
        <f t="shared" si="94"/>
        <v>14.489999999999998</v>
      </c>
      <c r="K883" s="66">
        <f t="shared" si="102"/>
        <v>2.2314599999999998</v>
      </c>
      <c r="L883" s="63">
        <f t="shared" si="103"/>
        <v>0</v>
      </c>
      <c r="M883" s="63">
        <f t="shared" si="104"/>
        <v>0</v>
      </c>
      <c r="N883" s="63">
        <f t="shared" si="105"/>
        <v>0</v>
      </c>
      <c r="O883" s="63">
        <f t="shared" si="106"/>
        <v>0</v>
      </c>
      <c r="P883" s="63">
        <f t="shared" si="107"/>
        <v>0</v>
      </c>
      <c r="Q883" s="561">
        <f t="shared" si="101"/>
        <v>0</v>
      </c>
      <c r="R883" s="174"/>
      <c r="T883" s="82"/>
      <c r="U883" s="82"/>
      <c r="V883" s="82"/>
      <c r="W883" s="82"/>
      <c r="X883" s="82"/>
      <c r="Y883" s="82"/>
      <c r="Z883" s="82"/>
      <c r="AA883" s="82"/>
      <c r="AB883" s="82"/>
    </row>
    <row r="884" spans="1:28" s="85" customFormat="1" x14ac:dyDescent="0.25">
      <c r="A884" s="82"/>
      <c r="B884" s="82"/>
      <c r="C884" s="82"/>
      <c r="D884" s="729"/>
      <c r="E884" s="371" t="s">
        <v>49</v>
      </c>
      <c r="F884" s="372">
        <v>3</v>
      </c>
      <c r="G884" s="373">
        <v>10</v>
      </c>
      <c r="H884" s="374">
        <v>5</v>
      </c>
      <c r="I884" s="375">
        <v>1.19</v>
      </c>
      <c r="J884" s="376">
        <f t="shared" si="94"/>
        <v>11.899999999999999</v>
      </c>
      <c r="K884" s="66">
        <f t="shared" si="102"/>
        <v>1.8325999999999998</v>
      </c>
      <c r="L884" s="63">
        <f t="shared" si="103"/>
        <v>0</v>
      </c>
      <c r="M884" s="63">
        <f t="shared" si="104"/>
        <v>0</v>
      </c>
      <c r="N884" s="63">
        <f t="shared" si="105"/>
        <v>0</v>
      </c>
      <c r="O884" s="63">
        <f t="shared" si="106"/>
        <v>0</v>
      </c>
      <c r="P884" s="63">
        <f t="shared" si="107"/>
        <v>0</v>
      </c>
      <c r="Q884" s="561">
        <f t="shared" si="101"/>
        <v>0</v>
      </c>
      <c r="R884" s="174"/>
      <c r="T884" s="82"/>
      <c r="U884" s="82"/>
      <c r="V884" s="82"/>
      <c r="W884" s="82"/>
      <c r="X884" s="82"/>
      <c r="Y884" s="82"/>
      <c r="Z884" s="82"/>
      <c r="AA884" s="82"/>
      <c r="AB884" s="82"/>
    </row>
    <row r="885" spans="1:28" s="85" customFormat="1" x14ac:dyDescent="0.25">
      <c r="A885" s="82"/>
      <c r="B885" s="82"/>
      <c r="C885" s="82"/>
      <c r="D885" s="729"/>
      <c r="E885" s="371" t="s">
        <v>49</v>
      </c>
      <c r="F885" s="372">
        <v>15</v>
      </c>
      <c r="G885" s="373">
        <v>8</v>
      </c>
      <c r="H885" s="374">
        <v>16</v>
      </c>
      <c r="I885" s="375">
        <v>1.6</v>
      </c>
      <c r="J885" s="376">
        <f t="shared" si="94"/>
        <v>12.8</v>
      </c>
      <c r="K885" s="66">
        <f t="shared" si="102"/>
        <v>0</v>
      </c>
      <c r="L885" s="63">
        <f t="shared" si="103"/>
        <v>0</v>
      </c>
      <c r="M885" s="63">
        <f t="shared" si="104"/>
        <v>0</v>
      </c>
      <c r="N885" s="63">
        <f t="shared" si="105"/>
        <v>0</v>
      </c>
      <c r="O885" s="63">
        <f t="shared" si="106"/>
        <v>0</v>
      </c>
      <c r="P885" s="63">
        <f t="shared" si="107"/>
        <v>20.198400000000003</v>
      </c>
      <c r="Q885" s="561">
        <f t="shared" si="101"/>
        <v>0</v>
      </c>
      <c r="R885" s="174"/>
      <c r="T885" s="82"/>
      <c r="U885" s="82"/>
      <c r="V885" s="82"/>
      <c r="W885" s="82"/>
      <c r="X885" s="82"/>
      <c r="Y885" s="82"/>
      <c r="Z885" s="82"/>
      <c r="AA885" s="82"/>
      <c r="AB885" s="82"/>
    </row>
    <row r="886" spans="1:28" s="85" customFormat="1" x14ac:dyDescent="0.25">
      <c r="A886" s="82"/>
      <c r="B886" s="82"/>
      <c r="C886" s="82"/>
      <c r="D886" s="729"/>
      <c r="E886" s="371" t="s">
        <v>113</v>
      </c>
      <c r="F886" s="372">
        <v>14</v>
      </c>
      <c r="G886" s="373">
        <v>88</v>
      </c>
      <c r="H886" s="374">
        <v>5</v>
      </c>
      <c r="I886" s="375">
        <v>0.24</v>
      </c>
      <c r="J886" s="376">
        <f t="shared" si="94"/>
        <v>21.119999999999997</v>
      </c>
      <c r="K886" s="66">
        <f t="shared" si="102"/>
        <v>3.2524799999999994</v>
      </c>
      <c r="L886" s="63">
        <f t="shared" si="103"/>
        <v>0</v>
      </c>
      <c r="M886" s="63">
        <f t="shared" si="104"/>
        <v>0</v>
      </c>
      <c r="N886" s="63">
        <f t="shared" si="105"/>
        <v>0</v>
      </c>
      <c r="O886" s="63">
        <f t="shared" si="106"/>
        <v>0</v>
      </c>
      <c r="P886" s="63">
        <f t="shared" si="107"/>
        <v>0</v>
      </c>
      <c r="Q886" s="561">
        <f t="shared" si="101"/>
        <v>0</v>
      </c>
      <c r="R886" s="174"/>
      <c r="T886" s="82"/>
      <c r="U886" s="82"/>
      <c r="V886" s="82"/>
      <c r="W886" s="82"/>
      <c r="X886" s="82"/>
      <c r="Y886" s="82"/>
      <c r="Z886" s="82"/>
      <c r="AA886" s="82"/>
      <c r="AB886" s="82"/>
    </row>
    <row r="887" spans="1:28" s="85" customFormat="1" x14ac:dyDescent="0.25">
      <c r="A887" s="82"/>
      <c r="B887" s="82"/>
      <c r="C887" s="82"/>
      <c r="D887" s="729"/>
      <c r="E887" s="371" t="s">
        <v>113</v>
      </c>
      <c r="F887" s="372">
        <v>15</v>
      </c>
      <c r="G887" s="373">
        <v>37</v>
      </c>
      <c r="H887" s="374">
        <v>5</v>
      </c>
      <c r="I887" s="375">
        <v>2.0699999999999998</v>
      </c>
      <c r="J887" s="376">
        <f t="shared" si="94"/>
        <v>76.589999999999989</v>
      </c>
      <c r="K887" s="66">
        <f t="shared" si="102"/>
        <v>11.794859999999998</v>
      </c>
      <c r="L887" s="63">
        <f t="shared" si="103"/>
        <v>0</v>
      </c>
      <c r="M887" s="63">
        <f t="shared" si="104"/>
        <v>0</v>
      </c>
      <c r="N887" s="63">
        <f t="shared" si="105"/>
        <v>0</v>
      </c>
      <c r="O887" s="63">
        <f t="shared" si="106"/>
        <v>0</v>
      </c>
      <c r="P887" s="63">
        <f t="shared" si="107"/>
        <v>0</v>
      </c>
      <c r="Q887" s="561">
        <f t="shared" si="101"/>
        <v>0</v>
      </c>
      <c r="R887" s="174"/>
      <c r="T887" s="82"/>
      <c r="U887" s="82"/>
      <c r="V887" s="82"/>
      <c r="W887" s="82"/>
      <c r="X887" s="82"/>
      <c r="Y887" s="82"/>
      <c r="Z887" s="82"/>
      <c r="AA887" s="82"/>
      <c r="AB887" s="82"/>
    </row>
    <row r="888" spans="1:28" s="85" customFormat="1" x14ac:dyDescent="0.25">
      <c r="A888" s="82"/>
      <c r="B888" s="82"/>
      <c r="C888" s="82"/>
      <c r="D888" s="729"/>
      <c r="E888" s="371" t="s">
        <v>113</v>
      </c>
      <c r="F888" s="372">
        <v>16</v>
      </c>
      <c r="G888" s="373">
        <v>14</v>
      </c>
      <c r="H888" s="374">
        <v>5</v>
      </c>
      <c r="I888" s="375">
        <v>1.19</v>
      </c>
      <c r="J888" s="376">
        <f t="shared" si="94"/>
        <v>16.66</v>
      </c>
      <c r="K888" s="66">
        <f t="shared" si="102"/>
        <v>2.5656400000000001</v>
      </c>
      <c r="L888" s="63">
        <f t="shared" si="103"/>
        <v>0</v>
      </c>
      <c r="M888" s="63">
        <f t="shared" si="104"/>
        <v>0</v>
      </c>
      <c r="N888" s="63">
        <f t="shared" si="105"/>
        <v>0</v>
      </c>
      <c r="O888" s="63">
        <f t="shared" si="106"/>
        <v>0</v>
      </c>
      <c r="P888" s="63">
        <f t="shared" si="107"/>
        <v>0</v>
      </c>
      <c r="Q888" s="561">
        <f t="shared" si="101"/>
        <v>0</v>
      </c>
      <c r="R888" s="174"/>
      <c r="T888" s="82"/>
      <c r="U888" s="82"/>
      <c r="V888" s="82"/>
      <c r="W888" s="82"/>
      <c r="X888" s="82"/>
      <c r="Y888" s="82"/>
      <c r="Z888" s="82"/>
      <c r="AA888" s="82"/>
      <c r="AB888" s="82"/>
    </row>
    <row r="889" spans="1:28" s="85" customFormat="1" x14ac:dyDescent="0.25">
      <c r="A889" s="82"/>
      <c r="B889" s="82"/>
      <c r="C889" s="82"/>
      <c r="D889" s="729"/>
      <c r="E889" s="371" t="s">
        <v>113</v>
      </c>
      <c r="F889" s="372">
        <v>25</v>
      </c>
      <c r="G889" s="373">
        <v>8</v>
      </c>
      <c r="H889" s="374">
        <v>16</v>
      </c>
      <c r="I889" s="375">
        <v>3.98</v>
      </c>
      <c r="J889" s="376">
        <f t="shared" si="94"/>
        <v>31.84</v>
      </c>
      <c r="K889" s="66">
        <f t="shared" si="102"/>
        <v>0</v>
      </c>
      <c r="L889" s="63">
        <f t="shared" si="103"/>
        <v>0</v>
      </c>
      <c r="M889" s="63">
        <f t="shared" si="104"/>
        <v>0</v>
      </c>
      <c r="N889" s="63">
        <f t="shared" si="105"/>
        <v>0</v>
      </c>
      <c r="O889" s="63">
        <f t="shared" si="106"/>
        <v>0</v>
      </c>
      <c r="P889" s="63">
        <f t="shared" si="107"/>
        <v>50.243520000000004</v>
      </c>
      <c r="Q889" s="561">
        <f t="shared" si="101"/>
        <v>0</v>
      </c>
      <c r="R889" s="174"/>
      <c r="T889" s="82"/>
      <c r="U889" s="82"/>
      <c r="V889" s="82"/>
      <c r="W889" s="82"/>
      <c r="X889" s="82"/>
      <c r="Y889" s="82"/>
      <c r="Z889" s="82"/>
      <c r="AA889" s="82"/>
      <c r="AB889" s="82"/>
    </row>
    <row r="890" spans="1:28" s="85" customFormat="1" x14ac:dyDescent="0.25">
      <c r="A890" s="82"/>
      <c r="B890" s="82"/>
      <c r="C890" s="82"/>
      <c r="D890" s="729"/>
      <c r="E890" s="396" t="s">
        <v>184</v>
      </c>
      <c r="F890" s="403">
        <v>14</v>
      </c>
      <c r="G890" s="397">
        <v>28</v>
      </c>
      <c r="H890" s="398">
        <v>5</v>
      </c>
      <c r="I890" s="399">
        <v>0.24</v>
      </c>
      <c r="J890" s="400">
        <f t="shared" si="94"/>
        <v>6.72</v>
      </c>
      <c r="K890" s="401">
        <f t="shared" si="102"/>
        <v>1.03488</v>
      </c>
      <c r="L890" s="196">
        <f t="shared" si="103"/>
        <v>0</v>
      </c>
      <c r="M890" s="196">
        <f t="shared" si="104"/>
        <v>0</v>
      </c>
      <c r="N890" s="196">
        <f t="shared" si="105"/>
        <v>0</v>
      </c>
      <c r="O890" s="196">
        <f t="shared" si="106"/>
        <v>0</v>
      </c>
      <c r="P890" s="196">
        <f t="shared" si="107"/>
        <v>0</v>
      </c>
      <c r="Q890" s="566">
        <f t="shared" si="101"/>
        <v>0</v>
      </c>
      <c r="R890" s="538"/>
      <c r="T890" s="82"/>
      <c r="U890" s="82"/>
      <c r="V890" s="82"/>
      <c r="W890" s="82"/>
      <c r="X890" s="82"/>
      <c r="Y890" s="82"/>
      <c r="Z890" s="82"/>
      <c r="AA890" s="82"/>
      <c r="AB890" s="82"/>
    </row>
    <row r="891" spans="1:28" s="85" customFormat="1" x14ac:dyDescent="0.25">
      <c r="A891" s="82"/>
      <c r="B891" s="82"/>
      <c r="C891" s="82"/>
      <c r="D891" s="729"/>
      <c r="E891" s="371" t="s">
        <v>184</v>
      </c>
      <c r="F891" s="372">
        <v>15</v>
      </c>
      <c r="G891" s="373">
        <v>12</v>
      </c>
      <c r="H891" s="374">
        <v>5</v>
      </c>
      <c r="I891" s="375">
        <v>2.0699999999999998</v>
      </c>
      <c r="J891" s="376">
        <f t="shared" si="94"/>
        <v>24.839999999999996</v>
      </c>
      <c r="K891" s="66">
        <f t="shared" si="102"/>
        <v>3.8253599999999994</v>
      </c>
      <c r="L891" s="63">
        <f t="shared" si="103"/>
        <v>0</v>
      </c>
      <c r="M891" s="63">
        <f t="shared" si="104"/>
        <v>0</v>
      </c>
      <c r="N891" s="63">
        <f t="shared" si="105"/>
        <v>0</v>
      </c>
      <c r="O891" s="63">
        <f t="shared" si="106"/>
        <v>0</v>
      </c>
      <c r="P891" s="63">
        <f t="shared" si="107"/>
        <v>0</v>
      </c>
      <c r="Q891" s="562">
        <f t="shared" si="101"/>
        <v>0</v>
      </c>
      <c r="R891" s="377"/>
      <c r="T891" s="82"/>
      <c r="U891" s="82"/>
      <c r="V891" s="82"/>
      <c r="W891" s="82"/>
      <c r="X891" s="82"/>
      <c r="Y891" s="82"/>
      <c r="Z891" s="82"/>
      <c r="AA891" s="82"/>
      <c r="AB891" s="82"/>
    </row>
    <row r="892" spans="1:28" s="85" customFormat="1" x14ac:dyDescent="0.25">
      <c r="A892" s="82"/>
      <c r="B892" s="82"/>
      <c r="C892" s="82"/>
      <c r="D892" s="729"/>
      <c r="E892" s="371" t="s">
        <v>184</v>
      </c>
      <c r="F892" s="372">
        <v>16</v>
      </c>
      <c r="G892" s="373">
        <v>4</v>
      </c>
      <c r="H892" s="374">
        <v>5</v>
      </c>
      <c r="I892" s="375">
        <v>1.19</v>
      </c>
      <c r="J892" s="376">
        <f t="shared" si="94"/>
        <v>4.76</v>
      </c>
      <c r="K892" s="66">
        <f t="shared" si="102"/>
        <v>0.73303999999999991</v>
      </c>
      <c r="L892" s="63">
        <f t="shared" si="103"/>
        <v>0</v>
      </c>
      <c r="M892" s="63">
        <f t="shared" si="104"/>
        <v>0</v>
      </c>
      <c r="N892" s="63">
        <f t="shared" si="105"/>
        <v>0</v>
      </c>
      <c r="O892" s="63">
        <f t="shared" si="106"/>
        <v>0</v>
      </c>
      <c r="P892" s="63">
        <f t="shared" si="107"/>
        <v>0</v>
      </c>
      <c r="Q892" s="562">
        <f t="shared" si="101"/>
        <v>0</v>
      </c>
      <c r="R892" s="377"/>
      <c r="T892" s="82"/>
      <c r="U892" s="82"/>
      <c r="V892" s="82"/>
      <c r="W892" s="82"/>
      <c r="X892" s="82"/>
      <c r="Y892" s="82"/>
      <c r="Z892" s="82"/>
      <c r="AA892" s="82"/>
      <c r="AB892" s="82"/>
    </row>
    <row r="893" spans="1:28" s="85" customFormat="1" ht="13.8" thickBot="1" x14ac:dyDescent="0.3">
      <c r="A893" s="82"/>
      <c r="B893" s="82"/>
      <c r="C893" s="82"/>
      <c r="D893" s="731"/>
      <c r="E893" s="390" t="s">
        <v>184</v>
      </c>
      <c r="F893" s="391">
        <v>47</v>
      </c>
      <c r="G893" s="392">
        <v>8</v>
      </c>
      <c r="H893" s="393">
        <v>16</v>
      </c>
      <c r="I893" s="394">
        <v>1.02</v>
      </c>
      <c r="J893" s="395">
        <f t="shared" si="94"/>
        <v>8.16</v>
      </c>
      <c r="K893" s="221">
        <f t="shared" si="102"/>
        <v>0</v>
      </c>
      <c r="L893" s="222">
        <f t="shared" si="103"/>
        <v>0</v>
      </c>
      <c r="M893" s="222">
        <f t="shared" si="104"/>
        <v>0</v>
      </c>
      <c r="N893" s="222">
        <f t="shared" si="105"/>
        <v>0</v>
      </c>
      <c r="O893" s="222">
        <f t="shared" si="106"/>
        <v>0</v>
      </c>
      <c r="P893" s="222">
        <f t="shared" si="107"/>
        <v>12.876480000000001</v>
      </c>
      <c r="Q893" s="564">
        <f t="shared" si="101"/>
        <v>0</v>
      </c>
      <c r="R893" s="539"/>
      <c r="T893" s="82"/>
      <c r="U893" s="82"/>
      <c r="V893" s="82"/>
      <c r="W893" s="82"/>
      <c r="X893" s="82"/>
      <c r="Y893" s="82"/>
      <c r="Z893" s="82"/>
      <c r="AA893" s="82"/>
      <c r="AB893" s="82"/>
    </row>
    <row r="894" spans="1:28" s="85" customFormat="1" ht="13.8" thickTop="1" x14ac:dyDescent="0.25">
      <c r="A894" s="82"/>
      <c r="B894" s="82"/>
      <c r="C894" s="82"/>
      <c r="D894" s="728" t="s">
        <v>1585</v>
      </c>
      <c r="E894" s="384" t="s">
        <v>49</v>
      </c>
      <c r="F894" s="385">
        <v>2</v>
      </c>
      <c r="G894" s="386">
        <f>2*5</f>
        <v>10</v>
      </c>
      <c r="H894" s="387">
        <v>5</v>
      </c>
      <c r="I894" s="388">
        <v>2.0699999999999998</v>
      </c>
      <c r="J894" s="389">
        <f t="shared" si="94"/>
        <v>20.7</v>
      </c>
      <c r="K894" s="218">
        <f t="shared" si="102"/>
        <v>3.1877999999999997</v>
      </c>
      <c r="L894" s="219">
        <f t="shared" si="103"/>
        <v>0</v>
      </c>
      <c r="M894" s="219">
        <f t="shared" si="104"/>
        <v>0</v>
      </c>
      <c r="N894" s="219">
        <f t="shared" si="105"/>
        <v>0</v>
      </c>
      <c r="O894" s="219">
        <f t="shared" si="106"/>
        <v>0</v>
      </c>
      <c r="P894" s="219">
        <f t="shared" si="107"/>
        <v>0</v>
      </c>
      <c r="Q894" s="563">
        <f t="shared" si="101"/>
        <v>0</v>
      </c>
      <c r="R894" s="220"/>
      <c r="T894" s="82"/>
      <c r="U894" s="82"/>
      <c r="V894" s="82"/>
      <c r="W894" s="82"/>
      <c r="X894" s="82"/>
      <c r="Y894" s="82"/>
      <c r="Z894" s="82"/>
      <c r="AA894" s="82"/>
      <c r="AB894" s="82"/>
    </row>
    <row r="895" spans="1:28" s="85" customFormat="1" x14ac:dyDescent="0.25">
      <c r="A895" s="82"/>
      <c r="B895" s="82"/>
      <c r="C895" s="82"/>
      <c r="D895" s="729"/>
      <c r="E895" s="371" t="s">
        <v>49</v>
      </c>
      <c r="F895" s="372">
        <v>3</v>
      </c>
      <c r="G895" s="373">
        <f>2*8</f>
        <v>16</v>
      </c>
      <c r="H895" s="374">
        <v>5</v>
      </c>
      <c r="I895" s="375">
        <v>1.19</v>
      </c>
      <c r="J895" s="376">
        <f t="shared" si="94"/>
        <v>19.04</v>
      </c>
      <c r="K895" s="66">
        <f t="shared" si="102"/>
        <v>2.9321599999999997</v>
      </c>
      <c r="L895" s="63">
        <f t="shared" si="103"/>
        <v>0</v>
      </c>
      <c r="M895" s="63">
        <f t="shared" si="104"/>
        <v>0</v>
      </c>
      <c r="N895" s="63">
        <f t="shared" si="105"/>
        <v>0</v>
      </c>
      <c r="O895" s="63">
        <f t="shared" si="106"/>
        <v>0</v>
      </c>
      <c r="P895" s="63">
        <f t="shared" si="107"/>
        <v>0</v>
      </c>
      <c r="Q895" s="561">
        <f t="shared" si="101"/>
        <v>0</v>
      </c>
      <c r="R895" s="174"/>
      <c r="T895" s="82"/>
      <c r="U895" s="82"/>
      <c r="V895" s="82"/>
      <c r="W895" s="82"/>
      <c r="X895" s="82"/>
      <c r="Y895" s="82"/>
      <c r="Z895" s="82"/>
      <c r="AA895" s="82"/>
      <c r="AB895" s="82"/>
    </row>
    <row r="896" spans="1:28" s="85" customFormat="1" x14ac:dyDescent="0.25">
      <c r="A896" s="82"/>
      <c r="B896" s="82"/>
      <c r="C896" s="82"/>
      <c r="D896" s="729"/>
      <c r="E896" s="371" t="s">
        <v>49</v>
      </c>
      <c r="F896" s="372">
        <v>4</v>
      </c>
      <c r="G896" s="373">
        <f>2*18</f>
        <v>36</v>
      </c>
      <c r="H896" s="374">
        <v>5</v>
      </c>
      <c r="I896" s="375">
        <v>0.24</v>
      </c>
      <c r="J896" s="376">
        <f t="shared" si="94"/>
        <v>8.64</v>
      </c>
      <c r="K896" s="66">
        <f t="shared" si="102"/>
        <v>1.33056</v>
      </c>
      <c r="L896" s="63">
        <f t="shared" si="103"/>
        <v>0</v>
      </c>
      <c r="M896" s="63">
        <f t="shared" si="104"/>
        <v>0</v>
      </c>
      <c r="N896" s="63">
        <f t="shared" si="105"/>
        <v>0</v>
      </c>
      <c r="O896" s="63">
        <f t="shared" si="106"/>
        <v>0</v>
      </c>
      <c r="P896" s="63">
        <f t="shared" si="107"/>
        <v>0</v>
      </c>
      <c r="Q896" s="561">
        <f t="shared" si="101"/>
        <v>0</v>
      </c>
      <c r="R896" s="174"/>
      <c r="T896" s="82"/>
      <c r="U896" s="82"/>
      <c r="V896" s="82"/>
      <c r="W896" s="82"/>
      <c r="X896" s="82"/>
      <c r="Y896" s="82"/>
      <c r="Z896" s="82"/>
      <c r="AA896" s="82"/>
      <c r="AB896" s="82"/>
    </row>
    <row r="897" spans="1:28" s="85" customFormat="1" x14ac:dyDescent="0.25">
      <c r="A897" s="82"/>
      <c r="B897" s="82"/>
      <c r="C897" s="82"/>
      <c r="D897" s="729"/>
      <c r="E897" s="371" t="s">
        <v>49</v>
      </c>
      <c r="F897" s="372">
        <v>14</v>
      </c>
      <c r="G897" s="373">
        <f>2*8</f>
        <v>16</v>
      </c>
      <c r="H897" s="374">
        <v>10</v>
      </c>
      <c r="I897" s="375">
        <v>1.42</v>
      </c>
      <c r="J897" s="376">
        <f t="shared" si="94"/>
        <v>22.72</v>
      </c>
      <c r="K897" s="66">
        <f t="shared" si="102"/>
        <v>0</v>
      </c>
      <c r="L897" s="63">
        <f t="shared" si="103"/>
        <v>0</v>
      </c>
      <c r="M897" s="63">
        <f t="shared" si="104"/>
        <v>0</v>
      </c>
      <c r="N897" s="63">
        <f t="shared" si="105"/>
        <v>14.018239999999999</v>
      </c>
      <c r="O897" s="63">
        <f t="shared" si="106"/>
        <v>0</v>
      </c>
      <c r="P897" s="63">
        <f t="shared" si="107"/>
        <v>0</v>
      </c>
      <c r="Q897" s="561">
        <f t="shared" si="101"/>
        <v>0</v>
      </c>
      <c r="R897" s="174"/>
      <c r="T897" s="82"/>
      <c r="U897" s="82"/>
      <c r="V897" s="82"/>
      <c r="W897" s="82"/>
      <c r="X897" s="82"/>
      <c r="Y897" s="82"/>
      <c r="Z897" s="82"/>
      <c r="AA897" s="82"/>
      <c r="AB897" s="82"/>
    </row>
    <row r="898" spans="1:28" s="85" customFormat="1" x14ac:dyDescent="0.25">
      <c r="A898" s="82"/>
      <c r="B898" s="82"/>
      <c r="C898" s="82"/>
      <c r="D898" s="729"/>
      <c r="E898" s="371" t="s">
        <v>113</v>
      </c>
      <c r="F898" s="372">
        <v>15</v>
      </c>
      <c r="G898" s="373">
        <f>2*25</f>
        <v>50</v>
      </c>
      <c r="H898" s="374">
        <v>5</v>
      </c>
      <c r="I898" s="375">
        <v>2.0699999999999998</v>
      </c>
      <c r="J898" s="376">
        <f t="shared" si="94"/>
        <v>103.49999999999999</v>
      </c>
      <c r="K898" s="66">
        <f t="shared" si="102"/>
        <v>15.938999999999998</v>
      </c>
      <c r="L898" s="63">
        <f t="shared" si="103"/>
        <v>0</v>
      </c>
      <c r="M898" s="63">
        <f t="shared" si="104"/>
        <v>0</v>
      </c>
      <c r="N898" s="63">
        <f t="shared" si="105"/>
        <v>0</v>
      </c>
      <c r="O898" s="63">
        <f t="shared" si="106"/>
        <v>0</v>
      </c>
      <c r="P898" s="63">
        <f t="shared" si="107"/>
        <v>0</v>
      </c>
      <c r="Q898" s="561">
        <f t="shared" si="101"/>
        <v>0</v>
      </c>
      <c r="R898" s="174"/>
      <c r="T898" s="82"/>
      <c r="U898" s="82"/>
      <c r="V898" s="82"/>
      <c r="W898" s="82"/>
      <c r="X898" s="82"/>
      <c r="Y898" s="82"/>
      <c r="Z898" s="82"/>
      <c r="AA898" s="82"/>
      <c r="AB898" s="82"/>
    </row>
    <row r="899" spans="1:28" s="85" customFormat="1" x14ac:dyDescent="0.25">
      <c r="A899" s="82"/>
      <c r="B899" s="82"/>
      <c r="C899" s="82"/>
      <c r="D899" s="729"/>
      <c r="E899" s="371" t="s">
        <v>113</v>
      </c>
      <c r="F899" s="372">
        <v>16</v>
      </c>
      <c r="G899" s="373">
        <f>2*10</f>
        <v>20</v>
      </c>
      <c r="H899" s="374">
        <v>5</v>
      </c>
      <c r="I899" s="375">
        <v>1.19</v>
      </c>
      <c r="J899" s="376">
        <f t="shared" si="94"/>
        <v>23.799999999999997</v>
      </c>
      <c r="K899" s="66">
        <f t="shared" si="102"/>
        <v>3.6651999999999996</v>
      </c>
      <c r="L899" s="63">
        <f t="shared" si="103"/>
        <v>0</v>
      </c>
      <c r="M899" s="63">
        <f t="shared" si="104"/>
        <v>0</v>
      </c>
      <c r="N899" s="63">
        <f t="shared" si="105"/>
        <v>0</v>
      </c>
      <c r="O899" s="63">
        <f t="shared" si="106"/>
        <v>0</v>
      </c>
      <c r="P899" s="63">
        <f t="shared" si="107"/>
        <v>0</v>
      </c>
      <c r="Q899" s="561">
        <f t="shared" si="101"/>
        <v>0</v>
      </c>
      <c r="R899" s="174"/>
      <c r="T899" s="82"/>
      <c r="U899" s="82"/>
      <c r="V899" s="82"/>
      <c r="W899" s="82"/>
      <c r="X899" s="82"/>
      <c r="Y899" s="82"/>
      <c r="Z899" s="82"/>
      <c r="AA899" s="82"/>
      <c r="AB899" s="82"/>
    </row>
    <row r="900" spans="1:28" s="85" customFormat="1" x14ac:dyDescent="0.25">
      <c r="A900" s="82"/>
      <c r="B900" s="82"/>
      <c r="C900" s="82"/>
      <c r="D900" s="729"/>
      <c r="E900" s="371" t="s">
        <v>113</v>
      </c>
      <c r="F900" s="372">
        <v>17</v>
      </c>
      <c r="G900" s="373">
        <f>2*60</f>
        <v>120</v>
      </c>
      <c r="H900" s="374">
        <v>5</v>
      </c>
      <c r="I900" s="375">
        <v>0.24</v>
      </c>
      <c r="J900" s="376">
        <f t="shared" si="94"/>
        <v>28.799999999999997</v>
      </c>
      <c r="K900" s="66">
        <f t="shared" si="102"/>
        <v>4.4351999999999991</v>
      </c>
      <c r="L900" s="63">
        <f t="shared" si="103"/>
        <v>0</v>
      </c>
      <c r="M900" s="63">
        <f t="shared" si="104"/>
        <v>0</v>
      </c>
      <c r="N900" s="63">
        <f t="shared" si="105"/>
        <v>0</v>
      </c>
      <c r="O900" s="63">
        <f t="shared" si="106"/>
        <v>0</v>
      </c>
      <c r="P900" s="63">
        <f t="shared" si="107"/>
        <v>0</v>
      </c>
      <c r="Q900" s="561">
        <f t="shared" si="101"/>
        <v>0</v>
      </c>
      <c r="R900" s="174"/>
      <c r="T900" s="82" t="s">
        <v>1590</v>
      </c>
      <c r="U900" s="82"/>
      <c r="V900" s="82"/>
      <c r="W900" s="82"/>
      <c r="X900" s="82"/>
      <c r="Y900" s="82"/>
      <c r="Z900" s="82"/>
      <c r="AA900" s="82"/>
      <c r="AB900" s="82"/>
    </row>
    <row r="901" spans="1:28" s="85" customFormat="1" x14ac:dyDescent="0.25">
      <c r="A901" s="82"/>
      <c r="B901" s="82"/>
      <c r="C901" s="82"/>
      <c r="D901" s="729"/>
      <c r="E901" s="371" t="s">
        <v>113</v>
      </c>
      <c r="F901" s="372">
        <v>21</v>
      </c>
      <c r="G901" s="373">
        <f>2*4</f>
        <v>8</v>
      </c>
      <c r="H901" s="374">
        <v>10</v>
      </c>
      <c r="I901" s="375">
        <v>3.42</v>
      </c>
      <c r="J901" s="376">
        <f t="shared" si="94"/>
        <v>27.36</v>
      </c>
      <c r="K901" s="66">
        <f t="shared" si="102"/>
        <v>0</v>
      </c>
      <c r="L901" s="63">
        <f t="shared" si="103"/>
        <v>0</v>
      </c>
      <c r="M901" s="63">
        <f t="shared" si="104"/>
        <v>0</v>
      </c>
      <c r="N901" s="63">
        <f t="shared" si="105"/>
        <v>16.881119999999999</v>
      </c>
      <c r="O901" s="63">
        <f t="shared" si="106"/>
        <v>0</v>
      </c>
      <c r="P901" s="63">
        <f t="shared" si="107"/>
        <v>0</v>
      </c>
      <c r="Q901" s="561">
        <f t="shared" si="101"/>
        <v>0</v>
      </c>
      <c r="R901" s="174"/>
      <c r="T901" s="82"/>
      <c r="U901" s="82"/>
      <c r="V901" s="82"/>
      <c r="W901" s="82"/>
      <c r="X901" s="82"/>
      <c r="Y901" s="82"/>
      <c r="Z901" s="82"/>
      <c r="AA901" s="82"/>
      <c r="AB901" s="82"/>
    </row>
    <row r="902" spans="1:28" s="85" customFormat="1" x14ac:dyDescent="0.25">
      <c r="A902" s="82"/>
      <c r="B902" s="82"/>
      <c r="C902" s="82"/>
      <c r="D902" s="729"/>
      <c r="E902" s="371" t="s">
        <v>113</v>
      </c>
      <c r="F902" s="372">
        <v>22</v>
      </c>
      <c r="G902" s="373">
        <f>2*4</f>
        <v>8</v>
      </c>
      <c r="H902" s="374">
        <v>10</v>
      </c>
      <c r="I902" s="375">
        <v>0.67</v>
      </c>
      <c r="J902" s="376">
        <f t="shared" ref="J902" si="108">G902*I902</f>
        <v>5.36</v>
      </c>
      <c r="K902" s="66">
        <f t="shared" si="102"/>
        <v>0</v>
      </c>
      <c r="L902" s="63">
        <f t="shared" si="103"/>
        <v>0</v>
      </c>
      <c r="M902" s="63">
        <f t="shared" si="104"/>
        <v>0</v>
      </c>
      <c r="N902" s="63">
        <f t="shared" si="105"/>
        <v>3.3071200000000003</v>
      </c>
      <c r="O902" s="63">
        <f t="shared" si="106"/>
        <v>0</v>
      </c>
      <c r="P902" s="63">
        <f t="shared" si="107"/>
        <v>0</v>
      </c>
      <c r="Q902" s="561">
        <f t="shared" ref="Q902:Q903" si="109">IF($H902=20,$J902*$B$28,0)</f>
        <v>0</v>
      </c>
      <c r="R902" s="174"/>
      <c r="T902" s="82"/>
      <c r="U902" s="82"/>
      <c r="V902" s="82"/>
      <c r="W902" s="82"/>
      <c r="X902" s="82"/>
      <c r="Y902" s="82"/>
      <c r="Z902" s="82"/>
      <c r="AA902" s="82"/>
      <c r="AB902" s="82"/>
    </row>
    <row r="903" spans="1:28" s="85" customFormat="1" x14ac:dyDescent="0.25">
      <c r="A903" s="82"/>
      <c r="B903" s="82"/>
      <c r="C903" s="82"/>
      <c r="D903" s="729"/>
      <c r="E903" s="371" t="s">
        <v>113</v>
      </c>
      <c r="F903" s="372">
        <v>23</v>
      </c>
      <c r="G903" s="373">
        <f>2*4</f>
        <v>8</v>
      </c>
      <c r="H903" s="374">
        <v>10</v>
      </c>
      <c r="I903" s="375">
        <v>3.78</v>
      </c>
      <c r="J903" s="376">
        <f t="shared" ref="J903:J907" si="110">G903*I903</f>
        <v>30.24</v>
      </c>
      <c r="K903" s="66">
        <f t="shared" si="102"/>
        <v>0</v>
      </c>
      <c r="L903" s="63">
        <f t="shared" si="103"/>
        <v>0</v>
      </c>
      <c r="M903" s="63">
        <f t="shared" si="104"/>
        <v>0</v>
      </c>
      <c r="N903" s="63">
        <f t="shared" si="105"/>
        <v>18.658079999999998</v>
      </c>
      <c r="O903" s="63">
        <f t="shared" si="106"/>
        <v>0</v>
      </c>
      <c r="P903" s="63">
        <f t="shared" si="107"/>
        <v>0</v>
      </c>
      <c r="Q903" s="561">
        <f t="shared" si="109"/>
        <v>0</v>
      </c>
      <c r="R903" s="174"/>
      <c r="T903" s="82"/>
      <c r="U903" s="82"/>
      <c r="V903" s="82"/>
      <c r="W903" s="82"/>
      <c r="X903" s="82"/>
      <c r="Y903" s="82"/>
      <c r="Z903" s="82"/>
      <c r="AA903" s="82"/>
      <c r="AB903" s="82"/>
    </row>
    <row r="904" spans="1:28" s="85" customFormat="1" x14ac:dyDescent="0.25">
      <c r="A904" s="82"/>
      <c r="B904" s="82"/>
      <c r="C904" s="82"/>
      <c r="D904" s="729"/>
      <c r="E904" s="396" t="s">
        <v>184</v>
      </c>
      <c r="F904" s="403">
        <v>5</v>
      </c>
      <c r="G904" s="397">
        <f>2*8</f>
        <v>16</v>
      </c>
      <c r="H904" s="398">
        <v>5</v>
      </c>
      <c r="I904" s="399">
        <v>0.97</v>
      </c>
      <c r="J904" s="400">
        <f t="shared" si="110"/>
        <v>15.52</v>
      </c>
      <c r="K904" s="401">
        <f t="shared" si="102"/>
        <v>2.3900799999999998</v>
      </c>
      <c r="L904" s="196">
        <f t="shared" si="103"/>
        <v>0</v>
      </c>
      <c r="M904" s="196">
        <f t="shared" si="104"/>
        <v>0</v>
      </c>
      <c r="N904" s="196">
        <f t="shared" si="105"/>
        <v>0</v>
      </c>
      <c r="O904" s="196">
        <f t="shared" si="106"/>
        <v>0</v>
      </c>
      <c r="P904" s="196">
        <f t="shared" si="107"/>
        <v>0</v>
      </c>
      <c r="Q904" s="566">
        <f t="shared" si="101"/>
        <v>0</v>
      </c>
      <c r="R904" s="538"/>
      <c r="T904" s="82"/>
      <c r="U904" s="82"/>
      <c r="V904" s="82"/>
      <c r="W904" s="82"/>
      <c r="X904" s="82"/>
      <c r="Y904" s="82"/>
      <c r="Z904" s="82"/>
      <c r="AA904" s="82"/>
      <c r="AB904" s="82"/>
    </row>
    <row r="905" spans="1:28" s="85" customFormat="1" x14ac:dyDescent="0.25">
      <c r="A905" s="82"/>
      <c r="B905" s="82"/>
      <c r="C905" s="82"/>
      <c r="D905" s="729"/>
      <c r="E905" s="371" t="s">
        <v>184</v>
      </c>
      <c r="F905" s="372">
        <v>6</v>
      </c>
      <c r="G905" s="373">
        <f>2*4</f>
        <v>8</v>
      </c>
      <c r="H905" s="374">
        <v>5</v>
      </c>
      <c r="I905" s="375">
        <v>0.64</v>
      </c>
      <c r="J905" s="376">
        <f t="shared" si="110"/>
        <v>5.12</v>
      </c>
      <c r="K905" s="66">
        <f t="shared" si="102"/>
        <v>0.78847999999999996</v>
      </c>
      <c r="L905" s="63">
        <f t="shared" si="103"/>
        <v>0</v>
      </c>
      <c r="M905" s="63">
        <f t="shared" si="104"/>
        <v>0</v>
      </c>
      <c r="N905" s="63">
        <f t="shared" si="105"/>
        <v>0</v>
      </c>
      <c r="O905" s="63">
        <f t="shared" si="106"/>
        <v>0</v>
      </c>
      <c r="P905" s="63">
        <f t="shared" si="107"/>
        <v>0</v>
      </c>
      <c r="Q905" s="562">
        <f t="shared" si="101"/>
        <v>0</v>
      </c>
      <c r="R905" s="377"/>
      <c r="T905" s="82"/>
      <c r="U905" s="82"/>
      <c r="V905" s="82"/>
      <c r="W905" s="82"/>
      <c r="X905" s="82"/>
      <c r="Y905" s="82"/>
      <c r="Z905" s="82"/>
      <c r="AA905" s="82"/>
      <c r="AB905" s="82"/>
    </row>
    <row r="906" spans="1:28" s="85" customFormat="1" x14ac:dyDescent="0.25">
      <c r="A906" s="82"/>
      <c r="B906" s="82"/>
      <c r="C906" s="82"/>
      <c r="D906" s="729"/>
      <c r="E906" s="371" t="s">
        <v>184</v>
      </c>
      <c r="F906" s="372">
        <v>17</v>
      </c>
      <c r="G906" s="373">
        <f>2*20</f>
        <v>40</v>
      </c>
      <c r="H906" s="374">
        <v>5</v>
      </c>
      <c r="I906" s="375">
        <v>0.24</v>
      </c>
      <c r="J906" s="376">
        <f t="shared" si="110"/>
        <v>9.6</v>
      </c>
      <c r="K906" s="66">
        <f t="shared" si="102"/>
        <v>1.4783999999999999</v>
      </c>
      <c r="L906" s="63">
        <f t="shared" si="103"/>
        <v>0</v>
      </c>
      <c r="M906" s="63">
        <f t="shared" si="104"/>
        <v>0</v>
      </c>
      <c r="N906" s="63">
        <f t="shared" si="105"/>
        <v>0</v>
      </c>
      <c r="O906" s="63">
        <f t="shared" si="106"/>
        <v>0</v>
      </c>
      <c r="P906" s="63">
        <f t="shared" si="107"/>
        <v>0</v>
      </c>
      <c r="Q906" s="562">
        <f t="shared" si="101"/>
        <v>0</v>
      </c>
      <c r="R906" s="377"/>
      <c r="T906" s="82"/>
      <c r="U906" s="82"/>
      <c r="V906" s="82"/>
      <c r="W906" s="82"/>
      <c r="X906" s="82"/>
      <c r="Y906" s="82"/>
      <c r="Z906" s="82"/>
      <c r="AA906" s="82"/>
      <c r="AB906" s="82"/>
    </row>
    <row r="907" spans="1:28" s="85" customFormat="1" ht="13.8" thickBot="1" x14ac:dyDescent="0.3">
      <c r="A907" s="82"/>
      <c r="B907" s="82"/>
      <c r="C907" s="82"/>
      <c r="D907" s="731"/>
      <c r="E907" s="390" t="s">
        <v>184</v>
      </c>
      <c r="F907" s="391">
        <v>45</v>
      </c>
      <c r="G907" s="392">
        <f>2*8</f>
        <v>16</v>
      </c>
      <c r="H907" s="393">
        <v>10</v>
      </c>
      <c r="I907" s="394">
        <v>1.02</v>
      </c>
      <c r="J907" s="395">
        <f t="shared" si="110"/>
        <v>16.32</v>
      </c>
      <c r="K907" s="221">
        <f t="shared" si="102"/>
        <v>0</v>
      </c>
      <c r="L907" s="222">
        <f t="shared" si="103"/>
        <v>0</v>
      </c>
      <c r="M907" s="222">
        <f t="shared" si="104"/>
        <v>0</v>
      </c>
      <c r="N907" s="222">
        <f t="shared" si="105"/>
        <v>10.06944</v>
      </c>
      <c r="O907" s="222">
        <f t="shared" si="106"/>
        <v>0</v>
      </c>
      <c r="P907" s="222">
        <f t="shared" si="107"/>
        <v>0</v>
      </c>
      <c r="Q907" s="564">
        <f t="shared" si="101"/>
        <v>0</v>
      </c>
      <c r="R907" s="539"/>
      <c r="T907" s="82"/>
      <c r="U907" s="82"/>
      <c r="V907" s="82"/>
      <c r="W907" s="82"/>
      <c r="X907" s="82"/>
      <c r="Y907" s="82"/>
      <c r="Z907" s="82"/>
      <c r="AA907" s="82"/>
      <c r="AB907" s="82"/>
    </row>
    <row r="908" spans="1:28" s="85" customFormat="1" ht="13.8" thickTop="1" x14ac:dyDescent="0.25">
      <c r="A908" s="82"/>
      <c r="B908" s="82"/>
      <c r="C908" s="82"/>
      <c r="D908" s="728" t="s">
        <v>1589</v>
      </c>
      <c r="E908" s="384" t="s">
        <v>49</v>
      </c>
      <c r="F908" s="385">
        <v>5</v>
      </c>
      <c r="G908" s="386">
        <v>27</v>
      </c>
      <c r="H908" s="387">
        <v>5</v>
      </c>
      <c r="I908" s="388">
        <v>0.33</v>
      </c>
      <c r="J908" s="389">
        <f t="shared" si="94"/>
        <v>8.91</v>
      </c>
      <c r="K908" s="218">
        <f t="shared" si="102"/>
        <v>1.3721399999999999</v>
      </c>
      <c r="L908" s="219">
        <f t="shared" si="103"/>
        <v>0</v>
      </c>
      <c r="M908" s="219">
        <f t="shared" si="104"/>
        <v>0</v>
      </c>
      <c r="N908" s="219">
        <f t="shared" si="105"/>
        <v>0</v>
      </c>
      <c r="O908" s="219">
        <f t="shared" si="106"/>
        <v>0</v>
      </c>
      <c r="P908" s="219">
        <f t="shared" si="107"/>
        <v>0</v>
      </c>
      <c r="Q908" s="563">
        <f t="shared" si="101"/>
        <v>0</v>
      </c>
      <c r="R908" s="220"/>
      <c r="T908" s="82"/>
      <c r="U908" s="82"/>
      <c r="V908" s="82"/>
      <c r="W908" s="82"/>
      <c r="X908" s="82"/>
      <c r="Y908" s="82"/>
      <c r="Z908" s="82"/>
      <c r="AA908" s="82"/>
      <c r="AB908" s="82"/>
    </row>
    <row r="909" spans="1:28" s="85" customFormat="1" x14ac:dyDescent="0.25">
      <c r="A909" s="82"/>
      <c r="B909" s="82"/>
      <c r="C909" s="82"/>
      <c r="D909" s="729"/>
      <c r="E909" s="371" t="s">
        <v>49</v>
      </c>
      <c r="F909" s="372">
        <v>6</v>
      </c>
      <c r="G909" s="373">
        <v>5</v>
      </c>
      <c r="H909" s="374">
        <v>5</v>
      </c>
      <c r="I909" s="375">
        <v>2.27</v>
      </c>
      <c r="J909" s="376">
        <f t="shared" si="94"/>
        <v>11.35</v>
      </c>
      <c r="K909" s="66">
        <f t="shared" si="102"/>
        <v>1.7479</v>
      </c>
      <c r="L909" s="63">
        <f t="shared" si="103"/>
        <v>0</v>
      </c>
      <c r="M909" s="63">
        <f t="shared" si="104"/>
        <v>0</v>
      </c>
      <c r="N909" s="63">
        <f t="shared" si="105"/>
        <v>0</v>
      </c>
      <c r="O909" s="63">
        <f t="shared" si="106"/>
        <v>0</v>
      </c>
      <c r="P909" s="63">
        <f t="shared" si="107"/>
        <v>0</v>
      </c>
      <c r="Q909" s="561">
        <f t="shared" si="101"/>
        <v>0</v>
      </c>
      <c r="R909" s="174"/>
      <c r="T909" s="82"/>
      <c r="U909" s="82"/>
      <c r="V909" s="82"/>
      <c r="W909" s="82"/>
      <c r="X909" s="82"/>
      <c r="Y909" s="82"/>
      <c r="Z909" s="82"/>
      <c r="AA909" s="82"/>
      <c r="AB909" s="82"/>
    </row>
    <row r="910" spans="1:28" s="85" customFormat="1" x14ac:dyDescent="0.25">
      <c r="A910" s="82"/>
      <c r="B910" s="82"/>
      <c r="C910" s="82"/>
      <c r="D910" s="729"/>
      <c r="E910" s="371" t="s">
        <v>49</v>
      </c>
      <c r="F910" s="372">
        <v>7</v>
      </c>
      <c r="G910" s="373">
        <v>8</v>
      </c>
      <c r="H910" s="374">
        <v>5</v>
      </c>
      <c r="I910" s="375">
        <v>1.39</v>
      </c>
      <c r="J910" s="376">
        <f t="shared" si="94"/>
        <v>11.12</v>
      </c>
      <c r="K910" s="66">
        <f t="shared" si="102"/>
        <v>1.7124799999999998</v>
      </c>
      <c r="L910" s="63">
        <f t="shared" si="103"/>
        <v>0</v>
      </c>
      <c r="M910" s="63">
        <f t="shared" si="104"/>
        <v>0</v>
      </c>
      <c r="N910" s="63">
        <f t="shared" si="105"/>
        <v>0</v>
      </c>
      <c r="O910" s="63">
        <f t="shared" si="106"/>
        <v>0</v>
      </c>
      <c r="P910" s="63">
        <f t="shared" si="107"/>
        <v>0</v>
      </c>
      <c r="Q910" s="561">
        <f t="shared" si="101"/>
        <v>0</v>
      </c>
      <c r="R910" s="174"/>
      <c r="T910" s="82"/>
      <c r="U910" s="82"/>
      <c r="V910" s="82">
        <v>2</v>
      </c>
      <c r="W910" s="82"/>
      <c r="X910" s="82"/>
      <c r="Y910" s="82"/>
      <c r="Z910" s="82"/>
      <c r="AA910" s="82"/>
      <c r="AB910" s="82"/>
    </row>
    <row r="911" spans="1:28" s="85" customFormat="1" x14ac:dyDescent="0.25">
      <c r="A911" s="82"/>
      <c r="B911" s="82"/>
      <c r="C911" s="82"/>
      <c r="D911" s="729"/>
      <c r="E911" s="371" t="s">
        <v>49</v>
      </c>
      <c r="F911" s="372">
        <v>16</v>
      </c>
      <c r="G911" s="373">
        <v>10</v>
      </c>
      <c r="H911" s="374">
        <v>20</v>
      </c>
      <c r="I911" s="375">
        <v>1.72</v>
      </c>
      <c r="J911" s="376">
        <f t="shared" si="94"/>
        <v>17.2</v>
      </c>
      <c r="K911" s="66">
        <f t="shared" si="102"/>
        <v>0</v>
      </c>
      <c r="L911" s="63">
        <f t="shared" si="103"/>
        <v>0</v>
      </c>
      <c r="M911" s="63">
        <f t="shared" si="104"/>
        <v>0</v>
      </c>
      <c r="N911" s="63">
        <f t="shared" si="105"/>
        <v>0</v>
      </c>
      <c r="O911" s="63">
        <f t="shared" si="106"/>
        <v>0</v>
      </c>
      <c r="P911" s="63">
        <f t="shared" si="107"/>
        <v>0</v>
      </c>
      <c r="Q911" s="561">
        <f t="shared" si="101"/>
        <v>42.415199999999999</v>
      </c>
      <c r="R911" s="174"/>
      <c r="T911" s="82"/>
      <c r="U911" s="82"/>
      <c r="V911" s="82"/>
      <c r="W911" s="82"/>
      <c r="X911" s="82"/>
      <c r="Y911" s="82"/>
      <c r="Z911" s="82"/>
      <c r="AA911" s="82"/>
      <c r="AB911" s="82"/>
    </row>
    <row r="912" spans="1:28" s="85" customFormat="1" x14ac:dyDescent="0.25">
      <c r="A912" s="82"/>
      <c r="B912" s="82"/>
      <c r="C912" s="82"/>
      <c r="D912" s="729"/>
      <c r="E912" s="371" t="s">
        <v>113</v>
      </c>
      <c r="F912" s="372">
        <v>7</v>
      </c>
      <c r="G912" s="373">
        <v>81</v>
      </c>
      <c r="H912" s="374">
        <v>5</v>
      </c>
      <c r="I912" s="375">
        <v>0.33</v>
      </c>
      <c r="J912" s="376">
        <f t="shared" si="94"/>
        <v>26.73</v>
      </c>
      <c r="K912" s="66">
        <f t="shared" si="102"/>
        <v>4.1164199999999997</v>
      </c>
      <c r="L912" s="63">
        <f t="shared" si="103"/>
        <v>0</v>
      </c>
      <c r="M912" s="63">
        <f t="shared" si="104"/>
        <v>0</v>
      </c>
      <c r="N912" s="63">
        <f t="shared" si="105"/>
        <v>0</v>
      </c>
      <c r="O912" s="63">
        <f t="shared" si="106"/>
        <v>0</v>
      </c>
      <c r="P912" s="63">
        <f t="shared" si="107"/>
        <v>0</v>
      </c>
      <c r="Q912" s="561">
        <f t="shared" si="101"/>
        <v>0</v>
      </c>
      <c r="R912" s="174"/>
      <c r="T912" s="82"/>
      <c r="U912" s="82"/>
      <c r="V912" s="82"/>
      <c r="W912" s="82"/>
      <c r="X912" s="82"/>
      <c r="Y912" s="82"/>
      <c r="Z912" s="82"/>
      <c r="AA912" s="82"/>
      <c r="AB912" s="82"/>
    </row>
    <row r="913" spans="1:28" s="85" customFormat="1" x14ac:dyDescent="0.25">
      <c r="A913" s="82"/>
      <c r="B913" s="82"/>
      <c r="C913" s="82"/>
      <c r="D913" s="729"/>
      <c r="E913" s="371" t="s">
        <v>113</v>
      </c>
      <c r="F913" s="372">
        <v>19</v>
      </c>
      <c r="G913" s="373">
        <v>23</v>
      </c>
      <c r="H913" s="374">
        <v>5</v>
      </c>
      <c r="I913" s="375">
        <v>2.27</v>
      </c>
      <c r="J913" s="376">
        <f t="shared" si="94"/>
        <v>52.21</v>
      </c>
      <c r="K913" s="66">
        <f t="shared" si="102"/>
        <v>8.0403400000000005</v>
      </c>
      <c r="L913" s="63">
        <f t="shared" si="103"/>
        <v>0</v>
      </c>
      <c r="M913" s="63">
        <f t="shared" si="104"/>
        <v>0</v>
      </c>
      <c r="N913" s="63">
        <f t="shared" si="105"/>
        <v>0</v>
      </c>
      <c r="O913" s="63">
        <f t="shared" si="106"/>
        <v>0</v>
      </c>
      <c r="P913" s="63">
        <f t="shared" si="107"/>
        <v>0</v>
      </c>
      <c r="Q913" s="561">
        <f t="shared" si="101"/>
        <v>0</v>
      </c>
      <c r="R913" s="174"/>
      <c r="T913" s="82"/>
      <c r="U913" s="82"/>
      <c r="V913" s="82"/>
      <c r="W913" s="82"/>
      <c r="X913" s="82"/>
      <c r="Y913" s="82"/>
      <c r="Z913" s="82"/>
      <c r="AA913" s="82"/>
      <c r="AB913" s="82"/>
    </row>
    <row r="914" spans="1:28" s="85" customFormat="1" x14ac:dyDescent="0.25">
      <c r="A914" s="82"/>
      <c r="B914" s="82"/>
      <c r="C914" s="82"/>
      <c r="D914" s="729"/>
      <c r="E914" s="371" t="s">
        <v>113</v>
      </c>
      <c r="F914" s="372">
        <v>20</v>
      </c>
      <c r="G914" s="373">
        <v>8</v>
      </c>
      <c r="H914" s="374">
        <v>5</v>
      </c>
      <c r="I914" s="375">
        <v>1.39</v>
      </c>
      <c r="J914" s="376">
        <f t="shared" si="94"/>
        <v>11.12</v>
      </c>
      <c r="K914" s="66">
        <f t="shared" si="102"/>
        <v>1.7124799999999998</v>
      </c>
      <c r="L914" s="63">
        <f t="shared" si="103"/>
        <v>0</v>
      </c>
      <c r="M914" s="63">
        <f t="shared" si="104"/>
        <v>0</v>
      </c>
      <c r="N914" s="63">
        <f t="shared" si="105"/>
        <v>0</v>
      </c>
      <c r="O914" s="63">
        <f t="shared" si="106"/>
        <v>0</v>
      </c>
      <c r="P914" s="63">
        <f t="shared" si="107"/>
        <v>0</v>
      </c>
      <c r="Q914" s="561">
        <f t="shared" si="101"/>
        <v>0</v>
      </c>
      <c r="R914" s="174"/>
      <c r="T914" s="82"/>
      <c r="U914" s="82"/>
      <c r="V914" s="82"/>
      <c r="W914" s="82"/>
      <c r="X914" s="82"/>
      <c r="Y914" s="82"/>
      <c r="Z914" s="82"/>
      <c r="AA914" s="82"/>
      <c r="AB914" s="82"/>
    </row>
    <row r="915" spans="1:28" s="85" customFormat="1" x14ac:dyDescent="0.25">
      <c r="A915" s="82"/>
      <c r="B915" s="82"/>
      <c r="C915" s="82"/>
      <c r="D915" s="729"/>
      <c r="E915" s="371" t="s">
        <v>113</v>
      </c>
      <c r="F915" s="372">
        <v>26</v>
      </c>
      <c r="G915" s="373">
        <v>10</v>
      </c>
      <c r="H915" s="374">
        <v>20</v>
      </c>
      <c r="I915" s="375">
        <v>4.12</v>
      </c>
      <c r="J915" s="376">
        <f t="shared" si="94"/>
        <v>41.2</v>
      </c>
      <c r="K915" s="66">
        <f t="shared" si="102"/>
        <v>0</v>
      </c>
      <c r="L915" s="63">
        <f t="shared" si="103"/>
        <v>0</v>
      </c>
      <c r="M915" s="63">
        <f t="shared" si="104"/>
        <v>0</v>
      </c>
      <c r="N915" s="63">
        <f t="shared" si="105"/>
        <v>0</v>
      </c>
      <c r="O915" s="63">
        <f t="shared" si="106"/>
        <v>0</v>
      </c>
      <c r="P915" s="63">
        <f t="shared" si="107"/>
        <v>0</v>
      </c>
      <c r="Q915" s="561">
        <f t="shared" si="101"/>
        <v>101.59920000000001</v>
      </c>
      <c r="R915" s="174"/>
      <c r="T915" s="82"/>
      <c r="U915" s="82"/>
      <c r="V915" s="82"/>
      <c r="W915" s="82"/>
      <c r="X915" s="82"/>
      <c r="Y915" s="82"/>
      <c r="Z915" s="82"/>
      <c r="AA915" s="82"/>
      <c r="AB915" s="82"/>
    </row>
    <row r="916" spans="1:28" s="85" customFormat="1" x14ac:dyDescent="0.25">
      <c r="A916" s="82"/>
      <c r="B916" s="82"/>
      <c r="C916" s="82"/>
      <c r="D916" s="729"/>
      <c r="E916" s="396" t="s">
        <v>184</v>
      </c>
      <c r="F916" s="403">
        <v>7</v>
      </c>
      <c r="G916" s="397">
        <v>27</v>
      </c>
      <c r="H916" s="398">
        <v>5</v>
      </c>
      <c r="I916" s="399">
        <v>0.33</v>
      </c>
      <c r="J916" s="400">
        <f t="shared" si="94"/>
        <v>8.91</v>
      </c>
      <c r="K916" s="401">
        <f t="shared" si="102"/>
        <v>1.3721399999999999</v>
      </c>
      <c r="L916" s="196">
        <f t="shared" si="103"/>
        <v>0</v>
      </c>
      <c r="M916" s="196">
        <f t="shared" si="104"/>
        <v>0</v>
      </c>
      <c r="N916" s="196">
        <f t="shared" si="105"/>
        <v>0</v>
      </c>
      <c r="O916" s="196">
        <f t="shared" si="106"/>
        <v>0</v>
      </c>
      <c r="P916" s="196">
        <f t="shared" si="107"/>
        <v>0</v>
      </c>
      <c r="Q916" s="566">
        <f t="shared" si="101"/>
        <v>0</v>
      </c>
      <c r="R916" s="538"/>
      <c r="T916" s="82"/>
      <c r="U916" s="82"/>
      <c r="V916" s="82"/>
      <c r="W916" s="82"/>
      <c r="X916" s="82"/>
      <c r="Y916" s="82"/>
      <c r="Z916" s="82"/>
      <c r="AA916" s="82"/>
      <c r="AB916" s="82"/>
    </row>
    <row r="917" spans="1:28" s="85" customFormat="1" x14ac:dyDescent="0.25">
      <c r="A917" s="82"/>
      <c r="B917" s="82"/>
      <c r="C917" s="82"/>
      <c r="D917" s="729"/>
      <c r="E917" s="371" t="s">
        <v>184</v>
      </c>
      <c r="F917" s="372">
        <v>18</v>
      </c>
      <c r="G917" s="373">
        <v>7</v>
      </c>
      <c r="H917" s="374">
        <v>5</v>
      </c>
      <c r="I917" s="375">
        <v>2.27</v>
      </c>
      <c r="J917" s="376">
        <f t="shared" si="94"/>
        <v>15.89</v>
      </c>
      <c r="K917" s="66">
        <f t="shared" si="102"/>
        <v>2.44706</v>
      </c>
      <c r="L917" s="63">
        <f t="shared" si="103"/>
        <v>0</v>
      </c>
      <c r="M917" s="63">
        <f t="shared" si="104"/>
        <v>0</v>
      </c>
      <c r="N917" s="63">
        <f t="shared" si="105"/>
        <v>0</v>
      </c>
      <c r="O917" s="63">
        <f t="shared" si="106"/>
        <v>0</v>
      </c>
      <c r="P917" s="63">
        <f t="shared" si="107"/>
        <v>0</v>
      </c>
      <c r="Q917" s="562">
        <f t="shared" si="101"/>
        <v>0</v>
      </c>
      <c r="R917" s="377"/>
      <c r="T917" s="82"/>
      <c r="U917" s="82"/>
      <c r="V917" s="82"/>
      <c r="W917" s="82"/>
      <c r="X917" s="82"/>
      <c r="Y917" s="82"/>
      <c r="Z917" s="82"/>
      <c r="AA917" s="82"/>
      <c r="AB917" s="82"/>
    </row>
    <row r="918" spans="1:28" s="85" customFormat="1" x14ac:dyDescent="0.25">
      <c r="A918" s="82"/>
      <c r="B918" s="82"/>
      <c r="C918" s="82"/>
      <c r="D918" s="729"/>
      <c r="E918" s="371" t="s">
        <v>184</v>
      </c>
      <c r="F918" s="372">
        <v>19</v>
      </c>
      <c r="G918" s="373">
        <v>4</v>
      </c>
      <c r="H918" s="374">
        <v>5</v>
      </c>
      <c r="I918" s="375">
        <v>1.39</v>
      </c>
      <c r="J918" s="376">
        <f t="shared" si="94"/>
        <v>5.56</v>
      </c>
      <c r="K918" s="66">
        <f t="shared" si="102"/>
        <v>0.85623999999999989</v>
      </c>
      <c r="L918" s="63">
        <f t="shared" si="103"/>
        <v>0</v>
      </c>
      <c r="M918" s="63">
        <f t="shared" si="104"/>
        <v>0</v>
      </c>
      <c r="N918" s="63">
        <f t="shared" si="105"/>
        <v>0</v>
      </c>
      <c r="O918" s="63">
        <f t="shared" si="106"/>
        <v>0</v>
      </c>
      <c r="P918" s="63">
        <f t="shared" si="107"/>
        <v>0</v>
      </c>
      <c r="Q918" s="562">
        <f t="shared" si="101"/>
        <v>0</v>
      </c>
      <c r="R918" s="377"/>
      <c r="T918" s="82"/>
      <c r="U918" s="82"/>
      <c r="V918" s="82"/>
      <c r="W918" s="82"/>
      <c r="X918" s="82"/>
      <c r="Y918" s="82"/>
      <c r="Z918" s="82"/>
      <c r="AA918" s="82"/>
      <c r="AB918" s="82"/>
    </row>
    <row r="919" spans="1:28" s="85" customFormat="1" ht="13.8" thickBot="1" x14ac:dyDescent="0.3">
      <c r="A919" s="82"/>
      <c r="B919" s="82"/>
      <c r="C919" s="82"/>
      <c r="D919" s="731"/>
      <c r="E919" s="390" t="s">
        <v>184</v>
      </c>
      <c r="F919" s="391">
        <v>48</v>
      </c>
      <c r="G919" s="392">
        <v>10</v>
      </c>
      <c r="H919" s="393">
        <v>20</v>
      </c>
      <c r="I919" s="394">
        <v>1.02</v>
      </c>
      <c r="J919" s="395">
        <f t="shared" si="94"/>
        <v>10.199999999999999</v>
      </c>
      <c r="K919" s="221">
        <f t="shared" si="102"/>
        <v>0</v>
      </c>
      <c r="L919" s="222">
        <f t="shared" si="103"/>
        <v>0</v>
      </c>
      <c r="M919" s="222">
        <f t="shared" si="104"/>
        <v>0</v>
      </c>
      <c r="N919" s="222">
        <f t="shared" si="105"/>
        <v>0</v>
      </c>
      <c r="O919" s="222">
        <f t="shared" si="106"/>
        <v>0</v>
      </c>
      <c r="P919" s="222">
        <f t="shared" si="107"/>
        <v>0</v>
      </c>
      <c r="Q919" s="564">
        <f t="shared" si="101"/>
        <v>25.153200000000002</v>
      </c>
      <c r="R919" s="539"/>
      <c r="T919" s="82"/>
      <c r="U919" s="82"/>
      <c r="V919" s="82"/>
      <c r="W919" s="82"/>
      <c r="X919" s="82"/>
      <c r="Y919" s="82"/>
      <c r="Z919" s="82"/>
      <c r="AA919" s="82"/>
      <c r="AB919" s="82"/>
    </row>
    <row r="920" spans="1:28" s="85" customFormat="1" ht="26.25" customHeight="1" thickTop="1" x14ac:dyDescent="0.25">
      <c r="A920" s="82"/>
      <c r="B920" s="82"/>
      <c r="C920" s="82"/>
      <c r="D920" s="728" t="s">
        <v>1606</v>
      </c>
      <c r="E920" s="371" t="s">
        <v>113</v>
      </c>
      <c r="F920" s="372">
        <v>2</v>
      </c>
      <c r="G920" s="373">
        <f>2*4</f>
        <v>8</v>
      </c>
      <c r="H920" s="374">
        <v>5</v>
      </c>
      <c r="I920" s="375">
        <v>0.67</v>
      </c>
      <c r="J920" s="376">
        <f t="shared" si="94"/>
        <v>5.36</v>
      </c>
      <c r="K920" s="66">
        <f t="shared" si="102"/>
        <v>0.82544000000000006</v>
      </c>
      <c r="L920" s="63">
        <f t="shared" si="103"/>
        <v>0</v>
      </c>
      <c r="M920" s="63">
        <f t="shared" si="104"/>
        <v>0</v>
      </c>
      <c r="N920" s="63">
        <f t="shared" si="105"/>
        <v>0</v>
      </c>
      <c r="O920" s="63">
        <f t="shared" si="106"/>
        <v>0</v>
      </c>
      <c r="P920" s="63">
        <f t="shared" si="107"/>
        <v>0</v>
      </c>
      <c r="Q920" s="561">
        <f t="shared" si="101"/>
        <v>0</v>
      </c>
      <c r="R920" s="174"/>
      <c r="T920" s="82"/>
      <c r="U920" s="82"/>
      <c r="V920" s="82"/>
      <c r="W920" s="82"/>
      <c r="X920" s="82"/>
      <c r="Y920" s="82"/>
      <c r="Z920" s="82"/>
      <c r="AA920" s="82"/>
      <c r="AB920" s="82"/>
    </row>
    <row r="921" spans="1:28" s="85" customFormat="1" ht="15" customHeight="1" x14ac:dyDescent="0.25">
      <c r="A921" s="82"/>
      <c r="B921" s="82"/>
      <c r="C921" s="82"/>
      <c r="D921" s="729"/>
      <c r="E921" s="371" t="s">
        <v>113</v>
      </c>
      <c r="F921" s="372">
        <v>42</v>
      </c>
      <c r="G921" s="373">
        <f>2*6</f>
        <v>12</v>
      </c>
      <c r="H921" s="374">
        <v>12.5</v>
      </c>
      <c r="I921" s="375">
        <v>1.0900000000000001</v>
      </c>
      <c r="J921" s="376">
        <f t="shared" si="94"/>
        <v>13.080000000000002</v>
      </c>
      <c r="K921" s="66">
        <f t="shared" si="102"/>
        <v>0</v>
      </c>
      <c r="L921" s="63">
        <f t="shared" si="103"/>
        <v>0</v>
      </c>
      <c r="M921" s="63">
        <f t="shared" si="104"/>
        <v>0</v>
      </c>
      <c r="N921" s="63">
        <f t="shared" si="105"/>
        <v>0</v>
      </c>
      <c r="O921" s="63">
        <f t="shared" si="106"/>
        <v>12.596040000000002</v>
      </c>
      <c r="P921" s="63">
        <f t="shared" si="107"/>
        <v>0</v>
      </c>
      <c r="Q921" s="561">
        <f t="shared" si="101"/>
        <v>0</v>
      </c>
      <c r="R921" s="174"/>
      <c r="T921" s="82"/>
      <c r="U921" s="82"/>
      <c r="V921" s="82"/>
      <c r="W921" s="82"/>
      <c r="X921" s="82"/>
      <c r="Y921" s="82"/>
      <c r="Z921" s="82"/>
      <c r="AA921" s="82"/>
      <c r="AB921" s="82"/>
    </row>
    <row r="922" spans="1:28" s="85" customFormat="1" ht="15" customHeight="1" x14ac:dyDescent="0.25">
      <c r="A922" s="82"/>
      <c r="B922" s="82"/>
      <c r="C922" s="82"/>
      <c r="D922" s="729"/>
      <c r="E922" s="396" t="s">
        <v>184</v>
      </c>
      <c r="F922" s="403">
        <v>22</v>
      </c>
      <c r="G922" s="397">
        <f>2*8</f>
        <v>16</v>
      </c>
      <c r="H922" s="398">
        <v>5</v>
      </c>
      <c r="I922" s="399">
        <v>0.67</v>
      </c>
      <c r="J922" s="400">
        <f t="shared" si="94"/>
        <v>10.72</v>
      </c>
      <c r="K922" s="401">
        <f t="shared" si="102"/>
        <v>1.6508800000000001</v>
      </c>
      <c r="L922" s="196">
        <f t="shared" si="103"/>
        <v>0</v>
      </c>
      <c r="M922" s="196">
        <f t="shared" si="104"/>
        <v>0</v>
      </c>
      <c r="N922" s="196">
        <f t="shared" si="105"/>
        <v>0</v>
      </c>
      <c r="O922" s="196">
        <f t="shared" si="106"/>
        <v>0</v>
      </c>
      <c r="P922" s="196">
        <f t="shared" si="107"/>
        <v>0</v>
      </c>
      <c r="Q922" s="566">
        <f t="shared" si="101"/>
        <v>0</v>
      </c>
      <c r="R922" s="538"/>
      <c r="T922" s="82"/>
      <c r="U922" s="82"/>
      <c r="V922" s="82"/>
      <c r="W922" s="82"/>
      <c r="X922" s="82"/>
      <c r="Y922" s="82"/>
      <c r="Z922" s="82"/>
      <c r="AA922" s="82"/>
      <c r="AB922" s="82"/>
    </row>
    <row r="923" spans="1:28" s="85" customFormat="1" ht="15" customHeight="1" x14ac:dyDescent="0.25">
      <c r="A923" s="82"/>
      <c r="B923" s="82"/>
      <c r="C923" s="82"/>
      <c r="D923" s="729"/>
      <c r="E923" s="371" t="s">
        <v>184</v>
      </c>
      <c r="F923" s="372">
        <v>23</v>
      </c>
      <c r="G923" s="373">
        <f>2*4</f>
        <v>8</v>
      </c>
      <c r="H923" s="374">
        <v>5</v>
      </c>
      <c r="I923" s="375">
        <v>0.49</v>
      </c>
      <c r="J923" s="376">
        <f t="shared" si="94"/>
        <v>3.92</v>
      </c>
      <c r="K923" s="66">
        <f t="shared" si="102"/>
        <v>0.60367999999999999</v>
      </c>
      <c r="L923" s="63">
        <f t="shared" si="103"/>
        <v>0</v>
      </c>
      <c r="M923" s="63">
        <f t="shared" si="104"/>
        <v>0</v>
      </c>
      <c r="N923" s="63">
        <f t="shared" si="105"/>
        <v>0</v>
      </c>
      <c r="O923" s="63">
        <f t="shared" si="106"/>
        <v>0</v>
      </c>
      <c r="P923" s="63">
        <f t="shared" si="107"/>
        <v>0</v>
      </c>
      <c r="Q923" s="562">
        <f t="shared" si="101"/>
        <v>0</v>
      </c>
      <c r="R923" s="377"/>
      <c r="T923" s="82"/>
      <c r="U923" s="82"/>
      <c r="V923" s="82"/>
      <c r="W923" s="82"/>
      <c r="X923" s="82"/>
      <c r="Y923" s="82"/>
      <c r="Z923" s="82"/>
      <c r="AA923" s="82"/>
      <c r="AB923" s="82"/>
    </row>
    <row r="924" spans="1:28" s="85" customFormat="1" ht="15.75" customHeight="1" thickBot="1" x14ac:dyDescent="0.3">
      <c r="A924" s="82"/>
      <c r="B924" s="82"/>
      <c r="C924" s="82"/>
      <c r="D924" s="731"/>
      <c r="E924" s="390" t="s">
        <v>184</v>
      </c>
      <c r="F924" s="391">
        <v>46</v>
      </c>
      <c r="G924" s="392">
        <f>2*6</f>
        <v>12</v>
      </c>
      <c r="H924" s="393">
        <v>12.5</v>
      </c>
      <c r="I924" s="394">
        <v>1.02</v>
      </c>
      <c r="J924" s="395">
        <f t="shared" si="94"/>
        <v>12.24</v>
      </c>
      <c r="K924" s="221">
        <f t="shared" si="102"/>
        <v>0</v>
      </c>
      <c r="L924" s="222">
        <f t="shared" si="103"/>
        <v>0</v>
      </c>
      <c r="M924" s="222">
        <f t="shared" si="104"/>
        <v>0</v>
      </c>
      <c r="N924" s="222">
        <f t="shared" si="105"/>
        <v>0</v>
      </c>
      <c r="O924" s="222">
        <f t="shared" si="106"/>
        <v>11.78712</v>
      </c>
      <c r="P924" s="222">
        <f t="shared" si="107"/>
        <v>0</v>
      </c>
      <c r="Q924" s="564">
        <f t="shared" si="101"/>
        <v>0</v>
      </c>
      <c r="R924" s="539"/>
      <c r="T924" s="82"/>
      <c r="U924" s="82"/>
      <c r="V924" s="82"/>
      <c r="W924" s="82"/>
      <c r="X924" s="82"/>
      <c r="Y924" s="82"/>
      <c r="Z924" s="82"/>
      <c r="AA924" s="82"/>
      <c r="AB924" s="82"/>
    </row>
    <row r="925" spans="1:28" s="85" customFormat="1" ht="26.25" customHeight="1" thickTop="1" x14ac:dyDescent="0.25">
      <c r="A925" s="82"/>
      <c r="B925" s="82"/>
      <c r="C925" s="82"/>
      <c r="D925" s="728" t="s">
        <v>1607</v>
      </c>
      <c r="E925" s="371" t="s">
        <v>113</v>
      </c>
      <c r="F925" s="372">
        <v>2</v>
      </c>
      <c r="G925" s="373">
        <f>2*4</f>
        <v>8</v>
      </c>
      <c r="H925" s="374">
        <v>5</v>
      </c>
      <c r="I925" s="375">
        <v>0.67</v>
      </c>
      <c r="J925" s="376">
        <f t="shared" si="94"/>
        <v>5.36</v>
      </c>
      <c r="K925" s="66">
        <f t="shared" si="102"/>
        <v>0.82544000000000006</v>
      </c>
      <c r="L925" s="63">
        <f t="shared" si="103"/>
        <v>0</v>
      </c>
      <c r="M925" s="63">
        <f t="shared" si="104"/>
        <v>0</v>
      </c>
      <c r="N925" s="63">
        <f t="shared" si="105"/>
        <v>0</v>
      </c>
      <c r="O925" s="63">
        <f t="shared" si="106"/>
        <v>0</v>
      </c>
      <c r="P925" s="63">
        <f t="shared" si="107"/>
        <v>0</v>
      </c>
      <c r="Q925" s="561">
        <f t="shared" si="101"/>
        <v>0</v>
      </c>
      <c r="R925" s="174"/>
      <c r="T925" s="82"/>
      <c r="U925" s="82"/>
      <c r="V925" s="82"/>
      <c r="W925" s="82"/>
      <c r="X925" s="82"/>
      <c r="Y925" s="82"/>
      <c r="Z925" s="82"/>
      <c r="AA925" s="82"/>
      <c r="AB925" s="82"/>
    </row>
    <row r="926" spans="1:28" s="85" customFormat="1" ht="15" customHeight="1" x14ac:dyDescent="0.25">
      <c r="A926" s="82"/>
      <c r="B926" s="82"/>
      <c r="C926" s="82"/>
      <c r="D926" s="729"/>
      <c r="E926" s="371" t="s">
        <v>113</v>
      </c>
      <c r="F926" s="372">
        <v>42</v>
      </c>
      <c r="G926" s="373">
        <f>2*8</f>
        <v>16</v>
      </c>
      <c r="H926" s="374">
        <v>12.5</v>
      </c>
      <c r="I926" s="375">
        <v>1.0900000000000001</v>
      </c>
      <c r="J926" s="376">
        <f t="shared" si="94"/>
        <v>17.440000000000001</v>
      </c>
      <c r="K926" s="66">
        <f t="shared" si="102"/>
        <v>0</v>
      </c>
      <c r="L926" s="63">
        <f t="shared" si="103"/>
        <v>0</v>
      </c>
      <c r="M926" s="63">
        <f t="shared" si="104"/>
        <v>0</v>
      </c>
      <c r="N926" s="63">
        <f t="shared" si="105"/>
        <v>0</v>
      </c>
      <c r="O926" s="63">
        <f t="shared" si="106"/>
        <v>16.794720000000002</v>
      </c>
      <c r="P926" s="63">
        <f t="shared" si="107"/>
        <v>0</v>
      </c>
      <c r="Q926" s="561">
        <f t="shared" si="101"/>
        <v>0</v>
      </c>
      <c r="R926" s="174"/>
      <c r="T926" s="82"/>
      <c r="U926" s="82"/>
      <c r="V926" s="82"/>
      <c r="W926" s="82"/>
      <c r="X926" s="82"/>
      <c r="Y926" s="82"/>
      <c r="Z926" s="82"/>
      <c r="AA926" s="82"/>
      <c r="AB926" s="82"/>
    </row>
    <row r="927" spans="1:28" s="85" customFormat="1" ht="15" customHeight="1" x14ac:dyDescent="0.25">
      <c r="A927" s="82"/>
      <c r="B927" s="82"/>
      <c r="C927" s="82"/>
      <c r="D927" s="729"/>
      <c r="E927" s="396" t="s">
        <v>184</v>
      </c>
      <c r="F927" s="403">
        <v>22</v>
      </c>
      <c r="G927" s="397">
        <f>2*8</f>
        <v>16</v>
      </c>
      <c r="H927" s="398">
        <v>5</v>
      </c>
      <c r="I927" s="399">
        <v>0.67</v>
      </c>
      <c r="J927" s="400">
        <f t="shared" si="94"/>
        <v>10.72</v>
      </c>
      <c r="K927" s="401">
        <f t="shared" ref="K927:K979" si="111">IF($H927=5,$J927*$B$21,0)</f>
        <v>1.6508800000000001</v>
      </c>
      <c r="L927" s="196">
        <f t="shared" ref="L927:L979" si="112">IF($H927=6.3,$J927*$B$22,0)</f>
        <v>0</v>
      </c>
      <c r="M927" s="196">
        <f t="shared" ref="M927:M979" si="113">IF($H927=8,$J927*$B$23,0)</f>
        <v>0</v>
      </c>
      <c r="N927" s="196">
        <f t="shared" ref="N927:N979" si="114">IF($H927=10,$J927*$B$24,0)</f>
        <v>0</v>
      </c>
      <c r="O927" s="196">
        <f t="shared" ref="O927:O979" si="115">IF($H927=12.5,$J927*$B$26,0)</f>
        <v>0</v>
      </c>
      <c r="P927" s="196">
        <f t="shared" ref="P927:P979" si="116">IF($H927=16,$J927*$B$27,0)</f>
        <v>0</v>
      </c>
      <c r="Q927" s="566">
        <f t="shared" si="101"/>
        <v>0</v>
      </c>
      <c r="R927" s="538"/>
      <c r="T927" s="82">
        <v>1</v>
      </c>
      <c r="U927" s="82"/>
      <c r="V927" s="82"/>
      <c r="W927" s="82"/>
      <c r="X927" s="82"/>
      <c r="Y927" s="82"/>
      <c r="Z927" s="82"/>
      <c r="AA927" s="82"/>
      <c r="AB927" s="82"/>
    </row>
    <row r="928" spans="1:28" s="85" customFormat="1" ht="15" customHeight="1" x14ac:dyDescent="0.25">
      <c r="A928" s="82"/>
      <c r="B928" s="82"/>
      <c r="C928" s="82"/>
      <c r="D928" s="729"/>
      <c r="E928" s="371" t="s">
        <v>184</v>
      </c>
      <c r="F928" s="372">
        <v>23</v>
      </c>
      <c r="G928" s="373">
        <f>2*4</f>
        <v>8</v>
      </c>
      <c r="H928" s="374">
        <v>5</v>
      </c>
      <c r="I928" s="375">
        <v>0.49</v>
      </c>
      <c r="J928" s="376">
        <f t="shared" si="94"/>
        <v>3.92</v>
      </c>
      <c r="K928" s="66">
        <f t="shared" si="111"/>
        <v>0.60367999999999999</v>
      </c>
      <c r="L928" s="63">
        <f t="shared" si="112"/>
        <v>0</v>
      </c>
      <c r="M928" s="63">
        <f t="shared" si="113"/>
        <v>0</v>
      </c>
      <c r="N928" s="63">
        <f t="shared" si="114"/>
        <v>0</v>
      </c>
      <c r="O928" s="63">
        <f t="shared" si="115"/>
        <v>0</v>
      </c>
      <c r="P928" s="63">
        <f t="shared" si="116"/>
        <v>0</v>
      </c>
      <c r="Q928" s="562">
        <f t="shared" si="101"/>
        <v>0</v>
      </c>
      <c r="R928" s="377"/>
      <c r="T928" s="82"/>
      <c r="U928" s="82"/>
      <c r="V928" s="82"/>
      <c r="W928" s="82"/>
      <c r="X928" s="82"/>
      <c r="Y928" s="82"/>
      <c r="Z928" s="82"/>
      <c r="AA928" s="82"/>
      <c r="AB928" s="82"/>
    </row>
    <row r="929" spans="1:28" s="85" customFormat="1" ht="15.75" customHeight="1" thickBot="1" x14ac:dyDescent="0.3">
      <c r="A929" s="82"/>
      <c r="B929" s="82"/>
      <c r="C929" s="82"/>
      <c r="D929" s="731"/>
      <c r="E929" s="390" t="s">
        <v>184</v>
      </c>
      <c r="F929" s="391">
        <v>46</v>
      </c>
      <c r="G929" s="392">
        <f>2*8</f>
        <v>16</v>
      </c>
      <c r="H929" s="393">
        <v>12.5</v>
      </c>
      <c r="I929" s="394">
        <v>1.02</v>
      </c>
      <c r="J929" s="395">
        <f t="shared" si="94"/>
        <v>16.32</v>
      </c>
      <c r="K929" s="221">
        <f t="shared" si="111"/>
        <v>0</v>
      </c>
      <c r="L929" s="222">
        <f t="shared" si="112"/>
        <v>0</v>
      </c>
      <c r="M929" s="222">
        <f t="shared" si="113"/>
        <v>0</v>
      </c>
      <c r="N929" s="222">
        <f t="shared" si="114"/>
        <v>0</v>
      </c>
      <c r="O929" s="222">
        <f t="shared" si="115"/>
        <v>15.71616</v>
      </c>
      <c r="P929" s="222">
        <f t="shared" si="116"/>
        <v>0</v>
      </c>
      <c r="Q929" s="564">
        <f t="shared" si="101"/>
        <v>0</v>
      </c>
      <c r="R929" s="539"/>
      <c r="T929" s="82"/>
      <c r="U929" s="82"/>
      <c r="V929" s="82"/>
      <c r="W929" s="82"/>
      <c r="X929" s="82"/>
      <c r="Y929" s="82"/>
      <c r="Z929" s="82"/>
      <c r="AA929" s="82"/>
      <c r="AB929" s="82"/>
    </row>
    <row r="930" spans="1:28" s="85" customFormat="1" ht="26.25" customHeight="1" thickTop="1" x14ac:dyDescent="0.25">
      <c r="A930" s="82"/>
      <c r="B930" s="82"/>
      <c r="C930" s="82"/>
      <c r="D930" s="728" t="s">
        <v>1608</v>
      </c>
      <c r="E930" s="371" t="s">
        <v>113</v>
      </c>
      <c r="F930" s="372">
        <v>3</v>
      </c>
      <c r="G930" s="373">
        <f>2*4</f>
        <v>8</v>
      </c>
      <c r="H930" s="374">
        <v>5</v>
      </c>
      <c r="I930" s="375">
        <v>0.76</v>
      </c>
      <c r="J930" s="376">
        <f t="shared" si="94"/>
        <v>6.08</v>
      </c>
      <c r="K930" s="66">
        <f t="shared" si="111"/>
        <v>0.93632000000000004</v>
      </c>
      <c r="L930" s="63">
        <f t="shared" si="112"/>
        <v>0</v>
      </c>
      <c r="M930" s="63">
        <f t="shared" si="113"/>
        <v>0</v>
      </c>
      <c r="N930" s="63">
        <f t="shared" si="114"/>
        <v>0</v>
      </c>
      <c r="O930" s="63">
        <f t="shared" si="115"/>
        <v>0</v>
      </c>
      <c r="P930" s="63">
        <f t="shared" si="116"/>
        <v>0</v>
      </c>
      <c r="Q930" s="561">
        <f t="shared" si="101"/>
        <v>0</v>
      </c>
      <c r="R930" s="174"/>
      <c r="T930" s="82"/>
      <c r="U930" s="82"/>
      <c r="V930" s="82"/>
      <c r="W930" s="82"/>
      <c r="X930" s="82"/>
      <c r="Y930" s="82"/>
      <c r="Z930" s="82"/>
      <c r="AA930" s="82"/>
      <c r="AB930" s="82"/>
    </row>
    <row r="931" spans="1:28" s="85" customFormat="1" x14ac:dyDescent="0.25">
      <c r="A931" s="82"/>
      <c r="B931" s="82"/>
      <c r="C931" s="82"/>
      <c r="D931" s="729"/>
      <c r="E931" s="371" t="s">
        <v>113</v>
      </c>
      <c r="F931" s="372">
        <v>42</v>
      </c>
      <c r="G931" s="373">
        <f>2*4</f>
        <v>8</v>
      </c>
      <c r="H931" s="374">
        <v>12.5</v>
      </c>
      <c r="I931" s="375">
        <v>1.0900000000000001</v>
      </c>
      <c r="J931" s="376">
        <f t="shared" si="94"/>
        <v>8.7200000000000006</v>
      </c>
      <c r="K931" s="66">
        <f t="shared" si="111"/>
        <v>0</v>
      </c>
      <c r="L931" s="63">
        <f t="shared" si="112"/>
        <v>0</v>
      </c>
      <c r="M931" s="63">
        <f t="shared" si="113"/>
        <v>0</v>
      </c>
      <c r="N931" s="63">
        <f t="shared" si="114"/>
        <v>0</v>
      </c>
      <c r="O931" s="63">
        <f t="shared" si="115"/>
        <v>8.3973600000000008</v>
      </c>
      <c r="P931" s="63">
        <f t="shared" si="116"/>
        <v>0</v>
      </c>
      <c r="Q931" s="561">
        <f t="shared" si="101"/>
        <v>0</v>
      </c>
      <c r="R931" s="174"/>
      <c r="T931" s="82"/>
      <c r="U931" s="82"/>
      <c r="V931" s="82"/>
      <c r="W931" s="82"/>
      <c r="X931" s="82"/>
      <c r="Y931" s="82"/>
      <c r="Z931" s="82"/>
      <c r="AA931" s="82"/>
      <c r="AB931" s="82"/>
    </row>
    <row r="932" spans="1:28" s="85" customFormat="1" x14ac:dyDescent="0.25">
      <c r="A932" s="82"/>
      <c r="B932" s="82"/>
      <c r="C932" s="82"/>
      <c r="D932" s="729"/>
      <c r="E932" s="396" t="s">
        <v>184</v>
      </c>
      <c r="F932" s="403">
        <v>20</v>
      </c>
      <c r="G932" s="397">
        <f>2*6</f>
        <v>12</v>
      </c>
      <c r="H932" s="398">
        <v>5</v>
      </c>
      <c r="I932" s="399">
        <v>0.77</v>
      </c>
      <c r="J932" s="400">
        <f t="shared" si="94"/>
        <v>9.24</v>
      </c>
      <c r="K932" s="401">
        <f t="shared" si="111"/>
        <v>1.42296</v>
      </c>
      <c r="L932" s="196">
        <f t="shared" si="112"/>
        <v>0</v>
      </c>
      <c r="M932" s="196">
        <f t="shared" si="113"/>
        <v>0</v>
      </c>
      <c r="N932" s="196">
        <f t="shared" si="114"/>
        <v>0</v>
      </c>
      <c r="O932" s="196">
        <f t="shared" si="115"/>
        <v>0</v>
      </c>
      <c r="P932" s="196">
        <f t="shared" si="116"/>
        <v>0</v>
      </c>
      <c r="Q932" s="566">
        <f t="shared" si="101"/>
        <v>0</v>
      </c>
      <c r="R932" s="538"/>
      <c r="T932" s="82"/>
      <c r="U932" s="82"/>
      <c r="V932" s="82"/>
      <c r="W932" s="82"/>
      <c r="X932" s="82"/>
      <c r="Y932" s="82"/>
      <c r="Z932" s="82"/>
      <c r="AA932" s="82"/>
      <c r="AB932" s="82"/>
    </row>
    <row r="933" spans="1:28" s="85" customFormat="1" x14ac:dyDescent="0.25">
      <c r="A933" s="82"/>
      <c r="B933" s="82"/>
      <c r="C933" s="82"/>
      <c r="D933" s="729"/>
      <c r="E933" s="371" t="s">
        <v>184</v>
      </c>
      <c r="F933" s="372">
        <v>21</v>
      </c>
      <c r="G933" s="373">
        <f>2*2</f>
        <v>4</v>
      </c>
      <c r="H933" s="374">
        <v>5</v>
      </c>
      <c r="I933" s="375">
        <v>0.59</v>
      </c>
      <c r="J933" s="376">
        <f t="shared" si="94"/>
        <v>2.36</v>
      </c>
      <c r="K933" s="66">
        <f t="shared" si="111"/>
        <v>0.36343999999999999</v>
      </c>
      <c r="L933" s="63">
        <f t="shared" si="112"/>
        <v>0</v>
      </c>
      <c r="M933" s="63">
        <f t="shared" si="113"/>
        <v>0</v>
      </c>
      <c r="N933" s="63">
        <f t="shared" si="114"/>
        <v>0</v>
      </c>
      <c r="O933" s="63">
        <f t="shared" si="115"/>
        <v>0</v>
      </c>
      <c r="P933" s="63">
        <f t="shared" si="116"/>
        <v>0</v>
      </c>
      <c r="Q933" s="562">
        <f t="shared" si="101"/>
        <v>0</v>
      </c>
      <c r="R933" s="377"/>
      <c r="T933" s="82"/>
      <c r="U933" s="82"/>
      <c r="V933" s="82"/>
      <c r="W933" s="82"/>
      <c r="X933" s="82"/>
      <c r="Y933" s="82"/>
      <c r="Z933" s="82"/>
      <c r="AA933" s="82"/>
      <c r="AB933" s="82"/>
    </row>
    <row r="934" spans="1:28" s="85" customFormat="1" ht="13.8" thickBot="1" x14ac:dyDescent="0.3">
      <c r="A934" s="82"/>
      <c r="B934" s="82"/>
      <c r="C934" s="82"/>
      <c r="D934" s="729"/>
      <c r="E934" s="378" t="s">
        <v>184</v>
      </c>
      <c r="F934" s="379">
        <v>46</v>
      </c>
      <c r="G934" s="380">
        <f>2*4</f>
        <v>8</v>
      </c>
      <c r="H934" s="381">
        <v>12.5</v>
      </c>
      <c r="I934" s="382">
        <v>1.02</v>
      </c>
      <c r="J934" s="383">
        <f t="shared" si="94"/>
        <v>8.16</v>
      </c>
      <c r="K934" s="194">
        <f t="shared" si="111"/>
        <v>0</v>
      </c>
      <c r="L934" s="195">
        <f t="shared" si="112"/>
        <v>0</v>
      </c>
      <c r="M934" s="195">
        <f t="shared" si="113"/>
        <v>0</v>
      </c>
      <c r="N934" s="195">
        <f t="shared" si="114"/>
        <v>0</v>
      </c>
      <c r="O934" s="195">
        <f t="shared" si="115"/>
        <v>7.8580800000000002</v>
      </c>
      <c r="P934" s="195">
        <f t="shared" si="116"/>
        <v>0</v>
      </c>
      <c r="Q934" s="562">
        <f t="shared" si="101"/>
        <v>0</v>
      </c>
      <c r="R934" s="377"/>
      <c r="T934" s="82"/>
      <c r="U934" s="82"/>
      <c r="V934" s="82"/>
      <c r="W934" s="82"/>
      <c r="X934" s="82"/>
      <c r="Y934" s="82"/>
      <c r="Z934" s="82"/>
      <c r="AA934" s="82"/>
      <c r="AB934" s="82"/>
    </row>
    <row r="935" spans="1:28" s="16" customFormat="1" ht="15" customHeight="1" thickTop="1" thickBot="1" x14ac:dyDescent="0.3">
      <c r="D935" s="776" t="s">
        <v>740</v>
      </c>
      <c r="E935" s="777"/>
      <c r="F935" s="777"/>
      <c r="G935" s="777"/>
      <c r="H935" s="777"/>
      <c r="I935" s="777"/>
      <c r="J935" s="777"/>
      <c r="K935" s="777"/>
      <c r="L935" s="777"/>
      <c r="M935" s="777"/>
      <c r="N935" s="777"/>
      <c r="O935" s="777"/>
      <c r="P935" s="777"/>
      <c r="Q935" s="777"/>
      <c r="R935" s="777"/>
      <c r="S935" s="583"/>
    </row>
    <row r="936" spans="1:28" s="85" customFormat="1" ht="13.8" thickTop="1" x14ac:dyDescent="0.25">
      <c r="A936" s="82"/>
      <c r="B936" s="82"/>
      <c r="C936" s="82"/>
      <c r="D936" s="728" t="s">
        <v>1637</v>
      </c>
      <c r="E936" s="384" t="s">
        <v>49</v>
      </c>
      <c r="F936" s="385">
        <v>1</v>
      </c>
      <c r="G936" s="386">
        <v>20</v>
      </c>
      <c r="H936" s="387">
        <v>5</v>
      </c>
      <c r="I936" s="388">
        <v>0.24</v>
      </c>
      <c r="J936" s="389">
        <f t="shared" si="94"/>
        <v>4.8</v>
      </c>
      <c r="K936" s="218">
        <f t="shared" si="111"/>
        <v>0.73919999999999997</v>
      </c>
      <c r="L936" s="219">
        <f t="shared" si="112"/>
        <v>0</v>
      </c>
      <c r="M936" s="219">
        <f t="shared" si="113"/>
        <v>0</v>
      </c>
      <c r="N936" s="219">
        <f t="shared" si="114"/>
        <v>0</v>
      </c>
      <c r="O936" s="219">
        <f t="shared" si="115"/>
        <v>0</v>
      </c>
      <c r="P936" s="219">
        <f t="shared" si="116"/>
        <v>0</v>
      </c>
      <c r="Q936" s="563">
        <f t="shared" si="101"/>
        <v>0</v>
      </c>
      <c r="R936" s="220"/>
      <c r="T936" s="82"/>
      <c r="U936" s="82"/>
      <c r="V936" s="82"/>
      <c r="W936" s="82"/>
      <c r="X936" s="82"/>
      <c r="Y936" s="82"/>
      <c r="Z936" s="82"/>
      <c r="AA936" s="82"/>
      <c r="AB936" s="82"/>
    </row>
    <row r="937" spans="1:28" s="85" customFormat="1" x14ac:dyDescent="0.25">
      <c r="A937" s="82"/>
      <c r="B937" s="82"/>
      <c r="C937" s="82"/>
      <c r="D937" s="729"/>
      <c r="E937" s="371" t="s">
        <v>49</v>
      </c>
      <c r="F937" s="372">
        <v>2</v>
      </c>
      <c r="G937" s="373">
        <v>6</v>
      </c>
      <c r="H937" s="374">
        <v>5</v>
      </c>
      <c r="I937" s="375">
        <v>1.77</v>
      </c>
      <c r="J937" s="376">
        <f t="shared" si="94"/>
        <v>10.620000000000001</v>
      </c>
      <c r="K937" s="66">
        <f t="shared" si="111"/>
        <v>1.63548</v>
      </c>
      <c r="L937" s="63">
        <f t="shared" si="112"/>
        <v>0</v>
      </c>
      <c r="M937" s="63">
        <f t="shared" si="113"/>
        <v>0</v>
      </c>
      <c r="N937" s="63">
        <f t="shared" si="114"/>
        <v>0</v>
      </c>
      <c r="O937" s="63">
        <f t="shared" si="115"/>
        <v>0</v>
      </c>
      <c r="P937" s="63">
        <f t="shared" si="116"/>
        <v>0</v>
      </c>
      <c r="Q937" s="561">
        <f t="shared" si="101"/>
        <v>0</v>
      </c>
      <c r="R937" s="174"/>
      <c r="T937" s="82"/>
      <c r="U937" s="82"/>
      <c r="V937" s="82"/>
      <c r="W937" s="82"/>
      <c r="X937" s="82"/>
      <c r="Y937" s="82"/>
      <c r="Z937" s="82"/>
      <c r="AA937" s="82"/>
      <c r="AB937" s="82"/>
    </row>
    <row r="938" spans="1:28" s="85" customFormat="1" x14ac:dyDescent="0.25">
      <c r="A938" s="82"/>
      <c r="B938" s="82"/>
      <c r="C938" s="82"/>
      <c r="D938" s="729"/>
      <c r="E938" s="371" t="s">
        <v>49</v>
      </c>
      <c r="F938" s="372">
        <v>3</v>
      </c>
      <c r="G938" s="373">
        <v>8</v>
      </c>
      <c r="H938" s="374">
        <v>5</v>
      </c>
      <c r="I938" s="375">
        <v>1.04</v>
      </c>
      <c r="J938" s="376">
        <f t="shared" si="94"/>
        <v>8.32</v>
      </c>
      <c r="K938" s="66">
        <f t="shared" si="111"/>
        <v>1.28128</v>
      </c>
      <c r="L938" s="63">
        <f t="shared" si="112"/>
        <v>0</v>
      </c>
      <c r="M938" s="63">
        <f t="shared" si="113"/>
        <v>0</v>
      </c>
      <c r="N938" s="63">
        <f t="shared" si="114"/>
        <v>0</v>
      </c>
      <c r="O938" s="63">
        <f t="shared" si="115"/>
        <v>0</v>
      </c>
      <c r="P938" s="63">
        <f t="shared" si="116"/>
        <v>0</v>
      </c>
      <c r="Q938" s="561">
        <f t="shared" si="101"/>
        <v>0</v>
      </c>
      <c r="R938" s="174"/>
      <c r="T938" s="82"/>
      <c r="U938" s="82"/>
      <c r="V938" s="82"/>
      <c r="W938" s="82"/>
      <c r="X938" s="82"/>
      <c r="Y938" s="82"/>
      <c r="Z938" s="82"/>
      <c r="AA938" s="82"/>
      <c r="AB938" s="82"/>
    </row>
    <row r="939" spans="1:28" s="85" customFormat="1" x14ac:dyDescent="0.25">
      <c r="A939" s="82"/>
      <c r="B939" s="82"/>
      <c r="C939" s="82"/>
      <c r="D939" s="729"/>
      <c r="E939" s="371" t="s">
        <v>49</v>
      </c>
      <c r="F939" s="372">
        <v>25</v>
      </c>
      <c r="G939" s="373">
        <v>8</v>
      </c>
      <c r="H939" s="374">
        <v>12.5</v>
      </c>
      <c r="I939" s="375">
        <v>1.55</v>
      </c>
      <c r="J939" s="376">
        <f t="shared" si="94"/>
        <v>12.4</v>
      </c>
      <c r="K939" s="66">
        <f t="shared" si="111"/>
        <v>0</v>
      </c>
      <c r="L939" s="63">
        <f t="shared" si="112"/>
        <v>0</v>
      </c>
      <c r="M939" s="63">
        <f t="shared" si="113"/>
        <v>0</v>
      </c>
      <c r="N939" s="63">
        <f t="shared" si="114"/>
        <v>0</v>
      </c>
      <c r="O939" s="63">
        <f t="shared" si="115"/>
        <v>11.9412</v>
      </c>
      <c r="P939" s="63">
        <f t="shared" si="116"/>
        <v>0</v>
      </c>
      <c r="Q939" s="561">
        <f t="shared" si="101"/>
        <v>0</v>
      </c>
      <c r="R939" s="174"/>
      <c r="T939" s="82"/>
      <c r="U939" s="82"/>
      <c r="V939" s="82"/>
      <c r="W939" s="82"/>
      <c r="X939" s="82"/>
      <c r="Y939" s="82"/>
      <c r="Z939" s="82"/>
      <c r="AA939" s="82"/>
      <c r="AB939" s="82"/>
    </row>
    <row r="940" spans="1:28" s="85" customFormat="1" x14ac:dyDescent="0.25">
      <c r="A940" s="82"/>
      <c r="B940" s="82"/>
      <c r="C940" s="82"/>
      <c r="D940" s="729"/>
      <c r="E940" s="371" t="s">
        <v>113</v>
      </c>
      <c r="F940" s="372">
        <v>1</v>
      </c>
      <c r="G940" s="373">
        <v>64</v>
      </c>
      <c r="H940" s="374">
        <v>5</v>
      </c>
      <c r="I940" s="375">
        <v>0.24</v>
      </c>
      <c r="J940" s="376">
        <f t="shared" si="94"/>
        <v>15.36</v>
      </c>
      <c r="K940" s="66">
        <f t="shared" si="111"/>
        <v>2.36544</v>
      </c>
      <c r="L940" s="63">
        <f t="shared" si="112"/>
        <v>0</v>
      </c>
      <c r="M940" s="63">
        <f t="shared" si="113"/>
        <v>0</v>
      </c>
      <c r="N940" s="63">
        <f t="shared" si="114"/>
        <v>0</v>
      </c>
      <c r="O940" s="63">
        <f t="shared" si="115"/>
        <v>0</v>
      </c>
      <c r="P940" s="63">
        <f t="shared" si="116"/>
        <v>0</v>
      </c>
      <c r="Q940" s="561">
        <f t="shared" si="101"/>
        <v>0</v>
      </c>
      <c r="R940" s="174"/>
      <c r="T940" s="82">
        <v>1</v>
      </c>
      <c r="U940" s="82"/>
      <c r="V940" s="82"/>
      <c r="W940" s="82"/>
      <c r="X940" s="82"/>
      <c r="Y940" s="82"/>
      <c r="Z940" s="82"/>
      <c r="AA940" s="82"/>
      <c r="AB940" s="82"/>
    </row>
    <row r="941" spans="1:28" s="85" customFormat="1" x14ac:dyDescent="0.25">
      <c r="A941" s="82"/>
      <c r="B941" s="82"/>
      <c r="C941" s="82"/>
      <c r="D941" s="729"/>
      <c r="E941" s="371" t="s">
        <v>113</v>
      </c>
      <c r="F941" s="372">
        <v>2</v>
      </c>
      <c r="G941" s="373">
        <v>27</v>
      </c>
      <c r="H941" s="374">
        <v>5</v>
      </c>
      <c r="I941" s="375">
        <v>1.77</v>
      </c>
      <c r="J941" s="376">
        <f t="shared" si="94"/>
        <v>47.79</v>
      </c>
      <c r="K941" s="66">
        <f t="shared" si="111"/>
        <v>7.3596599999999999</v>
      </c>
      <c r="L941" s="63">
        <f t="shared" si="112"/>
        <v>0</v>
      </c>
      <c r="M941" s="63">
        <f t="shared" si="113"/>
        <v>0</v>
      </c>
      <c r="N941" s="63">
        <f t="shared" si="114"/>
        <v>0</v>
      </c>
      <c r="O941" s="63">
        <f t="shared" si="115"/>
        <v>0</v>
      </c>
      <c r="P941" s="63">
        <f t="shared" si="116"/>
        <v>0</v>
      </c>
      <c r="Q941" s="561">
        <f t="shared" si="101"/>
        <v>0</v>
      </c>
      <c r="R941" s="174"/>
      <c r="T941" s="82"/>
      <c r="U941" s="82"/>
      <c r="V941" s="82"/>
      <c r="W941" s="82"/>
      <c r="X941" s="82"/>
      <c r="Y941" s="82"/>
      <c r="Z941" s="82"/>
      <c r="AA941" s="82"/>
      <c r="AB941" s="82"/>
    </row>
    <row r="942" spans="1:28" s="85" customFormat="1" x14ac:dyDescent="0.25">
      <c r="A942" s="82"/>
      <c r="B942" s="82"/>
      <c r="C942" s="82"/>
      <c r="D942" s="729"/>
      <c r="E942" s="371" t="s">
        <v>113</v>
      </c>
      <c r="F942" s="372">
        <v>3</v>
      </c>
      <c r="G942" s="373">
        <v>10</v>
      </c>
      <c r="H942" s="374">
        <v>5</v>
      </c>
      <c r="I942" s="375">
        <v>1.04</v>
      </c>
      <c r="J942" s="376">
        <f t="shared" si="94"/>
        <v>10.4</v>
      </c>
      <c r="K942" s="66">
        <f t="shared" si="111"/>
        <v>1.6016000000000001</v>
      </c>
      <c r="L942" s="63">
        <f t="shared" si="112"/>
        <v>0</v>
      </c>
      <c r="M942" s="63">
        <f t="shared" si="113"/>
        <v>0</v>
      </c>
      <c r="N942" s="63">
        <f t="shared" si="114"/>
        <v>0</v>
      </c>
      <c r="O942" s="63">
        <f t="shared" si="115"/>
        <v>0</v>
      </c>
      <c r="P942" s="63">
        <f t="shared" si="116"/>
        <v>0</v>
      </c>
      <c r="Q942" s="561">
        <f t="shared" si="101"/>
        <v>0</v>
      </c>
      <c r="R942" s="174"/>
      <c r="T942" s="82"/>
      <c r="U942" s="82"/>
      <c r="V942" s="82"/>
      <c r="W942" s="82"/>
      <c r="X942" s="82"/>
      <c r="Y942" s="82"/>
      <c r="Z942" s="82"/>
      <c r="AA942" s="82"/>
      <c r="AB942" s="82"/>
    </row>
    <row r="943" spans="1:28" s="85" customFormat="1" ht="13.8" thickBot="1" x14ac:dyDescent="0.3">
      <c r="A943" s="82"/>
      <c r="B943" s="82"/>
      <c r="C943" s="82"/>
      <c r="D943" s="729"/>
      <c r="E943" s="371" t="s">
        <v>113</v>
      </c>
      <c r="F943" s="372">
        <v>29</v>
      </c>
      <c r="G943" s="373">
        <v>8</v>
      </c>
      <c r="H943" s="374">
        <v>12.5</v>
      </c>
      <c r="I943" s="375">
        <v>3.42</v>
      </c>
      <c r="J943" s="376">
        <f t="shared" si="94"/>
        <v>27.36</v>
      </c>
      <c r="K943" s="66">
        <f t="shared" si="111"/>
        <v>0</v>
      </c>
      <c r="L943" s="63">
        <f t="shared" si="112"/>
        <v>0</v>
      </c>
      <c r="M943" s="63">
        <f t="shared" si="113"/>
        <v>0</v>
      </c>
      <c r="N943" s="63">
        <f t="shared" si="114"/>
        <v>0</v>
      </c>
      <c r="O943" s="63">
        <f t="shared" si="115"/>
        <v>26.347679999999997</v>
      </c>
      <c r="P943" s="63">
        <f t="shared" si="116"/>
        <v>0</v>
      </c>
      <c r="Q943" s="561">
        <f t="shared" si="101"/>
        <v>0</v>
      </c>
      <c r="R943" s="174"/>
      <c r="T943" s="82"/>
      <c r="U943" s="82"/>
      <c r="V943" s="82"/>
      <c r="W943" s="82"/>
      <c r="X943" s="82"/>
      <c r="Y943" s="82"/>
      <c r="Z943" s="82"/>
      <c r="AA943" s="82"/>
      <c r="AB943" s="82"/>
    </row>
    <row r="944" spans="1:28" s="85" customFormat="1" ht="13.8" thickTop="1" x14ac:dyDescent="0.25">
      <c r="A944" s="82"/>
      <c r="B944" s="82"/>
      <c r="C944" s="82"/>
      <c r="D944" s="728" t="s">
        <v>1639</v>
      </c>
      <c r="E944" s="384" t="s">
        <v>49</v>
      </c>
      <c r="F944" s="385">
        <v>4</v>
      </c>
      <c r="G944" s="386">
        <v>14</v>
      </c>
      <c r="H944" s="387">
        <v>5</v>
      </c>
      <c r="I944" s="388">
        <v>0.28999999999999998</v>
      </c>
      <c r="J944" s="389">
        <f t="shared" si="94"/>
        <v>4.0599999999999996</v>
      </c>
      <c r="K944" s="218">
        <f t="shared" si="111"/>
        <v>0.62523999999999991</v>
      </c>
      <c r="L944" s="219">
        <f t="shared" si="112"/>
        <v>0</v>
      </c>
      <c r="M944" s="219">
        <f t="shared" si="113"/>
        <v>0</v>
      </c>
      <c r="N944" s="219">
        <f t="shared" si="114"/>
        <v>0</v>
      </c>
      <c r="O944" s="219">
        <f t="shared" si="115"/>
        <v>0</v>
      </c>
      <c r="P944" s="219">
        <f t="shared" si="116"/>
        <v>0</v>
      </c>
      <c r="Q944" s="563">
        <f t="shared" si="101"/>
        <v>0</v>
      </c>
      <c r="R944" s="220"/>
      <c r="T944" s="82"/>
      <c r="U944" s="82"/>
      <c r="V944" s="82"/>
      <c r="W944" s="82"/>
      <c r="X944" s="82"/>
      <c r="Y944" s="82"/>
      <c r="Z944" s="82"/>
      <c r="AA944" s="82"/>
      <c r="AB944" s="82"/>
    </row>
    <row r="945" spans="1:28" s="85" customFormat="1" x14ac:dyDescent="0.25">
      <c r="A945" s="82"/>
      <c r="B945" s="82"/>
      <c r="C945" s="82"/>
      <c r="D945" s="729"/>
      <c r="E945" s="371" t="s">
        <v>49</v>
      </c>
      <c r="F945" s="372">
        <v>5</v>
      </c>
      <c r="G945" s="373">
        <v>4</v>
      </c>
      <c r="H945" s="374">
        <v>5</v>
      </c>
      <c r="I945" s="375">
        <v>1.87</v>
      </c>
      <c r="J945" s="376">
        <f t="shared" si="94"/>
        <v>7.48</v>
      </c>
      <c r="K945" s="66">
        <f t="shared" si="111"/>
        <v>1.1519200000000001</v>
      </c>
      <c r="L945" s="63">
        <f t="shared" si="112"/>
        <v>0</v>
      </c>
      <c r="M945" s="63">
        <f t="shared" si="113"/>
        <v>0</v>
      </c>
      <c r="N945" s="63">
        <f t="shared" si="114"/>
        <v>0</v>
      </c>
      <c r="O945" s="63">
        <f t="shared" si="115"/>
        <v>0</v>
      </c>
      <c r="P945" s="63">
        <f t="shared" si="116"/>
        <v>0</v>
      </c>
      <c r="Q945" s="561">
        <f t="shared" si="101"/>
        <v>0</v>
      </c>
      <c r="R945" s="174"/>
      <c r="T945" s="82"/>
      <c r="U945" s="82"/>
      <c r="V945" s="82"/>
      <c r="W945" s="82"/>
      <c r="X945" s="82"/>
      <c r="Y945" s="82"/>
      <c r="Z945" s="82"/>
      <c r="AA945" s="82"/>
      <c r="AB945" s="82"/>
    </row>
    <row r="946" spans="1:28" s="85" customFormat="1" x14ac:dyDescent="0.25">
      <c r="A946" s="82"/>
      <c r="B946" s="82"/>
      <c r="C946" s="82"/>
      <c r="D946" s="729"/>
      <c r="E946" s="371" t="s">
        <v>49</v>
      </c>
      <c r="F946" s="372">
        <v>6</v>
      </c>
      <c r="G946" s="373">
        <v>6</v>
      </c>
      <c r="H946" s="374">
        <v>5</v>
      </c>
      <c r="I946" s="375">
        <v>1.1399999999999999</v>
      </c>
      <c r="J946" s="376">
        <f t="shared" si="94"/>
        <v>6.84</v>
      </c>
      <c r="K946" s="66">
        <f t="shared" si="111"/>
        <v>1.0533600000000001</v>
      </c>
      <c r="L946" s="63">
        <f t="shared" si="112"/>
        <v>0</v>
      </c>
      <c r="M946" s="63">
        <f t="shared" si="113"/>
        <v>0</v>
      </c>
      <c r="N946" s="63">
        <f t="shared" si="114"/>
        <v>0</v>
      </c>
      <c r="O946" s="63">
        <f t="shared" si="115"/>
        <v>0</v>
      </c>
      <c r="P946" s="63">
        <f t="shared" si="116"/>
        <v>0</v>
      </c>
      <c r="Q946" s="561">
        <f t="shared" si="101"/>
        <v>0</v>
      </c>
      <c r="R946" s="174"/>
      <c r="T946" s="82"/>
      <c r="U946" s="82"/>
      <c r="V946" s="82"/>
      <c r="W946" s="82"/>
      <c r="X946" s="82"/>
      <c r="Y946" s="82"/>
      <c r="Z946" s="82"/>
      <c r="AA946" s="82"/>
      <c r="AB946" s="82"/>
    </row>
    <row r="947" spans="1:28" s="85" customFormat="1" x14ac:dyDescent="0.25">
      <c r="A947" s="82"/>
      <c r="B947" s="82"/>
      <c r="C947" s="82"/>
      <c r="D947" s="729"/>
      <c r="E947" s="371" t="s">
        <v>49</v>
      </c>
      <c r="F947" s="372">
        <v>26</v>
      </c>
      <c r="G947" s="373">
        <v>8</v>
      </c>
      <c r="H947" s="374">
        <v>12.5</v>
      </c>
      <c r="I947" s="375">
        <v>1.5</v>
      </c>
      <c r="J947" s="376">
        <f t="shared" si="94"/>
        <v>12</v>
      </c>
      <c r="K947" s="66">
        <f t="shared" si="111"/>
        <v>0</v>
      </c>
      <c r="L947" s="63">
        <f t="shared" si="112"/>
        <v>0</v>
      </c>
      <c r="M947" s="63">
        <f t="shared" si="113"/>
        <v>0</v>
      </c>
      <c r="N947" s="63">
        <f t="shared" si="114"/>
        <v>0</v>
      </c>
      <c r="O947" s="63">
        <f t="shared" si="115"/>
        <v>11.555999999999999</v>
      </c>
      <c r="P947" s="63">
        <f t="shared" si="116"/>
        <v>0</v>
      </c>
      <c r="Q947" s="561">
        <f t="shared" si="101"/>
        <v>0</v>
      </c>
      <c r="R947" s="174"/>
      <c r="T947" s="82"/>
      <c r="U947" s="82"/>
      <c r="V947" s="82"/>
      <c r="W947" s="82"/>
      <c r="X947" s="82"/>
      <c r="Y947" s="82"/>
      <c r="Z947" s="82"/>
      <c r="AA947" s="82"/>
      <c r="AB947" s="82"/>
    </row>
    <row r="948" spans="1:28" s="85" customFormat="1" x14ac:dyDescent="0.25">
      <c r="A948" s="82"/>
      <c r="B948" s="82"/>
      <c r="C948" s="82"/>
      <c r="D948" s="729"/>
      <c r="E948" s="371" t="s">
        <v>113</v>
      </c>
      <c r="F948" s="372">
        <v>4</v>
      </c>
      <c r="G948" s="373">
        <v>48</v>
      </c>
      <c r="H948" s="374">
        <v>5</v>
      </c>
      <c r="I948" s="375">
        <v>0.28999999999999998</v>
      </c>
      <c r="J948" s="376">
        <f t="shared" si="94"/>
        <v>13.919999999999998</v>
      </c>
      <c r="K948" s="66">
        <f t="shared" si="111"/>
        <v>2.1436799999999998</v>
      </c>
      <c r="L948" s="63">
        <f t="shared" si="112"/>
        <v>0</v>
      </c>
      <c r="M948" s="63">
        <f t="shared" si="113"/>
        <v>0</v>
      </c>
      <c r="N948" s="63">
        <f t="shared" si="114"/>
        <v>0</v>
      </c>
      <c r="O948" s="63">
        <f t="shared" si="115"/>
        <v>0</v>
      </c>
      <c r="P948" s="63">
        <f t="shared" si="116"/>
        <v>0</v>
      </c>
      <c r="Q948" s="561">
        <f t="shared" si="101"/>
        <v>0</v>
      </c>
      <c r="R948" s="174"/>
      <c r="T948" s="82"/>
      <c r="U948" s="82"/>
      <c r="V948" s="82"/>
      <c r="W948" s="82"/>
      <c r="X948" s="82"/>
      <c r="Y948" s="82"/>
      <c r="Z948" s="82"/>
      <c r="AA948" s="82"/>
      <c r="AB948" s="82"/>
    </row>
    <row r="949" spans="1:28" s="85" customFormat="1" x14ac:dyDescent="0.25">
      <c r="A949" s="82"/>
      <c r="B949" s="82"/>
      <c r="C949" s="82"/>
      <c r="D949" s="729"/>
      <c r="E949" s="371" t="s">
        <v>113</v>
      </c>
      <c r="F949" s="372">
        <v>5</v>
      </c>
      <c r="G949" s="373">
        <v>20</v>
      </c>
      <c r="H949" s="374">
        <v>5</v>
      </c>
      <c r="I949" s="375">
        <v>1.87</v>
      </c>
      <c r="J949" s="376">
        <f t="shared" si="94"/>
        <v>37.400000000000006</v>
      </c>
      <c r="K949" s="66">
        <f t="shared" si="111"/>
        <v>5.7596000000000007</v>
      </c>
      <c r="L949" s="63">
        <f t="shared" si="112"/>
        <v>0</v>
      </c>
      <c r="M949" s="63">
        <f t="shared" si="113"/>
        <v>0</v>
      </c>
      <c r="N949" s="63">
        <f t="shared" si="114"/>
        <v>0</v>
      </c>
      <c r="O949" s="63">
        <f t="shared" si="115"/>
        <v>0</v>
      </c>
      <c r="P949" s="63">
        <f t="shared" si="116"/>
        <v>0</v>
      </c>
      <c r="Q949" s="561">
        <f t="shared" si="101"/>
        <v>0</v>
      </c>
      <c r="R949" s="174"/>
      <c r="T949" s="82"/>
      <c r="U949" s="82"/>
      <c r="V949" s="82"/>
      <c r="W949" s="82"/>
      <c r="X949" s="82"/>
      <c r="Y949" s="82"/>
      <c r="Z949" s="82"/>
      <c r="AA949" s="82"/>
      <c r="AB949" s="82"/>
    </row>
    <row r="950" spans="1:28" s="85" customFormat="1" x14ac:dyDescent="0.25">
      <c r="A950" s="82"/>
      <c r="B950" s="82"/>
      <c r="C950" s="82"/>
      <c r="D950" s="729"/>
      <c r="E950" s="371" t="s">
        <v>113</v>
      </c>
      <c r="F950" s="372">
        <v>6</v>
      </c>
      <c r="G950" s="373">
        <v>8</v>
      </c>
      <c r="H950" s="374">
        <v>5</v>
      </c>
      <c r="I950" s="375">
        <v>1.1399999999999999</v>
      </c>
      <c r="J950" s="376">
        <f t="shared" si="94"/>
        <v>9.1199999999999992</v>
      </c>
      <c r="K950" s="66">
        <f t="shared" si="111"/>
        <v>1.40448</v>
      </c>
      <c r="L950" s="63">
        <f t="shared" si="112"/>
        <v>0</v>
      </c>
      <c r="M950" s="63">
        <f t="shared" si="113"/>
        <v>0</v>
      </c>
      <c r="N950" s="63">
        <f t="shared" si="114"/>
        <v>0</v>
      </c>
      <c r="O950" s="63">
        <f t="shared" si="115"/>
        <v>0</v>
      </c>
      <c r="P950" s="63">
        <f t="shared" si="116"/>
        <v>0</v>
      </c>
      <c r="Q950" s="561">
        <f t="shared" si="101"/>
        <v>0</v>
      </c>
      <c r="R950" s="174"/>
      <c r="T950" s="82"/>
      <c r="U950" s="82"/>
      <c r="V950" s="82"/>
      <c r="W950" s="82"/>
      <c r="X950" s="82"/>
      <c r="Y950" s="82"/>
      <c r="Z950" s="82"/>
      <c r="AA950" s="82"/>
      <c r="AB950" s="82"/>
    </row>
    <row r="951" spans="1:28" s="85" customFormat="1" x14ac:dyDescent="0.25">
      <c r="A951" s="82"/>
      <c r="B951" s="82"/>
      <c r="C951" s="82"/>
      <c r="D951" s="729"/>
      <c r="E951" s="371" t="s">
        <v>113</v>
      </c>
      <c r="F951" s="372">
        <v>30</v>
      </c>
      <c r="G951" s="373">
        <v>8</v>
      </c>
      <c r="H951" s="374">
        <v>12.5</v>
      </c>
      <c r="I951" s="375">
        <v>3.87</v>
      </c>
      <c r="J951" s="376">
        <f t="shared" si="94"/>
        <v>30.96</v>
      </c>
      <c r="K951" s="66">
        <f t="shared" si="111"/>
        <v>0</v>
      </c>
      <c r="L951" s="63">
        <f t="shared" si="112"/>
        <v>0</v>
      </c>
      <c r="M951" s="63">
        <f t="shared" si="113"/>
        <v>0</v>
      </c>
      <c r="N951" s="63">
        <f t="shared" si="114"/>
        <v>0</v>
      </c>
      <c r="O951" s="63">
        <f t="shared" si="115"/>
        <v>29.81448</v>
      </c>
      <c r="P951" s="63">
        <f t="shared" si="116"/>
        <v>0</v>
      </c>
      <c r="Q951" s="561">
        <f t="shared" si="101"/>
        <v>0</v>
      </c>
      <c r="R951" s="174"/>
      <c r="T951" s="82"/>
      <c r="U951" s="82"/>
      <c r="V951" s="82"/>
      <c r="W951" s="82"/>
      <c r="X951" s="82"/>
      <c r="Y951" s="82"/>
      <c r="Z951" s="82"/>
      <c r="AA951" s="82"/>
      <c r="AB951" s="82"/>
    </row>
    <row r="952" spans="1:28" s="85" customFormat="1" x14ac:dyDescent="0.25">
      <c r="A952" s="82"/>
      <c r="B952" s="82"/>
      <c r="C952" s="82"/>
      <c r="D952" s="729"/>
      <c r="E952" s="396" t="s">
        <v>184</v>
      </c>
      <c r="F952" s="403">
        <v>1</v>
      </c>
      <c r="G952" s="397">
        <v>14</v>
      </c>
      <c r="H952" s="398">
        <v>5</v>
      </c>
      <c r="I952" s="399">
        <v>0.28999999999999998</v>
      </c>
      <c r="J952" s="400">
        <f t="shared" si="94"/>
        <v>4.0599999999999996</v>
      </c>
      <c r="K952" s="401">
        <f t="shared" si="111"/>
        <v>0.62523999999999991</v>
      </c>
      <c r="L952" s="196">
        <f t="shared" si="112"/>
        <v>0</v>
      </c>
      <c r="M952" s="196">
        <f t="shared" si="113"/>
        <v>0</v>
      </c>
      <c r="N952" s="196">
        <f t="shared" si="114"/>
        <v>0</v>
      </c>
      <c r="O952" s="196">
        <f t="shared" si="115"/>
        <v>0</v>
      </c>
      <c r="P952" s="196">
        <f t="shared" si="116"/>
        <v>0</v>
      </c>
      <c r="Q952" s="566">
        <f t="shared" si="101"/>
        <v>0</v>
      </c>
      <c r="R952" s="538"/>
      <c r="T952" s="82"/>
      <c r="U952" s="82"/>
      <c r="V952" s="82"/>
      <c r="W952" s="82"/>
      <c r="X952" s="82"/>
      <c r="Y952" s="82"/>
      <c r="Z952" s="82"/>
      <c r="AA952" s="82"/>
      <c r="AB952" s="82"/>
    </row>
    <row r="953" spans="1:28" s="85" customFormat="1" x14ac:dyDescent="0.25">
      <c r="A953" s="82"/>
      <c r="B953" s="82"/>
      <c r="C953" s="82"/>
      <c r="D953" s="729"/>
      <c r="E953" s="371" t="s">
        <v>184</v>
      </c>
      <c r="F953" s="372">
        <v>2</v>
      </c>
      <c r="G953" s="373">
        <v>6</v>
      </c>
      <c r="H953" s="374">
        <v>5</v>
      </c>
      <c r="I953" s="375">
        <v>1.87</v>
      </c>
      <c r="J953" s="376">
        <f t="shared" si="94"/>
        <v>11.22</v>
      </c>
      <c r="K953" s="66">
        <f t="shared" si="111"/>
        <v>1.7278800000000001</v>
      </c>
      <c r="L953" s="63">
        <f t="shared" si="112"/>
        <v>0</v>
      </c>
      <c r="M953" s="63">
        <f t="shared" si="113"/>
        <v>0</v>
      </c>
      <c r="N953" s="63">
        <f t="shared" si="114"/>
        <v>0</v>
      </c>
      <c r="O953" s="63">
        <f t="shared" si="115"/>
        <v>0</v>
      </c>
      <c r="P953" s="63">
        <f t="shared" si="116"/>
        <v>0</v>
      </c>
      <c r="Q953" s="562">
        <f t="shared" si="101"/>
        <v>0</v>
      </c>
      <c r="R953" s="377"/>
      <c r="T953" s="82"/>
      <c r="U953" s="82"/>
      <c r="V953" s="82"/>
      <c r="W953" s="82"/>
      <c r="X953" s="82"/>
      <c r="Y953" s="82"/>
      <c r="Z953" s="82"/>
      <c r="AA953" s="82"/>
      <c r="AB953" s="82"/>
    </row>
    <row r="954" spans="1:28" s="85" customFormat="1" x14ac:dyDescent="0.25">
      <c r="A954" s="82"/>
      <c r="B954" s="82"/>
      <c r="C954" s="82"/>
      <c r="D954" s="729"/>
      <c r="E954" s="371" t="s">
        <v>184</v>
      </c>
      <c r="F954" s="372">
        <v>3</v>
      </c>
      <c r="G954" s="373">
        <v>2</v>
      </c>
      <c r="H954" s="374">
        <v>5</v>
      </c>
      <c r="I954" s="375">
        <v>1.1399999999999999</v>
      </c>
      <c r="J954" s="376">
        <f t="shared" si="94"/>
        <v>2.2799999999999998</v>
      </c>
      <c r="K954" s="66">
        <f t="shared" si="111"/>
        <v>0.35111999999999999</v>
      </c>
      <c r="L954" s="63">
        <f t="shared" si="112"/>
        <v>0</v>
      </c>
      <c r="M954" s="63">
        <f t="shared" si="113"/>
        <v>0</v>
      </c>
      <c r="N954" s="63">
        <f t="shared" si="114"/>
        <v>0</v>
      </c>
      <c r="O954" s="63">
        <f t="shared" si="115"/>
        <v>0</v>
      </c>
      <c r="P954" s="63">
        <f t="shared" si="116"/>
        <v>0</v>
      </c>
      <c r="Q954" s="562">
        <f t="shared" si="101"/>
        <v>0</v>
      </c>
      <c r="R954" s="377"/>
      <c r="T954" s="82"/>
      <c r="U954" s="82"/>
      <c r="V954" s="82"/>
      <c r="W954" s="82"/>
      <c r="X954" s="82"/>
      <c r="Y954" s="82"/>
      <c r="Z954" s="82"/>
      <c r="AA954" s="82"/>
      <c r="AB954" s="82"/>
    </row>
    <row r="955" spans="1:28" s="85" customFormat="1" ht="13.8" thickBot="1" x14ac:dyDescent="0.3">
      <c r="A955" s="82"/>
      <c r="B955" s="82"/>
      <c r="C955" s="82"/>
      <c r="D955" s="731"/>
      <c r="E955" s="390" t="s">
        <v>184</v>
      </c>
      <c r="F955" s="391">
        <v>55</v>
      </c>
      <c r="G955" s="392">
        <v>8</v>
      </c>
      <c r="H955" s="393">
        <v>12.5</v>
      </c>
      <c r="I955" s="394">
        <v>1.02</v>
      </c>
      <c r="J955" s="395">
        <f t="shared" si="94"/>
        <v>8.16</v>
      </c>
      <c r="K955" s="221">
        <f t="shared" si="111"/>
        <v>0</v>
      </c>
      <c r="L955" s="222">
        <f t="shared" si="112"/>
        <v>0</v>
      </c>
      <c r="M955" s="222">
        <f t="shared" si="113"/>
        <v>0</v>
      </c>
      <c r="N955" s="222">
        <f t="shared" si="114"/>
        <v>0</v>
      </c>
      <c r="O955" s="222">
        <f t="shared" si="115"/>
        <v>7.8580800000000002</v>
      </c>
      <c r="P955" s="222">
        <f t="shared" si="116"/>
        <v>0</v>
      </c>
      <c r="Q955" s="564">
        <f t="shared" si="101"/>
        <v>0</v>
      </c>
      <c r="R955" s="539"/>
      <c r="T955" s="82"/>
      <c r="U955" s="82"/>
      <c r="V955" s="82"/>
      <c r="W955" s="82"/>
      <c r="X955" s="82"/>
      <c r="Y955" s="82"/>
      <c r="Z955" s="82"/>
      <c r="AA955" s="82"/>
      <c r="AB955" s="82"/>
    </row>
    <row r="956" spans="1:28" s="85" customFormat="1" ht="13.8" thickTop="1" x14ac:dyDescent="0.25">
      <c r="A956" s="82"/>
      <c r="B956" s="82"/>
      <c r="C956" s="82"/>
      <c r="D956" s="728" t="s">
        <v>1641</v>
      </c>
      <c r="E956" s="384" t="s">
        <v>49</v>
      </c>
      <c r="F956" s="385">
        <v>1</v>
      </c>
      <c r="G956" s="386">
        <v>20</v>
      </c>
      <c r="H956" s="387">
        <v>5</v>
      </c>
      <c r="I956" s="388">
        <v>0.24</v>
      </c>
      <c r="J956" s="389">
        <f t="shared" si="94"/>
        <v>4.8</v>
      </c>
      <c r="K956" s="218">
        <f t="shared" si="111"/>
        <v>0.73919999999999997</v>
      </c>
      <c r="L956" s="219">
        <f t="shared" si="112"/>
        <v>0</v>
      </c>
      <c r="M956" s="219">
        <f t="shared" si="113"/>
        <v>0</v>
      </c>
      <c r="N956" s="219">
        <f t="shared" si="114"/>
        <v>0</v>
      </c>
      <c r="O956" s="219">
        <f t="shared" si="115"/>
        <v>0</v>
      </c>
      <c r="P956" s="219">
        <f t="shared" si="116"/>
        <v>0</v>
      </c>
      <c r="Q956" s="563">
        <f t="shared" si="101"/>
        <v>0</v>
      </c>
      <c r="R956" s="220"/>
      <c r="T956" s="82"/>
      <c r="U956" s="82"/>
      <c r="V956" s="82"/>
      <c r="W956" s="82"/>
      <c r="X956" s="82"/>
      <c r="Y956" s="82"/>
      <c r="Z956" s="82"/>
      <c r="AA956" s="82"/>
      <c r="AB956" s="82"/>
    </row>
    <row r="957" spans="1:28" s="85" customFormat="1" x14ac:dyDescent="0.25">
      <c r="A957" s="82"/>
      <c r="B957" s="82"/>
      <c r="C957" s="82"/>
      <c r="D957" s="729"/>
      <c r="E957" s="371" t="s">
        <v>49</v>
      </c>
      <c r="F957" s="372">
        <v>7</v>
      </c>
      <c r="G957" s="373">
        <v>6</v>
      </c>
      <c r="H957" s="374">
        <v>5</v>
      </c>
      <c r="I957" s="375">
        <v>0.97</v>
      </c>
      <c r="J957" s="376">
        <f t="shared" si="94"/>
        <v>5.82</v>
      </c>
      <c r="K957" s="66">
        <f t="shared" si="111"/>
        <v>0.89628000000000008</v>
      </c>
      <c r="L957" s="63">
        <f t="shared" si="112"/>
        <v>0</v>
      </c>
      <c r="M957" s="63">
        <f t="shared" si="113"/>
        <v>0</v>
      </c>
      <c r="N957" s="63">
        <f t="shared" si="114"/>
        <v>0</v>
      </c>
      <c r="O957" s="63">
        <f t="shared" si="115"/>
        <v>0</v>
      </c>
      <c r="P957" s="63">
        <f t="shared" si="116"/>
        <v>0</v>
      </c>
      <c r="Q957" s="561">
        <f t="shared" si="101"/>
        <v>0</v>
      </c>
      <c r="R957" s="174"/>
      <c r="T957" s="82"/>
      <c r="U957" s="82"/>
      <c r="V957" s="82"/>
      <c r="W957" s="82"/>
      <c r="X957" s="82"/>
      <c r="Y957" s="82"/>
      <c r="Z957" s="82"/>
      <c r="AA957" s="82"/>
      <c r="AB957" s="82"/>
    </row>
    <row r="958" spans="1:28" s="85" customFormat="1" x14ac:dyDescent="0.25">
      <c r="A958" s="82"/>
      <c r="B958" s="82"/>
      <c r="C958" s="82"/>
      <c r="D958" s="729"/>
      <c r="E958" s="371" t="s">
        <v>49</v>
      </c>
      <c r="F958" s="372">
        <v>8</v>
      </c>
      <c r="G958" s="373">
        <v>8</v>
      </c>
      <c r="H958" s="374">
        <v>5</v>
      </c>
      <c r="I958" s="375">
        <v>0.64</v>
      </c>
      <c r="J958" s="376">
        <f t="shared" si="94"/>
        <v>5.12</v>
      </c>
      <c r="K958" s="66">
        <f t="shared" si="111"/>
        <v>0.78847999999999996</v>
      </c>
      <c r="L958" s="63">
        <f t="shared" si="112"/>
        <v>0</v>
      </c>
      <c r="M958" s="63">
        <f t="shared" si="113"/>
        <v>0</v>
      </c>
      <c r="N958" s="63">
        <f t="shared" si="114"/>
        <v>0</v>
      </c>
      <c r="O958" s="63">
        <f t="shared" si="115"/>
        <v>0</v>
      </c>
      <c r="P958" s="63">
        <f t="shared" si="116"/>
        <v>0</v>
      </c>
      <c r="Q958" s="561">
        <f t="shared" si="101"/>
        <v>0</v>
      </c>
      <c r="R958" s="174"/>
      <c r="T958" s="82"/>
      <c r="U958" s="82"/>
      <c r="V958" s="82"/>
      <c r="W958" s="82"/>
      <c r="X958" s="82"/>
      <c r="Y958" s="82"/>
      <c r="Z958" s="82"/>
      <c r="AA958" s="82"/>
      <c r="AB958" s="82"/>
    </row>
    <row r="959" spans="1:28" s="85" customFormat="1" x14ac:dyDescent="0.25">
      <c r="A959" s="82"/>
      <c r="B959" s="82"/>
      <c r="C959" s="82"/>
      <c r="D959" s="729"/>
      <c r="E959" s="371" t="s">
        <v>49</v>
      </c>
      <c r="F959" s="372">
        <v>25</v>
      </c>
      <c r="G959" s="373">
        <v>8</v>
      </c>
      <c r="H959" s="374">
        <v>12.5</v>
      </c>
      <c r="I959" s="375">
        <v>1.55</v>
      </c>
      <c r="J959" s="376">
        <f t="shared" si="94"/>
        <v>12.4</v>
      </c>
      <c r="K959" s="66">
        <f t="shared" si="111"/>
        <v>0</v>
      </c>
      <c r="L959" s="63">
        <f t="shared" si="112"/>
        <v>0</v>
      </c>
      <c r="M959" s="63">
        <f t="shared" si="113"/>
        <v>0</v>
      </c>
      <c r="N959" s="63">
        <f t="shared" si="114"/>
        <v>0</v>
      </c>
      <c r="O959" s="63">
        <f t="shared" si="115"/>
        <v>11.9412</v>
      </c>
      <c r="P959" s="63">
        <f t="shared" si="116"/>
        <v>0</v>
      </c>
      <c r="Q959" s="561">
        <f t="shared" si="101"/>
        <v>0</v>
      </c>
      <c r="R959" s="174"/>
      <c r="T959" s="82"/>
      <c r="U959" s="82"/>
      <c r="V959" s="82"/>
      <c r="W959" s="82"/>
      <c r="X959" s="82"/>
      <c r="Y959" s="82"/>
      <c r="Z959" s="82"/>
      <c r="AA959" s="82"/>
      <c r="AB959" s="82"/>
    </row>
    <row r="960" spans="1:28" s="85" customFormat="1" x14ac:dyDescent="0.25">
      <c r="A960" s="82"/>
      <c r="B960" s="82"/>
      <c r="C960" s="82"/>
      <c r="D960" s="729"/>
      <c r="E960" s="371" t="s">
        <v>113</v>
      </c>
      <c r="F960" s="372">
        <v>1</v>
      </c>
      <c r="G960" s="373">
        <v>48</v>
      </c>
      <c r="H960" s="374">
        <v>5</v>
      </c>
      <c r="I960" s="375">
        <v>0.24</v>
      </c>
      <c r="J960" s="376">
        <f t="shared" si="94"/>
        <v>11.52</v>
      </c>
      <c r="K960" s="66">
        <f t="shared" si="111"/>
        <v>1.7740799999999999</v>
      </c>
      <c r="L960" s="63">
        <f t="shared" si="112"/>
        <v>0</v>
      </c>
      <c r="M960" s="63">
        <f t="shared" si="113"/>
        <v>0</v>
      </c>
      <c r="N960" s="63">
        <f t="shared" si="114"/>
        <v>0</v>
      </c>
      <c r="O960" s="63">
        <f t="shared" si="115"/>
        <v>0</v>
      </c>
      <c r="P960" s="63">
        <f t="shared" si="116"/>
        <v>0</v>
      </c>
      <c r="Q960" s="561">
        <f t="shared" si="101"/>
        <v>0</v>
      </c>
      <c r="R960" s="174"/>
      <c r="T960" s="82"/>
      <c r="U960" s="82"/>
      <c r="V960" s="82"/>
      <c r="W960" s="82"/>
      <c r="X960" s="82"/>
      <c r="Y960" s="82"/>
      <c r="Z960" s="82"/>
      <c r="AA960" s="82"/>
      <c r="AB960" s="82"/>
    </row>
    <row r="961" spans="1:28" s="85" customFormat="1" x14ac:dyDescent="0.25">
      <c r="A961" s="82"/>
      <c r="B961" s="82"/>
      <c r="C961" s="82"/>
      <c r="D961" s="729"/>
      <c r="E961" s="371" t="s">
        <v>113</v>
      </c>
      <c r="F961" s="372">
        <v>7</v>
      </c>
      <c r="G961" s="373">
        <v>20</v>
      </c>
      <c r="H961" s="374">
        <v>5</v>
      </c>
      <c r="I961" s="375">
        <v>0.97</v>
      </c>
      <c r="J961" s="376">
        <f t="shared" si="94"/>
        <v>19.399999999999999</v>
      </c>
      <c r="K961" s="66">
        <f t="shared" si="111"/>
        <v>2.9875999999999996</v>
      </c>
      <c r="L961" s="63">
        <f t="shared" si="112"/>
        <v>0</v>
      </c>
      <c r="M961" s="63">
        <f t="shared" si="113"/>
        <v>0</v>
      </c>
      <c r="N961" s="63">
        <f t="shared" si="114"/>
        <v>0</v>
      </c>
      <c r="O961" s="63">
        <f t="shared" si="115"/>
        <v>0</v>
      </c>
      <c r="P961" s="63">
        <f t="shared" si="116"/>
        <v>0</v>
      </c>
      <c r="Q961" s="561">
        <f t="shared" si="101"/>
        <v>0</v>
      </c>
      <c r="R961" s="174"/>
      <c r="T961" s="82"/>
      <c r="U961" s="82"/>
      <c r="V961" s="82"/>
      <c r="W961" s="82"/>
      <c r="X961" s="82"/>
      <c r="Y961" s="82"/>
      <c r="Z961" s="82"/>
      <c r="AA961" s="82"/>
      <c r="AB961" s="82"/>
    </row>
    <row r="962" spans="1:28" s="85" customFormat="1" x14ac:dyDescent="0.25">
      <c r="A962" s="82"/>
      <c r="B962" s="82"/>
      <c r="C962" s="82"/>
      <c r="D962" s="729"/>
      <c r="E962" s="371" t="s">
        <v>113</v>
      </c>
      <c r="F962" s="372">
        <v>8</v>
      </c>
      <c r="G962" s="373">
        <v>8</v>
      </c>
      <c r="H962" s="374">
        <v>5</v>
      </c>
      <c r="I962" s="375">
        <v>0.64</v>
      </c>
      <c r="J962" s="376">
        <f t="shared" si="94"/>
        <v>5.12</v>
      </c>
      <c r="K962" s="66">
        <f t="shared" si="111"/>
        <v>0.78847999999999996</v>
      </c>
      <c r="L962" s="63">
        <f t="shared" si="112"/>
        <v>0</v>
      </c>
      <c r="M962" s="63">
        <f t="shared" si="113"/>
        <v>0</v>
      </c>
      <c r="N962" s="63">
        <f t="shared" si="114"/>
        <v>0</v>
      </c>
      <c r="O962" s="63">
        <f t="shared" si="115"/>
        <v>0</v>
      </c>
      <c r="P962" s="63">
        <f t="shared" si="116"/>
        <v>0</v>
      </c>
      <c r="Q962" s="561">
        <f t="shared" si="101"/>
        <v>0</v>
      </c>
      <c r="R962" s="174"/>
      <c r="T962" s="82"/>
      <c r="U962" s="82"/>
      <c r="V962" s="82"/>
      <c r="W962" s="82"/>
      <c r="X962" s="82"/>
      <c r="Y962" s="82"/>
      <c r="Z962" s="82"/>
      <c r="AA962" s="82"/>
      <c r="AB962" s="82"/>
    </row>
    <row r="963" spans="1:28" s="85" customFormat="1" x14ac:dyDescent="0.25">
      <c r="A963" s="82"/>
      <c r="B963" s="82"/>
      <c r="C963" s="82"/>
      <c r="D963" s="729"/>
      <c r="E963" s="371" t="s">
        <v>113</v>
      </c>
      <c r="F963" s="372">
        <v>30</v>
      </c>
      <c r="G963" s="373">
        <v>8</v>
      </c>
      <c r="H963" s="374">
        <v>12.5</v>
      </c>
      <c r="I963" s="375">
        <v>3.87</v>
      </c>
      <c r="J963" s="376">
        <f t="shared" si="94"/>
        <v>30.96</v>
      </c>
      <c r="K963" s="66">
        <f t="shared" si="111"/>
        <v>0</v>
      </c>
      <c r="L963" s="63">
        <f t="shared" si="112"/>
        <v>0</v>
      </c>
      <c r="M963" s="63">
        <f t="shared" si="113"/>
        <v>0</v>
      </c>
      <c r="N963" s="63">
        <f t="shared" si="114"/>
        <v>0</v>
      </c>
      <c r="O963" s="63">
        <f t="shared" si="115"/>
        <v>29.81448</v>
      </c>
      <c r="P963" s="63">
        <f t="shared" si="116"/>
        <v>0</v>
      </c>
      <c r="Q963" s="561">
        <f t="shared" si="101"/>
        <v>0</v>
      </c>
      <c r="R963" s="174"/>
      <c r="T963" s="82"/>
      <c r="U963" s="82"/>
      <c r="V963" s="82"/>
      <c r="W963" s="82"/>
      <c r="X963" s="82"/>
      <c r="Y963" s="82"/>
      <c r="Z963" s="82"/>
      <c r="AA963" s="82"/>
      <c r="AB963" s="82"/>
    </row>
    <row r="964" spans="1:28" s="85" customFormat="1" x14ac:dyDescent="0.25">
      <c r="A964" s="82"/>
      <c r="B964" s="82"/>
      <c r="C964" s="82"/>
      <c r="D964" s="729"/>
      <c r="E964" s="396" t="s">
        <v>184</v>
      </c>
      <c r="F964" s="403">
        <v>4</v>
      </c>
      <c r="G964" s="397">
        <v>14</v>
      </c>
      <c r="H964" s="398">
        <v>5</v>
      </c>
      <c r="I964" s="399">
        <v>0.24</v>
      </c>
      <c r="J964" s="400">
        <f t="shared" si="94"/>
        <v>3.36</v>
      </c>
      <c r="K964" s="401">
        <f t="shared" si="111"/>
        <v>0.51744000000000001</v>
      </c>
      <c r="L964" s="196">
        <f t="shared" si="112"/>
        <v>0</v>
      </c>
      <c r="M964" s="196">
        <f t="shared" si="113"/>
        <v>0</v>
      </c>
      <c r="N964" s="196">
        <f t="shared" si="114"/>
        <v>0</v>
      </c>
      <c r="O964" s="196">
        <f t="shared" si="115"/>
        <v>0</v>
      </c>
      <c r="P964" s="196">
        <f t="shared" si="116"/>
        <v>0</v>
      </c>
      <c r="Q964" s="566">
        <f t="shared" si="101"/>
        <v>0</v>
      </c>
      <c r="R964" s="538"/>
      <c r="T964" s="82"/>
      <c r="U964" s="82"/>
      <c r="V964" s="82"/>
      <c r="W964" s="82"/>
      <c r="X964" s="82"/>
      <c r="Y964" s="82"/>
      <c r="Z964" s="82"/>
      <c r="AA964" s="82"/>
      <c r="AB964" s="82"/>
    </row>
    <row r="965" spans="1:28" s="85" customFormat="1" x14ac:dyDescent="0.25">
      <c r="A965" s="82"/>
      <c r="B965" s="82"/>
      <c r="C965" s="82"/>
      <c r="D965" s="729"/>
      <c r="E965" s="371" t="s">
        <v>184</v>
      </c>
      <c r="F965" s="372">
        <v>5</v>
      </c>
      <c r="G965" s="373">
        <v>6</v>
      </c>
      <c r="H965" s="374">
        <v>5</v>
      </c>
      <c r="I965" s="375">
        <v>0.97</v>
      </c>
      <c r="J965" s="376">
        <f t="shared" si="94"/>
        <v>5.82</v>
      </c>
      <c r="K965" s="66">
        <f t="shared" si="111"/>
        <v>0.89628000000000008</v>
      </c>
      <c r="L965" s="63">
        <f t="shared" si="112"/>
        <v>0</v>
      </c>
      <c r="M965" s="63">
        <f t="shared" si="113"/>
        <v>0</v>
      </c>
      <c r="N965" s="63">
        <f t="shared" si="114"/>
        <v>0</v>
      </c>
      <c r="O965" s="63">
        <f t="shared" si="115"/>
        <v>0</v>
      </c>
      <c r="P965" s="63">
        <f t="shared" si="116"/>
        <v>0</v>
      </c>
      <c r="Q965" s="562">
        <f t="shared" si="101"/>
        <v>0</v>
      </c>
      <c r="R965" s="377"/>
      <c r="T965" s="82"/>
      <c r="U965" s="82"/>
      <c r="V965" s="82"/>
      <c r="W965" s="82"/>
      <c r="X965" s="82"/>
      <c r="Y965" s="82"/>
      <c r="Z965" s="82"/>
      <c r="AA965" s="82"/>
      <c r="AB965" s="82"/>
    </row>
    <row r="966" spans="1:28" s="85" customFormat="1" x14ac:dyDescent="0.25">
      <c r="A966" s="82"/>
      <c r="B966" s="82"/>
      <c r="C966" s="82"/>
      <c r="D966" s="729"/>
      <c r="E966" s="371" t="s">
        <v>184</v>
      </c>
      <c r="F966" s="372">
        <v>6</v>
      </c>
      <c r="G966" s="373">
        <v>2</v>
      </c>
      <c r="H966" s="374">
        <v>5</v>
      </c>
      <c r="I966" s="375">
        <v>0.64</v>
      </c>
      <c r="J966" s="376">
        <f t="shared" si="94"/>
        <v>1.28</v>
      </c>
      <c r="K966" s="66">
        <f t="shared" si="111"/>
        <v>0.19711999999999999</v>
      </c>
      <c r="L966" s="63">
        <f t="shared" si="112"/>
        <v>0</v>
      </c>
      <c r="M966" s="63">
        <f t="shared" si="113"/>
        <v>0</v>
      </c>
      <c r="N966" s="63">
        <f t="shared" si="114"/>
        <v>0</v>
      </c>
      <c r="O966" s="63">
        <f t="shared" si="115"/>
        <v>0</v>
      </c>
      <c r="P966" s="63">
        <f t="shared" si="116"/>
        <v>0</v>
      </c>
      <c r="Q966" s="562">
        <f t="shared" si="101"/>
        <v>0</v>
      </c>
      <c r="R966" s="377"/>
      <c r="T966" s="82"/>
      <c r="U966" s="82"/>
      <c r="V966" s="82"/>
      <c r="W966" s="82"/>
      <c r="X966" s="82"/>
      <c r="Y966" s="82"/>
      <c r="Z966" s="82"/>
      <c r="AA966" s="82"/>
      <c r="AB966" s="82"/>
    </row>
    <row r="967" spans="1:28" s="85" customFormat="1" ht="13.8" thickBot="1" x14ac:dyDescent="0.3">
      <c r="A967" s="82"/>
      <c r="B967" s="82"/>
      <c r="C967" s="82"/>
      <c r="D967" s="731"/>
      <c r="E967" s="390" t="s">
        <v>184</v>
      </c>
      <c r="F967" s="391">
        <v>55</v>
      </c>
      <c r="G967" s="392">
        <v>8</v>
      </c>
      <c r="H967" s="393">
        <v>12.5</v>
      </c>
      <c r="I967" s="394">
        <v>1.02</v>
      </c>
      <c r="J967" s="395">
        <f t="shared" si="94"/>
        <v>8.16</v>
      </c>
      <c r="K967" s="221">
        <f t="shared" si="111"/>
        <v>0</v>
      </c>
      <c r="L967" s="222">
        <f t="shared" si="112"/>
        <v>0</v>
      </c>
      <c r="M967" s="222">
        <f t="shared" si="113"/>
        <v>0</v>
      </c>
      <c r="N967" s="222">
        <f t="shared" si="114"/>
        <v>0</v>
      </c>
      <c r="O967" s="222">
        <f t="shared" si="115"/>
        <v>7.8580800000000002</v>
      </c>
      <c r="P967" s="222">
        <f t="shared" si="116"/>
        <v>0</v>
      </c>
      <c r="Q967" s="564">
        <f t="shared" si="101"/>
        <v>0</v>
      </c>
      <c r="R967" s="539"/>
      <c r="T967" s="82"/>
      <c r="U967" s="82"/>
      <c r="V967" s="82"/>
      <c r="W967" s="82"/>
      <c r="X967" s="82"/>
      <c r="Y967" s="82"/>
      <c r="Z967" s="82"/>
      <c r="AA967" s="82"/>
      <c r="AB967" s="82"/>
    </row>
    <row r="968" spans="1:28" s="85" customFormat="1" ht="13.8" thickTop="1" x14ac:dyDescent="0.25">
      <c r="A968" s="82"/>
      <c r="B968" s="82"/>
      <c r="C968" s="82"/>
      <c r="D968" s="728" t="s">
        <v>1642</v>
      </c>
      <c r="E968" s="384" t="s">
        <v>49</v>
      </c>
      <c r="F968" s="385">
        <v>1</v>
      </c>
      <c r="G968" s="386">
        <v>24</v>
      </c>
      <c r="H968" s="387">
        <v>5</v>
      </c>
      <c r="I968" s="388">
        <v>0.24</v>
      </c>
      <c r="J968" s="389">
        <f t="shared" si="94"/>
        <v>5.76</v>
      </c>
      <c r="K968" s="218">
        <f t="shared" si="111"/>
        <v>0.88703999999999994</v>
      </c>
      <c r="L968" s="219">
        <f t="shared" si="112"/>
        <v>0</v>
      </c>
      <c r="M968" s="219">
        <f t="shared" si="113"/>
        <v>0</v>
      </c>
      <c r="N968" s="219">
        <f t="shared" si="114"/>
        <v>0</v>
      </c>
      <c r="O968" s="219">
        <f t="shared" si="115"/>
        <v>0</v>
      </c>
      <c r="P968" s="219">
        <f t="shared" si="116"/>
        <v>0</v>
      </c>
      <c r="Q968" s="563">
        <f t="shared" si="101"/>
        <v>0</v>
      </c>
      <c r="R968" s="220"/>
      <c r="T968" s="82"/>
      <c r="U968" s="82"/>
      <c r="V968" s="82"/>
      <c r="W968" s="82"/>
      <c r="X968" s="82"/>
      <c r="Y968" s="82"/>
      <c r="Z968" s="82"/>
      <c r="AA968" s="82"/>
      <c r="AB968" s="82"/>
    </row>
    <row r="969" spans="1:28" s="85" customFormat="1" x14ac:dyDescent="0.25">
      <c r="A969" s="82"/>
      <c r="B969" s="82"/>
      <c r="C969" s="82"/>
      <c r="D969" s="729"/>
      <c r="E969" s="371" t="s">
        <v>49</v>
      </c>
      <c r="F969" s="372">
        <v>7</v>
      </c>
      <c r="G969" s="373">
        <v>7</v>
      </c>
      <c r="H969" s="374">
        <v>5</v>
      </c>
      <c r="I969" s="375">
        <v>0.97</v>
      </c>
      <c r="J969" s="376">
        <f t="shared" si="94"/>
        <v>6.79</v>
      </c>
      <c r="K969" s="66">
        <f t="shared" si="111"/>
        <v>1.04566</v>
      </c>
      <c r="L969" s="63">
        <f t="shared" si="112"/>
        <v>0</v>
      </c>
      <c r="M969" s="63">
        <f t="shared" si="113"/>
        <v>0</v>
      </c>
      <c r="N969" s="63">
        <f t="shared" si="114"/>
        <v>0</v>
      </c>
      <c r="O969" s="63">
        <f t="shared" si="115"/>
        <v>0</v>
      </c>
      <c r="P969" s="63">
        <f t="shared" si="116"/>
        <v>0</v>
      </c>
      <c r="Q969" s="561">
        <f t="shared" si="101"/>
        <v>0</v>
      </c>
      <c r="R969" s="174"/>
      <c r="T969" s="82"/>
      <c r="U969" s="82"/>
      <c r="V969" s="82"/>
      <c r="W969" s="82"/>
      <c r="X969" s="82"/>
      <c r="Y969" s="82"/>
      <c r="Z969" s="82"/>
      <c r="AA969" s="82"/>
      <c r="AB969" s="82"/>
    </row>
    <row r="970" spans="1:28" s="85" customFormat="1" x14ac:dyDescent="0.25">
      <c r="A970" s="82"/>
      <c r="B970" s="82"/>
      <c r="C970" s="82"/>
      <c r="D970" s="729"/>
      <c r="E970" s="371" t="s">
        <v>49</v>
      </c>
      <c r="F970" s="372">
        <v>8</v>
      </c>
      <c r="G970" s="373">
        <v>10</v>
      </c>
      <c r="H970" s="374">
        <v>5</v>
      </c>
      <c r="I970" s="375">
        <v>0.64</v>
      </c>
      <c r="J970" s="376">
        <f t="shared" si="94"/>
        <v>6.4</v>
      </c>
      <c r="K970" s="66">
        <f t="shared" si="111"/>
        <v>0.98560000000000003</v>
      </c>
      <c r="L970" s="63">
        <f t="shared" si="112"/>
        <v>0</v>
      </c>
      <c r="M970" s="63">
        <f t="shared" si="113"/>
        <v>0</v>
      </c>
      <c r="N970" s="63">
        <f t="shared" si="114"/>
        <v>0</v>
      </c>
      <c r="O970" s="63">
        <f t="shared" si="115"/>
        <v>0</v>
      </c>
      <c r="P970" s="63">
        <f t="shared" si="116"/>
        <v>0</v>
      </c>
      <c r="Q970" s="561">
        <f t="shared" si="101"/>
        <v>0</v>
      </c>
      <c r="R970" s="174"/>
      <c r="T970" s="82"/>
      <c r="U970" s="82"/>
      <c r="V970" s="82"/>
      <c r="W970" s="82"/>
      <c r="X970" s="82"/>
      <c r="Y970" s="82"/>
      <c r="Z970" s="82"/>
      <c r="AA970" s="82"/>
      <c r="AB970" s="82"/>
    </row>
    <row r="971" spans="1:28" s="85" customFormat="1" x14ac:dyDescent="0.25">
      <c r="A971" s="82"/>
      <c r="B971" s="82"/>
      <c r="C971" s="82"/>
      <c r="D971" s="729"/>
      <c r="E971" s="371" t="s">
        <v>49</v>
      </c>
      <c r="F971" s="372">
        <v>25</v>
      </c>
      <c r="G971" s="373">
        <v>8</v>
      </c>
      <c r="H971" s="374">
        <v>12.5</v>
      </c>
      <c r="I971" s="375">
        <v>1.55</v>
      </c>
      <c r="J971" s="376">
        <f t="shared" si="94"/>
        <v>12.4</v>
      </c>
      <c r="K971" s="66">
        <f t="shared" si="111"/>
        <v>0</v>
      </c>
      <c r="L971" s="63">
        <f t="shared" si="112"/>
        <v>0</v>
      </c>
      <c r="M971" s="63">
        <f t="shared" si="113"/>
        <v>0</v>
      </c>
      <c r="N971" s="63">
        <f t="shared" si="114"/>
        <v>0</v>
      </c>
      <c r="O971" s="63">
        <f t="shared" si="115"/>
        <v>11.9412</v>
      </c>
      <c r="P971" s="63">
        <f t="shared" si="116"/>
        <v>0</v>
      </c>
      <c r="Q971" s="561">
        <f t="shared" si="101"/>
        <v>0</v>
      </c>
      <c r="R971" s="174"/>
      <c r="T971" s="82"/>
      <c r="U971" s="82"/>
      <c r="V971" s="82"/>
      <c r="W971" s="82"/>
      <c r="X971" s="82"/>
      <c r="Y971" s="82"/>
      <c r="Z971" s="82"/>
      <c r="AA971" s="82"/>
      <c r="AB971" s="82"/>
    </row>
    <row r="972" spans="1:28" s="85" customFormat="1" x14ac:dyDescent="0.25">
      <c r="A972" s="82"/>
      <c r="B972" s="82"/>
      <c r="C972" s="82"/>
      <c r="D972" s="729"/>
      <c r="E972" s="371" t="s">
        <v>113</v>
      </c>
      <c r="F972" s="372">
        <v>1</v>
      </c>
      <c r="G972" s="373">
        <v>48</v>
      </c>
      <c r="H972" s="374">
        <v>5</v>
      </c>
      <c r="I972" s="375">
        <v>0.24</v>
      </c>
      <c r="J972" s="376">
        <f t="shared" si="94"/>
        <v>11.52</v>
      </c>
      <c r="K972" s="66">
        <f t="shared" si="111"/>
        <v>1.7740799999999999</v>
      </c>
      <c r="L972" s="63">
        <f t="shared" si="112"/>
        <v>0</v>
      </c>
      <c r="M972" s="63">
        <f t="shared" si="113"/>
        <v>0</v>
      </c>
      <c r="N972" s="63">
        <f t="shared" si="114"/>
        <v>0</v>
      </c>
      <c r="O972" s="63">
        <f t="shared" si="115"/>
        <v>0</v>
      </c>
      <c r="P972" s="63">
        <f t="shared" si="116"/>
        <v>0</v>
      </c>
      <c r="Q972" s="561">
        <f t="shared" si="101"/>
        <v>0</v>
      </c>
      <c r="R972" s="174"/>
      <c r="T972" s="82"/>
      <c r="U972" s="82"/>
      <c r="V972" s="82"/>
      <c r="W972" s="82"/>
      <c r="X972" s="82"/>
      <c r="Y972" s="82"/>
      <c r="Z972" s="82"/>
      <c r="AA972" s="82"/>
      <c r="AB972" s="82"/>
    </row>
    <row r="973" spans="1:28" s="85" customFormat="1" x14ac:dyDescent="0.25">
      <c r="A973" s="82"/>
      <c r="B973" s="82"/>
      <c r="C973" s="82"/>
      <c r="D973" s="729"/>
      <c r="E973" s="371" t="s">
        <v>113</v>
      </c>
      <c r="F973" s="372">
        <v>7</v>
      </c>
      <c r="G973" s="373">
        <v>20</v>
      </c>
      <c r="H973" s="374">
        <v>5</v>
      </c>
      <c r="I973" s="375">
        <v>0.97</v>
      </c>
      <c r="J973" s="376">
        <f t="shared" si="94"/>
        <v>19.399999999999999</v>
      </c>
      <c r="K973" s="66">
        <f t="shared" si="111"/>
        <v>2.9875999999999996</v>
      </c>
      <c r="L973" s="63">
        <f t="shared" si="112"/>
        <v>0</v>
      </c>
      <c r="M973" s="63">
        <f t="shared" si="113"/>
        <v>0</v>
      </c>
      <c r="N973" s="63">
        <f t="shared" si="114"/>
        <v>0</v>
      </c>
      <c r="O973" s="63">
        <f t="shared" si="115"/>
        <v>0</v>
      </c>
      <c r="P973" s="63">
        <f t="shared" si="116"/>
        <v>0</v>
      </c>
      <c r="Q973" s="561">
        <f t="shared" si="101"/>
        <v>0</v>
      </c>
      <c r="R973" s="174"/>
      <c r="T973" s="82"/>
      <c r="U973" s="82"/>
      <c r="V973" s="82"/>
      <c r="W973" s="82"/>
      <c r="X973" s="82"/>
      <c r="Y973" s="82"/>
      <c r="Z973" s="82"/>
      <c r="AA973" s="82"/>
      <c r="AB973" s="82"/>
    </row>
    <row r="974" spans="1:28" s="85" customFormat="1" x14ac:dyDescent="0.25">
      <c r="A974" s="82"/>
      <c r="B974" s="82"/>
      <c r="C974" s="82"/>
      <c r="D974" s="729"/>
      <c r="E974" s="371" t="s">
        <v>113</v>
      </c>
      <c r="F974" s="372">
        <v>8</v>
      </c>
      <c r="G974" s="373">
        <v>8</v>
      </c>
      <c r="H974" s="374">
        <v>5</v>
      </c>
      <c r="I974" s="375">
        <v>0.64</v>
      </c>
      <c r="J974" s="376">
        <f t="shared" si="94"/>
        <v>5.12</v>
      </c>
      <c r="K974" s="66">
        <f t="shared" si="111"/>
        <v>0.78847999999999996</v>
      </c>
      <c r="L974" s="63">
        <f t="shared" si="112"/>
        <v>0</v>
      </c>
      <c r="M974" s="63">
        <f t="shared" si="113"/>
        <v>0</v>
      </c>
      <c r="N974" s="63">
        <f t="shared" si="114"/>
        <v>0</v>
      </c>
      <c r="O974" s="63">
        <f t="shared" si="115"/>
        <v>0</v>
      </c>
      <c r="P974" s="63">
        <f t="shared" si="116"/>
        <v>0</v>
      </c>
      <c r="Q974" s="561">
        <f t="shared" si="101"/>
        <v>0</v>
      </c>
      <c r="R974" s="174"/>
      <c r="T974" s="82"/>
      <c r="U974" s="82"/>
      <c r="V974" s="82"/>
      <c r="W974" s="82"/>
      <c r="X974" s="82"/>
      <c r="Y974" s="82"/>
      <c r="Z974" s="82"/>
      <c r="AA974" s="82"/>
      <c r="AB974" s="82"/>
    </row>
    <row r="975" spans="1:28" s="85" customFormat="1" x14ac:dyDescent="0.25">
      <c r="A975" s="82"/>
      <c r="B975" s="82"/>
      <c r="C975" s="82"/>
      <c r="D975" s="729"/>
      <c r="E975" s="371" t="s">
        <v>113</v>
      </c>
      <c r="F975" s="372">
        <v>30</v>
      </c>
      <c r="G975" s="373">
        <v>8</v>
      </c>
      <c r="H975" s="374">
        <v>12.5</v>
      </c>
      <c r="I975" s="375">
        <v>3.87</v>
      </c>
      <c r="J975" s="376">
        <f t="shared" si="94"/>
        <v>30.96</v>
      </c>
      <c r="K975" s="66">
        <f t="shared" si="111"/>
        <v>0</v>
      </c>
      <c r="L975" s="63">
        <f t="shared" si="112"/>
        <v>0</v>
      </c>
      <c r="M975" s="63">
        <f t="shared" si="113"/>
        <v>0</v>
      </c>
      <c r="N975" s="63">
        <f t="shared" si="114"/>
        <v>0</v>
      </c>
      <c r="O975" s="63">
        <f t="shared" si="115"/>
        <v>29.81448</v>
      </c>
      <c r="P975" s="63">
        <f t="shared" si="116"/>
        <v>0</v>
      </c>
      <c r="Q975" s="561">
        <f t="shared" si="101"/>
        <v>0</v>
      </c>
      <c r="R975" s="174"/>
      <c r="T975" s="82"/>
      <c r="U975" s="82"/>
      <c r="V975" s="82"/>
      <c r="W975" s="82"/>
      <c r="X975" s="82"/>
      <c r="Y975" s="82"/>
      <c r="Z975" s="82"/>
      <c r="AA975" s="82"/>
      <c r="AB975" s="82"/>
    </row>
    <row r="976" spans="1:28" s="85" customFormat="1" x14ac:dyDescent="0.25">
      <c r="A976" s="82"/>
      <c r="B976" s="82"/>
      <c r="C976" s="82"/>
      <c r="D976" s="729"/>
      <c r="E976" s="396" t="s">
        <v>184</v>
      </c>
      <c r="F976" s="403">
        <v>4</v>
      </c>
      <c r="G976" s="397">
        <v>14</v>
      </c>
      <c r="H976" s="398">
        <v>5</v>
      </c>
      <c r="I976" s="399">
        <v>0.24</v>
      </c>
      <c r="J976" s="400">
        <f t="shared" si="94"/>
        <v>3.36</v>
      </c>
      <c r="K976" s="401">
        <f t="shared" si="111"/>
        <v>0.51744000000000001</v>
      </c>
      <c r="L976" s="196">
        <f t="shared" si="112"/>
        <v>0</v>
      </c>
      <c r="M976" s="196">
        <f t="shared" si="113"/>
        <v>0</v>
      </c>
      <c r="N976" s="196">
        <f t="shared" si="114"/>
        <v>0</v>
      </c>
      <c r="O976" s="196">
        <f t="shared" si="115"/>
        <v>0</v>
      </c>
      <c r="P976" s="196">
        <f t="shared" si="116"/>
        <v>0</v>
      </c>
      <c r="Q976" s="566">
        <f t="shared" si="101"/>
        <v>0</v>
      </c>
      <c r="R976" s="538"/>
      <c r="T976" s="82"/>
      <c r="U976" s="82"/>
      <c r="V976" s="82"/>
      <c r="W976" s="82"/>
      <c r="X976" s="82"/>
      <c r="Y976" s="82"/>
      <c r="Z976" s="82"/>
      <c r="AA976" s="82"/>
      <c r="AB976" s="82"/>
    </row>
    <row r="977" spans="1:28" s="85" customFormat="1" x14ac:dyDescent="0.25">
      <c r="A977" s="82"/>
      <c r="B977" s="82"/>
      <c r="C977" s="82"/>
      <c r="D977" s="729"/>
      <c r="E977" s="371" t="s">
        <v>184</v>
      </c>
      <c r="F977" s="372">
        <v>5</v>
      </c>
      <c r="G977" s="373">
        <v>6</v>
      </c>
      <c r="H977" s="374">
        <v>5</v>
      </c>
      <c r="I977" s="375">
        <v>0.97</v>
      </c>
      <c r="J977" s="376">
        <f t="shared" si="94"/>
        <v>5.82</v>
      </c>
      <c r="K977" s="66">
        <f t="shared" si="111"/>
        <v>0.89628000000000008</v>
      </c>
      <c r="L977" s="63">
        <f t="shared" si="112"/>
        <v>0</v>
      </c>
      <c r="M977" s="63">
        <f t="shared" si="113"/>
        <v>0</v>
      </c>
      <c r="N977" s="63">
        <f t="shared" si="114"/>
        <v>0</v>
      </c>
      <c r="O977" s="63">
        <f t="shared" si="115"/>
        <v>0</v>
      </c>
      <c r="P977" s="63">
        <f t="shared" si="116"/>
        <v>0</v>
      </c>
      <c r="Q977" s="562">
        <f t="shared" si="101"/>
        <v>0</v>
      </c>
      <c r="R977" s="377"/>
      <c r="T977" s="82"/>
      <c r="U977" s="82"/>
      <c r="V977" s="82"/>
      <c r="W977" s="82"/>
      <c r="X977" s="82"/>
      <c r="Y977" s="82"/>
      <c r="Z977" s="82"/>
      <c r="AA977" s="82"/>
      <c r="AB977" s="82"/>
    </row>
    <row r="978" spans="1:28" s="85" customFormat="1" x14ac:dyDescent="0.25">
      <c r="A978" s="82"/>
      <c r="B978" s="82"/>
      <c r="C978" s="82"/>
      <c r="D978" s="729"/>
      <c r="E978" s="371" t="s">
        <v>184</v>
      </c>
      <c r="F978" s="372">
        <v>6</v>
      </c>
      <c r="G978" s="373">
        <v>2</v>
      </c>
      <c r="H978" s="374">
        <v>5</v>
      </c>
      <c r="I978" s="375">
        <v>0.64</v>
      </c>
      <c r="J978" s="376">
        <f t="shared" si="94"/>
        <v>1.28</v>
      </c>
      <c r="K978" s="66">
        <f t="shared" si="111"/>
        <v>0.19711999999999999</v>
      </c>
      <c r="L978" s="63">
        <f t="shared" si="112"/>
        <v>0</v>
      </c>
      <c r="M978" s="63">
        <f t="shared" si="113"/>
        <v>0</v>
      </c>
      <c r="N978" s="63">
        <f t="shared" si="114"/>
        <v>0</v>
      </c>
      <c r="O978" s="63">
        <f t="shared" si="115"/>
        <v>0</v>
      </c>
      <c r="P978" s="63">
        <f t="shared" si="116"/>
        <v>0</v>
      </c>
      <c r="Q978" s="562">
        <f t="shared" si="101"/>
        <v>0</v>
      </c>
      <c r="R978" s="377"/>
      <c r="T978" s="82"/>
      <c r="U978" s="82"/>
      <c r="V978" s="82"/>
      <c r="W978" s="82"/>
      <c r="X978" s="82"/>
      <c r="Y978" s="82"/>
      <c r="Z978" s="82"/>
      <c r="AA978" s="82"/>
      <c r="AB978" s="82"/>
    </row>
    <row r="979" spans="1:28" s="85" customFormat="1" ht="13.8" thickBot="1" x14ac:dyDescent="0.3">
      <c r="A979" s="82"/>
      <c r="B979" s="82"/>
      <c r="C979" s="82"/>
      <c r="D979" s="731"/>
      <c r="E979" s="390" t="s">
        <v>184</v>
      </c>
      <c r="F979" s="391">
        <v>55</v>
      </c>
      <c r="G979" s="392">
        <v>8</v>
      </c>
      <c r="H979" s="393">
        <v>12.5</v>
      </c>
      <c r="I979" s="394">
        <v>1.02</v>
      </c>
      <c r="J979" s="395">
        <f t="shared" si="94"/>
        <v>8.16</v>
      </c>
      <c r="K979" s="221">
        <f t="shared" si="111"/>
        <v>0</v>
      </c>
      <c r="L979" s="222">
        <f t="shared" si="112"/>
        <v>0</v>
      </c>
      <c r="M979" s="222">
        <f t="shared" si="113"/>
        <v>0</v>
      </c>
      <c r="N979" s="222">
        <f t="shared" si="114"/>
        <v>0</v>
      </c>
      <c r="O979" s="222">
        <f t="shared" si="115"/>
        <v>7.8580800000000002</v>
      </c>
      <c r="P979" s="222">
        <f t="shared" si="116"/>
        <v>0</v>
      </c>
      <c r="Q979" s="564">
        <f t="shared" si="101"/>
        <v>0</v>
      </c>
      <c r="R979" s="539"/>
      <c r="T979" s="82"/>
      <c r="U979" s="82"/>
      <c r="V979" s="82"/>
      <c r="W979" s="82"/>
      <c r="X979" s="82"/>
      <c r="Y979" s="82"/>
      <c r="Z979" s="82"/>
      <c r="AA979" s="82"/>
      <c r="AB979" s="82"/>
    </row>
    <row r="980" spans="1:28" s="85" customFormat="1" ht="13.8" thickTop="1" x14ac:dyDescent="0.25">
      <c r="A980" s="82"/>
      <c r="B980" s="82"/>
      <c r="C980" s="82"/>
      <c r="D980" s="728" t="s">
        <v>1644</v>
      </c>
      <c r="E980" s="384" t="s">
        <v>49</v>
      </c>
      <c r="F980" s="385">
        <v>1</v>
      </c>
      <c r="G980" s="386">
        <v>7</v>
      </c>
      <c r="H980" s="387">
        <v>5</v>
      </c>
      <c r="I980" s="388">
        <v>0.28999999999999998</v>
      </c>
      <c r="J980" s="389">
        <f t="shared" si="94"/>
        <v>2.0299999999999998</v>
      </c>
      <c r="K980" s="218">
        <f t="shared" ref="K980:K1035" si="117">IF($H980=5,$J980*$B$21,0)</f>
        <v>0.31261999999999995</v>
      </c>
      <c r="L980" s="219">
        <f t="shared" ref="L980:L1035" si="118">IF($H980=6.3,$J980*$B$22,0)</f>
        <v>0</v>
      </c>
      <c r="M980" s="219">
        <f t="shared" ref="M980:M1035" si="119">IF($H980=8,$J980*$B$23,0)</f>
        <v>0</v>
      </c>
      <c r="N980" s="219">
        <f t="shared" ref="N980:N1035" si="120">IF($H980=10,$J980*$B$24,0)</f>
        <v>0</v>
      </c>
      <c r="O980" s="219">
        <f t="shared" ref="O980:O1035" si="121">IF($H980=12.5,$J980*$B$26,0)</f>
        <v>0</v>
      </c>
      <c r="P980" s="219">
        <f t="shared" ref="P980:P1035" si="122">IF($H980=16,$J980*$B$27,0)</f>
        <v>0</v>
      </c>
      <c r="Q980" s="563">
        <f t="shared" si="101"/>
        <v>0</v>
      </c>
      <c r="R980" s="220"/>
      <c r="T980" s="82"/>
      <c r="U980" s="82"/>
      <c r="V980" s="82"/>
      <c r="W980" s="82"/>
      <c r="X980" s="82"/>
      <c r="Y980" s="82"/>
      <c r="Z980" s="82"/>
      <c r="AA980" s="82"/>
      <c r="AB980" s="82"/>
    </row>
    <row r="981" spans="1:28" s="85" customFormat="1" x14ac:dyDescent="0.25">
      <c r="A981" s="82"/>
      <c r="B981" s="82"/>
      <c r="C981" s="82"/>
      <c r="D981" s="729"/>
      <c r="E981" s="371" t="s">
        <v>49</v>
      </c>
      <c r="F981" s="372">
        <v>2</v>
      </c>
      <c r="G981" s="373">
        <v>14</v>
      </c>
      <c r="H981" s="374">
        <v>5</v>
      </c>
      <c r="I981" s="375">
        <v>0.74</v>
      </c>
      <c r="J981" s="376">
        <f t="shared" si="94"/>
        <v>10.36</v>
      </c>
      <c r="K981" s="66">
        <f t="shared" si="117"/>
        <v>1.59544</v>
      </c>
      <c r="L981" s="63">
        <f t="shared" si="118"/>
        <v>0</v>
      </c>
      <c r="M981" s="63">
        <f t="shared" si="119"/>
        <v>0</v>
      </c>
      <c r="N981" s="63">
        <f t="shared" si="120"/>
        <v>0</v>
      </c>
      <c r="O981" s="63">
        <f t="shared" si="121"/>
        <v>0</v>
      </c>
      <c r="P981" s="63">
        <f t="shared" si="122"/>
        <v>0</v>
      </c>
      <c r="Q981" s="561">
        <f t="shared" si="101"/>
        <v>0</v>
      </c>
      <c r="R981" s="174"/>
      <c r="T981" s="82"/>
      <c r="U981" s="82"/>
      <c r="V981" s="82"/>
      <c r="W981" s="82"/>
      <c r="X981" s="82"/>
      <c r="Y981" s="82"/>
      <c r="Z981" s="82"/>
      <c r="AA981" s="82"/>
      <c r="AB981" s="82"/>
    </row>
    <row r="982" spans="1:28" s="85" customFormat="1" x14ac:dyDescent="0.25">
      <c r="A982" s="82"/>
      <c r="B982" s="82"/>
      <c r="C982" s="82"/>
      <c r="D982" s="729"/>
      <c r="E982" s="371" t="s">
        <v>49</v>
      </c>
      <c r="F982" s="372">
        <v>22</v>
      </c>
      <c r="G982" s="373">
        <v>6</v>
      </c>
      <c r="H982" s="374">
        <v>10</v>
      </c>
      <c r="I982" s="375">
        <v>1.27</v>
      </c>
      <c r="J982" s="376">
        <f t="shared" si="94"/>
        <v>7.62</v>
      </c>
      <c r="K982" s="66">
        <f t="shared" si="117"/>
        <v>0</v>
      </c>
      <c r="L982" s="63">
        <f t="shared" si="118"/>
        <v>0</v>
      </c>
      <c r="M982" s="63">
        <f t="shared" si="119"/>
        <v>0</v>
      </c>
      <c r="N982" s="63">
        <f t="shared" si="120"/>
        <v>4.7015399999999996</v>
      </c>
      <c r="O982" s="63">
        <f t="shared" si="121"/>
        <v>0</v>
      </c>
      <c r="P982" s="63">
        <f t="shared" si="122"/>
        <v>0</v>
      </c>
      <c r="Q982" s="561">
        <f t="shared" si="101"/>
        <v>0</v>
      </c>
      <c r="R982" s="174"/>
      <c r="T982" s="82"/>
      <c r="U982" s="82"/>
      <c r="V982" s="82"/>
      <c r="W982" s="82"/>
      <c r="X982" s="82"/>
      <c r="Y982" s="82"/>
      <c r="Z982" s="82"/>
      <c r="AA982" s="82"/>
      <c r="AB982" s="82"/>
    </row>
    <row r="983" spans="1:28" s="85" customFormat="1" x14ac:dyDescent="0.25">
      <c r="A983" s="82"/>
      <c r="B983" s="82"/>
      <c r="C983" s="82"/>
      <c r="D983" s="729"/>
      <c r="E983" s="371" t="s">
        <v>113</v>
      </c>
      <c r="F983" s="372">
        <v>14</v>
      </c>
      <c r="G983" s="373">
        <v>30</v>
      </c>
      <c r="H983" s="374">
        <v>5</v>
      </c>
      <c r="I983" s="375">
        <v>0.28999999999999998</v>
      </c>
      <c r="J983" s="376">
        <f t="shared" si="94"/>
        <v>8.6999999999999993</v>
      </c>
      <c r="K983" s="66">
        <f t="shared" si="117"/>
        <v>1.3397999999999999</v>
      </c>
      <c r="L983" s="63">
        <f t="shared" si="118"/>
        <v>0</v>
      </c>
      <c r="M983" s="63">
        <f t="shared" si="119"/>
        <v>0</v>
      </c>
      <c r="N983" s="63">
        <f t="shared" si="120"/>
        <v>0</v>
      </c>
      <c r="O983" s="63">
        <f t="shared" si="121"/>
        <v>0</v>
      </c>
      <c r="P983" s="63">
        <f t="shared" si="122"/>
        <v>0</v>
      </c>
      <c r="Q983" s="561">
        <f t="shared" si="101"/>
        <v>0</v>
      </c>
      <c r="R983" s="174"/>
      <c r="T983" s="82"/>
      <c r="U983" s="82"/>
      <c r="V983" s="82"/>
      <c r="W983" s="82"/>
      <c r="X983" s="82"/>
      <c r="Y983" s="82"/>
      <c r="Z983" s="82"/>
      <c r="AA983" s="82"/>
      <c r="AB983" s="82"/>
    </row>
    <row r="984" spans="1:28" s="85" customFormat="1" x14ac:dyDescent="0.25">
      <c r="A984" s="82"/>
      <c r="B984" s="82"/>
      <c r="C984" s="82"/>
      <c r="D984" s="729"/>
      <c r="E984" s="371" t="s">
        <v>113</v>
      </c>
      <c r="F984" s="372">
        <v>15</v>
      </c>
      <c r="G984" s="373">
        <v>25</v>
      </c>
      <c r="H984" s="374">
        <v>5</v>
      </c>
      <c r="I984" s="375">
        <v>1.07</v>
      </c>
      <c r="J984" s="376">
        <f t="shared" si="94"/>
        <v>26.75</v>
      </c>
      <c r="K984" s="66">
        <f t="shared" si="117"/>
        <v>4.1195000000000004</v>
      </c>
      <c r="L984" s="63">
        <f t="shared" si="118"/>
        <v>0</v>
      </c>
      <c r="M984" s="63">
        <f t="shared" si="119"/>
        <v>0</v>
      </c>
      <c r="N984" s="63">
        <f t="shared" si="120"/>
        <v>0</v>
      </c>
      <c r="O984" s="63">
        <f t="shared" si="121"/>
        <v>0</v>
      </c>
      <c r="P984" s="63">
        <f t="shared" si="122"/>
        <v>0</v>
      </c>
      <c r="Q984" s="561">
        <f t="shared" si="101"/>
        <v>0</v>
      </c>
      <c r="R984" s="174"/>
      <c r="T984" s="82"/>
      <c r="U984" s="82"/>
      <c r="V984" s="82"/>
      <c r="W984" s="82"/>
      <c r="X984" s="82"/>
      <c r="Y984" s="82"/>
      <c r="Z984" s="82"/>
      <c r="AA984" s="82"/>
      <c r="AB984" s="82"/>
    </row>
    <row r="985" spans="1:28" s="85" customFormat="1" x14ac:dyDescent="0.25">
      <c r="A985" s="82"/>
      <c r="B985" s="82"/>
      <c r="C985" s="82"/>
      <c r="D985" s="729"/>
      <c r="E985" s="371" t="s">
        <v>113</v>
      </c>
      <c r="F985" s="372">
        <v>16</v>
      </c>
      <c r="G985" s="373">
        <v>10</v>
      </c>
      <c r="H985" s="374">
        <v>5</v>
      </c>
      <c r="I985" s="375">
        <v>0.74</v>
      </c>
      <c r="J985" s="376">
        <f t="shared" si="94"/>
        <v>7.4</v>
      </c>
      <c r="K985" s="66">
        <f t="shared" si="117"/>
        <v>1.1395999999999999</v>
      </c>
      <c r="L985" s="63">
        <f t="shared" si="118"/>
        <v>0</v>
      </c>
      <c r="M985" s="63">
        <f t="shared" si="119"/>
        <v>0</v>
      </c>
      <c r="N985" s="63">
        <f t="shared" si="120"/>
        <v>0</v>
      </c>
      <c r="O985" s="63">
        <f t="shared" si="121"/>
        <v>0</v>
      </c>
      <c r="P985" s="63">
        <f t="shared" si="122"/>
        <v>0</v>
      </c>
      <c r="Q985" s="561">
        <f t="shared" si="101"/>
        <v>0</v>
      </c>
      <c r="R985" s="174"/>
      <c r="T985" s="82"/>
      <c r="U985" s="82"/>
      <c r="V985" s="82"/>
      <c r="W985" s="82"/>
      <c r="X985" s="82"/>
      <c r="Y985" s="82"/>
      <c r="Z985" s="82"/>
      <c r="AA985" s="82"/>
      <c r="AB985" s="82"/>
    </row>
    <row r="986" spans="1:28" s="85" customFormat="1" ht="13.8" thickBot="1" x14ac:dyDescent="0.3">
      <c r="A986" s="82"/>
      <c r="B986" s="82"/>
      <c r="C986" s="82"/>
      <c r="D986" s="729"/>
      <c r="E986" s="371" t="s">
        <v>113</v>
      </c>
      <c r="F986" s="372">
        <v>26</v>
      </c>
      <c r="G986" s="373">
        <v>6</v>
      </c>
      <c r="H986" s="374">
        <v>10</v>
      </c>
      <c r="I986" s="375">
        <v>3.42</v>
      </c>
      <c r="J986" s="376">
        <f t="shared" si="94"/>
        <v>20.52</v>
      </c>
      <c r="K986" s="66">
        <f t="shared" si="117"/>
        <v>0</v>
      </c>
      <c r="L986" s="63">
        <f t="shared" si="118"/>
        <v>0</v>
      </c>
      <c r="M986" s="63">
        <f t="shared" si="119"/>
        <v>0</v>
      </c>
      <c r="N986" s="63">
        <f t="shared" si="120"/>
        <v>12.66084</v>
      </c>
      <c r="O986" s="63">
        <f t="shared" si="121"/>
        <v>0</v>
      </c>
      <c r="P986" s="63">
        <f t="shared" si="122"/>
        <v>0</v>
      </c>
      <c r="Q986" s="561">
        <f t="shared" si="101"/>
        <v>0</v>
      </c>
      <c r="R986" s="174"/>
      <c r="T986" s="82"/>
      <c r="U986" s="82"/>
      <c r="V986" s="82"/>
      <c r="W986" s="82"/>
      <c r="X986" s="82"/>
      <c r="Y986" s="82"/>
      <c r="Z986" s="82"/>
      <c r="AA986" s="82"/>
      <c r="AB986" s="82"/>
    </row>
    <row r="987" spans="1:28" s="85" customFormat="1" ht="13.8" thickTop="1" x14ac:dyDescent="0.25">
      <c r="A987" s="82"/>
      <c r="B987" s="82"/>
      <c r="C987" s="82"/>
      <c r="D987" s="728" t="s">
        <v>1646</v>
      </c>
      <c r="E987" s="384" t="s">
        <v>49</v>
      </c>
      <c r="F987" s="385">
        <v>4</v>
      </c>
      <c r="G987" s="386">
        <f>3*3</f>
        <v>9</v>
      </c>
      <c r="H987" s="387">
        <v>5</v>
      </c>
      <c r="I987" s="388">
        <v>1.77</v>
      </c>
      <c r="J987" s="389">
        <f t="shared" si="94"/>
        <v>15.93</v>
      </c>
      <c r="K987" s="218">
        <f t="shared" si="117"/>
        <v>2.45322</v>
      </c>
      <c r="L987" s="219">
        <f t="shared" si="118"/>
        <v>0</v>
      </c>
      <c r="M987" s="219">
        <f t="shared" si="119"/>
        <v>0</v>
      </c>
      <c r="N987" s="219">
        <f t="shared" si="120"/>
        <v>0</v>
      </c>
      <c r="O987" s="219">
        <f t="shared" si="121"/>
        <v>0</v>
      </c>
      <c r="P987" s="219">
        <f t="shared" si="122"/>
        <v>0</v>
      </c>
      <c r="Q987" s="563">
        <f t="shared" si="101"/>
        <v>0</v>
      </c>
      <c r="R987" s="220"/>
      <c r="T987" s="82"/>
      <c r="U987" s="82"/>
      <c r="V987" s="82"/>
      <c r="W987" s="82"/>
      <c r="X987" s="82"/>
      <c r="Y987" s="82"/>
      <c r="Z987" s="82"/>
      <c r="AA987" s="82"/>
      <c r="AB987" s="82"/>
    </row>
    <row r="988" spans="1:28" s="85" customFormat="1" x14ac:dyDescent="0.25">
      <c r="A988" s="82"/>
      <c r="B988" s="82"/>
      <c r="C988" s="82"/>
      <c r="D988" s="729"/>
      <c r="E988" s="371" t="s">
        <v>49</v>
      </c>
      <c r="F988" s="372">
        <v>5</v>
      </c>
      <c r="G988" s="373">
        <f>3*6</f>
        <v>18</v>
      </c>
      <c r="H988" s="374">
        <v>5</v>
      </c>
      <c r="I988" s="375">
        <v>1.1399999999999999</v>
      </c>
      <c r="J988" s="376">
        <f t="shared" si="94"/>
        <v>20.52</v>
      </c>
      <c r="K988" s="66">
        <f t="shared" si="117"/>
        <v>3.1600799999999998</v>
      </c>
      <c r="L988" s="63">
        <f t="shared" si="118"/>
        <v>0</v>
      </c>
      <c r="M988" s="63">
        <f t="shared" si="119"/>
        <v>0</v>
      </c>
      <c r="N988" s="63">
        <f t="shared" si="120"/>
        <v>0</v>
      </c>
      <c r="O988" s="63">
        <f t="shared" si="121"/>
        <v>0</v>
      </c>
      <c r="P988" s="63">
        <f t="shared" si="122"/>
        <v>0</v>
      </c>
      <c r="Q988" s="561">
        <f t="shared" si="101"/>
        <v>0</v>
      </c>
      <c r="R988" s="174"/>
      <c r="T988" s="82"/>
      <c r="U988" s="82"/>
      <c r="V988" s="82"/>
      <c r="W988" s="82"/>
      <c r="X988" s="82"/>
      <c r="Y988" s="82"/>
      <c r="Z988" s="82"/>
      <c r="AA988" s="82"/>
      <c r="AB988" s="82"/>
    </row>
    <row r="989" spans="1:28" s="85" customFormat="1" x14ac:dyDescent="0.25">
      <c r="A989" s="82"/>
      <c r="B989" s="82"/>
      <c r="C989" s="82"/>
      <c r="D989" s="729"/>
      <c r="E989" s="371" t="s">
        <v>49</v>
      </c>
      <c r="F989" s="372">
        <v>6</v>
      </c>
      <c r="G989" s="373">
        <f>3*12</f>
        <v>36</v>
      </c>
      <c r="H989" s="374">
        <v>5</v>
      </c>
      <c r="I989" s="375">
        <v>0.34</v>
      </c>
      <c r="J989" s="376">
        <f t="shared" si="94"/>
        <v>12.24</v>
      </c>
      <c r="K989" s="66">
        <f t="shared" si="117"/>
        <v>1.88496</v>
      </c>
      <c r="L989" s="63">
        <f t="shared" si="118"/>
        <v>0</v>
      </c>
      <c r="M989" s="63">
        <f t="shared" si="119"/>
        <v>0</v>
      </c>
      <c r="N989" s="63">
        <f t="shared" si="120"/>
        <v>0</v>
      </c>
      <c r="O989" s="63">
        <f t="shared" si="121"/>
        <v>0</v>
      </c>
      <c r="P989" s="63">
        <f t="shared" si="122"/>
        <v>0</v>
      </c>
      <c r="Q989" s="561">
        <f t="shared" si="101"/>
        <v>0</v>
      </c>
      <c r="R989" s="174"/>
      <c r="T989" s="82"/>
      <c r="U989" s="82"/>
      <c r="V989" s="82"/>
      <c r="W989" s="82"/>
      <c r="X989" s="82"/>
      <c r="Y989" s="82"/>
      <c r="Z989" s="82"/>
      <c r="AA989" s="82"/>
      <c r="AB989" s="82"/>
    </row>
    <row r="990" spans="1:28" s="85" customFormat="1" x14ac:dyDescent="0.25">
      <c r="A990" s="82"/>
      <c r="B990" s="82"/>
      <c r="C990" s="82"/>
      <c r="D990" s="729"/>
      <c r="E990" s="371" t="s">
        <v>49</v>
      </c>
      <c r="F990" s="372">
        <v>27</v>
      </c>
      <c r="G990" s="373">
        <f>3*8</f>
        <v>24</v>
      </c>
      <c r="H990" s="374">
        <v>16</v>
      </c>
      <c r="I990" s="375">
        <v>1.6</v>
      </c>
      <c r="J990" s="376">
        <f t="shared" si="94"/>
        <v>38.400000000000006</v>
      </c>
      <c r="K990" s="66">
        <f t="shared" si="117"/>
        <v>0</v>
      </c>
      <c r="L990" s="63">
        <f t="shared" si="118"/>
        <v>0</v>
      </c>
      <c r="M990" s="63">
        <f t="shared" si="119"/>
        <v>0</v>
      </c>
      <c r="N990" s="63">
        <f t="shared" si="120"/>
        <v>0</v>
      </c>
      <c r="O990" s="63">
        <f t="shared" si="121"/>
        <v>0</v>
      </c>
      <c r="P990" s="63">
        <f t="shared" si="122"/>
        <v>60.595200000000013</v>
      </c>
      <c r="Q990" s="561">
        <f t="shared" si="101"/>
        <v>0</v>
      </c>
      <c r="R990" s="174"/>
      <c r="T990" s="82"/>
      <c r="U990" s="82"/>
      <c r="V990" s="82"/>
      <c r="W990" s="82"/>
      <c r="X990" s="82"/>
      <c r="Y990" s="82"/>
      <c r="Z990" s="82"/>
      <c r="AA990" s="82"/>
      <c r="AB990" s="82"/>
    </row>
    <row r="991" spans="1:28" s="85" customFormat="1" x14ac:dyDescent="0.25">
      <c r="A991" s="82"/>
      <c r="B991" s="82"/>
      <c r="C991" s="82"/>
      <c r="D991" s="729"/>
      <c r="E991" s="371" t="s">
        <v>113</v>
      </c>
      <c r="F991" s="372">
        <v>21</v>
      </c>
      <c r="G991" s="373">
        <f>3*16</f>
        <v>48</v>
      </c>
      <c r="H991" s="374">
        <v>5</v>
      </c>
      <c r="I991" s="375">
        <v>1.77</v>
      </c>
      <c r="J991" s="376">
        <f t="shared" si="94"/>
        <v>84.960000000000008</v>
      </c>
      <c r="K991" s="66">
        <f t="shared" si="117"/>
        <v>13.08384</v>
      </c>
      <c r="L991" s="63">
        <f t="shared" si="118"/>
        <v>0</v>
      </c>
      <c r="M991" s="63">
        <f t="shared" si="119"/>
        <v>0</v>
      </c>
      <c r="N991" s="63">
        <f t="shared" si="120"/>
        <v>0</v>
      </c>
      <c r="O991" s="63">
        <f t="shared" si="121"/>
        <v>0</v>
      </c>
      <c r="P991" s="63">
        <f t="shared" si="122"/>
        <v>0</v>
      </c>
      <c r="Q991" s="561">
        <f t="shared" si="101"/>
        <v>0</v>
      </c>
      <c r="R991" s="174"/>
      <c r="T991" s="82"/>
      <c r="U991" s="82"/>
      <c r="V991" s="82"/>
      <c r="W991" s="82"/>
      <c r="X991" s="82"/>
      <c r="Y991" s="82"/>
      <c r="Z991" s="82"/>
      <c r="AA991" s="82"/>
      <c r="AB991" s="82"/>
    </row>
    <row r="992" spans="1:28" s="85" customFormat="1" x14ac:dyDescent="0.25">
      <c r="A992" s="82"/>
      <c r="B992" s="82"/>
      <c r="C992" s="82"/>
      <c r="D992" s="729"/>
      <c r="E992" s="371" t="s">
        <v>113</v>
      </c>
      <c r="F992" s="372">
        <v>22</v>
      </c>
      <c r="G992" s="373">
        <f>3*6</f>
        <v>18</v>
      </c>
      <c r="H992" s="374">
        <v>5</v>
      </c>
      <c r="I992" s="375">
        <v>1.1399999999999999</v>
      </c>
      <c r="J992" s="376">
        <f t="shared" si="94"/>
        <v>20.52</v>
      </c>
      <c r="K992" s="66">
        <f t="shared" si="117"/>
        <v>3.1600799999999998</v>
      </c>
      <c r="L992" s="63">
        <f t="shared" si="118"/>
        <v>0</v>
      </c>
      <c r="M992" s="63">
        <f t="shared" si="119"/>
        <v>0</v>
      </c>
      <c r="N992" s="63">
        <f t="shared" si="120"/>
        <v>0</v>
      </c>
      <c r="O992" s="63">
        <f t="shared" si="121"/>
        <v>0</v>
      </c>
      <c r="P992" s="63">
        <f t="shared" si="122"/>
        <v>0</v>
      </c>
      <c r="Q992" s="561">
        <f t="shared" si="101"/>
        <v>0</v>
      </c>
      <c r="R992" s="174"/>
      <c r="T992" s="82"/>
      <c r="U992" s="82"/>
      <c r="V992" s="82"/>
      <c r="W992" s="82"/>
      <c r="X992" s="82"/>
      <c r="Y992" s="82"/>
      <c r="Z992" s="82"/>
      <c r="AA992" s="82"/>
      <c r="AB992" s="82"/>
    </row>
    <row r="993" spans="1:28" s="85" customFormat="1" x14ac:dyDescent="0.25">
      <c r="A993" s="82"/>
      <c r="B993" s="82"/>
      <c r="C993" s="82"/>
      <c r="D993" s="729"/>
      <c r="E993" s="371" t="s">
        <v>113</v>
      </c>
      <c r="F993" s="372">
        <v>23</v>
      </c>
      <c r="G993" s="373">
        <f>3*38</f>
        <v>114</v>
      </c>
      <c r="H993" s="374">
        <v>5</v>
      </c>
      <c r="I993" s="375">
        <v>0.34</v>
      </c>
      <c r="J993" s="376">
        <f t="shared" si="94"/>
        <v>38.760000000000005</v>
      </c>
      <c r="K993" s="66">
        <f t="shared" si="117"/>
        <v>5.9690400000000006</v>
      </c>
      <c r="L993" s="63">
        <f t="shared" si="118"/>
        <v>0</v>
      </c>
      <c r="M993" s="63">
        <f t="shared" si="119"/>
        <v>0</v>
      </c>
      <c r="N993" s="63">
        <f t="shared" si="120"/>
        <v>0</v>
      </c>
      <c r="O993" s="63">
        <f t="shared" si="121"/>
        <v>0</v>
      </c>
      <c r="P993" s="63">
        <f t="shared" si="122"/>
        <v>0</v>
      </c>
      <c r="Q993" s="561">
        <f t="shared" si="101"/>
        <v>0</v>
      </c>
      <c r="R993" s="174"/>
      <c r="T993" s="82"/>
      <c r="U993" s="82"/>
      <c r="V993" s="82"/>
      <c r="W993" s="82"/>
      <c r="X993" s="82"/>
      <c r="Y993" s="82"/>
      <c r="Z993" s="82"/>
      <c r="AA993" s="82"/>
      <c r="AB993" s="82"/>
    </row>
    <row r="994" spans="1:28" s="85" customFormat="1" ht="13.8" thickBot="1" x14ac:dyDescent="0.3">
      <c r="A994" s="82"/>
      <c r="B994" s="82"/>
      <c r="C994" s="82"/>
      <c r="D994" s="729"/>
      <c r="E994" s="371" t="s">
        <v>113</v>
      </c>
      <c r="F994" s="372">
        <v>31</v>
      </c>
      <c r="G994" s="373">
        <f>3*8</f>
        <v>24</v>
      </c>
      <c r="H994" s="374">
        <v>16</v>
      </c>
      <c r="I994" s="375">
        <v>3.42</v>
      </c>
      <c r="J994" s="376">
        <f t="shared" si="94"/>
        <v>82.08</v>
      </c>
      <c r="K994" s="66">
        <f t="shared" si="117"/>
        <v>0</v>
      </c>
      <c r="L994" s="63">
        <f t="shared" si="118"/>
        <v>0</v>
      </c>
      <c r="M994" s="63">
        <f t="shared" si="119"/>
        <v>0</v>
      </c>
      <c r="N994" s="63">
        <f t="shared" si="120"/>
        <v>0</v>
      </c>
      <c r="O994" s="63">
        <f t="shared" si="121"/>
        <v>0</v>
      </c>
      <c r="P994" s="63">
        <f t="shared" si="122"/>
        <v>129.52224000000001</v>
      </c>
      <c r="Q994" s="561">
        <f t="shared" si="101"/>
        <v>0</v>
      </c>
      <c r="R994" s="174"/>
      <c r="T994" s="82"/>
      <c r="U994" s="82"/>
      <c r="V994" s="82"/>
      <c r="W994" s="82"/>
      <c r="X994" s="82"/>
      <c r="Y994" s="82"/>
      <c r="Z994" s="82"/>
      <c r="AA994" s="82"/>
      <c r="AB994" s="82"/>
    </row>
    <row r="995" spans="1:28" s="85" customFormat="1" ht="13.8" thickTop="1" x14ac:dyDescent="0.25">
      <c r="A995" s="82"/>
      <c r="B995" s="82"/>
      <c r="C995" s="82"/>
      <c r="D995" s="728" t="s">
        <v>1647</v>
      </c>
      <c r="E995" s="384" t="s">
        <v>49</v>
      </c>
      <c r="F995" s="385">
        <v>3</v>
      </c>
      <c r="G995" s="386">
        <f>2*27</f>
        <v>54</v>
      </c>
      <c r="H995" s="387">
        <v>5</v>
      </c>
      <c r="I995" s="388">
        <v>0.33</v>
      </c>
      <c r="J995" s="389">
        <f t="shared" si="94"/>
        <v>17.82</v>
      </c>
      <c r="K995" s="218">
        <f t="shared" si="117"/>
        <v>2.7442799999999998</v>
      </c>
      <c r="L995" s="219">
        <f t="shared" si="118"/>
        <v>0</v>
      </c>
      <c r="M995" s="219">
        <f t="shared" si="119"/>
        <v>0</v>
      </c>
      <c r="N995" s="219">
        <f t="shared" si="120"/>
        <v>0</v>
      </c>
      <c r="O995" s="219">
        <f t="shared" si="121"/>
        <v>0</v>
      </c>
      <c r="P995" s="219">
        <f t="shared" si="122"/>
        <v>0</v>
      </c>
      <c r="Q995" s="563">
        <f t="shared" si="101"/>
        <v>0</v>
      </c>
      <c r="R995" s="220"/>
      <c r="T995" s="82"/>
      <c r="U995" s="82"/>
      <c r="V995" s="82"/>
      <c r="W995" s="82"/>
      <c r="X995" s="82"/>
      <c r="Y995" s="82"/>
      <c r="Z995" s="82"/>
      <c r="AA995" s="82"/>
      <c r="AB995" s="82"/>
    </row>
    <row r="996" spans="1:28" s="85" customFormat="1" x14ac:dyDescent="0.25">
      <c r="A996" s="82"/>
      <c r="B996" s="82"/>
      <c r="C996" s="82"/>
      <c r="D996" s="729"/>
      <c r="E996" s="371" t="s">
        <v>49</v>
      </c>
      <c r="F996" s="372">
        <v>4</v>
      </c>
      <c r="G996" s="373">
        <f>2*5</f>
        <v>10</v>
      </c>
      <c r="H996" s="374">
        <v>5</v>
      </c>
      <c r="I996" s="375">
        <v>1.77</v>
      </c>
      <c r="J996" s="376">
        <f t="shared" si="94"/>
        <v>17.7</v>
      </c>
      <c r="K996" s="66">
        <f t="shared" si="117"/>
        <v>2.7258</v>
      </c>
      <c r="L996" s="63">
        <f t="shared" si="118"/>
        <v>0</v>
      </c>
      <c r="M996" s="63">
        <f t="shared" si="119"/>
        <v>0</v>
      </c>
      <c r="N996" s="63">
        <f t="shared" si="120"/>
        <v>0</v>
      </c>
      <c r="O996" s="63">
        <f t="shared" si="121"/>
        <v>0</v>
      </c>
      <c r="P996" s="63">
        <f t="shared" si="122"/>
        <v>0</v>
      </c>
      <c r="Q996" s="561">
        <f t="shared" si="101"/>
        <v>0</v>
      </c>
      <c r="R996" s="174"/>
      <c r="T996" s="82"/>
      <c r="U996" s="82"/>
      <c r="V996" s="82"/>
      <c r="W996" s="82"/>
      <c r="X996" s="82"/>
      <c r="Y996" s="82"/>
      <c r="Z996" s="82"/>
      <c r="AA996" s="82"/>
      <c r="AB996" s="82"/>
    </row>
    <row r="997" spans="1:28" s="85" customFormat="1" x14ac:dyDescent="0.25">
      <c r="A997" s="82"/>
      <c r="B997" s="82"/>
      <c r="C997" s="82"/>
      <c r="D997" s="729"/>
      <c r="E997" s="371" t="s">
        <v>49</v>
      </c>
      <c r="F997" s="372">
        <v>5</v>
      </c>
      <c r="G997" s="373">
        <f>2*8</f>
        <v>16</v>
      </c>
      <c r="H997" s="374">
        <v>5</v>
      </c>
      <c r="I997" s="375">
        <v>1.1399999999999999</v>
      </c>
      <c r="J997" s="376">
        <f t="shared" si="94"/>
        <v>18.239999999999998</v>
      </c>
      <c r="K997" s="66">
        <f t="shared" si="117"/>
        <v>2.8089599999999999</v>
      </c>
      <c r="L997" s="63">
        <f t="shared" si="118"/>
        <v>0</v>
      </c>
      <c r="M997" s="63">
        <f t="shared" si="119"/>
        <v>0</v>
      </c>
      <c r="N997" s="63">
        <f t="shared" si="120"/>
        <v>0</v>
      </c>
      <c r="O997" s="63">
        <f t="shared" si="121"/>
        <v>0</v>
      </c>
      <c r="P997" s="63">
        <f t="shared" si="122"/>
        <v>0</v>
      </c>
      <c r="Q997" s="561">
        <f t="shared" si="101"/>
        <v>0</v>
      </c>
      <c r="R997" s="174"/>
      <c r="T997" s="82"/>
      <c r="U997" s="82"/>
      <c r="V997" s="82"/>
      <c r="W997" s="82"/>
      <c r="X997" s="82"/>
      <c r="Y997" s="82"/>
      <c r="Z997" s="82"/>
      <c r="AA997" s="82"/>
      <c r="AB997" s="82"/>
    </row>
    <row r="998" spans="1:28" s="85" customFormat="1" x14ac:dyDescent="0.25">
      <c r="A998" s="82"/>
      <c r="B998" s="82"/>
      <c r="C998" s="82"/>
      <c r="D998" s="729"/>
      <c r="E998" s="371" t="s">
        <v>49</v>
      </c>
      <c r="F998" s="372">
        <v>28</v>
      </c>
      <c r="G998" s="373">
        <f>2*10</f>
        <v>20</v>
      </c>
      <c r="H998" s="374">
        <v>20</v>
      </c>
      <c r="I998" s="375">
        <v>1.72</v>
      </c>
      <c r="J998" s="376">
        <f t="shared" si="94"/>
        <v>34.4</v>
      </c>
      <c r="K998" s="66">
        <f t="shared" si="117"/>
        <v>0</v>
      </c>
      <c r="L998" s="63">
        <f t="shared" si="118"/>
        <v>0</v>
      </c>
      <c r="M998" s="63">
        <f t="shared" si="119"/>
        <v>0</v>
      </c>
      <c r="N998" s="63">
        <f t="shared" si="120"/>
        <v>0</v>
      </c>
      <c r="O998" s="63">
        <f t="shared" si="121"/>
        <v>0</v>
      </c>
      <c r="P998" s="63">
        <f t="shared" si="122"/>
        <v>0</v>
      </c>
      <c r="Q998" s="561">
        <f t="shared" si="101"/>
        <v>84.830399999999997</v>
      </c>
      <c r="R998" s="174"/>
      <c r="T998" s="82"/>
      <c r="U998" s="82"/>
      <c r="V998" s="82"/>
      <c r="W998" s="82"/>
      <c r="X998" s="82"/>
      <c r="Y998" s="82"/>
      <c r="Z998" s="82"/>
      <c r="AA998" s="82"/>
      <c r="AB998" s="82"/>
    </row>
    <row r="999" spans="1:28" s="85" customFormat="1" x14ac:dyDescent="0.25">
      <c r="A999" s="82"/>
      <c r="B999" s="82"/>
      <c r="C999" s="82"/>
      <c r="D999" s="729"/>
      <c r="E999" s="371" t="s">
        <v>113</v>
      </c>
      <c r="F999" s="372">
        <v>20</v>
      </c>
      <c r="G999" s="373">
        <f>2*81</f>
        <v>162</v>
      </c>
      <c r="H999" s="374">
        <v>5</v>
      </c>
      <c r="I999" s="375">
        <v>0.33</v>
      </c>
      <c r="J999" s="376">
        <f t="shared" si="94"/>
        <v>53.46</v>
      </c>
      <c r="K999" s="66">
        <f t="shared" si="117"/>
        <v>8.2328399999999995</v>
      </c>
      <c r="L999" s="63">
        <f t="shared" si="118"/>
        <v>0</v>
      </c>
      <c r="M999" s="63">
        <f t="shared" si="119"/>
        <v>0</v>
      </c>
      <c r="N999" s="63">
        <f t="shared" si="120"/>
        <v>0</v>
      </c>
      <c r="O999" s="63">
        <f t="shared" si="121"/>
        <v>0</v>
      </c>
      <c r="P999" s="63">
        <f t="shared" si="122"/>
        <v>0</v>
      </c>
      <c r="Q999" s="561">
        <f t="shared" si="101"/>
        <v>0</v>
      </c>
      <c r="R999" s="174"/>
      <c r="T999" s="82"/>
      <c r="U999" s="82"/>
      <c r="V999" s="82"/>
      <c r="W999" s="82"/>
      <c r="X999" s="82"/>
      <c r="Y999" s="82"/>
      <c r="Z999" s="82"/>
      <c r="AA999" s="82"/>
      <c r="AB999" s="82"/>
    </row>
    <row r="1000" spans="1:28" s="85" customFormat="1" x14ac:dyDescent="0.25">
      <c r="A1000" s="82"/>
      <c r="B1000" s="82"/>
      <c r="C1000" s="82"/>
      <c r="D1000" s="729"/>
      <c r="E1000" s="371" t="s">
        <v>113</v>
      </c>
      <c r="F1000" s="372">
        <v>21</v>
      </c>
      <c r="G1000" s="373">
        <f>2*23</f>
        <v>46</v>
      </c>
      <c r="H1000" s="374">
        <v>5</v>
      </c>
      <c r="I1000" s="375">
        <v>1.77</v>
      </c>
      <c r="J1000" s="376">
        <f t="shared" si="94"/>
        <v>81.42</v>
      </c>
      <c r="K1000" s="66">
        <f t="shared" si="117"/>
        <v>12.538679999999999</v>
      </c>
      <c r="L1000" s="63">
        <f t="shared" si="118"/>
        <v>0</v>
      </c>
      <c r="M1000" s="63">
        <f t="shared" si="119"/>
        <v>0</v>
      </c>
      <c r="N1000" s="63">
        <f t="shared" si="120"/>
        <v>0</v>
      </c>
      <c r="O1000" s="63">
        <f t="shared" si="121"/>
        <v>0</v>
      </c>
      <c r="P1000" s="63">
        <f t="shared" si="122"/>
        <v>0</v>
      </c>
      <c r="Q1000" s="561">
        <f t="shared" si="101"/>
        <v>0</v>
      </c>
      <c r="R1000" s="174"/>
      <c r="T1000" s="82"/>
      <c r="U1000" s="82"/>
      <c r="V1000" s="82"/>
      <c r="W1000" s="82"/>
      <c r="X1000" s="82"/>
      <c r="Y1000" s="82"/>
      <c r="Z1000" s="82"/>
      <c r="AA1000" s="82"/>
      <c r="AB1000" s="82"/>
    </row>
    <row r="1001" spans="1:28" s="85" customFormat="1" x14ac:dyDescent="0.25">
      <c r="A1001" s="82"/>
      <c r="B1001" s="82"/>
      <c r="C1001" s="82"/>
      <c r="D1001" s="729"/>
      <c r="E1001" s="371" t="s">
        <v>113</v>
      </c>
      <c r="F1001" s="372">
        <v>22</v>
      </c>
      <c r="G1001" s="373">
        <f>2*8</f>
        <v>16</v>
      </c>
      <c r="H1001" s="374">
        <v>5</v>
      </c>
      <c r="I1001" s="375">
        <v>1.1399999999999999</v>
      </c>
      <c r="J1001" s="376">
        <f t="shared" si="94"/>
        <v>18.239999999999998</v>
      </c>
      <c r="K1001" s="66">
        <f t="shared" si="117"/>
        <v>2.8089599999999999</v>
      </c>
      <c r="L1001" s="63">
        <f t="shared" si="118"/>
        <v>0</v>
      </c>
      <c r="M1001" s="63">
        <f t="shared" si="119"/>
        <v>0</v>
      </c>
      <c r="N1001" s="63">
        <f t="shared" si="120"/>
        <v>0</v>
      </c>
      <c r="O1001" s="63">
        <f t="shared" si="121"/>
        <v>0</v>
      </c>
      <c r="P1001" s="63">
        <f t="shared" si="122"/>
        <v>0</v>
      </c>
      <c r="Q1001" s="561">
        <f t="shared" si="101"/>
        <v>0</v>
      </c>
      <c r="R1001" s="174"/>
      <c r="T1001" s="82"/>
      <c r="U1001" s="82"/>
      <c r="V1001" s="82"/>
      <c r="W1001" s="82"/>
      <c r="X1001" s="82"/>
      <c r="Y1001" s="82"/>
      <c r="Z1001" s="82"/>
      <c r="AA1001" s="82"/>
      <c r="AB1001" s="82"/>
    </row>
    <row r="1002" spans="1:28" s="85" customFormat="1" x14ac:dyDescent="0.25">
      <c r="A1002" s="82"/>
      <c r="B1002" s="82"/>
      <c r="C1002" s="82"/>
      <c r="D1002" s="729"/>
      <c r="E1002" s="371" t="s">
        <v>113</v>
      </c>
      <c r="F1002" s="372">
        <v>32</v>
      </c>
      <c r="G1002" s="373">
        <f>2*10</f>
        <v>20</v>
      </c>
      <c r="H1002" s="374">
        <v>20</v>
      </c>
      <c r="I1002" s="375">
        <v>4.12</v>
      </c>
      <c r="J1002" s="376">
        <f t="shared" si="94"/>
        <v>82.4</v>
      </c>
      <c r="K1002" s="66">
        <f t="shared" si="117"/>
        <v>0</v>
      </c>
      <c r="L1002" s="63">
        <f t="shared" si="118"/>
        <v>0</v>
      </c>
      <c r="M1002" s="63">
        <f t="shared" si="119"/>
        <v>0</v>
      </c>
      <c r="N1002" s="63">
        <f t="shared" si="120"/>
        <v>0</v>
      </c>
      <c r="O1002" s="63">
        <f t="shared" si="121"/>
        <v>0</v>
      </c>
      <c r="P1002" s="63">
        <f t="shared" si="122"/>
        <v>0</v>
      </c>
      <c r="Q1002" s="561">
        <f t="shared" si="101"/>
        <v>203.19840000000002</v>
      </c>
      <c r="R1002" s="174"/>
      <c r="T1002" s="82"/>
      <c r="U1002" s="82"/>
      <c r="V1002" s="82"/>
      <c r="W1002" s="82"/>
      <c r="X1002" s="82"/>
      <c r="Y1002" s="82"/>
      <c r="Z1002" s="82"/>
      <c r="AA1002" s="82"/>
      <c r="AB1002" s="82"/>
    </row>
    <row r="1003" spans="1:28" s="85" customFormat="1" x14ac:dyDescent="0.25">
      <c r="A1003" s="82"/>
      <c r="B1003" s="82"/>
      <c r="C1003" s="82"/>
      <c r="D1003" s="729"/>
      <c r="E1003" s="396" t="s">
        <v>184</v>
      </c>
      <c r="F1003" s="403">
        <v>15</v>
      </c>
      <c r="G1003" s="397">
        <f>2*18</f>
        <v>36</v>
      </c>
      <c r="H1003" s="398">
        <v>5</v>
      </c>
      <c r="I1003" s="399">
        <v>0.33</v>
      </c>
      <c r="J1003" s="400">
        <f t="shared" si="94"/>
        <v>11.88</v>
      </c>
      <c r="K1003" s="401">
        <f t="shared" si="117"/>
        <v>1.82952</v>
      </c>
      <c r="L1003" s="196">
        <f t="shared" si="118"/>
        <v>0</v>
      </c>
      <c r="M1003" s="196">
        <f t="shared" si="119"/>
        <v>0</v>
      </c>
      <c r="N1003" s="196">
        <f t="shared" si="120"/>
        <v>0</v>
      </c>
      <c r="O1003" s="196">
        <f t="shared" si="121"/>
        <v>0</v>
      </c>
      <c r="P1003" s="196">
        <f t="shared" si="122"/>
        <v>0</v>
      </c>
      <c r="Q1003" s="566">
        <f t="shared" si="101"/>
        <v>0</v>
      </c>
      <c r="R1003" s="538"/>
      <c r="T1003" s="82"/>
      <c r="U1003" s="82"/>
      <c r="V1003" s="82"/>
      <c r="W1003" s="82"/>
      <c r="X1003" s="82"/>
      <c r="Y1003" s="82"/>
      <c r="Z1003" s="82"/>
      <c r="AA1003" s="82"/>
      <c r="AB1003" s="82"/>
    </row>
    <row r="1004" spans="1:28" s="85" customFormat="1" x14ac:dyDescent="0.25">
      <c r="A1004" s="82"/>
      <c r="B1004" s="82"/>
      <c r="C1004" s="82"/>
      <c r="D1004" s="729"/>
      <c r="E1004" s="371" t="s">
        <v>184</v>
      </c>
      <c r="F1004" s="372">
        <v>16</v>
      </c>
      <c r="G1004" s="373">
        <f>2*5</f>
        <v>10</v>
      </c>
      <c r="H1004" s="374">
        <v>5</v>
      </c>
      <c r="I1004" s="375">
        <v>1.77</v>
      </c>
      <c r="J1004" s="376">
        <f t="shared" si="94"/>
        <v>17.7</v>
      </c>
      <c r="K1004" s="66">
        <f t="shared" si="117"/>
        <v>2.7258</v>
      </c>
      <c r="L1004" s="63">
        <f t="shared" si="118"/>
        <v>0</v>
      </c>
      <c r="M1004" s="63">
        <f t="shared" si="119"/>
        <v>0</v>
      </c>
      <c r="N1004" s="63">
        <f t="shared" si="120"/>
        <v>0</v>
      </c>
      <c r="O1004" s="63">
        <f t="shared" si="121"/>
        <v>0</v>
      </c>
      <c r="P1004" s="63">
        <f t="shared" si="122"/>
        <v>0</v>
      </c>
      <c r="Q1004" s="562">
        <f t="shared" si="101"/>
        <v>0</v>
      </c>
      <c r="R1004" s="377"/>
      <c r="T1004" s="82"/>
      <c r="U1004" s="82"/>
      <c r="V1004" s="82"/>
      <c r="W1004" s="82"/>
      <c r="X1004" s="82"/>
      <c r="Y1004" s="82"/>
      <c r="Z1004" s="82"/>
      <c r="AA1004" s="82"/>
      <c r="AB1004" s="82"/>
    </row>
    <row r="1005" spans="1:28" s="85" customFormat="1" x14ac:dyDescent="0.25">
      <c r="A1005" s="82"/>
      <c r="B1005" s="82"/>
      <c r="C1005" s="82"/>
      <c r="D1005" s="729"/>
      <c r="E1005" s="371" t="s">
        <v>184</v>
      </c>
      <c r="F1005" s="372">
        <v>17</v>
      </c>
      <c r="G1005" s="373">
        <f>2*2</f>
        <v>4</v>
      </c>
      <c r="H1005" s="374">
        <v>5</v>
      </c>
      <c r="I1005" s="375">
        <v>1.1399999999999999</v>
      </c>
      <c r="J1005" s="376">
        <f t="shared" si="94"/>
        <v>4.5599999999999996</v>
      </c>
      <c r="K1005" s="66">
        <f t="shared" si="117"/>
        <v>0.70223999999999998</v>
      </c>
      <c r="L1005" s="63">
        <f t="shared" si="118"/>
        <v>0</v>
      </c>
      <c r="M1005" s="63">
        <f t="shared" si="119"/>
        <v>0</v>
      </c>
      <c r="N1005" s="63">
        <f t="shared" si="120"/>
        <v>0</v>
      </c>
      <c r="O1005" s="63">
        <f t="shared" si="121"/>
        <v>0</v>
      </c>
      <c r="P1005" s="63">
        <f t="shared" si="122"/>
        <v>0</v>
      </c>
      <c r="Q1005" s="562">
        <f t="shared" si="101"/>
        <v>0</v>
      </c>
      <c r="R1005" s="377"/>
      <c r="T1005" s="82"/>
      <c r="U1005" s="82"/>
      <c r="V1005" s="82"/>
      <c r="W1005" s="82"/>
      <c r="X1005" s="82"/>
      <c r="Y1005" s="82"/>
      <c r="Z1005" s="82"/>
      <c r="AA1005" s="82"/>
      <c r="AB1005" s="82"/>
    </row>
    <row r="1006" spans="1:28" s="85" customFormat="1" ht="13.8" thickBot="1" x14ac:dyDescent="0.3">
      <c r="A1006" s="82"/>
      <c r="B1006" s="82"/>
      <c r="C1006" s="82"/>
      <c r="D1006" s="731"/>
      <c r="E1006" s="390" t="s">
        <v>184</v>
      </c>
      <c r="F1006" s="391">
        <v>56</v>
      </c>
      <c r="G1006" s="392">
        <f>2*10</f>
        <v>20</v>
      </c>
      <c r="H1006" s="393">
        <v>20</v>
      </c>
      <c r="I1006" s="394">
        <v>1.02</v>
      </c>
      <c r="J1006" s="395">
        <f t="shared" si="94"/>
        <v>20.399999999999999</v>
      </c>
      <c r="K1006" s="221">
        <f t="shared" si="117"/>
        <v>0</v>
      </c>
      <c r="L1006" s="222">
        <f t="shared" si="118"/>
        <v>0</v>
      </c>
      <c r="M1006" s="222">
        <f t="shared" si="119"/>
        <v>0</v>
      </c>
      <c r="N1006" s="222">
        <f t="shared" si="120"/>
        <v>0</v>
      </c>
      <c r="O1006" s="222">
        <f t="shared" si="121"/>
        <v>0</v>
      </c>
      <c r="P1006" s="222">
        <f t="shared" si="122"/>
        <v>0</v>
      </c>
      <c r="Q1006" s="564">
        <f t="shared" si="101"/>
        <v>50.306400000000004</v>
      </c>
      <c r="R1006" s="539"/>
      <c r="T1006" s="82"/>
      <c r="U1006" s="82"/>
      <c r="V1006" s="82"/>
      <c r="W1006" s="82"/>
      <c r="X1006" s="82"/>
      <c r="Y1006" s="82"/>
      <c r="Z1006" s="82"/>
      <c r="AA1006" s="82"/>
      <c r="AB1006" s="82"/>
    </row>
    <row r="1007" spans="1:28" s="85" customFormat="1" ht="13.8" thickTop="1" x14ac:dyDescent="0.25">
      <c r="A1007" s="82"/>
      <c r="B1007" s="82"/>
      <c r="C1007" s="82"/>
      <c r="D1007" s="728" t="s">
        <v>1649</v>
      </c>
      <c r="E1007" s="384" t="s">
        <v>49</v>
      </c>
      <c r="F1007" s="385">
        <v>7</v>
      </c>
      <c r="G1007" s="386">
        <v>18</v>
      </c>
      <c r="H1007" s="387">
        <v>5</v>
      </c>
      <c r="I1007" s="388">
        <v>0.24</v>
      </c>
      <c r="J1007" s="389">
        <f t="shared" si="94"/>
        <v>4.32</v>
      </c>
      <c r="K1007" s="218">
        <f t="shared" si="117"/>
        <v>0.66527999999999998</v>
      </c>
      <c r="L1007" s="219">
        <f t="shared" si="118"/>
        <v>0</v>
      </c>
      <c r="M1007" s="219">
        <f t="shared" si="119"/>
        <v>0</v>
      </c>
      <c r="N1007" s="219">
        <f t="shared" si="120"/>
        <v>0</v>
      </c>
      <c r="O1007" s="219">
        <f t="shared" si="121"/>
        <v>0</v>
      </c>
      <c r="P1007" s="219">
        <f t="shared" si="122"/>
        <v>0</v>
      </c>
      <c r="Q1007" s="563">
        <f t="shared" si="101"/>
        <v>0</v>
      </c>
      <c r="R1007" s="220"/>
      <c r="T1007" s="82"/>
      <c r="U1007" s="82"/>
      <c r="V1007" s="82"/>
      <c r="W1007" s="82"/>
      <c r="X1007" s="82"/>
      <c r="Y1007" s="82"/>
      <c r="Z1007" s="82"/>
      <c r="AA1007" s="82"/>
      <c r="AB1007" s="82"/>
    </row>
    <row r="1008" spans="1:28" s="85" customFormat="1" x14ac:dyDescent="0.25">
      <c r="A1008" s="82"/>
      <c r="B1008" s="82"/>
      <c r="C1008" s="82"/>
      <c r="D1008" s="729"/>
      <c r="E1008" s="371" t="s">
        <v>49</v>
      </c>
      <c r="F1008" s="372">
        <v>8</v>
      </c>
      <c r="G1008" s="373">
        <v>18</v>
      </c>
      <c r="H1008" s="374">
        <v>5</v>
      </c>
      <c r="I1008" s="375">
        <v>1.19</v>
      </c>
      <c r="J1008" s="376">
        <f t="shared" si="94"/>
        <v>21.419999999999998</v>
      </c>
      <c r="K1008" s="66">
        <f t="shared" si="117"/>
        <v>3.2986799999999996</v>
      </c>
      <c r="L1008" s="63">
        <f t="shared" si="118"/>
        <v>0</v>
      </c>
      <c r="M1008" s="63">
        <f t="shared" si="119"/>
        <v>0</v>
      </c>
      <c r="N1008" s="63">
        <f t="shared" si="120"/>
        <v>0</v>
      </c>
      <c r="O1008" s="63">
        <f t="shared" si="121"/>
        <v>0</v>
      </c>
      <c r="P1008" s="63">
        <f t="shared" si="122"/>
        <v>0</v>
      </c>
      <c r="Q1008" s="561">
        <f t="shared" si="101"/>
        <v>0</v>
      </c>
      <c r="R1008" s="174"/>
      <c r="T1008" s="82"/>
      <c r="U1008" s="82"/>
      <c r="V1008" s="82"/>
      <c r="W1008" s="82"/>
      <c r="X1008" s="82"/>
      <c r="Y1008" s="82"/>
      <c r="Z1008" s="82"/>
      <c r="AA1008" s="82"/>
      <c r="AB1008" s="82"/>
    </row>
    <row r="1009" spans="1:28" s="85" customFormat="1" x14ac:dyDescent="0.25">
      <c r="A1009" s="82"/>
      <c r="B1009" s="82"/>
      <c r="C1009" s="82"/>
      <c r="D1009" s="729"/>
      <c r="E1009" s="371" t="s">
        <v>49</v>
      </c>
      <c r="F1009" s="372">
        <v>23</v>
      </c>
      <c r="G1009" s="373">
        <v>8</v>
      </c>
      <c r="H1009" s="374">
        <v>10</v>
      </c>
      <c r="I1009" s="375">
        <v>1.47</v>
      </c>
      <c r="J1009" s="376">
        <f t="shared" si="94"/>
        <v>11.76</v>
      </c>
      <c r="K1009" s="66">
        <f t="shared" si="117"/>
        <v>0</v>
      </c>
      <c r="L1009" s="63">
        <f t="shared" si="118"/>
        <v>0</v>
      </c>
      <c r="M1009" s="63">
        <f t="shared" si="119"/>
        <v>0</v>
      </c>
      <c r="N1009" s="63">
        <f t="shared" si="120"/>
        <v>7.2559199999999997</v>
      </c>
      <c r="O1009" s="63">
        <f t="shared" si="121"/>
        <v>0</v>
      </c>
      <c r="P1009" s="63">
        <f t="shared" si="122"/>
        <v>0</v>
      </c>
      <c r="Q1009" s="561">
        <f t="shared" si="101"/>
        <v>0</v>
      </c>
      <c r="R1009" s="174"/>
      <c r="T1009" s="82"/>
      <c r="U1009" s="82"/>
      <c r="V1009" s="82"/>
      <c r="W1009" s="82"/>
      <c r="X1009" s="82"/>
      <c r="Y1009" s="82"/>
      <c r="Z1009" s="82"/>
      <c r="AA1009" s="82"/>
      <c r="AB1009" s="82"/>
    </row>
    <row r="1010" spans="1:28" s="85" customFormat="1" x14ac:dyDescent="0.25">
      <c r="A1010" s="82"/>
      <c r="B1010" s="82"/>
      <c r="C1010" s="82"/>
      <c r="D1010" s="729"/>
      <c r="E1010" s="371" t="s">
        <v>113</v>
      </c>
      <c r="F1010" s="372">
        <v>19</v>
      </c>
      <c r="G1010" s="373">
        <v>60</v>
      </c>
      <c r="H1010" s="374">
        <v>5</v>
      </c>
      <c r="I1010" s="375">
        <v>0.24</v>
      </c>
      <c r="J1010" s="376">
        <f t="shared" si="94"/>
        <v>14.399999999999999</v>
      </c>
      <c r="K1010" s="66">
        <f t="shared" si="117"/>
        <v>2.2175999999999996</v>
      </c>
      <c r="L1010" s="63">
        <f t="shared" si="118"/>
        <v>0</v>
      </c>
      <c r="M1010" s="63">
        <f t="shared" si="119"/>
        <v>0</v>
      </c>
      <c r="N1010" s="63">
        <f t="shared" si="120"/>
        <v>0</v>
      </c>
      <c r="O1010" s="63">
        <f t="shared" si="121"/>
        <v>0</v>
      </c>
      <c r="P1010" s="63">
        <f t="shared" si="122"/>
        <v>0</v>
      </c>
      <c r="Q1010" s="561">
        <f t="shared" si="101"/>
        <v>0</v>
      </c>
      <c r="R1010" s="174"/>
      <c r="T1010" s="82"/>
      <c r="U1010" s="82"/>
      <c r="V1010" s="82"/>
      <c r="W1010" s="82"/>
      <c r="X1010" s="82"/>
      <c r="Y1010" s="82"/>
      <c r="Z1010" s="82"/>
      <c r="AA1010" s="82"/>
      <c r="AB1010" s="82"/>
    </row>
    <row r="1011" spans="1:28" s="85" customFormat="1" x14ac:dyDescent="0.25">
      <c r="A1011" s="82"/>
      <c r="B1011" s="82"/>
      <c r="C1011" s="82"/>
      <c r="D1011" s="729"/>
      <c r="E1011" s="371" t="s">
        <v>113</v>
      </c>
      <c r="F1011" s="372">
        <v>24</v>
      </c>
      <c r="G1011" s="373">
        <v>25</v>
      </c>
      <c r="H1011" s="374">
        <v>5</v>
      </c>
      <c r="I1011" s="375">
        <v>2.0699999999999998</v>
      </c>
      <c r="J1011" s="376">
        <f t="shared" si="94"/>
        <v>51.749999999999993</v>
      </c>
      <c r="K1011" s="66">
        <f t="shared" si="117"/>
        <v>7.9694999999999991</v>
      </c>
      <c r="L1011" s="63">
        <f t="shared" si="118"/>
        <v>0</v>
      </c>
      <c r="M1011" s="63">
        <f t="shared" si="119"/>
        <v>0</v>
      </c>
      <c r="N1011" s="63">
        <f t="shared" si="120"/>
        <v>0</v>
      </c>
      <c r="O1011" s="63">
        <f t="shared" si="121"/>
        <v>0</v>
      </c>
      <c r="P1011" s="63">
        <f t="shared" si="122"/>
        <v>0</v>
      </c>
      <c r="Q1011" s="561">
        <f t="shared" si="101"/>
        <v>0</v>
      </c>
      <c r="R1011" s="174"/>
      <c r="T1011" s="82"/>
      <c r="U1011" s="82"/>
      <c r="V1011" s="82"/>
      <c r="W1011" s="82"/>
      <c r="X1011" s="82"/>
      <c r="Y1011" s="82"/>
      <c r="Z1011" s="82"/>
      <c r="AA1011" s="82"/>
      <c r="AB1011" s="82"/>
    </row>
    <row r="1012" spans="1:28" s="85" customFormat="1" x14ac:dyDescent="0.25">
      <c r="A1012" s="82"/>
      <c r="B1012" s="82"/>
      <c r="C1012" s="82"/>
      <c r="D1012" s="729"/>
      <c r="E1012" s="371" t="s">
        <v>113</v>
      </c>
      <c r="F1012" s="372">
        <v>25</v>
      </c>
      <c r="G1012" s="373">
        <v>10</v>
      </c>
      <c r="H1012" s="374">
        <v>5</v>
      </c>
      <c r="I1012" s="375">
        <v>1.19</v>
      </c>
      <c r="J1012" s="376">
        <f t="shared" si="94"/>
        <v>11.899999999999999</v>
      </c>
      <c r="K1012" s="66">
        <f t="shared" si="117"/>
        <v>1.8325999999999998</v>
      </c>
      <c r="L1012" s="63">
        <f t="shared" si="118"/>
        <v>0</v>
      </c>
      <c r="M1012" s="63">
        <f t="shared" si="119"/>
        <v>0</v>
      </c>
      <c r="N1012" s="63">
        <f t="shared" si="120"/>
        <v>0</v>
      </c>
      <c r="O1012" s="63">
        <f t="shared" si="121"/>
        <v>0</v>
      </c>
      <c r="P1012" s="63">
        <f t="shared" si="122"/>
        <v>0</v>
      </c>
      <c r="Q1012" s="561">
        <f t="shared" si="101"/>
        <v>0</v>
      </c>
      <c r="R1012" s="174"/>
      <c r="T1012" s="82"/>
      <c r="U1012" s="82"/>
      <c r="V1012" s="82"/>
      <c r="W1012" s="82"/>
      <c r="X1012" s="82"/>
      <c r="Y1012" s="82"/>
      <c r="Z1012" s="82"/>
      <c r="AA1012" s="82"/>
      <c r="AB1012" s="82"/>
    </row>
    <row r="1013" spans="1:28" s="85" customFormat="1" x14ac:dyDescent="0.25">
      <c r="A1013" s="82"/>
      <c r="B1013" s="82"/>
      <c r="C1013" s="82"/>
      <c r="D1013" s="729"/>
      <c r="E1013" s="371" t="s">
        <v>113</v>
      </c>
      <c r="F1013" s="372">
        <v>27</v>
      </c>
      <c r="G1013" s="373">
        <v>8</v>
      </c>
      <c r="H1013" s="374">
        <v>10</v>
      </c>
      <c r="I1013" s="375">
        <v>3.78</v>
      </c>
      <c r="J1013" s="376">
        <f t="shared" si="94"/>
        <v>30.24</v>
      </c>
      <c r="K1013" s="66">
        <f t="shared" si="117"/>
        <v>0</v>
      </c>
      <c r="L1013" s="63">
        <f t="shared" si="118"/>
        <v>0</v>
      </c>
      <c r="M1013" s="63">
        <f t="shared" si="119"/>
        <v>0</v>
      </c>
      <c r="N1013" s="63">
        <f t="shared" si="120"/>
        <v>18.658079999999998</v>
      </c>
      <c r="O1013" s="63">
        <f t="shared" si="121"/>
        <v>0</v>
      </c>
      <c r="P1013" s="63">
        <f t="shared" si="122"/>
        <v>0</v>
      </c>
      <c r="Q1013" s="561">
        <f t="shared" si="101"/>
        <v>0</v>
      </c>
      <c r="R1013" s="174"/>
      <c r="T1013" s="82"/>
      <c r="U1013" s="82"/>
      <c r="V1013" s="82"/>
      <c r="W1013" s="82"/>
      <c r="X1013" s="82"/>
      <c r="Y1013" s="82"/>
      <c r="Z1013" s="82"/>
      <c r="AA1013" s="82"/>
      <c r="AB1013" s="82"/>
    </row>
    <row r="1014" spans="1:28" s="85" customFormat="1" x14ac:dyDescent="0.25">
      <c r="A1014" s="82"/>
      <c r="B1014" s="82"/>
      <c r="C1014" s="82"/>
      <c r="D1014" s="729"/>
      <c r="E1014" s="396" t="s">
        <v>184</v>
      </c>
      <c r="F1014" s="403">
        <v>18</v>
      </c>
      <c r="G1014" s="397">
        <v>20</v>
      </c>
      <c r="H1014" s="398">
        <v>5</v>
      </c>
      <c r="I1014" s="399">
        <v>0.24</v>
      </c>
      <c r="J1014" s="400">
        <f t="shared" si="94"/>
        <v>4.8</v>
      </c>
      <c r="K1014" s="401">
        <f t="shared" si="117"/>
        <v>0.73919999999999997</v>
      </c>
      <c r="L1014" s="196">
        <f t="shared" si="118"/>
        <v>0</v>
      </c>
      <c r="M1014" s="196">
        <f t="shared" si="119"/>
        <v>0</v>
      </c>
      <c r="N1014" s="196">
        <f t="shared" si="120"/>
        <v>0</v>
      </c>
      <c r="O1014" s="196">
        <f t="shared" si="121"/>
        <v>0</v>
      </c>
      <c r="P1014" s="196">
        <f t="shared" si="122"/>
        <v>0</v>
      </c>
      <c r="Q1014" s="566">
        <f t="shared" si="101"/>
        <v>0</v>
      </c>
      <c r="R1014" s="538"/>
      <c r="T1014" s="82"/>
      <c r="U1014" s="82"/>
      <c r="V1014" s="82"/>
      <c r="W1014" s="82"/>
      <c r="X1014" s="82"/>
      <c r="Y1014" s="82"/>
      <c r="Z1014" s="82"/>
      <c r="AA1014" s="82"/>
      <c r="AB1014" s="82"/>
    </row>
    <row r="1015" spans="1:28" s="85" customFormat="1" x14ac:dyDescent="0.25">
      <c r="A1015" s="82"/>
      <c r="B1015" s="82"/>
      <c r="C1015" s="82"/>
      <c r="D1015" s="729"/>
      <c r="E1015" s="371" t="s">
        <v>184</v>
      </c>
      <c r="F1015" s="372">
        <v>19</v>
      </c>
      <c r="G1015" s="373">
        <v>8</v>
      </c>
      <c r="H1015" s="374">
        <v>5</v>
      </c>
      <c r="I1015" s="375">
        <v>2.0699999999999998</v>
      </c>
      <c r="J1015" s="376">
        <f t="shared" si="94"/>
        <v>16.559999999999999</v>
      </c>
      <c r="K1015" s="66">
        <f t="shared" si="117"/>
        <v>2.5502399999999996</v>
      </c>
      <c r="L1015" s="63">
        <f t="shared" si="118"/>
        <v>0</v>
      </c>
      <c r="M1015" s="63">
        <f t="shared" si="119"/>
        <v>0</v>
      </c>
      <c r="N1015" s="63">
        <f t="shared" si="120"/>
        <v>0</v>
      </c>
      <c r="O1015" s="63">
        <f t="shared" si="121"/>
        <v>0</v>
      </c>
      <c r="P1015" s="63">
        <f t="shared" si="122"/>
        <v>0</v>
      </c>
      <c r="Q1015" s="562">
        <f t="shared" si="101"/>
        <v>0</v>
      </c>
      <c r="R1015" s="377"/>
      <c r="T1015" s="82"/>
      <c r="U1015" s="82"/>
      <c r="V1015" s="82"/>
      <c r="W1015" s="82"/>
      <c r="X1015" s="82"/>
      <c r="Y1015" s="82"/>
      <c r="Z1015" s="82"/>
      <c r="AA1015" s="82"/>
      <c r="AB1015" s="82"/>
    </row>
    <row r="1016" spans="1:28" s="85" customFormat="1" x14ac:dyDescent="0.25">
      <c r="A1016" s="82"/>
      <c r="B1016" s="82"/>
      <c r="C1016" s="82"/>
      <c r="D1016" s="729"/>
      <c r="E1016" s="371" t="s">
        <v>184</v>
      </c>
      <c r="F1016" s="372">
        <v>20</v>
      </c>
      <c r="G1016" s="373">
        <v>4</v>
      </c>
      <c r="H1016" s="374">
        <v>5</v>
      </c>
      <c r="I1016" s="375">
        <v>1.19</v>
      </c>
      <c r="J1016" s="376">
        <f t="shared" si="94"/>
        <v>4.76</v>
      </c>
      <c r="K1016" s="66">
        <f t="shared" si="117"/>
        <v>0.73303999999999991</v>
      </c>
      <c r="L1016" s="63">
        <f t="shared" si="118"/>
        <v>0</v>
      </c>
      <c r="M1016" s="63">
        <f t="shared" si="119"/>
        <v>0</v>
      </c>
      <c r="N1016" s="63">
        <f t="shared" si="120"/>
        <v>0</v>
      </c>
      <c r="O1016" s="63">
        <f t="shared" si="121"/>
        <v>0</v>
      </c>
      <c r="P1016" s="63">
        <f t="shared" si="122"/>
        <v>0</v>
      </c>
      <c r="Q1016" s="562">
        <f t="shared" si="101"/>
        <v>0</v>
      </c>
      <c r="R1016" s="377"/>
      <c r="T1016" s="82"/>
      <c r="U1016" s="82"/>
      <c r="V1016" s="82"/>
      <c r="W1016" s="82"/>
      <c r="X1016" s="82"/>
      <c r="Y1016" s="82"/>
      <c r="Z1016" s="82"/>
      <c r="AA1016" s="82"/>
      <c r="AB1016" s="82"/>
    </row>
    <row r="1017" spans="1:28" s="85" customFormat="1" ht="13.8" thickBot="1" x14ac:dyDescent="0.3">
      <c r="A1017" s="82"/>
      <c r="B1017" s="82"/>
      <c r="C1017" s="82"/>
      <c r="D1017" s="731"/>
      <c r="E1017" s="390" t="s">
        <v>184</v>
      </c>
      <c r="F1017" s="391">
        <v>54</v>
      </c>
      <c r="G1017" s="392">
        <v>8</v>
      </c>
      <c r="H1017" s="393">
        <v>10</v>
      </c>
      <c r="I1017" s="394">
        <v>1.02</v>
      </c>
      <c r="J1017" s="395">
        <f t="shared" si="94"/>
        <v>8.16</v>
      </c>
      <c r="K1017" s="221">
        <f t="shared" si="117"/>
        <v>0</v>
      </c>
      <c r="L1017" s="222">
        <f t="shared" si="118"/>
        <v>0</v>
      </c>
      <c r="M1017" s="222">
        <f t="shared" si="119"/>
        <v>0</v>
      </c>
      <c r="N1017" s="222">
        <f t="shared" si="120"/>
        <v>5.0347200000000001</v>
      </c>
      <c r="O1017" s="222">
        <f t="shared" si="121"/>
        <v>0</v>
      </c>
      <c r="P1017" s="222">
        <f t="shared" si="122"/>
        <v>0</v>
      </c>
      <c r="Q1017" s="564">
        <f t="shared" si="101"/>
        <v>0</v>
      </c>
      <c r="R1017" s="539"/>
      <c r="T1017" s="82"/>
      <c r="U1017" s="82"/>
      <c r="V1017" s="82"/>
      <c r="W1017" s="82"/>
      <c r="X1017" s="82"/>
      <c r="Y1017" s="82"/>
      <c r="Z1017" s="82"/>
      <c r="AA1017" s="82"/>
      <c r="AB1017" s="82"/>
    </row>
    <row r="1018" spans="1:28" s="85" customFormat="1" ht="13.8" thickTop="1" x14ac:dyDescent="0.25">
      <c r="A1018" s="82"/>
      <c r="B1018" s="82"/>
      <c r="C1018" s="82"/>
      <c r="D1018" s="728" t="s">
        <v>1650</v>
      </c>
      <c r="E1018" s="384" t="s">
        <v>49</v>
      </c>
      <c r="F1018" s="385">
        <v>7</v>
      </c>
      <c r="G1018" s="386">
        <f>2*18</f>
        <v>36</v>
      </c>
      <c r="H1018" s="387">
        <v>5</v>
      </c>
      <c r="I1018" s="388">
        <v>0.24</v>
      </c>
      <c r="J1018" s="389">
        <f t="shared" si="94"/>
        <v>8.64</v>
      </c>
      <c r="K1018" s="218">
        <f t="shared" si="117"/>
        <v>1.33056</v>
      </c>
      <c r="L1018" s="219">
        <f t="shared" si="118"/>
        <v>0</v>
      </c>
      <c r="M1018" s="219">
        <f t="shared" si="119"/>
        <v>0</v>
      </c>
      <c r="N1018" s="219">
        <f t="shared" si="120"/>
        <v>0</v>
      </c>
      <c r="O1018" s="219">
        <f t="shared" si="121"/>
        <v>0</v>
      </c>
      <c r="P1018" s="219">
        <f t="shared" si="122"/>
        <v>0</v>
      </c>
      <c r="Q1018" s="563">
        <f t="shared" si="101"/>
        <v>0</v>
      </c>
      <c r="R1018" s="220"/>
      <c r="T1018" s="82"/>
      <c r="U1018" s="82"/>
      <c r="V1018" s="82"/>
      <c r="W1018" s="82"/>
      <c r="X1018" s="82"/>
      <c r="Y1018" s="82"/>
      <c r="Z1018" s="82"/>
      <c r="AA1018" s="82"/>
      <c r="AB1018" s="82"/>
    </row>
    <row r="1019" spans="1:28" s="85" customFormat="1" x14ac:dyDescent="0.25">
      <c r="A1019" s="82"/>
      <c r="B1019" s="82"/>
      <c r="C1019" s="82"/>
      <c r="D1019" s="729"/>
      <c r="E1019" s="371" t="s">
        <v>49</v>
      </c>
      <c r="F1019" s="372">
        <v>8</v>
      </c>
      <c r="G1019" s="373">
        <f>2*8</f>
        <v>16</v>
      </c>
      <c r="H1019" s="374">
        <v>5</v>
      </c>
      <c r="I1019" s="375">
        <v>1.19</v>
      </c>
      <c r="J1019" s="376">
        <f t="shared" si="94"/>
        <v>19.04</v>
      </c>
      <c r="K1019" s="66">
        <f t="shared" si="117"/>
        <v>2.9321599999999997</v>
      </c>
      <c r="L1019" s="63">
        <f t="shared" si="118"/>
        <v>0</v>
      </c>
      <c r="M1019" s="63">
        <f t="shared" si="119"/>
        <v>0</v>
      </c>
      <c r="N1019" s="63">
        <f t="shared" si="120"/>
        <v>0</v>
      </c>
      <c r="O1019" s="63">
        <f t="shared" si="121"/>
        <v>0</v>
      </c>
      <c r="P1019" s="63">
        <f t="shared" si="122"/>
        <v>0</v>
      </c>
      <c r="Q1019" s="561">
        <f t="shared" si="101"/>
        <v>0</v>
      </c>
      <c r="R1019" s="174"/>
      <c r="T1019" s="82"/>
      <c r="U1019" s="82"/>
      <c r="V1019" s="82"/>
      <c r="W1019" s="82"/>
      <c r="X1019" s="82"/>
      <c r="Y1019" s="82"/>
      <c r="Z1019" s="82"/>
      <c r="AA1019" s="82"/>
      <c r="AB1019" s="82"/>
    </row>
    <row r="1020" spans="1:28" s="85" customFormat="1" x14ac:dyDescent="0.25">
      <c r="A1020" s="82"/>
      <c r="B1020" s="82"/>
      <c r="C1020" s="82"/>
      <c r="D1020" s="729"/>
      <c r="E1020" s="371" t="s">
        <v>49</v>
      </c>
      <c r="F1020" s="372">
        <v>9</v>
      </c>
      <c r="G1020" s="373">
        <f>2*5</f>
        <v>10</v>
      </c>
      <c r="H1020" s="374">
        <v>5</v>
      </c>
      <c r="I1020" s="375">
        <v>2.0699999999999998</v>
      </c>
      <c r="J1020" s="376">
        <f t="shared" si="94"/>
        <v>20.7</v>
      </c>
      <c r="K1020" s="66">
        <f t="shared" si="117"/>
        <v>3.1877999999999997</v>
      </c>
      <c r="L1020" s="63">
        <f t="shared" si="118"/>
        <v>0</v>
      </c>
      <c r="M1020" s="63">
        <f t="shared" si="119"/>
        <v>0</v>
      </c>
      <c r="N1020" s="63">
        <f t="shared" si="120"/>
        <v>0</v>
      </c>
      <c r="O1020" s="63">
        <f t="shared" si="121"/>
        <v>0</v>
      </c>
      <c r="P1020" s="63">
        <f t="shared" si="122"/>
        <v>0</v>
      </c>
      <c r="Q1020" s="561">
        <f t="shared" si="101"/>
        <v>0</v>
      </c>
      <c r="R1020" s="174"/>
      <c r="T1020" s="82"/>
      <c r="U1020" s="82"/>
      <c r="V1020" s="82"/>
      <c r="W1020" s="82"/>
      <c r="X1020" s="82"/>
      <c r="Y1020" s="82"/>
      <c r="Z1020" s="82"/>
      <c r="AA1020" s="82"/>
      <c r="AB1020" s="82"/>
    </row>
    <row r="1021" spans="1:28" s="85" customFormat="1" x14ac:dyDescent="0.25">
      <c r="A1021" s="82"/>
      <c r="B1021" s="82"/>
      <c r="C1021" s="82"/>
      <c r="D1021" s="729"/>
      <c r="E1021" s="371" t="s">
        <v>49</v>
      </c>
      <c r="F1021" s="372">
        <v>23</v>
      </c>
      <c r="G1021" s="373">
        <f>2*8</f>
        <v>16</v>
      </c>
      <c r="H1021" s="374">
        <v>10</v>
      </c>
      <c r="I1021" s="375">
        <v>1.47</v>
      </c>
      <c r="J1021" s="376">
        <f t="shared" si="94"/>
        <v>23.52</v>
      </c>
      <c r="K1021" s="66">
        <f t="shared" si="117"/>
        <v>0</v>
      </c>
      <c r="L1021" s="63">
        <f t="shared" si="118"/>
        <v>0</v>
      </c>
      <c r="M1021" s="63">
        <f t="shared" si="119"/>
        <v>0</v>
      </c>
      <c r="N1021" s="63">
        <f t="shared" si="120"/>
        <v>14.511839999999999</v>
      </c>
      <c r="O1021" s="63">
        <f t="shared" si="121"/>
        <v>0</v>
      </c>
      <c r="P1021" s="63">
        <f t="shared" si="122"/>
        <v>0</v>
      </c>
      <c r="Q1021" s="561">
        <f t="shared" si="101"/>
        <v>0</v>
      </c>
      <c r="R1021" s="174"/>
      <c r="T1021" s="82"/>
      <c r="U1021" s="82"/>
      <c r="V1021" s="82"/>
      <c r="W1021" s="82"/>
      <c r="X1021" s="82"/>
      <c r="Y1021" s="82"/>
      <c r="Z1021" s="82"/>
      <c r="AA1021" s="82"/>
      <c r="AB1021" s="82"/>
    </row>
    <row r="1022" spans="1:28" s="85" customFormat="1" x14ac:dyDescent="0.25">
      <c r="A1022" s="82"/>
      <c r="B1022" s="82"/>
      <c r="C1022" s="82"/>
      <c r="D1022" s="729"/>
      <c r="E1022" s="371" t="s">
        <v>113</v>
      </c>
      <c r="F1022" s="372">
        <v>19</v>
      </c>
      <c r="G1022" s="373">
        <f>2*60</f>
        <v>120</v>
      </c>
      <c r="H1022" s="374">
        <v>5</v>
      </c>
      <c r="I1022" s="375">
        <v>0.24</v>
      </c>
      <c r="J1022" s="376">
        <f t="shared" si="94"/>
        <v>28.799999999999997</v>
      </c>
      <c r="K1022" s="66">
        <f t="shared" si="117"/>
        <v>4.4351999999999991</v>
      </c>
      <c r="L1022" s="63">
        <f t="shared" si="118"/>
        <v>0</v>
      </c>
      <c r="M1022" s="63">
        <f t="shared" si="119"/>
        <v>0</v>
      </c>
      <c r="N1022" s="63">
        <f t="shared" si="120"/>
        <v>0</v>
      </c>
      <c r="O1022" s="63">
        <f t="shared" si="121"/>
        <v>0</v>
      </c>
      <c r="P1022" s="63">
        <f t="shared" si="122"/>
        <v>0</v>
      </c>
      <c r="Q1022" s="561">
        <f t="shared" si="101"/>
        <v>0</v>
      </c>
      <c r="R1022" s="174"/>
      <c r="T1022" s="82"/>
      <c r="U1022" s="82"/>
      <c r="V1022" s="82"/>
      <c r="W1022" s="82"/>
      <c r="X1022" s="82"/>
      <c r="Y1022" s="82"/>
      <c r="Z1022" s="82"/>
      <c r="AA1022" s="82"/>
      <c r="AB1022" s="82"/>
    </row>
    <row r="1023" spans="1:28" s="85" customFormat="1" x14ac:dyDescent="0.25">
      <c r="A1023" s="82"/>
      <c r="B1023" s="82"/>
      <c r="C1023" s="82"/>
      <c r="D1023" s="729"/>
      <c r="E1023" s="371" t="s">
        <v>113</v>
      </c>
      <c r="F1023" s="372">
        <v>24</v>
      </c>
      <c r="G1023" s="373">
        <f>2*25</f>
        <v>50</v>
      </c>
      <c r="H1023" s="374">
        <v>5</v>
      </c>
      <c r="I1023" s="375">
        <v>2.0699999999999998</v>
      </c>
      <c r="J1023" s="376">
        <f t="shared" si="94"/>
        <v>103.49999999999999</v>
      </c>
      <c r="K1023" s="66">
        <f t="shared" si="117"/>
        <v>15.938999999999998</v>
      </c>
      <c r="L1023" s="63">
        <f t="shared" si="118"/>
        <v>0</v>
      </c>
      <c r="M1023" s="63">
        <f t="shared" si="119"/>
        <v>0</v>
      </c>
      <c r="N1023" s="63">
        <f t="shared" si="120"/>
        <v>0</v>
      </c>
      <c r="O1023" s="63">
        <f t="shared" si="121"/>
        <v>0</v>
      </c>
      <c r="P1023" s="63">
        <f t="shared" si="122"/>
        <v>0</v>
      </c>
      <c r="Q1023" s="561">
        <f t="shared" si="101"/>
        <v>0</v>
      </c>
      <c r="R1023" s="174"/>
      <c r="T1023" s="82"/>
      <c r="U1023" s="82"/>
      <c r="V1023" s="82"/>
      <c r="W1023" s="82"/>
      <c r="X1023" s="82"/>
      <c r="Y1023" s="82"/>
      <c r="Z1023" s="82"/>
      <c r="AA1023" s="82"/>
      <c r="AB1023" s="82"/>
    </row>
    <row r="1024" spans="1:28" s="85" customFormat="1" x14ac:dyDescent="0.25">
      <c r="A1024" s="82"/>
      <c r="B1024" s="82"/>
      <c r="C1024" s="82"/>
      <c r="D1024" s="729"/>
      <c r="E1024" s="371" t="s">
        <v>113</v>
      </c>
      <c r="F1024" s="372">
        <v>25</v>
      </c>
      <c r="G1024" s="373">
        <f>2*10</f>
        <v>20</v>
      </c>
      <c r="H1024" s="374">
        <v>5</v>
      </c>
      <c r="I1024" s="375">
        <v>1.19</v>
      </c>
      <c r="J1024" s="376">
        <f t="shared" si="94"/>
        <v>23.799999999999997</v>
      </c>
      <c r="K1024" s="66">
        <f t="shared" si="117"/>
        <v>3.6651999999999996</v>
      </c>
      <c r="L1024" s="63">
        <f t="shared" si="118"/>
        <v>0</v>
      </c>
      <c r="M1024" s="63">
        <f t="shared" si="119"/>
        <v>0</v>
      </c>
      <c r="N1024" s="63">
        <f t="shared" si="120"/>
        <v>0</v>
      </c>
      <c r="O1024" s="63">
        <f t="shared" si="121"/>
        <v>0</v>
      </c>
      <c r="P1024" s="63">
        <f t="shared" si="122"/>
        <v>0</v>
      </c>
      <c r="Q1024" s="561">
        <f t="shared" si="101"/>
        <v>0</v>
      </c>
      <c r="R1024" s="174"/>
      <c r="T1024" s="82"/>
      <c r="U1024" s="82"/>
      <c r="V1024" s="82"/>
      <c r="W1024" s="82"/>
      <c r="X1024" s="82"/>
      <c r="Y1024" s="82"/>
      <c r="Z1024" s="82"/>
      <c r="AA1024" s="82"/>
      <c r="AB1024" s="82"/>
    </row>
    <row r="1025" spans="1:28" s="85" customFormat="1" x14ac:dyDescent="0.25">
      <c r="A1025" s="82"/>
      <c r="B1025" s="82"/>
      <c r="C1025" s="82"/>
      <c r="D1025" s="729"/>
      <c r="E1025" s="371" t="s">
        <v>113</v>
      </c>
      <c r="F1025" s="372">
        <v>26</v>
      </c>
      <c r="G1025" s="373">
        <f>2*4</f>
        <v>8</v>
      </c>
      <c r="H1025" s="374">
        <v>10</v>
      </c>
      <c r="I1025" s="375">
        <v>3.42</v>
      </c>
      <c r="J1025" s="376">
        <f t="shared" ref="J1025:J1026" si="123">G1025*I1025</f>
        <v>27.36</v>
      </c>
      <c r="K1025" s="66">
        <f t="shared" si="117"/>
        <v>0</v>
      </c>
      <c r="L1025" s="63">
        <f t="shared" si="118"/>
        <v>0</v>
      </c>
      <c r="M1025" s="63">
        <f t="shared" si="119"/>
        <v>0</v>
      </c>
      <c r="N1025" s="63">
        <f t="shared" si="120"/>
        <v>16.881119999999999</v>
      </c>
      <c r="O1025" s="63">
        <f t="shared" si="121"/>
        <v>0</v>
      </c>
      <c r="P1025" s="63">
        <f t="shared" si="122"/>
        <v>0</v>
      </c>
      <c r="Q1025" s="561">
        <f t="shared" si="101"/>
        <v>0</v>
      </c>
      <c r="R1025" s="174"/>
      <c r="T1025" s="82"/>
      <c r="U1025" s="82"/>
      <c r="V1025" s="82"/>
      <c r="W1025" s="82"/>
      <c r="X1025" s="82"/>
      <c r="Y1025" s="82"/>
      <c r="Z1025" s="82"/>
      <c r="AA1025" s="82"/>
      <c r="AB1025" s="82"/>
    </row>
    <row r="1026" spans="1:28" s="85" customFormat="1" x14ac:dyDescent="0.25">
      <c r="A1026" s="82"/>
      <c r="B1026" s="82"/>
      <c r="C1026" s="82"/>
      <c r="D1026" s="729"/>
      <c r="E1026" s="371" t="s">
        <v>113</v>
      </c>
      <c r="F1026" s="372">
        <v>27</v>
      </c>
      <c r="G1026" s="373">
        <f>2*4</f>
        <v>8</v>
      </c>
      <c r="H1026" s="374">
        <v>10</v>
      </c>
      <c r="I1026" s="375">
        <v>3.78</v>
      </c>
      <c r="J1026" s="376">
        <f t="shared" si="123"/>
        <v>30.24</v>
      </c>
      <c r="K1026" s="66">
        <f t="shared" si="117"/>
        <v>0</v>
      </c>
      <c r="L1026" s="63">
        <f t="shared" si="118"/>
        <v>0</v>
      </c>
      <c r="M1026" s="63">
        <f t="shared" si="119"/>
        <v>0</v>
      </c>
      <c r="N1026" s="63">
        <f t="shared" si="120"/>
        <v>18.658079999999998</v>
      </c>
      <c r="O1026" s="63">
        <f t="shared" si="121"/>
        <v>0</v>
      </c>
      <c r="P1026" s="63">
        <f t="shared" si="122"/>
        <v>0</v>
      </c>
      <c r="Q1026" s="561">
        <f t="shared" si="101"/>
        <v>0</v>
      </c>
      <c r="R1026" s="174"/>
      <c r="T1026" s="82"/>
      <c r="U1026" s="82"/>
      <c r="V1026" s="82"/>
      <c r="W1026" s="82"/>
      <c r="X1026" s="82"/>
      <c r="Y1026" s="82"/>
      <c r="Z1026" s="82"/>
      <c r="AA1026" s="82"/>
      <c r="AB1026" s="82"/>
    </row>
    <row r="1027" spans="1:28" s="85" customFormat="1" x14ac:dyDescent="0.25">
      <c r="A1027" s="82"/>
      <c r="B1027" s="82"/>
      <c r="C1027" s="82"/>
      <c r="D1027" s="729"/>
      <c r="E1027" s="371" t="s">
        <v>113</v>
      </c>
      <c r="F1027" s="372">
        <v>28</v>
      </c>
      <c r="G1027" s="373">
        <f>2*4</f>
        <v>8</v>
      </c>
      <c r="H1027" s="374">
        <v>10</v>
      </c>
      <c r="I1027" s="375">
        <v>0.67</v>
      </c>
      <c r="J1027" s="376">
        <f t="shared" si="94"/>
        <v>5.36</v>
      </c>
      <c r="K1027" s="66">
        <f t="shared" si="117"/>
        <v>0</v>
      </c>
      <c r="L1027" s="63">
        <f t="shared" si="118"/>
        <v>0</v>
      </c>
      <c r="M1027" s="63">
        <f t="shared" si="119"/>
        <v>0</v>
      </c>
      <c r="N1027" s="63">
        <f t="shared" si="120"/>
        <v>3.3071200000000003</v>
      </c>
      <c r="O1027" s="63">
        <f t="shared" si="121"/>
        <v>0</v>
      </c>
      <c r="P1027" s="63">
        <f t="shared" si="122"/>
        <v>0</v>
      </c>
      <c r="Q1027" s="561">
        <f t="shared" si="101"/>
        <v>0</v>
      </c>
      <c r="R1027" s="174"/>
      <c r="T1027" s="82"/>
      <c r="U1027" s="82"/>
      <c r="V1027" s="82"/>
      <c r="W1027" s="82"/>
      <c r="X1027" s="82"/>
      <c r="Y1027" s="82"/>
      <c r="Z1027" s="82"/>
      <c r="AA1027" s="82"/>
      <c r="AB1027" s="82"/>
    </row>
    <row r="1028" spans="1:28" s="85" customFormat="1" x14ac:dyDescent="0.25">
      <c r="A1028" s="82"/>
      <c r="B1028" s="82"/>
      <c r="C1028" s="82"/>
      <c r="D1028" s="729"/>
      <c r="E1028" s="396" t="s">
        <v>184</v>
      </c>
      <c r="F1028" s="403">
        <v>5</v>
      </c>
      <c r="G1028" s="397">
        <f>2*8</f>
        <v>16</v>
      </c>
      <c r="H1028" s="398">
        <v>5</v>
      </c>
      <c r="I1028" s="399">
        <v>0.97</v>
      </c>
      <c r="J1028" s="400">
        <f t="shared" si="94"/>
        <v>15.52</v>
      </c>
      <c r="K1028" s="401">
        <f t="shared" si="117"/>
        <v>2.3900799999999998</v>
      </c>
      <c r="L1028" s="196">
        <f t="shared" si="118"/>
        <v>0</v>
      </c>
      <c r="M1028" s="196">
        <f t="shared" si="119"/>
        <v>0</v>
      </c>
      <c r="N1028" s="196">
        <f t="shared" si="120"/>
        <v>0</v>
      </c>
      <c r="O1028" s="196">
        <f t="shared" si="121"/>
        <v>0</v>
      </c>
      <c r="P1028" s="196">
        <f t="shared" si="122"/>
        <v>0</v>
      </c>
      <c r="Q1028" s="566">
        <f t="shared" si="101"/>
        <v>0</v>
      </c>
      <c r="R1028" s="538"/>
      <c r="T1028" s="82"/>
      <c r="U1028" s="82"/>
      <c r="V1028" s="82"/>
      <c r="W1028" s="82"/>
      <c r="X1028" s="82"/>
      <c r="Y1028" s="82"/>
      <c r="Z1028" s="82"/>
      <c r="AA1028" s="82"/>
      <c r="AB1028" s="82"/>
    </row>
    <row r="1029" spans="1:28" s="85" customFormat="1" x14ac:dyDescent="0.25">
      <c r="A1029" s="82"/>
      <c r="B1029" s="82"/>
      <c r="C1029" s="82"/>
      <c r="D1029" s="729"/>
      <c r="E1029" s="371" t="s">
        <v>184</v>
      </c>
      <c r="F1029" s="372">
        <v>6</v>
      </c>
      <c r="G1029" s="373">
        <f>2*4</f>
        <v>8</v>
      </c>
      <c r="H1029" s="374">
        <v>5</v>
      </c>
      <c r="I1029" s="375">
        <v>0.64</v>
      </c>
      <c r="J1029" s="376">
        <f t="shared" si="94"/>
        <v>5.12</v>
      </c>
      <c r="K1029" s="66">
        <f t="shared" si="117"/>
        <v>0.78847999999999996</v>
      </c>
      <c r="L1029" s="63">
        <f t="shared" si="118"/>
        <v>0</v>
      </c>
      <c r="M1029" s="63">
        <f t="shared" si="119"/>
        <v>0</v>
      </c>
      <c r="N1029" s="63">
        <f t="shared" si="120"/>
        <v>0</v>
      </c>
      <c r="O1029" s="63">
        <f t="shared" si="121"/>
        <v>0</v>
      </c>
      <c r="P1029" s="63">
        <f t="shared" si="122"/>
        <v>0</v>
      </c>
      <c r="Q1029" s="562">
        <f t="shared" si="101"/>
        <v>0</v>
      </c>
      <c r="R1029" s="377"/>
      <c r="T1029" s="82"/>
      <c r="U1029" s="82"/>
      <c r="V1029" s="82"/>
      <c r="W1029" s="82"/>
      <c r="X1029" s="82"/>
      <c r="Y1029" s="82"/>
      <c r="Z1029" s="82"/>
      <c r="AA1029" s="82"/>
      <c r="AB1029" s="82"/>
    </row>
    <row r="1030" spans="1:28" s="85" customFormat="1" x14ac:dyDescent="0.25">
      <c r="A1030" s="82"/>
      <c r="B1030" s="82"/>
      <c r="C1030" s="82"/>
      <c r="D1030" s="729"/>
      <c r="E1030" s="371" t="s">
        <v>184</v>
      </c>
      <c r="F1030" s="372">
        <v>18</v>
      </c>
      <c r="G1030" s="373">
        <f>2*20</f>
        <v>40</v>
      </c>
      <c r="H1030" s="374">
        <v>5</v>
      </c>
      <c r="I1030" s="375">
        <v>0.24</v>
      </c>
      <c r="J1030" s="376">
        <f t="shared" si="94"/>
        <v>9.6</v>
      </c>
      <c r="K1030" s="66">
        <f t="shared" si="117"/>
        <v>1.4783999999999999</v>
      </c>
      <c r="L1030" s="63">
        <f t="shared" si="118"/>
        <v>0</v>
      </c>
      <c r="M1030" s="63">
        <f t="shared" si="119"/>
        <v>0</v>
      </c>
      <c r="N1030" s="63">
        <f t="shared" si="120"/>
        <v>0</v>
      </c>
      <c r="O1030" s="63">
        <f t="shared" si="121"/>
        <v>0</v>
      </c>
      <c r="P1030" s="63">
        <f t="shared" si="122"/>
        <v>0</v>
      </c>
      <c r="Q1030" s="562">
        <f t="shared" si="101"/>
        <v>0</v>
      </c>
      <c r="R1030" s="377"/>
      <c r="T1030" s="82"/>
      <c r="U1030" s="82"/>
      <c r="V1030" s="82"/>
      <c r="W1030" s="82"/>
      <c r="X1030" s="82"/>
      <c r="Y1030" s="82"/>
      <c r="Z1030" s="82"/>
      <c r="AA1030" s="82"/>
      <c r="AB1030" s="82"/>
    </row>
    <row r="1031" spans="1:28" s="85" customFormat="1" ht="13.8" thickBot="1" x14ac:dyDescent="0.3">
      <c r="A1031" s="82"/>
      <c r="B1031" s="82"/>
      <c r="C1031" s="82"/>
      <c r="D1031" s="731"/>
      <c r="E1031" s="390" t="s">
        <v>184</v>
      </c>
      <c r="F1031" s="391">
        <v>54</v>
      </c>
      <c r="G1031" s="392">
        <f>2*8</f>
        <v>16</v>
      </c>
      <c r="H1031" s="393">
        <v>10</v>
      </c>
      <c r="I1031" s="394">
        <v>1.02</v>
      </c>
      <c r="J1031" s="395">
        <f t="shared" si="94"/>
        <v>16.32</v>
      </c>
      <c r="K1031" s="221">
        <f t="shared" si="117"/>
        <v>0</v>
      </c>
      <c r="L1031" s="222">
        <f t="shared" si="118"/>
        <v>0</v>
      </c>
      <c r="M1031" s="222">
        <f t="shared" si="119"/>
        <v>0</v>
      </c>
      <c r="N1031" s="222">
        <f t="shared" si="120"/>
        <v>10.06944</v>
      </c>
      <c r="O1031" s="222">
        <f t="shared" si="121"/>
        <v>0</v>
      </c>
      <c r="P1031" s="222">
        <f t="shared" si="122"/>
        <v>0</v>
      </c>
      <c r="Q1031" s="564">
        <f t="shared" si="101"/>
        <v>0</v>
      </c>
      <c r="R1031" s="539"/>
      <c r="T1031" s="82"/>
      <c r="U1031" s="82"/>
      <c r="V1031" s="82"/>
      <c r="W1031" s="82"/>
      <c r="X1031" s="82"/>
      <c r="Y1031" s="82"/>
      <c r="Z1031" s="82"/>
      <c r="AA1031" s="82"/>
      <c r="AB1031" s="82"/>
    </row>
    <row r="1032" spans="1:28" s="85" customFormat="1" ht="13.8" thickTop="1" x14ac:dyDescent="0.25">
      <c r="A1032" s="82"/>
      <c r="B1032" s="82"/>
      <c r="C1032" s="82"/>
      <c r="D1032" s="728" t="s">
        <v>1652</v>
      </c>
      <c r="E1032" s="384" t="s">
        <v>49</v>
      </c>
      <c r="F1032" s="385">
        <v>1</v>
      </c>
      <c r="G1032" s="386">
        <f>2*18</f>
        <v>36</v>
      </c>
      <c r="H1032" s="387">
        <v>5</v>
      </c>
      <c r="I1032" s="388">
        <v>0.24</v>
      </c>
      <c r="J1032" s="389">
        <f t="shared" si="94"/>
        <v>8.64</v>
      </c>
      <c r="K1032" s="218">
        <f t="shared" si="117"/>
        <v>1.33056</v>
      </c>
      <c r="L1032" s="219">
        <f t="shared" si="118"/>
        <v>0</v>
      </c>
      <c r="M1032" s="219">
        <f t="shared" si="119"/>
        <v>0</v>
      </c>
      <c r="N1032" s="219">
        <f t="shared" si="120"/>
        <v>0</v>
      </c>
      <c r="O1032" s="219">
        <f t="shared" si="121"/>
        <v>0</v>
      </c>
      <c r="P1032" s="219">
        <f t="shared" si="122"/>
        <v>0</v>
      </c>
      <c r="Q1032" s="563">
        <f t="shared" si="101"/>
        <v>0</v>
      </c>
      <c r="R1032" s="220"/>
      <c r="T1032" s="82"/>
      <c r="U1032" s="82"/>
      <c r="V1032" s="82"/>
      <c r="W1032" s="82"/>
      <c r="X1032" s="82"/>
      <c r="Y1032" s="82"/>
      <c r="Z1032" s="82"/>
      <c r="AA1032" s="82"/>
      <c r="AB1032" s="82"/>
    </row>
    <row r="1033" spans="1:28" s="85" customFormat="1" x14ac:dyDescent="0.25">
      <c r="A1033" s="82"/>
      <c r="B1033" s="82"/>
      <c r="C1033" s="82"/>
      <c r="D1033" s="729"/>
      <c r="E1033" s="371" t="s">
        <v>49</v>
      </c>
      <c r="F1033" s="372">
        <v>2</v>
      </c>
      <c r="G1033" s="373">
        <f>2*5</f>
        <v>10</v>
      </c>
      <c r="H1033" s="374">
        <v>5</v>
      </c>
      <c r="I1033" s="375">
        <v>2.0699999999999998</v>
      </c>
      <c r="J1033" s="376">
        <f t="shared" si="94"/>
        <v>20.7</v>
      </c>
      <c r="K1033" s="66">
        <f t="shared" si="117"/>
        <v>3.1877999999999997</v>
      </c>
      <c r="L1033" s="63">
        <f t="shared" si="118"/>
        <v>0</v>
      </c>
      <c r="M1033" s="63">
        <f t="shared" si="119"/>
        <v>0</v>
      </c>
      <c r="N1033" s="63">
        <f t="shared" si="120"/>
        <v>0</v>
      </c>
      <c r="O1033" s="63">
        <f t="shared" si="121"/>
        <v>0</v>
      </c>
      <c r="P1033" s="63">
        <f t="shared" si="122"/>
        <v>0</v>
      </c>
      <c r="Q1033" s="561">
        <f t="shared" si="101"/>
        <v>0</v>
      </c>
      <c r="R1033" s="174"/>
      <c r="T1033" s="82"/>
      <c r="U1033" s="82"/>
      <c r="V1033" s="82"/>
      <c r="W1033" s="82"/>
      <c r="X1033" s="82"/>
      <c r="Y1033" s="82"/>
      <c r="Z1033" s="82"/>
      <c r="AA1033" s="82"/>
      <c r="AB1033" s="82"/>
    </row>
    <row r="1034" spans="1:28" s="85" customFormat="1" x14ac:dyDescent="0.25">
      <c r="A1034" s="82"/>
      <c r="B1034" s="82"/>
      <c r="C1034" s="82"/>
      <c r="D1034" s="729"/>
      <c r="E1034" s="371" t="s">
        <v>49</v>
      </c>
      <c r="F1034" s="372">
        <v>3</v>
      </c>
      <c r="G1034" s="373">
        <f>2*8</f>
        <v>16</v>
      </c>
      <c r="H1034" s="374">
        <v>5</v>
      </c>
      <c r="I1034" s="375">
        <v>1.19</v>
      </c>
      <c r="J1034" s="376">
        <f t="shared" si="94"/>
        <v>19.04</v>
      </c>
      <c r="K1034" s="66">
        <f t="shared" si="117"/>
        <v>2.9321599999999997</v>
      </c>
      <c r="L1034" s="63">
        <f t="shared" si="118"/>
        <v>0</v>
      </c>
      <c r="M1034" s="63">
        <f t="shared" si="119"/>
        <v>0</v>
      </c>
      <c r="N1034" s="63">
        <f t="shared" si="120"/>
        <v>0</v>
      </c>
      <c r="O1034" s="63">
        <f t="shared" si="121"/>
        <v>0</v>
      </c>
      <c r="P1034" s="63">
        <f t="shared" si="122"/>
        <v>0</v>
      </c>
      <c r="Q1034" s="561">
        <f t="shared" si="101"/>
        <v>0</v>
      </c>
      <c r="R1034" s="174"/>
      <c r="T1034" s="82"/>
      <c r="U1034" s="82"/>
      <c r="V1034" s="82"/>
      <c r="W1034" s="82"/>
      <c r="X1034" s="82"/>
      <c r="Y1034" s="82"/>
      <c r="Z1034" s="82"/>
      <c r="AA1034" s="82"/>
      <c r="AB1034" s="82"/>
    </row>
    <row r="1035" spans="1:28" s="85" customFormat="1" x14ac:dyDescent="0.25">
      <c r="A1035" s="82"/>
      <c r="B1035" s="82"/>
      <c r="C1035" s="82"/>
      <c r="D1035" s="729"/>
      <c r="E1035" s="371" t="s">
        <v>49</v>
      </c>
      <c r="F1035" s="372">
        <v>37</v>
      </c>
      <c r="G1035" s="373">
        <f>2*8</f>
        <v>16</v>
      </c>
      <c r="H1035" s="374">
        <v>10</v>
      </c>
      <c r="I1035" s="375">
        <v>1.42</v>
      </c>
      <c r="J1035" s="376">
        <f t="shared" ref="J1035:J1181" si="124">G1035*I1035</f>
        <v>22.72</v>
      </c>
      <c r="K1035" s="66">
        <f t="shared" si="117"/>
        <v>0</v>
      </c>
      <c r="L1035" s="63">
        <f t="shared" si="118"/>
        <v>0</v>
      </c>
      <c r="M1035" s="63">
        <f t="shared" si="119"/>
        <v>0</v>
      </c>
      <c r="N1035" s="63">
        <f t="shared" si="120"/>
        <v>14.018239999999999</v>
      </c>
      <c r="O1035" s="63">
        <f t="shared" si="121"/>
        <v>0</v>
      </c>
      <c r="P1035" s="63">
        <f t="shared" si="122"/>
        <v>0</v>
      </c>
      <c r="Q1035" s="561">
        <f t="shared" ref="Q1035:Q1128" si="125">IF($H1035=20,$J1035*$B$28,0)</f>
        <v>0</v>
      </c>
      <c r="R1035" s="174"/>
      <c r="T1035" s="82"/>
      <c r="U1035" s="82"/>
      <c r="V1035" s="82"/>
      <c r="W1035" s="82"/>
      <c r="X1035" s="82"/>
      <c r="Y1035" s="82"/>
      <c r="Z1035" s="82"/>
      <c r="AA1035" s="82"/>
      <c r="AB1035" s="82"/>
    </row>
    <row r="1036" spans="1:28" s="85" customFormat="1" x14ac:dyDescent="0.25">
      <c r="A1036" s="82"/>
      <c r="B1036" s="82"/>
      <c r="C1036" s="82"/>
      <c r="D1036" s="729"/>
      <c r="E1036" s="371" t="s">
        <v>113</v>
      </c>
      <c r="F1036" s="372">
        <v>19</v>
      </c>
      <c r="G1036" s="373">
        <f>2*60</f>
        <v>120</v>
      </c>
      <c r="H1036" s="374">
        <v>5</v>
      </c>
      <c r="I1036" s="375">
        <v>0.24</v>
      </c>
      <c r="J1036" s="376">
        <f t="shared" si="124"/>
        <v>28.799999999999997</v>
      </c>
      <c r="K1036" s="66">
        <f t="shared" ref="K1036:K1085" si="126">IF($H1036=5,$J1036*$B$21,0)</f>
        <v>4.4351999999999991</v>
      </c>
      <c r="L1036" s="63">
        <f t="shared" ref="L1036:L1085" si="127">IF($H1036=6.3,$J1036*$B$22,0)</f>
        <v>0</v>
      </c>
      <c r="M1036" s="63">
        <f t="shared" ref="M1036:M1085" si="128">IF($H1036=8,$J1036*$B$23,0)</f>
        <v>0</v>
      </c>
      <c r="N1036" s="63">
        <f t="shared" ref="N1036:N1085" si="129">IF($H1036=10,$J1036*$B$24,0)</f>
        <v>0</v>
      </c>
      <c r="O1036" s="63">
        <f t="shared" ref="O1036:O1085" si="130">IF($H1036=12.5,$J1036*$B$26,0)</f>
        <v>0</v>
      </c>
      <c r="P1036" s="63">
        <f t="shared" ref="P1036:P1085" si="131">IF($H1036=16,$J1036*$B$27,0)</f>
        <v>0</v>
      </c>
      <c r="Q1036" s="561">
        <f t="shared" si="125"/>
        <v>0</v>
      </c>
      <c r="R1036" s="174"/>
      <c r="T1036" s="82"/>
      <c r="U1036" s="82"/>
      <c r="V1036" s="82"/>
      <c r="W1036" s="82"/>
      <c r="X1036" s="82"/>
      <c r="Y1036" s="82"/>
      <c r="Z1036" s="82"/>
      <c r="AA1036" s="82"/>
      <c r="AB1036" s="82"/>
    </row>
    <row r="1037" spans="1:28" s="85" customFormat="1" x14ac:dyDescent="0.25">
      <c r="A1037" s="82"/>
      <c r="B1037" s="82"/>
      <c r="C1037" s="82"/>
      <c r="D1037" s="729"/>
      <c r="E1037" s="371" t="s">
        <v>113</v>
      </c>
      <c r="F1037" s="372">
        <v>24</v>
      </c>
      <c r="G1037" s="373">
        <f>2*25</f>
        <v>50</v>
      </c>
      <c r="H1037" s="374">
        <v>5</v>
      </c>
      <c r="I1037" s="375">
        <v>2.0699999999999998</v>
      </c>
      <c r="J1037" s="376">
        <f t="shared" si="124"/>
        <v>103.49999999999999</v>
      </c>
      <c r="K1037" s="66">
        <f t="shared" si="126"/>
        <v>15.938999999999998</v>
      </c>
      <c r="L1037" s="63">
        <f t="shared" si="127"/>
        <v>0</v>
      </c>
      <c r="M1037" s="63">
        <f t="shared" si="128"/>
        <v>0</v>
      </c>
      <c r="N1037" s="63">
        <f t="shared" si="129"/>
        <v>0</v>
      </c>
      <c r="O1037" s="63">
        <f t="shared" si="130"/>
        <v>0</v>
      </c>
      <c r="P1037" s="63">
        <f t="shared" si="131"/>
        <v>0</v>
      </c>
      <c r="Q1037" s="561">
        <f t="shared" si="125"/>
        <v>0</v>
      </c>
      <c r="R1037" s="174"/>
      <c r="T1037" s="82"/>
      <c r="U1037" s="82"/>
      <c r="V1037" s="82"/>
      <c r="W1037" s="82"/>
      <c r="X1037" s="82"/>
      <c r="Y1037" s="82"/>
      <c r="Z1037" s="82"/>
      <c r="AA1037" s="82"/>
      <c r="AB1037" s="82"/>
    </row>
    <row r="1038" spans="1:28" s="85" customFormat="1" x14ac:dyDescent="0.25">
      <c r="A1038" s="82"/>
      <c r="B1038" s="82"/>
      <c r="C1038" s="82"/>
      <c r="D1038" s="729"/>
      <c r="E1038" s="371" t="s">
        <v>113</v>
      </c>
      <c r="F1038" s="372">
        <v>25</v>
      </c>
      <c r="G1038" s="373">
        <f>2*10</f>
        <v>20</v>
      </c>
      <c r="H1038" s="374">
        <v>5</v>
      </c>
      <c r="I1038" s="375">
        <v>1.19</v>
      </c>
      <c r="J1038" s="376">
        <f t="shared" ref="J1038:J1039" si="132">G1038*I1038</f>
        <v>23.799999999999997</v>
      </c>
      <c r="K1038" s="66">
        <f t="shared" si="126"/>
        <v>3.6651999999999996</v>
      </c>
      <c r="L1038" s="63">
        <f t="shared" si="127"/>
        <v>0</v>
      </c>
      <c r="M1038" s="63">
        <f t="shared" si="128"/>
        <v>0</v>
      </c>
      <c r="N1038" s="63">
        <f t="shared" si="129"/>
        <v>0</v>
      </c>
      <c r="O1038" s="63">
        <f t="shared" si="130"/>
        <v>0</v>
      </c>
      <c r="P1038" s="63">
        <f t="shared" si="131"/>
        <v>0</v>
      </c>
      <c r="Q1038" s="561">
        <f t="shared" si="125"/>
        <v>0</v>
      </c>
      <c r="R1038" s="174"/>
      <c r="T1038" s="82"/>
      <c r="U1038" s="82"/>
      <c r="V1038" s="82"/>
      <c r="W1038" s="82"/>
      <c r="X1038" s="82"/>
      <c r="Y1038" s="82"/>
      <c r="Z1038" s="82"/>
      <c r="AA1038" s="82"/>
      <c r="AB1038" s="82"/>
    </row>
    <row r="1039" spans="1:28" s="85" customFormat="1" x14ac:dyDescent="0.25">
      <c r="A1039" s="82"/>
      <c r="B1039" s="82"/>
      <c r="C1039" s="82"/>
      <c r="D1039" s="729"/>
      <c r="E1039" s="371" t="s">
        <v>113</v>
      </c>
      <c r="F1039" s="372">
        <v>26</v>
      </c>
      <c r="G1039" s="373">
        <f>2*4</f>
        <v>8</v>
      </c>
      <c r="H1039" s="374">
        <v>10</v>
      </c>
      <c r="I1039" s="375">
        <v>3.42</v>
      </c>
      <c r="J1039" s="376">
        <f t="shared" si="132"/>
        <v>27.36</v>
      </c>
      <c r="K1039" s="66">
        <f t="shared" si="126"/>
        <v>0</v>
      </c>
      <c r="L1039" s="63">
        <f t="shared" si="127"/>
        <v>0</v>
      </c>
      <c r="M1039" s="63">
        <f t="shared" si="128"/>
        <v>0</v>
      </c>
      <c r="N1039" s="63">
        <f t="shared" si="129"/>
        <v>16.881119999999999</v>
      </c>
      <c r="O1039" s="63">
        <f t="shared" si="130"/>
        <v>0</v>
      </c>
      <c r="P1039" s="63">
        <f t="shared" si="131"/>
        <v>0</v>
      </c>
      <c r="Q1039" s="561">
        <f t="shared" si="125"/>
        <v>0</v>
      </c>
      <c r="R1039" s="174"/>
      <c r="T1039" s="82"/>
      <c r="U1039" s="82"/>
      <c r="V1039" s="82"/>
      <c r="W1039" s="82"/>
      <c r="X1039" s="82"/>
      <c r="Y1039" s="82"/>
      <c r="Z1039" s="82"/>
      <c r="AA1039" s="82"/>
      <c r="AB1039" s="82"/>
    </row>
    <row r="1040" spans="1:28" s="85" customFormat="1" x14ac:dyDescent="0.25">
      <c r="A1040" s="82"/>
      <c r="B1040" s="82"/>
      <c r="C1040" s="82"/>
      <c r="D1040" s="729"/>
      <c r="E1040" s="371" t="s">
        <v>113</v>
      </c>
      <c r="F1040" s="372">
        <v>27</v>
      </c>
      <c r="G1040" s="373">
        <f>2*4</f>
        <v>8</v>
      </c>
      <c r="H1040" s="374">
        <v>10</v>
      </c>
      <c r="I1040" s="375">
        <v>3.78</v>
      </c>
      <c r="J1040" s="376">
        <f t="shared" si="124"/>
        <v>30.24</v>
      </c>
      <c r="K1040" s="66">
        <f t="shared" si="126"/>
        <v>0</v>
      </c>
      <c r="L1040" s="63">
        <f t="shared" si="127"/>
        <v>0</v>
      </c>
      <c r="M1040" s="63">
        <f t="shared" si="128"/>
        <v>0</v>
      </c>
      <c r="N1040" s="63">
        <f t="shared" si="129"/>
        <v>18.658079999999998</v>
      </c>
      <c r="O1040" s="63">
        <f t="shared" si="130"/>
        <v>0</v>
      </c>
      <c r="P1040" s="63">
        <f t="shared" si="131"/>
        <v>0</v>
      </c>
      <c r="Q1040" s="561">
        <f t="shared" si="125"/>
        <v>0</v>
      </c>
      <c r="R1040" s="174"/>
      <c r="T1040" s="82"/>
      <c r="U1040" s="82"/>
      <c r="V1040" s="82"/>
      <c r="W1040" s="82"/>
      <c r="X1040" s="82"/>
      <c r="Y1040" s="82"/>
      <c r="Z1040" s="82"/>
      <c r="AA1040" s="82"/>
      <c r="AB1040" s="82"/>
    </row>
    <row r="1041" spans="1:28" s="85" customFormat="1" x14ac:dyDescent="0.25">
      <c r="A1041" s="82"/>
      <c r="B1041" s="82"/>
      <c r="C1041" s="82"/>
      <c r="D1041" s="729"/>
      <c r="E1041" s="371" t="s">
        <v>113</v>
      </c>
      <c r="F1041" s="372">
        <v>28</v>
      </c>
      <c r="G1041" s="373">
        <f>2*4</f>
        <v>8</v>
      </c>
      <c r="H1041" s="374">
        <v>10</v>
      </c>
      <c r="I1041" s="375">
        <v>0.67</v>
      </c>
      <c r="J1041" s="376">
        <f t="shared" si="124"/>
        <v>5.36</v>
      </c>
      <c r="K1041" s="66">
        <f t="shared" si="126"/>
        <v>0</v>
      </c>
      <c r="L1041" s="63">
        <f t="shared" si="127"/>
        <v>0</v>
      </c>
      <c r="M1041" s="63">
        <f t="shared" si="128"/>
        <v>0</v>
      </c>
      <c r="N1041" s="63">
        <f t="shared" si="129"/>
        <v>3.3071200000000003</v>
      </c>
      <c r="O1041" s="63">
        <f t="shared" si="130"/>
        <v>0</v>
      </c>
      <c r="P1041" s="63">
        <f t="shared" si="131"/>
        <v>0</v>
      </c>
      <c r="Q1041" s="561">
        <f t="shared" si="125"/>
        <v>0</v>
      </c>
      <c r="R1041" s="174"/>
      <c r="T1041" s="82"/>
      <c r="U1041" s="82"/>
      <c r="V1041" s="82"/>
      <c r="W1041" s="82"/>
      <c r="X1041" s="82"/>
      <c r="Y1041" s="82"/>
      <c r="Z1041" s="82"/>
      <c r="AA1041" s="82"/>
      <c r="AB1041" s="82"/>
    </row>
    <row r="1042" spans="1:28" s="85" customFormat="1" x14ac:dyDescent="0.25">
      <c r="A1042" s="82"/>
      <c r="B1042" s="82"/>
      <c r="C1042" s="82"/>
      <c r="D1042" s="729"/>
      <c r="E1042" s="396" t="s">
        <v>184</v>
      </c>
      <c r="F1042" s="403">
        <v>5</v>
      </c>
      <c r="G1042" s="397">
        <f>2*8</f>
        <v>16</v>
      </c>
      <c r="H1042" s="398">
        <v>5</v>
      </c>
      <c r="I1042" s="399">
        <v>0.97</v>
      </c>
      <c r="J1042" s="400">
        <f t="shared" si="124"/>
        <v>15.52</v>
      </c>
      <c r="K1042" s="401">
        <f t="shared" si="126"/>
        <v>2.3900799999999998</v>
      </c>
      <c r="L1042" s="196">
        <f t="shared" si="127"/>
        <v>0</v>
      </c>
      <c r="M1042" s="196">
        <f t="shared" si="128"/>
        <v>0</v>
      </c>
      <c r="N1042" s="196">
        <f t="shared" si="129"/>
        <v>0</v>
      </c>
      <c r="O1042" s="196">
        <f t="shared" si="130"/>
        <v>0</v>
      </c>
      <c r="P1042" s="196">
        <f t="shared" si="131"/>
        <v>0</v>
      </c>
      <c r="Q1042" s="566">
        <f t="shared" si="125"/>
        <v>0</v>
      </c>
      <c r="R1042" s="538"/>
      <c r="T1042" s="82"/>
      <c r="U1042" s="82"/>
      <c r="V1042" s="82"/>
      <c r="W1042" s="82"/>
      <c r="X1042" s="82"/>
      <c r="Y1042" s="82"/>
      <c r="Z1042" s="82"/>
      <c r="AA1042" s="82"/>
      <c r="AB1042" s="82"/>
    </row>
    <row r="1043" spans="1:28" s="85" customFormat="1" x14ac:dyDescent="0.25">
      <c r="A1043" s="82"/>
      <c r="B1043" s="82"/>
      <c r="C1043" s="82"/>
      <c r="D1043" s="729"/>
      <c r="E1043" s="371" t="s">
        <v>184</v>
      </c>
      <c r="F1043" s="372">
        <v>6</v>
      </c>
      <c r="G1043" s="373">
        <f>2*4</f>
        <v>8</v>
      </c>
      <c r="H1043" s="374">
        <v>5</v>
      </c>
      <c r="I1043" s="375">
        <v>0.64</v>
      </c>
      <c r="J1043" s="376">
        <f t="shared" si="124"/>
        <v>5.12</v>
      </c>
      <c r="K1043" s="66">
        <f t="shared" si="126"/>
        <v>0.78847999999999996</v>
      </c>
      <c r="L1043" s="63">
        <f t="shared" si="127"/>
        <v>0</v>
      </c>
      <c r="M1043" s="63">
        <f t="shared" si="128"/>
        <v>0</v>
      </c>
      <c r="N1043" s="63">
        <f t="shared" si="129"/>
        <v>0</v>
      </c>
      <c r="O1043" s="63">
        <f t="shared" si="130"/>
        <v>0</v>
      </c>
      <c r="P1043" s="63">
        <f t="shared" si="131"/>
        <v>0</v>
      </c>
      <c r="Q1043" s="562">
        <f t="shared" si="125"/>
        <v>0</v>
      </c>
      <c r="R1043" s="377"/>
      <c r="T1043" s="82"/>
      <c r="U1043" s="82"/>
      <c r="V1043" s="82"/>
      <c r="W1043" s="82"/>
      <c r="X1043" s="82"/>
      <c r="Y1043" s="82"/>
      <c r="Z1043" s="82"/>
      <c r="AA1043" s="82"/>
      <c r="AB1043" s="82"/>
    </row>
    <row r="1044" spans="1:28" s="85" customFormat="1" x14ac:dyDescent="0.25">
      <c r="A1044" s="82"/>
      <c r="B1044" s="82"/>
      <c r="C1044" s="82"/>
      <c r="D1044" s="729"/>
      <c r="E1044" s="371" t="s">
        <v>184</v>
      </c>
      <c r="F1044" s="372">
        <v>18</v>
      </c>
      <c r="G1044" s="373">
        <f>2*20</f>
        <v>40</v>
      </c>
      <c r="H1044" s="374">
        <v>5</v>
      </c>
      <c r="I1044" s="375">
        <v>0.24</v>
      </c>
      <c r="J1044" s="376">
        <f t="shared" si="124"/>
        <v>9.6</v>
      </c>
      <c r="K1044" s="66">
        <f t="shared" si="126"/>
        <v>1.4783999999999999</v>
      </c>
      <c r="L1044" s="63">
        <f t="shared" si="127"/>
        <v>0</v>
      </c>
      <c r="M1044" s="63">
        <f t="shared" si="128"/>
        <v>0</v>
      </c>
      <c r="N1044" s="63">
        <f t="shared" si="129"/>
        <v>0</v>
      </c>
      <c r="O1044" s="63">
        <f t="shared" si="130"/>
        <v>0</v>
      </c>
      <c r="P1044" s="63">
        <f t="shared" si="131"/>
        <v>0</v>
      </c>
      <c r="Q1044" s="562">
        <f t="shared" si="125"/>
        <v>0</v>
      </c>
      <c r="R1044" s="377"/>
      <c r="T1044" s="82"/>
      <c r="U1044" s="82"/>
      <c r="V1044" s="82"/>
      <c r="W1044" s="82"/>
      <c r="X1044" s="82"/>
      <c r="Y1044" s="82"/>
      <c r="Z1044" s="82"/>
      <c r="AA1044" s="82"/>
      <c r="AB1044" s="82"/>
    </row>
    <row r="1045" spans="1:28" s="85" customFormat="1" ht="13.8" thickBot="1" x14ac:dyDescent="0.3">
      <c r="A1045" s="82"/>
      <c r="B1045" s="82"/>
      <c r="C1045" s="82"/>
      <c r="D1045" s="731"/>
      <c r="E1045" s="390" t="s">
        <v>184</v>
      </c>
      <c r="F1045" s="391">
        <v>54</v>
      </c>
      <c r="G1045" s="392">
        <f>2*8</f>
        <v>16</v>
      </c>
      <c r="H1045" s="393">
        <v>10</v>
      </c>
      <c r="I1045" s="394">
        <v>1.02</v>
      </c>
      <c r="J1045" s="395">
        <f t="shared" si="124"/>
        <v>16.32</v>
      </c>
      <c r="K1045" s="221">
        <f t="shared" si="126"/>
        <v>0</v>
      </c>
      <c r="L1045" s="222">
        <f t="shared" si="127"/>
        <v>0</v>
      </c>
      <c r="M1045" s="222">
        <f t="shared" si="128"/>
        <v>0</v>
      </c>
      <c r="N1045" s="222">
        <f t="shared" si="129"/>
        <v>10.06944</v>
      </c>
      <c r="O1045" s="222">
        <f t="shared" si="130"/>
        <v>0</v>
      </c>
      <c r="P1045" s="222">
        <f t="shared" si="131"/>
        <v>0</v>
      </c>
      <c r="Q1045" s="564">
        <f t="shared" si="125"/>
        <v>0</v>
      </c>
      <c r="R1045" s="539"/>
      <c r="T1045" s="82"/>
      <c r="U1045" s="82"/>
      <c r="V1045" s="82"/>
      <c r="W1045" s="82"/>
      <c r="X1045" s="82"/>
      <c r="Y1045" s="82"/>
      <c r="Z1045" s="82"/>
      <c r="AA1045" s="82"/>
      <c r="AB1045" s="82"/>
    </row>
    <row r="1046" spans="1:28" s="85" customFormat="1" ht="13.8" thickTop="1" x14ac:dyDescent="0.25">
      <c r="A1046" s="82"/>
      <c r="B1046" s="82"/>
      <c r="C1046" s="82"/>
      <c r="D1046" s="728" t="s">
        <v>1653</v>
      </c>
      <c r="E1046" s="384" t="s">
        <v>49</v>
      </c>
      <c r="F1046" s="385">
        <v>4</v>
      </c>
      <c r="G1046" s="386">
        <v>16</v>
      </c>
      <c r="H1046" s="387">
        <v>5</v>
      </c>
      <c r="I1046" s="388">
        <v>0.34</v>
      </c>
      <c r="J1046" s="389">
        <f t="shared" si="124"/>
        <v>5.44</v>
      </c>
      <c r="K1046" s="218">
        <f t="shared" si="126"/>
        <v>0.83776000000000006</v>
      </c>
      <c r="L1046" s="219">
        <f t="shared" si="127"/>
        <v>0</v>
      </c>
      <c r="M1046" s="219">
        <f t="shared" si="128"/>
        <v>0</v>
      </c>
      <c r="N1046" s="219">
        <f t="shared" si="129"/>
        <v>0</v>
      </c>
      <c r="O1046" s="219">
        <f t="shared" si="130"/>
        <v>0</v>
      </c>
      <c r="P1046" s="219">
        <f t="shared" si="131"/>
        <v>0</v>
      </c>
      <c r="Q1046" s="563">
        <f t="shared" si="125"/>
        <v>0</v>
      </c>
      <c r="R1046" s="220"/>
      <c r="T1046" s="82"/>
      <c r="U1046" s="82"/>
      <c r="V1046" s="82"/>
      <c r="W1046" s="82"/>
      <c r="X1046" s="82"/>
      <c r="Y1046" s="82"/>
      <c r="Z1046" s="82"/>
      <c r="AA1046" s="82"/>
      <c r="AB1046" s="82"/>
    </row>
    <row r="1047" spans="1:28" s="85" customFormat="1" x14ac:dyDescent="0.25">
      <c r="A1047" s="82"/>
      <c r="B1047" s="82"/>
      <c r="C1047" s="82"/>
      <c r="D1047" s="729"/>
      <c r="E1047" s="371" t="s">
        <v>49</v>
      </c>
      <c r="F1047" s="372">
        <v>5</v>
      </c>
      <c r="G1047" s="373">
        <v>16</v>
      </c>
      <c r="H1047" s="374">
        <v>5</v>
      </c>
      <c r="I1047" s="375">
        <v>1.39</v>
      </c>
      <c r="J1047" s="376">
        <f t="shared" si="124"/>
        <v>22.24</v>
      </c>
      <c r="K1047" s="66">
        <f t="shared" si="126"/>
        <v>3.4249599999999996</v>
      </c>
      <c r="L1047" s="63">
        <f t="shared" si="127"/>
        <v>0</v>
      </c>
      <c r="M1047" s="63">
        <f t="shared" si="128"/>
        <v>0</v>
      </c>
      <c r="N1047" s="63">
        <f t="shared" si="129"/>
        <v>0</v>
      </c>
      <c r="O1047" s="63">
        <f t="shared" si="130"/>
        <v>0</v>
      </c>
      <c r="P1047" s="63">
        <f t="shared" si="131"/>
        <v>0</v>
      </c>
      <c r="Q1047" s="561">
        <f t="shared" si="125"/>
        <v>0</v>
      </c>
      <c r="R1047" s="174"/>
      <c r="T1047" s="82"/>
      <c r="U1047" s="82"/>
      <c r="V1047" s="82"/>
      <c r="W1047" s="82"/>
      <c r="X1047" s="82"/>
      <c r="Y1047" s="82"/>
      <c r="Z1047" s="82"/>
      <c r="AA1047" s="82"/>
      <c r="AB1047" s="82"/>
    </row>
    <row r="1048" spans="1:28" s="85" customFormat="1" x14ac:dyDescent="0.25">
      <c r="A1048" s="82"/>
      <c r="B1048" s="82"/>
      <c r="C1048" s="82"/>
      <c r="D1048" s="729"/>
      <c r="E1048" s="371" t="s">
        <v>49</v>
      </c>
      <c r="F1048" s="372">
        <v>53</v>
      </c>
      <c r="G1048" s="373">
        <v>8</v>
      </c>
      <c r="H1048" s="374">
        <v>12.5</v>
      </c>
      <c r="I1048" s="375">
        <v>1.5</v>
      </c>
      <c r="J1048" s="376">
        <f t="shared" si="124"/>
        <v>12</v>
      </c>
      <c r="K1048" s="66">
        <f t="shared" si="126"/>
        <v>0</v>
      </c>
      <c r="L1048" s="63">
        <f t="shared" si="127"/>
        <v>0</v>
      </c>
      <c r="M1048" s="63">
        <f t="shared" si="128"/>
        <v>0</v>
      </c>
      <c r="N1048" s="63">
        <f t="shared" si="129"/>
        <v>0</v>
      </c>
      <c r="O1048" s="63">
        <f t="shared" si="130"/>
        <v>11.555999999999999</v>
      </c>
      <c r="P1048" s="63">
        <f t="shared" si="131"/>
        <v>0</v>
      </c>
      <c r="Q1048" s="561">
        <f t="shared" si="125"/>
        <v>0</v>
      </c>
      <c r="R1048" s="174"/>
      <c r="T1048" s="82"/>
      <c r="U1048" s="82"/>
      <c r="V1048" s="82"/>
      <c r="W1048" s="82"/>
      <c r="X1048" s="82"/>
      <c r="Y1048" s="82"/>
      <c r="Z1048" s="82"/>
      <c r="AA1048" s="82"/>
      <c r="AB1048" s="82"/>
    </row>
    <row r="1049" spans="1:28" s="85" customFormat="1" x14ac:dyDescent="0.25">
      <c r="A1049" s="82"/>
      <c r="B1049" s="82"/>
      <c r="C1049" s="82"/>
      <c r="D1049" s="729"/>
      <c r="E1049" s="371" t="s">
        <v>113</v>
      </c>
      <c r="F1049" s="372">
        <v>4</v>
      </c>
      <c r="G1049" s="373">
        <v>54</v>
      </c>
      <c r="H1049" s="374">
        <v>5</v>
      </c>
      <c r="I1049" s="375">
        <v>0.34</v>
      </c>
      <c r="J1049" s="376">
        <f t="shared" si="124"/>
        <v>18.360000000000003</v>
      </c>
      <c r="K1049" s="66">
        <f t="shared" si="126"/>
        <v>2.8274400000000006</v>
      </c>
      <c r="L1049" s="63">
        <f t="shared" si="127"/>
        <v>0</v>
      </c>
      <c r="M1049" s="63">
        <f t="shared" si="128"/>
        <v>0</v>
      </c>
      <c r="N1049" s="63">
        <f t="shared" si="129"/>
        <v>0</v>
      </c>
      <c r="O1049" s="63">
        <f t="shared" si="130"/>
        <v>0</v>
      </c>
      <c r="P1049" s="63">
        <f t="shared" si="131"/>
        <v>0</v>
      </c>
      <c r="Q1049" s="561">
        <f t="shared" si="125"/>
        <v>0</v>
      </c>
      <c r="R1049" s="174"/>
      <c r="T1049" s="82"/>
      <c r="U1049" s="82"/>
      <c r="V1049" s="82"/>
      <c r="W1049" s="82"/>
      <c r="X1049" s="82"/>
      <c r="Y1049" s="82"/>
      <c r="Z1049" s="82"/>
      <c r="AA1049" s="82"/>
      <c r="AB1049" s="82"/>
    </row>
    <row r="1050" spans="1:28" s="85" customFormat="1" x14ac:dyDescent="0.25">
      <c r="A1050" s="82"/>
      <c r="B1050" s="82"/>
      <c r="C1050" s="82"/>
      <c r="D1050" s="729"/>
      <c r="E1050" s="371" t="s">
        <v>113</v>
      </c>
      <c r="F1050" s="372">
        <v>5</v>
      </c>
      <c r="G1050" s="373">
        <v>23</v>
      </c>
      <c r="H1050" s="374">
        <v>5</v>
      </c>
      <c r="I1050" s="375">
        <v>2.27</v>
      </c>
      <c r="J1050" s="376">
        <f t="shared" si="124"/>
        <v>52.21</v>
      </c>
      <c r="K1050" s="66">
        <f t="shared" si="126"/>
        <v>8.0403400000000005</v>
      </c>
      <c r="L1050" s="63">
        <f t="shared" si="127"/>
        <v>0</v>
      </c>
      <c r="M1050" s="63">
        <f t="shared" si="128"/>
        <v>0</v>
      </c>
      <c r="N1050" s="63">
        <f t="shared" si="129"/>
        <v>0</v>
      </c>
      <c r="O1050" s="63">
        <f t="shared" si="130"/>
        <v>0</v>
      </c>
      <c r="P1050" s="63">
        <f t="shared" si="131"/>
        <v>0</v>
      </c>
      <c r="Q1050" s="561">
        <f t="shared" si="125"/>
        <v>0</v>
      </c>
      <c r="R1050" s="174"/>
      <c r="T1050" s="82"/>
      <c r="U1050" s="82"/>
      <c r="V1050" s="82"/>
      <c r="W1050" s="82"/>
      <c r="X1050" s="82"/>
      <c r="Y1050" s="82"/>
      <c r="Z1050" s="82"/>
      <c r="AA1050" s="82"/>
      <c r="AB1050" s="82"/>
    </row>
    <row r="1051" spans="1:28" s="85" customFormat="1" x14ac:dyDescent="0.25">
      <c r="A1051" s="82"/>
      <c r="B1051" s="82"/>
      <c r="C1051" s="82"/>
      <c r="D1051" s="729"/>
      <c r="E1051" s="371" t="s">
        <v>113</v>
      </c>
      <c r="F1051" s="372">
        <v>6</v>
      </c>
      <c r="G1051" s="373">
        <v>8</v>
      </c>
      <c r="H1051" s="374">
        <v>5</v>
      </c>
      <c r="I1051" s="375">
        <v>1.39</v>
      </c>
      <c r="J1051" s="376">
        <f t="shared" si="124"/>
        <v>11.12</v>
      </c>
      <c r="K1051" s="66">
        <f t="shared" si="126"/>
        <v>1.7124799999999998</v>
      </c>
      <c r="L1051" s="63">
        <f t="shared" si="127"/>
        <v>0</v>
      </c>
      <c r="M1051" s="63">
        <f t="shared" si="128"/>
        <v>0</v>
      </c>
      <c r="N1051" s="63">
        <f t="shared" si="129"/>
        <v>0</v>
      </c>
      <c r="O1051" s="63">
        <f t="shared" si="130"/>
        <v>0</v>
      </c>
      <c r="P1051" s="63">
        <f t="shared" si="131"/>
        <v>0</v>
      </c>
      <c r="Q1051" s="561">
        <f t="shared" si="125"/>
        <v>0</v>
      </c>
      <c r="R1051" s="174"/>
      <c r="T1051" s="82"/>
      <c r="U1051" s="82"/>
      <c r="V1051" s="82"/>
      <c r="W1051" s="82"/>
      <c r="X1051" s="82"/>
      <c r="Y1051" s="82"/>
      <c r="Z1051" s="82"/>
      <c r="AA1051" s="82"/>
      <c r="AB1051" s="82"/>
    </row>
    <row r="1052" spans="1:28" s="85" customFormat="1" x14ac:dyDescent="0.25">
      <c r="A1052" s="82"/>
      <c r="B1052" s="82"/>
      <c r="C1052" s="82"/>
      <c r="D1052" s="729"/>
      <c r="E1052" s="371" t="s">
        <v>113</v>
      </c>
      <c r="F1052" s="372">
        <v>55</v>
      </c>
      <c r="G1052" s="373">
        <v>8</v>
      </c>
      <c r="H1052" s="374">
        <v>12.5</v>
      </c>
      <c r="I1052" s="375">
        <v>3.87</v>
      </c>
      <c r="J1052" s="376">
        <f t="shared" si="124"/>
        <v>30.96</v>
      </c>
      <c r="K1052" s="66">
        <f t="shared" si="126"/>
        <v>0</v>
      </c>
      <c r="L1052" s="63">
        <f t="shared" si="127"/>
        <v>0</v>
      </c>
      <c r="M1052" s="63">
        <f t="shared" si="128"/>
        <v>0</v>
      </c>
      <c r="N1052" s="63">
        <f t="shared" si="129"/>
        <v>0</v>
      </c>
      <c r="O1052" s="63">
        <f t="shared" si="130"/>
        <v>29.81448</v>
      </c>
      <c r="P1052" s="63">
        <f t="shared" si="131"/>
        <v>0</v>
      </c>
      <c r="Q1052" s="561">
        <f t="shared" si="125"/>
        <v>0</v>
      </c>
      <c r="R1052" s="174"/>
      <c r="T1052" s="82"/>
      <c r="U1052" s="82"/>
      <c r="V1052" s="82"/>
      <c r="W1052" s="82"/>
      <c r="X1052" s="82"/>
      <c r="Y1052" s="82"/>
      <c r="Z1052" s="82"/>
      <c r="AA1052" s="82"/>
      <c r="AB1052" s="82"/>
    </row>
    <row r="1053" spans="1:28" s="85" customFormat="1" x14ac:dyDescent="0.25">
      <c r="A1053" s="82"/>
      <c r="B1053" s="82"/>
      <c r="C1053" s="82"/>
      <c r="D1053" s="729"/>
      <c r="E1053" s="396" t="s">
        <v>184</v>
      </c>
      <c r="F1053" s="403">
        <v>9</v>
      </c>
      <c r="G1053" s="397">
        <v>18</v>
      </c>
      <c r="H1053" s="398">
        <v>5</v>
      </c>
      <c r="I1053" s="399">
        <v>0.34</v>
      </c>
      <c r="J1053" s="400">
        <f t="shared" si="124"/>
        <v>6.12</v>
      </c>
      <c r="K1053" s="401">
        <f t="shared" si="126"/>
        <v>0.94247999999999998</v>
      </c>
      <c r="L1053" s="196">
        <f t="shared" si="127"/>
        <v>0</v>
      </c>
      <c r="M1053" s="196">
        <f t="shared" si="128"/>
        <v>0</v>
      </c>
      <c r="N1053" s="196">
        <f t="shared" si="129"/>
        <v>0</v>
      </c>
      <c r="O1053" s="196">
        <f t="shared" si="130"/>
        <v>0</v>
      </c>
      <c r="P1053" s="196">
        <f t="shared" si="131"/>
        <v>0</v>
      </c>
      <c r="Q1053" s="566">
        <f t="shared" si="125"/>
        <v>0</v>
      </c>
      <c r="R1053" s="538"/>
      <c r="T1053" s="82"/>
      <c r="U1053" s="82"/>
      <c r="V1053" s="82"/>
      <c r="W1053" s="82"/>
      <c r="X1053" s="82"/>
      <c r="Y1053" s="82"/>
      <c r="Z1053" s="82"/>
      <c r="AA1053" s="82"/>
      <c r="AB1053" s="82"/>
    </row>
    <row r="1054" spans="1:28" s="85" customFormat="1" x14ac:dyDescent="0.25">
      <c r="A1054" s="82"/>
      <c r="B1054" s="82"/>
      <c r="C1054" s="82"/>
      <c r="D1054" s="729"/>
      <c r="E1054" s="371" t="s">
        <v>184</v>
      </c>
      <c r="F1054" s="372">
        <v>21</v>
      </c>
      <c r="G1054" s="373">
        <v>7</v>
      </c>
      <c r="H1054" s="374">
        <v>5</v>
      </c>
      <c r="I1054" s="375">
        <v>2.27</v>
      </c>
      <c r="J1054" s="376">
        <f t="shared" si="124"/>
        <v>15.89</v>
      </c>
      <c r="K1054" s="66">
        <f t="shared" si="126"/>
        <v>2.44706</v>
      </c>
      <c r="L1054" s="63">
        <f t="shared" si="127"/>
        <v>0</v>
      </c>
      <c r="M1054" s="63">
        <f t="shared" si="128"/>
        <v>0</v>
      </c>
      <c r="N1054" s="63">
        <f t="shared" si="129"/>
        <v>0</v>
      </c>
      <c r="O1054" s="63">
        <f t="shared" si="130"/>
        <v>0</v>
      </c>
      <c r="P1054" s="63">
        <f t="shared" si="131"/>
        <v>0</v>
      </c>
      <c r="Q1054" s="562">
        <f t="shared" si="125"/>
        <v>0</v>
      </c>
      <c r="R1054" s="377"/>
      <c r="T1054" s="82"/>
      <c r="U1054" s="82"/>
      <c r="V1054" s="82"/>
      <c r="W1054" s="82"/>
      <c r="X1054" s="82"/>
      <c r="Y1054" s="82"/>
      <c r="Z1054" s="82"/>
      <c r="AA1054" s="82"/>
      <c r="AB1054" s="82"/>
    </row>
    <row r="1055" spans="1:28" s="85" customFormat="1" x14ac:dyDescent="0.25">
      <c r="A1055" s="82"/>
      <c r="B1055" s="82"/>
      <c r="C1055" s="82"/>
      <c r="D1055" s="729"/>
      <c r="E1055" s="371" t="s">
        <v>184</v>
      </c>
      <c r="F1055" s="372">
        <v>22</v>
      </c>
      <c r="G1055" s="373">
        <v>4</v>
      </c>
      <c r="H1055" s="374">
        <v>5</v>
      </c>
      <c r="I1055" s="375">
        <v>1.39</v>
      </c>
      <c r="J1055" s="376">
        <f t="shared" si="124"/>
        <v>5.56</v>
      </c>
      <c r="K1055" s="66">
        <f t="shared" si="126"/>
        <v>0.85623999999999989</v>
      </c>
      <c r="L1055" s="63">
        <f t="shared" si="127"/>
        <v>0</v>
      </c>
      <c r="M1055" s="63">
        <f t="shared" si="128"/>
        <v>0</v>
      </c>
      <c r="N1055" s="63">
        <f t="shared" si="129"/>
        <v>0</v>
      </c>
      <c r="O1055" s="63">
        <f t="shared" si="130"/>
        <v>0</v>
      </c>
      <c r="P1055" s="63">
        <f t="shared" si="131"/>
        <v>0</v>
      </c>
      <c r="Q1055" s="562">
        <f t="shared" si="125"/>
        <v>0</v>
      </c>
      <c r="R1055" s="377"/>
      <c r="T1055" s="82"/>
      <c r="U1055" s="82"/>
      <c r="V1055" s="82"/>
      <c r="W1055" s="82"/>
      <c r="X1055" s="82"/>
      <c r="Y1055" s="82"/>
      <c r="Z1055" s="82"/>
      <c r="AA1055" s="82"/>
      <c r="AB1055" s="82"/>
    </row>
    <row r="1056" spans="1:28" s="85" customFormat="1" ht="13.8" thickBot="1" x14ac:dyDescent="0.3">
      <c r="A1056" s="82"/>
      <c r="B1056" s="82"/>
      <c r="C1056" s="82"/>
      <c r="D1056" s="731"/>
      <c r="E1056" s="390" t="s">
        <v>184</v>
      </c>
      <c r="F1056" s="391">
        <v>55</v>
      </c>
      <c r="G1056" s="392">
        <v>8</v>
      </c>
      <c r="H1056" s="393">
        <v>12.5</v>
      </c>
      <c r="I1056" s="394">
        <v>1.02</v>
      </c>
      <c r="J1056" s="395">
        <f t="shared" si="124"/>
        <v>8.16</v>
      </c>
      <c r="K1056" s="221">
        <f t="shared" si="126"/>
        <v>0</v>
      </c>
      <c r="L1056" s="222">
        <f t="shared" si="127"/>
        <v>0</v>
      </c>
      <c r="M1056" s="222">
        <f t="shared" si="128"/>
        <v>0</v>
      </c>
      <c r="N1056" s="222">
        <f t="shared" si="129"/>
        <v>0</v>
      </c>
      <c r="O1056" s="222">
        <f t="shared" si="130"/>
        <v>7.8580800000000002</v>
      </c>
      <c r="P1056" s="222">
        <f t="shared" si="131"/>
        <v>0</v>
      </c>
      <c r="Q1056" s="564">
        <f t="shared" si="125"/>
        <v>0</v>
      </c>
      <c r="R1056" s="539"/>
      <c r="T1056" s="82"/>
      <c r="U1056" s="82"/>
      <c r="V1056" s="82"/>
      <c r="W1056" s="82"/>
      <c r="X1056" s="82"/>
      <c r="Y1056" s="82"/>
      <c r="Z1056" s="82"/>
      <c r="AA1056" s="82"/>
      <c r="AB1056" s="82"/>
    </row>
    <row r="1057" spans="1:28" s="85" customFormat="1" ht="13.8" thickTop="1" x14ac:dyDescent="0.25">
      <c r="A1057" s="82"/>
      <c r="B1057" s="82"/>
      <c r="C1057" s="82"/>
      <c r="D1057" s="728" t="s">
        <v>914</v>
      </c>
      <c r="E1057" s="384" t="s">
        <v>49</v>
      </c>
      <c r="F1057" s="385">
        <v>1</v>
      </c>
      <c r="G1057" s="386">
        <v>20</v>
      </c>
      <c r="H1057" s="387">
        <v>5</v>
      </c>
      <c r="I1057" s="388">
        <v>0.24</v>
      </c>
      <c r="J1057" s="389">
        <f t="shared" si="124"/>
        <v>4.8</v>
      </c>
      <c r="K1057" s="218">
        <f t="shared" si="126"/>
        <v>0.73919999999999997</v>
      </c>
      <c r="L1057" s="219">
        <f t="shared" si="127"/>
        <v>0</v>
      </c>
      <c r="M1057" s="219">
        <f t="shared" si="128"/>
        <v>0</v>
      </c>
      <c r="N1057" s="219">
        <f t="shared" si="129"/>
        <v>0</v>
      </c>
      <c r="O1057" s="219">
        <f t="shared" si="130"/>
        <v>0</v>
      </c>
      <c r="P1057" s="219">
        <f t="shared" si="131"/>
        <v>0</v>
      </c>
      <c r="Q1057" s="563">
        <f t="shared" si="125"/>
        <v>0</v>
      </c>
      <c r="R1057" s="220"/>
      <c r="T1057" s="82"/>
      <c r="U1057" s="82"/>
      <c r="V1057" s="82"/>
      <c r="W1057" s="82"/>
      <c r="X1057" s="82"/>
      <c r="Y1057" s="82"/>
      <c r="Z1057" s="82"/>
      <c r="AA1057" s="82"/>
      <c r="AB1057" s="82"/>
    </row>
    <row r="1058" spans="1:28" s="85" customFormat="1" x14ac:dyDescent="0.25">
      <c r="A1058" s="82"/>
      <c r="B1058" s="82"/>
      <c r="C1058" s="82"/>
      <c r="D1058" s="729"/>
      <c r="E1058" s="371" t="s">
        <v>49</v>
      </c>
      <c r="F1058" s="372">
        <v>2</v>
      </c>
      <c r="G1058" s="373">
        <v>6</v>
      </c>
      <c r="H1058" s="374">
        <v>5</v>
      </c>
      <c r="I1058" s="375">
        <v>2.0699999999999998</v>
      </c>
      <c r="J1058" s="376">
        <f t="shared" si="124"/>
        <v>12.419999999999998</v>
      </c>
      <c r="K1058" s="66">
        <f t="shared" si="126"/>
        <v>1.9126799999999997</v>
      </c>
      <c r="L1058" s="63">
        <f t="shared" si="127"/>
        <v>0</v>
      </c>
      <c r="M1058" s="63">
        <f t="shared" si="128"/>
        <v>0</v>
      </c>
      <c r="N1058" s="63">
        <f t="shared" si="129"/>
        <v>0</v>
      </c>
      <c r="O1058" s="63">
        <f t="shared" si="130"/>
        <v>0</v>
      </c>
      <c r="P1058" s="63">
        <f t="shared" si="131"/>
        <v>0</v>
      </c>
      <c r="Q1058" s="561">
        <f t="shared" si="125"/>
        <v>0</v>
      </c>
      <c r="R1058" s="174"/>
      <c r="T1058" s="82"/>
      <c r="U1058" s="82"/>
      <c r="V1058" s="82"/>
      <c r="W1058" s="82"/>
      <c r="X1058" s="82"/>
      <c r="Y1058" s="82"/>
      <c r="Z1058" s="82"/>
      <c r="AA1058" s="82"/>
      <c r="AB1058" s="82"/>
    </row>
    <row r="1059" spans="1:28" s="85" customFormat="1" x14ac:dyDescent="0.25">
      <c r="A1059" s="82"/>
      <c r="B1059" s="82"/>
      <c r="C1059" s="82"/>
      <c r="D1059" s="729"/>
      <c r="E1059" s="371" t="s">
        <v>49</v>
      </c>
      <c r="F1059" s="372">
        <v>3</v>
      </c>
      <c r="G1059" s="373">
        <v>8</v>
      </c>
      <c r="H1059" s="374">
        <v>5</v>
      </c>
      <c r="I1059" s="375">
        <v>1.19</v>
      </c>
      <c r="J1059" s="376">
        <f t="shared" si="124"/>
        <v>9.52</v>
      </c>
      <c r="K1059" s="66">
        <f t="shared" si="126"/>
        <v>1.4660799999999998</v>
      </c>
      <c r="L1059" s="63">
        <f t="shared" si="127"/>
        <v>0</v>
      </c>
      <c r="M1059" s="63">
        <f t="shared" si="128"/>
        <v>0</v>
      </c>
      <c r="N1059" s="63">
        <f t="shared" si="129"/>
        <v>0</v>
      </c>
      <c r="O1059" s="63">
        <f t="shared" si="130"/>
        <v>0</v>
      </c>
      <c r="P1059" s="63">
        <f t="shared" si="131"/>
        <v>0</v>
      </c>
      <c r="Q1059" s="561">
        <f t="shared" si="125"/>
        <v>0</v>
      </c>
      <c r="R1059" s="174"/>
      <c r="T1059" s="82"/>
      <c r="U1059" s="82"/>
      <c r="V1059" s="82"/>
      <c r="W1059" s="82"/>
      <c r="X1059" s="82"/>
      <c r="Y1059" s="82"/>
      <c r="Z1059" s="82"/>
      <c r="AA1059" s="82"/>
      <c r="AB1059" s="82"/>
    </row>
    <row r="1060" spans="1:28" s="85" customFormat="1" x14ac:dyDescent="0.25">
      <c r="A1060" s="82"/>
      <c r="B1060" s="82"/>
      <c r="C1060" s="82"/>
      <c r="D1060" s="729"/>
      <c r="E1060" s="371" t="s">
        <v>49</v>
      </c>
      <c r="F1060" s="372">
        <v>38</v>
      </c>
      <c r="G1060" s="373">
        <v>8</v>
      </c>
      <c r="H1060" s="374">
        <v>10</v>
      </c>
      <c r="I1060" s="375">
        <v>1.57</v>
      </c>
      <c r="J1060" s="376">
        <f t="shared" si="124"/>
        <v>12.56</v>
      </c>
      <c r="K1060" s="66">
        <f t="shared" si="126"/>
        <v>0</v>
      </c>
      <c r="L1060" s="63">
        <f t="shared" si="127"/>
        <v>0</v>
      </c>
      <c r="M1060" s="63">
        <f t="shared" si="128"/>
        <v>0</v>
      </c>
      <c r="N1060" s="63">
        <f t="shared" si="129"/>
        <v>7.7495200000000004</v>
      </c>
      <c r="O1060" s="63">
        <f t="shared" si="130"/>
        <v>0</v>
      </c>
      <c r="P1060" s="63">
        <f t="shared" si="131"/>
        <v>0</v>
      </c>
      <c r="Q1060" s="561">
        <f t="shared" si="125"/>
        <v>0</v>
      </c>
      <c r="R1060" s="174"/>
      <c r="T1060" s="82"/>
      <c r="U1060" s="82"/>
      <c r="V1060" s="82"/>
      <c r="W1060" s="82"/>
      <c r="X1060" s="82"/>
      <c r="Y1060" s="82"/>
      <c r="Z1060" s="82"/>
      <c r="AA1060" s="82"/>
      <c r="AB1060" s="82"/>
    </row>
    <row r="1061" spans="1:28" s="85" customFormat="1" x14ac:dyDescent="0.25">
      <c r="A1061" s="82"/>
      <c r="B1061" s="82"/>
      <c r="C1061" s="82"/>
      <c r="D1061" s="729"/>
      <c r="E1061" s="371" t="s">
        <v>113</v>
      </c>
      <c r="F1061" s="372">
        <v>19</v>
      </c>
      <c r="G1061" s="373">
        <v>60</v>
      </c>
      <c r="H1061" s="374">
        <v>5</v>
      </c>
      <c r="I1061" s="375">
        <v>0.24</v>
      </c>
      <c r="J1061" s="376">
        <f t="shared" si="124"/>
        <v>14.399999999999999</v>
      </c>
      <c r="K1061" s="66">
        <f t="shared" si="126"/>
        <v>2.2175999999999996</v>
      </c>
      <c r="L1061" s="63">
        <f t="shared" si="127"/>
        <v>0</v>
      </c>
      <c r="M1061" s="63">
        <f t="shared" si="128"/>
        <v>0</v>
      </c>
      <c r="N1061" s="63">
        <f t="shared" si="129"/>
        <v>0</v>
      </c>
      <c r="O1061" s="63">
        <f t="shared" si="130"/>
        <v>0</v>
      </c>
      <c r="P1061" s="63">
        <f t="shared" si="131"/>
        <v>0</v>
      </c>
      <c r="Q1061" s="561">
        <f t="shared" si="125"/>
        <v>0</v>
      </c>
      <c r="R1061" s="174"/>
      <c r="T1061" s="82"/>
      <c r="U1061" s="82"/>
      <c r="V1061" s="82"/>
      <c r="W1061" s="82"/>
      <c r="X1061" s="82"/>
      <c r="Y1061" s="82"/>
      <c r="Z1061" s="82"/>
      <c r="AA1061" s="82"/>
      <c r="AB1061" s="82"/>
    </row>
    <row r="1062" spans="1:28" s="85" customFormat="1" x14ac:dyDescent="0.25">
      <c r="A1062" s="82"/>
      <c r="B1062" s="82"/>
      <c r="C1062" s="82"/>
      <c r="D1062" s="729"/>
      <c r="E1062" s="371" t="s">
        <v>113</v>
      </c>
      <c r="F1062" s="372">
        <v>24</v>
      </c>
      <c r="G1062" s="373">
        <v>25</v>
      </c>
      <c r="H1062" s="374">
        <v>5</v>
      </c>
      <c r="I1062" s="375">
        <v>2.0699999999999998</v>
      </c>
      <c r="J1062" s="376">
        <f t="shared" si="124"/>
        <v>51.749999999999993</v>
      </c>
      <c r="K1062" s="66">
        <f t="shared" si="126"/>
        <v>7.9694999999999991</v>
      </c>
      <c r="L1062" s="63">
        <f t="shared" si="127"/>
        <v>0</v>
      </c>
      <c r="M1062" s="63">
        <f t="shared" si="128"/>
        <v>0</v>
      </c>
      <c r="N1062" s="63">
        <f t="shared" si="129"/>
        <v>0</v>
      </c>
      <c r="O1062" s="63">
        <f t="shared" si="130"/>
        <v>0</v>
      </c>
      <c r="P1062" s="63">
        <f t="shared" si="131"/>
        <v>0</v>
      </c>
      <c r="Q1062" s="561">
        <f t="shared" si="125"/>
        <v>0</v>
      </c>
      <c r="R1062" s="174"/>
      <c r="T1062" s="82"/>
      <c r="U1062" s="82"/>
      <c r="V1062" s="82"/>
      <c r="W1062" s="82"/>
      <c r="X1062" s="82"/>
      <c r="Y1062" s="82"/>
      <c r="Z1062" s="82"/>
      <c r="AA1062" s="82"/>
      <c r="AB1062" s="82"/>
    </row>
    <row r="1063" spans="1:28" s="85" customFormat="1" x14ac:dyDescent="0.25">
      <c r="A1063" s="82"/>
      <c r="B1063" s="82"/>
      <c r="C1063" s="82"/>
      <c r="D1063" s="729"/>
      <c r="E1063" s="371" t="s">
        <v>113</v>
      </c>
      <c r="F1063" s="372">
        <v>25</v>
      </c>
      <c r="G1063" s="373">
        <v>10</v>
      </c>
      <c r="H1063" s="374">
        <v>5</v>
      </c>
      <c r="I1063" s="375">
        <v>1.19</v>
      </c>
      <c r="J1063" s="376">
        <f t="shared" si="124"/>
        <v>11.899999999999999</v>
      </c>
      <c r="K1063" s="66">
        <f t="shared" si="126"/>
        <v>1.8325999999999998</v>
      </c>
      <c r="L1063" s="63">
        <f t="shared" si="127"/>
        <v>0</v>
      </c>
      <c r="M1063" s="63">
        <f t="shared" si="128"/>
        <v>0</v>
      </c>
      <c r="N1063" s="63">
        <f t="shared" si="129"/>
        <v>0</v>
      </c>
      <c r="O1063" s="63">
        <f t="shared" si="130"/>
        <v>0</v>
      </c>
      <c r="P1063" s="63">
        <f t="shared" si="131"/>
        <v>0</v>
      </c>
      <c r="Q1063" s="561">
        <f t="shared" si="125"/>
        <v>0</v>
      </c>
      <c r="R1063" s="174"/>
      <c r="T1063" s="82"/>
      <c r="U1063" s="82"/>
      <c r="V1063" s="82"/>
      <c r="W1063" s="82"/>
      <c r="X1063" s="82"/>
      <c r="Y1063" s="82"/>
      <c r="Z1063" s="82"/>
      <c r="AA1063" s="82"/>
      <c r="AB1063" s="82"/>
    </row>
    <row r="1064" spans="1:28" s="85" customFormat="1" x14ac:dyDescent="0.25">
      <c r="A1064" s="82"/>
      <c r="B1064" s="82"/>
      <c r="C1064" s="82"/>
      <c r="D1064" s="729"/>
      <c r="E1064" s="371" t="s">
        <v>113</v>
      </c>
      <c r="F1064" s="372">
        <v>27</v>
      </c>
      <c r="G1064" s="373">
        <v>8</v>
      </c>
      <c r="H1064" s="374">
        <v>10</v>
      </c>
      <c r="I1064" s="375">
        <v>3.78</v>
      </c>
      <c r="J1064" s="376">
        <f t="shared" si="124"/>
        <v>30.24</v>
      </c>
      <c r="K1064" s="66">
        <f t="shared" si="126"/>
        <v>0</v>
      </c>
      <c r="L1064" s="63">
        <f t="shared" si="127"/>
        <v>0</v>
      </c>
      <c r="M1064" s="63">
        <f t="shared" si="128"/>
        <v>0</v>
      </c>
      <c r="N1064" s="63">
        <f t="shared" si="129"/>
        <v>18.658079999999998</v>
      </c>
      <c r="O1064" s="63">
        <f t="shared" si="130"/>
        <v>0</v>
      </c>
      <c r="P1064" s="63">
        <f t="shared" si="131"/>
        <v>0</v>
      </c>
      <c r="Q1064" s="561">
        <f t="shared" si="125"/>
        <v>0</v>
      </c>
      <c r="R1064" s="174"/>
      <c r="T1064" s="82"/>
      <c r="U1064" s="82"/>
      <c r="V1064" s="82"/>
      <c r="W1064" s="82"/>
      <c r="X1064" s="82"/>
      <c r="Y1064" s="82"/>
      <c r="Z1064" s="82"/>
      <c r="AA1064" s="82"/>
      <c r="AB1064" s="82"/>
    </row>
    <row r="1065" spans="1:28" s="85" customFormat="1" x14ac:dyDescent="0.25">
      <c r="A1065" s="82"/>
      <c r="B1065" s="82"/>
      <c r="C1065" s="82"/>
      <c r="D1065" s="729"/>
      <c r="E1065" s="396" t="s">
        <v>184</v>
      </c>
      <c r="F1065" s="403">
        <v>18</v>
      </c>
      <c r="G1065" s="397">
        <v>20</v>
      </c>
      <c r="H1065" s="398">
        <v>5</v>
      </c>
      <c r="I1065" s="399">
        <v>0.24</v>
      </c>
      <c r="J1065" s="400">
        <f t="shared" si="124"/>
        <v>4.8</v>
      </c>
      <c r="K1065" s="401">
        <f t="shared" si="126"/>
        <v>0.73919999999999997</v>
      </c>
      <c r="L1065" s="196">
        <f t="shared" si="127"/>
        <v>0</v>
      </c>
      <c r="M1065" s="196">
        <f t="shared" si="128"/>
        <v>0</v>
      </c>
      <c r="N1065" s="196">
        <f t="shared" si="129"/>
        <v>0</v>
      </c>
      <c r="O1065" s="196">
        <f t="shared" si="130"/>
        <v>0</v>
      </c>
      <c r="P1065" s="196">
        <f t="shared" si="131"/>
        <v>0</v>
      </c>
      <c r="Q1065" s="566">
        <f t="shared" si="125"/>
        <v>0</v>
      </c>
      <c r="R1065" s="538"/>
      <c r="T1065" s="82"/>
      <c r="U1065" s="82"/>
      <c r="V1065" s="82"/>
      <c r="W1065" s="82"/>
      <c r="X1065" s="82"/>
      <c r="Y1065" s="82"/>
      <c r="Z1065" s="82"/>
      <c r="AA1065" s="82"/>
      <c r="AB1065" s="82"/>
    </row>
    <row r="1066" spans="1:28" s="85" customFormat="1" x14ac:dyDescent="0.25">
      <c r="A1066" s="82"/>
      <c r="B1066" s="82"/>
      <c r="C1066" s="82"/>
      <c r="D1066" s="729"/>
      <c r="E1066" s="371" t="s">
        <v>184</v>
      </c>
      <c r="F1066" s="372">
        <v>19</v>
      </c>
      <c r="G1066" s="373">
        <v>8</v>
      </c>
      <c r="H1066" s="374">
        <v>5</v>
      </c>
      <c r="I1066" s="375">
        <v>2.0699999999999998</v>
      </c>
      <c r="J1066" s="376">
        <f t="shared" si="124"/>
        <v>16.559999999999999</v>
      </c>
      <c r="K1066" s="66">
        <f t="shared" si="126"/>
        <v>2.5502399999999996</v>
      </c>
      <c r="L1066" s="63">
        <f t="shared" si="127"/>
        <v>0</v>
      </c>
      <c r="M1066" s="63">
        <f t="shared" si="128"/>
        <v>0</v>
      </c>
      <c r="N1066" s="63">
        <f t="shared" si="129"/>
        <v>0</v>
      </c>
      <c r="O1066" s="63">
        <f t="shared" si="130"/>
        <v>0</v>
      </c>
      <c r="P1066" s="63">
        <f t="shared" si="131"/>
        <v>0</v>
      </c>
      <c r="Q1066" s="562">
        <f t="shared" si="125"/>
        <v>0</v>
      </c>
      <c r="R1066" s="377"/>
      <c r="T1066" s="82"/>
      <c r="U1066" s="82"/>
      <c r="V1066" s="82"/>
      <c r="W1066" s="82"/>
      <c r="X1066" s="82"/>
      <c r="Y1066" s="82"/>
      <c r="Z1066" s="82"/>
      <c r="AA1066" s="82"/>
      <c r="AB1066" s="82"/>
    </row>
    <row r="1067" spans="1:28" s="85" customFormat="1" x14ac:dyDescent="0.25">
      <c r="A1067" s="82"/>
      <c r="B1067" s="82"/>
      <c r="C1067" s="82"/>
      <c r="D1067" s="729"/>
      <c r="E1067" s="371" t="s">
        <v>184</v>
      </c>
      <c r="F1067" s="372">
        <v>20</v>
      </c>
      <c r="G1067" s="373">
        <v>4</v>
      </c>
      <c r="H1067" s="374">
        <v>5</v>
      </c>
      <c r="I1067" s="375">
        <v>1.19</v>
      </c>
      <c r="J1067" s="376">
        <f t="shared" si="124"/>
        <v>4.76</v>
      </c>
      <c r="K1067" s="66">
        <f t="shared" si="126"/>
        <v>0.73303999999999991</v>
      </c>
      <c r="L1067" s="63">
        <f t="shared" si="127"/>
        <v>0</v>
      </c>
      <c r="M1067" s="63">
        <f t="shared" si="128"/>
        <v>0</v>
      </c>
      <c r="N1067" s="63">
        <f t="shared" si="129"/>
        <v>0</v>
      </c>
      <c r="O1067" s="63">
        <f t="shared" si="130"/>
        <v>0</v>
      </c>
      <c r="P1067" s="63">
        <f t="shared" si="131"/>
        <v>0</v>
      </c>
      <c r="Q1067" s="562">
        <f t="shared" si="125"/>
        <v>0</v>
      </c>
      <c r="R1067" s="377"/>
      <c r="T1067" s="82"/>
      <c r="U1067" s="82"/>
      <c r="V1067" s="82"/>
      <c r="W1067" s="82"/>
      <c r="X1067" s="82"/>
      <c r="Y1067" s="82"/>
      <c r="Z1067" s="82"/>
      <c r="AA1067" s="82"/>
      <c r="AB1067" s="82"/>
    </row>
    <row r="1068" spans="1:28" s="85" customFormat="1" ht="13.8" thickBot="1" x14ac:dyDescent="0.3">
      <c r="A1068" s="82"/>
      <c r="B1068" s="82"/>
      <c r="C1068" s="82"/>
      <c r="D1068" s="731"/>
      <c r="E1068" s="390" t="s">
        <v>184</v>
      </c>
      <c r="F1068" s="391">
        <v>54</v>
      </c>
      <c r="G1068" s="392">
        <v>8</v>
      </c>
      <c r="H1068" s="393">
        <v>10</v>
      </c>
      <c r="I1068" s="394">
        <v>1.02</v>
      </c>
      <c r="J1068" s="395">
        <f t="shared" si="124"/>
        <v>8.16</v>
      </c>
      <c r="K1068" s="221">
        <f t="shared" si="126"/>
        <v>0</v>
      </c>
      <c r="L1068" s="222">
        <f t="shared" si="127"/>
        <v>0</v>
      </c>
      <c r="M1068" s="222">
        <f t="shared" si="128"/>
        <v>0</v>
      </c>
      <c r="N1068" s="222">
        <f t="shared" si="129"/>
        <v>5.0347200000000001</v>
      </c>
      <c r="O1068" s="222">
        <f t="shared" si="130"/>
        <v>0</v>
      </c>
      <c r="P1068" s="222">
        <f t="shared" si="131"/>
        <v>0</v>
      </c>
      <c r="Q1068" s="564">
        <f t="shared" si="125"/>
        <v>0</v>
      </c>
      <c r="R1068" s="539"/>
      <c r="T1068" s="82"/>
      <c r="U1068" s="82"/>
      <c r="V1068" s="82"/>
      <c r="W1068" s="82"/>
      <c r="X1068" s="82"/>
      <c r="Y1068" s="82"/>
      <c r="Z1068" s="82"/>
      <c r="AA1068" s="82"/>
      <c r="AB1068" s="82"/>
    </row>
    <row r="1069" spans="1:28" s="85" customFormat="1" ht="13.8" thickTop="1" x14ac:dyDescent="0.25">
      <c r="A1069" s="82"/>
      <c r="B1069" s="82"/>
      <c r="C1069" s="82"/>
      <c r="D1069" s="728" t="s">
        <v>1702</v>
      </c>
      <c r="E1069" s="384" t="s">
        <v>49</v>
      </c>
      <c r="F1069" s="385">
        <v>11</v>
      </c>
      <c r="G1069" s="386">
        <f>2*16</f>
        <v>32</v>
      </c>
      <c r="H1069" s="387">
        <v>5</v>
      </c>
      <c r="I1069" s="388">
        <v>0.94</v>
      </c>
      <c r="J1069" s="389">
        <f t="shared" si="124"/>
        <v>30.08</v>
      </c>
      <c r="K1069" s="218">
        <f t="shared" si="126"/>
        <v>4.63232</v>
      </c>
      <c r="L1069" s="219">
        <f t="shared" si="127"/>
        <v>0</v>
      </c>
      <c r="M1069" s="219">
        <f t="shared" si="128"/>
        <v>0</v>
      </c>
      <c r="N1069" s="219">
        <f t="shared" si="129"/>
        <v>0</v>
      </c>
      <c r="O1069" s="219">
        <f t="shared" si="130"/>
        <v>0</v>
      </c>
      <c r="P1069" s="219">
        <f t="shared" si="131"/>
        <v>0</v>
      </c>
      <c r="Q1069" s="563">
        <f t="shared" si="125"/>
        <v>0</v>
      </c>
      <c r="R1069" s="220"/>
      <c r="T1069" s="82"/>
      <c r="U1069" s="82"/>
      <c r="V1069" s="82"/>
      <c r="W1069" s="82"/>
      <c r="X1069" s="82"/>
      <c r="Y1069" s="82"/>
      <c r="Z1069" s="82"/>
      <c r="AA1069" s="82"/>
      <c r="AB1069" s="82"/>
    </row>
    <row r="1070" spans="1:28" s="85" customFormat="1" x14ac:dyDescent="0.25">
      <c r="A1070" s="82"/>
      <c r="B1070" s="82"/>
      <c r="C1070" s="82"/>
      <c r="D1070" s="729"/>
      <c r="E1070" s="371" t="s">
        <v>49</v>
      </c>
      <c r="F1070" s="372">
        <v>10</v>
      </c>
      <c r="G1070" s="373">
        <f>2*16</f>
        <v>32</v>
      </c>
      <c r="H1070" s="374">
        <v>5</v>
      </c>
      <c r="I1070" s="375">
        <v>0.28999999999999998</v>
      </c>
      <c r="J1070" s="376">
        <f t="shared" si="124"/>
        <v>9.2799999999999994</v>
      </c>
      <c r="K1070" s="66">
        <f t="shared" si="126"/>
        <v>1.4291199999999999</v>
      </c>
      <c r="L1070" s="63">
        <f t="shared" si="127"/>
        <v>0</v>
      </c>
      <c r="M1070" s="63">
        <f t="shared" si="128"/>
        <v>0</v>
      </c>
      <c r="N1070" s="63">
        <f t="shared" si="129"/>
        <v>0</v>
      </c>
      <c r="O1070" s="63">
        <f t="shared" si="130"/>
        <v>0</v>
      </c>
      <c r="P1070" s="63">
        <f t="shared" si="131"/>
        <v>0</v>
      </c>
      <c r="Q1070" s="561">
        <f t="shared" si="125"/>
        <v>0</v>
      </c>
      <c r="R1070" s="174"/>
      <c r="T1070" s="82"/>
      <c r="U1070" s="82"/>
      <c r="V1070" s="82"/>
      <c r="W1070" s="82"/>
      <c r="X1070" s="82"/>
      <c r="Y1070" s="82"/>
      <c r="Z1070" s="82"/>
      <c r="AA1070" s="82"/>
      <c r="AB1070" s="82"/>
    </row>
    <row r="1071" spans="1:28" s="85" customFormat="1" x14ac:dyDescent="0.25">
      <c r="A1071" s="82"/>
      <c r="B1071" s="82"/>
      <c r="C1071" s="82"/>
      <c r="D1071" s="729"/>
      <c r="E1071" s="371" t="s">
        <v>49</v>
      </c>
      <c r="F1071" s="372">
        <v>18</v>
      </c>
      <c r="G1071" s="373">
        <f>2*8</f>
        <v>16</v>
      </c>
      <c r="H1071" s="374">
        <v>10</v>
      </c>
      <c r="I1071" s="375">
        <v>1.37</v>
      </c>
      <c r="J1071" s="376">
        <f t="shared" si="124"/>
        <v>21.92</v>
      </c>
      <c r="K1071" s="66">
        <f t="shared" si="126"/>
        <v>0</v>
      </c>
      <c r="L1071" s="63">
        <f t="shared" si="127"/>
        <v>0</v>
      </c>
      <c r="M1071" s="63">
        <f t="shared" si="128"/>
        <v>0</v>
      </c>
      <c r="N1071" s="63">
        <f t="shared" si="129"/>
        <v>13.524640000000002</v>
      </c>
      <c r="O1071" s="63">
        <f t="shared" si="130"/>
        <v>0</v>
      </c>
      <c r="P1071" s="63">
        <f t="shared" si="131"/>
        <v>0</v>
      </c>
      <c r="Q1071" s="561">
        <f t="shared" si="125"/>
        <v>0</v>
      </c>
      <c r="R1071" s="174"/>
      <c r="T1071" s="82"/>
      <c r="U1071" s="82"/>
      <c r="V1071" s="82"/>
      <c r="W1071" s="82"/>
      <c r="X1071" s="82"/>
      <c r="Y1071" s="82"/>
      <c r="Z1071" s="82"/>
      <c r="AA1071" s="82"/>
      <c r="AB1071" s="82"/>
    </row>
    <row r="1072" spans="1:28" s="85" customFormat="1" x14ac:dyDescent="0.25">
      <c r="A1072" s="82"/>
      <c r="B1072" s="82"/>
      <c r="C1072" s="82"/>
      <c r="D1072" s="729"/>
      <c r="E1072" s="371" t="s">
        <v>113</v>
      </c>
      <c r="F1072" s="372">
        <v>14</v>
      </c>
      <c r="G1072" s="373">
        <f>2*60</f>
        <v>120</v>
      </c>
      <c r="H1072" s="374">
        <v>5</v>
      </c>
      <c r="I1072" s="375">
        <v>0.28999999999999998</v>
      </c>
      <c r="J1072" s="376">
        <f t="shared" si="124"/>
        <v>34.799999999999997</v>
      </c>
      <c r="K1072" s="66">
        <f t="shared" si="126"/>
        <v>5.3591999999999995</v>
      </c>
      <c r="L1072" s="63">
        <f t="shared" si="127"/>
        <v>0</v>
      </c>
      <c r="M1072" s="63">
        <f t="shared" si="128"/>
        <v>0</v>
      </c>
      <c r="N1072" s="63">
        <f t="shared" si="129"/>
        <v>0</v>
      </c>
      <c r="O1072" s="63">
        <f t="shared" si="130"/>
        <v>0</v>
      </c>
      <c r="P1072" s="63">
        <f t="shared" si="131"/>
        <v>0</v>
      </c>
      <c r="Q1072" s="561">
        <f t="shared" si="125"/>
        <v>0</v>
      </c>
      <c r="R1072" s="174"/>
      <c r="T1072" s="82"/>
      <c r="U1072" s="82"/>
      <c r="V1072" s="82"/>
      <c r="W1072" s="82"/>
      <c r="X1072" s="82"/>
      <c r="Y1072" s="82"/>
      <c r="Z1072" s="82"/>
      <c r="AA1072" s="82"/>
      <c r="AB1072" s="82"/>
    </row>
    <row r="1073" spans="1:28" s="85" customFormat="1" x14ac:dyDescent="0.25">
      <c r="A1073" s="82"/>
      <c r="B1073" s="82"/>
      <c r="C1073" s="82"/>
      <c r="D1073" s="729"/>
      <c r="E1073" s="371" t="s">
        <v>113</v>
      </c>
      <c r="F1073" s="372">
        <v>17</v>
      </c>
      <c r="G1073" s="373">
        <f>2*25</f>
        <v>50</v>
      </c>
      <c r="H1073" s="374">
        <v>5</v>
      </c>
      <c r="I1073" s="375">
        <v>1.47</v>
      </c>
      <c r="J1073" s="376">
        <f t="shared" si="124"/>
        <v>73.5</v>
      </c>
      <c r="K1073" s="66">
        <f t="shared" si="126"/>
        <v>11.318999999999999</v>
      </c>
      <c r="L1073" s="63">
        <f t="shared" si="127"/>
        <v>0</v>
      </c>
      <c r="M1073" s="63">
        <f t="shared" si="128"/>
        <v>0</v>
      </c>
      <c r="N1073" s="63">
        <f t="shared" si="129"/>
        <v>0</v>
      </c>
      <c r="O1073" s="63">
        <f t="shared" si="130"/>
        <v>0</v>
      </c>
      <c r="P1073" s="63">
        <f t="shared" si="131"/>
        <v>0</v>
      </c>
      <c r="Q1073" s="561">
        <f t="shared" si="125"/>
        <v>0</v>
      </c>
      <c r="R1073" s="174"/>
      <c r="T1073" s="82"/>
      <c r="U1073" s="82"/>
      <c r="V1073" s="82"/>
      <c r="W1073" s="82"/>
      <c r="X1073" s="82"/>
      <c r="Y1073" s="82"/>
      <c r="Z1073" s="82"/>
      <c r="AA1073" s="82"/>
      <c r="AB1073" s="82"/>
    </row>
    <row r="1074" spans="1:28" s="85" customFormat="1" x14ac:dyDescent="0.25">
      <c r="A1074" s="82"/>
      <c r="B1074" s="82"/>
      <c r="C1074" s="82"/>
      <c r="D1074" s="729"/>
      <c r="E1074" s="371" t="s">
        <v>113</v>
      </c>
      <c r="F1074" s="372">
        <v>18</v>
      </c>
      <c r="G1074" s="373">
        <f>2*10</f>
        <v>20</v>
      </c>
      <c r="H1074" s="374">
        <v>5</v>
      </c>
      <c r="I1074" s="375">
        <v>0.94</v>
      </c>
      <c r="J1074" s="376">
        <f t="shared" si="124"/>
        <v>18.799999999999997</v>
      </c>
      <c r="K1074" s="66">
        <f t="shared" si="126"/>
        <v>2.8951999999999996</v>
      </c>
      <c r="L1074" s="63">
        <f t="shared" si="127"/>
        <v>0</v>
      </c>
      <c r="M1074" s="63">
        <f t="shared" si="128"/>
        <v>0</v>
      </c>
      <c r="N1074" s="63">
        <f t="shared" si="129"/>
        <v>0</v>
      </c>
      <c r="O1074" s="63">
        <f t="shared" si="130"/>
        <v>0</v>
      </c>
      <c r="P1074" s="63">
        <f t="shared" si="131"/>
        <v>0</v>
      </c>
      <c r="Q1074" s="561">
        <f t="shared" si="125"/>
        <v>0</v>
      </c>
      <c r="R1074" s="174"/>
      <c r="T1074" s="82"/>
      <c r="U1074" s="82"/>
      <c r="V1074" s="82"/>
      <c r="W1074" s="82"/>
      <c r="X1074" s="82"/>
      <c r="Y1074" s="82"/>
      <c r="Z1074" s="82"/>
      <c r="AA1074" s="82"/>
      <c r="AB1074" s="82"/>
    </row>
    <row r="1075" spans="1:28" s="85" customFormat="1" x14ac:dyDescent="0.25">
      <c r="A1075" s="82"/>
      <c r="B1075" s="82"/>
      <c r="C1075" s="82"/>
      <c r="D1075" s="729"/>
      <c r="E1075" s="371" t="s">
        <v>113</v>
      </c>
      <c r="F1075" s="372">
        <v>27</v>
      </c>
      <c r="G1075" s="373">
        <f>2*8</f>
        <v>16</v>
      </c>
      <c r="H1075" s="374">
        <v>10</v>
      </c>
      <c r="I1075" s="375">
        <v>3.78</v>
      </c>
      <c r="J1075" s="376">
        <f t="shared" si="124"/>
        <v>60.48</v>
      </c>
      <c r="K1075" s="66">
        <f t="shared" si="126"/>
        <v>0</v>
      </c>
      <c r="L1075" s="63">
        <f t="shared" si="127"/>
        <v>0</v>
      </c>
      <c r="M1075" s="63">
        <f t="shared" si="128"/>
        <v>0</v>
      </c>
      <c r="N1075" s="63">
        <f t="shared" si="129"/>
        <v>37.316159999999996</v>
      </c>
      <c r="O1075" s="63">
        <f t="shared" si="130"/>
        <v>0</v>
      </c>
      <c r="P1075" s="63">
        <f t="shared" si="131"/>
        <v>0</v>
      </c>
      <c r="Q1075" s="561">
        <f t="shared" si="125"/>
        <v>0</v>
      </c>
      <c r="R1075" s="174"/>
      <c r="T1075" s="82"/>
      <c r="U1075" s="82"/>
      <c r="V1075" s="82"/>
      <c r="W1075" s="82"/>
      <c r="X1075" s="82"/>
      <c r="Y1075" s="82"/>
      <c r="Z1075" s="82"/>
      <c r="AA1075" s="82"/>
      <c r="AB1075" s="82"/>
    </row>
    <row r="1076" spans="1:28" s="85" customFormat="1" x14ac:dyDescent="0.25">
      <c r="A1076" s="82"/>
      <c r="B1076" s="82"/>
      <c r="C1076" s="82"/>
      <c r="D1076" s="729"/>
      <c r="E1076" s="396" t="s">
        <v>184</v>
      </c>
      <c r="F1076" s="403">
        <v>12</v>
      </c>
      <c r="G1076" s="397">
        <f>2*20</f>
        <v>40</v>
      </c>
      <c r="H1076" s="398">
        <v>5</v>
      </c>
      <c r="I1076" s="399">
        <v>0.28999999999999998</v>
      </c>
      <c r="J1076" s="400">
        <f t="shared" si="124"/>
        <v>11.6</v>
      </c>
      <c r="K1076" s="401">
        <f t="shared" si="126"/>
        <v>1.7864</v>
      </c>
      <c r="L1076" s="196">
        <f t="shared" si="127"/>
        <v>0</v>
      </c>
      <c r="M1076" s="196">
        <f t="shared" si="128"/>
        <v>0</v>
      </c>
      <c r="N1076" s="196">
        <f t="shared" si="129"/>
        <v>0</v>
      </c>
      <c r="O1076" s="196">
        <f t="shared" si="130"/>
        <v>0</v>
      </c>
      <c r="P1076" s="196">
        <f t="shared" si="131"/>
        <v>0</v>
      </c>
      <c r="Q1076" s="566">
        <f t="shared" si="125"/>
        <v>0</v>
      </c>
      <c r="R1076" s="538"/>
      <c r="T1076" s="82"/>
      <c r="U1076" s="82"/>
      <c r="V1076" s="82"/>
      <c r="W1076" s="82"/>
      <c r="X1076" s="82"/>
      <c r="Y1076" s="82"/>
      <c r="Z1076" s="82"/>
      <c r="AA1076" s="82"/>
      <c r="AB1076" s="82"/>
    </row>
    <row r="1077" spans="1:28" s="85" customFormat="1" x14ac:dyDescent="0.25">
      <c r="A1077" s="82"/>
      <c r="B1077" s="82"/>
      <c r="C1077" s="82"/>
      <c r="D1077" s="729"/>
      <c r="E1077" s="371" t="s">
        <v>184</v>
      </c>
      <c r="F1077" s="372">
        <v>13</v>
      </c>
      <c r="G1077" s="373">
        <f>2*8</f>
        <v>16</v>
      </c>
      <c r="H1077" s="374">
        <v>5</v>
      </c>
      <c r="I1077" s="375">
        <v>1.47</v>
      </c>
      <c r="J1077" s="376">
        <f t="shared" si="124"/>
        <v>23.52</v>
      </c>
      <c r="K1077" s="66">
        <f t="shared" si="126"/>
        <v>3.62208</v>
      </c>
      <c r="L1077" s="63">
        <f t="shared" si="127"/>
        <v>0</v>
      </c>
      <c r="M1077" s="63">
        <f t="shared" si="128"/>
        <v>0</v>
      </c>
      <c r="N1077" s="63">
        <f t="shared" si="129"/>
        <v>0</v>
      </c>
      <c r="O1077" s="63">
        <f t="shared" si="130"/>
        <v>0</v>
      </c>
      <c r="P1077" s="63">
        <f t="shared" si="131"/>
        <v>0</v>
      </c>
      <c r="Q1077" s="562">
        <f t="shared" si="125"/>
        <v>0</v>
      </c>
      <c r="R1077" s="377"/>
      <c r="T1077" s="82"/>
      <c r="U1077" s="82"/>
      <c r="V1077" s="82"/>
      <c r="W1077" s="82"/>
      <c r="X1077" s="82"/>
      <c r="Y1077" s="82"/>
      <c r="Z1077" s="82"/>
      <c r="AA1077" s="82"/>
      <c r="AB1077" s="82"/>
    </row>
    <row r="1078" spans="1:28" s="85" customFormat="1" x14ac:dyDescent="0.25">
      <c r="A1078" s="82"/>
      <c r="B1078" s="82"/>
      <c r="C1078" s="82"/>
      <c r="D1078" s="729"/>
      <c r="E1078" s="371" t="s">
        <v>184</v>
      </c>
      <c r="F1078" s="372">
        <v>14</v>
      </c>
      <c r="G1078" s="373">
        <f>2*4</f>
        <v>8</v>
      </c>
      <c r="H1078" s="374">
        <v>5</v>
      </c>
      <c r="I1078" s="375">
        <v>0.94</v>
      </c>
      <c r="J1078" s="376">
        <f t="shared" si="124"/>
        <v>7.52</v>
      </c>
      <c r="K1078" s="66">
        <f t="shared" si="126"/>
        <v>1.15808</v>
      </c>
      <c r="L1078" s="63">
        <f t="shared" si="127"/>
        <v>0</v>
      </c>
      <c r="M1078" s="63">
        <f t="shared" si="128"/>
        <v>0</v>
      </c>
      <c r="N1078" s="63">
        <f t="shared" si="129"/>
        <v>0</v>
      </c>
      <c r="O1078" s="63">
        <f t="shared" si="130"/>
        <v>0</v>
      </c>
      <c r="P1078" s="63">
        <f t="shared" si="131"/>
        <v>0</v>
      </c>
      <c r="Q1078" s="562">
        <f t="shared" si="125"/>
        <v>0</v>
      </c>
      <c r="R1078" s="377"/>
      <c r="T1078" s="82"/>
      <c r="U1078" s="82"/>
      <c r="V1078" s="82"/>
      <c r="W1078" s="82"/>
      <c r="X1078" s="82"/>
      <c r="Y1078" s="82"/>
      <c r="Z1078" s="82"/>
      <c r="AA1078" s="82"/>
      <c r="AB1078" s="82"/>
    </row>
    <row r="1079" spans="1:28" s="85" customFormat="1" ht="13.8" thickBot="1" x14ac:dyDescent="0.3">
      <c r="A1079" s="82"/>
      <c r="B1079" s="82"/>
      <c r="C1079" s="82"/>
      <c r="D1079" s="731"/>
      <c r="E1079" s="390" t="s">
        <v>184</v>
      </c>
      <c r="F1079" s="391">
        <v>54</v>
      </c>
      <c r="G1079" s="392">
        <f>2*8</f>
        <v>16</v>
      </c>
      <c r="H1079" s="393">
        <v>10</v>
      </c>
      <c r="I1079" s="394">
        <v>1.02</v>
      </c>
      <c r="J1079" s="395">
        <f t="shared" si="124"/>
        <v>16.32</v>
      </c>
      <c r="K1079" s="221">
        <f t="shared" si="126"/>
        <v>0</v>
      </c>
      <c r="L1079" s="222">
        <f t="shared" si="127"/>
        <v>0</v>
      </c>
      <c r="M1079" s="222">
        <f t="shared" si="128"/>
        <v>0</v>
      </c>
      <c r="N1079" s="222">
        <f t="shared" si="129"/>
        <v>10.06944</v>
      </c>
      <c r="O1079" s="222">
        <f t="shared" si="130"/>
        <v>0</v>
      </c>
      <c r="P1079" s="222">
        <f t="shared" si="131"/>
        <v>0</v>
      </c>
      <c r="Q1079" s="564">
        <f t="shared" si="125"/>
        <v>0</v>
      </c>
      <c r="R1079" s="539"/>
      <c r="T1079" s="82"/>
      <c r="U1079" s="82"/>
      <c r="V1079" s="82"/>
      <c r="W1079" s="82"/>
      <c r="X1079" s="82"/>
      <c r="Y1079" s="82"/>
      <c r="Z1079" s="82"/>
      <c r="AA1079" s="82"/>
      <c r="AB1079" s="82"/>
    </row>
    <row r="1080" spans="1:28" s="85" customFormat="1" ht="13.8" thickTop="1" x14ac:dyDescent="0.25">
      <c r="A1080" s="82"/>
      <c r="B1080" s="82"/>
      <c r="C1080" s="82"/>
      <c r="D1080" s="728" t="s">
        <v>1703</v>
      </c>
      <c r="E1080" s="384" t="s">
        <v>49</v>
      </c>
      <c r="F1080" s="385">
        <v>13</v>
      </c>
      <c r="G1080" s="386">
        <f>2*4</f>
        <v>8</v>
      </c>
      <c r="H1080" s="387">
        <v>5</v>
      </c>
      <c r="I1080" s="388">
        <v>0.87</v>
      </c>
      <c r="J1080" s="389">
        <f t="shared" si="124"/>
        <v>6.96</v>
      </c>
      <c r="K1080" s="218">
        <f t="shared" si="126"/>
        <v>1.0718399999999999</v>
      </c>
      <c r="L1080" s="219">
        <f t="shared" si="127"/>
        <v>0</v>
      </c>
      <c r="M1080" s="219">
        <f t="shared" si="128"/>
        <v>0</v>
      </c>
      <c r="N1080" s="219">
        <f t="shared" si="129"/>
        <v>0</v>
      </c>
      <c r="O1080" s="219">
        <f t="shared" si="130"/>
        <v>0</v>
      </c>
      <c r="P1080" s="219">
        <f t="shared" si="131"/>
        <v>0</v>
      </c>
      <c r="Q1080" s="563">
        <f t="shared" si="125"/>
        <v>0</v>
      </c>
      <c r="R1080" s="220"/>
      <c r="T1080" s="82"/>
      <c r="U1080" s="82"/>
      <c r="V1080" s="82"/>
      <c r="W1080" s="82"/>
      <c r="X1080" s="82"/>
      <c r="Y1080" s="82"/>
      <c r="Z1080" s="82"/>
      <c r="AA1080" s="82"/>
      <c r="AB1080" s="82"/>
    </row>
    <row r="1081" spans="1:28" s="85" customFormat="1" x14ac:dyDescent="0.25">
      <c r="A1081" s="82"/>
      <c r="B1081" s="82"/>
      <c r="C1081" s="82"/>
      <c r="D1081" s="729"/>
      <c r="E1081" s="371" t="s">
        <v>49</v>
      </c>
      <c r="F1081" s="372">
        <v>14</v>
      </c>
      <c r="G1081" s="373">
        <f>2*6</f>
        <v>12</v>
      </c>
      <c r="H1081" s="374">
        <v>5</v>
      </c>
      <c r="I1081" s="375">
        <v>0.69</v>
      </c>
      <c r="J1081" s="376">
        <f t="shared" si="124"/>
        <v>8.2799999999999994</v>
      </c>
      <c r="K1081" s="66">
        <f t="shared" si="126"/>
        <v>1.2751199999999998</v>
      </c>
      <c r="L1081" s="63">
        <f t="shared" si="127"/>
        <v>0</v>
      </c>
      <c r="M1081" s="63">
        <f t="shared" si="128"/>
        <v>0</v>
      </c>
      <c r="N1081" s="63">
        <f t="shared" si="129"/>
        <v>0</v>
      </c>
      <c r="O1081" s="63">
        <f t="shared" si="130"/>
        <v>0</v>
      </c>
      <c r="P1081" s="63">
        <f t="shared" si="131"/>
        <v>0</v>
      </c>
      <c r="Q1081" s="561">
        <f t="shared" si="125"/>
        <v>0</v>
      </c>
      <c r="R1081" s="174"/>
      <c r="T1081" s="82"/>
      <c r="U1081" s="82"/>
      <c r="V1081" s="82"/>
      <c r="W1081" s="82"/>
      <c r="X1081" s="82"/>
      <c r="Y1081" s="82"/>
      <c r="Z1081" s="82"/>
      <c r="AA1081" s="82"/>
      <c r="AB1081" s="82"/>
    </row>
    <row r="1082" spans="1:28" s="85" customFormat="1" ht="13.8" thickBot="1" x14ac:dyDescent="0.3">
      <c r="A1082" s="82"/>
      <c r="B1082" s="82"/>
      <c r="C1082" s="82"/>
      <c r="D1082" s="729"/>
      <c r="E1082" s="371" t="s">
        <v>49</v>
      </c>
      <c r="F1082" s="372">
        <v>20</v>
      </c>
      <c r="G1082" s="373">
        <f>2*4</f>
        <v>8</v>
      </c>
      <c r="H1082" s="374">
        <v>12.5</v>
      </c>
      <c r="I1082" s="375">
        <v>0.99</v>
      </c>
      <c r="J1082" s="376">
        <f t="shared" si="124"/>
        <v>7.92</v>
      </c>
      <c r="K1082" s="66">
        <f t="shared" si="126"/>
        <v>0</v>
      </c>
      <c r="L1082" s="63">
        <f t="shared" si="127"/>
        <v>0</v>
      </c>
      <c r="M1082" s="63">
        <f t="shared" si="128"/>
        <v>0</v>
      </c>
      <c r="N1082" s="63">
        <f t="shared" si="129"/>
        <v>0</v>
      </c>
      <c r="O1082" s="63">
        <f t="shared" si="130"/>
        <v>7.6269599999999995</v>
      </c>
      <c r="P1082" s="63">
        <f t="shared" si="131"/>
        <v>0</v>
      </c>
      <c r="Q1082" s="561">
        <f t="shared" si="125"/>
        <v>0</v>
      </c>
      <c r="R1082" s="174"/>
      <c r="T1082" s="82"/>
      <c r="U1082" s="82"/>
      <c r="V1082" s="82"/>
      <c r="W1082" s="82"/>
      <c r="X1082" s="82"/>
      <c r="Y1082" s="82"/>
      <c r="Z1082" s="82"/>
      <c r="AA1082" s="82"/>
      <c r="AB1082" s="82"/>
    </row>
    <row r="1083" spans="1:28" s="85" customFormat="1" ht="13.8" thickTop="1" x14ac:dyDescent="0.25">
      <c r="A1083" s="82"/>
      <c r="B1083" s="82"/>
      <c r="C1083" s="82"/>
      <c r="D1083" s="728" t="s">
        <v>1704</v>
      </c>
      <c r="E1083" s="384" t="s">
        <v>49</v>
      </c>
      <c r="F1083" s="385">
        <v>13</v>
      </c>
      <c r="G1083" s="386">
        <f>2*4</f>
        <v>8</v>
      </c>
      <c r="H1083" s="387">
        <v>5</v>
      </c>
      <c r="I1083" s="388">
        <v>0.87</v>
      </c>
      <c r="J1083" s="389">
        <f t="shared" si="124"/>
        <v>6.96</v>
      </c>
      <c r="K1083" s="218">
        <f t="shared" si="126"/>
        <v>1.0718399999999999</v>
      </c>
      <c r="L1083" s="219">
        <f t="shared" si="127"/>
        <v>0</v>
      </c>
      <c r="M1083" s="219">
        <f t="shared" si="128"/>
        <v>0</v>
      </c>
      <c r="N1083" s="219">
        <f t="shared" si="129"/>
        <v>0</v>
      </c>
      <c r="O1083" s="219">
        <f t="shared" si="130"/>
        <v>0</v>
      </c>
      <c r="P1083" s="219">
        <f t="shared" si="131"/>
        <v>0</v>
      </c>
      <c r="Q1083" s="563">
        <f t="shared" si="125"/>
        <v>0</v>
      </c>
      <c r="R1083" s="220"/>
      <c r="T1083" s="82"/>
      <c r="U1083" s="82"/>
      <c r="V1083" s="82"/>
      <c r="W1083" s="82"/>
      <c r="X1083" s="82"/>
      <c r="Y1083" s="82"/>
      <c r="Z1083" s="82"/>
      <c r="AA1083" s="82"/>
      <c r="AB1083" s="82"/>
    </row>
    <row r="1084" spans="1:28" s="85" customFormat="1" x14ac:dyDescent="0.25">
      <c r="A1084" s="82"/>
      <c r="B1084" s="82"/>
      <c r="C1084" s="82"/>
      <c r="D1084" s="729"/>
      <c r="E1084" s="371" t="s">
        <v>49</v>
      </c>
      <c r="F1084" s="372">
        <v>14</v>
      </c>
      <c r="G1084" s="373">
        <f>2*8</f>
        <v>16</v>
      </c>
      <c r="H1084" s="374">
        <v>5</v>
      </c>
      <c r="I1084" s="375">
        <v>0.69</v>
      </c>
      <c r="J1084" s="376">
        <f t="shared" si="124"/>
        <v>11.04</v>
      </c>
      <c r="K1084" s="66">
        <f t="shared" si="126"/>
        <v>1.7001599999999999</v>
      </c>
      <c r="L1084" s="63">
        <f t="shared" si="127"/>
        <v>0</v>
      </c>
      <c r="M1084" s="63">
        <f t="shared" si="128"/>
        <v>0</v>
      </c>
      <c r="N1084" s="63">
        <f t="shared" si="129"/>
        <v>0</v>
      </c>
      <c r="O1084" s="63">
        <f t="shared" si="130"/>
        <v>0</v>
      </c>
      <c r="P1084" s="63">
        <f t="shared" si="131"/>
        <v>0</v>
      </c>
      <c r="Q1084" s="561">
        <f t="shared" si="125"/>
        <v>0</v>
      </c>
      <c r="R1084" s="174"/>
      <c r="T1084" s="82"/>
      <c r="U1084" s="82"/>
      <c r="V1084" s="82"/>
      <c r="W1084" s="82"/>
      <c r="X1084" s="82"/>
      <c r="Y1084" s="82"/>
      <c r="Z1084" s="82"/>
      <c r="AA1084" s="82"/>
      <c r="AB1084" s="82"/>
    </row>
    <row r="1085" spans="1:28" s="85" customFormat="1" ht="13.8" thickBot="1" x14ac:dyDescent="0.3">
      <c r="A1085" s="82"/>
      <c r="B1085" s="82"/>
      <c r="C1085" s="82"/>
      <c r="D1085" s="729"/>
      <c r="E1085" s="371" t="s">
        <v>49</v>
      </c>
      <c r="F1085" s="372">
        <v>20</v>
      </c>
      <c r="G1085" s="373">
        <f>2*4</f>
        <v>8</v>
      </c>
      <c r="H1085" s="374">
        <v>12.5</v>
      </c>
      <c r="I1085" s="375">
        <v>0.99</v>
      </c>
      <c r="J1085" s="376">
        <f t="shared" si="124"/>
        <v>7.92</v>
      </c>
      <c r="K1085" s="66">
        <f t="shared" si="126"/>
        <v>0</v>
      </c>
      <c r="L1085" s="63">
        <f t="shared" si="127"/>
        <v>0</v>
      </c>
      <c r="M1085" s="63">
        <f t="shared" si="128"/>
        <v>0</v>
      </c>
      <c r="N1085" s="63">
        <f t="shared" si="129"/>
        <v>0</v>
      </c>
      <c r="O1085" s="63">
        <f t="shared" si="130"/>
        <v>7.6269599999999995</v>
      </c>
      <c r="P1085" s="63">
        <f t="shared" si="131"/>
        <v>0</v>
      </c>
      <c r="Q1085" s="561">
        <f t="shared" si="125"/>
        <v>0</v>
      </c>
      <c r="R1085" s="174"/>
      <c r="T1085" s="82"/>
      <c r="U1085" s="82"/>
      <c r="V1085" s="82"/>
      <c r="W1085" s="82"/>
      <c r="X1085" s="82"/>
      <c r="Y1085" s="82"/>
      <c r="Z1085" s="82"/>
      <c r="AA1085" s="82"/>
      <c r="AB1085" s="82"/>
    </row>
    <row r="1086" spans="1:28" s="85" customFormat="1" ht="13.8" thickTop="1" x14ac:dyDescent="0.25">
      <c r="A1086" s="82"/>
      <c r="B1086" s="82"/>
      <c r="C1086" s="82"/>
      <c r="D1086" s="728" t="s">
        <v>1705</v>
      </c>
      <c r="E1086" s="384" t="s">
        <v>49</v>
      </c>
      <c r="F1086" s="385">
        <v>3</v>
      </c>
      <c r="G1086" s="386">
        <f>4*16</f>
        <v>64</v>
      </c>
      <c r="H1086" s="387">
        <v>5</v>
      </c>
      <c r="I1086" s="388">
        <v>0.64</v>
      </c>
      <c r="J1086" s="389">
        <f t="shared" si="124"/>
        <v>40.96</v>
      </c>
      <c r="K1086" s="218">
        <f t="shared" ref="K1086:K1128" si="133">IF($H1086=5,$J1086*$B$21,0)</f>
        <v>6.3078399999999997</v>
      </c>
      <c r="L1086" s="219">
        <f t="shared" ref="L1086:L1128" si="134">IF($H1086=6.3,$J1086*$B$22,0)</f>
        <v>0</v>
      </c>
      <c r="M1086" s="219">
        <f t="shared" ref="M1086:M1128" si="135">IF($H1086=8,$J1086*$B$23,0)</f>
        <v>0</v>
      </c>
      <c r="N1086" s="219">
        <f t="shared" ref="N1086:N1128" si="136">IF($H1086=10,$J1086*$B$24,0)</f>
        <v>0</v>
      </c>
      <c r="O1086" s="219">
        <f t="shared" ref="O1086:O1128" si="137">IF($H1086=12.5,$J1086*$B$26,0)</f>
        <v>0</v>
      </c>
      <c r="P1086" s="219">
        <f t="shared" ref="P1086:P1128" si="138">IF($H1086=16,$J1086*$B$27,0)</f>
        <v>0</v>
      </c>
      <c r="Q1086" s="563">
        <f t="shared" si="125"/>
        <v>0</v>
      </c>
      <c r="R1086" s="220"/>
      <c r="T1086" s="82"/>
      <c r="U1086" s="82"/>
      <c r="V1086" s="82"/>
      <c r="W1086" s="82"/>
      <c r="X1086" s="82"/>
      <c r="Y1086" s="82"/>
      <c r="Z1086" s="82"/>
      <c r="AA1086" s="82"/>
      <c r="AB1086" s="82"/>
    </row>
    <row r="1087" spans="1:28" s="85" customFormat="1" x14ac:dyDescent="0.25">
      <c r="A1087" s="82"/>
      <c r="B1087" s="82"/>
      <c r="C1087" s="82"/>
      <c r="D1087" s="729"/>
      <c r="E1087" s="371" t="s">
        <v>49</v>
      </c>
      <c r="F1087" s="372">
        <v>12</v>
      </c>
      <c r="G1087" s="373">
        <f>4*8</f>
        <v>32</v>
      </c>
      <c r="H1087" s="374">
        <v>5</v>
      </c>
      <c r="I1087" s="375">
        <v>0.24</v>
      </c>
      <c r="J1087" s="376">
        <f t="shared" si="124"/>
        <v>7.68</v>
      </c>
      <c r="K1087" s="66">
        <f t="shared" si="133"/>
        <v>1.18272</v>
      </c>
      <c r="L1087" s="63">
        <f t="shared" si="134"/>
        <v>0</v>
      </c>
      <c r="M1087" s="63">
        <f t="shared" si="135"/>
        <v>0</v>
      </c>
      <c r="N1087" s="63">
        <f t="shared" si="136"/>
        <v>0</v>
      </c>
      <c r="O1087" s="63">
        <f t="shared" si="137"/>
        <v>0</v>
      </c>
      <c r="P1087" s="63">
        <f t="shared" si="138"/>
        <v>0</v>
      </c>
      <c r="Q1087" s="561">
        <f t="shared" si="125"/>
        <v>0</v>
      </c>
      <c r="R1087" s="174"/>
      <c r="T1087" s="82"/>
      <c r="U1087" s="82"/>
      <c r="V1087" s="82"/>
      <c r="W1087" s="82"/>
      <c r="X1087" s="82"/>
      <c r="Y1087" s="82"/>
      <c r="Z1087" s="82"/>
      <c r="AA1087" s="82"/>
      <c r="AB1087" s="82"/>
    </row>
    <row r="1088" spans="1:28" s="85" customFormat="1" x14ac:dyDescent="0.25">
      <c r="A1088" s="82"/>
      <c r="B1088" s="82"/>
      <c r="C1088" s="82"/>
      <c r="D1088" s="729"/>
      <c r="E1088" s="371" t="s">
        <v>49</v>
      </c>
      <c r="F1088" s="372">
        <v>18</v>
      </c>
      <c r="G1088" s="373">
        <f>4*6</f>
        <v>24</v>
      </c>
      <c r="H1088" s="374">
        <v>10</v>
      </c>
      <c r="I1088" s="375">
        <v>1.37</v>
      </c>
      <c r="J1088" s="376">
        <f t="shared" si="124"/>
        <v>32.880000000000003</v>
      </c>
      <c r="K1088" s="66">
        <f t="shared" si="133"/>
        <v>0</v>
      </c>
      <c r="L1088" s="63">
        <f t="shared" si="134"/>
        <v>0</v>
      </c>
      <c r="M1088" s="63">
        <f t="shared" si="135"/>
        <v>0</v>
      </c>
      <c r="N1088" s="63">
        <f t="shared" si="136"/>
        <v>20.286960000000001</v>
      </c>
      <c r="O1088" s="63">
        <f t="shared" si="137"/>
        <v>0</v>
      </c>
      <c r="P1088" s="63">
        <f t="shared" si="138"/>
        <v>0</v>
      </c>
      <c r="Q1088" s="561">
        <f t="shared" si="125"/>
        <v>0</v>
      </c>
      <c r="R1088" s="174"/>
      <c r="T1088" s="82"/>
      <c r="U1088" s="82"/>
      <c r="V1088" s="82"/>
      <c r="W1088" s="82"/>
      <c r="X1088" s="82"/>
      <c r="Y1088" s="82"/>
      <c r="Z1088" s="82"/>
      <c r="AA1088" s="82"/>
      <c r="AB1088" s="82"/>
    </row>
    <row r="1089" spans="1:28" s="85" customFormat="1" x14ac:dyDescent="0.25">
      <c r="A1089" s="82"/>
      <c r="B1089" s="82"/>
      <c r="C1089" s="82"/>
      <c r="D1089" s="729"/>
      <c r="E1089" s="371" t="s">
        <v>113</v>
      </c>
      <c r="F1089" s="372">
        <v>7</v>
      </c>
      <c r="G1089" s="373">
        <f>4*25</f>
        <v>100</v>
      </c>
      <c r="H1089" s="374">
        <v>5</v>
      </c>
      <c r="I1089" s="375">
        <v>0.97</v>
      </c>
      <c r="J1089" s="376">
        <f t="shared" si="124"/>
        <v>97</v>
      </c>
      <c r="K1089" s="66">
        <f t="shared" si="133"/>
        <v>14.938000000000001</v>
      </c>
      <c r="L1089" s="63">
        <f t="shared" si="134"/>
        <v>0</v>
      </c>
      <c r="M1089" s="63">
        <f t="shared" si="135"/>
        <v>0</v>
      </c>
      <c r="N1089" s="63">
        <f t="shared" si="136"/>
        <v>0</v>
      </c>
      <c r="O1089" s="63">
        <f t="shared" si="137"/>
        <v>0</v>
      </c>
      <c r="P1089" s="63">
        <f t="shared" si="138"/>
        <v>0</v>
      </c>
      <c r="Q1089" s="561">
        <f t="shared" si="125"/>
        <v>0</v>
      </c>
      <c r="R1089" s="174"/>
      <c r="T1089" s="82"/>
      <c r="U1089" s="82"/>
      <c r="V1089" s="82"/>
      <c r="W1089" s="82"/>
      <c r="X1089" s="82"/>
      <c r="Y1089" s="82"/>
      <c r="Z1089" s="82"/>
      <c r="AA1089" s="82"/>
      <c r="AB1089" s="82"/>
    </row>
    <row r="1090" spans="1:28" s="85" customFormat="1" x14ac:dyDescent="0.25">
      <c r="A1090" s="82"/>
      <c r="B1090" s="82"/>
      <c r="C1090" s="82"/>
      <c r="D1090" s="729"/>
      <c r="E1090" s="371" t="s">
        <v>113</v>
      </c>
      <c r="F1090" s="372">
        <v>8</v>
      </c>
      <c r="G1090" s="373">
        <f>4*10</f>
        <v>40</v>
      </c>
      <c r="H1090" s="374">
        <v>5</v>
      </c>
      <c r="I1090" s="375">
        <v>0.64</v>
      </c>
      <c r="J1090" s="376">
        <f t="shared" si="124"/>
        <v>25.6</v>
      </c>
      <c r="K1090" s="66">
        <f t="shared" si="133"/>
        <v>3.9424000000000001</v>
      </c>
      <c r="L1090" s="63">
        <f t="shared" si="134"/>
        <v>0</v>
      </c>
      <c r="M1090" s="63">
        <f t="shared" si="135"/>
        <v>0</v>
      </c>
      <c r="N1090" s="63">
        <f t="shared" si="136"/>
        <v>0</v>
      </c>
      <c r="O1090" s="63">
        <f t="shared" si="137"/>
        <v>0</v>
      </c>
      <c r="P1090" s="63">
        <f t="shared" si="138"/>
        <v>0</v>
      </c>
      <c r="Q1090" s="561">
        <f t="shared" si="125"/>
        <v>0</v>
      </c>
      <c r="R1090" s="174"/>
      <c r="T1090" s="82"/>
      <c r="U1090" s="82"/>
      <c r="V1090" s="82"/>
      <c r="W1090" s="82"/>
      <c r="X1090" s="82"/>
      <c r="Y1090" s="82"/>
      <c r="Z1090" s="82"/>
      <c r="AA1090" s="82"/>
      <c r="AB1090" s="82"/>
    </row>
    <row r="1091" spans="1:28" s="85" customFormat="1" x14ac:dyDescent="0.25">
      <c r="A1091" s="82"/>
      <c r="B1091" s="82"/>
      <c r="C1091" s="82"/>
      <c r="D1091" s="729"/>
      <c r="E1091" s="371" t="s">
        <v>113</v>
      </c>
      <c r="F1091" s="372">
        <v>19</v>
      </c>
      <c r="G1091" s="373">
        <f>4*30</f>
        <v>120</v>
      </c>
      <c r="H1091" s="374">
        <v>5</v>
      </c>
      <c r="I1091" s="375">
        <v>0.24</v>
      </c>
      <c r="J1091" s="376">
        <f t="shared" si="124"/>
        <v>28.799999999999997</v>
      </c>
      <c r="K1091" s="66">
        <f t="shared" si="133"/>
        <v>4.4351999999999991</v>
      </c>
      <c r="L1091" s="63">
        <f t="shared" si="134"/>
        <v>0</v>
      </c>
      <c r="M1091" s="63">
        <f t="shared" si="135"/>
        <v>0</v>
      </c>
      <c r="N1091" s="63">
        <f t="shared" si="136"/>
        <v>0</v>
      </c>
      <c r="O1091" s="63">
        <f t="shared" si="137"/>
        <v>0</v>
      </c>
      <c r="P1091" s="63">
        <f t="shared" si="138"/>
        <v>0</v>
      </c>
      <c r="Q1091" s="561">
        <f t="shared" si="125"/>
        <v>0</v>
      </c>
      <c r="R1091" s="174"/>
      <c r="T1091" s="82"/>
      <c r="U1091" s="82"/>
      <c r="V1091" s="82"/>
      <c r="W1091" s="82"/>
      <c r="X1091" s="82"/>
      <c r="Y1091" s="82"/>
      <c r="Z1091" s="82"/>
      <c r="AA1091" s="82"/>
      <c r="AB1091" s="82"/>
    </row>
    <row r="1092" spans="1:28" s="85" customFormat="1" ht="13.8" thickBot="1" x14ac:dyDescent="0.3">
      <c r="A1092" s="82"/>
      <c r="B1092" s="82"/>
      <c r="C1092" s="82"/>
      <c r="D1092" s="729"/>
      <c r="E1092" s="371" t="s">
        <v>113</v>
      </c>
      <c r="F1092" s="372">
        <v>26</v>
      </c>
      <c r="G1092" s="373">
        <f>4*6</f>
        <v>24</v>
      </c>
      <c r="H1092" s="374">
        <v>10</v>
      </c>
      <c r="I1092" s="375">
        <v>3.42</v>
      </c>
      <c r="J1092" s="376">
        <f t="shared" si="124"/>
        <v>82.08</v>
      </c>
      <c r="K1092" s="66">
        <f t="shared" si="133"/>
        <v>0</v>
      </c>
      <c r="L1092" s="63">
        <f t="shared" si="134"/>
        <v>0</v>
      </c>
      <c r="M1092" s="63">
        <f t="shared" si="135"/>
        <v>0</v>
      </c>
      <c r="N1092" s="63">
        <f t="shared" si="136"/>
        <v>50.643360000000001</v>
      </c>
      <c r="O1092" s="63">
        <f t="shared" si="137"/>
        <v>0</v>
      </c>
      <c r="P1092" s="63">
        <f t="shared" si="138"/>
        <v>0</v>
      </c>
      <c r="Q1092" s="561">
        <f t="shared" si="125"/>
        <v>0</v>
      </c>
      <c r="R1092" s="174"/>
      <c r="T1092" s="82"/>
      <c r="U1092" s="82"/>
      <c r="V1092" s="82"/>
      <c r="W1092" s="82"/>
      <c r="X1092" s="82"/>
      <c r="Y1092" s="82"/>
      <c r="Z1092" s="82"/>
      <c r="AA1092" s="82"/>
      <c r="AB1092" s="82"/>
    </row>
    <row r="1093" spans="1:28" s="85" customFormat="1" ht="13.8" thickTop="1" x14ac:dyDescent="0.25">
      <c r="A1093" s="82"/>
      <c r="B1093" s="82"/>
      <c r="C1093" s="82"/>
      <c r="D1093" s="728" t="s">
        <v>1706</v>
      </c>
      <c r="E1093" s="384" t="s">
        <v>49</v>
      </c>
      <c r="F1093" s="385">
        <v>1</v>
      </c>
      <c r="G1093" s="386">
        <f>4*14</f>
        <v>56</v>
      </c>
      <c r="H1093" s="387">
        <v>5</v>
      </c>
      <c r="I1093" s="388">
        <v>0.24</v>
      </c>
      <c r="J1093" s="389">
        <f t="shared" si="124"/>
        <v>13.44</v>
      </c>
      <c r="K1093" s="218">
        <f t="shared" si="133"/>
        <v>2.06976</v>
      </c>
      <c r="L1093" s="219">
        <f t="shared" si="134"/>
        <v>0</v>
      </c>
      <c r="M1093" s="219">
        <f t="shared" si="135"/>
        <v>0</v>
      </c>
      <c r="N1093" s="219">
        <f t="shared" si="136"/>
        <v>0</v>
      </c>
      <c r="O1093" s="219">
        <f t="shared" si="137"/>
        <v>0</v>
      </c>
      <c r="P1093" s="219">
        <f t="shared" si="138"/>
        <v>0</v>
      </c>
      <c r="Q1093" s="563">
        <f t="shared" si="125"/>
        <v>0</v>
      </c>
      <c r="R1093" s="220"/>
      <c r="T1093" s="82"/>
      <c r="U1093" s="82"/>
      <c r="V1093" s="82"/>
      <c r="W1093" s="82"/>
      <c r="X1093" s="82"/>
      <c r="Y1093" s="82"/>
      <c r="Z1093" s="82"/>
      <c r="AA1093" s="82"/>
      <c r="AB1093" s="82"/>
    </row>
    <row r="1094" spans="1:28" s="85" customFormat="1" x14ac:dyDescent="0.25">
      <c r="A1094" s="82"/>
      <c r="B1094" s="82"/>
      <c r="C1094" s="82"/>
      <c r="D1094" s="729"/>
      <c r="E1094" s="371" t="s">
        <v>49</v>
      </c>
      <c r="F1094" s="372">
        <v>2</v>
      </c>
      <c r="G1094" s="373">
        <f>4*4</f>
        <v>16</v>
      </c>
      <c r="H1094" s="374">
        <v>5</v>
      </c>
      <c r="I1094" s="375">
        <v>0.97</v>
      </c>
      <c r="J1094" s="376">
        <f t="shared" si="124"/>
        <v>15.52</v>
      </c>
      <c r="K1094" s="66">
        <f t="shared" si="133"/>
        <v>2.3900799999999998</v>
      </c>
      <c r="L1094" s="63">
        <f t="shared" si="134"/>
        <v>0</v>
      </c>
      <c r="M1094" s="63">
        <f t="shared" si="135"/>
        <v>0</v>
      </c>
      <c r="N1094" s="63">
        <f t="shared" si="136"/>
        <v>0</v>
      </c>
      <c r="O1094" s="63">
        <f t="shared" si="137"/>
        <v>0</v>
      </c>
      <c r="P1094" s="63">
        <f t="shared" si="138"/>
        <v>0</v>
      </c>
      <c r="Q1094" s="561">
        <f t="shared" si="125"/>
        <v>0</v>
      </c>
      <c r="R1094" s="174"/>
      <c r="T1094" s="82"/>
      <c r="U1094" s="82"/>
      <c r="V1094" s="82"/>
      <c r="W1094" s="82"/>
      <c r="X1094" s="82"/>
      <c r="Y1094" s="82"/>
      <c r="Z1094" s="82"/>
      <c r="AA1094" s="82"/>
      <c r="AB1094" s="82"/>
    </row>
    <row r="1095" spans="1:28" s="85" customFormat="1" x14ac:dyDescent="0.25">
      <c r="A1095" s="82"/>
      <c r="B1095" s="82"/>
      <c r="C1095" s="82"/>
      <c r="D1095" s="729"/>
      <c r="E1095" s="371" t="s">
        <v>49</v>
      </c>
      <c r="F1095" s="372">
        <v>3</v>
      </c>
      <c r="G1095" s="373">
        <f>4*6</f>
        <v>24</v>
      </c>
      <c r="H1095" s="374">
        <v>5</v>
      </c>
      <c r="I1095" s="375">
        <v>0.64</v>
      </c>
      <c r="J1095" s="376">
        <f t="shared" si="124"/>
        <v>15.36</v>
      </c>
      <c r="K1095" s="66">
        <f t="shared" si="133"/>
        <v>2.36544</v>
      </c>
      <c r="L1095" s="63">
        <f t="shared" si="134"/>
        <v>0</v>
      </c>
      <c r="M1095" s="63">
        <f t="shared" si="135"/>
        <v>0</v>
      </c>
      <c r="N1095" s="63">
        <f t="shared" si="136"/>
        <v>0</v>
      </c>
      <c r="O1095" s="63">
        <f t="shared" si="137"/>
        <v>0</v>
      </c>
      <c r="P1095" s="63">
        <f t="shared" si="138"/>
        <v>0</v>
      </c>
      <c r="Q1095" s="561">
        <f t="shared" si="125"/>
        <v>0</v>
      </c>
      <c r="R1095" s="174"/>
      <c r="T1095" s="82"/>
      <c r="U1095" s="82"/>
      <c r="V1095" s="82"/>
      <c r="W1095" s="82"/>
      <c r="X1095" s="82"/>
      <c r="Y1095" s="82"/>
      <c r="Z1095" s="82"/>
      <c r="AA1095" s="82"/>
      <c r="AB1095" s="82"/>
    </row>
    <row r="1096" spans="1:28" s="85" customFormat="1" x14ac:dyDescent="0.25">
      <c r="A1096" s="82"/>
      <c r="B1096" s="82"/>
      <c r="C1096" s="82"/>
      <c r="D1096" s="729"/>
      <c r="E1096" s="371" t="s">
        <v>49</v>
      </c>
      <c r="F1096" s="372">
        <v>8</v>
      </c>
      <c r="G1096" s="373">
        <f>4*8</f>
        <v>32</v>
      </c>
      <c r="H1096" s="374">
        <v>12.5</v>
      </c>
      <c r="I1096" s="375">
        <v>1.45</v>
      </c>
      <c r="J1096" s="376">
        <f t="shared" si="124"/>
        <v>46.4</v>
      </c>
      <c r="K1096" s="66">
        <f t="shared" si="133"/>
        <v>0</v>
      </c>
      <c r="L1096" s="63">
        <f t="shared" si="134"/>
        <v>0</v>
      </c>
      <c r="M1096" s="63">
        <f t="shared" si="135"/>
        <v>0</v>
      </c>
      <c r="N1096" s="63">
        <f t="shared" si="136"/>
        <v>0</v>
      </c>
      <c r="O1096" s="63">
        <f t="shared" si="137"/>
        <v>44.683199999999999</v>
      </c>
      <c r="P1096" s="63">
        <f t="shared" si="138"/>
        <v>0</v>
      </c>
      <c r="Q1096" s="561">
        <f t="shared" si="125"/>
        <v>0</v>
      </c>
      <c r="R1096" s="174"/>
      <c r="T1096" s="82"/>
      <c r="U1096" s="82"/>
      <c r="V1096" s="82"/>
      <c r="W1096" s="82"/>
      <c r="X1096" s="82"/>
      <c r="Y1096" s="82"/>
      <c r="Z1096" s="82"/>
      <c r="AA1096" s="82"/>
      <c r="AB1096" s="82"/>
    </row>
    <row r="1097" spans="1:28" s="85" customFormat="1" x14ac:dyDescent="0.25">
      <c r="A1097" s="82"/>
      <c r="B1097" s="82"/>
      <c r="C1097" s="82"/>
      <c r="D1097" s="729"/>
      <c r="E1097" s="371" t="s">
        <v>113</v>
      </c>
      <c r="F1097" s="372">
        <v>1</v>
      </c>
      <c r="G1097" s="373">
        <f>4*48</f>
        <v>192</v>
      </c>
      <c r="H1097" s="374">
        <v>5</v>
      </c>
      <c r="I1097" s="375">
        <v>0.24</v>
      </c>
      <c r="J1097" s="376">
        <f t="shared" si="124"/>
        <v>46.08</v>
      </c>
      <c r="K1097" s="66">
        <f t="shared" si="133"/>
        <v>7.0963199999999995</v>
      </c>
      <c r="L1097" s="63">
        <f t="shared" si="134"/>
        <v>0</v>
      </c>
      <c r="M1097" s="63">
        <f t="shared" si="135"/>
        <v>0</v>
      </c>
      <c r="N1097" s="63">
        <f t="shared" si="136"/>
        <v>0</v>
      </c>
      <c r="O1097" s="63">
        <f t="shared" si="137"/>
        <v>0</v>
      </c>
      <c r="P1097" s="63">
        <f t="shared" si="138"/>
        <v>0</v>
      </c>
      <c r="Q1097" s="561">
        <f t="shared" si="125"/>
        <v>0</v>
      </c>
      <c r="R1097" s="174"/>
      <c r="T1097" s="82"/>
      <c r="U1097" s="82"/>
      <c r="V1097" s="82"/>
      <c r="W1097" s="82"/>
      <c r="X1097" s="82"/>
      <c r="Y1097" s="82"/>
      <c r="Z1097" s="82"/>
      <c r="AA1097" s="82"/>
      <c r="AB1097" s="82"/>
    </row>
    <row r="1098" spans="1:28" s="85" customFormat="1" x14ac:dyDescent="0.25">
      <c r="A1098" s="82"/>
      <c r="B1098" s="82"/>
      <c r="C1098" s="82"/>
      <c r="D1098" s="729"/>
      <c r="E1098" s="371" t="s">
        <v>113</v>
      </c>
      <c r="F1098" s="372">
        <v>7</v>
      </c>
      <c r="G1098" s="373">
        <f>4*20</f>
        <v>80</v>
      </c>
      <c r="H1098" s="374">
        <v>5</v>
      </c>
      <c r="I1098" s="375">
        <v>0.97</v>
      </c>
      <c r="J1098" s="376">
        <f t="shared" si="124"/>
        <v>77.599999999999994</v>
      </c>
      <c r="K1098" s="66">
        <f t="shared" si="133"/>
        <v>11.950399999999998</v>
      </c>
      <c r="L1098" s="63">
        <f t="shared" si="134"/>
        <v>0</v>
      </c>
      <c r="M1098" s="63">
        <f t="shared" si="135"/>
        <v>0</v>
      </c>
      <c r="N1098" s="63">
        <f t="shared" si="136"/>
        <v>0</v>
      </c>
      <c r="O1098" s="63">
        <f t="shared" si="137"/>
        <v>0</v>
      </c>
      <c r="P1098" s="63">
        <f t="shared" si="138"/>
        <v>0</v>
      </c>
      <c r="Q1098" s="561">
        <f t="shared" si="125"/>
        <v>0</v>
      </c>
      <c r="R1098" s="174"/>
      <c r="T1098" s="82"/>
      <c r="U1098" s="82"/>
      <c r="V1098" s="82"/>
      <c r="W1098" s="82"/>
      <c r="X1098" s="82"/>
      <c r="Y1098" s="82"/>
      <c r="Z1098" s="82"/>
      <c r="AA1098" s="82"/>
      <c r="AB1098" s="82"/>
    </row>
    <row r="1099" spans="1:28" s="85" customFormat="1" x14ac:dyDescent="0.25">
      <c r="A1099" s="82"/>
      <c r="B1099" s="82"/>
      <c r="C1099" s="82"/>
      <c r="D1099" s="729"/>
      <c r="E1099" s="371" t="s">
        <v>113</v>
      </c>
      <c r="F1099" s="372">
        <v>8</v>
      </c>
      <c r="G1099" s="373">
        <f>4*8</f>
        <v>32</v>
      </c>
      <c r="H1099" s="374">
        <v>5</v>
      </c>
      <c r="I1099" s="375">
        <v>0.64</v>
      </c>
      <c r="J1099" s="376">
        <f t="shared" si="124"/>
        <v>20.48</v>
      </c>
      <c r="K1099" s="66">
        <f t="shared" si="133"/>
        <v>3.1539199999999998</v>
      </c>
      <c r="L1099" s="63">
        <f t="shared" si="134"/>
        <v>0</v>
      </c>
      <c r="M1099" s="63">
        <f t="shared" si="135"/>
        <v>0</v>
      </c>
      <c r="N1099" s="63">
        <f t="shared" si="136"/>
        <v>0</v>
      </c>
      <c r="O1099" s="63">
        <f t="shared" si="137"/>
        <v>0</v>
      </c>
      <c r="P1099" s="63">
        <f t="shared" si="138"/>
        <v>0</v>
      </c>
      <c r="Q1099" s="561">
        <f t="shared" si="125"/>
        <v>0</v>
      </c>
      <c r="R1099" s="174"/>
      <c r="T1099" s="82"/>
      <c r="U1099" s="82"/>
      <c r="V1099" s="82"/>
      <c r="W1099" s="82"/>
      <c r="X1099" s="82"/>
      <c r="Y1099" s="82"/>
      <c r="Z1099" s="82"/>
      <c r="AA1099" s="82"/>
      <c r="AB1099" s="82"/>
    </row>
    <row r="1100" spans="1:28" s="85" customFormat="1" x14ac:dyDescent="0.25">
      <c r="A1100" s="82"/>
      <c r="B1100" s="82"/>
      <c r="C1100" s="82"/>
      <c r="D1100" s="729"/>
      <c r="E1100" s="371" t="s">
        <v>113</v>
      </c>
      <c r="F1100" s="372">
        <v>30</v>
      </c>
      <c r="G1100" s="373">
        <f>4*8</f>
        <v>32</v>
      </c>
      <c r="H1100" s="374">
        <v>12.5</v>
      </c>
      <c r="I1100" s="375">
        <v>3.87</v>
      </c>
      <c r="J1100" s="376">
        <f t="shared" si="124"/>
        <v>123.84</v>
      </c>
      <c r="K1100" s="66">
        <f t="shared" si="133"/>
        <v>0</v>
      </c>
      <c r="L1100" s="63">
        <f t="shared" si="134"/>
        <v>0</v>
      </c>
      <c r="M1100" s="63">
        <f t="shared" si="135"/>
        <v>0</v>
      </c>
      <c r="N1100" s="63">
        <f t="shared" si="136"/>
        <v>0</v>
      </c>
      <c r="O1100" s="63">
        <f t="shared" si="137"/>
        <v>119.25792</v>
      </c>
      <c r="P1100" s="63">
        <f t="shared" si="138"/>
        <v>0</v>
      </c>
      <c r="Q1100" s="561">
        <f t="shared" si="125"/>
        <v>0</v>
      </c>
      <c r="R1100" s="174"/>
      <c r="T1100" s="82"/>
      <c r="U1100" s="82"/>
      <c r="V1100" s="82"/>
      <c r="W1100" s="82"/>
      <c r="X1100" s="82"/>
      <c r="Y1100" s="82"/>
      <c r="Z1100" s="82"/>
      <c r="AA1100" s="82"/>
      <c r="AB1100" s="82"/>
    </row>
    <row r="1101" spans="1:28" s="85" customFormat="1" x14ac:dyDescent="0.25">
      <c r="A1101" s="82"/>
      <c r="B1101" s="82"/>
      <c r="C1101" s="82"/>
      <c r="D1101" s="729"/>
      <c r="E1101" s="396" t="s">
        <v>184</v>
      </c>
      <c r="F1101" s="403">
        <v>4</v>
      </c>
      <c r="G1101" s="397">
        <f>4*14</f>
        <v>56</v>
      </c>
      <c r="H1101" s="398">
        <v>5</v>
      </c>
      <c r="I1101" s="399">
        <v>0.24</v>
      </c>
      <c r="J1101" s="400">
        <f t="shared" si="124"/>
        <v>13.44</v>
      </c>
      <c r="K1101" s="401">
        <f t="shared" si="133"/>
        <v>2.06976</v>
      </c>
      <c r="L1101" s="196">
        <f t="shared" si="134"/>
        <v>0</v>
      </c>
      <c r="M1101" s="196">
        <f t="shared" si="135"/>
        <v>0</v>
      </c>
      <c r="N1101" s="196">
        <f t="shared" si="136"/>
        <v>0</v>
      </c>
      <c r="O1101" s="196">
        <f t="shared" si="137"/>
        <v>0</v>
      </c>
      <c r="P1101" s="196">
        <f t="shared" si="138"/>
        <v>0</v>
      </c>
      <c r="Q1101" s="566">
        <f t="shared" si="125"/>
        <v>0</v>
      </c>
      <c r="R1101" s="538"/>
      <c r="T1101" s="82"/>
      <c r="U1101" s="82"/>
      <c r="V1101" s="82"/>
      <c r="W1101" s="82"/>
      <c r="X1101" s="82"/>
      <c r="Y1101" s="82"/>
      <c r="Z1101" s="82"/>
      <c r="AA1101" s="82"/>
      <c r="AB1101" s="82"/>
    </row>
    <row r="1102" spans="1:28" s="85" customFormat="1" x14ac:dyDescent="0.25">
      <c r="A1102" s="82"/>
      <c r="B1102" s="82"/>
      <c r="C1102" s="82"/>
      <c r="D1102" s="729"/>
      <c r="E1102" s="371" t="s">
        <v>184</v>
      </c>
      <c r="F1102" s="372">
        <v>5</v>
      </c>
      <c r="G1102" s="373">
        <f>4*6</f>
        <v>24</v>
      </c>
      <c r="H1102" s="374">
        <v>5</v>
      </c>
      <c r="I1102" s="375">
        <v>0.97</v>
      </c>
      <c r="J1102" s="376">
        <f t="shared" si="124"/>
        <v>23.28</v>
      </c>
      <c r="K1102" s="66">
        <f t="shared" si="133"/>
        <v>3.5851200000000003</v>
      </c>
      <c r="L1102" s="63">
        <f t="shared" si="134"/>
        <v>0</v>
      </c>
      <c r="M1102" s="63">
        <f t="shared" si="135"/>
        <v>0</v>
      </c>
      <c r="N1102" s="63">
        <f t="shared" si="136"/>
        <v>0</v>
      </c>
      <c r="O1102" s="63">
        <f t="shared" si="137"/>
        <v>0</v>
      </c>
      <c r="P1102" s="63">
        <f t="shared" si="138"/>
        <v>0</v>
      </c>
      <c r="Q1102" s="562">
        <f t="shared" si="125"/>
        <v>0</v>
      </c>
      <c r="R1102" s="377"/>
      <c r="T1102" s="82"/>
      <c r="U1102" s="82"/>
      <c r="V1102" s="82"/>
      <c r="W1102" s="82"/>
      <c r="X1102" s="82"/>
      <c r="Y1102" s="82"/>
      <c r="Z1102" s="82"/>
      <c r="AA1102" s="82"/>
      <c r="AB1102" s="82"/>
    </row>
    <row r="1103" spans="1:28" s="85" customFormat="1" x14ac:dyDescent="0.25">
      <c r="A1103" s="82"/>
      <c r="B1103" s="82"/>
      <c r="C1103" s="82"/>
      <c r="D1103" s="729"/>
      <c r="E1103" s="371" t="s">
        <v>184</v>
      </c>
      <c r="F1103" s="372">
        <v>6</v>
      </c>
      <c r="G1103" s="373">
        <f>4*2</f>
        <v>8</v>
      </c>
      <c r="H1103" s="374">
        <v>5</v>
      </c>
      <c r="I1103" s="375">
        <v>0.64</v>
      </c>
      <c r="J1103" s="376">
        <f t="shared" si="124"/>
        <v>5.12</v>
      </c>
      <c r="K1103" s="66">
        <f t="shared" si="133"/>
        <v>0.78847999999999996</v>
      </c>
      <c r="L1103" s="63">
        <f t="shared" si="134"/>
        <v>0</v>
      </c>
      <c r="M1103" s="63">
        <f t="shared" si="135"/>
        <v>0</v>
      </c>
      <c r="N1103" s="63">
        <f t="shared" si="136"/>
        <v>0</v>
      </c>
      <c r="O1103" s="63">
        <f t="shared" si="137"/>
        <v>0</v>
      </c>
      <c r="P1103" s="63">
        <f t="shared" si="138"/>
        <v>0</v>
      </c>
      <c r="Q1103" s="562">
        <f t="shared" si="125"/>
        <v>0</v>
      </c>
      <c r="R1103" s="377"/>
      <c r="T1103" s="82"/>
      <c r="U1103" s="82"/>
      <c r="V1103" s="82"/>
      <c r="W1103" s="82"/>
      <c r="X1103" s="82"/>
      <c r="Y1103" s="82"/>
      <c r="Z1103" s="82"/>
      <c r="AA1103" s="82"/>
      <c r="AB1103" s="82"/>
    </row>
    <row r="1104" spans="1:28" s="85" customFormat="1" ht="13.8" thickBot="1" x14ac:dyDescent="0.3">
      <c r="A1104" s="82"/>
      <c r="B1104" s="82"/>
      <c r="C1104" s="82"/>
      <c r="D1104" s="731"/>
      <c r="E1104" s="390" t="s">
        <v>184</v>
      </c>
      <c r="F1104" s="391">
        <v>55</v>
      </c>
      <c r="G1104" s="392">
        <f>4*8</f>
        <v>32</v>
      </c>
      <c r="H1104" s="393">
        <v>12.5</v>
      </c>
      <c r="I1104" s="394">
        <v>1.02</v>
      </c>
      <c r="J1104" s="395">
        <f t="shared" si="124"/>
        <v>32.64</v>
      </c>
      <c r="K1104" s="221">
        <f t="shared" si="133"/>
        <v>0</v>
      </c>
      <c r="L1104" s="222">
        <f t="shared" si="134"/>
        <v>0</v>
      </c>
      <c r="M1104" s="222">
        <f t="shared" si="135"/>
        <v>0</v>
      </c>
      <c r="N1104" s="222">
        <f t="shared" si="136"/>
        <v>0</v>
      </c>
      <c r="O1104" s="222">
        <f t="shared" si="137"/>
        <v>31.432320000000001</v>
      </c>
      <c r="P1104" s="222">
        <f t="shared" si="138"/>
        <v>0</v>
      </c>
      <c r="Q1104" s="564">
        <f t="shared" si="125"/>
        <v>0</v>
      </c>
      <c r="R1104" s="539"/>
      <c r="T1104" s="82"/>
      <c r="U1104" s="82"/>
      <c r="V1104" s="82"/>
      <c r="W1104" s="82"/>
      <c r="X1104" s="82"/>
      <c r="Y1104" s="82"/>
      <c r="Z1104" s="82"/>
      <c r="AA1104" s="82"/>
      <c r="AB1104" s="82"/>
    </row>
    <row r="1105" spans="1:28" s="85" customFormat="1" ht="13.8" thickTop="1" x14ac:dyDescent="0.25">
      <c r="A1105" s="82"/>
      <c r="B1105" s="82"/>
      <c r="C1105" s="82"/>
      <c r="D1105" s="728" t="s">
        <v>1707</v>
      </c>
      <c r="E1105" s="384" t="s">
        <v>49</v>
      </c>
      <c r="F1105" s="385">
        <v>1</v>
      </c>
      <c r="G1105" s="386">
        <f>3*14</f>
        <v>42</v>
      </c>
      <c r="H1105" s="387">
        <v>5</v>
      </c>
      <c r="I1105" s="388">
        <v>0.24</v>
      </c>
      <c r="J1105" s="389">
        <f t="shared" si="124"/>
        <v>10.08</v>
      </c>
      <c r="K1105" s="218">
        <f t="shared" si="133"/>
        <v>1.5523199999999999</v>
      </c>
      <c r="L1105" s="219">
        <f t="shared" si="134"/>
        <v>0</v>
      </c>
      <c r="M1105" s="219">
        <f t="shared" si="135"/>
        <v>0</v>
      </c>
      <c r="N1105" s="219">
        <f t="shared" si="136"/>
        <v>0</v>
      </c>
      <c r="O1105" s="219">
        <f t="shared" si="137"/>
        <v>0</v>
      </c>
      <c r="P1105" s="219">
        <f t="shared" si="138"/>
        <v>0</v>
      </c>
      <c r="Q1105" s="563">
        <f t="shared" si="125"/>
        <v>0</v>
      </c>
      <c r="R1105" s="220"/>
      <c r="T1105" s="82"/>
      <c r="U1105" s="82"/>
      <c r="V1105" s="82"/>
      <c r="W1105" s="82"/>
      <c r="X1105" s="82"/>
      <c r="Y1105" s="82"/>
      <c r="Z1105" s="82"/>
      <c r="AA1105" s="82"/>
      <c r="AB1105" s="82"/>
    </row>
    <row r="1106" spans="1:28" s="85" customFormat="1" x14ac:dyDescent="0.25">
      <c r="A1106" s="82"/>
      <c r="B1106" s="82"/>
      <c r="C1106" s="82"/>
      <c r="D1106" s="729"/>
      <c r="E1106" s="371" t="s">
        <v>49</v>
      </c>
      <c r="F1106" s="372">
        <v>2</v>
      </c>
      <c r="G1106" s="373">
        <f>3*4</f>
        <v>12</v>
      </c>
      <c r="H1106" s="374">
        <v>5</v>
      </c>
      <c r="I1106" s="375">
        <v>0.97</v>
      </c>
      <c r="J1106" s="376">
        <f t="shared" si="124"/>
        <v>11.64</v>
      </c>
      <c r="K1106" s="66">
        <f t="shared" si="133"/>
        <v>1.7925600000000002</v>
      </c>
      <c r="L1106" s="63">
        <f t="shared" si="134"/>
        <v>0</v>
      </c>
      <c r="M1106" s="63">
        <f t="shared" si="135"/>
        <v>0</v>
      </c>
      <c r="N1106" s="63">
        <f t="shared" si="136"/>
        <v>0</v>
      </c>
      <c r="O1106" s="63">
        <f t="shared" si="137"/>
        <v>0</v>
      </c>
      <c r="P1106" s="63">
        <f t="shared" si="138"/>
        <v>0</v>
      </c>
      <c r="Q1106" s="561">
        <f t="shared" si="125"/>
        <v>0</v>
      </c>
      <c r="R1106" s="174"/>
      <c r="T1106" s="82"/>
      <c r="U1106" s="82"/>
      <c r="V1106" s="82"/>
      <c r="W1106" s="82"/>
      <c r="X1106" s="82"/>
      <c r="Y1106" s="82"/>
      <c r="Z1106" s="82"/>
      <c r="AA1106" s="82"/>
      <c r="AB1106" s="82"/>
    </row>
    <row r="1107" spans="1:28" s="85" customFormat="1" x14ac:dyDescent="0.25">
      <c r="A1107" s="82"/>
      <c r="B1107" s="82"/>
      <c r="C1107" s="82"/>
      <c r="D1107" s="729"/>
      <c r="E1107" s="371" t="s">
        <v>49</v>
      </c>
      <c r="F1107" s="372">
        <v>3</v>
      </c>
      <c r="G1107" s="373">
        <f>3*6</f>
        <v>18</v>
      </c>
      <c r="H1107" s="374">
        <v>5</v>
      </c>
      <c r="I1107" s="375">
        <v>0.64</v>
      </c>
      <c r="J1107" s="376">
        <f t="shared" si="124"/>
        <v>11.52</v>
      </c>
      <c r="K1107" s="66">
        <f t="shared" si="133"/>
        <v>1.7740799999999999</v>
      </c>
      <c r="L1107" s="63">
        <f t="shared" si="134"/>
        <v>0</v>
      </c>
      <c r="M1107" s="63">
        <f t="shared" si="135"/>
        <v>0</v>
      </c>
      <c r="N1107" s="63">
        <f t="shared" si="136"/>
        <v>0</v>
      </c>
      <c r="O1107" s="63">
        <f t="shared" si="137"/>
        <v>0</v>
      </c>
      <c r="P1107" s="63">
        <f t="shared" si="138"/>
        <v>0</v>
      </c>
      <c r="Q1107" s="561">
        <f t="shared" si="125"/>
        <v>0</v>
      </c>
      <c r="R1107" s="174"/>
      <c r="T1107" s="82"/>
      <c r="U1107" s="82"/>
      <c r="V1107" s="82"/>
      <c r="W1107" s="82"/>
      <c r="X1107" s="82"/>
      <c r="Y1107" s="82"/>
      <c r="Z1107" s="82"/>
      <c r="AA1107" s="82"/>
      <c r="AB1107" s="82"/>
    </row>
    <row r="1108" spans="1:28" s="85" customFormat="1" x14ac:dyDescent="0.25">
      <c r="A1108" s="82"/>
      <c r="B1108" s="82"/>
      <c r="C1108" s="82"/>
      <c r="D1108" s="729"/>
      <c r="E1108" s="371" t="s">
        <v>49</v>
      </c>
      <c r="F1108" s="372">
        <v>8</v>
      </c>
      <c r="G1108" s="373">
        <f>3*8</f>
        <v>24</v>
      </c>
      <c r="H1108" s="374">
        <v>12.5</v>
      </c>
      <c r="I1108" s="375">
        <v>1.45</v>
      </c>
      <c r="J1108" s="376">
        <f t="shared" si="124"/>
        <v>34.799999999999997</v>
      </c>
      <c r="K1108" s="66">
        <f t="shared" si="133"/>
        <v>0</v>
      </c>
      <c r="L1108" s="63">
        <f t="shared" si="134"/>
        <v>0</v>
      </c>
      <c r="M1108" s="63">
        <f t="shared" si="135"/>
        <v>0</v>
      </c>
      <c r="N1108" s="63">
        <f t="shared" si="136"/>
        <v>0</v>
      </c>
      <c r="O1108" s="63">
        <f t="shared" si="137"/>
        <v>33.5124</v>
      </c>
      <c r="P1108" s="63">
        <f t="shared" si="138"/>
        <v>0</v>
      </c>
      <c r="Q1108" s="561">
        <f t="shared" si="125"/>
        <v>0</v>
      </c>
      <c r="R1108" s="174"/>
      <c r="T1108" s="82"/>
      <c r="U1108" s="82"/>
      <c r="V1108" s="82"/>
      <c r="W1108" s="82"/>
      <c r="X1108" s="82"/>
      <c r="Y1108" s="82"/>
      <c r="Z1108" s="82"/>
      <c r="AA1108" s="82"/>
      <c r="AB1108" s="82"/>
    </row>
    <row r="1109" spans="1:28" s="85" customFormat="1" x14ac:dyDescent="0.25">
      <c r="A1109" s="82"/>
      <c r="B1109" s="82"/>
      <c r="C1109" s="82"/>
      <c r="D1109" s="729"/>
      <c r="E1109" s="371" t="s">
        <v>113</v>
      </c>
      <c r="F1109" s="372">
        <v>1</v>
      </c>
      <c r="G1109" s="373">
        <f>3*48</f>
        <v>144</v>
      </c>
      <c r="H1109" s="374">
        <v>5</v>
      </c>
      <c r="I1109" s="375">
        <v>0.24</v>
      </c>
      <c r="J1109" s="376">
        <f t="shared" si="124"/>
        <v>34.56</v>
      </c>
      <c r="K1109" s="66">
        <f t="shared" si="133"/>
        <v>5.3222399999999999</v>
      </c>
      <c r="L1109" s="63">
        <f t="shared" si="134"/>
        <v>0</v>
      </c>
      <c r="M1109" s="63">
        <f t="shared" si="135"/>
        <v>0</v>
      </c>
      <c r="N1109" s="63">
        <f t="shared" si="136"/>
        <v>0</v>
      </c>
      <c r="O1109" s="63">
        <f t="shared" si="137"/>
        <v>0</v>
      </c>
      <c r="P1109" s="63">
        <f t="shared" si="138"/>
        <v>0</v>
      </c>
      <c r="Q1109" s="561">
        <f t="shared" si="125"/>
        <v>0</v>
      </c>
      <c r="R1109" s="174"/>
      <c r="T1109" s="82"/>
      <c r="U1109" s="82"/>
      <c r="V1109" s="82"/>
      <c r="W1109" s="82"/>
      <c r="X1109" s="82"/>
      <c r="Y1109" s="82"/>
      <c r="Z1109" s="82"/>
      <c r="AA1109" s="82"/>
      <c r="AB1109" s="82"/>
    </row>
    <row r="1110" spans="1:28" s="85" customFormat="1" x14ac:dyDescent="0.25">
      <c r="A1110" s="82"/>
      <c r="B1110" s="82"/>
      <c r="C1110" s="82"/>
      <c r="D1110" s="729"/>
      <c r="E1110" s="371" t="s">
        <v>113</v>
      </c>
      <c r="F1110" s="372">
        <v>7</v>
      </c>
      <c r="G1110" s="373">
        <f>3*20</f>
        <v>60</v>
      </c>
      <c r="H1110" s="374">
        <v>5</v>
      </c>
      <c r="I1110" s="375">
        <v>0.97</v>
      </c>
      <c r="J1110" s="376">
        <f t="shared" si="124"/>
        <v>58.199999999999996</v>
      </c>
      <c r="K1110" s="66">
        <f t="shared" si="133"/>
        <v>8.9627999999999997</v>
      </c>
      <c r="L1110" s="63">
        <f t="shared" si="134"/>
        <v>0</v>
      </c>
      <c r="M1110" s="63">
        <f t="shared" si="135"/>
        <v>0</v>
      </c>
      <c r="N1110" s="63">
        <f t="shared" si="136"/>
        <v>0</v>
      </c>
      <c r="O1110" s="63">
        <f t="shared" si="137"/>
        <v>0</v>
      </c>
      <c r="P1110" s="63">
        <f t="shared" si="138"/>
        <v>0</v>
      </c>
      <c r="Q1110" s="561">
        <f t="shared" si="125"/>
        <v>0</v>
      </c>
      <c r="R1110" s="174"/>
      <c r="T1110" s="82"/>
      <c r="U1110" s="82"/>
      <c r="V1110" s="82"/>
      <c r="W1110" s="82"/>
      <c r="X1110" s="82"/>
      <c r="Y1110" s="82"/>
      <c r="Z1110" s="82"/>
      <c r="AA1110" s="82"/>
      <c r="AB1110" s="82"/>
    </row>
    <row r="1111" spans="1:28" s="85" customFormat="1" x14ac:dyDescent="0.25">
      <c r="A1111" s="82"/>
      <c r="B1111" s="82"/>
      <c r="C1111" s="82"/>
      <c r="D1111" s="729"/>
      <c r="E1111" s="371" t="s">
        <v>113</v>
      </c>
      <c r="F1111" s="372">
        <v>8</v>
      </c>
      <c r="G1111" s="373">
        <f>3*8</f>
        <v>24</v>
      </c>
      <c r="H1111" s="374">
        <v>5</v>
      </c>
      <c r="I1111" s="375">
        <v>0.64</v>
      </c>
      <c r="J1111" s="376">
        <f t="shared" si="124"/>
        <v>15.36</v>
      </c>
      <c r="K1111" s="66">
        <f t="shared" si="133"/>
        <v>2.36544</v>
      </c>
      <c r="L1111" s="63">
        <f t="shared" si="134"/>
        <v>0</v>
      </c>
      <c r="M1111" s="63">
        <f t="shared" si="135"/>
        <v>0</v>
      </c>
      <c r="N1111" s="63">
        <f t="shared" si="136"/>
        <v>0</v>
      </c>
      <c r="O1111" s="63">
        <f t="shared" si="137"/>
        <v>0</v>
      </c>
      <c r="P1111" s="63">
        <f t="shared" si="138"/>
        <v>0</v>
      </c>
      <c r="Q1111" s="561">
        <f t="shared" si="125"/>
        <v>0</v>
      </c>
      <c r="R1111" s="174"/>
      <c r="T1111" s="82"/>
      <c r="U1111" s="82"/>
      <c r="V1111" s="82"/>
      <c r="W1111" s="82"/>
      <c r="X1111" s="82"/>
      <c r="Y1111" s="82"/>
      <c r="Z1111" s="82"/>
      <c r="AA1111" s="82"/>
      <c r="AB1111" s="82"/>
    </row>
    <row r="1112" spans="1:28" s="85" customFormat="1" ht="13.8" thickBot="1" x14ac:dyDescent="0.3">
      <c r="A1112" s="82"/>
      <c r="B1112" s="82"/>
      <c r="C1112" s="82"/>
      <c r="D1112" s="729"/>
      <c r="E1112" s="371" t="s">
        <v>113</v>
      </c>
      <c r="F1112" s="372">
        <v>29</v>
      </c>
      <c r="G1112" s="373">
        <f>3*8</f>
        <v>24</v>
      </c>
      <c r="H1112" s="374">
        <v>12.5</v>
      </c>
      <c r="I1112" s="375">
        <v>3.42</v>
      </c>
      <c r="J1112" s="376">
        <f t="shared" si="124"/>
        <v>82.08</v>
      </c>
      <c r="K1112" s="66">
        <f t="shared" si="133"/>
        <v>0</v>
      </c>
      <c r="L1112" s="63">
        <f t="shared" si="134"/>
        <v>0</v>
      </c>
      <c r="M1112" s="63">
        <f t="shared" si="135"/>
        <v>0</v>
      </c>
      <c r="N1112" s="63">
        <f t="shared" si="136"/>
        <v>0</v>
      </c>
      <c r="O1112" s="63">
        <f t="shared" si="137"/>
        <v>79.043039999999991</v>
      </c>
      <c r="P1112" s="63">
        <f t="shared" si="138"/>
        <v>0</v>
      </c>
      <c r="Q1112" s="561">
        <f t="shared" si="125"/>
        <v>0</v>
      </c>
      <c r="R1112" s="174"/>
      <c r="T1112" s="82"/>
      <c r="U1112" s="82"/>
      <c r="V1112" s="82"/>
      <c r="W1112" s="82"/>
      <c r="X1112" s="82"/>
      <c r="Y1112" s="82"/>
      <c r="Z1112" s="82"/>
      <c r="AA1112" s="82"/>
      <c r="AB1112" s="82"/>
    </row>
    <row r="1113" spans="1:28" s="85" customFormat="1" ht="13.8" thickTop="1" x14ac:dyDescent="0.25">
      <c r="A1113" s="82"/>
      <c r="B1113" s="82"/>
      <c r="C1113" s="82"/>
      <c r="D1113" s="728" t="s">
        <v>1708</v>
      </c>
      <c r="E1113" s="384" t="s">
        <v>49</v>
      </c>
      <c r="F1113" s="385">
        <v>2</v>
      </c>
      <c r="G1113" s="386">
        <f>2*5</f>
        <v>10</v>
      </c>
      <c r="H1113" s="387">
        <v>5</v>
      </c>
      <c r="I1113" s="388">
        <v>0.97</v>
      </c>
      <c r="J1113" s="389">
        <f t="shared" si="124"/>
        <v>9.6999999999999993</v>
      </c>
      <c r="K1113" s="218">
        <f t="shared" si="133"/>
        <v>1.4937999999999998</v>
      </c>
      <c r="L1113" s="219">
        <f t="shared" si="134"/>
        <v>0</v>
      </c>
      <c r="M1113" s="219">
        <f t="shared" si="135"/>
        <v>0</v>
      </c>
      <c r="N1113" s="219">
        <f t="shared" si="136"/>
        <v>0</v>
      </c>
      <c r="O1113" s="219">
        <f t="shared" si="137"/>
        <v>0</v>
      </c>
      <c r="P1113" s="219">
        <f t="shared" si="138"/>
        <v>0</v>
      </c>
      <c r="Q1113" s="563">
        <f t="shared" si="125"/>
        <v>0</v>
      </c>
      <c r="R1113" s="220"/>
      <c r="T1113" s="82"/>
      <c r="U1113" s="82"/>
      <c r="V1113" s="82"/>
      <c r="W1113" s="82"/>
      <c r="X1113" s="82"/>
      <c r="Y1113" s="82"/>
      <c r="Z1113" s="82"/>
      <c r="AA1113" s="82"/>
      <c r="AB1113" s="82"/>
    </row>
    <row r="1114" spans="1:28" s="85" customFormat="1" x14ac:dyDescent="0.25">
      <c r="A1114" s="82"/>
      <c r="B1114" s="82"/>
      <c r="C1114" s="82"/>
      <c r="D1114" s="729"/>
      <c r="E1114" s="371" t="s">
        <v>49</v>
      </c>
      <c r="F1114" s="372">
        <v>3</v>
      </c>
      <c r="G1114" s="373">
        <f>2*8</f>
        <v>16</v>
      </c>
      <c r="H1114" s="374">
        <v>5</v>
      </c>
      <c r="I1114" s="375">
        <v>0.64</v>
      </c>
      <c r="J1114" s="376">
        <f t="shared" si="124"/>
        <v>10.24</v>
      </c>
      <c r="K1114" s="66">
        <f t="shared" si="133"/>
        <v>1.5769599999999999</v>
      </c>
      <c r="L1114" s="63">
        <f t="shared" si="134"/>
        <v>0</v>
      </c>
      <c r="M1114" s="63">
        <f t="shared" si="135"/>
        <v>0</v>
      </c>
      <c r="N1114" s="63">
        <f t="shared" si="136"/>
        <v>0</v>
      </c>
      <c r="O1114" s="63">
        <f t="shared" si="137"/>
        <v>0</v>
      </c>
      <c r="P1114" s="63">
        <f t="shared" si="138"/>
        <v>0</v>
      </c>
      <c r="Q1114" s="561">
        <f t="shared" si="125"/>
        <v>0</v>
      </c>
      <c r="R1114" s="174"/>
      <c r="T1114" s="82"/>
      <c r="U1114" s="82"/>
      <c r="V1114" s="82"/>
      <c r="W1114" s="82"/>
      <c r="X1114" s="82"/>
      <c r="Y1114" s="82"/>
      <c r="Z1114" s="82"/>
      <c r="AA1114" s="82"/>
      <c r="AB1114" s="82"/>
    </row>
    <row r="1115" spans="1:28" s="85" customFormat="1" x14ac:dyDescent="0.25">
      <c r="A1115" s="82"/>
      <c r="B1115" s="82"/>
      <c r="C1115" s="82"/>
      <c r="D1115" s="729"/>
      <c r="E1115" s="371" t="s">
        <v>49</v>
      </c>
      <c r="F1115" s="372">
        <v>12</v>
      </c>
      <c r="G1115" s="373">
        <f>2*18</f>
        <v>36</v>
      </c>
      <c r="H1115" s="374">
        <v>5</v>
      </c>
      <c r="I1115" s="375">
        <v>0.24</v>
      </c>
      <c r="J1115" s="376">
        <f t="shared" si="124"/>
        <v>8.64</v>
      </c>
      <c r="K1115" s="66">
        <f t="shared" si="133"/>
        <v>1.33056</v>
      </c>
      <c r="L1115" s="63">
        <f t="shared" si="134"/>
        <v>0</v>
      </c>
      <c r="M1115" s="63">
        <f t="shared" si="135"/>
        <v>0</v>
      </c>
      <c r="N1115" s="63">
        <f t="shared" si="136"/>
        <v>0</v>
      </c>
      <c r="O1115" s="63">
        <f t="shared" si="137"/>
        <v>0</v>
      </c>
      <c r="P1115" s="63">
        <f t="shared" si="138"/>
        <v>0</v>
      </c>
      <c r="Q1115" s="561">
        <f t="shared" si="125"/>
        <v>0</v>
      </c>
      <c r="R1115" s="174"/>
      <c r="T1115" s="82"/>
      <c r="U1115" s="82"/>
      <c r="V1115" s="82"/>
      <c r="W1115" s="82"/>
      <c r="X1115" s="82"/>
      <c r="Y1115" s="82"/>
      <c r="Z1115" s="82"/>
      <c r="AA1115" s="82"/>
      <c r="AB1115" s="82"/>
    </row>
    <row r="1116" spans="1:28" s="85" customFormat="1" x14ac:dyDescent="0.25">
      <c r="A1116" s="82"/>
      <c r="B1116" s="82"/>
      <c r="C1116" s="82"/>
      <c r="D1116" s="729"/>
      <c r="E1116" s="371" t="s">
        <v>49</v>
      </c>
      <c r="F1116" s="372">
        <v>18</v>
      </c>
      <c r="G1116" s="373">
        <f>2*8</f>
        <v>16</v>
      </c>
      <c r="H1116" s="374">
        <v>10</v>
      </c>
      <c r="I1116" s="375">
        <v>1.37</v>
      </c>
      <c r="J1116" s="376">
        <f t="shared" si="124"/>
        <v>21.92</v>
      </c>
      <c r="K1116" s="66">
        <f t="shared" si="133"/>
        <v>0</v>
      </c>
      <c r="L1116" s="63">
        <f t="shared" si="134"/>
        <v>0</v>
      </c>
      <c r="M1116" s="63">
        <f t="shared" si="135"/>
        <v>0</v>
      </c>
      <c r="N1116" s="63">
        <f t="shared" si="136"/>
        <v>13.524640000000002</v>
      </c>
      <c r="O1116" s="63">
        <f t="shared" si="137"/>
        <v>0</v>
      </c>
      <c r="P1116" s="63">
        <f t="shared" si="138"/>
        <v>0</v>
      </c>
      <c r="Q1116" s="561">
        <f t="shared" si="125"/>
        <v>0</v>
      </c>
      <c r="R1116" s="174"/>
      <c r="T1116" s="82"/>
      <c r="U1116" s="82"/>
      <c r="V1116" s="82"/>
      <c r="W1116" s="82"/>
      <c r="X1116" s="82"/>
      <c r="Y1116" s="82"/>
      <c r="Z1116" s="82"/>
      <c r="AA1116" s="82"/>
      <c r="AB1116" s="82"/>
    </row>
    <row r="1117" spans="1:28" s="85" customFormat="1" x14ac:dyDescent="0.25">
      <c r="A1117" s="82"/>
      <c r="B1117" s="82"/>
      <c r="C1117" s="82"/>
      <c r="D1117" s="729"/>
      <c r="E1117" s="371" t="s">
        <v>113</v>
      </c>
      <c r="F1117" s="372">
        <v>7</v>
      </c>
      <c r="G1117" s="373">
        <f>2*25</f>
        <v>50</v>
      </c>
      <c r="H1117" s="374">
        <v>5</v>
      </c>
      <c r="I1117" s="375">
        <v>0.97</v>
      </c>
      <c r="J1117" s="376">
        <f t="shared" si="124"/>
        <v>48.5</v>
      </c>
      <c r="K1117" s="66">
        <f t="shared" si="133"/>
        <v>7.4690000000000003</v>
      </c>
      <c r="L1117" s="63">
        <f t="shared" si="134"/>
        <v>0</v>
      </c>
      <c r="M1117" s="63">
        <f t="shared" si="135"/>
        <v>0</v>
      </c>
      <c r="N1117" s="63">
        <f t="shared" si="136"/>
        <v>0</v>
      </c>
      <c r="O1117" s="63">
        <f t="shared" si="137"/>
        <v>0</v>
      </c>
      <c r="P1117" s="63">
        <f t="shared" si="138"/>
        <v>0</v>
      </c>
      <c r="Q1117" s="561">
        <f t="shared" si="125"/>
        <v>0</v>
      </c>
      <c r="R1117" s="174"/>
      <c r="T1117" s="82"/>
      <c r="U1117" s="82"/>
      <c r="V1117" s="82"/>
      <c r="W1117" s="82"/>
      <c r="X1117" s="82"/>
      <c r="Y1117" s="82"/>
      <c r="Z1117" s="82"/>
      <c r="AA1117" s="82"/>
      <c r="AB1117" s="82"/>
    </row>
    <row r="1118" spans="1:28" s="85" customFormat="1" x14ac:dyDescent="0.25">
      <c r="A1118" s="82"/>
      <c r="B1118" s="82"/>
      <c r="C1118" s="82"/>
      <c r="D1118" s="729"/>
      <c r="E1118" s="371" t="s">
        <v>113</v>
      </c>
      <c r="F1118" s="372">
        <v>8</v>
      </c>
      <c r="G1118" s="373">
        <f>2*10</f>
        <v>20</v>
      </c>
      <c r="H1118" s="374">
        <v>5</v>
      </c>
      <c r="I1118" s="375">
        <v>0.64</v>
      </c>
      <c r="J1118" s="376">
        <f t="shared" si="124"/>
        <v>12.8</v>
      </c>
      <c r="K1118" s="66">
        <f t="shared" si="133"/>
        <v>1.9712000000000001</v>
      </c>
      <c r="L1118" s="63">
        <f t="shared" si="134"/>
        <v>0</v>
      </c>
      <c r="M1118" s="63">
        <f t="shared" si="135"/>
        <v>0</v>
      </c>
      <c r="N1118" s="63">
        <f t="shared" si="136"/>
        <v>0</v>
      </c>
      <c r="O1118" s="63">
        <f t="shared" si="137"/>
        <v>0</v>
      </c>
      <c r="P1118" s="63">
        <f t="shared" si="138"/>
        <v>0</v>
      </c>
      <c r="Q1118" s="561">
        <f t="shared" si="125"/>
        <v>0</v>
      </c>
      <c r="R1118" s="174"/>
      <c r="T1118" s="82"/>
      <c r="U1118" s="82"/>
      <c r="V1118" s="82"/>
      <c r="W1118" s="82"/>
      <c r="X1118" s="82"/>
      <c r="Y1118" s="82"/>
      <c r="Z1118" s="82"/>
      <c r="AA1118" s="82"/>
      <c r="AB1118" s="82"/>
    </row>
    <row r="1119" spans="1:28" s="85" customFormat="1" x14ac:dyDescent="0.25">
      <c r="A1119" s="82"/>
      <c r="B1119" s="82"/>
      <c r="C1119" s="82"/>
      <c r="D1119" s="729"/>
      <c r="E1119" s="371" t="s">
        <v>113</v>
      </c>
      <c r="F1119" s="372">
        <v>19</v>
      </c>
      <c r="G1119" s="373">
        <f>2*60</f>
        <v>120</v>
      </c>
      <c r="H1119" s="374">
        <v>5</v>
      </c>
      <c r="I1119" s="375">
        <v>0.24</v>
      </c>
      <c r="J1119" s="376">
        <f t="shared" si="124"/>
        <v>28.799999999999997</v>
      </c>
      <c r="K1119" s="66">
        <f t="shared" si="133"/>
        <v>4.4351999999999991</v>
      </c>
      <c r="L1119" s="63">
        <f t="shared" si="134"/>
        <v>0</v>
      </c>
      <c r="M1119" s="63">
        <f t="shared" si="135"/>
        <v>0</v>
      </c>
      <c r="N1119" s="63">
        <f t="shared" si="136"/>
        <v>0</v>
      </c>
      <c r="O1119" s="63">
        <f t="shared" si="137"/>
        <v>0</v>
      </c>
      <c r="P1119" s="63">
        <f t="shared" si="138"/>
        <v>0</v>
      </c>
      <c r="Q1119" s="561">
        <f t="shared" si="125"/>
        <v>0</v>
      </c>
      <c r="R1119" s="174"/>
      <c r="T1119" s="82"/>
      <c r="U1119" s="82"/>
      <c r="V1119" s="82"/>
      <c r="W1119" s="82"/>
      <c r="X1119" s="82"/>
      <c r="Y1119" s="82"/>
      <c r="Z1119" s="82"/>
      <c r="AA1119" s="82"/>
      <c r="AB1119" s="82"/>
    </row>
    <row r="1120" spans="1:28" s="85" customFormat="1" ht="13.8" thickBot="1" x14ac:dyDescent="0.3">
      <c r="A1120" s="82"/>
      <c r="B1120" s="82"/>
      <c r="C1120" s="82"/>
      <c r="D1120" s="729"/>
      <c r="E1120" s="371" t="s">
        <v>113</v>
      </c>
      <c r="F1120" s="372">
        <v>26</v>
      </c>
      <c r="G1120" s="373">
        <f>2*8</f>
        <v>16</v>
      </c>
      <c r="H1120" s="374">
        <v>10</v>
      </c>
      <c r="I1120" s="375">
        <v>3.42</v>
      </c>
      <c r="J1120" s="376">
        <f t="shared" si="124"/>
        <v>54.72</v>
      </c>
      <c r="K1120" s="66">
        <f t="shared" si="133"/>
        <v>0</v>
      </c>
      <c r="L1120" s="63">
        <f t="shared" si="134"/>
        <v>0</v>
      </c>
      <c r="M1120" s="63">
        <f t="shared" si="135"/>
        <v>0</v>
      </c>
      <c r="N1120" s="63">
        <f t="shared" si="136"/>
        <v>33.762239999999998</v>
      </c>
      <c r="O1120" s="63">
        <f t="shared" si="137"/>
        <v>0</v>
      </c>
      <c r="P1120" s="63">
        <f t="shared" si="138"/>
        <v>0</v>
      </c>
      <c r="Q1120" s="561">
        <f t="shared" si="125"/>
        <v>0</v>
      </c>
      <c r="R1120" s="174"/>
      <c r="T1120" s="82"/>
      <c r="U1120" s="82"/>
      <c r="V1120" s="82"/>
      <c r="W1120" s="82"/>
      <c r="X1120" s="82"/>
      <c r="Y1120" s="82"/>
      <c r="Z1120" s="82"/>
      <c r="AA1120" s="82"/>
      <c r="AB1120" s="82"/>
    </row>
    <row r="1121" spans="1:28" s="85" customFormat="1" ht="13.8" thickTop="1" x14ac:dyDescent="0.25">
      <c r="A1121" s="82"/>
      <c r="B1121" s="82"/>
      <c r="C1121" s="82"/>
      <c r="D1121" s="728" t="s">
        <v>1709</v>
      </c>
      <c r="E1121" s="384" t="s">
        <v>49</v>
      </c>
      <c r="F1121" s="385">
        <v>10</v>
      </c>
      <c r="G1121" s="386">
        <f>2*18</f>
        <v>36</v>
      </c>
      <c r="H1121" s="387">
        <v>5</v>
      </c>
      <c r="I1121" s="388">
        <v>0.28999999999999998</v>
      </c>
      <c r="J1121" s="389">
        <f t="shared" si="124"/>
        <v>10.44</v>
      </c>
      <c r="K1121" s="218">
        <f t="shared" si="133"/>
        <v>1.6077599999999999</v>
      </c>
      <c r="L1121" s="219">
        <f t="shared" si="134"/>
        <v>0</v>
      </c>
      <c r="M1121" s="219">
        <f t="shared" si="135"/>
        <v>0</v>
      </c>
      <c r="N1121" s="219">
        <f t="shared" si="136"/>
        <v>0</v>
      </c>
      <c r="O1121" s="219">
        <f t="shared" si="137"/>
        <v>0</v>
      </c>
      <c r="P1121" s="219">
        <f t="shared" si="138"/>
        <v>0</v>
      </c>
      <c r="Q1121" s="563">
        <f t="shared" si="125"/>
        <v>0</v>
      </c>
      <c r="R1121" s="220"/>
      <c r="T1121" s="82"/>
      <c r="U1121" s="82"/>
      <c r="V1121" s="82"/>
      <c r="W1121" s="82"/>
      <c r="X1121" s="82"/>
      <c r="Y1121" s="82"/>
      <c r="Z1121" s="82"/>
      <c r="AA1121" s="82"/>
      <c r="AB1121" s="82"/>
    </row>
    <row r="1122" spans="1:28" s="85" customFormat="1" x14ac:dyDescent="0.25">
      <c r="A1122" s="82"/>
      <c r="B1122" s="82"/>
      <c r="C1122" s="82"/>
      <c r="D1122" s="729"/>
      <c r="E1122" s="371" t="s">
        <v>49</v>
      </c>
      <c r="F1122" s="372">
        <v>11</v>
      </c>
      <c r="G1122" s="373">
        <f>2*8</f>
        <v>16</v>
      </c>
      <c r="H1122" s="374">
        <v>5</v>
      </c>
      <c r="I1122" s="375">
        <v>0.94</v>
      </c>
      <c r="J1122" s="376">
        <f t="shared" si="124"/>
        <v>15.04</v>
      </c>
      <c r="K1122" s="66">
        <f t="shared" si="133"/>
        <v>2.31616</v>
      </c>
      <c r="L1122" s="63">
        <f t="shared" si="134"/>
        <v>0</v>
      </c>
      <c r="M1122" s="63">
        <f t="shared" si="135"/>
        <v>0</v>
      </c>
      <c r="N1122" s="63">
        <f t="shared" si="136"/>
        <v>0</v>
      </c>
      <c r="O1122" s="63">
        <f t="shared" si="137"/>
        <v>0</v>
      </c>
      <c r="P1122" s="63">
        <f t="shared" si="138"/>
        <v>0</v>
      </c>
      <c r="Q1122" s="561">
        <f t="shared" si="125"/>
        <v>0</v>
      </c>
      <c r="R1122" s="174"/>
      <c r="T1122" s="82"/>
      <c r="U1122" s="82"/>
      <c r="V1122" s="82"/>
      <c r="W1122" s="82"/>
      <c r="X1122" s="82"/>
      <c r="Y1122" s="82"/>
      <c r="Z1122" s="82"/>
      <c r="AA1122" s="82"/>
      <c r="AB1122" s="82"/>
    </row>
    <row r="1123" spans="1:28" s="85" customFormat="1" x14ac:dyDescent="0.25">
      <c r="A1123" s="82"/>
      <c r="B1123" s="82"/>
      <c r="C1123" s="82"/>
      <c r="D1123" s="729"/>
      <c r="E1123" s="371" t="s">
        <v>49</v>
      </c>
      <c r="F1123" s="372">
        <v>15</v>
      </c>
      <c r="G1123" s="373">
        <f>2*5</f>
        <v>10</v>
      </c>
      <c r="H1123" s="374">
        <v>5</v>
      </c>
      <c r="I1123" s="375">
        <v>1.47</v>
      </c>
      <c r="J1123" s="376">
        <f t="shared" si="124"/>
        <v>14.7</v>
      </c>
      <c r="K1123" s="66">
        <f t="shared" si="133"/>
        <v>2.2637999999999998</v>
      </c>
      <c r="L1123" s="63">
        <f t="shared" si="134"/>
        <v>0</v>
      </c>
      <c r="M1123" s="63">
        <f t="shared" si="135"/>
        <v>0</v>
      </c>
      <c r="N1123" s="63">
        <f t="shared" si="136"/>
        <v>0</v>
      </c>
      <c r="O1123" s="63">
        <f t="shared" si="137"/>
        <v>0</v>
      </c>
      <c r="P1123" s="63">
        <f t="shared" si="138"/>
        <v>0</v>
      </c>
      <c r="Q1123" s="561">
        <f t="shared" si="125"/>
        <v>0</v>
      </c>
      <c r="R1123" s="174"/>
      <c r="T1123" s="82"/>
      <c r="U1123" s="82"/>
      <c r="V1123" s="82"/>
      <c r="W1123" s="82"/>
      <c r="X1123" s="82"/>
      <c r="Y1123" s="82"/>
      <c r="Z1123" s="82"/>
      <c r="AA1123" s="82"/>
      <c r="AB1123" s="82"/>
    </row>
    <row r="1124" spans="1:28" s="85" customFormat="1" x14ac:dyDescent="0.25">
      <c r="A1124" s="82"/>
      <c r="B1124" s="82"/>
      <c r="C1124" s="82"/>
      <c r="D1124" s="729"/>
      <c r="E1124" s="371" t="s">
        <v>49</v>
      </c>
      <c r="F1124" s="372">
        <v>18</v>
      </c>
      <c r="G1124" s="373">
        <f>2*8</f>
        <v>16</v>
      </c>
      <c r="H1124" s="374">
        <v>10</v>
      </c>
      <c r="I1124" s="375">
        <v>1.37</v>
      </c>
      <c r="J1124" s="376">
        <f t="shared" si="124"/>
        <v>21.92</v>
      </c>
      <c r="K1124" s="66">
        <f t="shared" si="133"/>
        <v>0</v>
      </c>
      <c r="L1124" s="63">
        <f t="shared" si="134"/>
        <v>0</v>
      </c>
      <c r="M1124" s="63">
        <f t="shared" si="135"/>
        <v>0</v>
      </c>
      <c r="N1124" s="63">
        <f t="shared" si="136"/>
        <v>13.524640000000002</v>
      </c>
      <c r="O1124" s="63">
        <f t="shared" si="137"/>
        <v>0</v>
      </c>
      <c r="P1124" s="63">
        <f t="shared" si="138"/>
        <v>0</v>
      </c>
      <c r="Q1124" s="561">
        <f t="shared" si="125"/>
        <v>0</v>
      </c>
      <c r="R1124" s="174"/>
      <c r="T1124" s="82"/>
      <c r="U1124" s="82"/>
      <c r="V1124" s="82"/>
      <c r="W1124" s="82"/>
      <c r="X1124" s="82"/>
      <c r="Y1124" s="82"/>
      <c r="Z1124" s="82"/>
      <c r="AA1124" s="82"/>
      <c r="AB1124" s="82"/>
    </row>
    <row r="1125" spans="1:28" s="85" customFormat="1" x14ac:dyDescent="0.25">
      <c r="A1125" s="82"/>
      <c r="B1125" s="82"/>
      <c r="C1125" s="82"/>
      <c r="D1125" s="729"/>
      <c r="E1125" s="371" t="s">
        <v>113</v>
      </c>
      <c r="F1125" s="372">
        <v>1</v>
      </c>
      <c r="G1125" s="373">
        <f>2*60</f>
        <v>120</v>
      </c>
      <c r="H1125" s="374">
        <v>5</v>
      </c>
      <c r="I1125" s="375">
        <v>0.28999999999999998</v>
      </c>
      <c r="J1125" s="376">
        <f t="shared" si="124"/>
        <v>34.799999999999997</v>
      </c>
      <c r="K1125" s="66">
        <f t="shared" si="133"/>
        <v>5.3591999999999995</v>
      </c>
      <c r="L1125" s="63">
        <f t="shared" si="134"/>
        <v>0</v>
      </c>
      <c r="M1125" s="63">
        <f t="shared" si="135"/>
        <v>0</v>
      </c>
      <c r="N1125" s="63">
        <f t="shared" si="136"/>
        <v>0</v>
      </c>
      <c r="O1125" s="63">
        <f t="shared" si="137"/>
        <v>0</v>
      </c>
      <c r="P1125" s="63">
        <f t="shared" si="138"/>
        <v>0</v>
      </c>
      <c r="Q1125" s="561">
        <f t="shared" si="125"/>
        <v>0</v>
      </c>
      <c r="R1125" s="174"/>
      <c r="T1125" s="82"/>
      <c r="U1125" s="82"/>
      <c r="V1125" s="82"/>
      <c r="W1125" s="82"/>
      <c r="X1125" s="82"/>
      <c r="Y1125" s="82"/>
      <c r="Z1125" s="82"/>
      <c r="AA1125" s="82"/>
      <c r="AB1125" s="82"/>
    </row>
    <row r="1126" spans="1:28" s="85" customFormat="1" x14ac:dyDescent="0.25">
      <c r="A1126" s="82"/>
      <c r="B1126" s="82"/>
      <c r="C1126" s="82"/>
      <c r="D1126" s="729"/>
      <c r="E1126" s="371" t="s">
        <v>113</v>
      </c>
      <c r="F1126" s="372">
        <v>2</v>
      </c>
      <c r="G1126" s="373">
        <f>2*25</f>
        <v>50</v>
      </c>
      <c r="H1126" s="374">
        <v>5</v>
      </c>
      <c r="I1126" s="375">
        <v>1.47</v>
      </c>
      <c r="J1126" s="376">
        <f t="shared" si="124"/>
        <v>73.5</v>
      </c>
      <c r="K1126" s="66">
        <f t="shared" si="133"/>
        <v>11.318999999999999</v>
      </c>
      <c r="L1126" s="63">
        <f t="shared" si="134"/>
        <v>0</v>
      </c>
      <c r="M1126" s="63">
        <f t="shared" si="135"/>
        <v>0</v>
      </c>
      <c r="N1126" s="63">
        <f t="shared" si="136"/>
        <v>0</v>
      </c>
      <c r="O1126" s="63">
        <f t="shared" si="137"/>
        <v>0</v>
      </c>
      <c r="P1126" s="63">
        <f t="shared" si="138"/>
        <v>0</v>
      </c>
      <c r="Q1126" s="561">
        <f t="shared" si="125"/>
        <v>0</v>
      </c>
      <c r="R1126" s="174"/>
      <c r="T1126" s="82"/>
      <c r="U1126" s="82"/>
      <c r="V1126" s="82"/>
      <c r="W1126" s="82"/>
      <c r="X1126" s="82"/>
      <c r="Y1126" s="82"/>
      <c r="Z1126" s="82"/>
      <c r="AA1126" s="82"/>
      <c r="AB1126" s="82"/>
    </row>
    <row r="1127" spans="1:28" s="85" customFormat="1" x14ac:dyDescent="0.25">
      <c r="A1127" s="82"/>
      <c r="B1127" s="82"/>
      <c r="C1127" s="82"/>
      <c r="D1127" s="729"/>
      <c r="E1127" s="371" t="s">
        <v>113</v>
      </c>
      <c r="F1127" s="372">
        <v>3</v>
      </c>
      <c r="G1127" s="373">
        <f>2*10</f>
        <v>20</v>
      </c>
      <c r="H1127" s="374">
        <v>5</v>
      </c>
      <c r="I1127" s="375">
        <v>0.94</v>
      </c>
      <c r="J1127" s="376">
        <f t="shared" si="124"/>
        <v>18.799999999999997</v>
      </c>
      <c r="K1127" s="66">
        <f t="shared" si="133"/>
        <v>2.8951999999999996</v>
      </c>
      <c r="L1127" s="63">
        <f t="shared" si="134"/>
        <v>0</v>
      </c>
      <c r="M1127" s="63">
        <f t="shared" si="135"/>
        <v>0</v>
      </c>
      <c r="N1127" s="63">
        <f t="shared" si="136"/>
        <v>0</v>
      </c>
      <c r="O1127" s="63">
        <f t="shared" si="137"/>
        <v>0</v>
      </c>
      <c r="P1127" s="63">
        <f t="shared" si="138"/>
        <v>0</v>
      </c>
      <c r="Q1127" s="561">
        <f t="shared" si="125"/>
        <v>0</v>
      </c>
      <c r="R1127" s="174"/>
      <c r="T1127" s="82"/>
      <c r="U1127" s="82"/>
      <c r="V1127" s="82"/>
      <c r="W1127" s="82"/>
      <c r="X1127" s="82"/>
      <c r="Y1127" s="82"/>
      <c r="Z1127" s="82"/>
      <c r="AA1127" s="82"/>
      <c r="AB1127" s="82"/>
    </row>
    <row r="1128" spans="1:28" s="85" customFormat="1" ht="13.8" thickBot="1" x14ac:dyDescent="0.3">
      <c r="A1128" s="82"/>
      <c r="B1128" s="82"/>
      <c r="C1128" s="82"/>
      <c r="D1128" s="729"/>
      <c r="E1128" s="371" t="s">
        <v>113</v>
      </c>
      <c r="F1128" s="372">
        <v>24</v>
      </c>
      <c r="G1128" s="373">
        <f>2*8</f>
        <v>16</v>
      </c>
      <c r="H1128" s="374">
        <v>10</v>
      </c>
      <c r="I1128" s="375">
        <v>3.42</v>
      </c>
      <c r="J1128" s="376">
        <f t="shared" si="124"/>
        <v>54.72</v>
      </c>
      <c r="K1128" s="66">
        <f t="shared" si="133"/>
        <v>0</v>
      </c>
      <c r="L1128" s="63">
        <f t="shared" si="134"/>
        <v>0</v>
      </c>
      <c r="M1128" s="63">
        <f t="shared" si="135"/>
        <v>0</v>
      </c>
      <c r="N1128" s="63">
        <f t="shared" si="136"/>
        <v>33.762239999999998</v>
      </c>
      <c r="O1128" s="63">
        <f t="shared" si="137"/>
        <v>0</v>
      </c>
      <c r="P1128" s="63">
        <f t="shared" si="138"/>
        <v>0</v>
      </c>
      <c r="Q1128" s="561">
        <f t="shared" si="125"/>
        <v>0</v>
      </c>
      <c r="R1128" s="174"/>
      <c r="T1128" s="82"/>
      <c r="U1128" s="82"/>
      <c r="V1128" s="82"/>
      <c r="W1128" s="82"/>
      <c r="X1128" s="82"/>
      <c r="Y1128" s="82"/>
      <c r="Z1128" s="82"/>
      <c r="AA1128" s="82"/>
      <c r="AB1128" s="82"/>
    </row>
    <row r="1129" spans="1:28" s="85" customFormat="1" ht="13.8" thickTop="1" x14ac:dyDescent="0.25">
      <c r="A1129" s="82"/>
      <c r="B1129" s="82"/>
      <c r="C1129" s="82"/>
      <c r="D1129" s="728" t="s">
        <v>1710</v>
      </c>
      <c r="E1129" s="384" t="s">
        <v>49</v>
      </c>
      <c r="F1129" s="385">
        <v>1</v>
      </c>
      <c r="G1129" s="386">
        <v>22</v>
      </c>
      <c r="H1129" s="387">
        <v>5</v>
      </c>
      <c r="I1129" s="388">
        <v>0.24</v>
      </c>
      <c r="J1129" s="389">
        <f t="shared" si="124"/>
        <v>5.2799999999999994</v>
      </c>
      <c r="K1129" s="218">
        <f t="shared" ref="K1129:K1181" si="139">IF($H1129=5,$J1129*$B$21,0)</f>
        <v>0.81311999999999984</v>
      </c>
      <c r="L1129" s="219">
        <f t="shared" ref="L1129:L1181" si="140">IF($H1129=6.3,$J1129*$B$22,0)</f>
        <v>0</v>
      </c>
      <c r="M1129" s="219">
        <f t="shared" ref="M1129:M1181" si="141">IF($H1129=8,$J1129*$B$23,0)</f>
        <v>0</v>
      </c>
      <c r="N1129" s="219">
        <f t="shared" ref="N1129:N1181" si="142">IF($H1129=10,$J1129*$B$24,0)</f>
        <v>0</v>
      </c>
      <c r="O1129" s="219">
        <f t="shared" ref="O1129:O1181" si="143">IF($H1129=12.5,$J1129*$B$26,0)</f>
        <v>0</v>
      </c>
      <c r="P1129" s="219">
        <f t="shared" ref="P1129:P1181" si="144">IF($H1129=16,$J1129*$B$27,0)</f>
        <v>0</v>
      </c>
      <c r="Q1129" s="563">
        <f t="shared" ref="Q1129:Q1396" si="145">IF($H1129=20,$J1129*$B$28,0)</f>
        <v>0</v>
      </c>
      <c r="R1129" s="220"/>
      <c r="T1129" s="82"/>
      <c r="U1129" s="82"/>
      <c r="V1129" s="82"/>
      <c r="W1129" s="82"/>
      <c r="X1129" s="82"/>
      <c r="Y1129" s="82"/>
      <c r="Z1129" s="82"/>
      <c r="AA1129" s="82"/>
      <c r="AB1129" s="82"/>
    </row>
    <row r="1130" spans="1:28" s="85" customFormat="1" x14ac:dyDescent="0.25">
      <c r="A1130" s="82"/>
      <c r="B1130" s="82"/>
      <c r="C1130" s="82"/>
      <c r="D1130" s="729"/>
      <c r="E1130" s="371" t="s">
        <v>49</v>
      </c>
      <c r="F1130" s="372">
        <v>2</v>
      </c>
      <c r="G1130" s="373">
        <v>6</v>
      </c>
      <c r="H1130" s="374">
        <v>5</v>
      </c>
      <c r="I1130" s="375">
        <v>0.97</v>
      </c>
      <c r="J1130" s="376">
        <f t="shared" si="124"/>
        <v>5.82</v>
      </c>
      <c r="K1130" s="66">
        <f t="shared" si="139"/>
        <v>0.89628000000000008</v>
      </c>
      <c r="L1130" s="63">
        <f t="shared" si="140"/>
        <v>0</v>
      </c>
      <c r="M1130" s="63">
        <f t="shared" si="141"/>
        <v>0</v>
      </c>
      <c r="N1130" s="63">
        <f t="shared" si="142"/>
        <v>0</v>
      </c>
      <c r="O1130" s="63">
        <f t="shared" si="143"/>
        <v>0</v>
      </c>
      <c r="P1130" s="63">
        <f t="shared" si="144"/>
        <v>0</v>
      </c>
      <c r="Q1130" s="561">
        <f t="shared" si="145"/>
        <v>0</v>
      </c>
      <c r="R1130" s="174"/>
      <c r="T1130" s="82"/>
      <c r="U1130" s="82"/>
      <c r="V1130" s="82"/>
      <c r="W1130" s="82"/>
      <c r="X1130" s="82"/>
      <c r="Y1130" s="82"/>
      <c r="Z1130" s="82"/>
      <c r="AA1130" s="82"/>
      <c r="AB1130" s="82"/>
    </row>
    <row r="1131" spans="1:28" s="85" customFormat="1" x14ac:dyDescent="0.25">
      <c r="A1131" s="82"/>
      <c r="B1131" s="82"/>
      <c r="C1131" s="82"/>
      <c r="D1131" s="729"/>
      <c r="E1131" s="371" t="s">
        <v>49</v>
      </c>
      <c r="F1131" s="372">
        <v>3</v>
      </c>
      <c r="G1131" s="373">
        <v>10</v>
      </c>
      <c r="H1131" s="374">
        <v>5</v>
      </c>
      <c r="I1131" s="375">
        <v>0.64</v>
      </c>
      <c r="J1131" s="376">
        <f t="shared" si="124"/>
        <v>6.4</v>
      </c>
      <c r="K1131" s="66">
        <f t="shared" si="139"/>
        <v>0.98560000000000003</v>
      </c>
      <c r="L1131" s="63">
        <f t="shared" si="140"/>
        <v>0</v>
      </c>
      <c r="M1131" s="63">
        <f t="shared" si="141"/>
        <v>0</v>
      </c>
      <c r="N1131" s="63">
        <f t="shared" si="142"/>
        <v>0</v>
      </c>
      <c r="O1131" s="63">
        <f t="shared" si="143"/>
        <v>0</v>
      </c>
      <c r="P1131" s="63">
        <f t="shared" si="144"/>
        <v>0</v>
      </c>
      <c r="Q1131" s="561">
        <f t="shared" si="145"/>
        <v>0</v>
      </c>
      <c r="R1131" s="174"/>
      <c r="T1131" s="82"/>
      <c r="U1131" s="82"/>
      <c r="V1131" s="82"/>
      <c r="W1131" s="82"/>
      <c r="X1131" s="82"/>
      <c r="Y1131" s="82"/>
      <c r="Z1131" s="82"/>
      <c r="AA1131" s="82"/>
      <c r="AB1131" s="82"/>
    </row>
    <row r="1132" spans="1:28" s="85" customFormat="1" x14ac:dyDescent="0.25">
      <c r="A1132" s="82"/>
      <c r="B1132" s="82"/>
      <c r="C1132" s="82"/>
      <c r="D1132" s="729"/>
      <c r="E1132" s="371" t="s">
        <v>49</v>
      </c>
      <c r="F1132" s="372">
        <v>19</v>
      </c>
      <c r="G1132" s="373">
        <v>8</v>
      </c>
      <c r="H1132" s="374">
        <v>12.5</v>
      </c>
      <c r="I1132" s="375">
        <v>1.45</v>
      </c>
      <c r="J1132" s="376">
        <f t="shared" si="124"/>
        <v>11.6</v>
      </c>
      <c r="K1132" s="66">
        <f t="shared" si="139"/>
        <v>0</v>
      </c>
      <c r="L1132" s="63">
        <f t="shared" si="140"/>
        <v>0</v>
      </c>
      <c r="M1132" s="63">
        <f t="shared" si="141"/>
        <v>0</v>
      </c>
      <c r="N1132" s="63">
        <f t="shared" si="142"/>
        <v>0</v>
      </c>
      <c r="O1132" s="63">
        <f t="shared" si="143"/>
        <v>11.1708</v>
      </c>
      <c r="P1132" s="63">
        <f t="shared" si="144"/>
        <v>0</v>
      </c>
      <c r="Q1132" s="561">
        <f t="shared" si="145"/>
        <v>0</v>
      </c>
      <c r="R1132" s="174"/>
      <c r="T1132" s="82"/>
      <c r="U1132" s="82"/>
      <c r="V1132" s="82"/>
      <c r="W1132" s="82"/>
      <c r="X1132" s="82"/>
      <c r="Y1132" s="82"/>
      <c r="Z1132" s="82"/>
      <c r="AA1132" s="82"/>
      <c r="AB1132" s="82"/>
    </row>
    <row r="1133" spans="1:28" s="85" customFormat="1" x14ac:dyDescent="0.25">
      <c r="A1133" s="82"/>
      <c r="B1133" s="82"/>
      <c r="C1133" s="82"/>
      <c r="D1133" s="729"/>
      <c r="E1133" s="371" t="s">
        <v>113</v>
      </c>
      <c r="F1133" s="372">
        <v>1</v>
      </c>
      <c r="G1133" s="373">
        <v>48</v>
      </c>
      <c r="H1133" s="374">
        <v>5</v>
      </c>
      <c r="I1133" s="375">
        <v>0.24</v>
      </c>
      <c r="J1133" s="376">
        <f t="shared" si="124"/>
        <v>11.52</v>
      </c>
      <c r="K1133" s="66">
        <f t="shared" si="139"/>
        <v>1.7740799999999999</v>
      </c>
      <c r="L1133" s="63">
        <f t="shared" si="140"/>
        <v>0</v>
      </c>
      <c r="M1133" s="63">
        <f t="shared" si="141"/>
        <v>0</v>
      </c>
      <c r="N1133" s="63">
        <f t="shared" si="142"/>
        <v>0</v>
      </c>
      <c r="O1133" s="63">
        <f t="shared" si="143"/>
        <v>0</v>
      </c>
      <c r="P1133" s="63">
        <f t="shared" si="144"/>
        <v>0</v>
      </c>
      <c r="Q1133" s="561">
        <f t="shared" si="145"/>
        <v>0</v>
      </c>
      <c r="R1133" s="174"/>
      <c r="T1133" s="82"/>
      <c r="U1133" s="82"/>
      <c r="V1133" s="82"/>
      <c r="W1133" s="82"/>
      <c r="X1133" s="82"/>
      <c r="Y1133" s="82"/>
      <c r="Z1133" s="82"/>
      <c r="AA1133" s="82"/>
      <c r="AB1133" s="82"/>
    </row>
    <row r="1134" spans="1:28" s="85" customFormat="1" x14ac:dyDescent="0.25">
      <c r="A1134" s="82"/>
      <c r="B1134" s="82"/>
      <c r="C1134" s="82"/>
      <c r="D1134" s="729"/>
      <c r="E1134" s="371" t="s">
        <v>113</v>
      </c>
      <c r="F1134" s="372">
        <v>7</v>
      </c>
      <c r="G1134" s="373">
        <v>20</v>
      </c>
      <c r="H1134" s="374">
        <v>5</v>
      </c>
      <c r="I1134" s="375">
        <v>0.97</v>
      </c>
      <c r="J1134" s="376">
        <f t="shared" si="124"/>
        <v>19.399999999999999</v>
      </c>
      <c r="K1134" s="66">
        <f t="shared" si="139"/>
        <v>2.9875999999999996</v>
      </c>
      <c r="L1134" s="63">
        <f t="shared" si="140"/>
        <v>0</v>
      </c>
      <c r="M1134" s="63">
        <f t="shared" si="141"/>
        <v>0</v>
      </c>
      <c r="N1134" s="63">
        <f t="shared" si="142"/>
        <v>0</v>
      </c>
      <c r="O1134" s="63">
        <f t="shared" si="143"/>
        <v>0</v>
      </c>
      <c r="P1134" s="63">
        <f t="shared" si="144"/>
        <v>0</v>
      </c>
      <c r="Q1134" s="561">
        <f t="shared" si="145"/>
        <v>0</v>
      </c>
      <c r="R1134" s="174"/>
      <c r="T1134" s="82"/>
      <c r="U1134" s="82"/>
      <c r="V1134" s="82"/>
      <c r="W1134" s="82"/>
      <c r="X1134" s="82"/>
      <c r="Y1134" s="82"/>
      <c r="Z1134" s="82"/>
      <c r="AA1134" s="82"/>
      <c r="AB1134" s="82"/>
    </row>
    <row r="1135" spans="1:28" s="85" customFormat="1" x14ac:dyDescent="0.25">
      <c r="A1135" s="82"/>
      <c r="B1135" s="82"/>
      <c r="C1135" s="82"/>
      <c r="D1135" s="729"/>
      <c r="E1135" s="371" t="s">
        <v>113</v>
      </c>
      <c r="F1135" s="372">
        <v>8</v>
      </c>
      <c r="G1135" s="373">
        <v>8</v>
      </c>
      <c r="H1135" s="374">
        <v>5</v>
      </c>
      <c r="I1135" s="375">
        <v>0.64</v>
      </c>
      <c r="J1135" s="376">
        <f t="shared" si="124"/>
        <v>5.12</v>
      </c>
      <c r="K1135" s="66">
        <f t="shared" si="139"/>
        <v>0.78847999999999996</v>
      </c>
      <c r="L1135" s="63">
        <f t="shared" si="140"/>
        <v>0</v>
      </c>
      <c r="M1135" s="63">
        <f t="shared" si="141"/>
        <v>0</v>
      </c>
      <c r="N1135" s="63">
        <f t="shared" si="142"/>
        <v>0</v>
      </c>
      <c r="O1135" s="63">
        <f t="shared" si="143"/>
        <v>0</v>
      </c>
      <c r="P1135" s="63">
        <f t="shared" si="144"/>
        <v>0</v>
      </c>
      <c r="Q1135" s="561">
        <f t="shared" si="145"/>
        <v>0</v>
      </c>
      <c r="R1135" s="174"/>
      <c r="T1135" s="82"/>
      <c r="U1135" s="82"/>
      <c r="V1135" s="82"/>
      <c r="W1135" s="82"/>
      <c r="X1135" s="82"/>
      <c r="Y1135" s="82"/>
      <c r="Z1135" s="82"/>
      <c r="AA1135" s="82"/>
      <c r="AB1135" s="82"/>
    </row>
    <row r="1136" spans="1:28" s="85" customFormat="1" x14ac:dyDescent="0.25">
      <c r="A1136" s="82"/>
      <c r="B1136" s="82"/>
      <c r="C1136" s="82"/>
      <c r="D1136" s="729"/>
      <c r="E1136" s="371" t="s">
        <v>113</v>
      </c>
      <c r="F1136" s="372">
        <v>30</v>
      </c>
      <c r="G1136" s="373">
        <v>8</v>
      </c>
      <c r="H1136" s="374">
        <v>12.5</v>
      </c>
      <c r="I1136" s="375">
        <v>3.87</v>
      </c>
      <c r="J1136" s="376">
        <f t="shared" si="124"/>
        <v>30.96</v>
      </c>
      <c r="K1136" s="66">
        <f t="shared" si="139"/>
        <v>0</v>
      </c>
      <c r="L1136" s="63">
        <f t="shared" si="140"/>
        <v>0</v>
      </c>
      <c r="M1136" s="63">
        <f t="shared" si="141"/>
        <v>0</v>
      </c>
      <c r="N1136" s="63">
        <f t="shared" si="142"/>
        <v>0</v>
      </c>
      <c r="O1136" s="63">
        <f t="shared" si="143"/>
        <v>29.81448</v>
      </c>
      <c r="P1136" s="63">
        <f t="shared" si="144"/>
        <v>0</v>
      </c>
      <c r="Q1136" s="561">
        <f t="shared" si="145"/>
        <v>0</v>
      </c>
      <c r="R1136" s="174"/>
      <c r="T1136" s="82"/>
      <c r="U1136" s="82"/>
      <c r="V1136" s="82"/>
      <c r="W1136" s="82"/>
      <c r="X1136" s="82"/>
      <c r="Y1136" s="82"/>
      <c r="Z1136" s="82"/>
      <c r="AA1136" s="82"/>
      <c r="AB1136" s="82"/>
    </row>
    <row r="1137" spans="1:28" s="85" customFormat="1" x14ac:dyDescent="0.25">
      <c r="A1137" s="82"/>
      <c r="B1137" s="82"/>
      <c r="C1137" s="82"/>
      <c r="D1137" s="729"/>
      <c r="E1137" s="396" t="s">
        <v>184</v>
      </c>
      <c r="F1137" s="403">
        <v>4</v>
      </c>
      <c r="G1137" s="397">
        <v>14</v>
      </c>
      <c r="H1137" s="398">
        <v>5</v>
      </c>
      <c r="I1137" s="399">
        <v>0.24</v>
      </c>
      <c r="J1137" s="400">
        <f t="shared" si="124"/>
        <v>3.36</v>
      </c>
      <c r="K1137" s="401">
        <f t="shared" si="139"/>
        <v>0.51744000000000001</v>
      </c>
      <c r="L1137" s="196">
        <f t="shared" si="140"/>
        <v>0</v>
      </c>
      <c r="M1137" s="196">
        <f t="shared" si="141"/>
        <v>0</v>
      </c>
      <c r="N1137" s="196">
        <f t="shared" si="142"/>
        <v>0</v>
      </c>
      <c r="O1137" s="196">
        <f t="shared" si="143"/>
        <v>0</v>
      </c>
      <c r="P1137" s="196">
        <f t="shared" si="144"/>
        <v>0</v>
      </c>
      <c r="Q1137" s="566">
        <f t="shared" si="145"/>
        <v>0</v>
      </c>
      <c r="R1137" s="538"/>
      <c r="T1137" s="82"/>
      <c r="U1137" s="82"/>
      <c r="V1137" s="82"/>
      <c r="W1137" s="82"/>
      <c r="X1137" s="82"/>
      <c r="Y1137" s="82"/>
      <c r="Z1137" s="82"/>
      <c r="AA1137" s="82"/>
      <c r="AB1137" s="82"/>
    </row>
    <row r="1138" spans="1:28" s="85" customFormat="1" x14ac:dyDescent="0.25">
      <c r="A1138" s="82"/>
      <c r="B1138" s="82"/>
      <c r="C1138" s="82"/>
      <c r="D1138" s="729"/>
      <c r="E1138" s="371" t="s">
        <v>184</v>
      </c>
      <c r="F1138" s="372">
        <v>5</v>
      </c>
      <c r="G1138" s="373">
        <v>6</v>
      </c>
      <c r="H1138" s="374">
        <v>5</v>
      </c>
      <c r="I1138" s="375">
        <v>0.97</v>
      </c>
      <c r="J1138" s="376">
        <f t="shared" si="124"/>
        <v>5.82</v>
      </c>
      <c r="K1138" s="66">
        <f t="shared" si="139"/>
        <v>0.89628000000000008</v>
      </c>
      <c r="L1138" s="63">
        <f t="shared" si="140"/>
        <v>0</v>
      </c>
      <c r="M1138" s="63">
        <f t="shared" si="141"/>
        <v>0</v>
      </c>
      <c r="N1138" s="63">
        <f t="shared" si="142"/>
        <v>0</v>
      </c>
      <c r="O1138" s="63">
        <f t="shared" si="143"/>
        <v>0</v>
      </c>
      <c r="P1138" s="63">
        <f t="shared" si="144"/>
        <v>0</v>
      </c>
      <c r="Q1138" s="562">
        <f t="shared" si="145"/>
        <v>0</v>
      </c>
      <c r="R1138" s="377"/>
      <c r="T1138" s="82"/>
      <c r="U1138" s="82"/>
      <c r="V1138" s="82"/>
      <c r="W1138" s="82"/>
      <c r="X1138" s="82"/>
      <c r="Y1138" s="82"/>
      <c r="Z1138" s="82"/>
      <c r="AA1138" s="82"/>
      <c r="AB1138" s="82"/>
    </row>
    <row r="1139" spans="1:28" s="85" customFormat="1" x14ac:dyDescent="0.25">
      <c r="A1139" s="82"/>
      <c r="B1139" s="82"/>
      <c r="C1139" s="82"/>
      <c r="D1139" s="729"/>
      <c r="E1139" s="371" t="s">
        <v>184</v>
      </c>
      <c r="F1139" s="372">
        <v>6</v>
      </c>
      <c r="G1139" s="373">
        <v>2</v>
      </c>
      <c r="H1139" s="374">
        <v>5</v>
      </c>
      <c r="I1139" s="375">
        <v>0.64</v>
      </c>
      <c r="J1139" s="376">
        <f t="shared" si="124"/>
        <v>1.28</v>
      </c>
      <c r="K1139" s="66">
        <f t="shared" si="139"/>
        <v>0.19711999999999999</v>
      </c>
      <c r="L1139" s="63">
        <f t="shared" si="140"/>
        <v>0</v>
      </c>
      <c r="M1139" s="63">
        <f t="shared" si="141"/>
        <v>0</v>
      </c>
      <c r="N1139" s="63">
        <f t="shared" si="142"/>
        <v>0</v>
      </c>
      <c r="O1139" s="63">
        <f t="shared" si="143"/>
        <v>0</v>
      </c>
      <c r="P1139" s="63">
        <f t="shared" si="144"/>
        <v>0</v>
      </c>
      <c r="Q1139" s="562">
        <f t="shared" si="145"/>
        <v>0</v>
      </c>
      <c r="R1139" s="377"/>
      <c r="T1139" s="82"/>
      <c r="U1139" s="82"/>
      <c r="V1139" s="82"/>
      <c r="W1139" s="82"/>
      <c r="X1139" s="82"/>
      <c r="Y1139" s="82"/>
      <c r="Z1139" s="82"/>
      <c r="AA1139" s="82"/>
      <c r="AB1139" s="82"/>
    </row>
    <row r="1140" spans="1:28" s="85" customFormat="1" ht="13.8" thickBot="1" x14ac:dyDescent="0.3">
      <c r="A1140" s="82"/>
      <c r="B1140" s="82"/>
      <c r="C1140" s="82"/>
      <c r="D1140" s="731"/>
      <c r="E1140" s="390" t="s">
        <v>184</v>
      </c>
      <c r="F1140" s="391">
        <v>55</v>
      </c>
      <c r="G1140" s="392">
        <v>8</v>
      </c>
      <c r="H1140" s="393">
        <v>12.5</v>
      </c>
      <c r="I1140" s="394">
        <v>1.02</v>
      </c>
      <c r="J1140" s="395">
        <f t="shared" si="124"/>
        <v>8.16</v>
      </c>
      <c r="K1140" s="221">
        <f t="shared" si="139"/>
        <v>0</v>
      </c>
      <c r="L1140" s="222">
        <f t="shared" si="140"/>
        <v>0</v>
      </c>
      <c r="M1140" s="222">
        <f t="shared" si="141"/>
        <v>0</v>
      </c>
      <c r="N1140" s="222">
        <f t="shared" si="142"/>
        <v>0</v>
      </c>
      <c r="O1140" s="222">
        <f t="shared" si="143"/>
        <v>7.8580800000000002</v>
      </c>
      <c r="P1140" s="222">
        <f t="shared" si="144"/>
        <v>0</v>
      </c>
      <c r="Q1140" s="564">
        <f t="shared" si="145"/>
        <v>0</v>
      </c>
      <c r="R1140" s="539"/>
      <c r="T1140" s="82"/>
      <c r="U1140" s="82"/>
      <c r="V1140" s="82"/>
      <c r="W1140" s="82"/>
      <c r="X1140" s="82"/>
      <c r="Y1140" s="82"/>
      <c r="Z1140" s="82"/>
      <c r="AA1140" s="82"/>
      <c r="AB1140" s="82"/>
    </row>
    <row r="1141" spans="1:28" s="85" customFormat="1" ht="13.8" thickTop="1" x14ac:dyDescent="0.25">
      <c r="A1141" s="82"/>
      <c r="B1141" s="82"/>
      <c r="C1141" s="82"/>
      <c r="D1141" s="728" t="s">
        <v>915</v>
      </c>
      <c r="E1141" s="384" t="s">
        <v>49</v>
      </c>
      <c r="F1141" s="385">
        <v>4</v>
      </c>
      <c r="G1141" s="386">
        <v>14</v>
      </c>
      <c r="H1141" s="387">
        <v>5</v>
      </c>
      <c r="I1141" s="388">
        <v>0.28999999999999998</v>
      </c>
      <c r="J1141" s="389">
        <f t="shared" si="124"/>
        <v>4.0599999999999996</v>
      </c>
      <c r="K1141" s="218">
        <f t="shared" si="139"/>
        <v>0.62523999999999991</v>
      </c>
      <c r="L1141" s="219">
        <f t="shared" si="140"/>
        <v>0</v>
      </c>
      <c r="M1141" s="219">
        <f t="shared" si="141"/>
        <v>0</v>
      </c>
      <c r="N1141" s="219">
        <f t="shared" si="142"/>
        <v>0</v>
      </c>
      <c r="O1141" s="219">
        <f t="shared" si="143"/>
        <v>0</v>
      </c>
      <c r="P1141" s="219">
        <f t="shared" si="144"/>
        <v>0</v>
      </c>
      <c r="Q1141" s="563">
        <f t="shared" si="145"/>
        <v>0</v>
      </c>
      <c r="R1141" s="220"/>
      <c r="T1141" s="82"/>
      <c r="U1141" s="82"/>
      <c r="V1141" s="82"/>
      <c r="W1141" s="82"/>
      <c r="X1141" s="82"/>
      <c r="Y1141" s="82"/>
      <c r="Z1141" s="82"/>
      <c r="AA1141" s="82"/>
      <c r="AB1141" s="82"/>
    </row>
    <row r="1142" spans="1:28" s="85" customFormat="1" x14ac:dyDescent="0.25">
      <c r="A1142" s="82"/>
      <c r="B1142" s="82"/>
      <c r="C1142" s="82"/>
      <c r="D1142" s="729"/>
      <c r="E1142" s="371" t="s">
        <v>49</v>
      </c>
      <c r="F1142" s="372">
        <v>5</v>
      </c>
      <c r="G1142" s="373">
        <v>4</v>
      </c>
      <c r="H1142" s="374">
        <v>5</v>
      </c>
      <c r="I1142" s="375">
        <v>1.27</v>
      </c>
      <c r="J1142" s="376">
        <f t="shared" si="124"/>
        <v>5.08</v>
      </c>
      <c r="K1142" s="66">
        <f t="shared" si="139"/>
        <v>0.78232000000000002</v>
      </c>
      <c r="L1142" s="63">
        <f t="shared" si="140"/>
        <v>0</v>
      </c>
      <c r="M1142" s="63">
        <f t="shared" si="141"/>
        <v>0</v>
      </c>
      <c r="N1142" s="63">
        <f t="shared" si="142"/>
        <v>0</v>
      </c>
      <c r="O1142" s="63">
        <f t="shared" si="143"/>
        <v>0</v>
      </c>
      <c r="P1142" s="63">
        <f t="shared" si="144"/>
        <v>0</v>
      </c>
      <c r="Q1142" s="561">
        <f t="shared" si="145"/>
        <v>0</v>
      </c>
      <c r="R1142" s="174"/>
      <c r="T1142" s="82"/>
      <c r="U1142" s="82"/>
      <c r="V1142" s="82"/>
      <c r="W1142" s="82"/>
      <c r="X1142" s="82"/>
      <c r="Y1142" s="82"/>
      <c r="Z1142" s="82"/>
      <c r="AA1142" s="82"/>
      <c r="AB1142" s="82"/>
    </row>
    <row r="1143" spans="1:28" s="85" customFormat="1" x14ac:dyDescent="0.25">
      <c r="A1143" s="82"/>
      <c r="B1143" s="82"/>
      <c r="C1143" s="82"/>
      <c r="D1143" s="729"/>
      <c r="E1143" s="371" t="s">
        <v>49</v>
      </c>
      <c r="F1143" s="372">
        <v>6</v>
      </c>
      <c r="G1143" s="373">
        <v>6</v>
      </c>
      <c r="H1143" s="374">
        <v>5</v>
      </c>
      <c r="I1143" s="375">
        <v>0.84</v>
      </c>
      <c r="J1143" s="376">
        <f t="shared" si="124"/>
        <v>5.04</v>
      </c>
      <c r="K1143" s="66">
        <f t="shared" si="139"/>
        <v>0.77615999999999996</v>
      </c>
      <c r="L1143" s="63">
        <f t="shared" si="140"/>
        <v>0</v>
      </c>
      <c r="M1143" s="63">
        <f t="shared" si="141"/>
        <v>0</v>
      </c>
      <c r="N1143" s="63">
        <f t="shared" si="142"/>
        <v>0</v>
      </c>
      <c r="O1143" s="63">
        <f t="shared" si="143"/>
        <v>0</v>
      </c>
      <c r="P1143" s="63">
        <f t="shared" si="144"/>
        <v>0</v>
      </c>
      <c r="Q1143" s="561">
        <f t="shared" si="145"/>
        <v>0</v>
      </c>
      <c r="R1143" s="174"/>
      <c r="T1143" s="82"/>
      <c r="U1143" s="82"/>
      <c r="V1143" s="82"/>
      <c r="W1143" s="82"/>
      <c r="X1143" s="82"/>
      <c r="Y1143" s="82"/>
      <c r="Z1143" s="82"/>
      <c r="AA1143" s="82"/>
      <c r="AB1143" s="82"/>
    </row>
    <row r="1144" spans="1:28" s="85" customFormat="1" x14ac:dyDescent="0.25">
      <c r="A1144" s="82"/>
      <c r="B1144" s="82"/>
      <c r="C1144" s="82"/>
      <c r="D1144" s="729"/>
      <c r="E1144" s="371" t="s">
        <v>49</v>
      </c>
      <c r="F1144" s="372">
        <v>19</v>
      </c>
      <c r="G1144" s="373">
        <v>8</v>
      </c>
      <c r="H1144" s="374">
        <v>12.5</v>
      </c>
      <c r="I1144" s="375">
        <v>1.45</v>
      </c>
      <c r="J1144" s="376">
        <f t="shared" si="124"/>
        <v>11.6</v>
      </c>
      <c r="K1144" s="66">
        <f t="shared" si="139"/>
        <v>0</v>
      </c>
      <c r="L1144" s="63">
        <f t="shared" si="140"/>
        <v>0</v>
      </c>
      <c r="M1144" s="63">
        <f t="shared" si="141"/>
        <v>0</v>
      </c>
      <c r="N1144" s="63">
        <f t="shared" si="142"/>
        <v>0</v>
      </c>
      <c r="O1144" s="63">
        <f t="shared" si="143"/>
        <v>11.1708</v>
      </c>
      <c r="P1144" s="63">
        <f t="shared" si="144"/>
        <v>0</v>
      </c>
      <c r="Q1144" s="561">
        <f t="shared" si="145"/>
        <v>0</v>
      </c>
      <c r="R1144" s="174"/>
      <c r="T1144" s="82"/>
      <c r="U1144" s="82"/>
      <c r="V1144" s="82"/>
      <c r="W1144" s="82"/>
      <c r="X1144" s="82"/>
      <c r="Y1144" s="82"/>
      <c r="Z1144" s="82"/>
      <c r="AA1144" s="82"/>
      <c r="AB1144" s="82"/>
    </row>
    <row r="1145" spans="1:28" s="85" customFormat="1" x14ac:dyDescent="0.25">
      <c r="A1145" s="82"/>
      <c r="B1145" s="82"/>
      <c r="C1145" s="82"/>
      <c r="D1145" s="729"/>
      <c r="E1145" s="371" t="s">
        <v>113</v>
      </c>
      <c r="F1145" s="372">
        <v>4</v>
      </c>
      <c r="G1145" s="373">
        <v>48</v>
      </c>
      <c r="H1145" s="374">
        <v>5</v>
      </c>
      <c r="I1145" s="375">
        <v>0.28999999999999998</v>
      </c>
      <c r="J1145" s="376">
        <f t="shared" si="124"/>
        <v>13.919999999999998</v>
      </c>
      <c r="K1145" s="66">
        <f t="shared" si="139"/>
        <v>2.1436799999999998</v>
      </c>
      <c r="L1145" s="63">
        <f t="shared" si="140"/>
        <v>0</v>
      </c>
      <c r="M1145" s="63">
        <f t="shared" si="141"/>
        <v>0</v>
      </c>
      <c r="N1145" s="63">
        <f t="shared" si="142"/>
        <v>0</v>
      </c>
      <c r="O1145" s="63">
        <f t="shared" si="143"/>
        <v>0</v>
      </c>
      <c r="P1145" s="63">
        <f t="shared" si="144"/>
        <v>0</v>
      </c>
      <c r="Q1145" s="561">
        <f t="shared" si="145"/>
        <v>0</v>
      </c>
      <c r="R1145" s="174"/>
      <c r="T1145" s="82"/>
      <c r="U1145" s="82"/>
      <c r="V1145" s="82"/>
      <c r="W1145" s="82"/>
      <c r="X1145" s="82"/>
      <c r="Y1145" s="82"/>
      <c r="Z1145" s="82"/>
      <c r="AA1145" s="82"/>
      <c r="AB1145" s="82"/>
    </row>
    <row r="1146" spans="1:28" s="85" customFormat="1" x14ac:dyDescent="0.25">
      <c r="A1146" s="82"/>
      <c r="B1146" s="82"/>
      <c r="C1146" s="82"/>
      <c r="D1146" s="729"/>
      <c r="E1146" s="371" t="s">
        <v>113</v>
      </c>
      <c r="F1146" s="372">
        <v>9</v>
      </c>
      <c r="G1146" s="373">
        <v>20</v>
      </c>
      <c r="H1146" s="374">
        <v>5</v>
      </c>
      <c r="I1146" s="375">
        <v>1.27</v>
      </c>
      <c r="J1146" s="376">
        <f t="shared" si="124"/>
        <v>25.4</v>
      </c>
      <c r="K1146" s="66">
        <f t="shared" si="139"/>
        <v>3.9115999999999995</v>
      </c>
      <c r="L1146" s="63">
        <f t="shared" si="140"/>
        <v>0</v>
      </c>
      <c r="M1146" s="63">
        <f t="shared" si="141"/>
        <v>0</v>
      </c>
      <c r="N1146" s="63">
        <f t="shared" si="142"/>
        <v>0</v>
      </c>
      <c r="O1146" s="63">
        <f t="shared" si="143"/>
        <v>0</v>
      </c>
      <c r="P1146" s="63">
        <f t="shared" si="144"/>
        <v>0</v>
      </c>
      <c r="Q1146" s="561">
        <f t="shared" si="145"/>
        <v>0</v>
      </c>
      <c r="R1146" s="174"/>
      <c r="T1146" s="82"/>
      <c r="U1146" s="82"/>
      <c r="V1146" s="82"/>
      <c r="W1146" s="82"/>
      <c r="X1146" s="82"/>
      <c r="Y1146" s="82"/>
      <c r="Z1146" s="82"/>
      <c r="AA1146" s="82"/>
      <c r="AB1146" s="82"/>
    </row>
    <row r="1147" spans="1:28" s="85" customFormat="1" x14ac:dyDescent="0.25">
      <c r="A1147" s="82"/>
      <c r="B1147" s="82"/>
      <c r="C1147" s="82"/>
      <c r="D1147" s="729"/>
      <c r="E1147" s="371" t="s">
        <v>113</v>
      </c>
      <c r="F1147" s="372">
        <v>10</v>
      </c>
      <c r="G1147" s="373">
        <v>8</v>
      </c>
      <c r="H1147" s="374">
        <v>5</v>
      </c>
      <c r="I1147" s="375">
        <v>0.84</v>
      </c>
      <c r="J1147" s="376">
        <f t="shared" si="124"/>
        <v>6.72</v>
      </c>
      <c r="K1147" s="66">
        <f t="shared" si="139"/>
        <v>1.03488</v>
      </c>
      <c r="L1147" s="63">
        <f t="shared" si="140"/>
        <v>0</v>
      </c>
      <c r="M1147" s="63">
        <f t="shared" si="141"/>
        <v>0</v>
      </c>
      <c r="N1147" s="63">
        <f t="shared" si="142"/>
        <v>0</v>
      </c>
      <c r="O1147" s="63">
        <f t="shared" si="143"/>
        <v>0</v>
      </c>
      <c r="P1147" s="63">
        <f t="shared" si="144"/>
        <v>0</v>
      </c>
      <c r="Q1147" s="561">
        <f t="shared" si="145"/>
        <v>0</v>
      </c>
      <c r="R1147" s="174"/>
      <c r="T1147" s="82"/>
      <c r="U1147" s="82"/>
      <c r="V1147" s="82"/>
      <c r="W1147" s="82"/>
      <c r="X1147" s="82"/>
      <c r="Y1147" s="82"/>
      <c r="Z1147" s="82"/>
      <c r="AA1147" s="82"/>
      <c r="AB1147" s="82"/>
    </row>
    <row r="1148" spans="1:28" s="85" customFormat="1" x14ac:dyDescent="0.25">
      <c r="A1148" s="82"/>
      <c r="B1148" s="82"/>
      <c r="C1148" s="82"/>
      <c r="D1148" s="729"/>
      <c r="E1148" s="371" t="s">
        <v>113</v>
      </c>
      <c r="F1148" s="372">
        <v>30</v>
      </c>
      <c r="G1148" s="373">
        <v>8</v>
      </c>
      <c r="H1148" s="374">
        <v>12.5</v>
      </c>
      <c r="I1148" s="375">
        <v>3.87</v>
      </c>
      <c r="J1148" s="376">
        <f t="shared" si="124"/>
        <v>30.96</v>
      </c>
      <c r="K1148" s="66">
        <f t="shared" si="139"/>
        <v>0</v>
      </c>
      <c r="L1148" s="63">
        <f t="shared" si="140"/>
        <v>0</v>
      </c>
      <c r="M1148" s="63">
        <f t="shared" si="141"/>
        <v>0</v>
      </c>
      <c r="N1148" s="63">
        <f t="shared" si="142"/>
        <v>0</v>
      </c>
      <c r="O1148" s="63">
        <f t="shared" si="143"/>
        <v>29.81448</v>
      </c>
      <c r="P1148" s="63">
        <f t="shared" si="144"/>
        <v>0</v>
      </c>
      <c r="Q1148" s="561">
        <f t="shared" si="145"/>
        <v>0</v>
      </c>
      <c r="R1148" s="174"/>
      <c r="T1148" s="82"/>
      <c r="U1148" s="82"/>
      <c r="V1148" s="82"/>
      <c r="W1148" s="82"/>
      <c r="X1148" s="82"/>
      <c r="Y1148" s="82"/>
      <c r="Z1148" s="82"/>
      <c r="AA1148" s="82"/>
      <c r="AB1148" s="82"/>
    </row>
    <row r="1149" spans="1:28" s="85" customFormat="1" x14ac:dyDescent="0.25">
      <c r="A1149" s="82"/>
      <c r="B1149" s="82"/>
      <c r="C1149" s="82"/>
      <c r="D1149" s="729"/>
      <c r="E1149" s="396" t="s">
        <v>184</v>
      </c>
      <c r="F1149" s="403">
        <v>1</v>
      </c>
      <c r="G1149" s="397">
        <v>14</v>
      </c>
      <c r="H1149" s="398">
        <v>5</v>
      </c>
      <c r="I1149" s="399">
        <v>0.28999999999999998</v>
      </c>
      <c r="J1149" s="400">
        <f t="shared" si="124"/>
        <v>4.0599999999999996</v>
      </c>
      <c r="K1149" s="401">
        <f t="shared" si="139"/>
        <v>0.62523999999999991</v>
      </c>
      <c r="L1149" s="196">
        <f t="shared" si="140"/>
        <v>0</v>
      </c>
      <c r="M1149" s="196">
        <f t="shared" si="141"/>
        <v>0</v>
      </c>
      <c r="N1149" s="196">
        <f t="shared" si="142"/>
        <v>0</v>
      </c>
      <c r="O1149" s="196">
        <f t="shared" si="143"/>
        <v>0</v>
      </c>
      <c r="P1149" s="196">
        <f t="shared" si="144"/>
        <v>0</v>
      </c>
      <c r="Q1149" s="566">
        <f t="shared" si="145"/>
        <v>0</v>
      </c>
      <c r="R1149" s="538"/>
      <c r="T1149" s="82"/>
      <c r="U1149" s="82"/>
      <c r="V1149" s="82"/>
      <c r="W1149" s="82"/>
      <c r="X1149" s="82"/>
      <c r="Y1149" s="82"/>
      <c r="Z1149" s="82"/>
      <c r="AA1149" s="82"/>
      <c r="AB1149" s="82"/>
    </row>
    <row r="1150" spans="1:28" s="85" customFormat="1" x14ac:dyDescent="0.25">
      <c r="A1150" s="82"/>
      <c r="B1150" s="82"/>
      <c r="C1150" s="82"/>
      <c r="D1150" s="729"/>
      <c r="E1150" s="371" t="s">
        <v>184</v>
      </c>
      <c r="F1150" s="372">
        <v>7</v>
      </c>
      <c r="G1150" s="373">
        <v>6</v>
      </c>
      <c r="H1150" s="374">
        <v>5</v>
      </c>
      <c r="I1150" s="375">
        <v>1.27</v>
      </c>
      <c r="J1150" s="376">
        <f t="shared" si="124"/>
        <v>7.62</v>
      </c>
      <c r="K1150" s="66">
        <f t="shared" si="139"/>
        <v>1.1734800000000001</v>
      </c>
      <c r="L1150" s="63">
        <f t="shared" si="140"/>
        <v>0</v>
      </c>
      <c r="M1150" s="63">
        <f t="shared" si="141"/>
        <v>0</v>
      </c>
      <c r="N1150" s="63">
        <f t="shared" si="142"/>
        <v>0</v>
      </c>
      <c r="O1150" s="63">
        <f t="shared" si="143"/>
        <v>0</v>
      </c>
      <c r="P1150" s="63">
        <f t="shared" si="144"/>
        <v>0</v>
      </c>
      <c r="Q1150" s="562">
        <f t="shared" si="145"/>
        <v>0</v>
      </c>
      <c r="R1150" s="377"/>
      <c r="T1150" s="82"/>
      <c r="U1150" s="82"/>
      <c r="V1150" s="82"/>
      <c r="W1150" s="82"/>
      <c r="X1150" s="82"/>
      <c r="Y1150" s="82"/>
      <c r="Z1150" s="82"/>
      <c r="AA1150" s="82"/>
      <c r="AB1150" s="82"/>
    </row>
    <row r="1151" spans="1:28" s="85" customFormat="1" x14ac:dyDescent="0.25">
      <c r="A1151" s="82"/>
      <c r="B1151" s="82"/>
      <c r="C1151" s="82"/>
      <c r="D1151" s="729"/>
      <c r="E1151" s="371" t="s">
        <v>184</v>
      </c>
      <c r="F1151" s="372">
        <v>8</v>
      </c>
      <c r="G1151" s="373">
        <v>2</v>
      </c>
      <c r="H1151" s="374">
        <v>5</v>
      </c>
      <c r="I1151" s="375">
        <v>0.84</v>
      </c>
      <c r="J1151" s="376">
        <f t="shared" si="124"/>
        <v>1.68</v>
      </c>
      <c r="K1151" s="66">
        <f t="shared" si="139"/>
        <v>0.25872000000000001</v>
      </c>
      <c r="L1151" s="63">
        <f t="shared" si="140"/>
        <v>0</v>
      </c>
      <c r="M1151" s="63">
        <f t="shared" si="141"/>
        <v>0</v>
      </c>
      <c r="N1151" s="63">
        <f t="shared" si="142"/>
        <v>0</v>
      </c>
      <c r="O1151" s="63">
        <f t="shared" si="143"/>
        <v>0</v>
      </c>
      <c r="P1151" s="63">
        <f t="shared" si="144"/>
        <v>0</v>
      </c>
      <c r="Q1151" s="562">
        <f t="shared" si="145"/>
        <v>0</v>
      </c>
      <c r="R1151" s="377"/>
      <c r="T1151" s="82"/>
      <c r="U1151" s="82"/>
      <c r="V1151" s="82"/>
      <c r="W1151" s="82"/>
      <c r="X1151" s="82"/>
      <c r="Y1151" s="82"/>
      <c r="Z1151" s="82"/>
      <c r="AA1151" s="82"/>
      <c r="AB1151" s="82"/>
    </row>
    <row r="1152" spans="1:28" s="85" customFormat="1" ht="13.8" thickBot="1" x14ac:dyDescent="0.3">
      <c r="A1152" s="82"/>
      <c r="B1152" s="82"/>
      <c r="C1152" s="82"/>
      <c r="D1152" s="731"/>
      <c r="E1152" s="390" t="s">
        <v>184</v>
      </c>
      <c r="F1152" s="391">
        <v>55</v>
      </c>
      <c r="G1152" s="392">
        <v>8</v>
      </c>
      <c r="H1152" s="393">
        <v>12.5</v>
      </c>
      <c r="I1152" s="394">
        <v>1.02</v>
      </c>
      <c r="J1152" s="395">
        <f t="shared" si="124"/>
        <v>8.16</v>
      </c>
      <c r="K1152" s="221">
        <f t="shared" si="139"/>
        <v>0</v>
      </c>
      <c r="L1152" s="222">
        <f t="shared" si="140"/>
        <v>0</v>
      </c>
      <c r="M1152" s="222">
        <f t="shared" si="141"/>
        <v>0</v>
      </c>
      <c r="N1152" s="222">
        <f t="shared" si="142"/>
        <v>0</v>
      </c>
      <c r="O1152" s="222">
        <f t="shared" si="143"/>
        <v>7.8580800000000002</v>
      </c>
      <c r="P1152" s="222">
        <f t="shared" si="144"/>
        <v>0</v>
      </c>
      <c r="Q1152" s="564">
        <f t="shared" si="145"/>
        <v>0</v>
      </c>
      <c r="R1152" s="539"/>
      <c r="T1152" s="82"/>
      <c r="U1152" s="82"/>
      <c r="V1152" s="82"/>
      <c r="W1152" s="82"/>
      <c r="X1152" s="82"/>
      <c r="Y1152" s="82"/>
      <c r="Z1152" s="82"/>
      <c r="AA1152" s="82"/>
      <c r="AB1152" s="82"/>
    </row>
    <row r="1153" spans="1:28" s="85" customFormat="1" ht="13.8" thickTop="1" x14ac:dyDescent="0.25">
      <c r="A1153" s="82"/>
      <c r="B1153" s="82"/>
      <c r="C1153" s="82"/>
      <c r="D1153" s="728" t="s">
        <v>1711</v>
      </c>
      <c r="E1153" s="384" t="s">
        <v>49</v>
      </c>
      <c r="F1153" s="385">
        <v>1</v>
      </c>
      <c r="G1153" s="386">
        <v>18</v>
      </c>
      <c r="H1153" s="387">
        <v>5</v>
      </c>
      <c r="I1153" s="388">
        <v>0.24</v>
      </c>
      <c r="J1153" s="389">
        <f t="shared" si="124"/>
        <v>4.32</v>
      </c>
      <c r="K1153" s="218">
        <f t="shared" si="139"/>
        <v>0.66527999999999998</v>
      </c>
      <c r="L1153" s="219">
        <f t="shared" si="140"/>
        <v>0</v>
      </c>
      <c r="M1153" s="219">
        <f t="shared" si="141"/>
        <v>0</v>
      </c>
      <c r="N1153" s="219">
        <f t="shared" si="142"/>
        <v>0</v>
      </c>
      <c r="O1153" s="219">
        <f t="shared" si="143"/>
        <v>0</v>
      </c>
      <c r="P1153" s="219">
        <f t="shared" si="144"/>
        <v>0</v>
      </c>
      <c r="Q1153" s="563">
        <f t="shared" si="145"/>
        <v>0</v>
      </c>
      <c r="R1153" s="220"/>
      <c r="T1153" s="82"/>
      <c r="U1153" s="82"/>
      <c r="V1153" s="82"/>
      <c r="W1153" s="82"/>
      <c r="X1153" s="82"/>
      <c r="Y1153" s="82"/>
      <c r="Z1153" s="82"/>
      <c r="AA1153" s="82"/>
      <c r="AB1153" s="82"/>
    </row>
    <row r="1154" spans="1:28" s="85" customFormat="1" x14ac:dyDescent="0.25">
      <c r="A1154" s="82"/>
      <c r="B1154" s="82"/>
      <c r="C1154" s="82"/>
      <c r="D1154" s="729"/>
      <c r="E1154" s="371" t="s">
        <v>49</v>
      </c>
      <c r="F1154" s="372">
        <v>2</v>
      </c>
      <c r="G1154" s="373">
        <v>5</v>
      </c>
      <c r="H1154" s="374">
        <v>5</v>
      </c>
      <c r="I1154" s="375">
        <v>0.97</v>
      </c>
      <c r="J1154" s="376">
        <f t="shared" si="124"/>
        <v>4.8499999999999996</v>
      </c>
      <c r="K1154" s="66">
        <f t="shared" si="139"/>
        <v>0.7468999999999999</v>
      </c>
      <c r="L1154" s="63">
        <f t="shared" si="140"/>
        <v>0</v>
      </c>
      <c r="M1154" s="63">
        <f t="shared" si="141"/>
        <v>0</v>
      </c>
      <c r="N1154" s="63">
        <f t="shared" si="142"/>
        <v>0</v>
      </c>
      <c r="O1154" s="63">
        <f t="shared" si="143"/>
        <v>0</v>
      </c>
      <c r="P1154" s="63">
        <f t="shared" si="144"/>
        <v>0</v>
      </c>
      <c r="Q1154" s="561">
        <f t="shared" si="145"/>
        <v>0</v>
      </c>
      <c r="R1154" s="174"/>
      <c r="T1154" s="82"/>
      <c r="U1154" s="82"/>
      <c r="V1154" s="82"/>
      <c r="W1154" s="82"/>
      <c r="X1154" s="82"/>
      <c r="Y1154" s="82"/>
      <c r="Z1154" s="82"/>
      <c r="AA1154" s="82"/>
      <c r="AB1154" s="82"/>
    </row>
    <row r="1155" spans="1:28" s="85" customFormat="1" x14ac:dyDescent="0.25">
      <c r="A1155" s="82"/>
      <c r="B1155" s="82"/>
      <c r="C1155" s="82"/>
      <c r="D1155" s="729"/>
      <c r="E1155" s="371" t="s">
        <v>49</v>
      </c>
      <c r="F1155" s="372">
        <v>3</v>
      </c>
      <c r="G1155" s="373">
        <v>8</v>
      </c>
      <c r="H1155" s="374">
        <v>5</v>
      </c>
      <c r="I1155" s="375">
        <v>0.64</v>
      </c>
      <c r="J1155" s="376">
        <f t="shared" si="124"/>
        <v>5.12</v>
      </c>
      <c r="K1155" s="66">
        <f t="shared" si="139"/>
        <v>0.78847999999999996</v>
      </c>
      <c r="L1155" s="63">
        <f t="shared" si="140"/>
        <v>0</v>
      </c>
      <c r="M1155" s="63">
        <f t="shared" si="141"/>
        <v>0</v>
      </c>
      <c r="N1155" s="63">
        <f t="shared" si="142"/>
        <v>0</v>
      </c>
      <c r="O1155" s="63">
        <f t="shared" si="143"/>
        <v>0</v>
      </c>
      <c r="P1155" s="63">
        <f t="shared" si="144"/>
        <v>0</v>
      </c>
      <c r="Q1155" s="561">
        <f t="shared" si="145"/>
        <v>0</v>
      </c>
      <c r="R1155" s="174"/>
      <c r="T1155" s="82"/>
      <c r="U1155" s="82"/>
      <c r="V1155" s="82"/>
      <c r="W1155" s="82"/>
      <c r="X1155" s="82"/>
      <c r="Y1155" s="82"/>
      <c r="Z1155" s="82"/>
      <c r="AA1155" s="82"/>
      <c r="AB1155" s="82"/>
    </row>
    <row r="1156" spans="1:28" s="85" customFormat="1" x14ac:dyDescent="0.25">
      <c r="A1156" s="82"/>
      <c r="B1156" s="82"/>
      <c r="C1156" s="82"/>
      <c r="D1156" s="729"/>
      <c r="E1156" s="371" t="s">
        <v>49</v>
      </c>
      <c r="F1156" s="372">
        <v>19</v>
      </c>
      <c r="G1156" s="373">
        <v>8</v>
      </c>
      <c r="H1156" s="374">
        <v>12.5</v>
      </c>
      <c r="I1156" s="375">
        <v>1.45</v>
      </c>
      <c r="J1156" s="376">
        <f t="shared" si="124"/>
        <v>11.6</v>
      </c>
      <c r="K1156" s="66">
        <f t="shared" si="139"/>
        <v>0</v>
      </c>
      <c r="L1156" s="63">
        <f t="shared" si="140"/>
        <v>0</v>
      </c>
      <c r="M1156" s="63">
        <f t="shared" si="141"/>
        <v>0</v>
      </c>
      <c r="N1156" s="63">
        <f t="shared" si="142"/>
        <v>0</v>
      </c>
      <c r="O1156" s="63">
        <f t="shared" si="143"/>
        <v>11.1708</v>
      </c>
      <c r="P1156" s="63">
        <f t="shared" si="144"/>
        <v>0</v>
      </c>
      <c r="Q1156" s="561">
        <f t="shared" si="145"/>
        <v>0</v>
      </c>
      <c r="R1156" s="174"/>
      <c r="T1156" s="82"/>
      <c r="U1156" s="82"/>
      <c r="V1156" s="82"/>
      <c r="W1156" s="82"/>
      <c r="X1156" s="82"/>
      <c r="Y1156" s="82"/>
      <c r="Z1156" s="82"/>
      <c r="AA1156" s="82"/>
      <c r="AB1156" s="82"/>
    </row>
    <row r="1157" spans="1:28" s="85" customFormat="1" x14ac:dyDescent="0.25">
      <c r="A1157" s="82"/>
      <c r="B1157" s="82"/>
      <c r="C1157" s="82"/>
      <c r="D1157" s="729"/>
      <c r="E1157" s="371" t="s">
        <v>113</v>
      </c>
      <c r="F1157" s="372">
        <v>1</v>
      </c>
      <c r="G1157" s="373">
        <v>48</v>
      </c>
      <c r="H1157" s="374">
        <v>5</v>
      </c>
      <c r="I1157" s="375">
        <v>0.24</v>
      </c>
      <c r="J1157" s="376">
        <f t="shared" si="124"/>
        <v>11.52</v>
      </c>
      <c r="K1157" s="66">
        <f t="shared" si="139"/>
        <v>1.7740799999999999</v>
      </c>
      <c r="L1157" s="63">
        <f t="shared" si="140"/>
        <v>0</v>
      </c>
      <c r="M1157" s="63">
        <f t="shared" si="141"/>
        <v>0</v>
      </c>
      <c r="N1157" s="63">
        <f t="shared" si="142"/>
        <v>0</v>
      </c>
      <c r="O1157" s="63">
        <f t="shared" si="143"/>
        <v>0</v>
      </c>
      <c r="P1157" s="63">
        <f t="shared" si="144"/>
        <v>0</v>
      </c>
      <c r="Q1157" s="561">
        <f t="shared" si="145"/>
        <v>0</v>
      </c>
      <c r="R1157" s="174"/>
      <c r="T1157" s="82"/>
      <c r="U1157" s="82"/>
      <c r="V1157" s="82"/>
      <c r="W1157" s="82"/>
      <c r="X1157" s="82"/>
      <c r="Y1157" s="82"/>
      <c r="Z1157" s="82"/>
      <c r="AA1157" s="82"/>
      <c r="AB1157" s="82"/>
    </row>
    <row r="1158" spans="1:28" s="85" customFormat="1" x14ac:dyDescent="0.25">
      <c r="A1158" s="82"/>
      <c r="B1158" s="82"/>
      <c r="C1158" s="82"/>
      <c r="D1158" s="729"/>
      <c r="E1158" s="371" t="s">
        <v>113</v>
      </c>
      <c r="F1158" s="372">
        <v>7</v>
      </c>
      <c r="G1158" s="373">
        <v>20</v>
      </c>
      <c r="H1158" s="374">
        <v>5</v>
      </c>
      <c r="I1158" s="375">
        <v>0.97</v>
      </c>
      <c r="J1158" s="376">
        <f t="shared" si="124"/>
        <v>19.399999999999999</v>
      </c>
      <c r="K1158" s="66">
        <f t="shared" si="139"/>
        <v>2.9875999999999996</v>
      </c>
      <c r="L1158" s="63">
        <f t="shared" si="140"/>
        <v>0</v>
      </c>
      <c r="M1158" s="63">
        <f t="shared" si="141"/>
        <v>0</v>
      </c>
      <c r="N1158" s="63">
        <f t="shared" si="142"/>
        <v>0</v>
      </c>
      <c r="O1158" s="63">
        <f t="shared" si="143"/>
        <v>0</v>
      </c>
      <c r="P1158" s="63">
        <f t="shared" si="144"/>
        <v>0</v>
      </c>
      <c r="Q1158" s="561">
        <f t="shared" si="145"/>
        <v>0</v>
      </c>
      <c r="R1158" s="174"/>
      <c r="T1158" s="82"/>
      <c r="U1158" s="82"/>
      <c r="V1158" s="82"/>
      <c r="W1158" s="82"/>
      <c r="X1158" s="82"/>
      <c r="Y1158" s="82"/>
      <c r="Z1158" s="82"/>
      <c r="AA1158" s="82"/>
      <c r="AB1158" s="82"/>
    </row>
    <row r="1159" spans="1:28" s="85" customFormat="1" x14ac:dyDescent="0.25">
      <c r="A1159" s="82"/>
      <c r="B1159" s="82"/>
      <c r="C1159" s="82"/>
      <c r="D1159" s="729"/>
      <c r="E1159" s="371" t="s">
        <v>113</v>
      </c>
      <c r="F1159" s="372">
        <v>8</v>
      </c>
      <c r="G1159" s="373">
        <v>8</v>
      </c>
      <c r="H1159" s="374">
        <v>5</v>
      </c>
      <c r="I1159" s="375">
        <v>0.64</v>
      </c>
      <c r="J1159" s="376">
        <f t="shared" si="124"/>
        <v>5.12</v>
      </c>
      <c r="K1159" s="66">
        <f t="shared" si="139"/>
        <v>0.78847999999999996</v>
      </c>
      <c r="L1159" s="63">
        <f t="shared" si="140"/>
        <v>0</v>
      </c>
      <c r="M1159" s="63">
        <f t="shared" si="141"/>
        <v>0</v>
      </c>
      <c r="N1159" s="63">
        <f t="shared" si="142"/>
        <v>0</v>
      </c>
      <c r="O1159" s="63">
        <f t="shared" si="143"/>
        <v>0</v>
      </c>
      <c r="P1159" s="63">
        <f t="shared" si="144"/>
        <v>0</v>
      </c>
      <c r="Q1159" s="561">
        <f t="shared" si="145"/>
        <v>0</v>
      </c>
      <c r="R1159" s="174"/>
      <c r="T1159" s="82"/>
      <c r="U1159" s="82"/>
      <c r="V1159" s="82"/>
      <c r="W1159" s="82"/>
      <c r="X1159" s="82"/>
      <c r="Y1159" s="82"/>
      <c r="Z1159" s="82"/>
      <c r="AA1159" s="82"/>
      <c r="AB1159" s="82"/>
    </row>
    <row r="1160" spans="1:28" s="85" customFormat="1" x14ac:dyDescent="0.25">
      <c r="A1160" s="82"/>
      <c r="B1160" s="82"/>
      <c r="C1160" s="82"/>
      <c r="D1160" s="729"/>
      <c r="E1160" s="371" t="s">
        <v>113</v>
      </c>
      <c r="F1160" s="372">
        <v>30</v>
      </c>
      <c r="G1160" s="373">
        <v>8</v>
      </c>
      <c r="H1160" s="374">
        <v>12.5</v>
      </c>
      <c r="I1160" s="375">
        <v>3.87</v>
      </c>
      <c r="J1160" s="376">
        <f t="shared" si="124"/>
        <v>30.96</v>
      </c>
      <c r="K1160" s="66">
        <f t="shared" si="139"/>
        <v>0</v>
      </c>
      <c r="L1160" s="63">
        <f t="shared" si="140"/>
        <v>0</v>
      </c>
      <c r="M1160" s="63">
        <f t="shared" si="141"/>
        <v>0</v>
      </c>
      <c r="N1160" s="63">
        <f t="shared" si="142"/>
        <v>0</v>
      </c>
      <c r="O1160" s="63">
        <f t="shared" si="143"/>
        <v>29.81448</v>
      </c>
      <c r="P1160" s="63">
        <f t="shared" si="144"/>
        <v>0</v>
      </c>
      <c r="Q1160" s="561">
        <f t="shared" si="145"/>
        <v>0</v>
      </c>
      <c r="R1160" s="174"/>
      <c r="T1160" s="82"/>
      <c r="U1160" s="82"/>
      <c r="V1160" s="82"/>
      <c r="W1160" s="82"/>
      <c r="X1160" s="82"/>
      <c r="Y1160" s="82"/>
      <c r="Z1160" s="82"/>
      <c r="AA1160" s="82"/>
      <c r="AB1160" s="82"/>
    </row>
    <row r="1161" spans="1:28" s="85" customFormat="1" x14ac:dyDescent="0.25">
      <c r="A1161" s="82"/>
      <c r="B1161" s="82"/>
      <c r="C1161" s="82"/>
      <c r="D1161" s="729"/>
      <c r="E1161" s="396" t="s">
        <v>184</v>
      </c>
      <c r="F1161" s="403">
        <v>4</v>
      </c>
      <c r="G1161" s="397">
        <v>14</v>
      </c>
      <c r="H1161" s="398">
        <v>5</v>
      </c>
      <c r="I1161" s="399">
        <v>0.24</v>
      </c>
      <c r="J1161" s="400">
        <f t="shared" si="124"/>
        <v>3.36</v>
      </c>
      <c r="K1161" s="401">
        <f t="shared" si="139"/>
        <v>0.51744000000000001</v>
      </c>
      <c r="L1161" s="196">
        <f t="shared" si="140"/>
        <v>0</v>
      </c>
      <c r="M1161" s="196">
        <f t="shared" si="141"/>
        <v>0</v>
      </c>
      <c r="N1161" s="196">
        <f t="shared" si="142"/>
        <v>0</v>
      </c>
      <c r="O1161" s="196">
        <f t="shared" si="143"/>
        <v>0</v>
      </c>
      <c r="P1161" s="196">
        <f t="shared" si="144"/>
        <v>0</v>
      </c>
      <c r="Q1161" s="566">
        <f t="shared" si="145"/>
        <v>0</v>
      </c>
      <c r="R1161" s="538"/>
      <c r="T1161" s="82"/>
      <c r="U1161" s="82"/>
      <c r="V1161" s="82"/>
      <c r="W1161" s="82"/>
      <c r="X1161" s="82"/>
      <c r="Y1161" s="82"/>
      <c r="Z1161" s="82"/>
      <c r="AA1161" s="82"/>
      <c r="AB1161" s="82"/>
    </row>
    <row r="1162" spans="1:28" s="85" customFormat="1" x14ac:dyDescent="0.25">
      <c r="A1162" s="82"/>
      <c r="B1162" s="82"/>
      <c r="C1162" s="82"/>
      <c r="D1162" s="729"/>
      <c r="E1162" s="371" t="s">
        <v>184</v>
      </c>
      <c r="F1162" s="372">
        <v>5</v>
      </c>
      <c r="G1162" s="373">
        <v>6</v>
      </c>
      <c r="H1162" s="374">
        <v>5</v>
      </c>
      <c r="I1162" s="375">
        <v>0.97</v>
      </c>
      <c r="J1162" s="376">
        <f t="shared" si="124"/>
        <v>5.82</v>
      </c>
      <c r="K1162" s="66">
        <f t="shared" si="139"/>
        <v>0.89628000000000008</v>
      </c>
      <c r="L1162" s="63">
        <f t="shared" si="140"/>
        <v>0</v>
      </c>
      <c r="M1162" s="63">
        <f t="shared" si="141"/>
        <v>0</v>
      </c>
      <c r="N1162" s="63">
        <f t="shared" si="142"/>
        <v>0</v>
      </c>
      <c r="O1162" s="63">
        <f t="shared" si="143"/>
        <v>0</v>
      </c>
      <c r="P1162" s="63">
        <f t="shared" si="144"/>
        <v>0</v>
      </c>
      <c r="Q1162" s="562">
        <f t="shared" si="145"/>
        <v>0</v>
      </c>
      <c r="R1162" s="377"/>
      <c r="T1162" s="82"/>
      <c r="U1162" s="82"/>
      <c r="V1162" s="82"/>
      <c r="W1162" s="82"/>
      <c r="X1162" s="82"/>
      <c r="Y1162" s="82"/>
      <c r="Z1162" s="82"/>
      <c r="AA1162" s="82"/>
      <c r="AB1162" s="82"/>
    </row>
    <row r="1163" spans="1:28" s="85" customFormat="1" x14ac:dyDescent="0.25">
      <c r="A1163" s="82"/>
      <c r="B1163" s="82"/>
      <c r="C1163" s="82"/>
      <c r="D1163" s="729"/>
      <c r="E1163" s="371" t="s">
        <v>184</v>
      </c>
      <c r="F1163" s="372">
        <v>6</v>
      </c>
      <c r="G1163" s="373">
        <v>2</v>
      </c>
      <c r="H1163" s="374">
        <v>5</v>
      </c>
      <c r="I1163" s="375">
        <v>0.64</v>
      </c>
      <c r="J1163" s="376">
        <f t="shared" si="124"/>
        <v>1.28</v>
      </c>
      <c r="K1163" s="66">
        <f t="shared" si="139"/>
        <v>0.19711999999999999</v>
      </c>
      <c r="L1163" s="63">
        <f t="shared" si="140"/>
        <v>0</v>
      </c>
      <c r="M1163" s="63">
        <f t="shared" si="141"/>
        <v>0</v>
      </c>
      <c r="N1163" s="63">
        <f t="shared" si="142"/>
        <v>0</v>
      </c>
      <c r="O1163" s="63">
        <f t="shared" si="143"/>
        <v>0</v>
      </c>
      <c r="P1163" s="63">
        <f t="shared" si="144"/>
        <v>0</v>
      </c>
      <c r="Q1163" s="562">
        <f t="shared" si="145"/>
        <v>0</v>
      </c>
      <c r="R1163" s="377"/>
      <c r="T1163" s="82"/>
      <c r="U1163" s="82"/>
      <c r="V1163" s="82"/>
      <c r="W1163" s="82"/>
      <c r="X1163" s="82"/>
      <c r="Y1163" s="82"/>
      <c r="Z1163" s="82"/>
      <c r="AA1163" s="82"/>
      <c r="AB1163" s="82"/>
    </row>
    <row r="1164" spans="1:28" s="85" customFormat="1" ht="13.8" thickBot="1" x14ac:dyDescent="0.3">
      <c r="A1164" s="82"/>
      <c r="B1164" s="82"/>
      <c r="C1164" s="82"/>
      <c r="D1164" s="731"/>
      <c r="E1164" s="390" t="s">
        <v>184</v>
      </c>
      <c r="F1164" s="391">
        <v>55</v>
      </c>
      <c r="G1164" s="392">
        <v>8</v>
      </c>
      <c r="H1164" s="393">
        <v>12.5</v>
      </c>
      <c r="I1164" s="394">
        <v>1.02</v>
      </c>
      <c r="J1164" s="395">
        <f t="shared" si="124"/>
        <v>8.16</v>
      </c>
      <c r="K1164" s="221">
        <f t="shared" si="139"/>
        <v>0</v>
      </c>
      <c r="L1164" s="222">
        <f t="shared" si="140"/>
        <v>0</v>
      </c>
      <c r="M1164" s="222">
        <f t="shared" si="141"/>
        <v>0</v>
      </c>
      <c r="N1164" s="222">
        <f t="shared" si="142"/>
        <v>0</v>
      </c>
      <c r="O1164" s="222">
        <f t="shared" si="143"/>
        <v>7.8580800000000002</v>
      </c>
      <c r="P1164" s="222">
        <f t="shared" si="144"/>
        <v>0</v>
      </c>
      <c r="Q1164" s="564">
        <f t="shared" si="145"/>
        <v>0</v>
      </c>
      <c r="R1164" s="539"/>
      <c r="T1164" s="82"/>
      <c r="U1164" s="82"/>
      <c r="V1164" s="82"/>
      <c r="W1164" s="82"/>
      <c r="X1164" s="82"/>
      <c r="Y1164" s="82"/>
      <c r="Z1164" s="82"/>
      <c r="AA1164" s="82"/>
      <c r="AB1164" s="82"/>
    </row>
    <row r="1165" spans="1:28" s="85" customFormat="1" ht="13.8" thickTop="1" x14ac:dyDescent="0.25">
      <c r="A1165" s="82"/>
      <c r="B1165" s="82"/>
      <c r="C1165" s="82"/>
      <c r="D1165" s="728" t="s">
        <v>1712</v>
      </c>
      <c r="E1165" s="384" t="s">
        <v>49</v>
      </c>
      <c r="F1165" s="385">
        <v>7</v>
      </c>
      <c r="G1165" s="386">
        <v>16</v>
      </c>
      <c r="H1165" s="387">
        <v>5</v>
      </c>
      <c r="I1165" s="388">
        <v>0.34</v>
      </c>
      <c r="J1165" s="389">
        <f t="shared" si="124"/>
        <v>5.44</v>
      </c>
      <c r="K1165" s="218">
        <f t="shared" si="139"/>
        <v>0.83776000000000006</v>
      </c>
      <c r="L1165" s="219">
        <f t="shared" si="140"/>
        <v>0</v>
      </c>
      <c r="M1165" s="219">
        <f t="shared" si="141"/>
        <v>0</v>
      </c>
      <c r="N1165" s="219">
        <f t="shared" si="142"/>
        <v>0</v>
      </c>
      <c r="O1165" s="219">
        <f t="shared" si="143"/>
        <v>0</v>
      </c>
      <c r="P1165" s="219">
        <f t="shared" si="144"/>
        <v>0</v>
      </c>
      <c r="Q1165" s="563">
        <f t="shared" si="145"/>
        <v>0</v>
      </c>
      <c r="R1165" s="220"/>
      <c r="T1165" s="82"/>
      <c r="U1165" s="82"/>
      <c r="V1165" s="82"/>
      <c r="W1165" s="82"/>
      <c r="X1165" s="82"/>
      <c r="Y1165" s="82"/>
      <c r="Z1165" s="82"/>
      <c r="AA1165" s="82"/>
      <c r="AB1165" s="82"/>
    </row>
    <row r="1166" spans="1:28" s="85" customFormat="1" x14ac:dyDescent="0.25">
      <c r="A1166" s="82"/>
      <c r="B1166" s="82"/>
      <c r="C1166" s="82"/>
      <c r="D1166" s="729"/>
      <c r="E1166" s="371" t="s">
        <v>49</v>
      </c>
      <c r="F1166" s="372">
        <v>8</v>
      </c>
      <c r="G1166" s="373">
        <v>4</v>
      </c>
      <c r="H1166" s="374">
        <v>5</v>
      </c>
      <c r="I1166" s="375">
        <v>1.37</v>
      </c>
      <c r="J1166" s="376">
        <f t="shared" si="124"/>
        <v>5.48</v>
      </c>
      <c r="K1166" s="66">
        <f t="shared" si="139"/>
        <v>0.84392</v>
      </c>
      <c r="L1166" s="63">
        <f t="shared" si="140"/>
        <v>0</v>
      </c>
      <c r="M1166" s="63">
        <f t="shared" si="141"/>
        <v>0</v>
      </c>
      <c r="N1166" s="63">
        <f t="shared" si="142"/>
        <v>0</v>
      </c>
      <c r="O1166" s="63">
        <f t="shared" si="143"/>
        <v>0</v>
      </c>
      <c r="P1166" s="63">
        <f t="shared" si="144"/>
        <v>0</v>
      </c>
      <c r="Q1166" s="561">
        <f t="shared" si="145"/>
        <v>0</v>
      </c>
      <c r="R1166" s="174"/>
      <c r="T1166" s="82"/>
      <c r="U1166" s="82"/>
      <c r="V1166" s="82"/>
      <c r="W1166" s="82"/>
      <c r="X1166" s="82"/>
      <c r="Y1166" s="82"/>
      <c r="Z1166" s="82"/>
      <c r="AA1166" s="82"/>
      <c r="AB1166" s="82"/>
    </row>
    <row r="1167" spans="1:28" s="85" customFormat="1" x14ac:dyDescent="0.25">
      <c r="A1167" s="82"/>
      <c r="B1167" s="82"/>
      <c r="C1167" s="82"/>
      <c r="D1167" s="729"/>
      <c r="E1167" s="371" t="s">
        <v>49</v>
      </c>
      <c r="F1167" s="372">
        <v>9</v>
      </c>
      <c r="G1167" s="373">
        <v>8</v>
      </c>
      <c r="H1167" s="374">
        <v>5</v>
      </c>
      <c r="I1167" s="375">
        <v>0.94</v>
      </c>
      <c r="J1167" s="376">
        <f t="shared" si="124"/>
        <v>7.52</v>
      </c>
      <c r="K1167" s="66">
        <f t="shared" si="139"/>
        <v>1.15808</v>
      </c>
      <c r="L1167" s="63">
        <f t="shared" si="140"/>
        <v>0</v>
      </c>
      <c r="M1167" s="63">
        <f t="shared" si="141"/>
        <v>0</v>
      </c>
      <c r="N1167" s="63">
        <f t="shared" si="142"/>
        <v>0</v>
      </c>
      <c r="O1167" s="63">
        <f t="shared" si="143"/>
        <v>0</v>
      </c>
      <c r="P1167" s="63">
        <f t="shared" si="144"/>
        <v>0</v>
      </c>
      <c r="Q1167" s="561">
        <f t="shared" si="145"/>
        <v>0</v>
      </c>
      <c r="R1167" s="174"/>
      <c r="T1167" s="82"/>
      <c r="U1167" s="82"/>
      <c r="V1167" s="82"/>
      <c r="W1167" s="82"/>
      <c r="X1167" s="82"/>
      <c r="Y1167" s="82"/>
      <c r="Z1167" s="82"/>
      <c r="AA1167" s="82"/>
      <c r="AB1167" s="82"/>
    </row>
    <row r="1168" spans="1:28" s="85" customFormat="1" x14ac:dyDescent="0.25">
      <c r="A1168" s="82"/>
      <c r="B1168" s="82"/>
      <c r="C1168" s="82"/>
      <c r="D1168" s="729"/>
      <c r="E1168" s="371" t="s">
        <v>49</v>
      </c>
      <c r="F1168" s="372">
        <v>19</v>
      </c>
      <c r="G1168" s="373">
        <v>8</v>
      </c>
      <c r="H1168" s="374">
        <v>12.5</v>
      </c>
      <c r="I1168" s="375">
        <v>1.45</v>
      </c>
      <c r="J1168" s="376">
        <f t="shared" si="124"/>
        <v>11.6</v>
      </c>
      <c r="K1168" s="66">
        <f t="shared" si="139"/>
        <v>0</v>
      </c>
      <c r="L1168" s="63">
        <f t="shared" si="140"/>
        <v>0</v>
      </c>
      <c r="M1168" s="63">
        <f t="shared" si="141"/>
        <v>0</v>
      </c>
      <c r="N1168" s="63">
        <f t="shared" si="142"/>
        <v>0</v>
      </c>
      <c r="O1168" s="63">
        <f t="shared" si="143"/>
        <v>11.1708</v>
      </c>
      <c r="P1168" s="63">
        <f t="shared" si="144"/>
        <v>0</v>
      </c>
      <c r="Q1168" s="561">
        <f t="shared" si="145"/>
        <v>0</v>
      </c>
      <c r="R1168" s="174"/>
      <c r="T1168" s="82"/>
      <c r="U1168" s="82"/>
      <c r="V1168" s="82"/>
      <c r="W1168" s="82"/>
      <c r="X1168" s="82"/>
      <c r="Y1168" s="82"/>
      <c r="Z1168" s="82"/>
      <c r="AA1168" s="82"/>
      <c r="AB1168" s="82"/>
    </row>
    <row r="1169" spans="1:28" s="85" customFormat="1" x14ac:dyDescent="0.25">
      <c r="A1169" s="82"/>
      <c r="B1169" s="82"/>
      <c r="C1169" s="82"/>
      <c r="D1169" s="729"/>
      <c r="E1169" s="371" t="s">
        <v>113</v>
      </c>
      <c r="F1169" s="372">
        <v>11</v>
      </c>
      <c r="G1169" s="373">
        <v>54</v>
      </c>
      <c r="H1169" s="374">
        <v>5</v>
      </c>
      <c r="I1169" s="375">
        <v>0.34</v>
      </c>
      <c r="J1169" s="376">
        <f t="shared" si="124"/>
        <v>18.360000000000003</v>
      </c>
      <c r="K1169" s="66">
        <f t="shared" si="139"/>
        <v>2.8274400000000006</v>
      </c>
      <c r="L1169" s="63">
        <f t="shared" si="140"/>
        <v>0</v>
      </c>
      <c r="M1169" s="63">
        <f t="shared" si="141"/>
        <v>0</v>
      </c>
      <c r="N1169" s="63">
        <f t="shared" si="142"/>
        <v>0</v>
      </c>
      <c r="O1169" s="63">
        <f t="shared" si="143"/>
        <v>0</v>
      </c>
      <c r="P1169" s="63">
        <f t="shared" si="144"/>
        <v>0</v>
      </c>
      <c r="Q1169" s="561">
        <f t="shared" si="145"/>
        <v>0</v>
      </c>
      <c r="R1169" s="174"/>
      <c r="T1169" s="82"/>
      <c r="U1169" s="82"/>
      <c r="V1169" s="82"/>
      <c r="W1169" s="82"/>
      <c r="X1169" s="82"/>
      <c r="Y1169" s="82"/>
      <c r="Z1169" s="82"/>
      <c r="AA1169" s="82"/>
      <c r="AB1169" s="82"/>
    </row>
    <row r="1170" spans="1:28" s="85" customFormat="1" x14ac:dyDescent="0.25">
      <c r="A1170" s="82"/>
      <c r="B1170" s="82"/>
      <c r="C1170" s="82"/>
      <c r="D1170" s="729"/>
      <c r="E1170" s="371" t="s">
        <v>113</v>
      </c>
      <c r="F1170" s="372">
        <v>12</v>
      </c>
      <c r="G1170" s="373">
        <v>23</v>
      </c>
      <c r="H1170" s="374">
        <v>5</v>
      </c>
      <c r="I1170" s="375">
        <v>1.37</v>
      </c>
      <c r="J1170" s="376">
        <f t="shared" si="124"/>
        <v>31.51</v>
      </c>
      <c r="K1170" s="66">
        <f t="shared" si="139"/>
        <v>4.8525400000000003</v>
      </c>
      <c r="L1170" s="63">
        <f t="shared" si="140"/>
        <v>0</v>
      </c>
      <c r="M1170" s="63">
        <f t="shared" si="141"/>
        <v>0</v>
      </c>
      <c r="N1170" s="63">
        <f t="shared" si="142"/>
        <v>0</v>
      </c>
      <c r="O1170" s="63">
        <f t="shared" si="143"/>
        <v>0</v>
      </c>
      <c r="P1170" s="63">
        <f t="shared" si="144"/>
        <v>0</v>
      </c>
      <c r="Q1170" s="561">
        <f t="shared" si="145"/>
        <v>0</v>
      </c>
      <c r="R1170" s="174"/>
      <c r="T1170" s="82"/>
      <c r="U1170" s="82"/>
      <c r="V1170" s="82"/>
      <c r="W1170" s="82"/>
      <c r="X1170" s="82"/>
      <c r="Y1170" s="82"/>
      <c r="Z1170" s="82"/>
      <c r="AA1170" s="82"/>
      <c r="AB1170" s="82"/>
    </row>
    <row r="1171" spans="1:28" s="85" customFormat="1" x14ac:dyDescent="0.25">
      <c r="A1171" s="82"/>
      <c r="B1171" s="82"/>
      <c r="C1171" s="82"/>
      <c r="D1171" s="729"/>
      <c r="E1171" s="371" t="s">
        <v>113</v>
      </c>
      <c r="F1171" s="372">
        <v>13</v>
      </c>
      <c r="G1171" s="373">
        <v>8</v>
      </c>
      <c r="H1171" s="374">
        <v>5</v>
      </c>
      <c r="I1171" s="375">
        <v>0.94</v>
      </c>
      <c r="J1171" s="376">
        <f t="shared" si="124"/>
        <v>7.52</v>
      </c>
      <c r="K1171" s="66">
        <f t="shared" si="139"/>
        <v>1.15808</v>
      </c>
      <c r="L1171" s="63">
        <f t="shared" si="140"/>
        <v>0</v>
      </c>
      <c r="M1171" s="63">
        <f t="shared" si="141"/>
        <v>0</v>
      </c>
      <c r="N1171" s="63">
        <f t="shared" si="142"/>
        <v>0</v>
      </c>
      <c r="O1171" s="63">
        <f t="shared" si="143"/>
        <v>0</v>
      </c>
      <c r="P1171" s="63">
        <f t="shared" si="144"/>
        <v>0</v>
      </c>
      <c r="Q1171" s="561">
        <f t="shared" si="145"/>
        <v>0</v>
      </c>
      <c r="R1171" s="174"/>
      <c r="T1171" s="82"/>
      <c r="U1171" s="82"/>
      <c r="V1171" s="82"/>
      <c r="W1171" s="82"/>
      <c r="X1171" s="82"/>
      <c r="Y1171" s="82"/>
      <c r="Z1171" s="82"/>
      <c r="AA1171" s="82"/>
      <c r="AB1171" s="82"/>
    </row>
    <row r="1172" spans="1:28" s="85" customFormat="1" x14ac:dyDescent="0.25">
      <c r="A1172" s="82"/>
      <c r="B1172" s="82"/>
      <c r="C1172" s="82"/>
      <c r="D1172" s="729"/>
      <c r="E1172" s="371" t="s">
        <v>113</v>
      </c>
      <c r="F1172" s="372">
        <v>30</v>
      </c>
      <c r="G1172" s="373">
        <v>8</v>
      </c>
      <c r="H1172" s="374">
        <v>12.5</v>
      </c>
      <c r="I1172" s="375">
        <v>3.87</v>
      </c>
      <c r="J1172" s="376">
        <f t="shared" si="124"/>
        <v>30.96</v>
      </c>
      <c r="K1172" s="66">
        <f t="shared" si="139"/>
        <v>0</v>
      </c>
      <c r="L1172" s="63">
        <f t="shared" si="140"/>
        <v>0</v>
      </c>
      <c r="M1172" s="63">
        <f t="shared" si="141"/>
        <v>0</v>
      </c>
      <c r="N1172" s="63">
        <f t="shared" si="142"/>
        <v>0</v>
      </c>
      <c r="O1172" s="63">
        <f t="shared" si="143"/>
        <v>29.81448</v>
      </c>
      <c r="P1172" s="63">
        <f t="shared" si="144"/>
        <v>0</v>
      </c>
      <c r="Q1172" s="561">
        <f t="shared" si="145"/>
        <v>0</v>
      </c>
      <c r="R1172" s="174"/>
      <c r="T1172" s="82"/>
      <c r="U1172" s="82"/>
      <c r="V1172" s="82"/>
      <c r="W1172" s="82"/>
      <c r="X1172" s="82"/>
      <c r="Y1172" s="82"/>
      <c r="Z1172" s="82"/>
      <c r="AA1172" s="82"/>
      <c r="AB1172" s="82"/>
    </row>
    <row r="1173" spans="1:28" s="85" customFormat="1" x14ac:dyDescent="0.25">
      <c r="A1173" s="82"/>
      <c r="B1173" s="82"/>
      <c r="C1173" s="82"/>
      <c r="D1173" s="729"/>
      <c r="E1173" s="396" t="s">
        <v>184</v>
      </c>
      <c r="F1173" s="403">
        <v>9</v>
      </c>
      <c r="G1173" s="397">
        <v>18</v>
      </c>
      <c r="H1173" s="398">
        <v>5</v>
      </c>
      <c r="I1173" s="399">
        <v>0.34</v>
      </c>
      <c r="J1173" s="400">
        <f t="shared" si="124"/>
        <v>6.12</v>
      </c>
      <c r="K1173" s="401">
        <f t="shared" si="139"/>
        <v>0.94247999999999998</v>
      </c>
      <c r="L1173" s="196">
        <f t="shared" si="140"/>
        <v>0</v>
      </c>
      <c r="M1173" s="196">
        <f t="shared" si="141"/>
        <v>0</v>
      </c>
      <c r="N1173" s="196">
        <f t="shared" si="142"/>
        <v>0</v>
      </c>
      <c r="O1173" s="196">
        <f t="shared" si="143"/>
        <v>0</v>
      </c>
      <c r="P1173" s="196">
        <f t="shared" si="144"/>
        <v>0</v>
      </c>
      <c r="Q1173" s="566">
        <f t="shared" si="145"/>
        <v>0</v>
      </c>
      <c r="R1173" s="538"/>
      <c r="T1173" s="82"/>
      <c r="U1173" s="82"/>
      <c r="V1173" s="82"/>
      <c r="W1173" s="82"/>
      <c r="X1173" s="82"/>
      <c r="Y1173" s="82"/>
      <c r="Z1173" s="82"/>
      <c r="AA1173" s="82"/>
      <c r="AB1173" s="82"/>
    </row>
    <row r="1174" spans="1:28" s="85" customFormat="1" x14ac:dyDescent="0.25">
      <c r="A1174" s="82"/>
      <c r="B1174" s="82"/>
      <c r="C1174" s="82"/>
      <c r="D1174" s="729"/>
      <c r="E1174" s="371" t="s">
        <v>184</v>
      </c>
      <c r="F1174" s="372">
        <v>10</v>
      </c>
      <c r="G1174" s="373">
        <v>7</v>
      </c>
      <c r="H1174" s="374">
        <v>5</v>
      </c>
      <c r="I1174" s="375">
        <v>1.37</v>
      </c>
      <c r="J1174" s="376">
        <f t="shared" si="124"/>
        <v>9.59</v>
      </c>
      <c r="K1174" s="66">
        <f t="shared" si="139"/>
        <v>1.4768600000000001</v>
      </c>
      <c r="L1174" s="63">
        <f t="shared" si="140"/>
        <v>0</v>
      </c>
      <c r="M1174" s="63">
        <f t="shared" si="141"/>
        <v>0</v>
      </c>
      <c r="N1174" s="63">
        <f t="shared" si="142"/>
        <v>0</v>
      </c>
      <c r="O1174" s="63">
        <f t="shared" si="143"/>
        <v>0</v>
      </c>
      <c r="P1174" s="63">
        <f t="shared" si="144"/>
        <v>0</v>
      </c>
      <c r="Q1174" s="562">
        <f t="shared" si="145"/>
        <v>0</v>
      </c>
      <c r="R1174" s="377"/>
      <c r="T1174" s="82"/>
      <c r="U1174" s="82"/>
      <c r="V1174" s="82"/>
      <c r="W1174" s="82"/>
      <c r="X1174" s="82"/>
      <c r="Y1174" s="82"/>
      <c r="Z1174" s="82"/>
      <c r="AA1174" s="82"/>
      <c r="AB1174" s="82"/>
    </row>
    <row r="1175" spans="1:28" s="85" customFormat="1" x14ac:dyDescent="0.25">
      <c r="A1175" s="82"/>
      <c r="B1175" s="82"/>
      <c r="C1175" s="82"/>
      <c r="D1175" s="729"/>
      <c r="E1175" s="371" t="s">
        <v>184</v>
      </c>
      <c r="F1175" s="372">
        <v>11</v>
      </c>
      <c r="G1175" s="373">
        <v>4</v>
      </c>
      <c r="H1175" s="374">
        <v>5</v>
      </c>
      <c r="I1175" s="375">
        <v>0.94</v>
      </c>
      <c r="J1175" s="376">
        <f t="shared" si="124"/>
        <v>3.76</v>
      </c>
      <c r="K1175" s="66">
        <f t="shared" si="139"/>
        <v>0.57904</v>
      </c>
      <c r="L1175" s="63">
        <f t="shared" si="140"/>
        <v>0</v>
      </c>
      <c r="M1175" s="63">
        <f t="shared" si="141"/>
        <v>0</v>
      </c>
      <c r="N1175" s="63">
        <f t="shared" si="142"/>
        <v>0</v>
      </c>
      <c r="O1175" s="63">
        <f t="shared" si="143"/>
        <v>0</v>
      </c>
      <c r="P1175" s="63">
        <f t="shared" si="144"/>
        <v>0</v>
      </c>
      <c r="Q1175" s="562">
        <f t="shared" si="145"/>
        <v>0</v>
      </c>
      <c r="R1175" s="377"/>
      <c r="T1175" s="82"/>
      <c r="U1175" s="82"/>
      <c r="V1175" s="82"/>
      <c r="W1175" s="82"/>
      <c r="X1175" s="82"/>
      <c r="Y1175" s="82"/>
      <c r="Z1175" s="82"/>
      <c r="AA1175" s="82"/>
      <c r="AB1175" s="82"/>
    </row>
    <row r="1176" spans="1:28" s="85" customFormat="1" ht="13.8" thickBot="1" x14ac:dyDescent="0.3">
      <c r="A1176" s="82"/>
      <c r="B1176" s="82"/>
      <c r="C1176" s="82"/>
      <c r="D1176" s="731"/>
      <c r="E1176" s="390" t="s">
        <v>184</v>
      </c>
      <c r="F1176" s="391">
        <v>55</v>
      </c>
      <c r="G1176" s="392">
        <v>8</v>
      </c>
      <c r="H1176" s="393">
        <v>12.5</v>
      </c>
      <c r="I1176" s="394">
        <v>1.02</v>
      </c>
      <c r="J1176" s="395">
        <f t="shared" si="124"/>
        <v>8.16</v>
      </c>
      <c r="K1176" s="221">
        <f t="shared" si="139"/>
        <v>0</v>
      </c>
      <c r="L1176" s="222">
        <f t="shared" si="140"/>
        <v>0</v>
      </c>
      <c r="M1176" s="222">
        <f t="shared" si="141"/>
        <v>0</v>
      </c>
      <c r="N1176" s="222">
        <f t="shared" si="142"/>
        <v>0</v>
      </c>
      <c r="O1176" s="222">
        <f t="shared" si="143"/>
        <v>7.8580800000000002</v>
      </c>
      <c r="P1176" s="222">
        <f t="shared" si="144"/>
        <v>0</v>
      </c>
      <c r="Q1176" s="564">
        <f t="shared" si="145"/>
        <v>0</v>
      </c>
      <c r="R1176" s="539"/>
      <c r="T1176" s="82"/>
      <c r="U1176" s="82"/>
      <c r="V1176" s="82"/>
      <c r="W1176" s="82"/>
      <c r="X1176" s="82"/>
      <c r="Y1176" s="82"/>
      <c r="Z1176" s="82"/>
      <c r="AA1176" s="82"/>
      <c r="AB1176" s="82"/>
    </row>
    <row r="1177" spans="1:28" s="85" customFormat="1" ht="26.25" customHeight="1" thickTop="1" x14ac:dyDescent="0.25">
      <c r="A1177" s="82"/>
      <c r="B1177" s="82"/>
      <c r="C1177" s="82"/>
      <c r="D1177" s="728" t="s">
        <v>1735</v>
      </c>
      <c r="E1177" s="371" t="s">
        <v>113</v>
      </c>
      <c r="F1177" s="372">
        <v>3</v>
      </c>
      <c r="G1177" s="373">
        <f>2*4</f>
        <v>8</v>
      </c>
      <c r="H1177" s="374">
        <v>5</v>
      </c>
      <c r="I1177" s="375">
        <v>0.66</v>
      </c>
      <c r="J1177" s="376">
        <f t="shared" si="124"/>
        <v>5.28</v>
      </c>
      <c r="K1177" s="66">
        <f t="shared" si="139"/>
        <v>0.81312000000000006</v>
      </c>
      <c r="L1177" s="63">
        <f t="shared" si="140"/>
        <v>0</v>
      </c>
      <c r="M1177" s="63">
        <f t="shared" si="141"/>
        <v>0</v>
      </c>
      <c r="N1177" s="63">
        <f t="shared" si="142"/>
        <v>0</v>
      </c>
      <c r="O1177" s="63">
        <f t="shared" si="143"/>
        <v>0</v>
      </c>
      <c r="P1177" s="63">
        <f t="shared" si="144"/>
        <v>0</v>
      </c>
      <c r="Q1177" s="561">
        <f t="shared" si="145"/>
        <v>0</v>
      </c>
      <c r="R1177" s="174"/>
      <c r="T1177" s="82"/>
      <c r="U1177" s="82"/>
      <c r="V1177" s="82"/>
      <c r="W1177" s="82"/>
      <c r="X1177" s="82"/>
      <c r="Y1177" s="82"/>
      <c r="Z1177" s="82"/>
      <c r="AA1177" s="82"/>
      <c r="AB1177" s="82"/>
    </row>
    <row r="1178" spans="1:28" s="85" customFormat="1" x14ac:dyDescent="0.25">
      <c r="A1178" s="82"/>
      <c r="B1178" s="82"/>
      <c r="C1178" s="82"/>
      <c r="D1178" s="729"/>
      <c r="E1178" s="371" t="s">
        <v>113</v>
      </c>
      <c r="F1178" s="372">
        <v>66</v>
      </c>
      <c r="G1178" s="373">
        <f>2*6</f>
        <v>12</v>
      </c>
      <c r="H1178" s="374">
        <v>12.5</v>
      </c>
      <c r="I1178" s="375">
        <v>1.0900000000000001</v>
      </c>
      <c r="J1178" s="376">
        <f t="shared" si="124"/>
        <v>13.080000000000002</v>
      </c>
      <c r="K1178" s="66">
        <f t="shared" si="139"/>
        <v>0</v>
      </c>
      <c r="L1178" s="63">
        <f t="shared" si="140"/>
        <v>0</v>
      </c>
      <c r="M1178" s="63">
        <f t="shared" si="141"/>
        <v>0</v>
      </c>
      <c r="N1178" s="63">
        <f t="shared" si="142"/>
        <v>0</v>
      </c>
      <c r="O1178" s="63">
        <f t="shared" si="143"/>
        <v>12.596040000000002</v>
      </c>
      <c r="P1178" s="63">
        <f t="shared" si="144"/>
        <v>0</v>
      </c>
      <c r="Q1178" s="561">
        <f t="shared" si="145"/>
        <v>0</v>
      </c>
      <c r="R1178" s="174"/>
      <c r="T1178" s="82"/>
      <c r="U1178" s="82"/>
      <c r="V1178" s="82"/>
      <c r="W1178" s="82"/>
      <c r="X1178" s="82"/>
      <c r="Y1178" s="82"/>
      <c r="Z1178" s="82"/>
      <c r="AA1178" s="82"/>
      <c r="AB1178" s="82"/>
    </row>
    <row r="1179" spans="1:28" s="85" customFormat="1" x14ac:dyDescent="0.25">
      <c r="A1179" s="82"/>
      <c r="B1179" s="82"/>
      <c r="C1179" s="82"/>
      <c r="D1179" s="729"/>
      <c r="E1179" s="396" t="s">
        <v>184</v>
      </c>
      <c r="F1179" s="403">
        <v>25</v>
      </c>
      <c r="G1179" s="397">
        <f>2*6</f>
        <v>12</v>
      </c>
      <c r="H1179" s="398">
        <v>5</v>
      </c>
      <c r="I1179" s="399">
        <v>0.67</v>
      </c>
      <c r="J1179" s="400">
        <f t="shared" si="124"/>
        <v>8.0400000000000009</v>
      </c>
      <c r="K1179" s="401">
        <f t="shared" si="139"/>
        <v>1.2381600000000001</v>
      </c>
      <c r="L1179" s="196">
        <f t="shared" si="140"/>
        <v>0</v>
      </c>
      <c r="M1179" s="196">
        <f t="shared" si="141"/>
        <v>0</v>
      </c>
      <c r="N1179" s="196">
        <f t="shared" si="142"/>
        <v>0</v>
      </c>
      <c r="O1179" s="196">
        <f t="shared" si="143"/>
        <v>0</v>
      </c>
      <c r="P1179" s="196">
        <f t="shared" si="144"/>
        <v>0</v>
      </c>
      <c r="Q1179" s="566">
        <f t="shared" si="145"/>
        <v>0</v>
      </c>
      <c r="R1179" s="538"/>
      <c r="T1179" s="82"/>
      <c r="U1179" s="82"/>
      <c r="V1179" s="82"/>
      <c r="W1179" s="82"/>
      <c r="X1179" s="82"/>
      <c r="Y1179" s="82"/>
      <c r="Z1179" s="82"/>
      <c r="AA1179" s="82"/>
      <c r="AB1179" s="82"/>
    </row>
    <row r="1180" spans="1:28" s="85" customFormat="1" x14ac:dyDescent="0.25">
      <c r="A1180" s="82"/>
      <c r="B1180" s="82"/>
      <c r="C1180" s="82"/>
      <c r="D1180" s="729"/>
      <c r="E1180" s="371" t="s">
        <v>184</v>
      </c>
      <c r="F1180" s="372">
        <v>26</v>
      </c>
      <c r="G1180" s="373">
        <f>2*2</f>
        <v>4</v>
      </c>
      <c r="H1180" s="374">
        <v>5</v>
      </c>
      <c r="I1180" s="375">
        <v>0.49</v>
      </c>
      <c r="J1180" s="376">
        <f t="shared" si="124"/>
        <v>1.96</v>
      </c>
      <c r="K1180" s="66">
        <f t="shared" si="139"/>
        <v>0.30184</v>
      </c>
      <c r="L1180" s="63">
        <f t="shared" si="140"/>
        <v>0</v>
      </c>
      <c r="M1180" s="63">
        <f t="shared" si="141"/>
        <v>0</v>
      </c>
      <c r="N1180" s="63">
        <f t="shared" si="142"/>
        <v>0</v>
      </c>
      <c r="O1180" s="63">
        <f t="shared" si="143"/>
        <v>0</v>
      </c>
      <c r="P1180" s="63">
        <f t="shared" si="144"/>
        <v>0</v>
      </c>
      <c r="Q1180" s="562">
        <f t="shared" si="145"/>
        <v>0</v>
      </c>
      <c r="R1180" s="377"/>
      <c r="T1180" s="82"/>
      <c r="U1180" s="82"/>
      <c r="V1180" s="82"/>
      <c r="W1180" s="82"/>
      <c r="X1180" s="82"/>
      <c r="Y1180" s="82"/>
      <c r="Z1180" s="82"/>
      <c r="AA1180" s="82"/>
      <c r="AB1180" s="82"/>
    </row>
    <row r="1181" spans="1:28" s="85" customFormat="1" ht="13.8" thickBot="1" x14ac:dyDescent="0.3">
      <c r="A1181" s="82"/>
      <c r="B1181" s="82"/>
      <c r="C1181" s="82"/>
      <c r="D1181" s="731"/>
      <c r="E1181" s="378" t="s">
        <v>184</v>
      </c>
      <c r="F1181" s="379">
        <v>55</v>
      </c>
      <c r="G1181" s="380">
        <f>2*6</f>
        <v>12</v>
      </c>
      <c r="H1181" s="381">
        <v>12.5</v>
      </c>
      <c r="I1181" s="382">
        <v>1.02</v>
      </c>
      <c r="J1181" s="383">
        <f t="shared" si="124"/>
        <v>12.24</v>
      </c>
      <c r="K1181" s="66">
        <f t="shared" si="139"/>
        <v>0</v>
      </c>
      <c r="L1181" s="63">
        <f t="shared" si="140"/>
        <v>0</v>
      </c>
      <c r="M1181" s="63">
        <f t="shared" si="141"/>
        <v>0</v>
      </c>
      <c r="N1181" s="63">
        <f t="shared" si="142"/>
        <v>0</v>
      </c>
      <c r="O1181" s="63">
        <f t="shared" si="143"/>
        <v>11.78712</v>
      </c>
      <c r="P1181" s="63">
        <f t="shared" si="144"/>
        <v>0</v>
      </c>
      <c r="Q1181" s="562">
        <f t="shared" si="145"/>
        <v>0</v>
      </c>
      <c r="R1181" s="377"/>
      <c r="T1181" s="82"/>
      <c r="U1181" s="82"/>
      <c r="V1181" s="82"/>
      <c r="W1181" s="82"/>
      <c r="X1181" s="82"/>
      <c r="Y1181" s="82"/>
      <c r="Z1181" s="82"/>
      <c r="AA1181" s="82"/>
      <c r="AB1181" s="82"/>
    </row>
    <row r="1182" spans="1:28" s="85" customFormat="1" ht="13.8" thickTop="1" x14ac:dyDescent="0.25">
      <c r="A1182" s="82"/>
      <c r="B1182" s="82"/>
      <c r="C1182" s="82"/>
      <c r="D1182" s="787" t="s">
        <v>1737</v>
      </c>
      <c r="E1182" s="384" t="s">
        <v>113</v>
      </c>
      <c r="F1182" s="385">
        <v>2</v>
      </c>
      <c r="G1182" s="386">
        <v>4</v>
      </c>
      <c r="H1182" s="387">
        <v>5</v>
      </c>
      <c r="I1182" s="388">
        <v>0.67</v>
      </c>
      <c r="J1182" s="587">
        <f t="shared" ref="J1182:J1396" si="146">G1182*I1182</f>
        <v>2.68</v>
      </c>
      <c r="K1182" s="66">
        <f t="shared" ref="K1182:K1229" si="147">IF($H1182=5,$J1182*$B$21,0)</f>
        <v>0.41272000000000003</v>
      </c>
      <c r="L1182" s="63">
        <f t="shared" ref="L1182:L1229" si="148">IF($H1182=6.3,$J1182*$B$22,0)</f>
        <v>0</v>
      </c>
      <c r="M1182" s="63">
        <f t="shared" ref="M1182:M1229" si="149">IF($H1182=8,$J1182*$B$23,0)</f>
        <v>0</v>
      </c>
      <c r="N1182" s="63">
        <f t="shared" ref="N1182:N1229" si="150">IF($H1182=10,$J1182*$B$24,0)</f>
        <v>0</v>
      </c>
      <c r="O1182" s="63">
        <f t="shared" ref="O1182:O1229" si="151">IF($H1182=12.5,$J1182*$B$26,0)</f>
        <v>0</v>
      </c>
      <c r="P1182" s="63">
        <f t="shared" ref="P1182:P1229" si="152">IF($H1182=16,$J1182*$B$27,0)</f>
        <v>0</v>
      </c>
      <c r="Q1182" s="561">
        <f t="shared" si="145"/>
        <v>0</v>
      </c>
      <c r="R1182" s="174"/>
      <c r="T1182" s="82"/>
      <c r="U1182" s="82"/>
      <c r="V1182" s="82"/>
      <c r="W1182" s="82"/>
      <c r="X1182" s="82"/>
      <c r="Y1182" s="82"/>
      <c r="Z1182" s="82"/>
      <c r="AA1182" s="82"/>
      <c r="AB1182" s="82"/>
    </row>
    <row r="1183" spans="1:28" s="85" customFormat="1" x14ac:dyDescent="0.25">
      <c r="A1183" s="82"/>
      <c r="B1183" s="82"/>
      <c r="C1183" s="82"/>
      <c r="D1183" s="788"/>
      <c r="E1183" s="371" t="s">
        <v>113</v>
      </c>
      <c r="F1183" s="372">
        <v>57</v>
      </c>
      <c r="G1183" s="373">
        <v>8</v>
      </c>
      <c r="H1183" s="374">
        <v>12.5</v>
      </c>
      <c r="I1183" s="375">
        <v>1.0900000000000001</v>
      </c>
      <c r="J1183" s="588">
        <f t="shared" si="146"/>
        <v>8.7200000000000006</v>
      </c>
      <c r="K1183" s="66">
        <f t="shared" si="147"/>
        <v>0</v>
      </c>
      <c r="L1183" s="63">
        <f t="shared" si="148"/>
        <v>0</v>
      </c>
      <c r="M1183" s="63">
        <f t="shared" si="149"/>
        <v>0</v>
      </c>
      <c r="N1183" s="63">
        <f t="shared" si="150"/>
        <v>0</v>
      </c>
      <c r="O1183" s="63">
        <f t="shared" si="151"/>
        <v>8.3973600000000008</v>
      </c>
      <c r="P1183" s="63">
        <f t="shared" si="152"/>
        <v>0</v>
      </c>
      <c r="Q1183" s="561">
        <f t="shared" si="145"/>
        <v>0</v>
      </c>
      <c r="R1183" s="174"/>
      <c r="T1183" s="82"/>
      <c r="U1183" s="82"/>
      <c r="V1183" s="82"/>
      <c r="W1183" s="82"/>
      <c r="X1183" s="82"/>
      <c r="Y1183" s="82"/>
      <c r="Z1183" s="82"/>
      <c r="AA1183" s="82"/>
      <c r="AB1183" s="82"/>
    </row>
    <row r="1184" spans="1:28" s="85" customFormat="1" x14ac:dyDescent="0.25">
      <c r="A1184" s="82"/>
      <c r="B1184" s="82"/>
      <c r="C1184" s="82"/>
      <c r="D1184" s="788"/>
      <c r="E1184" s="396" t="s">
        <v>184</v>
      </c>
      <c r="F1184" s="403">
        <v>25</v>
      </c>
      <c r="G1184" s="397">
        <v>6</v>
      </c>
      <c r="H1184" s="398">
        <v>5</v>
      </c>
      <c r="I1184" s="399">
        <v>0.67</v>
      </c>
      <c r="J1184" s="589">
        <f t="shared" si="146"/>
        <v>4.0200000000000005</v>
      </c>
      <c r="K1184" s="401">
        <f t="shared" si="147"/>
        <v>0.61908000000000007</v>
      </c>
      <c r="L1184" s="196">
        <f t="shared" si="148"/>
        <v>0</v>
      </c>
      <c r="M1184" s="196">
        <f t="shared" si="149"/>
        <v>0</v>
      </c>
      <c r="N1184" s="196">
        <f t="shared" si="150"/>
        <v>0</v>
      </c>
      <c r="O1184" s="196">
        <f t="shared" si="151"/>
        <v>0</v>
      </c>
      <c r="P1184" s="196">
        <f t="shared" si="152"/>
        <v>0</v>
      </c>
      <c r="Q1184" s="566">
        <f t="shared" si="145"/>
        <v>0</v>
      </c>
      <c r="R1184" s="538"/>
      <c r="T1184" s="82"/>
      <c r="U1184" s="82"/>
      <c r="V1184" s="82"/>
      <c r="W1184" s="82"/>
      <c r="X1184" s="82"/>
      <c r="Y1184" s="82"/>
      <c r="Z1184" s="82"/>
      <c r="AA1184" s="82"/>
      <c r="AB1184" s="82"/>
    </row>
    <row r="1185" spans="1:28" s="85" customFormat="1" x14ac:dyDescent="0.25">
      <c r="A1185" s="82"/>
      <c r="B1185" s="82"/>
      <c r="C1185" s="82"/>
      <c r="D1185" s="788"/>
      <c r="E1185" s="371" t="s">
        <v>184</v>
      </c>
      <c r="F1185" s="372">
        <v>26</v>
      </c>
      <c r="G1185" s="373">
        <v>2</v>
      </c>
      <c r="H1185" s="374">
        <v>5</v>
      </c>
      <c r="I1185" s="375">
        <v>0.49</v>
      </c>
      <c r="J1185" s="588">
        <f t="shared" si="146"/>
        <v>0.98</v>
      </c>
      <c r="K1185" s="66">
        <f t="shared" si="147"/>
        <v>0.15092</v>
      </c>
      <c r="L1185" s="63">
        <f t="shared" si="148"/>
        <v>0</v>
      </c>
      <c r="M1185" s="63">
        <f t="shared" si="149"/>
        <v>0</v>
      </c>
      <c r="N1185" s="63">
        <f t="shared" si="150"/>
        <v>0</v>
      </c>
      <c r="O1185" s="63">
        <f t="shared" si="151"/>
        <v>0</v>
      </c>
      <c r="P1185" s="63">
        <f t="shared" si="152"/>
        <v>0</v>
      </c>
      <c r="Q1185" s="562">
        <f t="shared" si="145"/>
        <v>0</v>
      </c>
      <c r="R1185" s="377"/>
      <c r="T1185" s="82"/>
      <c r="U1185" s="82"/>
      <c r="V1185" s="82"/>
      <c r="W1185" s="82"/>
      <c r="X1185" s="82"/>
      <c r="Y1185" s="82"/>
      <c r="Z1185" s="82"/>
      <c r="AA1185" s="82"/>
      <c r="AB1185" s="82"/>
    </row>
    <row r="1186" spans="1:28" s="85" customFormat="1" ht="13.8" thickBot="1" x14ac:dyDescent="0.3">
      <c r="A1186" s="82"/>
      <c r="B1186" s="82"/>
      <c r="C1186" s="82"/>
      <c r="D1186" s="789"/>
      <c r="E1186" s="390" t="s">
        <v>184</v>
      </c>
      <c r="F1186" s="391">
        <v>55</v>
      </c>
      <c r="G1186" s="392">
        <v>8</v>
      </c>
      <c r="H1186" s="393">
        <v>12.5</v>
      </c>
      <c r="I1186" s="394">
        <v>1.02</v>
      </c>
      <c r="J1186" s="590">
        <f t="shared" si="146"/>
        <v>8.16</v>
      </c>
      <c r="K1186" s="66">
        <f t="shared" si="147"/>
        <v>0</v>
      </c>
      <c r="L1186" s="63">
        <f t="shared" si="148"/>
        <v>0</v>
      </c>
      <c r="M1186" s="63">
        <f t="shared" si="149"/>
        <v>0</v>
      </c>
      <c r="N1186" s="63">
        <f t="shared" si="150"/>
        <v>0</v>
      </c>
      <c r="O1186" s="63">
        <f t="shared" si="151"/>
        <v>7.8580800000000002</v>
      </c>
      <c r="P1186" s="63">
        <f t="shared" si="152"/>
        <v>0</v>
      </c>
      <c r="Q1186" s="562">
        <f t="shared" si="145"/>
        <v>0</v>
      </c>
      <c r="R1186" s="377"/>
      <c r="T1186" s="82"/>
      <c r="U1186" s="82"/>
      <c r="V1186" s="82"/>
      <c r="W1186" s="82"/>
      <c r="X1186" s="82"/>
      <c r="Y1186" s="82"/>
      <c r="Z1186" s="82"/>
      <c r="AA1186" s="82"/>
      <c r="AB1186" s="82"/>
    </row>
    <row r="1187" spans="1:28" s="85" customFormat="1" ht="13.8" thickTop="1" x14ac:dyDescent="0.25">
      <c r="A1187" s="82"/>
      <c r="B1187" s="82"/>
      <c r="C1187" s="82"/>
      <c r="D1187" s="728" t="s">
        <v>1740</v>
      </c>
      <c r="E1187" s="384" t="s">
        <v>113</v>
      </c>
      <c r="F1187" s="385">
        <v>2</v>
      </c>
      <c r="G1187" s="386">
        <v>4</v>
      </c>
      <c r="H1187" s="387">
        <v>5</v>
      </c>
      <c r="I1187" s="388">
        <v>0.67</v>
      </c>
      <c r="J1187" s="587">
        <f t="shared" si="146"/>
        <v>2.68</v>
      </c>
      <c r="K1187" s="66">
        <f t="shared" si="147"/>
        <v>0.41272000000000003</v>
      </c>
      <c r="L1187" s="63">
        <f t="shared" si="148"/>
        <v>0</v>
      </c>
      <c r="M1187" s="63">
        <f t="shared" si="149"/>
        <v>0</v>
      </c>
      <c r="N1187" s="63">
        <f t="shared" si="150"/>
        <v>0</v>
      </c>
      <c r="O1187" s="63">
        <f t="shared" si="151"/>
        <v>0</v>
      </c>
      <c r="P1187" s="63">
        <f t="shared" si="152"/>
        <v>0</v>
      </c>
      <c r="Q1187" s="561">
        <f t="shared" si="145"/>
        <v>0</v>
      </c>
      <c r="R1187" s="174"/>
      <c r="T1187" s="82"/>
      <c r="U1187" s="82"/>
      <c r="V1187" s="82"/>
      <c r="W1187" s="82"/>
      <c r="X1187" s="82"/>
      <c r="Y1187" s="82"/>
      <c r="Z1187" s="82"/>
      <c r="AA1187" s="82"/>
      <c r="AB1187" s="82"/>
    </row>
    <row r="1188" spans="1:28" s="85" customFormat="1" x14ac:dyDescent="0.25">
      <c r="A1188" s="82"/>
      <c r="B1188" s="82"/>
      <c r="C1188" s="82"/>
      <c r="D1188" s="729"/>
      <c r="E1188" s="371" t="s">
        <v>113</v>
      </c>
      <c r="F1188" s="372">
        <v>57</v>
      </c>
      <c r="G1188" s="373">
        <v>6</v>
      </c>
      <c r="H1188" s="374">
        <v>12.5</v>
      </c>
      <c r="I1188" s="375">
        <v>1.0900000000000001</v>
      </c>
      <c r="J1188" s="588">
        <f t="shared" si="146"/>
        <v>6.5400000000000009</v>
      </c>
      <c r="K1188" s="66">
        <f t="shared" si="147"/>
        <v>0</v>
      </c>
      <c r="L1188" s="63">
        <f t="shared" si="148"/>
        <v>0</v>
      </c>
      <c r="M1188" s="63">
        <f t="shared" si="149"/>
        <v>0</v>
      </c>
      <c r="N1188" s="63">
        <f t="shared" si="150"/>
        <v>0</v>
      </c>
      <c r="O1188" s="63">
        <f t="shared" si="151"/>
        <v>6.2980200000000011</v>
      </c>
      <c r="P1188" s="63">
        <f t="shared" si="152"/>
        <v>0</v>
      </c>
      <c r="Q1188" s="561">
        <f t="shared" si="145"/>
        <v>0</v>
      </c>
      <c r="R1188" s="174"/>
      <c r="T1188" s="82"/>
      <c r="U1188" s="82"/>
      <c r="V1188" s="82"/>
      <c r="W1188" s="82"/>
      <c r="X1188" s="82"/>
      <c r="Y1188" s="82"/>
      <c r="Z1188" s="82"/>
      <c r="AA1188" s="82"/>
      <c r="AB1188" s="82"/>
    </row>
    <row r="1189" spans="1:28" s="85" customFormat="1" x14ac:dyDescent="0.25">
      <c r="A1189" s="82"/>
      <c r="B1189" s="82"/>
      <c r="C1189" s="82"/>
      <c r="D1189" s="729"/>
      <c r="E1189" s="396" t="s">
        <v>184</v>
      </c>
      <c r="F1189" s="403">
        <v>25</v>
      </c>
      <c r="G1189" s="397">
        <f>6</f>
        <v>6</v>
      </c>
      <c r="H1189" s="398">
        <v>5</v>
      </c>
      <c r="I1189" s="399">
        <v>0.67</v>
      </c>
      <c r="J1189" s="589">
        <f t="shared" si="146"/>
        <v>4.0200000000000005</v>
      </c>
      <c r="K1189" s="401">
        <f t="shared" si="147"/>
        <v>0.61908000000000007</v>
      </c>
      <c r="L1189" s="196">
        <f t="shared" si="148"/>
        <v>0</v>
      </c>
      <c r="M1189" s="196">
        <f t="shared" si="149"/>
        <v>0</v>
      </c>
      <c r="N1189" s="196">
        <f t="shared" si="150"/>
        <v>0</v>
      </c>
      <c r="O1189" s="196">
        <f t="shared" si="151"/>
        <v>0</v>
      </c>
      <c r="P1189" s="196">
        <f t="shared" si="152"/>
        <v>0</v>
      </c>
      <c r="Q1189" s="566">
        <f t="shared" si="145"/>
        <v>0</v>
      </c>
      <c r="R1189" s="538"/>
      <c r="T1189" s="82"/>
      <c r="U1189" s="82"/>
      <c r="V1189" s="82"/>
      <c r="W1189" s="82"/>
      <c r="X1189" s="82"/>
      <c r="Y1189" s="82"/>
      <c r="Z1189" s="82"/>
      <c r="AA1189" s="82"/>
      <c r="AB1189" s="82"/>
    </row>
    <row r="1190" spans="1:28" s="85" customFormat="1" x14ac:dyDescent="0.25">
      <c r="A1190" s="82"/>
      <c r="B1190" s="82"/>
      <c r="C1190" s="82"/>
      <c r="D1190" s="729"/>
      <c r="E1190" s="371" t="s">
        <v>184</v>
      </c>
      <c r="F1190" s="372">
        <v>26</v>
      </c>
      <c r="G1190" s="373">
        <f>2</f>
        <v>2</v>
      </c>
      <c r="H1190" s="374">
        <v>5</v>
      </c>
      <c r="I1190" s="375">
        <v>0.49</v>
      </c>
      <c r="J1190" s="588">
        <f t="shared" si="146"/>
        <v>0.98</v>
      </c>
      <c r="K1190" s="66">
        <f t="shared" si="147"/>
        <v>0.15092</v>
      </c>
      <c r="L1190" s="63">
        <f t="shared" si="148"/>
        <v>0</v>
      </c>
      <c r="M1190" s="63">
        <f t="shared" si="149"/>
        <v>0</v>
      </c>
      <c r="N1190" s="63">
        <f t="shared" si="150"/>
        <v>0</v>
      </c>
      <c r="O1190" s="63">
        <f t="shared" si="151"/>
        <v>0</v>
      </c>
      <c r="P1190" s="63">
        <f t="shared" si="152"/>
        <v>0</v>
      </c>
      <c r="Q1190" s="562">
        <f t="shared" si="145"/>
        <v>0</v>
      </c>
      <c r="R1190" s="377"/>
      <c r="T1190" s="82"/>
      <c r="U1190" s="82"/>
      <c r="V1190" s="82"/>
      <c r="W1190" s="82"/>
      <c r="X1190" s="82"/>
      <c r="Y1190" s="82"/>
      <c r="Z1190" s="82"/>
      <c r="AA1190" s="82"/>
      <c r="AB1190" s="82"/>
    </row>
    <row r="1191" spans="1:28" s="85" customFormat="1" ht="13.8" thickBot="1" x14ac:dyDescent="0.3">
      <c r="A1191" s="82"/>
      <c r="B1191" s="82"/>
      <c r="C1191" s="82"/>
      <c r="D1191" s="731"/>
      <c r="E1191" s="390" t="s">
        <v>184</v>
      </c>
      <c r="F1191" s="391">
        <v>55</v>
      </c>
      <c r="G1191" s="392">
        <f>6</f>
        <v>6</v>
      </c>
      <c r="H1191" s="393">
        <v>12.5</v>
      </c>
      <c r="I1191" s="394">
        <v>1.02</v>
      </c>
      <c r="J1191" s="590">
        <f t="shared" si="146"/>
        <v>6.12</v>
      </c>
      <c r="K1191" s="66">
        <f t="shared" si="147"/>
        <v>0</v>
      </c>
      <c r="L1191" s="63">
        <f t="shared" si="148"/>
        <v>0</v>
      </c>
      <c r="M1191" s="63">
        <f t="shared" si="149"/>
        <v>0</v>
      </c>
      <c r="N1191" s="63">
        <f t="shared" si="150"/>
        <v>0</v>
      </c>
      <c r="O1191" s="63">
        <f t="shared" si="151"/>
        <v>5.8935599999999999</v>
      </c>
      <c r="P1191" s="63">
        <f t="shared" si="152"/>
        <v>0</v>
      </c>
      <c r="Q1191" s="562">
        <f t="shared" si="145"/>
        <v>0</v>
      </c>
      <c r="R1191" s="377"/>
      <c r="T1191" s="82"/>
      <c r="U1191" s="82"/>
      <c r="V1191" s="82"/>
      <c r="W1191" s="82"/>
      <c r="X1191" s="82"/>
      <c r="Y1191" s="82"/>
      <c r="Z1191" s="82"/>
      <c r="AA1191" s="82"/>
      <c r="AB1191" s="82"/>
    </row>
    <row r="1192" spans="1:28" s="85" customFormat="1" ht="26.25" customHeight="1" thickTop="1" x14ac:dyDescent="0.25">
      <c r="A1192" s="82"/>
      <c r="B1192" s="82"/>
      <c r="C1192" s="82"/>
      <c r="D1192" s="728" t="s">
        <v>1750</v>
      </c>
      <c r="E1192" s="384" t="s">
        <v>113</v>
      </c>
      <c r="F1192" s="385">
        <v>3</v>
      </c>
      <c r="G1192" s="386">
        <f>2*4</f>
        <v>8</v>
      </c>
      <c r="H1192" s="387">
        <v>5</v>
      </c>
      <c r="I1192" s="388">
        <v>0.76</v>
      </c>
      <c r="J1192" s="587">
        <f t="shared" si="146"/>
        <v>6.08</v>
      </c>
      <c r="K1192" s="66">
        <f t="shared" si="147"/>
        <v>0.93632000000000004</v>
      </c>
      <c r="L1192" s="63">
        <f t="shared" si="148"/>
        <v>0</v>
      </c>
      <c r="M1192" s="63">
        <f t="shared" si="149"/>
        <v>0</v>
      </c>
      <c r="N1192" s="63">
        <f t="shared" si="150"/>
        <v>0</v>
      </c>
      <c r="O1192" s="63">
        <f t="shared" si="151"/>
        <v>0</v>
      </c>
      <c r="P1192" s="63">
        <f t="shared" si="152"/>
        <v>0</v>
      </c>
      <c r="Q1192" s="561">
        <f t="shared" si="145"/>
        <v>0</v>
      </c>
      <c r="R1192" s="174"/>
      <c r="T1192" s="82"/>
      <c r="U1192" s="82"/>
      <c r="V1192" s="82"/>
      <c r="W1192" s="82"/>
      <c r="X1192" s="82"/>
      <c r="Y1192" s="82"/>
      <c r="Z1192" s="82"/>
      <c r="AA1192" s="82"/>
      <c r="AB1192" s="82"/>
    </row>
    <row r="1193" spans="1:28" s="85" customFormat="1" x14ac:dyDescent="0.25">
      <c r="A1193" s="82"/>
      <c r="B1193" s="82"/>
      <c r="C1193" s="82"/>
      <c r="D1193" s="729"/>
      <c r="E1193" s="371" t="s">
        <v>113</v>
      </c>
      <c r="F1193" s="372">
        <v>57</v>
      </c>
      <c r="G1193" s="373">
        <f>2*4</f>
        <v>8</v>
      </c>
      <c r="H1193" s="374">
        <v>12.5</v>
      </c>
      <c r="I1193" s="375">
        <v>1.0900000000000001</v>
      </c>
      <c r="J1193" s="588">
        <f t="shared" si="146"/>
        <v>8.7200000000000006</v>
      </c>
      <c r="K1193" s="66">
        <f t="shared" si="147"/>
        <v>0</v>
      </c>
      <c r="L1193" s="63">
        <f t="shared" si="148"/>
        <v>0</v>
      </c>
      <c r="M1193" s="63">
        <f t="shared" si="149"/>
        <v>0</v>
      </c>
      <c r="N1193" s="63">
        <f t="shared" si="150"/>
        <v>0</v>
      </c>
      <c r="O1193" s="63">
        <f t="shared" si="151"/>
        <v>8.3973600000000008</v>
      </c>
      <c r="P1193" s="63">
        <f t="shared" si="152"/>
        <v>0</v>
      </c>
      <c r="Q1193" s="561">
        <f t="shared" si="145"/>
        <v>0</v>
      </c>
      <c r="R1193" s="174"/>
      <c r="T1193" s="82"/>
      <c r="U1193" s="82"/>
      <c r="V1193" s="82"/>
      <c r="W1193" s="82"/>
      <c r="X1193" s="82"/>
      <c r="Y1193" s="82"/>
      <c r="Z1193" s="82"/>
      <c r="AA1193" s="82"/>
      <c r="AB1193" s="82"/>
    </row>
    <row r="1194" spans="1:28" s="85" customFormat="1" x14ac:dyDescent="0.25">
      <c r="A1194" s="82"/>
      <c r="B1194" s="82"/>
      <c r="C1194" s="82"/>
      <c r="D1194" s="729"/>
      <c r="E1194" s="396" t="s">
        <v>184</v>
      </c>
      <c r="F1194" s="403">
        <v>23</v>
      </c>
      <c r="G1194" s="397">
        <f>2*6</f>
        <v>12</v>
      </c>
      <c r="H1194" s="398">
        <v>5</v>
      </c>
      <c r="I1194" s="399">
        <v>0.77</v>
      </c>
      <c r="J1194" s="589">
        <f t="shared" si="146"/>
        <v>9.24</v>
      </c>
      <c r="K1194" s="401">
        <f t="shared" si="147"/>
        <v>1.42296</v>
      </c>
      <c r="L1194" s="196">
        <f t="shared" si="148"/>
        <v>0</v>
      </c>
      <c r="M1194" s="196">
        <f t="shared" si="149"/>
        <v>0</v>
      </c>
      <c r="N1194" s="196">
        <f t="shared" si="150"/>
        <v>0</v>
      </c>
      <c r="O1194" s="196">
        <f t="shared" si="151"/>
        <v>0</v>
      </c>
      <c r="P1194" s="196">
        <f t="shared" si="152"/>
        <v>0</v>
      </c>
      <c r="Q1194" s="566">
        <f t="shared" si="145"/>
        <v>0</v>
      </c>
      <c r="R1194" s="538"/>
      <c r="T1194" s="82"/>
      <c r="U1194" s="82"/>
      <c r="V1194" s="82"/>
      <c r="W1194" s="82"/>
      <c r="X1194" s="82"/>
      <c r="Y1194" s="82"/>
      <c r="Z1194" s="82"/>
      <c r="AA1194" s="82"/>
      <c r="AB1194" s="82"/>
    </row>
    <row r="1195" spans="1:28" s="85" customFormat="1" x14ac:dyDescent="0.25">
      <c r="A1195" s="82"/>
      <c r="B1195" s="82"/>
      <c r="C1195" s="82"/>
      <c r="D1195" s="729"/>
      <c r="E1195" s="371" t="s">
        <v>184</v>
      </c>
      <c r="F1195" s="372">
        <v>24</v>
      </c>
      <c r="G1195" s="373">
        <f>2*2</f>
        <v>4</v>
      </c>
      <c r="H1195" s="374">
        <v>5</v>
      </c>
      <c r="I1195" s="375">
        <v>0.59</v>
      </c>
      <c r="J1195" s="588">
        <f t="shared" si="146"/>
        <v>2.36</v>
      </c>
      <c r="K1195" s="66">
        <f t="shared" si="147"/>
        <v>0.36343999999999999</v>
      </c>
      <c r="L1195" s="63">
        <f t="shared" si="148"/>
        <v>0</v>
      </c>
      <c r="M1195" s="63">
        <f t="shared" si="149"/>
        <v>0</v>
      </c>
      <c r="N1195" s="63">
        <f t="shared" si="150"/>
        <v>0</v>
      </c>
      <c r="O1195" s="63">
        <f t="shared" si="151"/>
        <v>0</v>
      </c>
      <c r="P1195" s="63">
        <f t="shared" si="152"/>
        <v>0</v>
      </c>
      <c r="Q1195" s="562">
        <f t="shared" si="145"/>
        <v>0</v>
      </c>
      <c r="R1195" s="377"/>
      <c r="T1195" s="82"/>
      <c r="U1195" s="82"/>
      <c r="V1195" s="82"/>
      <c r="W1195" s="82"/>
      <c r="X1195" s="82"/>
      <c r="Y1195" s="82"/>
      <c r="Z1195" s="82"/>
      <c r="AA1195" s="82"/>
      <c r="AB1195" s="82"/>
    </row>
    <row r="1196" spans="1:28" s="85" customFormat="1" ht="13.8" thickBot="1" x14ac:dyDescent="0.3">
      <c r="A1196" s="82"/>
      <c r="B1196" s="82"/>
      <c r="C1196" s="82"/>
      <c r="D1196" s="731"/>
      <c r="E1196" s="390" t="s">
        <v>184</v>
      </c>
      <c r="F1196" s="391">
        <v>55</v>
      </c>
      <c r="G1196" s="392">
        <f>2*4</f>
        <v>8</v>
      </c>
      <c r="H1196" s="393">
        <v>12.5</v>
      </c>
      <c r="I1196" s="394">
        <v>1.02</v>
      </c>
      <c r="J1196" s="590">
        <f t="shared" si="146"/>
        <v>8.16</v>
      </c>
      <c r="K1196" s="66">
        <f t="shared" si="147"/>
        <v>0</v>
      </c>
      <c r="L1196" s="63">
        <f t="shared" si="148"/>
        <v>0</v>
      </c>
      <c r="M1196" s="63">
        <f t="shared" si="149"/>
        <v>0</v>
      </c>
      <c r="N1196" s="63">
        <f t="shared" si="150"/>
        <v>0</v>
      </c>
      <c r="O1196" s="63">
        <f t="shared" si="151"/>
        <v>7.8580800000000002</v>
      </c>
      <c r="P1196" s="63">
        <f t="shared" si="152"/>
        <v>0</v>
      </c>
      <c r="Q1196" s="562">
        <f t="shared" si="145"/>
        <v>0</v>
      </c>
      <c r="R1196" s="377"/>
      <c r="T1196" s="82"/>
      <c r="U1196" s="82"/>
      <c r="V1196" s="82"/>
      <c r="W1196" s="82"/>
      <c r="X1196" s="82"/>
      <c r="Y1196" s="82"/>
      <c r="Z1196" s="82"/>
      <c r="AA1196" s="82"/>
      <c r="AB1196" s="82"/>
    </row>
    <row r="1197" spans="1:28" s="16" customFormat="1" ht="15" customHeight="1" thickTop="1" thickBot="1" x14ac:dyDescent="0.3">
      <c r="D1197" s="776" t="s">
        <v>930</v>
      </c>
      <c r="E1197" s="777"/>
      <c r="F1197" s="777"/>
      <c r="G1197" s="777"/>
      <c r="H1197" s="777"/>
      <c r="I1197" s="777"/>
      <c r="J1197" s="777"/>
      <c r="K1197" s="777"/>
      <c r="L1197" s="777"/>
      <c r="M1197" s="777"/>
      <c r="N1197" s="777"/>
      <c r="O1197" s="777"/>
      <c r="P1197" s="777"/>
      <c r="Q1197" s="777"/>
      <c r="R1197" s="777"/>
      <c r="S1197" s="586"/>
    </row>
    <row r="1198" spans="1:28" s="85" customFormat="1" ht="13.8" thickTop="1" x14ac:dyDescent="0.25">
      <c r="A1198" s="82"/>
      <c r="B1198" s="82"/>
      <c r="C1198" s="82"/>
      <c r="D1198" s="728" t="s">
        <v>1794</v>
      </c>
      <c r="E1198" s="384" t="s">
        <v>49</v>
      </c>
      <c r="F1198" s="385">
        <v>1</v>
      </c>
      <c r="G1198" s="386">
        <v>5</v>
      </c>
      <c r="H1198" s="387">
        <v>5</v>
      </c>
      <c r="I1198" s="388">
        <v>0.28999999999999998</v>
      </c>
      <c r="J1198" s="389">
        <f t="shared" si="146"/>
        <v>1.45</v>
      </c>
      <c r="K1198" s="218">
        <f t="shared" si="147"/>
        <v>0.2233</v>
      </c>
      <c r="L1198" s="219">
        <f t="shared" si="148"/>
        <v>0</v>
      </c>
      <c r="M1198" s="219">
        <f t="shared" si="149"/>
        <v>0</v>
      </c>
      <c r="N1198" s="219">
        <f t="shared" si="150"/>
        <v>0</v>
      </c>
      <c r="O1198" s="219">
        <f t="shared" si="151"/>
        <v>0</v>
      </c>
      <c r="P1198" s="219">
        <f t="shared" si="152"/>
        <v>0</v>
      </c>
      <c r="Q1198" s="563">
        <f t="shared" si="145"/>
        <v>0</v>
      </c>
      <c r="R1198" s="220"/>
      <c r="T1198" s="82"/>
      <c r="U1198" s="82"/>
      <c r="V1198" s="82"/>
      <c r="W1198" s="82"/>
      <c r="X1198" s="82"/>
      <c r="Y1198" s="82"/>
      <c r="Z1198" s="82"/>
      <c r="AA1198" s="82"/>
      <c r="AB1198" s="82"/>
    </row>
    <row r="1199" spans="1:28" s="85" customFormat="1" x14ac:dyDescent="0.25">
      <c r="A1199" s="82"/>
      <c r="B1199" s="82"/>
      <c r="C1199" s="82"/>
      <c r="D1199" s="729"/>
      <c r="E1199" s="371" t="s">
        <v>49</v>
      </c>
      <c r="F1199" s="372">
        <v>2</v>
      </c>
      <c r="G1199" s="373">
        <v>10</v>
      </c>
      <c r="H1199" s="374">
        <v>5</v>
      </c>
      <c r="I1199" s="375">
        <v>0.74</v>
      </c>
      <c r="J1199" s="376">
        <f t="shared" si="146"/>
        <v>7.4</v>
      </c>
      <c r="K1199" s="66">
        <f t="shared" si="147"/>
        <v>1.1395999999999999</v>
      </c>
      <c r="L1199" s="63">
        <f t="shared" si="148"/>
        <v>0</v>
      </c>
      <c r="M1199" s="63">
        <f t="shared" si="149"/>
        <v>0</v>
      </c>
      <c r="N1199" s="63">
        <f t="shared" si="150"/>
        <v>0</v>
      </c>
      <c r="O1199" s="63">
        <f t="shared" si="151"/>
        <v>0</v>
      </c>
      <c r="P1199" s="63">
        <f t="shared" si="152"/>
        <v>0</v>
      </c>
      <c r="Q1199" s="561">
        <f t="shared" si="145"/>
        <v>0</v>
      </c>
      <c r="R1199" s="174"/>
      <c r="T1199" s="82"/>
      <c r="U1199" s="82"/>
      <c r="V1199" s="82"/>
      <c r="W1199" s="82"/>
      <c r="X1199" s="82"/>
      <c r="Y1199" s="82"/>
      <c r="Z1199" s="82"/>
      <c r="AA1199" s="82"/>
      <c r="AB1199" s="82"/>
    </row>
    <row r="1200" spans="1:28" s="85" customFormat="1" x14ac:dyDescent="0.25">
      <c r="A1200" s="82"/>
      <c r="B1200" s="82"/>
      <c r="C1200" s="82"/>
      <c r="D1200" s="729"/>
      <c r="E1200" s="371" t="s">
        <v>49</v>
      </c>
      <c r="F1200" s="372">
        <v>39</v>
      </c>
      <c r="G1200" s="373">
        <v>10</v>
      </c>
      <c r="H1200" s="374">
        <v>16</v>
      </c>
      <c r="I1200" s="375">
        <v>1.55</v>
      </c>
      <c r="J1200" s="376">
        <f t="shared" si="146"/>
        <v>15.5</v>
      </c>
      <c r="K1200" s="66">
        <f t="shared" si="147"/>
        <v>0</v>
      </c>
      <c r="L1200" s="63">
        <f t="shared" si="148"/>
        <v>0</v>
      </c>
      <c r="M1200" s="63">
        <f t="shared" si="149"/>
        <v>0</v>
      </c>
      <c r="N1200" s="63">
        <f t="shared" si="150"/>
        <v>0</v>
      </c>
      <c r="O1200" s="63">
        <f t="shared" si="151"/>
        <v>0</v>
      </c>
      <c r="P1200" s="63">
        <f t="shared" si="152"/>
        <v>24.459</v>
      </c>
      <c r="Q1200" s="561">
        <f t="shared" si="145"/>
        <v>0</v>
      </c>
      <c r="R1200" s="174"/>
      <c r="T1200" s="82"/>
      <c r="U1200" s="82"/>
      <c r="V1200" s="82"/>
      <c r="W1200" s="82"/>
      <c r="X1200" s="82"/>
      <c r="Y1200" s="82"/>
      <c r="Z1200" s="82"/>
      <c r="AA1200" s="82"/>
      <c r="AB1200" s="82"/>
    </row>
    <row r="1201" spans="1:28" s="85" customFormat="1" x14ac:dyDescent="0.25">
      <c r="A1201" s="82"/>
      <c r="B1201" s="82"/>
      <c r="C1201" s="82"/>
      <c r="D1201" s="729"/>
      <c r="E1201" s="371" t="s">
        <v>113</v>
      </c>
      <c r="F1201" s="372">
        <v>1</v>
      </c>
      <c r="G1201" s="373">
        <v>20</v>
      </c>
      <c r="H1201" s="374">
        <v>5</v>
      </c>
      <c r="I1201" s="375">
        <v>0.28999999999999998</v>
      </c>
      <c r="J1201" s="376">
        <f t="shared" si="146"/>
        <v>5.8</v>
      </c>
      <c r="K1201" s="66">
        <f t="shared" si="147"/>
        <v>0.89319999999999999</v>
      </c>
      <c r="L1201" s="63">
        <f t="shared" si="148"/>
        <v>0</v>
      </c>
      <c r="M1201" s="63">
        <f t="shared" si="149"/>
        <v>0</v>
      </c>
      <c r="N1201" s="63">
        <f t="shared" si="150"/>
        <v>0</v>
      </c>
      <c r="O1201" s="63">
        <f t="shared" si="151"/>
        <v>0</v>
      </c>
      <c r="P1201" s="63">
        <f t="shared" si="152"/>
        <v>0</v>
      </c>
      <c r="Q1201" s="561">
        <f t="shared" si="145"/>
        <v>0</v>
      </c>
      <c r="R1201" s="174"/>
      <c r="T1201" s="82"/>
      <c r="U1201" s="82"/>
      <c r="V1201" s="82"/>
      <c r="W1201" s="82"/>
      <c r="X1201" s="82"/>
      <c r="Y1201" s="82"/>
      <c r="Z1201" s="82"/>
      <c r="AA1201" s="82"/>
      <c r="AB1201" s="82"/>
    </row>
    <row r="1202" spans="1:28" s="85" customFormat="1" x14ac:dyDescent="0.25">
      <c r="A1202" s="82"/>
      <c r="B1202" s="82"/>
      <c r="C1202" s="82"/>
      <c r="D1202" s="729"/>
      <c r="E1202" s="371" t="s">
        <v>113</v>
      </c>
      <c r="F1202" s="372">
        <v>2</v>
      </c>
      <c r="G1202" s="373">
        <v>16</v>
      </c>
      <c r="H1202" s="374">
        <v>5</v>
      </c>
      <c r="I1202" s="375">
        <v>1.07</v>
      </c>
      <c r="J1202" s="376">
        <f t="shared" si="146"/>
        <v>17.12</v>
      </c>
      <c r="K1202" s="66">
        <f t="shared" si="147"/>
        <v>2.6364800000000002</v>
      </c>
      <c r="L1202" s="63">
        <f t="shared" si="148"/>
        <v>0</v>
      </c>
      <c r="M1202" s="63">
        <f t="shared" si="149"/>
        <v>0</v>
      </c>
      <c r="N1202" s="63">
        <f t="shared" si="150"/>
        <v>0</v>
      </c>
      <c r="O1202" s="63">
        <f t="shared" si="151"/>
        <v>0</v>
      </c>
      <c r="P1202" s="63">
        <f t="shared" si="152"/>
        <v>0</v>
      </c>
      <c r="Q1202" s="561">
        <f t="shared" si="145"/>
        <v>0</v>
      </c>
      <c r="R1202" s="174"/>
      <c r="T1202" s="82"/>
      <c r="U1202" s="82"/>
      <c r="V1202" s="82"/>
      <c r="W1202" s="82"/>
      <c r="X1202" s="82"/>
      <c r="Y1202" s="82"/>
      <c r="Z1202" s="82"/>
      <c r="AA1202" s="82"/>
      <c r="AB1202" s="82"/>
    </row>
    <row r="1203" spans="1:28" s="85" customFormat="1" x14ac:dyDescent="0.25">
      <c r="A1203" s="82"/>
      <c r="B1203" s="82"/>
      <c r="C1203" s="82"/>
      <c r="D1203" s="729"/>
      <c r="E1203" s="371" t="s">
        <v>113</v>
      </c>
      <c r="F1203" s="372">
        <v>3</v>
      </c>
      <c r="G1203" s="373">
        <v>8</v>
      </c>
      <c r="H1203" s="374">
        <v>5</v>
      </c>
      <c r="I1203" s="375">
        <v>0.74</v>
      </c>
      <c r="J1203" s="376">
        <f t="shared" si="146"/>
        <v>5.92</v>
      </c>
      <c r="K1203" s="66">
        <f t="shared" si="147"/>
        <v>0.91167999999999993</v>
      </c>
      <c r="L1203" s="63">
        <f t="shared" si="148"/>
        <v>0</v>
      </c>
      <c r="M1203" s="63">
        <f t="shared" si="149"/>
        <v>0</v>
      </c>
      <c r="N1203" s="63">
        <f t="shared" si="150"/>
        <v>0</v>
      </c>
      <c r="O1203" s="63">
        <f t="shared" si="151"/>
        <v>0</v>
      </c>
      <c r="P1203" s="63">
        <f t="shared" si="152"/>
        <v>0</v>
      </c>
      <c r="Q1203" s="561">
        <f t="shared" si="145"/>
        <v>0</v>
      </c>
      <c r="R1203" s="174"/>
      <c r="T1203" s="82"/>
      <c r="U1203" s="82"/>
      <c r="V1203" s="82"/>
      <c r="W1203" s="82"/>
      <c r="X1203" s="82"/>
      <c r="Y1203" s="82"/>
      <c r="Z1203" s="82"/>
      <c r="AA1203" s="82"/>
      <c r="AB1203" s="82"/>
    </row>
    <row r="1204" spans="1:28" s="85" customFormat="1" x14ac:dyDescent="0.25">
      <c r="A1204" s="82"/>
      <c r="B1204" s="82"/>
      <c r="C1204" s="82"/>
      <c r="D1204" s="729"/>
      <c r="E1204" s="371" t="s">
        <v>113</v>
      </c>
      <c r="F1204" s="372">
        <v>19</v>
      </c>
      <c r="G1204" s="373">
        <v>10</v>
      </c>
      <c r="H1204" s="374">
        <v>16</v>
      </c>
      <c r="I1204" s="375">
        <v>3.53</v>
      </c>
      <c r="J1204" s="376">
        <f t="shared" si="146"/>
        <v>35.299999999999997</v>
      </c>
      <c r="K1204" s="66">
        <f t="shared" si="147"/>
        <v>0</v>
      </c>
      <c r="L1204" s="63">
        <f t="shared" si="148"/>
        <v>0</v>
      </c>
      <c r="M1204" s="63">
        <f t="shared" si="149"/>
        <v>0</v>
      </c>
      <c r="N1204" s="63">
        <f t="shared" si="150"/>
        <v>0</v>
      </c>
      <c r="O1204" s="63">
        <f t="shared" si="151"/>
        <v>0</v>
      </c>
      <c r="P1204" s="63">
        <f t="shared" si="152"/>
        <v>55.703399999999995</v>
      </c>
      <c r="Q1204" s="561">
        <f t="shared" si="145"/>
        <v>0</v>
      </c>
      <c r="R1204" s="174"/>
      <c r="T1204" s="82"/>
      <c r="U1204" s="82"/>
      <c r="V1204" s="82"/>
      <c r="W1204" s="82"/>
      <c r="X1204" s="82"/>
      <c r="Y1204" s="82"/>
      <c r="Z1204" s="82"/>
      <c r="AA1204" s="82"/>
      <c r="AB1204" s="82"/>
    </row>
    <row r="1205" spans="1:28" s="85" customFormat="1" x14ac:dyDescent="0.25">
      <c r="A1205" s="82"/>
      <c r="B1205" s="82"/>
      <c r="C1205" s="82"/>
      <c r="D1205" s="729"/>
      <c r="E1205" s="371" t="s">
        <v>113</v>
      </c>
      <c r="F1205" s="372">
        <v>1</v>
      </c>
      <c r="G1205" s="373">
        <v>3</v>
      </c>
      <c r="H1205" s="374">
        <v>5</v>
      </c>
      <c r="I1205" s="375">
        <v>0.28999999999999998</v>
      </c>
      <c r="J1205" s="376">
        <f t="shared" ref="J1205" si="153">G1205*I1205</f>
        <v>0.86999999999999988</v>
      </c>
      <c r="K1205" s="66">
        <f t="shared" si="147"/>
        <v>0.13397999999999999</v>
      </c>
      <c r="L1205" s="63">
        <f t="shared" si="148"/>
        <v>0</v>
      </c>
      <c r="M1205" s="63">
        <f t="shared" si="149"/>
        <v>0</v>
      </c>
      <c r="N1205" s="63">
        <f t="shared" si="150"/>
        <v>0</v>
      </c>
      <c r="O1205" s="63">
        <f t="shared" si="151"/>
        <v>0</v>
      </c>
      <c r="P1205" s="63">
        <f t="shared" si="152"/>
        <v>0</v>
      </c>
      <c r="Q1205" s="561">
        <f t="shared" si="145"/>
        <v>0</v>
      </c>
      <c r="R1205" s="174"/>
      <c r="T1205" s="82"/>
      <c r="U1205" s="82"/>
      <c r="V1205" s="82"/>
      <c r="W1205" s="82"/>
      <c r="X1205" s="82"/>
      <c r="Y1205" s="82"/>
      <c r="Z1205" s="82"/>
      <c r="AA1205" s="82"/>
      <c r="AB1205" s="82"/>
    </row>
    <row r="1206" spans="1:28" s="85" customFormat="1" x14ac:dyDescent="0.25">
      <c r="A1206" s="82"/>
      <c r="B1206" s="82"/>
      <c r="C1206" s="82"/>
      <c r="D1206" s="729"/>
      <c r="E1206" s="371" t="s">
        <v>113</v>
      </c>
      <c r="F1206" s="372">
        <v>2</v>
      </c>
      <c r="G1206" s="373">
        <v>3</v>
      </c>
      <c r="H1206" s="374">
        <v>5</v>
      </c>
      <c r="I1206" s="375">
        <v>1.07</v>
      </c>
      <c r="J1206" s="376">
        <f t="shared" si="146"/>
        <v>3.21</v>
      </c>
      <c r="K1206" s="66">
        <f t="shared" si="147"/>
        <v>0.49434</v>
      </c>
      <c r="L1206" s="63">
        <f t="shared" si="148"/>
        <v>0</v>
      </c>
      <c r="M1206" s="63">
        <f t="shared" si="149"/>
        <v>0</v>
      </c>
      <c r="N1206" s="63">
        <f t="shared" si="150"/>
        <v>0</v>
      </c>
      <c r="O1206" s="63">
        <f t="shared" si="151"/>
        <v>0</v>
      </c>
      <c r="P1206" s="63">
        <f t="shared" si="152"/>
        <v>0</v>
      </c>
      <c r="Q1206" s="561">
        <f t="shared" si="145"/>
        <v>0</v>
      </c>
      <c r="R1206" s="174"/>
      <c r="T1206" s="82"/>
      <c r="U1206" s="82"/>
      <c r="V1206" s="82"/>
      <c r="W1206" s="82"/>
      <c r="X1206" s="82"/>
      <c r="Y1206" s="82"/>
      <c r="Z1206" s="82"/>
      <c r="AA1206" s="82"/>
      <c r="AB1206" s="82"/>
    </row>
    <row r="1207" spans="1:28" s="85" customFormat="1" x14ac:dyDescent="0.25">
      <c r="A1207" s="82"/>
      <c r="B1207" s="82"/>
      <c r="C1207" s="82"/>
      <c r="D1207" s="729"/>
      <c r="E1207" s="371" t="s">
        <v>113</v>
      </c>
      <c r="F1207" s="372">
        <v>7</v>
      </c>
      <c r="G1207" s="373">
        <v>10</v>
      </c>
      <c r="H1207" s="374">
        <v>16</v>
      </c>
      <c r="I1207" s="375">
        <v>0.98</v>
      </c>
      <c r="J1207" s="376">
        <f t="shared" ref="J1207" si="154">G1207*I1207</f>
        <v>9.8000000000000007</v>
      </c>
      <c r="K1207" s="66">
        <f t="shared" si="147"/>
        <v>0</v>
      </c>
      <c r="L1207" s="63">
        <f t="shared" si="148"/>
        <v>0</v>
      </c>
      <c r="M1207" s="63">
        <f t="shared" si="149"/>
        <v>0</v>
      </c>
      <c r="N1207" s="63">
        <f t="shared" si="150"/>
        <v>0</v>
      </c>
      <c r="O1207" s="63">
        <f t="shared" si="151"/>
        <v>0</v>
      </c>
      <c r="P1207" s="63">
        <f t="shared" si="152"/>
        <v>15.464400000000001</v>
      </c>
      <c r="Q1207" s="561">
        <f t="shared" si="145"/>
        <v>0</v>
      </c>
      <c r="R1207" s="174"/>
      <c r="T1207" s="82"/>
      <c r="U1207" s="82"/>
      <c r="V1207" s="82"/>
      <c r="W1207" s="82"/>
      <c r="X1207" s="82"/>
      <c r="Y1207" s="82"/>
      <c r="Z1207" s="82"/>
      <c r="AA1207" s="82"/>
      <c r="AB1207" s="82"/>
    </row>
    <row r="1208" spans="1:28" s="85" customFormat="1" x14ac:dyDescent="0.25">
      <c r="A1208" s="82"/>
      <c r="B1208" s="82"/>
      <c r="C1208" s="82"/>
      <c r="D1208" s="729"/>
      <c r="E1208" s="396" t="s">
        <v>184</v>
      </c>
      <c r="F1208" s="403">
        <v>1</v>
      </c>
      <c r="G1208" s="397">
        <v>2</v>
      </c>
      <c r="H1208" s="398">
        <v>5</v>
      </c>
      <c r="I1208" s="399">
        <v>0.28999999999999998</v>
      </c>
      <c r="J1208" s="400">
        <f t="shared" si="146"/>
        <v>0.57999999999999996</v>
      </c>
      <c r="K1208" s="401">
        <f t="shared" si="147"/>
        <v>8.9319999999999997E-2</v>
      </c>
      <c r="L1208" s="196">
        <f t="shared" si="148"/>
        <v>0</v>
      </c>
      <c r="M1208" s="196">
        <f t="shared" si="149"/>
        <v>0</v>
      </c>
      <c r="N1208" s="196">
        <f t="shared" si="150"/>
        <v>0</v>
      </c>
      <c r="O1208" s="196">
        <f t="shared" si="151"/>
        <v>0</v>
      </c>
      <c r="P1208" s="196">
        <f t="shared" si="152"/>
        <v>0</v>
      </c>
      <c r="Q1208" s="566">
        <f t="shared" si="145"/>
        <v>0</v>
      </c>
      <c r="R1208" s="538"/>
      <c r="T1208" s="82"/>
      <c r="U1208" s="82"/>
      <c r="V1208" s="82"/>
      <c r="W1208" s="82"/>
      <c r="X1208" s="82"/>
      <c r="Y1208" s="82"/>
      <c r="Z1208" s="82"/>
      <c r="AA1208" s="82"/>
      <c r="AB1208" s="82"/>
    </row>
    <row r="1209" spans="1:28" s="85" customFormat="1" x14ac:dyDescent="0.25">
      <c r="A1209" s="82"/>
      <c r="B1209" s="82"/>
      <c r="C1209" s="82"/>
      <c r="D1209" s="729"/>
      <c r="E1209" s="371" t="s">
        <v>184</v>
      </c>
      <c r="F1209" s="372">
        <v>2</v>
      </c>
      <c r="G1209" s="373">
        <v>4</v>
      </c>
      <c r="H1209" s="374">
        <v>5</v>
      </c>
      <c r="I1209" s="375">
        <v>0.74</v>
      </c>
      <c r="J1209" s="376">
        <f t="shared" si="146"/>
        <v>2.96</v>
      </c>
      <c r="K1209" s="66">
        <f t="shared" si="147"/>
        <v>0.45583999999999997</v>
      </c>
      <c r="L1209" s="63">
        <f t="shared" si="148"/>
        <v>0</v>
      </c>
      <c r="M1209" s="63">
        <f t="shared" si="149"/>
        <v>0</v>
      </c>
      <c r="N1209" s="63">
        <f t="shared" si="150"/>
        <v>0</v>
      </c>
      <c r="O1209" s="63">
        <f t="shared" si="151"/>
        <v>0</v>
      </c>
      <c r="P1209" s="63">
        <f t="shared" si="152"/>
        <v>0</v>
      </c>
      <c r="Q1209" s="562">
        <f t="shared" si="145"/>
        <v>0</v>
      </c>
      <c r="R1209" s="377"/>
      <c r="T1209" s="82"/>
      <c r="U1209" s="82"/>
      <c r="V1209" s="82"/>
      <c r="W1209" s="82"/>
      <c r="X1209" s="82"/>
      <c r="Y1209" s="82"/>
      <c r="Z1209" s="82"/>
      <c r="AA1209" s="82"/>
      <c r="AB1209" s="82"/>
    </row>
    <row r="1210" spans="1:28" s="85" customFormat="1" x14ac:dyDescent="0.25">
      <c r="A1210" s="82"/>
      <c r="B1210" s="82"/>
      <c r="C1210" s="82"/>
      <c r="D1210" s="729"/>
      <c r="E1210" s="371" t="s">
        <v>184</v>
      </c>
      <c r="F1210" s="372">
        <v>12</v>
      </c>
      <c r="G1210" s="373">
        <v>10</v>
      </c>
      <c r="H1210" s="374">
        <v>16</v>
      </c>
      <c r="I1210" s="375">
        <v>0.32</v>
      </c>
      <c r="J1210" s="376">
        <f t="shared" si="146"/>
        <v>3.2</v>
      </c>
      <c r="K1210" s="66">
        <f t="shared" si="147"/>
        <v>0</v>
      </c>
      <c r="L1210" s="63">
        <f t="shared" si="148"/>
        <v>0</v>
      </c>
      <c r="M1210" s="63">
        <f t="shared" si="149"/>
        <v>0</v>
      </c>
      <c r="N1210" s="63">
        <f t="shared" si="150"/>
        <v>0</v>
      </c>
      <c r="O1210" s="63">
        <f t="shared" si="151"/>
        <v>0</v>
      </c>
      <c r="P1210" s="63">
        <f t="shared" si="152"/>
        <v>5.0496000000000008</v>
      </c>
      <c r="Q1210" s="562">
        <f t="shared" si="145"/>
        <v>0</v>
      </c>
      <c r="R1210" s="377"/>
      <c r="T1210" s="82"/>
      <c r="U1210" s="82"/>
      <c r="V1210" s="82"/>
      <c r="W1210" s="82"/>
      <c r="X1210" s="82"/>
      <c r="Y1210" s="82"/>
      <c r="Z1210" s="82"/>
      <c r="AA1210" s="82"/>
      <c r="AB1210" s="82"/>
    </row>
    <row r="1211" spans="1:28" s="85" customFormat="1" ht="13.8" thickBot="1" x14ac:dyDescent="0.3">
      <c r="A1211" s="82"/>
      <c r="B1211" s="82"/>
      <c r="C1211" s="82"/>
      <c r="D1211" s="731"/>
      <c r="E1211" s="390" t="s">
        <v>184</v>
      </c>
      <c r="F1211" s="391"/>
      <c r="G1211" s="392"/>
      <c r="H1211" s="393"/>
      <c r="I1211" s="394"/>
      <c r="J1211" s="395">
        <f t="shared" si="146"/>
        <v>0</v>
      </c>
      <c r="K1211" s="221">
        <f t="shared" si="147"/>
        <v>0</v>
      </c>
      <c r="L1211" s="222">
        <f t="shared" si="148"/>
        <v>0</v>
      </c>
      <c r="M1211" s="222">
        <f t="shared" si="149"/>
        <v>0</v>
      </c>
      <c r="N1211" s="222">
        <f t="shared" si="150"/>
        <v>0</v>
      </c>
      <c r="O1211" s="222">
        <f t="shared" si="151"/>
        <v>0</v>
      </c>
      <c r="P1211" s="222">
        <f t="shared" si="152"/>
        <v>0</v>
      </c>
      <c r="Q1211" s="564">
        <f t="shared" si="145"/>
        <v>0</v>
      </c>
      <c r="R1211" s="539"/>
      <c r="T1211" s="82"/>
      <c r="U1211" s="82"/>
      <c r="V1211" s="82"/>
      <c r="W1211" s="82"/>
      <c r="X1211" s="82"/>
      <c r="Y1211" s="82"/>
      <c r="Z1211" s="82"/>
      <c r="AA1211" s="82"/>
      <c r="AB1211" s="82"/>
    </row>
    <row r="1212" spans="1:28" s="85" customFormat="1" ht="13.8" thickTop="1" x14ac:dyDescent="0.25">
      <c r="A1212" s="82"/>
      <c r="B1212" s="82"/>
      <c r="C1212" s="82"/>
      <c r="D1212" s="728" t="s">
        <v>1795</v>
      </c>
      <c r="E1212" s="384" t="s">
        <v>49</v>
      </c>
      <c r="F1212" s="385">
        <v>12</v>
      </c>
      <c r="G1212" s="386">
        <f>2*7</f>
        <v>14</v>
      </c>
      <c r="H1212" s="387">
        <v>5</v>
      </c>
      <c r="I1212" s="388">
        <v>0.24</v>
      </c>
      <c r="J1212" s="389">
        <f t="shared" si="146"/>
        <v>3.36</v>
      </c>
      <c r="K1212" s="218">
        <f t="shared" si="147"/>
        <v>0.51744000000000001</v>
      </c>
      <c r="L1212" s="219">
        <f t="shared" si="148"/>
        <v>0</v>
      </c>
      <c r="M1212" s="219">
        <f t="shared" si="149"/>
        <v>0</v>
      </c>
      <c r="N1212" s="219">
        <f t="shared" si="150"/>
        <v>0</v>
      </c>
      <c r="O1212" s="219">
        <f t="shared" si="151"/>
        <v>0</v>
      </c>
      <c r="P1212" s="219">
        <f t="shared" si="152"/>
        <v>0</v>
      </c>
      <c r="Q1212" s="563">
        <f t="shared" si="145"/>
        <v>0</v>
      </c>
      <c r="R1212" s="220"/>
      <c r="T1212" s="82"/>
      <c r="U1212" s="82"/>
      <c r="V1212" s="82"/>
      <c r="W1212" s="82"/>
      <c r="X1212" s="82"/>
      <c r="Y1212" s="82"/>
      <c r="Z1212" s="82"/>
      <c r="AA1212" s="82"/>
      <c r="AB1212" s="82"/>
    </row>
    <row r="1213" spans="1:28" s="85" customFormat="1" x14ac:dyDescent="0.25">
      <c r="A1213" s="82"/>
      <c r="B1213" s="82"/>
      <c r="C1213" s="82"/>
      <c r="D1213" s="729"/>
      <c r="E1213" s="371" t="s">
        <v>49</v>
      </c>
      <c r="F1213" s="372">
        <v>13</v>
      </c>
      <c r="G1213" s="373">
        <f>2*4</f>
        <v>8</v>
      </c>
      <c r="H1213" s="374">
        <v>5</v>
      </c>
      <c r="I1213" s="375">
        <v>0.97</v>
      </c>
      <c r="J1213" s="376">
        <f t="shared" si="146"/>
        <v>7.76</v>
      </c>
      <c r="K1213" s="66">
        <f t="shared" si="147"/>
        <v>1.1950399999999999</v>
      </c>
      <c r="L1213" s="63">
        <f t="shared" si="148"/>
        <v>0</v>
      </c>
      <c r="M1213" s="63">
        <f t="shared" si="149"/>
        <v>0</v>
      </c>
      <c r="N1213" s="63">
        <f t="shared" si="150"/>
        <v>0</v>
      </c>
      <c r="O1213" s="63">
        <f t="shared" si="151"/>
        <v>0</v>
      </c>
      <c r="P1213" s="63">
        <f t="shared" si="152"/>
        <v>0</v>
      </c>
      <c r="Q1213" s="561">
        <f t="shared" si="145"/>
        <v>0</v>
      </c>
      <c r="R1213" s="174"/>
      <c r="T1213" s="82"/>
      <c r="U1213" s="82"/>
      <c r="V1213" s="82"/>
      <c r="W1213" s="82"/>
      <c r="X1213" s="82"/>
      <c r="Y1213" s="82"/>
      <c r="Z1213" s="82"/>
      <c r="AA1213" s="82"/>
      <c r="AB1213" s="82"/>
    </row>
    <row r="1214" spans="1:28" s="85" customFormat="1" x14ac:dyDescent="0.25">
      <c r="A1214" s="82"/>
      <c r="B1214" s="82"/>
      <c r="C1214" s="82"/>
      <c r="D1214" s="729"/>
      <c r="E1214" s="371" t="s">
        <v>49</v>
      </c>
      <c r="F1214" s="372">
        <v>14</v>
      </c>
      <c r="G1214" s="373">
        <f>2*6</f>
        <v>12</v>
      </c>
      <c r="H1214" s="374">
        <v>5</v>
      </c>
      <c r="I1214" s="375">
        <v>0.64</v>
      </c>
      <c r="J1214" s="376">
        <f t="shared" si="146"/>
        <v>7.68</v>
      </c>
      <c r="K1214" s="66">
        <f t="shared" si="147"/>
        <v>1.18272</v>
      </c>
      <c r="L1214" s="63">
        <f t="shared" si="148"/>
        <v>0</v>
      </c>
      <c r="M1214" s="63">
        <f t="shared" si="149"/>
        <v>0</v>
      </c>
      <c r="N1214" s="63">
        <f t="shared" si="150"/>
        <v>0</v>
      </c>
      <c r="O1214" s="63">
        <f t="shared" si="151"/>
        <v>0</v>
      </c>
      <c r="P1214" s="63">
        <f t="shared" si="152"/>
        <v>0</v>
      </c>
      <c r="Q1214" s="561">
        <f t="shared" si="145"/>
        <v>0</v>
      </c>
      <c r="R1214" s="174"/>
      <c r="T1214" s="82"/>
      <c r="U1214" s="82"/>
      <c r="V1214" s="82"/>
      <c r="W1214" s="82"/>
      <c r="X1214" s="82"/>
      <c r="Y1214" s="82"/>
      <c r="Z1214" s="82"/>
      <c r="AA1214" s="82"/>
      <c r="AB1214" s="82"/>
    </row>
    <row r="1215" spans="1:28" s="85" customFormat="1" x14ac:dyDescent="0.25">
      <c r="A1215" s="82"/>
      <c r="B1215" s="82"/>
      <c r="C1215" s="82"/>
      <c r="D1215" s="729"/>
      <c r="E1215" s="371" t="s">
        <v>49</v>
      </c>
      <c r="F1215" s="372">
        <v>39</v>
      </c>
      <c r="G1215" s="373">
        <f>2*6</f>
        <v>12</v>
      </c>
      <c r="H1215" s="374">
        <v>16</v>
      </c>
      <c r="I1215" s="375">
        <v>1.55</v>
      </c>
      <c r="J1215" s="376">
        <f t="shared" si="146"/>
        <v>18.600000000000001</v>
      </c>
      <c r="K1215" s="66">
        <f t="shared" si="147"/>
        <v>0</v>
      </c>
      <c r="L1215" s="63">
        <f t="shared" si="148"/>
        <v>0</v>
      </c>
      <c r="M1215" s="63">
        <f t="shared" si="149"/>
        <v>0</v>
      </c>
      <c r="N1215" s="63">
        <f t="shared" si="150"/>
        <v>0</v>
      </c>
      <c r="O1215" s="63">
        <f t="shared" si="151"/>
        <v>0</v>
      </c>
      <c r="P1215" s="63">
        <f t="shared" si="152"/>
        <v>29.350800000000003</v>
      </c>
      <c r="Q1215" s="561">
        <f t="shared" si="145"/>
        <v>0</v>
      </c>
      <c r="R1215" s="174"/>
      <c r="T1215" s="82"/>
      <c r="U1215" s="82"/>
      <c r="V1215" s="82"/>
      <c r="W1215" s="82"/>
      <c r="X1215" s="82"/>
      <c r="Y1215" s="82"/>
      <c r="Z1215" s="82"/>
      <c r="AA1215" s="82"/>
      <c r="AB1215" s="82"/>
    </row>
    <row r="1216" spans="1:28" s="85" customFormat="1" x14ac:dyDescent="0.25">
      <c r="A1216" s="82"/>
      <c r="B1216" s="82"/>
      <c r="C1216" s="82"/>
      <c r="D1216" s="729"/>
      <c r="E1216" s="371" t="s">
        <v>113</v>
      </c>
      <c r="F1216" s="372">
        <v>6</v>
      </c>
      <c r="G1216" s="373">
        <f>2*21</f>
        <v>42</v>
      </c>
      <c r="H1216" s="374">
        <v>5</v>
      </c>
      <c r="I1216" s="375">
        <v>0.24</v>
      </c>
      <c r="J1216" s="376">
        <f t="shared" si="146"/>
        <v>10.08</v>
      </c>
      <c r="K1216" s="66">
        <f t="shared" si="147"/>
        <v>1.5523199999999999</v>
      </c>
      <c r="L1216" s="63">
        <f t="shared" si="148"/>
        <v>0</v>
      </c>
      <c r="M1216" s="63">
        <f t="shared" si="149"/>
        <v>0</v>
      </c>
      <c r="N1216" s="63">
        <f t="shared" si="150"/>
        <v>0</v>
      </c>
      <c r="O1216" s="63">
        <f t="shared" si="151"/>
        <v>0</v>
      </c>
      <c r="P1216" s="63">
        <f t="shared" si="152"/>
        <v>0</v>
      </c>
      <c r="Q1216" s="561">
        <f t="shared" si="145"/>
        <v>0</v>
      </c>
      <c r="R1216" s="174"/>
      <c r="T1216" s="82"/>
      <c r="U1216" s="82"/>
      <c r="V1216" s="82"/>
      <c r="W1216" s="82"/>
      <c r="X1216" s="82"/>
      <c r="Y1216" s="82"/>
      <c r="Z1216" s="82"/>
      <c r="AA1216" s="82"/>
      <c r="AB1216" s="82"/>
    </row>
    <row r="1217" spans="1:28" s="85" customFormat="1" x14ac:dyDescent="0.25">
      <c r="A1217" s="82"/>
      <c r="B1217" s="82"/>
      <c r="C1217" s="82"/>
      <c r="D1217" s="729"/>
      <c r="E1217" s="371" t="s">
        <v>113</v>
      </c>
      <c r="F1217" s="372">
        <v>7</v>
      </c>
      <c r="G1217" s="373">
        <f>2*18</f>
        <v>36</v>
      </c>
      <c r="H1217" s="374">
        <v>5</v>
      </c>
      <c r="I1217" s="375">
        <v>0.97</v>
      </c>
      <c r="J1217" s="376">
        <f t="shared" si="146"/>
        <v>34.92</v>
      </c>
      <c r="K1217" s="66">
        <f t="shared" si="147"/>
        <v>5.3776799999999998</v>
      </c>
      <c r="L1217" s="63">
        <f t="shared" si="148"/>
        <v>0</v>
      </c>
      <c r="M1217" s="63">
        <f t="shared" si="149"/>
        <v>0</v>
      </c>
      <c r="N1217" s="63">
        <f t="shared" si="150"/>
        <v>0</v>
      </c>
      <c r="O1217" s="63">
        <f t="shared" si="151"/>
        <v>0</v>
      </c>
      <c r="P1217" s="63">
        <f t="shared" si="152"/>
        <v>0</v>
      </c>
      <c r="Q1217" s="561">
        <f t="shared" si="145"/>
        <v>0</v>
      </c>
      <c r="R1217" s="174"/>
      <c r="T1217" s="82"/>
      <c r="U1217" s="82"/>
      <c r="V1217" s="82"/>
      <c r="W1217" s="82"/>
      <c r="X1217" s="82"/>
      <c r="Y1217" s="82"/>
      <c r="Z1217" s="82"/>
      <c r="AA1217" s="82"/>
      <c r="AB1217" s="82"/>
    </row>
    <row r="1218" spans="1:28" s="85" customFormat="1" x14ac:dyDescent="0.25">
      <c r="A1218" s="82"/>
      <c r="B1218" s="82"/>
      <c r="C1218" s="82"/>
      <c r="D1218" s="729"/>
      <c r="E1218" s="371" t="s">
        <v>113</v>
      </c>
      <c r="F1218" s="372">
        <v>8</v>
      </c>
      <c r="G1218" s="373">
        <f>2*6</f>
        <v>12</v>
      </c>
      <c r="H1218" s="374">
        <v>5</v>
      </c>
      <c r="I1218" s="375">
        <v>0.64</v>
      </c>
      <c r="J1218" s="376">
        <f t="shared" si="146"/>
        <v>7.68</v>
      </c>
      <c r="K1218" s="66">
        <f t="shared" si="147"/>
        <v>1.18272</v>
      </c>
      <c r="L1218" s="63">
        <f t="shared" si="148"/>
        <v>0</v>
      </c>
      <c r="M1218" s="63">
        <f t="shared" si="149"/>
        <v>0</v>
      </c>
      <c r="N1218" s="63">
        <f t="shared" si="150"/>
        <v>0</v>
      </c>
      <c r="O1218" s="63">
        <f t="shared" si="151"/>
        <v>0</v>
      </c>
      <c r="P1218" s="63">
        <f t="shared" si="152"/>
        <v>0</v>
      </c>
      <c r="Q1218" s="561">
        <f t="shared" si="145"/>
        <v>0</v>
      </c>
      <c r="R1218" s="174"/>
      <c r="T1218" s="82"/>
      <c r="U1218" s="82"/>
      <c r="V1218" s="82"/>
      <c r="W1218" s="82"/>
      <c r="X1218" s="82"/>
      <c r="Y1218" s="82"/>
      <c r="Z1218" s="82"/>
      <c r="AA1218" s="82"/>
      <c r="AB1218" s="82"/>
    </row>
    <row r="1219" spans="1:28" s="85" customFormat="1" x14ac:dyDescent="0.25">
      <c r="A1219" s="82"/>
      <c r="B1219" s="82"/>
      <c r="C1219" s="82"/>
      <c r="D1219" s="729"/>
      <c r="E1219" s="371" t="s">
        <v>113</v>
      </c>
      <c r="F1219" s="372">
        <v>20</v>
      </c>
      <c r="G1219" s="373">
        <f>2*6</f>
        <v>12</v>
      </c>
      <c r="H1219" s="374">
        <v>16</v>
      </c>
      <c r="I1219" s="375">
        <v>2.97</v>
      </c>
      <c r="J1219" s="376">
        <f t="shared" si="146"/>
        <v>35.64</v>
      </c>
      <c r="K1219" s="66">
        <f t="shared" si="147"/>
        <v>0</v>
      </c>
      <c r="L1219" s="63">
        <f t="shared" si="148"/>
        <v>0</v>
      </c>
      <c r="M1219" s="63">
        <f t="shared" si="149"/>
        <v>0</v>
      </c>
      <c r="N1219" s="63">
        <f t="shared" si="150"/>
        <v>0</v>
      </c>
      <c r="O1219" s="63">
        <f t="shared" si="151"/>
        <v>0</v>
      </c>
      <c r="P1219" s="63">
        <f t="shared" si="152"/>
        <v>56.239920000000005</v>
      </c>
      <c r="Q1219" s="561">
        <f t="shared" si="145"/>
        <v>0</v>
      </c>
      <c r="R1219" s="174"/>
      <c r="T1219" s="82"/>
      <c r="U1219" s="82"/>
      <c r="V1219" s="82"/>
      <c r="W1219" s="82"/>
      <c r="X1219" s="82"/>
      <c r="Y1219" s="82"/>
      <c r="Z1219" s="82"/>
      <c r="AA1219" s="82"/>
      <c r="AB1219" s="82"/>
    </row>
    <row r="1220" spans="1:28" s="85" customFormat="1" x14ac:dyDescent="0.25">
      <c r="A1220" s="82"/>
      <c r="B1220" s="82"/>
      <c r="C1220" s="82"/>
      <c r="D1220" s="729"/>
      <c r="E1220" s="396" t="s">
        <v>184</v>
      </c>
      <c r="F1220" s="403"/>
      <c r="G1220" s="397"/>
      <c r="H1220" s="398"/>
      <c r="I1220" s="399"/>
      <c r="J1220" s="400">
        <f t="shared" si="146"/>
        <v>0</v>
      </c>
      <c r="K1220" s="401">
        <f t="shared" si="147"/>
        <v>0</v>
      </c>
      <c r="L1220" s="196">
        <f t="shared" si="148"/>
        <v>0</v>
      </c>
      <c r="M1220" s="196">
        <f t="shared" si="149"/>
        <v>0</v>
      </c>
      <c r="N1220" s="196">
        <f t="shared" si="150"/>
        <v>0</v>
      </c>
      <c r="O1220" s="196">
        <f t="shared" si="151"/>
        <v>0</v>
      </c>
      <c r="P1220" s="196">
        <f t="shared" si="152"/>
        <v>0</v>
      </c>
      <c r="Q1220" s="566">
        <f t="shared" si="145"/>
        <v>0</v>
      </c>
      <c r="R1220" s="538"/>
      <c r="T1220" s="82"/>
      <c r="U1220" s="82"/>
      <c r="V1220" s="82"/>
      <c r="W1220" s="82"/>
      <c r="X1220" s="82"/>
      <c r="Y1220" s="82"/>
      <c r="Z1220" s="82"/>
      <c r="AA1220" s="82"/>
      <c r="AB1220" s="82"/>
    </row>
    <row r="1221" spans="1:28" s="85" customFormat="1" x14ac:dyDescent="0.25">
      <c r="A1221" s="82"/>
      <c r="B1221" s="82"/>
      <c r="C1221" s="82"/>
      <c r="D1221" s="729"/>
      <c r="E1221" s="371" t="s">
        <v>184</v>
      </c>
      <c r="F1221" s="372"/>
      <c r="G1221" s="373"/>
      <c r="H1221" s="374"/>
      <c r="I1221" s="375"/>
      <c r="J1221" s="376">
        <f t="shared" si="146"/>
        <v>0</v>
      </c>
      <c r="K1221" s="66">
        <f t="shared" si="147"/>
        <v>0</v>
      </c>
      <c r="L1221" s="63">
        <f t="shared" si="148"/>
        <v>0</v>
      </c>
      <c r="M1221" s="63">
        <f t="shared" si="149"/>
        <v>0</v>
      </c>
      <c r="N1221" s="63">
        <f t="shared" si="150"/>
        <v>0</v>
      </c>
      <c r="O1221" s="63">
        <f t="shared" si="151"/>
        <v>0</v>
      </c>
      <c r="P1221" s="63">
        <f t="shared" si="152"/>
        <v>0</v>
      </c>
      <c r="Q1221" s="562">
        <f t="shared" si="145"/>
        <v>0</v>
      </c>
      <c r="R1221" s="377"/>
      <c r="T1221" s="82"/>
      <c r="U1221" s="82"/>
      <c r="V1221" s="82"/>
      <c r="W1221" s="82"/>
      <c r="X1221" s="82"/>
      <c r="Y1221" s="82"/>
      <c r="Z1221" s="82"/>
      <c r="AA1221" s="82"/>
      <c r="AB1221" s="82"/>
    </row>
    <row r="1222" spans="1:28" s="85" customFormat="1" x14ac:dyDescent="0.25">
      <c r="A1222" s="82"/>
      <c r="B1222" s="82"/>
      <c r="C1222" s="82"/>
      <c r="D1222" s="729"/>
      <c r="E1222" s="371" t="s">
        <v>184</v>
      </c>
      <c r="F1222" s="372"/>
      <c r="G1222" s="373"/>
      <c r="H1222" s="374"/>
      <c r="I1222" s="375"/>
      <c r="J1222" s="376">
        <f t="shared" si="146"/>
        <v>0</v>
      </c>
      <c r="K1222" s="66">
        <f t="shared" si="147"/>
        <v>0</v>
      </c>
      <c r="L1222" s="63">
        <f t="shared" si="148"/>
        <v>0</v>
      </c>
      <c r="M1222" s="63">
        <f t="shared" si="149"/>
        <v>0</v>
      </c>
      <c r="N1222" s="63">
        <f t="shared" si="150"/>
        <v>0</v>
      </c>
      <c r="O1222" s="63">
        <f t="shared" si="151"/>
        <v>0</v>
      </c>
      <c r="P1222" s="63">
        <f t="shared" si="152"/>
        <v>0</v>
      </c>
      <c r="Q1222" s="562">
        <f t="shared" si="145"/>
        <v>0</v>
      </c>
      <c r="R1222" s="377"/>
      <c r="T1222" s="82"/>
      <c r="U1222" s="82"/>
      <c r="V1222" s="82"/>
      <c r="W1222" s="82"/>
      <c r="X1222" s="82"/>
      <c r="Y1222" s="82"/>
      <c r="Z1222" s="82"/>
      <c r="AA1222" s="82"/>
      <c r="AB1222" s="82"/>
    </row>
    <row r="1223" spans="1:28" s="85" customFormat="1" ht="13.8" thickBot="1" x14ac:dyDescent="0.3">
      <c r="A1223" s="82"/>
      <c r="B1223" s="82"/>
      <c r="C1223" s="82"/>
      <c r="D1223" s="731"/>
      <c r="E1223" s="390" t="s">
        <v>184</v>
      </c>
      <c r="F1223" s="391"/>
      <c r="G1223" s="392"/>
      <c r="H1223" s="393"/>
      <c r="I1223" s="394"/>
      <c r="J1223" s="395">
        <f t="shared" si="146"/>
        <v>0</v>
      </c>
      <c r="K1223" s="221">
        <f t="shared" si="147"/>
        <v>0</v>
      </c>
      <c r="L1223" s="222">
        <f t="shared" si="148"/>
        <v>0</v>
      </c>
      <c r="M1223" s="222">
        <f t="shared" si="149"/>
        <v>0</v>
      </c>
      <c r="N1223" s="222">
        <f t="shared" si="150"/>
        <v>0</v>
      </c>
      <c r="O1223" s="222">
        <f t="shared" si="151"/>
        <v>0</v>
      </c>
      <c r="P1223" s="222">
        <f t="shared" si="152"/>
        <v>0</v>
      </c>
      <c r="Q1223" s="564">
        <f t="shared" si="145"/>
        <v>0</v>
      </c>
      <c r="R1223" s="539"/>
      <c r="T1223" s="82"/>
      <c r="U1223" s="82"/>
      <c r="V1223" s="82"/>
      <c r="W1223" s="82"/>
      <c r="X1223" s="82"/>
      <c r="Y1223" s="82"/>
      <c r="Z1223" s="82"/>
      <c r="AA1223" s="82"/>
      <c r="AB1223" s="82"/>
    </row>
    <row r="1224" spans="1:28" s="85" customFormat="1" ht="13.8" thickTop="1" x14ac:dyDescent="0.25">
      <c r="A1224" s="82"/>
      <c r="B1224" s="82"/>
      <c r="C1224" s="82"/>
      <c r="D1224" s="728" t="s">
        <v>1815</v>
      </c>
      <c r="E1224" s="384" t="s">
        <v>49</v>
      </c>
      <c r="F1224" s="385">
        <v>4</v>
      </c>
      <c r="G1224" s="386">
        <v>3</v>
      </c>
      <c r="H1224" s="387">
        <v>5</v>
      </c>
      <c r="I1224" s="388">
        <v>0.95</v>
      </c>
      <c r="J1224" s="389">
        <f t="shared" si="146"/>
        <v>2.8499999999999996</v>
      </c>
      <c r="K1224" s="218">
        <f t="shared" si="147"/>
        <v>0.43889999999999996</v>
      </c>
      <c r="L1224" s="219">
        <f t="shared" si="148"/>
        <v>0</v>
      </c>
      <c r="M1224" s="219">
        <f t="shared" si="149"/>
        <v>0</v>
      </c>
      <c r="N1224" s="219">
        <f t="shared" si="150"/>
        <v>0</v>
      </c>
      <c r="O1224" s="219">
        <f t="shared" si="151"/>
        <v>0</v>
      </c>
      <c r="P1224" s="219">
        <f t="shared" si="152"/>
        <v>0</v>
      </c>
      <c r="Q1224" s="563">
        <f t="shared" si="145"/>
        <v>0</v>
      </c>
      <c r="R1224" s="220"/>
      <c r="T1224" s="82"/>
      <c r="U1224" s="82"/>
      <c r="V1224" s="82"/>
      <c r="W1224" s="82"/>
      <c r="X1224" s="82"/>
      <c r="Y1224" s="82"/>
      <c r="Z1224" s="82"/>
      <c r="AA1224" s="82"/>
      <c r="AB1224" s="82"/>
    </row>
    <row r="1225" spans="1:28" s="85" customFormat="1" x14ac:dyDescent="0.25">
      <c r="A1225" s="82"/>
      <c r="B1225" s="82"/>
      <c r="C1225" s="82"/>
      <c r="D1225" s="729"/>
      <c r="E1225" s="371" t="s">
        <v>49</v>
      </c>
      <c r="F1225" s="372">
        <v>5</v>
      </c>
      <c r="G1225" s="373">
        <v>6</v>
      </c>
      <c r="H1225" s="374">
        <v>5</v>
      </c>
      <c r="I1225" s="375">
        <v>0.65</v>
      </c>
      <c r="J1225" s="376">
        <f t="shared" si="146"/>
        <v>3.9000000000000004</v>
      </c>
      <c r="K1225" s="66">
        <f t="shared" si="147"/>
        <v>0.60060000000000002</v>
      </c>
      <c r="L1225" s="63">
        <f t="shared" si="148"/>
        <v>0</v>
      </c>
      <c r="M1225" s="63">
        <f t="shared" si="149"/>
        <v>0</v>
      </c>
      <c r="N1225" s="63">
        <f t="shared" si="150"/>
        <v>0</v>
      </c>
      <c r="O1225" s="63">
        <f t="shared" si="151"/>
        <v>0</v>
      </c>
      <c r="P1225" s="63">
        <f t="shared" si="152"/>
        <v>0</v>
      </c>
      <c r="Q1225" s="561">
        <f t="shared" si="145"/>
        <v>0</v>
      </c>
      <c r="R1225" s="174"/>
      <c r="T1225" s="82"/>
      <c r="U1225" s="82"/>
      <c r="V1225" s="82"/>
      <c r="W1225" s="82"/>
      <c r="X1225" s="82"/>
      <c r="Y1225" s="82"/>
      <c r="Z1225" s="82"/>
      <c r="AA1225" s="82"/>
      <c r="AB1225" s="82"/>
    </row>
    <row r="1226" spans="1:28" s="85" customFormat="1" x14ac:dyDescent="0.25">
      <c r="A1226" s="82"/>
      <c r="B1226" s="82"/>
      <c r="C1226" s="82"/>
      <c r="D1226" s="729"/>
      <c r="E1226" s="371" t="s">
        <v>49</v>
      </c>
      <c r="F1226" s="372">
        <v>39</v>
      </c>
      <c r="G1226" s="373">
        <v>6</v>
      </c>
      <c r="H1226" s="374">
        <v>16</v>
      </c>
      <c r="I1226" s="375">
        <v>1.55</v>
      </c>
      <c r="J1226" s="376">
        <f t="shared" si="146"/>
        <v>9.3000000000000007</v>
      </c>
      <c r="K1226" s="66">
        <f t="shared" si="147"/>
        <v>0</v>
      </c>
      <c r="L1226" s="63">
        <f t="shared" si="148"/>
        <v>0</v>
      </c>
      <c r="M1226" s="63">
        <f t="shared" si="149"/>
        <v>0</v>
      </c>
      <c r="N1226" s="63">
        <f t="shared" si="150"/>
        <v>0</v>
      </c>
      <c r="O1226" s="63">
        <f t="shared" si="151"/>
        <v>0</v>
      </c>
      <c r="P1226" s="63">
        <f t="shared" si="152"/>
        <v>14.675400000000002</v>
      </c>
      <c r="Q1226" s="561">
        <f t="shared" si="145"/>
        <v>0</v>
      </c>
      <c r="R1226" s="174"/>
      <c r="T1226" s="82"/>
      <c r="U1226" s="82"/>
      <c r="V1226" s="82"/>
      <c r="W1226" s="82"/>
      <c r="X1226" s="82"/>
      <c r="Y1226" s="82"/>
      <c r="Z1226" s="82"/>
      <c r="AA1226" s="82"/>
      <c r="AB1226" s="82"/>
    </row>
    <row r="1227" spans="1:28" s="85" customFormat="1" x14ac:dyDescent="0.25">
      <c r="A1227" s="82"/>
      <c r="B1227" s="82"/>
      <c r="C1227" s="82"/>
      <c r="D1227" s="729"/>
      <c r="E1227" s="371" t="s">
        <v>113</v>
      </c>
      <c r="F1227" s="372">
        <v>2</v>
      </c>
      <c r="G1227" s="373">
        <v>17</v>
      </c>
      <c r="H1227" s="374">
        <v>5</v>
      </c>
      <c r="I1227" s="375">
        <v>1.07</v>
      </c>
      <c r="J1227" s="376">
        <f t="shared" si="146"/>
        <v>18.190000000000001</v>
      </c>
      <c r="K1227" s="66">
        <f t="shared" si="147"/>
        <v>2.8012600000000001</v>
      </c>
      <c r="L1227" s="63">
        <f t="shared" si="148"/>
        <v>0</v>
      </c>
      <c r="M1227" s="63">
        <f t="shared" si="149"/>
        <v>0</v>
      </c>
      <c r="N1227" s="63">
        <f t="shared" si="150"/>
        <v>0</v>
      </c>
      <c r="O1227" s="63">
        <f t="shared" si="151"/>
        <v>0</v>
      </c>
      <c r="P1227" s="63">
        <f t="shared" si="152"/>
        <v>0</v>
      </c>
      <c r="Q1227" s="561">
        <f t="shared" si="145"/>
        <v>0</v>
      </c>
      <c r="R1227" s="174"/>
      <c r="T1227" s="82"/>
      <c r="U1227" s="82"/>
      <c r="V1227" s="82"/>
      <c r="W1227" s="82"/>
      <c r="X1227" s="82"/>
      <c r="Y1227" s="82"/>
      <c r="Z1227" s="82"/>
      <c r="AA1227" s="82"/>
      <c r="AB1227" s="82"/>
    </row>
    <row r="1228" spans="1:28" s="85" customFormat="1" x14ac:dyDescent="0.25">
      <c r="A1228" s="82"/>
      <c r="B1228" s="82"/>
      <c r="C1228" s="82"/>
      <c r="D1228" s="729"/>
      <c r="E1228" s="371" t="s">
        <v>113</v>
      </c>
      <c r="F1228" s="372">
        <v>3</v>
      </c>
      <c r="G1228" s="373">
        <v>6</v>
      </c>
      <c r="H1228" s="374">
        <v>5</v>
      </c>
      <c r="I1228" s="375">
        <v>0.74</v>
      </c>
      <c r="J1228" s="376">
        <f t="shared" si="146"/>
        <v>4.4399999999999995</v>
      </c>
      <c r="K1228" s="66">
        <f t="shared" si="147"/>
        <v>0.68375999999999992</v>
      </c>
      <c r="L1228" s="63">
        <f t="shared" si="148"/>
        <v>0</v>
      </c>
      <c r="M1228" s="63">
        <f t="shared" si="149"/>
        <v>0</v>
      </c>
      <c r="N1228" s="63">
        <f t="shared" si="150"/>
        <v>0</v>
      </c>
      <c r="O1228" s="63">
        <f t="shared" si="151"/>
        <v>0</v>
      </c>
      <c r="P1228" s="63">
        <f t="shared" si="152"/>
        <v>0</v>
      </c>
      <c r="Q1228" s="561">
        <f t="shared" si="145"/>
        <v>0</v>
      </c>
      <c r="R1228" s="174"/>
      <c r="T1228" s="82"/>
      <c r="U1228" s="82"/>
      <c r="V1228" s="82"/>
      <c r="W1228" s="82"/>
      <c r="X1228" s="82"/>
      <c r="Y1228" s="82"/>
      <c r="Z1228" s="82"/>
      <c r="AA1228" s="82"/>
      <c r="AB1228" s="82"/>
    </row>
    <row r="1229" spans="1:28" s="85" customFormat="1" x14ac:dyDescent="0.25">
      <c r="A1229" s="82"/>
      <c r="B1229" s="82"/>
      <c r="C1229" s="82"/>
      <c r="D1229" s="729"/>
      <c r="E1229" s="371" t="s">
        <v>113</v>
      </c>
      <c r="F1229" s="372">
        <v>20</v>
      </c>
      <c r="G1229" s="373">
        <v>6</v>
      </c>
      <c r="H1229" s="374">
        <v>16</v>
      </c>
      <c r="I1229" s="375">
        <v>2.97</v>
      </c>
      <c r="J1229" s="376">
        <f t="shared" si="146"/>
        <v>17.82</v>
      </c>
      <c r="K1229" s="66">
        <f t="shared" si="147"/>
        <v>0</v>
      </c>
      <c r="L1229" s="63">
        <f t="shared" si="148"/>
        <v>0</v>
      </c>
      <c r="M1229" s="63">
        <f t="shared" si="149"/>
        <v>0</v>
      </c>
      <c r="N1229" s="63">
        <f t="shared" si="150"/>
        <v>0</v>
      </c>
      <c r="O1229" s="63">
        <f t="shared" si="151"/>
        <v>0</v>
      </c>
      <c r="P1229" s="63">
        <f t="shared" si="152"/>
        <v>28.119960000000003</v>
      </c>
      <c r="Q1229" s="561">
        <f t="shared" si="145"/>
        <v>0</v>
      </c>
      <c r="R1229" s="174"/>
      <c r="T1229" s="82"/>
      <c r="U1229" s="82"/>
      <c r="V1229" s="82"/>
      <c r="W1229" s="82"/>
      <c r="X1229" s="82"/>
      <c r="Y1229" s="82"/>
      <c r="Z1229" s="82"/>
      <c r="AA1229" s="82"/>
      <c r="AB1229" s="82"/>
    </row>
    <row r="1230" spans="1:28" s="85" customFormat="1" x14ac:dyDescent="0.25">
      <c r="A1230" s="82"/>
      <c r="B1230" s="82"/>
      <c r="C1230" s="82"/>
      <c r="D1230" s="729"/>
      <c r="E1230" s="396" t="s">
        <v>184</v>
      </c>
      <c r="F1230" s="403"/>
      <c r="G1230" s="397"/>
      <c r="H1230" s="398"/>
      <c r="I1230" s="399"/>
      <c r="J1230" s="400">
        <f t="shared" si="146"/>
        <v>0</v>
      </c>
      <c r="K1230" s="401">
        <f t="shared" ref="K1230:K1310" si="155">IF($H1230=5,$J1230*$B$21,0)</f>
        <v>0</v>
      </c>
      <c r="L1230" s="196">
        <f t="shared" ref="L1230:L1310" si="156">IF($H1230=6.3,$J1230*$B$22,0)</f>
        <v>0</v>
      </c>
      <c r="M1230" s="196">
        <f t="shared" ref="M1230:M1310" si="157">IF($H1230=8,$J1230*$B$23,0)</f>
        <v>0</v>
      </c>
      <c r="N1230" s="196">
        <f t="shared" ref="N1230:N1310" si="158">IF($H1230=10,$J1230*$B$24,0)</f>
        <v>0</v>
      </c>
      <c r="O1230" s="196">
        <f t="shared" ref="O1230:O1310" si="159">IF($H1230=12.5,$J1230*$B$26,0)</f>
        <v>0</v>
      </c>
      <c r="P1230" s="196">
        <f t="shared" ref="P1230:P1310" si="160">IF($H1230=16,$J1230*$B$27,0)</f>
        <v>0</v>
      </c>
      <c r="Q1230" s="566">
        <f t="shared" si="145"/>
        <v>0</v>
      </c>
      <c r="R1230" s="538"/>
      <c r="T1230" s="82"/>
      <c r="U1230" s="82"/>
      <c r="V1230" s="82"/>
      <c r="W1230" s="82"/>
      <c r="X1230" s="82"/>
      <c r="Y1230" s="82"/>
      <c r="Z1230" s="82"/>
      <c r="AA1230" s="82"/>
      <c r="AB1230" s="82"/>
    </row>
    <row r="1231" spans="1:28" s="85" customFormat="1" x14ac:dyDescent="0.25">
      <c r="A1231" s="82"/>
      <c r="B1231" s="82"/>
      <c r="C1231" s="82"/>
      <c r="D1231" s="729"/>
      <c r="E1231" s="371" t="s">
        <v>184</v>
      </c>
      <c r="F1231" s="372"/>
      <c r="G1231" s="373"/>
      <c r="H1231" s="374"/>
      <c r="I1231" s="375"/>
      <c r="J1231" s="376">
        <f t="shared" si="146"/>
        <v>0</v>
      </c>
      <c r="K1231" s="66">
        <f t="shared" si="155"/>
        <v>0</v>
      </c>
      <c r="L1231" s="63">
        <f t="shared" si="156"/>
        <v>0</v>
      </c>
      <c r="M1231" s="63">
        <f t="shared" si="157"/>
        <v>0</v>
      </c>
      <c r="N1231" s="63">
        <f t="shared" si="158"/>
        <v>0</v>
      </c>
      <c r="O1231" s="63">
        <f t="shared" si="159"/>
        <v>0</v>
      </c>
      <c r="P1231" s="63">
        <f t="shared" si="160"/>
        <v>0</v>
      </c>
      <c r="Q1231" s="562">
        <f t="shared" si="145"/>
        <v>0</v>
      </c>
      <c r="R1231" s="377"/>
      <c r="T1231" s="82"/>
      <c r="U1231" s="82"/>
      <c r="V1231" s="82"/>
      <c r="W1231" s="82"/>
      <c r="X1231" s="82"/>
      <c r="Y1231" s="82"/>
      <c r="Z1231" s="82"/>
      <c r="AA1231" s="82"/>
      <c r="AB1231" s="82"/>
    </row>
    <row r="1232" spans="1:28" s="85" customFormat="1" x14ac:dyDescent="0.25">
      <c r="A1232" s="82"/>
      <c r="B1232" s="82"/>
      <c r="C1232" s="82"/>
      <c r="D1232" s="729"/>
      <c r="E1232" s="371" t="s">
        <v>184</v>
      </c>
      <c r="F1232" s="372"/>
      <c r="G1232" s="373"/>
      <c r="H1232" s="374"/>
      <c r="I1232" s="375"/>
      <c r="J1232" s="376">
        <f t="shared" si="146"/>
        <v>0</v>
      </c>
      <c r="K1232" s="66">
        <f t="shared" si="155"/>
        <v>0</v>
      </c>
      <c r="L1232" s="63">
        <f t="shared" si="156"/>
        <v>0</v>
      </c>
      <c r="M1232" s="63">
        <f t="shared" si="157"/>
        <v>0</v>
      </c>
      <c r="N1232" s="63">
        <f t="shared" si="158"/>
        <v>0</v>
      </c>
      <c r="O1232" s="63">
        <f t="shared" si="159"/>
        <v>0</v>
      </c>
      <c r="P1232" s="63">
        <f t="shared" si="160"/>
        <v>0</v>
      </c>
      <c r="Q1232" s="562">
        <f t="shared" si="145"/>
        <v>0</v>
      </c>
      <c r="R1232" s="377"/>
      <c r="T1232" s="82"/>
      <c r="U1232" s="82"/>
      <c r="V1232" s="82"/>
      <c r="W1232" s="82"/>
      <c r="X1232" s="82"/>
      <c r="Y1232" s="82"/>
      <c r="Z1232" s="82"/>
      <c r="AA1232" s="82"/>
      <c r="AB1232" s="82"/>
    </row>
    <row r="1233" spans="1:28" s="85" customFormat="1" ht="13.8" thickBot="1" x14ac:dyDescent="0.3">
      <c r="A1233" s="82"/>
      <c r="B1233" s="82"/>
      <c r="C1233" s="82"/>
      <c r="D1233" s="731"/>
      <c r="E1233" s="390" t="s">
        <v>184</v>
      </c>
      <c r="F1233" s="391"/>
      <c r="G1233" s="392"/>
      <c r="H1233" s="393"/>
      <c r="I1233" s="394"/>
      <c r="J1233" s="395">
        <f t="shared" si="146"/>
        <v>0</v>
      </c>
      <c r="K1233" s="221">
        <f t="shared" si="155"/>
        <v>0</v>
      </c>
      <c r="L1233" s="222">
        <f t="shared" si="156"/>
        <v>0</v>
      </c>
      <c r="M1233" s="222">
        <f t="shared" si="157"/>
        <v>0</v>
      </c>
      <c r="N1233" s="222">
        <f t="shared" si="158"/>
        <v>0</v>
      </c>
      <c r="O1233" s="222">
        <f t="shared" si="159"/>
        <v>0</v>
      </c>
      <c r="P1233" s="222">
        <f t="shared" si="160"/>
        <v>0</v>
      </c>
      <c r="Q1233" s="564">
        <f t="shared" si="145"/>
        <v>0</v>
      </c>
      <c r="R1233" s="539"/>
      <c r="T1233" s="82"/>
      <c r="U1233" s="82"/>
      <c r="V1233" s="82"/>
      <c r="W1233" s="82"/>
      <c r="X1233" s="82"/>
      <c r="Y1233" s="82"/>
      <c r="Z1233" s="82"/>
      <c r="AA1233" s="82"/>
      <c r="AB1233" s="82"/>
    </row>
    <row r="1234" spans="1:28" s="85" customFormat="1" ht="13.8" thickTop="1" x14ac:dyDescent="0.25">
      <c r="A1234" s="82"/>
      <c r="B1234" s="82"/>
      <c r="C1234" s="82"/>
      <c r="D1234" s="728" t="s">
        <v>1816</v>
      </c>
      <c r="E1234" s="384" t="s">
        <v>49</v>
      </c>
      <c r="F1234" s="385">
        <v>4</v>
      </c>
      <c r="G1234" s="386">
        <v>3</v>
      </c>
      <c r="H1234" s="387">
        <v>5</v>
      </c>
      <c r="I1234" s="388">
        <v>0.95</v>
      </c>
      <c r="J1234" s="389">
        <f t="shared" ref="J1234:J1245" si="161">G1234*I1234</f>
        <v>2.8499999999999996</v>
      </c>
      <c r="K1234" s="218">
        <f t="shared" si="155"/>
        <v>0.43889999999999996</v>
      </c>
      <c r="L1234" s="219">
        <f t="shared" si="156"/>
        <v>0</v>
      </c>
      <c r="M1234" s="219">
        <f t="shared" si="157"/>
        <v>0</v>
      </c>
      <c r="N1234" s="219">
        <f t="shared" si="158"/>
        <v>0</v>
      </c>
      <c r="O1234" s="219">
        <f t="shared" si="159"/>
        <v>0</v>
      </c>
      <c r="P1234" s="219">
        <f t="shared" si="160"/>
        <v>0</v>
      </c>
      <c r="Q1234" s="563">
        <f t="shared" si="145"/>
        <v>0</v>
      </c>
      <c r="R1234" s="220"/>
      <c r="T1234" s="82"/>
      <c r="U1234" s="82"/>
      <c r="V1234" s="82"/>
      <c r="W1234" s="82"/>
      <c r="X1234" s="82"/>
      <c r="Y1234" s="82"/>
      <c r="Z1234" s="82"/>
      <c r="AA1234" s="82"/>
      <c r="AB1234" s="82"/>
    </row>
    <row r="1235" spans="1:28" s="85" customFormat="1" x14ac:dyDescent="0.25">
      <c r="A1235" s="82"/>
      <c r="B1235" s="82"/>
      <c r="C1235" s="82"/>
      <c r="D1235" s="729"/>
      <c r="E1235" s="371" t="s">
        <v>49</v>
      </c>
      <c r="F1235" s="372">
        <v>5</v>
      </c>
      <c r="G1235" s="373">
        <v>6</v>
      </c>
      <c r="H1235" s="374">
        <v>5</v>
      </c>
      <c r="I1235" s="375">
        <v>0.65</v>
      </c>
      <c r="J1235" s="376">
        <f t="shared" si="161"/>
        <v>3.9000000000000004</v>
      </c>
      <c r="K1235" s="66">
        <f t="shared" si="155"/>
        <v>0.60060000000000002</v>
      </c>
      <c r="L1235" s="63">
        <f t="shared" si="156"/>
        <v>0</v>
      </c>
      <c r="M1235" s="63">
        <f t="shared" si="157"/>
        <v>0</v>
      </c>
      <c r="N1235" s="63">
        <f t="shared" si="158"/>
        <v>0</v>
      </c>
      <c r="O1235" s="63">
        <f t="shared" si="159"/>
        <v>0</v>
      </c>
      <c r="P1235" s="63">
        <f t="shared" si="160"/>
        <v>0</v>
      </c>
      <c r="Q1235" s="561">
        <f t="shared" si="145"/>
        <v>0</v>
      </c>
      <c r="R1235" s="174"/>
      <c r="T1235" s="82"/>
      <c r="U1235" s="82"/>
      <c r="V1235" s="82"/>
      <c r="W1235" s="82"/>
      <c r="X1235" s="82"/>
      <c r="Y1235" s="82"/>
      <c r="Z1235" s="82"/>
      <c r="AA1235" s="82"/>
      <c r="AB1235" s="82"/>
    </row>
    <row r="1236" spans="1:28" s="85" customFormat="1" x14ac:dyDescent="0.25">
      <c r="A1236" s="82"/>
      <c r="B1236" s="82"/>
      <c r="C1236" s="82"/>
      <c r="D1236" s="729"/>
      <c r="E1236" s="371" t="s">
        <v>49</v>
      </c>
      <c r="F1236" s="372">
        <v>39</v>
      </c>
      <c r="G1236" s="373">
        <v>6</v>
      </c>
      <c r="H1236" s="374">
        <v>16</v>
      </c>
      <c r="I1236" s="375">
        <v>1.55</v>
      </c>
      <c r="J1236" s="376">
        <f t="shared" si="161"/>
        <v>9.3000000000000007</v>
      </c>
      <c r="K1236" s="66">
        <f t="shared" si="155"/>
        <v>0</v>
      </c>
      <c r="L1236" s="63">
        <f t="shared" si="156"/>
        <v>0</v>
      </c>
      <c r="M1236" s="63">
        <f t="shared" si="157"/>
        <v>0</v>
      </c>
      <c r="N1236" s="63">
        <f t="shared" si="158"/>
        <v>0</v>
      </c>
      <c r="O1236" s="63">
        <f t="shared" si="159"/>
        <v>0</v>
      </c>
      <c r="P1236" s="63">
        <f t="shared" si="160"/>
        <v>14.675400000000002</v>
      </c>
      <c r="Q1236" s="561">
        <f t="shared" si="145"/>
        <v>0</v>
      </c>
      <c r="R1236" s="174"/>
      <c r="T1236" s="82"/>
      <c r="U1236" s="82"/>
      <c r="V1236" s="82"/>
      <c r="W1236" s="82"/>
      <c r="X1236" s="82"/>
      <c r="Y1236" s="82"/>
      <c r="Z1236" s="82"/>
      <c r="AA1236" s="82"/>
      <c r="AB1236" s="82"/>
    </row>
    <row r="1237" spans="1:28" s="85" customFormat="1" x14ac:dyDescent="0.25">
      <c r="A1237" s="82"/>
      <c r="B1237" s="82"/>
      <c r="C1237" s="82"/>
      <c r="D1237" s="729"/>
      <c r="E1237" s="371" t="s">
        <v>113</v>
      </c>
      <c r="F1237" s="372">
        <v>2</v>
      </c>
      <c r="G1237" s="373">
        <v>16</v>
      </c>
      <c r="H1237" s="374">
        <v>5</v>
      </c>
      <c r="I1237" s="375">
        <v>1.07</v>
      </c>
      <c r="J1237" s="376">
        <f t="shared" si="161"/>
        <v>17.12</v>
      </c>
      <c r="K1237" s="66">
        <f t="shared" si="155"/>
        <v>2.6364800000000002</v>
      </c>
      <c r="L1237" s="63">
        <f t="shared" si="156"/>
        <v>0</v>
      </c>
      <c r="M1237" s="63">
        <f t="shared" si="157"/>
        <v>0</v>
      </c>
      <c r="N1237" s="63">
        <f t="shared" si="158"/>
        <v>0</v>
      </c>
      <c r="O1237" s="63">
        <f t="shared" si="159"/>
        <v>0</v>
      </c>
      <c r="P1237" s="63">
        <f t="shared" si="160"/>
        <v>0</v>
      </c>
      <c r="Q1237" s="561">
        <f t="shared" si="145"/>
        <v>0</v>
      </c>
      <c r="R1237" s="174"/>
      <c r="T1237" s="82"/>
      <c r="U1237" s="82"/>
      <c r="V1237" s="82"/>
      <c r="W1237" s="82"/>
      <c r="X1237" s="82"/>
      <c r="Y1237" s="82"/>
      <c r="Z1237" s="82"/>
      <c r="AA1237" s="82"/>
      <c r="AB1237" s="82"/>
    </row>
    <row r="1238" spans="1:28" s="85" customFormat="1" x14ac:dyDescent="0.25">
      <c r="A1238" s="82"/>
      <c r="B1238" s="82"/>
      <c r="C1238" s="82"/>
      <c r="D1238" s="729"/>
      <c r="E1238" s="371" t="s">
        <v>113</v>
      </c>
      <c r="F1238" s="372">
        <v>3</v>
      </c>
      <c r="G1238" s="373">
        <v>8</v>
      </c>
      <c r="H1238" s="374">
        <v>5</v>
      </c>
      <c r="I1238" s="375">
        <v>0.74</v>
      </c>
      <c r="J1238" s="376">
        <f t="shared" si="161"/>
        <v>5.92</v>
      </c>
      <c r="K1238" s="66">
        <f t="shared" si="155"/>
        <v>0.91167999999999993</v>
      </c>
      <c r="L1238" s="63">
        <f t="shared" si="156"/>
        <v>0</v>
      </c>
      <c r="M1238" s="63">
        <f t="shared" si="157"/>
        <v>0</v>
      </c>
      <c r="N1238" s="63">
        <f t="shared" si="158"/>
        <v>0</v>
      </c>
      <c r="O1238" s="63">
        <f t="shared" si="159"/>
        <v>0</v>
      </c>
      <c r="P1238" s="63">
        <f t="shared" si="160"/>
        <v>0</v>
      </c>
      <c r="Q1238" s="561">
        <f t="shared" si="145"/>
        <v>0</v>
      </c>
      <c r="R1238" s="174"/>
      <c r="T1238" s="82"/>
      <c r="U1238" s="82"/>
      <c r="V1238" s="82"/>
      <c r="W1238" s="82"/>
      <c r="X1238" s="82"/>
      <c r="Y1238" s="82"/>
      <c r="Z1238" s="82"/>
      <c r="AA1238" s="82"/>
      <c r="AB1238" s="82"/>
    </row>
    <row r="1239" spans="1:28" s="85" customFormat="1" x14ac:dyDescent="0.25">
      <c r="A1239" s="82"/>
      <c r="B1239" s="82"/>
      <c r="C1239" s="82"/>
      <c r="D1239" s="729"/>
      <c r="E1239" s="371" t="s">
        <v>113</v>
      </c>
      <c r="F1239" s="372">
        <v>19</v>
      </c>
      <c r="G1239" s="373">
        <v>6</v>
      </c>
      <c r="H1239" s="374">
        <v>16</v>
      </c>
      <c r="I1239" s="375">
        <v>3.53</v>
      </c>
      <c r="J1239" s="376">
        <f t="shared" si="161"/>
        <v>21.18</v>
      </c>
      <c r="K1239" s="66">
        <f t="shared" si="155"/>
        <v>0</v>
      </c>
      <c r="L1239" s="63">
        <f t="shared" si="156"/>
        <v>0</v>
      </c>
      <c r="M1239" s="63">
        <f t="shared" si="157"/>
        <v>0</v>
      </c>
      <c r="N1239" s="63">
        <f t="shared" si="158"/>
        <v>0</v>
      </c>
      <c r="O1239" s="63">
        <f t="shared" si="159"/>
        <v>0</v>
      </c>
      <c r="P1239" s="63">
        <f t="shared" si="160"/>
        <v>33.422040000000003</v>
      </c>
      <c r="Q1239" s="561">
        <f t="shared" si="145"/>
        <v>0</v>
      </c>
      <c r="R1239" s="174"/>
      <c r="T1239" s="82"/>
      <c r="U1239" s="82"/>
      <c r="V1239" s="82"/>
      <c r="W1239" s="82"/>
      <c r="X1239" s="82"/>
      <c r="Y1239" s="82"/>
      <c r="Z1239" s="82"/>
      <c r="AA1239" s="82"/>
      <c r="AB1239" s="82"/>
    </row>
    <row r="1240" spans="1:28" s="85" customFormat="1" x14ac:dyDescent="0.25">
      <c r="A1240" s="82"/>
      <c r="B1240" s="82"/>
      <c r="C1240" s="82"/>
      <c r="D1240" s="729"/>
      <c r="E1240" s="371" t="s">
        <v>113</v>
      </c>
      <c r="F1240" s="372">
        <v>2</v>
      </c>
      <c r="G1240" s="373">
        <v>5</v>
      </c>
      <c r="H1240" s="374">
        <v>5</v>
      </c>
      <c r="I1240" s="375">
        <v>1.07</v>
      </c>
      <c r="J1240" s="376">
        <f t="shared" ref="J1240" si="162">G1240*I1240</f>
        <v>5.3500000000000005</v>
      </c>
      <c r="K1240" s="66">
        <f t="shared" si="155"/>
        <v>0.82390000000000008</v>
      </c>
      <c r="L1240" s="63">
        <f t="shared" si="156"/>
        <v>0</v>
      </c>
      <c r="M1240" s="63">
        <f t="shared" si="157"/>
        <v>0</v>
      </c>
      <c r="N1240" s="63">
        <f t="shared" si="158"/>
        <v>0</v>
      </c>
      <c r="O1240" s="63">
        <f t="shared" si="159"/>
        <v>0</v>
      </c>
      <c r="P1240" s="63">
        <f t="shared" si="160"/>
        <v>0</v>
      </c>
      <c r="Q1240" s="561">
        <f t="shared" si="145"/>
        <v>0</v>
      </c>
      <c r="R1240" s="174"/>
      <c r="T1240" s="82"/>
      <c r="U1240" s="82"/>
      <c r="V1240" s="82"/>
      <c r="W1240" s="82"/>
      <c r="X1240" s="82"/>
      <c r="Y1240" s="82"/>
      <c r="Z1240" s="82"/>
      <c r="AA1240" s="82"/>
      <c r="AB1240" s="82"/>
    </row>
    <row r="1241" spans="1:28" s="85" customFormat="1" x14ac:dyDescent="0.25">
      <c r="A1241" s="82"/>
      <c r="B1241" s="82"/>
      <c r="C1241" s="82"/>
      <c r="D1241" s="729"/>
      <c r="E1241" s="371" t="s">
        <v>113</v>
      </c>
      <c r="F1241" s="372">
        <v>7</v>
      </c>
      <c r="G1241" s="373">
        <v>6</v>
      </c>
      <c r="H1241" s="374">
        <v>16</v>
      </c>
      <c r="I1241" s="375">
        <v>0.98</v>
      </c>
      <c r="J1241" s="376">
        <f t="shared" si="161"/>
        <v>5.88</v>
      </c>
      <c r="K1241" s="66">
        <f t="shared" si="155"/>
        <v>0</v>
      </c>
      <c r="L1241" s="63">
        <f t="shared" si="156"/>
        <v>0</v>
      </c>
      <c r="M1241" s="63">
        <f t="shared" si="157"/>
        <v>0</v>
      </c>
      <c r="N1241" s="63">
        <f t="shared" si="158"/>
        <v>0</v>
      </c>
      <c r="O1241" s="63">
        <f t="shared" si="159"/>
        <v>0</v>
      </c>
      <c r="P1241" s="63">
        <f t="shared" si="160"/>
        <v>9.2786400000000011</v>
      </c>
      <c r="Q1241" s="561">
        <f t="shared" si="145"/>
        <v>0</v>
      </c>
      <c r="R1241" s="174"/>
      <c r="T1241" s="82"/>
      <c r="U1241" s="82"/>
      <c r="V1241" s="82"/>
      <c r="W1241" s="82"/>
      <c r="X1241" s="82"/>
      <c r="Y1241" s="82"/>
      <c r="Z1241" s="82"/>
      <c r="AA1241" s="82"/>
      <c r="AB1241" s="82"/>
    </row>
    <row r="1242" spans="1:28" s="85" customFormat="1" x14ac:dyDescent="0.25">
      <c r="A1242" s="82"/>
      <c r="B1242" s="82"/>
      <c r="C1242" s="82"/>
      <c r="D1242" s="729"/>
      <c r="E1242" s="396" t="s">
        <v>184</v>
      </c>
      <c r="F1242" s="403">
        <v>2</v>
      </c>
      <c r="G1242" s="397">
        <v>8</v>
      </c>
      <c r="H1242" s="398">
        <v>5</v>
      </c>
      <c r="I1242" s="399">
        <v>0.74</v>
      </c>
      <c r="J1242" s="400">
        <f t="shared" si="161"/>
        <v>5.92</v>
      </c>
      <c r="K1242" s="401">
        <f t="shared" si="155"/>
        <v>0.91167999999999993</v>
      </c>
      <c r="L1242" s="196">
        <f t="shared" si="156"/>
        <v>0</v>
      </c>
      <c r="M1242" s="196">
        <f t="shared" si="157"/>
        <v>0</v>
      </c>
      <c r="N1242" s="196">
        <f t="shared" si="158"/>
        <v>0</v>
      </c>
      <c r="O1242" s="196">
        <f t="shared" si="159"/>
        <v>0</v>
      </c>
      <c r="P1242" s="196">
        <f t="shared" si="160"/>
        <v>0</v>
      </c>
      <c r="Q1242" s="566">
        <f t="shared" si="145"/>
        <v>0</v>
      </c>
      <c r="R1242" s="538"/>
      <c r="T1242" s="82"/>
      <c r="U1242" s="82"/>
      <c r="V1242" s="82"/>
      <c r="W1242" s="82"/>
      <c r="X1242" s="82"/>
      <c r="Y1242" s="82"/>
      <c r="Z1242" s="82"/>
      <c r="AA1242" s="82"/>
      <c r="AB1242" s="82"/>
    </row>
    <row r="1243" spans="1:28" s="85" customFormat="1" x14ac:dyDescent="0.25">
      <c r="A1243" s="82"/>
      <c r="B1243" s="82"/>
      <c r="C1243" s="82"/>
      <c r="D1243" s="729"/>
      <c r="E1243" s="371" t="s">
        <v>184</v>
      </c>
      <c r="F1243" s="372">
        <v>12</v>
      </c>
      <c r="G1243" s="373">
        <v>6</v>
      </c>
      <c r="H1243" s="374">
        <v>16</v>
      </c>
      <c r="I1243" s="375">
        <v>0.32</v>
      </c>
      <c r="J1243" s="376">
        <f t="shared" si="161"/>
        <v>1.92</v>
      </c>
      <c r="K1243" s="66">
        <f t="shared" si="155"/>
        <v>0</v>
      </c>
      <c r="L1243" s="63">
        <f t="shared" si="156"/>
        <v>0</v>
      </c>
      <c r="M1243" s="63">
        <f t="shared" si="157"/>
        <v>0</v>
      </c>
      <c r="N1243" s="63">
        <f t="shared" si="158"/>
        <v>0</v>
      </c>
      <c r="O1243" s="63">
        <f t="shared" si="159"/>
        <v>0</v>
      </c>
      <c r="P1243" s="63">
        <f t="shared" si="160"/>
        <v>3.02976</v>
      </c>
      <c r="Q1243" s="562">
        <f t="shared" si="145"/>
        <v>0</v>
      </c>
      <c r="R1243" s="377"/>
      <c r="T1243" s="82"/>
      <c r="U1243" s="82"/>
      <c r="V1243" s="82"/>
      <c r="W1243" s="82"/>
      <c r="X1243" s="82"/>
      <c r="Y1243" s="82"/>
      <c r="Z1243" s="82"/>
      <c r="AA1243" s="82"/>
      <c r="AB1243" s="82"/>
    </row>
    <row r="1244" spans="1:28" s="85" customFormat="1" x14ac:dyDescent="0.25">
      <c r="A1244" s="82"/>
      <c r="B1244" s="82"/>
      <c r="C1244" s="82"/>
      <c r="D1244" s="729"/>
      <c r="E1244" s="371" t="s">
        <v>184</v>
      </c>
      <c r="F1244" s="372"/>
      <c r="G1244" s="373"/>
      <c r="H1244" s="374"/>
      <c r="I1244" s="375"/>
      <c r="J1244" s="376">
        <f t="shared" si="161"/>
        <v>0</v>
      </c>
      <c r="K1244" s="66">
        <f t="shared" si="155"/>
        <v>0</v>
      </c>
      <c r="L1244" s="63">
        <f t="shared" si="156"/>
        <v>0</v>
      </c>
      <c r="M1244" s="63">
        <f t="shared" si="157"/>
        <v>0</v>
      </c>
      <c r="N1244" s="63">
        <f t="shared" si="158"/>
        <v>0</v>
      </c>
      <c r="O1244" s="63">
        <f t="shared" si="159"/>
        <v>0</v>
      </c>
      <c r="P1244" s="63">
        <f t="shared" si="160"/>
        <v>0</v>
      </c>
      <c r="Q1244" s="562">
        <f t="shared" si="145"/>
        <v>0</v>
      </c>
      <c r="R1244" s="377"/>
      <c r="T1244" s="82"/>
      <c r="U1244" s="82"/>
      <c r="V1244" s="82"/>
      <c r="W1244" s="82"/>
      <c r="X1244" s="82"/>
      <c r="Y1244" s="82"/>
      <c r="Z1244" s="82"/>
      <c r="AA1244" s="82"/>
      <c r="AB1244" s="82"/>
    </row>
    <row r="1245" spans="1:28" s="85" customFormat="1" ht="13.8" thickBot="1" x14ac:dyDescent="0.3">
      <c r="A1245" s="82"/>
      <c r="B1245" s="82"/>
      <c r="C1245" s="82"/>
      <c r="D1245" s="731"/>
      <c r="E1245" s="390" t="s">
        <v>184</v>
      </c>
      <c r="F1245" s="391"/>
      <c r="G1245" s="392"/>
      <c r="H1245" s="393"/>
      <c r="I1245" s="394"/>
      <c r="J1245" s="395">
        <f t="shared" si="161"/>
        <v>0</v>
      </c>
      <c r="K1245" s="221">
        <f t="shared" si="155"/>
        <v>0</v>
      </c>
      <c r="L1245" s="222">
        <f t="shared" si="156"/>
        <v>0</v>
      </c>
      <c r="M1245" s="222">
        <f t="shared" si="157"/>
        <v>0</v>
      </c>
      <c r="N1245" s="222">
        <f t="shared" si="158"/>
        <v>0</v>
      </c>
      <c r="O1245" s="222">
        <f t="shared" si="159"/>
        <v>0</v>
      </c>
      <c r="P1245" s="222">
        <f t="shared" si="160"/>
        <v>0</v>
      </c>
      <c r="Q1245" s="564">
        <f t="shared" si="145"/>
        <v>0</v>
      </c>
      <c r="R1245" s="539"/>
      <c r="T1245" s="82"/>
      <c r="U1245" s="82"/>
      <c r="V1245" s="82"/>
      <c r="W1245" s="82"/>
      <c r="X1245" s="82"/>
      <c r="Y1245" s="82"/>
      <c r="Z1245" s="82"/>
      <c r="AA1245" s="82"/>
      <c r="AB1245" s="82"/>
    </row>
    <row r="1246" spans="1:28" s="85" customFormat="1" ht="13.8" thickTop="1" x14ac:dyDescent="0.25">
      <c r="A1246" s="82"/>
      <c r="B1246" s="82"/>
      <c r="C1246" s="82"/>
      <c r="D1246" s="728" t="s">
        <v>1796</v>
      </c>
      <c r="E1246" s="384" t="s">
        <v>49</v>
      </c>
      <c r="F1246" s="385">
        <v>15</v>
      </c>
      <c r="G1246" s="386">
        <v>9</v>
      </c>
      <c r="H1246" s="387">
        <v>5</v>
      </c>
      <c r="I1246" s="388">
        <v>0.21</v>
      </c>
      <c r="J1246" s="389">
        <f t="shared" si="146"/>
        <v>1.89</v>
      </c>
      <c r="K1246" s="218">
        <f t="shared" si="155"/>
        <v>0.29105999999999999</v>
      </c>
      <c r="L1246" s="219">
        <f t="shared" si="156"/>
        <v>0</v>
      </c>
      <c r="M1246" s="219">
        <f t="shared" si="157"/>
        <v>0</v>
      </c>
      <c r="N1246" s="219">
        <f t="shared" si="158"/>
        <v>0</v>
      </c>
      <c r="O1246" s="219">
        <f t="shared" si="159"/>
        <v>0</v>
      </c>
      <c r="P1246" s="219">
        <f t="shared" si="160"/>
        <v>0</v>
      </c>
      <c r="Q1246" s="563">
        <f t="shared" si="145"/>
        <v>0</v>
      </c>
      <c r="R1246" s="220"/>
      <c r="T1246" s="82"/>
      <c r="U1246" s="82"/>
      <c r="V1246" s="82"/>
      <c r="W1246" s="82"/>
      <c r="X1246" s="82"/>
      <c r="Y1246" s="82"/>
      <c r="Z1246" s="82"/>
      <c r="AA1246" s="82"/>
      <c r="AB1246" s="82"/>
    </row>
    <row r="1247" spans="1:28" s="85" customFormat="1" x14ac:dyDescent="0.25">
      <c r="A1247" s="82"/>
      <c r="B1247" s="82"/>
      <c r="C1247" s="82"/>
      <c r="D1247" s="729"/>
      <c r="E1247" s="371" t="s">
        <v>49</v>
      </c>
      <c r="F1247" s="372">
        <v>16</v>
      </c>
      <c r="G1247" s="373">
        <v>5</v>
      </c>
      <c r="H1247" s="374">
        <v>5</v>
      </c>
      <c r="I1247" s="375">
        <v>0.85</v>
      </c>
      <c r="J1247" s="376">
        <f t="shared" si="146"/>
        <v>4.25</v>
      </c>
      <c r="K1247" s="66">
        <f t="shared" si="155"/>
        <v>0.65449999999999997</v>
      </c>
      <c r="L1247" s="63">
        <f t="shared" si="156"/>
        <v>0</v>
      </c>
      <c r="M1247" s="63">
        <f t="shared" si="157"/>
        <v>0</v>
      </c>
      <c r="N1247" s="63">
        <f t="shared" si="158"/>
        <v>0</v>
      </c>
      <c r="O1247" s="63">
        <f t="shared" si="159"/>
        <v>0</v>
      </c>
      <c r="P1247" s="63">
        <f t="shared" si="160"/>
        <v>0</v>
      </c>
      <c r="Q1247" s="561">
        <f t="shared" si="145"/>
        <v>0</v>
      </c>
      <c r="R1247" s="174"/>
      <c r="T1247" s="82"/>
      <c r="U1247" s="82"/>
      <c r="V1247" s="82"/>
      <c r="W1247" s="82"/>
      <c r="X1247" s="82"/>
      <c r="Y1247" s="82"/>
      <c r="Z1247" s="82"/>
      <c r="AA1247" s="82"/>
      <c r="AB1247" s="82"/>
    </row>
    <row r="1248" spans="1:28" s="85" customFormat="1" x14ac:dyDescent="0.25">
      <c r="A1248" s="82"/>
      <c r="B1248" s="82"/>
      <c r="C1248" s="82"/>
      <c r="D1248" s="729"/>
      <c r="E1248" s="371" t="s">
        <v>49</v>
      </c>
      <c r="F1248" s="372">
        <v>17</v>
      </c>
      <c r="G1248" s="373">
        <v>8</v>
      </c>
      <c r="H1248" s="374">
        <v>5</v>
      </c>
      <c r="I1248" s="375">
        <v>0.55000000000000004</v>
      </c>
      <c r="J1248" s="376">
        <f t="shared" si="146"/>
        <v>4.4000000000000004</v>
      </c>
      <c r="K1248" s="66">
        <f t="shared" si="155"/>
        <v>0.67760000000000009</v>
      </c>
      <c r="L1248" s="63">
        <f t="shared" si="156"/>
        <v>0</v>
      </c>
      <c r="M1248" s="63">
        <f t="shared" si="157"/>
        <v>0</v>
      </c>
      <c r="N1248" s="63">
        <f t="shared" si="158"/>
        <v>0</v>
      </c>
      <c r="O1248" s="63">
        <f t="shared" si="159"/>
        <v>0</v>
      </c>
      <c r="P1248" s="63">
        <f t="shared" si="160"/>
        <v>0</v>
      </c>
      <c r="Q1248" s="561">
        <f t="shared" si="145"/>
        <v>0</v>
      </c>
      <c r="R1248" s="174"/>
      <c r="T1248" s="82"/>
      <c r="U1248" s="82"/>
      <c r="V1248" s="82"/>
      <c r="W1248" s="82"/>
      <c r="X1248" s="82"/>
      <c r="Y1248" s="82"/>
      <c r="Z1248" s="82"/>
      <c r="AA1248" s="82"/>
      <c r="AB1248" s="82"/>
    </row>
    <row r="1249" spans="1:28" s="85" customFormat="1" x14ac:dyDescent="0.25">
      <c r="A1249" s="82"/>
      <c r="B1249" s="82"/>
      <c r="C1249" s="82"/>
      <c r="D1249" s="729"/>
      <c r="E1249" s="371" t="s">
        <v>49</v>
      </c>
      <c r="F1249" s="372">
        <v>34</v>
      </c>
      <c r="G1249" s="373">
        <v>6</v>
      </c>
      <c r="H1249" s="374">
        <v>10</v>
      </c>
      <c r="I1249" s="375">
        <v>1.37</v>
      </c>
      <c r="J1249" s="376">
        <f t="shared" si="146"/>
        <v>8.2200000000000006</v>
      </c>
      <c r="K1249" s="66">
        <f t="shared" si="155"/>
        <v>0</v>
      </c>
      <c r="L1249" s="63">
        <f t="shared" si="156"/>
        <v>0</v>
      </c>
      <c r="M1249" s="63">
        <f t="shared" si="157"/>
        <v>0</v>
      </c>
      <c r="N1249" s="63">
        <f t="shared" si="158"/>
        <v>5.0717400000000001</v>
      </c>
      <c r="O1249" s="63">
        <f t="shared" si="159"/>
        <v>0</v>
      </c>
      <c r="P1249" s="63">
        <f t="shared" si="160"/>
        <v>0</v>
      </c>
      <c r="Q1249" s="561">
        <f t="shared" si="145"/>
        <v>0</v>
      </c>
      <c r="R1249" s="174"/>
      <c r="T1249" s="82"/>
      <c r="U1249" s="82"/>
      <c r="V1249" s="82"/>
      <c r="W1249" s="82"/>
      <c r="X1249" s="82"/>
      <c r="Y1249" s="82"/>
      <c r="Z1249" s="82"/>
      <c r="AA1249" s="82"/>
      <c r="AB1249" s="82"/>
    </row>
    <row r="1250" spans="1:28" s="85" customFormat="1" x14ac:dyDescent="0.25">
      <c r="A1250" s="82"/>
      <c r="B1250" s="82"/>
      <c r="C1250" s="82"/>
      <c r="D1250" s="729"/>
      <c r="E1250" s="371" t="s">
        <v>113</v>
      </c>
      <c r="F1250" s="372">
        <v>7</v>
      </c>
      <c r="G1250" s="373">
        <v>22</v>
      </c>
      <c r="H1250" s="374">
        <v>5</v>
      </c>
      <c r="I1250" s="375">
        <v>0.97</v>
      </c>
      <c r="J1250" s="376">
        <f t="shared" si="146"/>
        <v>21.34</v>
      </c>
      <c r="K1250" s="66">
        <f t="shared" si="155"/>
        <v>3.2863599999999997</v>
      </c>
      <c r="L1250" s="63">
        <f t="shared" si="156"/>
        <v>0</v>
      </c>
      <c r="M1250" s="63">
        <f t="shared" si="157"/>
        <v>0</v>
      </c>
      <c r="N1250" s="63">
        <f t="shared" si="158"/>
        <v>0</v>
      </c>
      <c r="O1250" s="63">
        <f t="shared" si="159"/>
        <v>0</v>
      </c>
      <c r="P1250" s="63">
        <f t="shared" si="160"/>
        <v>0</v>
      </c>
      <c r="Q1250" s="561">
        <f t="shared" si="145"/>
        <v>0</v>
      </c>
      <c r="R1250" s="174"/>
      <c r="T1250" s="82"/>
      <c r="U1250" s="82"/>
      <c r="V1250" s="82"/>
      <c r="W1250" s="82"/>
      <c r="X1250" s="82"/>
      <c r="Y1250" s="82"/>
      <c r="Z1250" s="82"/>
      <c r="AA1250" s="82"/>
      <c r="AB1250" s="82"/>
    </row>
    <row r="1251" spans="1:28" s="85" customFormat="1" x14ac:dyDescent="0.25">
      <c r="A1251" s="82"/>
      <c r="B1251" s="82"/>
      <c r="C1251" s="82"/>
      <c r="D1251" s="729"/>
      <c r="E1251" s="371" t="s">
        <v>113</v>
      </c>
      <c r="F1251" s="372">
        <v>8</v>
      </c>
      <c r="G1251" s="373">
        <v>8</v>
      </c>
      <c r="H1251" s="374">
        <v>5</v>
      </c>
      <c r="I1251" s="375">
        <v>0.64</v>
      </c>
      <c r="J1251" s="376">
        <f t="shared" si="146"/>
        <v>5.12</v>
      </c>
      <c r="K1251" s="66">
        <f t="shared" si="155"/>
        <v>0.78847999999999996</v>
      </c>
      <c r="L1251" s="63">
        <f t="shared" si="156"/>
        <v>0</v>
      </c>
      <c r="M1251" s="63">
        <f t="shared" si="157"/>
        <v>0</v>
      </c>
      <c r="N1251" s="63">
        <f t="shared" si="158"/>
        <v>0</v>
      </c>
      <c r="O1251" s="63">
        <f t="shared" si="159"/>
        <v>0</v>
      </c>
      <c r="P1251" s="63">
        <f t="shared" si="160"/>
        <v>0</v>
      </c>
      <c r="Q1251" s="561">
        <f t="shared" si="145"/>
        <v>0</v>
      </c>
      <c r="R1251" s="174"/>
      <c r="T1251" s="82"/>
      <c r="U1251" s="82"/>
      <c r="V1251" s="82"/>
      <c r="W1251" s="82"/>
      <c r="X1251" s="82"/>
      <c r="Y1251" s="82"/>
      <c r="Z1251" s="82"/>
      <c r="AA1251" s="82"/>
      <c r="AB1251" s="82"/>
    </row>
    <row r="1252" spans="1:28" s="85" customFormat="1" x14ac:dyDescent="0.25">
      <c r="A1252" s="82"/>
      <c r="B1252" s="82"/>
      <c r="C1252" s="82"/>
      <c r="D1252" s="729"/>
      <c r="E1252" s="371" t="s">
        <v>113</v>
      </c>
      <c r="F1252" s="372">
        <v>9</v>
      </c>
      <c r="G1252" s="373">
        <v>26</v>
      </c>
      <c r="H1252" s="374">
        <v>5</v>
      </c>
      <c r="I1252" s="375">
        <v>0.24</v>
      </c>
      <c r="J1252" s="376">
        <f t="shared" si="146"/>
        <v>6.24</v>
      </c>
      <c r="K1252" s="66">
        <f t="shared" si="155"/>
        <v>0.96096000000000004</v>
      </c>
      <c r="L1252" s="63">
        <f t="shared" si="156"/>
        <v>0</v>
      </c>
      <c r="M1252" s="63">
        <f t="shared" si="157"/>
        <v>0</v>
      </c>
      <c r="N1252" s="63">
        <f t="shared" si="158"/>
        <v>0</v>
      </c>
      <c r="O1252" s="63">
        <f t="shared" si="159"/>
        <v>0</v>
      </c>
      <c r="P1252" s="63">
        <f t="shared" si="160"/>
        <v>0</v>
      </c>
      <c r="Q1252" s="561">
        <f t="shared" si="145"/>
        <v>0</v>
      </c>
      <c r="R1252" s="174"/>
      <c r="T1252" s="82"/>
      <c r="U1252" s="82"/>
      <c r="V1252" s="82"/>
      <c r="W1252" s="82"/>
      <c r="X1252" s="82"/>
      <c r="Y1252" s="82"/>
      <c r="Z1252" s="82"/>
      <c r="AA1252" s="82"/>
      <c r="AB1252" s="82"/>
    </row>
    <row r="1253" spans="1:28" s="85" customFormat="1" x14ac:dyDescent="0.25">
      <c r="A1253" s="82"/>
      <c r="B1253" s="82"/>
      <c r="C1253" s="82"/>
      <c r="D1253" s="729"/>
      <c r="E1253" s="371" t="s">
        <v>113</v>
      </c>
      <c r="F1253" s="372">
        <v>16</v>
      </c>
      <c r="G1253" s="373">
        <v>6</v>
      </c>
      <c r="H1253" s="374">
        <v>10</v>
      </c>
      <c r="I1253" s="375">
        <v>2.97</v>
      </c>
      <c r="J1253" s="376">
        <f t="shared" si="146"/>
        <v>17.82</v>
      </c>
      <c r="K1253" s="66">
        <f t="shared" si="155"/>
        <v>0</v>
      </c>
      <c r="L1253" s="63">
        <f t="shared" si="156"/>
        <v>0</v>
      </c>
      <c r="M1253" s="63">
        <f t="shared" si="157"/>
        <v>0</v>
      </c>
      <c r="N1253" s="63">
        <f t="shared" si="158"/>
        <v>10.99494</v>
      </c>
      <c r="O1253" s="63">
        <f t="shared" si="159"/>
        <v>0</v>
      </c>
      <c r="P1253" s="63">
        <f t="shared" si="160"/>
        <v>0</v>
      </c>
      <c r="Q1253" s="561">
        <f t="shared" si="145"/>
        <v>0</v>
      </c>
      <c r="R1253" s="174"/>
      <c r="T1253" s="82"/>
      <c r="U1253" s="82"/>
      <c r="V1253" s="82"/>
      <c r="W1253" s="82"/>
      <c r="X1253" s="82"/>
      <c r="Y1253" s="82"/>
      <c r="Z1253" s="82"/>
      <c r="AA1253" s="82"/>
      <c r="AB1253" s="82"/>
    </row>
    <row r="1254" spans="1:28" s="85" customFormat="1" x14ac:dyDescent="0.25">
      <c r="A1254" s="82"/>
      <c r="B1254" s="82"/>
      <c r="C1254" s="82"/>
      <c r="D1254" s="729"/>
      <c r="E1254" s="396" t="s">
        <v>184</v>
      </c>
      <c r="F1254" s="403"/>
      <c r="G1254" s="397"/>
      <c r="H1254" s="398"/>
      <c r="I1254" s="399"/>
      <c r="J1254" s="400">
        <f t="shared" si="146"/>
        <v>0</v>
      </c>
      <c r="K1254" s="401">
        <f t="shared" si="155"/>
        <v>0</v>
      </c>
      <c r="L1254" s="196">
        <f t="shared" si="156"/>
        <v>0</v>
      </c>
      <c r="M1254" s="196">
        <f t="shared" si="157"/>
        <v>0</v>
      </c>
      <c r="N1254" s="196">
        <f t="shared" si="158"/>
        <v>0</v>
      </c>
      <c r="O1254" s="196">
        <f t="shared" si="159"/>
        <v>0</v>
      </c>
      <c r="P1254" s="196">
        <f t="shared" si="160"/>
        <v>0</v>
      </c>
      <c r="Q1254" s="566">
        <f t="shared" si="145"/>
        <v>0</v>
      </c>
      <c r="R1254" s="538"/>
      <c r="T1254" s="82"/>
      <c r="U1254" s="82"/>
      <c r="V1254" s="82"/>
      <c r="W1254" s="82"/>
      <c r="X1254" s="82"/>
      <c r="Y1254" s="82"/>
      <c r="Z1254" s="82"/>
      <c r="AA1254" s="82"/>
      <c r="AB1254" s="82"/>
    </row>
    <row r="1255" spans="1:28" s="85" customFormat="1" x14ac:dyDescent="0.25">
      <c r="A1255" s="82"/>
      <c r="B1255" s="82"/>
      <c r="C1255" s="82"/>
      <c r="D1255" s="729"/>
      <c r="E1255" s="371" t="s">
        <v>184</v>
      </c>
      <c r="F1255" s="372"/>
      <c r="G1255" s="373"/>
      <c r="H1255" s="374"/>
      <c r="I1255" s="375"/>
      <c r="J1255" s="376">
        <f t="shared" si="146"/>
        <v>0</v>
      </c>
      <c r="K1255" s="66">
        <f t="shared" si="155"/>
        <v>0</v>
      </c>
      <c r="L1255" s="63">
        <f t="shared" si="156"/>
        <v>0</v>
      </c>
      <c r="M1255" s="63">
        <f t="shared" si="157"/>
        <v>0</v>
      </c>
      <c r="N1255" s="63">
        <f t="shared" si="158"/>
        <v>0</v>
      </c>
      <c r="O1255" s="63">
        <f t="shared" si="159"/>
        <v>0</v>
      </c>
      <c r="P1255" s="63">
        <f t="shared" si="160"/>
        <v>0</v>
      </c>
      <c r="Q1255" s="562">
        <f t="shared" si="145"/>
        <v>0</v>
      </c>
      <c r="R1255" s="377"/>
      <c r="T1255" s="82"/>
      <c r="U1255" s="82"/>
      <c r="V1255" s="82"/>
      <c r="W1255" s="82"/>
      <c r="X1255" s="82"/>
      <c r="Y1255" s="82"/>
      <c r="Z1255" s="82"/>
      <c r="AA1255" s="82"/>
      <c r="AB1255" s="82"/>
    </row>
    <row r="1256" spans="1:28" s="85" customFormat="1" x14ac:dyDescent="0.25">
      <c r="A1256" s="82"/>
      <c r="B1256" s="82"/>
      <c r="C1256" s="82"/>
      <c r="D1256" s="729"/>
      <c r="E1256" s="371" t="s">
        <v>184</v>
      </c>
      <c r="F1256" s="372"/>
      <c r="G1256" s="373"/>
      <c r="H1256" s="374"/>
      <c r="I1256" s="375"/>
      <c r="J1256" s="376">
        <f t="shared" si="146"/>
        <v>0</v>
      </c>
      <c r="K1256" s="66">
        <f t="shared" si="155"/>
        <v>0</v>
      </c>
      <c r="L1256" s="63">
        <f t="shared" si="156"/>
        <v>0</v>
      </c>
      <c r="M1256" s="63">
        <f t="shared" si="157"/>
        <v>0</v>
      </c>
      <c r="N1256" s="63">
        <f t="shared" si="158"/>
        <v>0</v>
      </c>
      <c r="O1256" s="63">
        <f t="shared" si="159"/>
        <v>0</v>
      </c>
      <c r="P1256" s="63">
        <f t="shared" si="160"/>
        <v>0</v>
      </c>
      <c r="Q1256" s="562">
        <f t="shared" si="145"/>
        <v>0</v>
      </c>
      <c r="R1256" s="377"/>
      <c r="T1256" s="82"/>
      <c r="U1256" s="82"/>
      <c r="V1256" s="82"/>
      <c r="W1256" s="82"/>
      <c r="X1256" s="82"/>
      <c r="Y1256" s="82"/>
      <c r="Z1256" s="82"/>
      <c r="AA1256" s="82"/>
      <c r="AB1256" s="82"/>
    </row>
    <row r="1257" spans="1:28" s="85" customFormat="1" ht="13.8" thickBot="1" x14ac:dyDescent="0.3">
      <c r="A1257" s="82"/>
      <c r="B1257" s="82"/>
      <c r="C1257" s="82"/>
      <c r="D1257" s="731"/>
      <c r="E1257" s="390" t="s">
        <v>184</v>
      </c>
      <c r="F1257" s="391"/>
      <c r="G1257" s="392"/>
      <c r="H1257" s="393"/>
      <c r="I1257" s="394"/>
      <c r="J1257" s="395">
        <f t="shared" si="146"/>
        <v>0</v>
      </c>
      <c r="K1257" s="221">
        <f t="shared" si="155"/>
        <v>0</v>
      </c>
      <c r="L1257" s="222">
        <f t="shared" si="156"/>
        <v>0</v>
      </c>
      <c r="M1257" s="222">
        <f t="shared" si="157"/>
        <v>0</v>
      </c>
      <c r="N1257" s="222">
        <f t="shared" si="158"/>
        <v>0</v>
      </c>
      <c r="O1257" s="222">
        <f t="shared" si="159"/>
        <v>0</v>
      </c>
      <c r="P1257" s="222">
        <f t="shared" si="160"/>
        <v>0</v>
      </c>
      <c r="Q1257" s="564">
        <f t="shared" si="145"/>
        <v>0</v>
      </c>
      <c r="R1257" s="539"/>
      <c r="T1257" s="82"/>
      <c r="U1257" s="82"/>
      <c r="V1257" s="82"/>
      <c r="W1257" s="82"/>
      <c r="X1257" s="82"/>
      <c r="Y1257" s="82"/>
      <c r="Z1257" s="82"/>
      <c r="AA1257" s="82"/>
      <c r="AB1257" s="82"/>
    </row>
    <row r="1258" spans="1:28" s="85" customFormat="1" ht="13.8" thickTop="1" x14ac:dyDescent="0.25">
      <c r="A1258" s="82"/>
      <c r="B1258" s="82"/>
      <c r="C1258" s="82"/>
      <c r="D1258" s="728" t="s">
        <v>1797</v>
      </c>
      <c r="E1258" s="384" t="s">
        <v>49</v>
      </c>
      <c r="F1258" s="385">
        <v>2</v>
      </c>
      <c r="G1258" s="386">
        <v>8</v>
      </c>
      <c r="H1258" s="387">
        <v>5</v>
      </c>
      <c r="I1258" s="388">
        <v>0.74</v>
      </c>
      <c r="J1258" s="389">
        <f t="shared" si="146"/>
        <v>5.92</v>
      </c>
      <c r="K1258" s="218">
        <f t="shared" si="155"/>
        <v>0.91167999999999993</v>
      </c>
      <c r="L1258" s="219">
        <f t="shared" si="156"/>
        <v>0</v>
      </c>
      <c r="M1258" s="219">
        <f t="shared" si="157"/>
        <v>0</v>
      </c>
      <c r="N1258" s="219">
        <f t="shared" si="158"/>
        <v>0</v>
      </c>
      <c r="O1258" s="219">
        <f t="shared" si="159"/>
        <v>0</v>
      </c>
      <c r="P1258" s="219">
        <f t="shared" si="160"/>
        <v>0</v>
      </c>
      <c r="Q1258" s="563">
        <f t="shared" si="145"/>
        <v>0</v>
      </c>
      <c r="R1258" s="220"/>
      <c r="T1258" s="82"/>
      <c r="U1258" s="82"/>
      <c r="V1258" s="82"/>
      <c r="W1258" s="82"/>
      <c r="X1258" s="82"/>
      <c r="Y1258" s="82"/>
      <c r="Z1258" s="82"/>
      <c r="AA1258" s="82"/>
      <c r="AB1258" s="82"/>
    </row>
    <row r="1259" spans="1:28" s="85" customFormat="1" x14ac:dyDescent="0.25">
      <c r="A1259" s="82"/>
      <c r="B1259" s="82"/>
      <c r="C1259" s="82"/>
      <c r="D1259" s="729"/>
      <c r="E1259" s="371" t="s">
        <v>49</v>
      </c>
      <c r="F1259" s="372">
        <v>6</v>
      </c>
      <c r="G1259" s="373">
        <v>5</v>
      </c>
      <c r="H1259" s="374">
        <v>5</v>
      </c>
      <c r="I1259" s="375">
        <v>1.07</v>
      </c>
      <c r="J1259" s="376">
        <f t="shared" si="146"/>
        <v>5.3500000000000005</v>
      </c>
      <c r="K1259" s="66">
        <f t="shared" si="155"/>
        <v>0.82390000000000008</v>
      </c>
      <c r="L1259" s="63">
        <f t="shared" si="156"/>
        <v>0</v>
      </c>
      <c r="M1259" s="63">
        <f t="shared" si="157"/>
        <v>0</v>
      </c>
      <c r="N1259" s="63">
        <f t="shared" si="158"/>
        <v>0</v>
      </c>
      <c r="O1259" s="63">
        <f t="shared" si="159"/>
        <v>0</v>
      </c>
      <c r="P1259" s="63">
        <f t="shared" si="160"/>
        <v>0</v>
      </c>
      <c r="Q1259" s="561">
        <f t="shared" si="145"/>
        <v>0</v>
      </c>
      <c r="R1259" s="174"/>
      <c r="T1259" s="82"/>
      <c r="U1259" s="82"/>
      <c r="V1259" s="82"/>
      <c r="W1259" s="82"/>
      <c r="X1259" s="82"/>
      <c r="Y1259" s="82"/>
      <c r="Z1259" s="82"/>
      <c r="AA1259" s="82"/>
      <c r="AB1259" s="82"/>
    </row>
    <row r="1260" spans="1:28" s="85" customFormat="1" x14ac:dyDescent="0.25">
      <c r="A1260" s="82"/>
      <c r="B1260" s="82"/>
      <c r="C1260" s="82"/>
      <c r="D1260" s="729"/>
      <c r="E1260" s="371" t="s">
        <v>49</v>
      </c>
      <c r="F1260" s="372">
        <v>18</v>
      </c>
      <c r="G1260" s="373">
        <v>9</v>
      </c>
      <c r="H1260" s="374">
        <v>5</v>
      </c>
      <c r="I1260" s="375">
        <v>0.28999999999999998</v>
      </c>
      <c r="J1260" s="376">
        <f t="shared" si="146"/>
        <v>2.61</v>
      </c>
      <c r="K1260" s="66">
        <f t="shared" si="155"/>
        <v>0.40193999999999996</v>
      </c>
      <c r="L1260" s="63">
        <f t="shared" si="156"/>
        <v>0</v>
      </c>
      <c r="M1260" s="63">
        <f t="shared" si="157"/>
        <v>0</v>
      </c>
      <c r="N1260" s="63">
        <f t="shared" si="158"/>
        <v>0</v>
      </c>
      <c r="O1260" s="63">
        <f t="shared" si="159"/>
        <v>0</v>
      </c>
      <c r="P1260" s="63">
        <f t="shared" si="160"/>
        <v>0</v>
      </c>
      <c r="Q1260" s="561">
        <f t="shared" si="145"/>
        <v>0</v>
      </c>
      <c r="R1260" s="174"/>
      <c r="T1260" s="82"/>
      <c r="U1260" s="82"/>
      <c r="V1260" s="82"/>
      <c r="W1260" s="82"/>
      <c r="X1260" s="82"/>
      <c r="Y1260" s="82"/>
      <c r="Z1260" s="82"/>
      <c r="AA1260" s="82"/>
      <c r="AB1260" s="82"/>
    </row>
    <row r="1261" spans="1:28" s="85" customFormat="1" x14ac:dyDescent="0.25">
      <c r="A1261" s="82"/>
      <c r="B1261" s="82"/>
      <c r="C1261" s="82"/>
      <c r="D1261" s="729"/>
      <c r="E1261" s="371" t="s">
        <v>49</v>
      </c>
      <c r="F1261" s="372">
        <v>34</v>
      </c>
      <c r="G1261" s="373">
        <v>6</v>
      </c>
      <c r="H1261" s="374">
        <v>10</v>
      </c>
      <c r="I1261" s="375">
        <v>1.37</v>
      </c>
      <c r="J1261" s="376">
        <f t="shared" si="146"/>
        <v>8.2200000000000006</v>
      </c>
      <c r="K1261" s="66">
        <f t="shared" si="155"/>
        <v>0</v>
      </c>
      <c r="L1261" s="63">
        <f t="shared" si="156"/>
        <v>0</v>
      </c>
      <c r="M1261" s="63">
        <f t="shared" si="157"/>
        <v>0</v>
      </c>
      <c r="N1261" s="63">
        <f t="shared" si="158"/>
        <v>5.0717400000000001</v>
      </c>
      <c r="O1261" s="63">
        <f t="shared" si="159"/>
        <v>0</v>
      </c>
      <c r="P1261" s="63">
        <f t="shared" si="160"/>
        <v>0</v>
      </c>
      <c r="Q1261" s="561">
        <f t="shared" si="145"/>
        <v>0</v>
      </c>
      <c r="R1261" s="174"/>
      <c r="T1261" s="82"/>
      <c r="U1261" s="82"/>
      <c r="V1261" s="82"/>
      <c r="W1261" s="82"/>
      <c r="X1261" s="82"/>
      <c r="Y1261" s="82"/>
      <c r="Z1261" s="82"/>
      <c r="AA1261" s="82"/>
      <c r="AB1261" s="82"/>
    </row>
    <row r="1262" spans="1:28" s="85" customFormat="1" x14ac:dyDescent="0.25">
      <c r="A1262" s="82"/>
      <c r="B1262" s="82"/>
      <c r="C1262" s="82"/>
      <c r="D1262" s="729"/>
      <c r="E1262" s="371" t="s">
        <v>113</v>
      </c>
      <c r="F1262" s="372">
        <v>2</v>
      </c>
      <c r="G1262" s="373">
        <v>21</v>
      </c>
      <c r="H1262" s="374">
        <v>5</v>
      </c>
      <c r="I1262" s="375">
        <v>1.07</v>
      </c>
      <c r="J1262" s="376">
        <f t="shared" si="146"/>
        <v>22.470000000000002</v>
      </c>
      <c r="K1262" s="66">
        <f t="shared" si="155"/>
        <v>3.4603800000000002</v>
      </c>
      <c r="L1262" s="63">
        <f t="shared" si="156"/>
        <v>0</v>
      </c>
      <c r="M1262" s="63">
        <f t="shared" si="157"/>
        <v>0</v>
      </c>
      <c r="N1262" s="63">
        <f t="shared" si="158"/>
        <v>0</v>
      </c>
      <c r="O1262" s="63">
        <f t="shared" si="159"/>
        <v>0</v>
      </c>
      <c r="P1262" s="63">
        <f t="shared" si="160"/>
        <v>0</v>
      </c>
      <c r="Q1262" s="561">
        <f t="shared" si="145"/>
        <v>0</v>
      </c>
      <c r="R1262" s="174"/>
      <c r="T1262" s="82"/>
      <c r="U1262" s="82"/>
      <c r="V1262" s="82"/>
      <c r="W1262" s="82"/>
      <c r="X1262" s="82"/>
      <c r="Y1262" s="82"/>
      <c r="Z1262" s="82"/>
      <c r="AA1262" s="82"/>
      <c r="AB1262" s="82"/>
    </row>
    <row r="1263" spans="1:28" s="85" customFormat="1" x14ac:dyDescent="0.25">
      <c r="A1263" s="82"/>
      <c r="B1263" s="82"/>
      <c r="C1263" s="82"/>
      <c r="D1263" s="729"/>
      <c r="E1263" s="371" t="s">
        <v>113</v>
      </c>
      <c r="F1263" s="372">
        <v>3</v>
      </c>
      <c r="G1263" s="373">
        <v>10</v>
      </c>
      <c r="H1263" s="374">
        <v>5</v>
      </c>
      <c r="I1263" s="375">
        <v>0.74</v>
      </c>
      <c r="J1263" s="376">
        <f t="shared" si="146"/>
        <v>7.4</v>
      </c>
      <c r="K1263" s="66">
        <f t="shared" si="155"/>
        <v>1.1395999999999999</v>
      </c>
      <c r="L1263" s="63">
        <f t="shared" si="156"/>
        <v>0</v>
      </c>
      <c r="M1263" s="63">
        <f t="shared" si="157"/>
        <v>0</v>
      </c>
      <c r="N1263" s="63">
        <f t="shared" si="158"/>
        <v>0</v>
      </c>
      <c r="O1263" s="63">
        <f t="shared" si="159"/>
        <v>0</v>
      </c>
      <c r="P1263" s="63">
        <f t="shared" si="160"/>
        <v>0</v>
      </c>
      <c r="Q1263" s="561">
        <f t="shared" si="145"/>
        <v>0</v>
      </c>
      <c r="R1263" s="174"/>
      <c r="T1263" s="82"/>
      <c r="U1263" s="82"/>
      <c r="V1263" s="82"/>
      <c r="W1263" s="82"/>
      <c r="X1263" s="82"/>
      <c r="Y1263" s="82"/>
      <c r="Z1263" s="82"/>
      <c r="AA1263" s="82"/>
      <c r="AB1263" s="82"/>
    </row>
    <row r="1264" spans="1:28" s="85" customFormat="1" x14ac:dyDescent="0.25">
      <c r="A1264" s="82"/>
      <c r="B1264" s="82"/>
      <c r="C1264" s="82"/>
      <c r="D1264" s="729"/>
      <c r="E1264" s="371" t="s">
        <v>113</v>
      </c>
      <c r="F1264" s="372">
        <v>5</v>
      </c>
      <c r="G1264" s="373">
        <v>26</v>
      </c>
      <c r="H1264" s="374">
        <v>5</v>
      </c>
      <c r="I1264" s="375">
        <v>0.28999999999999998</v>
      </c>
      <c r="J1264" s="376">
        <f t="shared" si="146"/>
        <v>7.5399999999999991</v>
      </c>
      <c r="K1264" s="66">
        <f t="shared" si="155"/>
        <v>1.1611599999999997</v>
      </c>
      <c r="L1264" s="63">
        <f t="shared" si="156"/>
        <v>0</v>
      </c>
      <c r="M1264" s="63">
        <f t="shared" si="157"/>
        <v>0</v>
      </c>
      <c r="N1264" s="63">
        <f t="shared" si="158"/>
        <v>0</v>
      </c>
      <c r="O1264" s="63">
        <f t="shared" si="159"/>
        <v>0</v>
      </c>
      <c r="P1264" s="63">
        <f t="shared" si="160"/>
        <v>0</v>
      </c>
      <c r="Q1264" s="561">
        <f t="shared" si="145"/>
        <v>0</v>
      </c>
      <c r="R1264" s="174"/>
      <c r="T1264" s="82"/>
      <c r="U1264" s="82"/>
      <c r="V1264" s="82"/>
      <c r="W1264" s="82"/>
      <c r="X1264" s="82"/>
      <c r="Y1264" s="82"/>
      <c r="Z1264" s="82"/>
      <c r="AA1264" s="82"/>
      <c r="AB1264" s="82"/>
    </row>
    <row r="1265" spans="1:28" s="85" customFormat="1" x14ac:dyDescent="0.25">
      <c r="A1265" s="82"/>
      <c r="B1265" s="82"/>
      <c r="C1265" s="82"/>
      <c r="D1265" s="729"/>
      <c r="E1265" s="371" t="s">
        <v>113</v>
      </c>
      <c r="F1265" s="372">
        <v>15</v>
      </c>
      <c r="G1265" s="373">
        <v>6</v>
      </c>
      <c r="H1265" s="374">
        <v>10</v>
      </c>
      <c r="I1265" s="375">
        <v>3.33</v>
      </c>
      <c r="J1265" s="376">
        <f t="shared" si="146"/>
        <v>19.98</v>
      </c>
      <c r="K1265" s="66">
        <f t="shared" si="155"/>
        <v>0</v>
      </c>
      <c r="L1265" s="63">
        <f t="shared" si="156"/>
        <v>0</v>
      </c>
      <c r="M1265" s="63">
        <f t="shared" si="157"/>
        <v>0</v>
      </c>
      <c r="N1265" s="63">
        <f t="shared" si="158"/>
        <v>12.32766</v>
      </c>
      <c r="O1265" s="63">
        <f t="shared" si="159"/>
        <v>0</v>
      </c>
      <c r="P1265" s="63">
        <f t="shared" si="160"/>
        <v>0</v>
      </c>
      <c r="Q1265" s="561">
        <f t="shared" si="145"/>
        <v>0</v>
      </c>
      <c r="R1265" s="174"/>
      <c r="T1265" s="82"/>
      <c r="U1265" s="82"/>
      <c r="V1265" s="82"/>
      <c r="W1265" s="82"/>
      <c r="X1265" s="82"/>
      <c r="Y1265" s="82"/>
      <c r="Z1265" s="82"/>
      <c r="AA1265" s="82"/>
      <c r="AB1265" s="82"/>
    </row>
    <row r="1266" spans="1:28" s="85" customFormat="1" x14ac:dyDescent="0.25">
      <c r="A1266" s="82"/>
      <c r="B1266" s="82"/>
      <c r="C1266" s="82"/>
      <c r="D1266" s="729"/>
      <c r="E1266" s="371" t="s">
        <v>113</v>
      </c>
      <c r="F1266" s="372">
        <v>2</v>
      </c>
      <c r="G1266" s="373">
        <v>4</v>
      </c>
      <c r="H1266" s="374">
        <v>5</v>
      </c>
      <c r="I1266" s="375">
        <v>1.07</v>
      </c>
      <c r="J1266" s="376">
        <f t="shared" ref="J1266" si="163">G1266*I1266</f>
        <v>4.28</v>
      </c>
      <c r="K1266" s="66">
        <f t="shared" si="155"/>
        <v>0.65912000000000004</v>
      </c>
      <c r="L1266" s="63">
        <f t="shared" si="156"/>
        <v>0</v>
      </c>
      <c r="M1266" s="63">
        <f t="shared" si="157"/>
        <v>0</v>
      </c>
      <c r="N1266" s="63">
        <f t="shared" si="158"/>
        <v>0</v>
      </c>
      <c r="O1266" s="63">
        <f t="shared" si="159"/>
        <v>0</v>
      </c>
      <c r="P1266" s="63">
        <f t="shared" si="160"/>
        <v>0</v>
      </c>
      <c r="Q1266" s="561">
        <f t="shared" si="145"/>
        <v>0</v>
      </c>
      <c r="R1266" s="174"/>
      <c r="T1266" s="82"/>
      <c r="U1266" s="82"/>
      <c r="V1266" s="82"/>
      <c r="W1266" s="82"/>
      <c r="X1266" s="82"/>
      <c r="Y1266" s="82"/>
      <c r="Z1266" s="82"/>
      <c r="AA1266" s="82"/>
      <c r="AB1266" s="82"/>
    </row>
    <row r="1267" spans="1:28" s="85" customFormat="1" x14ac:dyDescent="0.25">
      <c r="A1267" s="82"/>
      <c r="B1267" s="82"/>
      <c r="C1267" s="82"/>
      <c r="D1267" s="729"/>
      <c r="E1267" s="371" t="s">
        <v>113</v>
      </c>
      <c r="F1267" s="372">
        <v>4</v>
      </c>
      <c r="G1267" s="373">
        <v>4</v>
      </c>
      <c r="H1267" s="374">
        <v>5</v>
      </c>
      <c r="I1267" s="375">
        <v>0.28999999999999998</v>
      </c>
      <c r="J1267" s="376">
        <f t="shared" si="146"/>
        <v>1.1599999999999999</v>
      </c>
      <c r="K1267" s="66">
        <f t="shared" si="155"/>
        <v>0.17863999999999999</v>
      </c>
      <c r="L1267" s="63">
        <f t="shared" si="156"/>
        <v>0</v>
      </c>
      <c r="M1267" s="63">
        <f t="shared" si="157"/>
        <v>0</v>
      </c>
      <c r="N1267" s="63">
        <f t="shared" si="158"/>
        <v>0</v>
      </c>
      <c r="O1267" s="63">
        <f t="shared" si="159"/>
        <v>0</v>
      </c>
      <c r="P1267" s="63">
        <f t="shared" si="160"/>
        <v>0</v>
      </c>
      <c r="Q1267" s="561">
        <f t="shared" si="145"/>
        <v>0</v>
      </c>
      <c r="R1267" s="174"/>
      <c r="T1267" s="82"/>
      <c r="U1267" s="82"/>
      <c r="V1267" s="82"/>
      <c r="W1267" s="82"/>
      <c r="X1267" s="82"/>
      <c r="Y1267" s="82"/>
      <c r="Z1267" s="82"/>
      <c r="AA1267" s="82"/>
      <c r="AB1267" s="82"/>
    </row>
    <row r="1268" spans="1:28" s="85" customFormat="1" x14ac:dyDescent="0.25">
      <c r="A1268" s="82"/>
      <c r="B1268" s="82"/>
      <c r="C1268" s="82"/>
      <c r="D1268" s="729"/>
      <c r="E1268" s="371" t="s">
        <v>113</v>
      </c>
      <c r="F1268" s="372">
        <v>5</v>
      </c>
      <c r="G1268" s="373">
        <v>6</v>
      </c>
      <c r="H1268" s="374">
        <v>10</v>
      </c>
      <c r="I1268" s="375">
        <v>0.78</v>
      </c>
      <c r="J1268" s="376">
        <f t="shared" ref="J1268" si="164">G1268*I1268</f>
        <v>4.68</v>
      </c>
      <c r="K1268" s="66">
        <f t="shared" si="155"/>
        <v>0</v>
      </c>
      <c r="L1268" s="63">
        <f t="shared" si="156"/>
        <v>0</v>
      </c>
      <c r="M1268" s="63">
        <f t="shared" si="157"/>
        <v>0</v>
      </c>
      <c r="N1268" s="63">
        <f t="shared" si="158"/>
        <v>2.8875599999999997</v>
      </c>
      <c r="O1268" s="63">
        <f t="shared" si="159"/>
        <v>0</v>
      </c>
      <c r="P1268" s="63">
        <f t="shared" si="160"/>
        <v>0</v>
      </c>
      <c r="Q1268" s="561">
        <f t="shared" si="145"/>
        <v>0</v>
      </c>
      <c r="R1268" s="174"/>
      <c r="T1268" s="82"/>
      <c r="U1268" s="82"/>
      <c r="V1268" s="82"/>
      <c r="W1268" s="82"/>
      <c r="X1268" s="82"/>
      <c r="Y1268" s="82"/>
      <c r="Z1268" s="82"/>
      <c r="AA1268" s="82"/>
      <c r="AB1268" s="82"/>
    </row>
    <row r="1269" spans="1:28" s="85" customFormat="1" x14ac:dyDescent="0.25">
      <c r="A1269" s="82"/>
      <c r="B1269" s="82"/>
      <c r="C1269" s="82"/>
      <c r="D1269" s="729"/>
      <c r="E1269" s="396" t="s">
        <v>184</v>
      </c>
      <c r="F1269" s="403">
        <v>2</v>
      </c>
      <c r="G1269" s="397">
        <v>6</v>
      </c>
      <c r="H1269" s="398">
        <v>5</v>
      </c>
      <c r="I1269" s="399">
        <v>0.74</v>
      </c>
      <c r="J1269" s="400">
        <f t="shared" si="146"/>
        <v>4.4399999999999995</v>
      </c>
      <c r="K1269" s="401">
        <f t="shared" si="155"/>
        <v>0.68375999999999992</v>
      </c>
      <c r="L1269" s="196">
        <f t="shared" si="156"/>
        <v>0</v>
      </c>
      <c r="M1269" s="196">
        <f t="shared" si="157"/>
        <v>0</v>
      </c>
      <c r="N1269" s="196">
        <f t="shared" si="158"/>
        <v>0</v>
      </c>
      <c r="O1269" s="196">
        <f t="shared" si="159"/>
        <v>0</v>
      </c>
      <c r="P1269" s="196">
        <f t="shared" si="160"/>
        <v>0</v>
      </c>
      <c r="Q1269" s="566">
        <f t="shared" si="145"/>
        <v>0</v>
      </c>
      <c r="R1269" s="538"/>
      <c r="T1269" s="82"/>
      <c r="U1269" s="82"/>
      <c r="V1269" s="82"/>
      <c r="W1269" s="82"/>
      <c r="X1269" s="82"/>
      <c r="Y1269" s="82"/>
      <c r="Z1269" s="82"/>
      <c r="AA1269" s="82"/>
      <c r="AB1269" s="82"/>
    </row>
    <row r="1270" spans="1:28" s="85" customFormat="1" x14ac:dyDescent="0.25">
      <c r="A1270" s="82"/>
      <c r="B1270" s="82"/>
      <c r="C1270" s="82"/>
      <c r="D1270" s="729"/>
      <c r="E1270" s="371" t="s">
        <v>184</v>
      </c>
      <c r="F1270" s="372">
        <v>4</v>
      </c>
      <c r="G1270" s="373">
        <v>3</v>
      </c>
      <c r="H1270" s="374">
        <v>5</v>
      </c>
      <c r="I1270" s="375">
        <v>0.28999999999999998</v>
      </c>
      <c r="J1270" s="376">
        <f t="shared" si="146"/>
        <v>0.86999999999999988</v>
      </c>
      <c r="K1270" s="66">
        <f t="shared" si="155"/>
        <v>0.13397999999999999</v>
      </c>
      <c r="L1270" s="63">
        <f t="shared" si="156"/>
        <v>0</v>
      </c>
      <c r="M1270" s="63">
        <f t="shared" si="157"/>
        <v>0</v>
      </c>
      <c r="N1270" s="63">
        <f t="shared" si="158"/>
        <v>0</v>
      </c>
      <c r="O1270" s="63">
        <f t="shared" si="159"/>
        <v>0</v>
      </c>
      <c r="P1270" s="63">
        <f t="shared" si="160"/>
        <v>0</v>
      </c>
      <c r="Q1270" s="562">
        <f t="shared" si="145"/>
        <v>0</v>
      </c>
      <c r="R1270" s="377"/>
      <c r="T1270" s="82"/>
      <c r="U1270" s="82"/>
      <c r="V1270" s="82"/>
      <c r="W1270" s="82"/>
      <c r="X1270" s="82"/>
      <c r="Y1270" s="82"/>
      <c r="Z1270" s="82"/>
      <c r="AA1270" s="82"/>
      <c r="AB1270" s="82"/>
    </row>
    <row r="1271" spans="1:28" s="85" customFormat="1" x14ac:dyDescent="0.25">
      <c r="A1271" s="82"/>
      <c r="B1271" s="82"/>
      <c r="C1271" s="82"/>
      <c r="D1271" s="729"/>
      <c r="E1271" s="371" t="s">
        <v>184</v>
      </c>
      <c r="F1271" s="372">
        <v>8</v>
      </c>
      <c r="G1271" s="373">
        <v>6</v>
      </c>
      <c r="H1271" s="374">
        <v>10</v>
      </c>
      <c r="I1271" s="375">
        <v>0.32</v>
      </c>
      <c r="J1271" s="376">
        <f t="shared" si="146"/>
        <v>1.92</v>
      </c>
      <c r="K1271" s="66">
        <f t="shared" si="155"/>
        <v>0</v>
      </c>
      <c r="L1271" s="63">
        <f t="shared" si="156"/>
        <v>0</v>
      </c>
      <c r="M1271" s="63">
        <f t="shared" si="157"/>
        <v>0</v>
      </c>
      <c r="N1271" s="63">
        <f t="shared" si="158"/>
        <v>1.1846399999999999</v>
      </c>
      <c r="O1271" s="63">
        <f t="shared" si="159"/>
        <v>0</v>
      </c>
      <c r="P1271" s="63">
        <f t="shared" si="160"/>
        <v>0</v>
      </c>
      <c r="Q1271" s="562">
        <f t="shared" si="145"/>
        <v>0</v>
      </c>
      <c r="R1271" s="377"/>
      <c r="T1271" s="82"/>
      <c r="U1271" s="82"/>
      <c r="V1271" s="82"/>
      <c r="W1271" s="82"/>
      <c r="X1271" s="82"/>
      <c r="Y1271" s="82"/>
      <c r="Z1271" s="82"/>
      <c r="AA1271" s="82"/>
      <c r="AB1271" s="82"/>
    </row>
    <row r="1272" spans="1:28" s="85" customFormat="1" ht="13.8" thickBot="1" x14ac:dyDescent="0.3">
      <c r="A1272" s="82"/>
      <c r="B1272" s="82"/>
      <c r="C1272" s="82"/>
      <c r="D1272" s="731"/>
      <c r="E1272" s="390" t="s">
        <v>184</v>
      </c>
      <c r="F1272" s="391"/>
      <c r="G1272" s="392"/>
      <c r="H1272" s="393"/>
      <c r="I1272" s="394"/>
      <c r="J1272" s="395">
        <f t="shared" si="146"/>
        <v>0</v>
      </c>
      <c r="K1272" s="221">
        <f t="shared" si="155"/>
        <v>0</v>
      </c>
      <c r="L1272" s="222">
        <f t="shared" si="156"/>
        <v>0</v>
      </c>
      <c r="M1272" s="222">
        <f t="shared" si="157"/>
        <v>0</v>
      </c>
      <c r="N1272" s="222">
        <f t="shared" si="158"/>
        <v>0</v>
      </c>
      <c r="O1272" s="222">
        <f t="shared" si="159"/>
        <v>0</v>
      </c>
      <c r="P1272" s="222">
        <f t="shared" si="160"/>
        <v>0</v>
      </c>
      <c r="Q1272" s="564">
        <f t="shared" si="145"/>
        <v>0</v>
      </c>
      <c r="R1272" s="539"/>
      <c r="T1272" s="82"/>
      <c r="U1272" s="82"/>
      <c r="V1272" s="82"/>
      <c r="W1272" s="82"/>
      <c r="X1272" s="82"/>
      <c r="Y1272" s="82"/>
      <c r="Z1272" s="82"/>
      <c r="AA1272" s="82"/>
      <c r="AB1272" s="82"/>
    </row>
    <row r="1273" spans="1:28" s="85" customFormat="1" ht="13.8" thickTop="1" x14ac:dyDescent="0.25">
      <c r="A1273" s="82"/>
      <c r="B1273" s="82"/>
      <c r="C1273" s="82"/>
      <c r="D1273" s="728" t="s">
        <v>1798</v>
      </c>
      <c r="E1273" s="384" t="s">
        <v>49</v>
      </c>
      <c r="F1273" s="385">
        <v>7</v>
      </c>
      <c r="G1273" s="386">
        <v>4</v>
      </c>
      <c r="H1273" s="387">
        <v>5</v>
      </c>
      <c r="I1273" s="388">
        <v>1.1499999999999999</v>
      </c>
      <c r="J1273" s="389">
        <f t="shared" si="146"/>
        <v>4.5999999999999996</v>
      </c>
      <c r="K1273" s="218">
        <f t="shared" si="155"/>
        <v>0.70839999999999992</v>
      </c>
      <c r="L1273" s="219">
        <f t="shared" si="156"/>
        <v>0</v>
      </c>
      <c r="M1273" s="219">
        <f t="shared" si="157"/>
        <v>0</v>
      </c>
      <c r="N1273" s="219">
        <f t="shared" si="158"/>
        <v>0</v>
      </c>
      <c r="O1273" s="219">
        <f t="shared" si="159"/>
        <v>0</v>
      </c>
      <c r="P1273" s="219">
        <f t="shared" si="160"/>
        <v>0</v>
      </c>
      <c r="Q1273" s="563">
        <f t="shared" si="145"/>
        <v>0</v>
      </c>
      <c r="R1273" s="220"/>
      <c r="T1273" s="82"/>
      <c r="U1273" s="82"/>
      <c r="V1273" s="82"/>
      <c r="W1273" s="82"/>
      <c r="X1273" s="82"/>
      <c r="Y1273" s="82"/>
      <c r="Z1273" s="82"/>
      <c r="AA1273" s="82"/>
      <c r="AB1273" s="82"/>
    </row>
    <row r="1274" spans="1:28" s="85" customFormat="1" x14ac:dyDescent="0.25">
      <c r="A1274" s="82"/>
      <c r="B1274" s="82"/>
      <c r="C1274" s="82"/>
      <c r="D1274" s="729"/>
      <c r="E1274" s="371" t="s">
        <v>49</v>
      </c>
      <c r="F1274" s="372">
        <v>8</v>
      </c>
      <c r="G1274" s="373">
        <v>6</v>
      </c>
      <c r="H1274" s="374">
        <v>5</v>
      </c>
      <c r="I1274" s="375">
        <v>0.85</v>
      </c>
      <c r="J1274" s="376">
        <f t="shared" si="146"/>
        <v>5.0999999999999996</v>
      </c>
      <c r="K1274" s="66">
        <f t="shared" si="155"/>
        <v>0.78539999999999999</v>
      </c>
      <c r="L1274" s="63">
        <f t="shared" si="156"/>
        <v>0</v>
      </c>
      <c r="M1274" s="63">
        <f t="shared" si="157"/>
        <v>0</v>
      </c>
      <c r="N1274" s="63">
        <f t="shared" si="158"/>
        <v>0</v>
      </c>
      <c r="O1274" s="63">
        <f t="shared" si="159"/>
        <v>0</v>
      </c>
      <c r="P1274" s="63">
        <f t="shared" si="160"/>
        <v>0</v>
      </c>
      <c r="Q1274" s="561">
        <f t="shared" si="145"/>
        <v>0</v>
      </c>
      <c r="R1274" s="174"/>
      <c r="T1274" s="82"/>
      <c r="U1274" s="82"/>
      <c r="V1274" s="82"/>
      <c r="W1274" s="82"/>
      <c r="X1274" s="82"/>
      <c r="Y1274" s="82"/>
      <c r="Z1274" s="82"/>
      <c r="AA1274" s="82"/>
      <c r="AB1274" s="82"/>
    </row>
    <row r="1275" spans="1:28" s="85" customFormat="1" x14ac:dyDescent="0.25">
      <c r="A1275" s="82"/>
      <c r="B1275" s="82"/>
      <c r="C1275" s="82"/>
      <c r="D1275" s="729"/>
      <c r="E1275" s="371" t="s">
        <v>49</v>
      </c>
      <c r="F1275" s="372">
        <v>36</v>
      </c>
      <c r="G1275" s="373">
        <v>2</v>
      </c>
      <c r="H1275" s="374">
        <v>12.5</v>
      </c>
      <c r="I1275" s="375">
        <v>0.98</v>
      </c>
      <c r="J1275" s="376">
        <f t="shared" ref="J1275" si="165">G1275*I1275</f>
        <v>1.96</v>
      </c>
      <c r="K1275" s="66">
        <f t="shared" si="155"/>
        <v>0</v>
      </c>
      <c r="L1275" s="63">
        <f t="shared" si="156"/>
        <v>0</v>
      </c>
      <c r="M1275" s="63">
        <f t="shared" si="157"/>
        <v>0</v>
      </c>
      <c r="N1275" s="63">
        <f t="shared" si="158"/>
        <v>0</v>
      </c>
      <c r="O1275" s="63">
        <f t="shared" si="159"/>
        <v>1.8874799999999998</v>
      </c>
      <c r="P1275" s="63">
        <f t="shared" si="160"/>
        <v>0</v>
      </c>
      <c r="Q1275" s="561">
        <f t="shared" si="145"/>
        <v>0</v>
      </c>
      <c r="R1275" s="174"/>
      <c r="T1275" s="82"/>
      <c r="U1275" s="82"/>
      <c r="V1275" s="82"/>
      <c r="W1275" s="82"/>
      <c r="X1275" s="82"/>
      <c r="Y1275" s="82"/>
      <c r="Z1275" s="82"/>
      <c r="AA1275" s="82"/>
      <c r="AB1275" s="82"/>
    </row>
    <row r="1276" spans="1:28" s="85" customFormat="1" x14ac:dyDescent="0.25">
      <c r="A1276" s="82"/>
      <c r="B1276" s="82"/>
      <c r="C1276" s="82"/>
      <c r="D1276" s="729"/>
      <c r="E1276" s="371" t="s">
        <v>49</v>
      </c>
      <c r="F1276" s="372">
        <v>37</v>
      </c>
      <c r="G1276" s="373">
        <v>2</v>
      </c>
      <c r="H1276" s="374">
        <v>12.5</v>
      </c>
      <c r="I1276" s="375">
        <v>0.83</v>
      </c>
      <c r="J1276" s="376">
        <f t="shared" si="146"/>
        <v>1.66</v>
      </c>
      <c r="K1276" s="66">
        <f t="shared" si="155"/>
        <v>0</v>
      </c>
      <c r="L1276" s="63">
        <f t="shared" si="156"/>
        <v>0</v>
      </c>
      <c r="M1276" s="63">
        <f t="shared" si="157"/>
        <v>0</v>
      </c>
      <c r="N1276" s="63">
        <f t="shared" si="158"/>
        <v>0</v>
      </c>
      <c r="O1276" s="63">
        <f t="shared" si="159"/>
        <v>1.5985799999999999</v>
      </c>
      <c r="P1276" s="63">
        <f t="shared" si="160"/>
        <v>0</v>
      </c>
      <c r="Q1276" s="561">
        <f t="shared" si="145"/>
        <v>0</v>
      </c>
      <c r="R1276" s="174"/>
      <c r="T1276" s="82"/>
      <c r="U1276" s="82"/>
      <c r="V1276" s="82"/>
      <c r="W1276" s="82"/>
      <c r="X1276" s="82"/>
      <c r="Y1276" s="82"/>
      <c r="Z1276" s="82"/>
      <c r="AA1276" s="82"/>
      <c r="AB1276" s="82"/>
    </row>
    <row r="1277" spans="1:28" s="85" customFormat="1" x14ac:dyDescent="0.25">
      <c r="A1277" s="82"/>
      <c r="B1277" s="82"/>
      <c r="C1277" s="82"/>
      <c r="D1277" s="729"/>
      <c r="E1277" s="371" t="s">
        <v>49</v>
      </c>
      <c r="F1277" s="372">
        <v>38</v>
      </c>
      <c r="G1277" s="373">
        <v>2</v>
      </c>
      <c r="H1277" s="374">
        <v>12.5</v>
      </c>
      <c r="I1277" s="375">
        <v>1.45</v>
      </c>
      <c r="J1277" s="376">
        <f t="shared" si="146"/>
        <v>2.9</v>
      </c>
      <c r="K1277" s="66">
        <f t="shared" si="155"/>
        <v>0</v>
      </c>
      <c r="L1277" s="63">
        <f t="shared" si="156"/>
        <v>0</v>
      </c>
      <c r="M1277" s="63">
        <f t="shared" si="157"/>
        <v>0</v>
      </c>
      <c r="N1277" s="63">
        <f t="shared" si="158"/>
        <v>0</v>
      </c>
      <c r="O1277" s="63">
        <f t="shared" si="159"/>
        <v>2.7927</v>
      </c>
      <c r="P1277" s="63">
        <f t="shared" si="160"/>
        <v>0</v>
      </c>
      <c r="Q1277" s="561">
        <f t="shared" si="145"/>
        <v>0</v>
      </c>
      <c r="R1277" s="174"/>
      <c r="T1277" s="82"/>
      <c r="U1277" s="82"/>
      <c r="V1277" s="82"/>
      <c r="W1277" s="82"/>
      <c r="X1277" s="82"/>
      <c r="Y1277" s="82"/>
      <c r="Z1277" s="82"/>
      <c r="AA1277" s="82"/>
      <c r="AB1277" s="82"/>
    </row>
    <row r="1278" spans="1:28" s="85" customFormat="1" x14ac:dyDescent="0.25">
      <c r="A1278" s="82"/>
      <c r="B1278" s="82"/>
      <c r="C1278" s="82"/>
      <c r="D1278" s="729"/>
      <c r="E1278" s="371" t="s">
        <v>113</v>
      </c>
      <c r="F1278" s="372">
        <v>2</v>
      </c>
      <c r="G1278" s="373">
        <v>17</v>
      </c>
      <c r="H1278" s="374">
        <v>5</v>
      </c>
      <c r="I1278" s="375">
        <v>1.07</v>
      </c>
      <c r="J1278" s="376">
        <f t="shared" si="146"/>
        <v>18.190000000000001</v>
      </c>
      <c r="K1278" s="66">
        <f t="shared" si="155"/>
        <v>2.8012600000000001</v>
      </c>
      <c r="L1278" s="63">
        <f t="shared" si="156"/>
        <v>0</v>
      </c>
      <c r="M1278" s="63">
        <f t="shared" si="157"/>
        <v>0</v>
      </c>
      <c r="N1278" s="63">
        <f t="shared" si="158"/>
        <v>0</v>
      </c>
      <c r="O1278" s="63">
        <f t="shared" si="159"/>
        <v>0</v>
      </c>
      <c r="P1278" s="63">
        <f t="shared" si="160"/>
        <v>0</v>
      </c>
      <c r="Q1278" s="561">
        <f t="shared" si="145"/>
        <v>0</v>
      </c>
      <c r="R1278" s="174"/>
      <c r="T1278" s="82"/>
      <c r="U1278" s="82"/>
      <c r="V1278" s="82"/>
      <c r="W1278" s="82"/>
      <c r="X1278" s="82"/>
      <c r="Y1278" s="82"/>
      <c r="Z1278" s="82"/>
      <c r="AA1278" s="82"/>
      <c r="AB1278" s="82"/>
    </row>
    <row r="1279" spans="1:28" s="85" customFormat="1" x14ac:dyDescent="0.25">
      <c r="A1279" s="82"/>
      <c r="B1279" s="82"/>
      <c r="C1279" s="82"/>
      <c r="D1279" s="729"/>
      <c r="E1279" s="371" t="s">
        <v>113</v>
      </c>
      <c r="F1279" s="372">
        <v>3</v>
      </c>
      <c r="G1279" s="373">
        <v>8</v>
      </c>
      <c r="H1279" s="374">
        <v>5</v>
      </c>
      <c r="I1279" s="375">
        <v>0.74</v>
      </c>
      <c r="J1279" s="376">
        <f t="shared" si="146"/>
        <v>5.92</v>
      </c>
      <c r="K1279" s="66">
        <f t="shared" si="155"/>
        <v>0.91167999999999993</v>
      </c>
      <c r="L1279" s="63">
        <f t="shared" si="156"/>
        <v>0</v>
      </c>
      <c r="M1279" s="63">
        <f t="shared" si="157"/>
        <v>0</v>
      </c>
      <c r="N1279" s="63">
        <f t="shared" si="158"/>
        <v>0</v>
      </c>
      <c r="O1279" s="63">
        <f t="shared" si="159"/>
        <v>0</v>
      </c>
      <c r="P1279" s="63">
        <f t="shared" si="160"/>
        <v>0</v>
      </c>
      <c r="Q1279" s="561">
        <f t="shared" si="145"/>
        <v>0</v>
      </c>
      <c r="R1279" s="174"/>
      <c r="T1279" s="82"/>
      <c r="U1279" s="82"/>
      <c r="V1279" s="82"/>
      <c r="W1279" s="82"/>
      <c r="X1279" s="82"/>
      <c r="Y1279" s="82"/>
      <c r="Z1279" s="82"/>
      <c r="AA1279" s="82"/>
      <c r="AB1279" s="82"/>
    </row>
    <row r="1280" spans="1:28" s="85" customFormat="1" x14ac:dyDescent="0.25">
      <c r="A1280" s="82"/>
      <c r="B1280" s="82"/>
      <c r="C1280" s="82"/>
      <c r="D1280" s="729"/>
      <c r="E1280" s="371" t="s">
        <v>113</v>
      </c>
      <c r="F1280" s="372">
        <v>17</v>
      </c>
      <c r="G1280" s="373">
        <v>4</v>
      </c>
      <c r="H1280" s="374">
        <v>12.5</v>
      </c>
      <c r="I1280" s="375">
        <v>3.42</v>
      </c>
      <c r="J1280" s="376">
        <f t="shared" si="146"/>
        <v>13.68</v>
      </c>
      <c r="K1280" s="66">
        <f t="shared" si="155"/>
        <v>0</v>
      </c>
      <c r="L1280" s="63">
        <f t="shared" si="156"/>
        <v>0</v>
      </c>
      <c r="M1280" s="63">
        <f t="shared" si="157"/>
        <v>0</v>
      </c>
      <c r="N1280" s="63">
        <f t="shared" si="158"/>
        <v>0</v>
      </c>
      <c r="O1280" s="63">
        <f t="shared" si="159"/>
        <v>13.173839999999998</v>
      </c>
      <c r="P1280" s="63">
        <f t="shared" si="160"/>
        <v>0</v>
      </c>
      <c r="Q1280" s="561">
        <f t="shared" si="145"/>
        <v>0</v>
      </c>
      <c r="R1280" s="174"/>
      <c r="T1280" s="82"/>
      <c r="U1280" s="82"/>
      <c r="V1280" s="82"/>
      <c r="W1280" s="82"/>
      <c r="X1280" s="82"/>
      <c r="Y1280" s="82"/>
      <c r="Z1280" s="82"/>
      <c r="AA1280" s="82"/>
      <c r="AB1280" s="82"/>
    </row>
    <row r="1281" spans="1:28" s="85" customFormat="1" x14ac:dyDescent="0.25">
      <c r="A1281" s="82"/>
      <c r="B1281" s="82"/>
      <c r="C1281" s="82"/>
      <c r="D1281" s="729"/>
      <c r="E1281" s="371" t="s">
        <v>113</v>
      </c>
      <c r="F1281" s="372">
        <v>1</v>
      </c>
      <c r="G1281" s="373">
        <v>3</v>
      </c>
      <c r="H1281" s="374">
        <v>5</v>
      </c>
      <c r="I1281" s="375">
        <v>1.07</v>
      </c>
      <c r="J1281" s="376">
        <f t="shared" si="146"/>
        <v>3.21</v>
      </c>
      <c r="K1281" s="66">
        <f t="shared" si="155"/>
        <v>0.49434</v>
      </c>
      <c r="L1281" s="63">
        <f t="shared" si="156"/>
        <v>0</v>
      </c>
      <c r="M1281" s="63">
        <f t="shared" si="157"/>
        <v>0</v>
      </c>
      <c r="N1281" s="63">
        <f t="shared" si="158"/>
        <v>0</v>
      </c>
      <c r="O1281" s="63">
        <f t="shared" si="159"/>
        <v>0</v>
      </c>
      <c r="P1281" s="63">
        <f t="shared" si="160"/>
        <v>0</v>
      </c>
      <c r="Q1281" s="561">
        <f t="shared" si="145"/>
        <v>0</v>
      </c>
      <c r="R1281" s="174"/>
      <c r="T1281" s="82"/>
      <c r="U1281" s="82"/>
      <c r="V1281" s="82"/>
      <c r="W1281" s="82"/>
      <c r="X1281" s="82"/>
      <c r="Y1281" s="82"/>
      <c r="Z1281" s="82"/>
      <c r="AA1281" s="82"/>
      <c r="AB1281" s="82"/>
    </row>
    <row r="1282" spans="1:28" s="85" customFormat="1" x14ac:dyDescent="0.25">
      <c r="A1282" s="82"/>
      <c r="B1282" s="82"/>
      <c r="C1282" s="82"/>
      <c r="D1282" s="729"/>
      <c r="E1282" s="371" t="s">
        <v>113</v>
      </c>
      <c r="F1282" s="372">
        <v>10</v>
      </c>
      <c r="G1282" s="373">
        <v>4</v>
      </c>
      <c r="H1282" s="374">
        <v>12.5</v>
      </c>
      <c r="I1282" s="375">
        <v>0.87</v>
      </c>
      <c r="J1282" s="376">
        <f t="shared" ref="J1282" si="166">G1282*I1282</f>
        <v>3.48</v>
      </c>
      <c r="K1282" s="66">
        <f t="shared" si="155"/>
        <v>0</v>
      </c>
      <c r="L1282" s="63">
        <f t="shared" si="156"/>
        <v>0</v>
      </c>
      <c r="M1282" s="63">
        <f t="shared" si="157"/>
        <v>0</v>
      </c>
      <c r="N1282" s="63">
        <f t="shared" si="158"/>
        <v>0</v>
      </c>
      <c r="O1282" s="63">
        <f t="shared" si="159"/>
        <v>3.3512399999999998</v>
      </c>
      <c r="P1282" s="63">
        <f t="shared" si="160"/>
        <v>0</v>
      </c>
      <c r="Q1282" s="561">
        <f t="shared" si="145"/>
        <v>0</v>
      </c>
      <c r="R1282" s="174"/>
      <c r="T1282" s="82"/>
      <c r="U1282" s="82"/>
      <c r="V1282" s="82"/>
      <c r="W1282" s="82"/>
      <c r="X1282" s="82"/>
      <c r="Y1282" s="82"/>
      <c r="Z1282" s="82"/>
      <c r="AA1282" s="82"/>
      <c r="AB1282" s="82"/>
    </row>
    <row r="1283" spans="1:28" s="85" customFormat="1" x14ac:dyDescent="0.25">
      <c r="A1283" s="82"/>
      <c r="B1283" s="82"/>
      <c r="C1283" s="82"/>
      <c r="D1283" s="729"/>
      <c r="E1283" s="396" t="s">
        <v>184</v>
      </c>
      <c r="F1283" s="403">
        <v>2</v>
      </c>
      <c r="G1283" s="397">
        <v>6</v>
      </c>
      <c r="H1283" s="398">
        <v>5</v>
      </c>
      <c r="I1283" s="399">
        <v>0.74</v>
      </c>
      <c r="J1283" s="400">
        <f t="shared" si="146"/>
        <v>4.4399999999999995</v>
      </c>
      <c r="K1283" s="401">
        <f t="shared" si="155"/>
        <v>0.68375999999999992</v>
      </c>
      <c r="L1283" s="196">
        <f t="shared" si="156"/>
        <v>0</v>
      </c>
      <c r="M1283" s="196">
        <f t="shared" si="157"/>
        <v>0</v>
      </c>
      <c r="N1283" s="196">
        <f t="shared" si="158"/>
        <v>0</v>
      </c>
      <c r="O1283" s="196">
        <f t="shared" si="159"/>
        <v>0</v>
      </c>
      <c r="P1283" s="196">
        <f t="shared" si="160"/>
        <v>0</v>
      </c>
      <c r="Q1283" s="566">
        <f t="shared" si="145"/>
        <v>0</v>
      </c>
      <c r="R1283" s="538"/>
      <c r="T1283" s="82"/>
      <c r="U1283" s="82"/>
      <c r="V1283" s="82"/>
      <c r="W1283" s="82"/>
      <c r="X1283" s="82"/>
      <c r="Y1283" s="82"/>
      <c r="Z1283" s="82"/>
      <c r="AA1283" s="82"/>
      <c r="AB1283" s="82"/>
    </row>
    <row r="1284" spans="1:28" s="85" customFormat="1" x14ac:dyDescent="0.25">
      <c r="A1284" s="82"/>
      <c r="B1284" s="82"/>
      <c r="C1284" s="82"/>
      <c r="D1284" s="729"/>
      <c r="E1284" s="371" t="s">
        <v>184</v>
      </c>
      <c r="F1284" s="372">
        <v>10</v>
      </c>
      <c r="G1284" s="373">
        <v>4</v>
      </c>
      <c r="H1284" s="374">
        <v>12.5</v>
      </c>
      <c r="I1284" s="375">
        <v>0.32</v>
      </c>
      <c r="J1284" s="376">
        <f t="shared" si="146"/>
        <v>1.28</v>
      </c>
      <c r="K1284" s="66">
        <f t="shared" si="155"/>
        <v>0</v>
      </c>
      <c r="L1284" s="63">
        <f t="shared" si="156"/>
        <v>0</v>
      </c>
      <c r="M1284" s="63">
        <f t="shared" si="157"/>
        <v>0</v>
      </c>
      <c r="N1284" s="63">
        <f t="shared" si="158"/>
        <v>0</v>
      </c>
      <c r="O1284" s="63">
        <f t="shared" si="159"/>
        <v>1.23264</v>
      </c>
      <c r="P1284" s="63">
        <f t="shared" si="160"/>
        <v>0</v>
      </c>
      <c r="Q1284" s="562">
        <f t="shared" si="145"/>
        <v>0</v>
      </c>
      <c r="R1284" s="377"/>
      <c r="T1284" s="82"/>
      <c r="U1284" s="82"/>
      <c r="V1284" s="82"/>
      <c r="W1284" s="82"/>
      <c r="X1284" s="82"/>
      <c r="Y1284" s="82"/>
      <c r="Z1284" s="82"/>
      <c r="AA1284" s="82"/>
      <c r="AB1284" s="82"/>
    </row>
    <row r="1285" spans="1:28" s="85" customFormat="1" x14ac:dyDescent="0.25">
      <c r="A1285" s="82"/>
      <c r="B1285" s="82"/>
      <c r="C1285" s="82"/>
      <c r="D1285" s="729"/>
      <c r="E1285" s="371" t="s">
        <v>184</v>
      </c>
      <c r="F1285" s="372"/>
      <c r="G1285" s="373"/>
      <c r="H1285" s="374"/>
      <c r="I1285" s="375"/>
      <c r="J1285" s="376">
        <f t="shared" si="146"/>
        <v>0</v>
      </c>
      <c r="K1285" s="66">
        <f t="shared" si="155"/>
        <v>0</v>
      </c>
      <c r="L1285" s="63">
        <f t="shared" si="156"/>
        <v>0</v>
      </c>
      <c r="M1285" s="63">
        <f t="shared" si="157"/>
        <v>0</v>
      </c>
      <c r="N1285" s="63">
        <f t="shared" si="158"/>
        <v>0</v>
      </c>
      <c r="O1285" s="63">
        <f t="shared" si="159"/>
        <v>0</v>
      </c>
      <c r="P1285" s="63">
        <f t="shared" si="160"/>
        <v>0</v>
      </c>
      <c r="Q1285" s="562">
        <f t="shared" si="145"/>
        <v>0</v>
      </c>
      <c r="R1285" s="377"/>
      <c r="T1285" s="82"/>
      <c r="U1285" s="82"/>
      <c r="V1285" s="82"/>
      <c r="W1285" s="82"/>
      <c r="X1285" s="82"/>
      <c r="Y1285" s="82"/>
      <c r="Z1285" s="82"/>
      <c r="AA1285" s="82"/>
      <c r="AB1285" s="82"/>
    </row>
    <row r="1286" spans="1:28" s="85" customFormat="1" ht="13.8" thickBot="1" x14ac:dyDescent="0.3">
      <c r="A1286" s="82"/>
      <c r="B1286" s="82"/>
      <c r="C1286" s="82"/>
      <c r="D1286" s="731"/>
      <c r="E1286" s="390" t="s">
        <v>184</v>
      </c>
      <c r="F1286" s="391"/>
      <c r="G1286" s="392"/>
      <c r="H1286" s="393"/>
      <c r="I1286" s="394"/>
      <c r="J1286" s="395">
        <f t="shared" si="146"/>
        <v>0</v>
      </c>
      <c r="K1286" s="221">
        <f t="shared" si="155"/>
        <v>0</v>
      </c>
      <c r="L1286" s="222">
        <f t="shared" si="156"/>
        <v>0</v>
      </c>
      <c r="M1286" s="222">
        <f t="shared" si="157"/>
        <v>0</v>
      </c>
      <c r="N1286" s="222">
        <f t="shared" si="158"/>
        <v>0</v>
      </c>
      <c r="O1286" s="222">
        <f t="shared" si="159"/>
        <v>0</v>
      </c>
      <c r="P1286" s="222">
        <f t="shared" si="160"/>
        <v>0</v>
      </c>
      <c r="Q1286" s="564">
        <f t="shared" si="145"/>
        <v>0</v>
      </c>
      <c r="R1286" s="539"/>
      <c r="T1286" s="82"/>
      <c r="U1286" s="82"/>
      <c r="V1286" s="82"/>
      <c r="W1286" s="82"/>
      <c r="X1286" s="82"/>
      <c r="Y1286" s="82"/>
      <c r="Z1286" s="82"/>
      <c r="AA1286" s="82"/>
      <c r="AB1286" s="82"/>
    </row>
    <row r="1287" spans="1:28" s="85" customFormat="1" ht="13.8" thickTop="1" x14ac:dyDescent="0.25">
      <c r="A1287" s="82"/>
      <c r="B1287" s="82"/>
      <c r="C1287" s="82"/>
      <c r="D1287" s="728" t="s">
        <v>1799</v>
      </c>
      <c r="E1287" s="384" t="s">
        <v>49</v>
      </c>
      <c r="F1287" s="385">
        <v>16</v>
      </c>
      <c r="G1287" s="386">
        <v>4</v>
      </c>
      <c r="H1287" s="387">
        <v>5</v>
      </c>
      <c r="I1287" s="388">
        <v>0.85</v>
      </c>
      <c r="J1287" s="389">
        <f t="shared" si="146"/>
        <v>3.4</v>
      </c>
      <c r="K1287" s="218">
        <f t="shared" si="155"/>
        <v>0.52359999999999995</v>
      </c>
      <c r="L1287" s="219">
        <f t="shared" si="156"/>
        <v>0</v>
      </c>
      <c r="M1287" s="219">
        <f t="shared" si="157"/>
        <v>0</v>
      </c>
      <c r="N1287" s="219">
        <f t="shared" si="158"/>
        <v>0</v>
      </c>
      <c r="O1287" s="219">
        <f t="shared" si="159"/>
        <v>0</v>
      </c>
      <c r="P1287" s="219">
        <f t="shared" si="160"/>
        <v>0</v>
      </c>
      <c r="Q1287" s="563">
        <f t="shared" si="145"/>
        <v>0</v>
      </c>
      <c r="R1287" s="220"/>
      <c r="T1287" s="82"/>
      <c r="U1287" s="82"/>
      <c r="V1287" s="82"/>
      <c r="W1287" s="82"/>
      <c r="X1287" s="82"/>
      <c r="Y1287" s="82"/>
      <c r="Z1287" s="82"/>
      <c r="AA1287" s="82"/>
      <c r="AB1287" s="82"/>
    </row>
    <row r="1288" spans="1:28" s="85" customFormat="1" x14ac:dyDescent="0.25">
      <c r="A1288" s="82"/>
      <c r="B1288" s="82"/>
      <c r="C1288" s="82"/>
      <c r="D1288" s="729"/>
      <c r="E1288" s="371" t="s">
        <v>49</v>
      </c>
      <c r="F1288" s="372">
        <v>17</v>
      </c>
      <c r="G1288" s="373">
        <v>6</v>
      </c>
      <c r="H1288" s="374">
        <v>5</v>
      </c>
      <c r="I1288" s="375">
        <v>0.55000000000000004</v>
      </c>
      <c r="J1288" s="376">
        <f t="shared" si="146"/>
        <v>3.3000000000000003</v>
      </c>
      <c r="K1288" s="66">
        <f t="shared" si="155"/>
        <v>0.50819999999999999</v>
      </c>
      <c r="L1288" s="63">
        <f t="shared" si="156"/>
        <v>0</v>
      </c>
      <c r="M1288" s="63">
        <f t="shared" si="157"/>
        <v>0</v>
      </c>
      <c r="N1288" s="63">
        <f t="shared" si="158"/>
        <v>0</v>
      </c>
      <c r="O1288" s="63">
        <f t="shared" si="159"/>
        <v>0</v>
      </c>
      <c r="P1288" s="63">
        <f t="shared" si="160"/>
        <v>0</v>
      </c>
      <c r="Q1288" s="561">
        <f t="shared" si="145"/>
        <v>0</v>
      </c>
      <c r="R1288" s="174"/>
      <c r="T1288" s="82"/>
      <c r="U1288" s="82"/>
      <c r="V1288" s="82"/>
      <c r="W1288" s="82"/>
      <c r="X1288" s="82"/>
      <c r="Y1288" s="82"/>
      <c r="Z1288" s="82"/>
      <c r="AA1288" s="82"/>
      <c r="AB1288" s="82"/>
    </row>
    <row r="1289" spans="1:28" s="85" customFormat="1" x14ac:dyDescent="0.25">
      <c r="A1289" s="82"/>
      <c r="B1289" s="82"/>
      <c r="C1289" s="82"/>
      <c r="D1289" s="729"/>
      <c r="E1289" s="371" t="s">
        <v>49</v>
      </c>
      <c r="F1289" s="372">
        <v>19</v>
      </c>
      <c r="G1289" s="373">
        <v>14</v>
      </c>
      <c r="H1289" s="374">
        <v>5</v>
      </c>
      <c r="I1289" s="375">
        <v>0.21</v>
      </c>
      <c r="J1289" s="376">
        <f t="shared" si="146"/>
        <v>2.94</v>
      </c>
      <c r="K1289" s="66">
        <f t="shared" si="155"/>
        <v>0.45276</v>
      </c>
      <c r="L1289" s="63">
        <f t="shared" si="156"/>
        <v>0</v>
      </c>
      <c r="M1289" s="63">
        <f t="shared" si="157"/>
        <v>0</v>
      </c>
      <c r="N1289" s="63">
        <f t="shared" si="158"/>
        <v>0</v>
      </c>
      <c r="O1289" s="63">
        <f t="shared" si="159"/>
        <v>0</v>
      </c>
      <c r="P1289" s="63">
        <f t="shared" si="160"/>
        <v>0</v>
      </c>
      <c r="Q1289" s="561">
        <f t="shared" si="145"/>
        <v>0</v>
      </c>
      <c r="R1289" s="174"/>
      <c r="T1289" s="82"/>
      <c r="U1289" s="82"/>
      <c r="V1289" s="82"/>
      <c r="W1289" s="82"/>
      <c r="X1289" s="82"/>
      <c r="Y1289" s="82"/>
      <c r="Z1289" s="82"/>
      <c r="AA1289" s="82"/>
      <c r="AB1289" s="82"/>
    </row>
    <row r="1290" spans="1:28" s="85" customFormat="1" x14ac:dyDescent="0.25">
      <c r="A1290" s="82"/>
      <c r="B1290" s="82"/>
      <c r="C1290" s="82"/>
      <c r="D1290" s="729"/>
      <c r="E1290" s="371" t="s">
        <v>49</v>
      </c>
      <c r="F1290" s="372">
        <v>38</v>
      </c>
      <c r="G1290" s="373">
        <v>16</v>
      </c>
      <c r="H1290" s="374">
        <v>12.5</v>
      </c>
      <c r="I1290" s="375">
        <v>1.45</v>
      </c>
      <c r="J1290" s="376">
        <f t="shared" si="146"/>
        <v>23.2</v>
      </c>
      <c r="K1290" s="66">
        <f t="shared" si="155"/>
        <v>0</v>
      </c>
      <c r="L1290" s="63">
        <f t="shared" si="156"/>
        <v>0</v>
      </c>
      <c r="M1290" s="63">
        <f t="shared" si="157"/>
        <v>0</v>
      </c>
      <c r="N1290" s="63">
        <f t="shared" si="158"/>
        <v>0</v>
      </c>
      <c r="O1290" s="63">
        <f t="shared" si="159"/>
        <v>22.3416</v>
      </c>
      <c r="P1290" s="63">
        <f t="shared" si="160"/>
        <v>0</v>
      </c>
      <c r="Q1290" s="561">
        <f t="shared" si="145"/>
        <v>0</v>
      </c>
      <c r="R1290" s="174"/>
      <c r="T1290" s="82"/>
      <c r="U1290" s="82"/>
      <c r="V1290" s="82"/>
      <c r="W1290" s="82"/>
      <c r="X1290" s="82"/>
      <c r="Y1290" s="82"/>
      <c r="Z1290" s="82"/>
      <c r="AA1290" s="82"/>
      <c r="AB1290" s="82"/>
    </row>
    <row r="1291" spans="1:28" s="85" customFormat="1" x14ac:dyDescent="0.25">
      <c r="A1291" s="82"/>
      <c r="B1291" s="82"/>
      <c r="C1291" s="82"/>
      <c r="D1291" s="729"/>
      <c r="E1291" s="371" t="s">
        <v>113</v>
      </c>
      <c r="F1291" s="372">
        <v>7</v>
      </c>
      <c r="G1291" s="373">
        <v>18</v>
      </c>
      <c r="H1291" s="374">
        <v>5</v>
      </c>
      <c r="I1291" s="375">
        <v>0.97</v>
      </c>
      <c r="J1291" s="376">
        <f t="shared" si="146"/>
        <v>17.46</v>
      </c>
      <c r="K1291" s="66">
        <f t="shared" si="155"/>
        <v>2.6888399999999999</v>
      </c>
      <c r="L1291" s="63">
        <f t="shared" si="156"/>
        <v>0</v>
      </c>
      <c r="M1291" s="63">
        <f t="shared" si="157"/>
        <v>0</v>
      </c>
      <c r="N1291" s="63">
        <f t="shared" si="158"/>
        <v>0</v>
      </c>
      <c r="O1291" s="63">
        <f t="shared" si="159"/>
        <v>0</v>
      </c>
      <c r="P1291" s="63">
        <f t="shared" si="160"/>
        <v>0</v>
      </c>
      <c r="Q1291" s="561">
        <f t="shared" si="145"/>
        <v>0</v>
      </c>
      <c r="R1291" s="174"/>
      <c r="T1291" s="82"/>
      <c r="U1291" s="82"/>
      <c r="V1291" s="82"/>
      <c r="W1291" s="82"/>
      <c r="X1291" s="82"/>
      <c r="Y1291" s="82"/>
      <c r="Z1291" s="82"/>
      <c r="AA1291" s="82"/>
      <c r="AB1291" s="82"/>
    </row>
    <row r="1292" spans="1:28" s="85" customFormat="1" x14ac:dyDescent="0.25">
      <c r="A1292" s="82"/>
      <c r="B1292" s="82"/>
      <c r="C1292" s="82"/>
      <c r="D1292" s="729"/>
      <c r="E1292" s="371" t="s">
        <v>113</v>
      </c>
      <c r="F1292" s="372">
        <v>8</v>
      </c>
      <c r="G1292" s="373">
        <v>6</v>
      </c>
      <c r="H1292" s="374">
        <v>5</v>
      </c>
      <c r="I1292" s="375">
        <v>0.64</v>
      </c>
      <c r="J1292" s="376">
        <f t="shared" si="146"/>
        <v>3.84</v>
      </c>
      <c r="K1292" s="66">
        <f t="shared" si="155"/>
        <v>0.59136</v>
      </c>
      <c r="L1292" s="63">
        <f t="shared" si="156"/>
        <v>0</v>
      </c>
      <c r="M1292" s="63">
        <f t="shared" si="157"/>
        <v>0</v>
      </c>
      <c r="N1292" s="63">
        <f t="shared" si="158"/>
        <v>0</v>
      </c>
      <c r="O1292" s="63">
        <f t="shared" si="159"/>
        <v>0</v>
      </c>
      <c r="P1292" s="63">
        <f t="shared" si="160"/>
        <v>0</v>
      </c>
      <c r="Q1292" s="561">
        <f t="shared" si="145"/>
        <v>0</v>
      </c>
      <c r="R1292" s="174"/>
      <c r="T1292" s="82"/>
      <c r="U1292" s="82"/>
      <c r="V1292" s="82"/>
      <c r="W1292" s="82"/>
      <c r="X1292" s="82"/>
      <c r="Y1292" s="82"/>
      <c r="Z1292" s="82"/>
      <c r="AA1292" s="82"/>
      <c r="AB1292" s="82"/>
    </row>
    <row r="1293" spans="1:28" s="85" customFormat="1" x14ac:dyDescent="0.25">
      <c r="A1293" s="82"/>
      <c r="B1293" s="82"/>
      <c r="C1293" s="82"/>
      <c r="D1293" s="729"/>
      <c r="E1293" s="371" t="s">
        <v>113</v>
      </c>
      <c r="F1293" s="372">
        <v>10</v>
      </c>
      <c r="G1293" s="373">
        <v>42</v>
      </c>
      <c r="H1293" s="374">
        <v>5</v>
      </c>
      <c r="I1293" s="375">
        <v>0.24</v>
      </c>
      <c r="J1293" s="376">
        <f t="shared" si="146"/>
        <v>10.08</v>
      </c>
      <c r="K1293" s="66">
        <f t="shared" si="155"/>
        <v>1.5523199999999999</v>
      </c>
      <c r="L1293" s="63">
        <f t="shared" si="156"/>
        <v>0</v>
      </c>
      <c r="M1293" s="63">
        <f t="shared" si="157"/>
        <v>0</v>
      </c>
      <c r="N1293" s="63">
        <f t="shared" si="158"/>
        <v>0</v>
      </c>
      <c r="O1293" s="63">
        <f t="shared" si="159"/>
        <v>0</v>
      </c>
      <c r="P1293" s="63">
        <f t="shared" si="160"/>
        <v>0</v>
      </c>
      <c r="Q1293" s="561">
        <f t="shared" si="145"/>
        <v>0</v>
      </c>
      <c r="R1293" s="174"/>
      <c r="T1293" s="82"/>
      <c r="U1293" s="82"/>
      <c r="V1293" s="82"/>
      <c r="W1293" s="82"/>
      <c r="X1293" s="82"/>
      <c r="Y1293" s="82"/>
      <c r="Z1293" s="82"/>
      <c r="AA1293" s="82"/>
      <c r="AB1293" s="82"/>
    </row>
    <row r="1294" spans="1:28" s="85" customFormat="1" x14ac:dyDescent="0.25">
      <c r="A1294" s="82"/>
      <c r="B1294" s="82"/>
      <c r="C1294" s="82"/>
      <c r="D1294" s="729"/>
      <c r="E1294" s="371" t="s">
        <v>113</v>
      </c>
      <c r="F1294" s="372">
        <v>18</v>
      </c>
      <c r="G1294" s="373">
        <v>16</v>
      </c>
      <c r="H1294" s="374">
        <v>12.5</v>
      </c>
      <c r="I1294" s="375">
        <v>2.97</v>
      </c>
      <c r="J1294" s="376">
        <f t="shared" si="146"/>
        <v>47.52</v>
      </c>
      <c r="K1294" s="66">
        <f t="shared" si="155"/>
        <v>0</v>
      </c>
      <c r="L1294" s="63">
        <f t="shared" si="156"/>
        <v>0</v>
      </c>
      <c r="M1294" s="63">
        <f t="shared" si="157"/>
        <v>0</v>
      </c>
      <c r="N1294" s="63">
        <f t="shared" si="158"/>
        <v>0</v>
      </c>
      <c r="O1294" s="63">
        <f t="shared" si="159"/>
        <v>45.761760000000002</v>
      </c>
      <c r="P1294" s="63">
        <f t="shared" si="160"/>
        <v>0</v>
      </c>
      <c r="Q1294" s="561">
        <f t="shared" si="145"/>
        <v>0</v>
      </c>
      <c r="R1294" s="174"/>
      <c r="T1294" s="82"/>
      <c r="U1294" s="82"/>
      <c r="V1294" s="82"/>
      <c r="W1294" s="82"/>
      <c r="X1294" s="82"/>
      <c r="Y1294" s="82"/>
      <c r="Z1294" s="82"/>
      <c r="AA1294" s="82"/>
      <c r="AB1294" s="82"/>
    </row>
    <row r="1295" spans="1:28" s="85" customFormat="1" x14ac:dyDescent="0.25">
      <c r="A1295" s="82"/>
      <c r="B1295" s="82"/>
      <c r="C1295" s="82"/>
      <c r="D1295" s="729"/>
      <c r="E1295" s="396" t="s">
        <v>184</v>
      </c>
      <c r="F1295" s="403"/>
      <c r="G1295" s="397"/>
      <c r="H1295" s="398"/>
      <c r="I1295" s="399"/>
      <c r="J1295" s="400">
        <f t="shared" si="146"/>
        <v>0</v>
      </c>
      <c r="K1295" s="401">
        <f t="shared" si="155"/>
        <v>0</v>
      </c>
      <c r="L1295" s="196">
        <f t="shared" si="156"/>
        <v>0</v>
      </c>
      <c r="M1295" s="196">
        <f t="shared" si="157"/>
        <v>0</v>
      </c>
      <c r="N1295" s="196">
        <f t="shared" si="158"/>
        <v>0</v>
      </c>
      <c r="O1295" s="196">
        <f t="shared" si="159"/>
        <v>0</v>
      </c>
      <c r="P1295" s="196">
        <f t="shared" si="160"/>
        <v>0</v>
      </c>
      <c r="Q1295" s="566">
        <f t="shared" si="145"/>
        <v>0</v>
      </c>
      <c r="R1295" s="538"/>
      <c r="T1295" s="82"/>
      <c r="U1295" s="82"/>
      <c r="V1295" s="82"/>
      <c r="W1295" s="82"/>
      <c r="X1295" s="82"/>
      <c r="Y1295" s="82"/>
      <c r="Z1295" s="82"/>
      <c r="AA1295" s="82"/>
      <c r="AB1295" s="82"/>
    </row>
    <row r="1296" spans="1:28" s="85" customFormat="1" x14ac:dyDescent="0.25">
      <c r="A1296" s="82"/>
      <c r="B1296" s="82"/>
      <c r="C1296" s="82"/>
      <c r="D1296" s="729"/>
      <c r="E1296" s="371" t="s">
        <v>184</v>
      </c>
      <c r="F1296" s="372"/>
      <c r="G1296" s="373"/>
      <c r="H1296" s="374"/>
      <c r="I1296" s="375"/>
      <c r="J1296" s="376">
        <f t="shared" si="146"/>
        <v>0</v>
      </c>
      <c r="K1296" s="66">
        <f t="shared" si="155"/>
        <v>0</v>
      </c>
      <c r="L1296" s="63">
        <f t="shared" si="156"/>
        <v>0</v>
      </c>
      <c r="M1296" s="63">
        <f t="shared" si="157"/>
        <v>0</v>
      </c>
      <c r="N1296" s="63">
        <f t="shared" si="158"/>
        <v>0</v>
      </c>
      <c r="O1296" s="63">
        <f t="shared" si="159"/>
        <v>0</v>
      </c>
      <c r="P1296" s="63">
        <f t="shared" si="160"/>
        <v>0</v>
      </c>
      <c r="Q1296" s="562">
        <f t="shared" si="145"/>
        <v>0</v>
      </c>
      <c r="R1296" s="377"/>
      <c r="T1296" s="82"/>
      <c r="U1296" s="82"/>
      <c r="V1296" s="82"/>
      <c r="W1296" s="82"/>
      <c r="X1296" s="82"/>
      <c r="Y1296" s="82"/>
      <c r="Z1296" s="82"/>
      <c r="AA1296" s="82"/>
      <c r="AB1296" s="82"/>
    </row>
    <row r="1297" spans="1:28" s="85" customFormat="1" x14ac:dyDescent="0.25">
      <c r="A1297" s="82"/>
      <c r="B1297" s="82"/>
      <c r="C1297" s="82"/>
      <c r="D1297" s="729"/>
      <c r="E1297" s="371" t="s">
        <v>184</v>
      </c>
      <c r="F1297" s="372"/>
      <c r="G1297" s="373"/>
      <c r="H1297" s="374"/>
      <c r="I1297" s="375"/>
      <c r="J1297" s="376">
        <f t="shared" si="146"/>
        <v>0</v>
      </c>
      <c r="K1297" s="66">
        <f t="shared" si="155"/>
        <v>0</v>
      </c>
      <c r="L1297" s="63">
        <f t="shared" si="156"/>
        <v>0</v>
      </c>
      <c r="M1297" s="63">
        <f t="shared" si="157"/>
        <v>0</v>
      </c>
      <c r="N1297" s="63">
        <f t="shared" si="158"/>
        <v>0</v>
      </c>
      <c r="O1297" s="63">
        <f t="shared" si="159"/>
        <v>0</v>
      </c>
      <c r="P1297" s="63">
        <f t="shared" si="160"/>
        <v>0</v>
      </c>
      <c r="Q1297" s="562">
        <f t="shared" si="145"/>
        <v>0</v>
      </c>
      <c r="R1297" s="377"/>
      <c r="T1297" s="82"/>
      <c r="U1297" s="82"/>
      <c r="V1297" s="82"/>
      <c r="W1297" s="82"/>
      <c r="X1297" s="82"/>
      <c r="Y1297" s="82"/>
      <c r="Z1297" s="82"/>
      <c r="AA1297" s="82"/>
      <c r="AB1297" s="82"/>
    </row>
    <row r="1298" spans="1:28" s="85" customFormat="1" ht="13.8" thickBot="1" x14ac:dyDescent="0.3">
      <c r="A1298" s="82"/>
      <c r="B1298" s="82"/>
      <c r="C1298" s="82"/>
      <c r="D1298" s="731"/>
      <c r="E1298" s="390" t="s">
        <v>184</v>
      </c>
      <c r="F1298" s="391"/>
      <c r="G1298" s="392"/>
      <c r="H1298" s="393"/>
      <c r="I1298" s="394"/>
      <c r="J1298" s="395">
        <f t="shared" si="146"/>
        <v>0</v>
      </c>
      <c r="K1298" s="221">
        <f t="shared" si="155"/>
        <v>0</v>
      </c>
      <c r="L1298" s="222">
        <f t="shared" si="156"/>
        <v>0</v>
      </c>
      <c r="M1298" s="222">
        <f t="shared" si="157"/>
        <v>0</v>
      </c>
      <c r="N1298" s="222">
        <f t="shared" si="158"/>
        <v>0</v>
      </c>
      <c r="O1298" s="222">
        <f t="shared" si="159"/>
        <v>0</v>
      </c>
      <c r="P1298" s="222">
        <f t="shared" si="160"/>
        <v>0</v>
      </c>
      <c r="Q1298" s="564">
        <f t="shared" si="145"/>
        <v>0</v>
      </c>
      <c r="R1298" s="539"/>
      <c r="T1298" s="82"/>
      <c r="U1298" s="82"/>
      <c r="V1298" s="82"/>
      <c r="W1298" s="82"/>
      <c r="X1298" s="82"/>
      <c r="Y1298" s="82"/>
      <c r="Z1298" s="82"/>
      <c r="AA1298" s="82"/>
      <c r="AB1298" s="82"/>
    </row>
    <row r="1299" spans="1:28" s="85" customFormat="1" ht="13.8" thickTop="1" x14ac:dyDescent="0.25">
      <c r="A1299" s="82"/>
      <c r="B1299" s="82"/>
      <c r="C1299" s="82"/>
      <c r="D1299" s="728" t="s">
        <v>1800</v>
      </c>
      <c r="E1299" s="384" t="s">
        <v>49</v>
      </c>
      <c r="F1299" s="385">
        <v>13</v>
      </c>
      <c r="G1299" s="386">
        <v>5</v>
      </c>
      <c r="H1299" s="387">
        <v>5</v>
      </c>
      <c r="I1299" s="388">
        <v>0.97</v>
      </c>
      <c r="J1299" s="389">
        <f t="shared" si="146"/>
        <v>4.8499999999999996</v>
      </c>
      <c r="K1299" s="218">
        <f t="shared" si="155"/>
        <v>0.7468999999999999</v>
      </c>
      <c r="L1299" s="219">
        <f t="shared" si="156"/>
        <v>0</v>
      </c>
      <c r="M1299" s="219">
        <f t="shared" si="157"/>
        <v>0</v>
      </c>
      <c r="N1299" s="219">
        <f t="shared" si="158"/>
        <v>0</v>
      </c>
      <c r="O1299" s="219">
        <f t="shared" si="159"/>
        <v>0</v>
      </c>
      <c r="P1299" s="219">
        <f t="shared" si="160"/>
        <v>0</v>
      </c>
      <c r="Q1299" s="563">
        <f t="shared" si="145"/>
        <v>0</v>
      </c>
      <c r="R1299" s="220"/>
      <c r="T1299" s="82"/>
      <c r="U1299" s="82"/>
      <c r="V1299" s="82"/>
      <c r="W1299" s="82"/>
      <c r="X1299" s="82"/>
      <c r="Y1299" s="82"/>
      <c r="Z1299" s="82"/>
      <c r="AA1299" s="82"/>
      <c r="AB1299" s="82"/>
    </row>
    <row r="1300" spans="1:28" s="85" customFormat="1" x14ac:dyDescent="0.25">
      <c r="A1300" s="82"/>
      <c r="B1300" s="82"/>
      <c r="C1300" s="82"/>
      <c r="D1300" s="729"/>
      <c r="E1300" s="371" t="s">
        <v>49</v>
      </c>
      <c r="F1300" s="372">
        <v>14</v>
      </c>
      <c r="G1300" s="373">
        <v>8</v>
      </c>
      <c r="H1300" s="374">
        <v>5</v>
      </c>
      <c r="I1300" s="375">
        <v>0.64</v>
      </c>
      <c r="J1300" s="376">
        <f t="shared" si="146"/>
        <v>5.12</v>
      </c>
      <c r="K1300" s="66">
        <f t="shared" si="155"/>
        <v>0.78847999999999996</v>
      </c>
      <c r="L1300" s="63">
        <f t="shared" si="156"/>
        <v>0</v>
      </c>
      <c r="M1300" s="63">
        <f t="shared" si="157"/>
        <v>0</v>
      </c>
      <c r="N1300" s="63">
        <f t="shared" si="158"/>
        <v>0</v>
      </c>
      <c r="O1300" s="63">
        <f t="shared" si="159"/>
        <v>0</v>
      </c>
      <c r="P1300" s="63">
        <f t="shared" si="160"/>
        <v>0</v>
      </c>
      <c r="Q1300" s="561">
        <f t="shared" si="145"/>
        <v>0</v>
      </c>
      <c r="R1300" s="174"/>
      <c r="T1300" s="82"/>
      <c r="U1300" s="82"/>
      <c r="V1300" s="82"/>
      <c r="W1300" s="82"/>
      <c r="X1300" s="82"/>
      <c r="Y1300" s="82"/>
      <c r="Z1300" s="82"/>
      <c r="AA1300" s="82"/>
      <c r="AB1300" s="82"/>
    </row>
    <row r="1301" spans="1:28" s="85" customFormat="1" x14ac:dyDescent="0.25">
      <c r="A1301" s="82"/>
      <c r="B1301" s="82"/>
      <c r="C1301" s="82"/>
      <c r="D1301" s="729"/>
      <c r="E1301" s="371" t="s">
        <v>49</v>
      </c>
      <c r="F1301" s="372">
        <v>20</v>
      </c>
      <c r="G1301" s="373">
        <v>9</v>
      </c>
      <c r="H1301" s="374">
        <v>5</v>
      </c>
      <c r="I1301" s="375">
        <v>0.24</v>
      </c>
      <c r="J1301" s="376">
        <f t="shared" si="146"/>
        <v>2.16</v>
      </c>
      <c r="K1301" s="66">
        <f t="shared" si="155"/>
        <v>0.33263999999999999</v>
      </c>
      <c r="L1301" s="63">
        <f t="shared" si="156"/>
        <v>0</v>
      </c>
      <c r="M1301" s="63">
        <f t="shared" si="157"/>
        <v>0</v>
      </c>
      <c r="N1301" s="63">
        <f t="shared" si="158"/>
        <v>0</v>
      </c>
      <c r="O1301" s="63">
        <f t="shared" si="159"/>
        <v>0</v>
      </c>
      <c r="P1301" s="63">
        <f t="shared" si="160"/>
        <v>0</v>
      </c>
      <c r="Q1301" s="561">
        <f t="shared" si="145"/>
        <v>0</v>
      </c>
      <c r="R1301" s="174"/>
      <c r="T1301" s="82"/>
      <c r="U1301" s="82"/>
      <c r="V1301" s="82"/>
      <c r="W1301" s="82"/>
      <c r="X1301" s="82"/>
      <c r="Y1301" s="82"/>
      <c r="Z1301" s="82"/>
      <c r="AA1301" s="82"/>
      <c r="AB1301" s="82"/>
    </row>
    <row r="1302" spans="1:28" s="85" customFormat="1" x14ac:dyDescent="0.25">
      <c r="A1302" s="82"/>
      <c r="B1302" s="82"/>
      <c r="C1302" s="82"/>
      <c r="D1302" s="729"/>
      <c r="E1302" s="371" t="s">
        <v>49</v>
      </c>
      <c r="F1302" s="372">
        <v>34</v>
      </c>
      <c r="G1302" s="373">
        <v>6</v>
      </c>
      <c r="H1302" s="374">
        <v>10</v>
      </c>
      <c r="I1302" s="375">
        <v>1.37</v>
      </c>
      <c r="J1302" s="376">
        <f t="shared" si="146"/>
        <v>8.2200000000000006</v>
      </c>
      <c r="K1302" s="66">
        <f t="shared" si="155"/>
        <v>0</v>
      </c>
      <c r="L1302" s="63">
        <f t="shared" si="156"/>
        <v>0</v>
      </c>
      <c r="M1302" s="63">
        <f t="shared" si="157"/>
        <v>0</v>
      </c>
      <c r="N1302" s="63">
        <f t="shared" si="158"/>
        <v>5.0717400000000001</v>
      </c>
      <c r="O1302" s="63">
        <f t="shared" si="159"/>
        <v>0</v>
      </c>
      <c r="P1302" s="63">
        <f t="shared" si="160"/>
        <v>0</v>
      </c>
      <c r="Q1302" s="561">
        <f t="shared" si="145"/>
        <v>0</v>
      </c>
      <c r="R1302" s="174"/>
      <c r="T1302" s="82"/>
      <c r="U1302" s="82"/>
      <c r="V1302" s="82"/>
      <c r="W1302" s="82"/>
      <c r="X1302" s="82"/>
      <c r="Y1302" s="82"/>
      <c r="Z1302" s="82"/>
      <c r="AA1302" s="82"/>
      <c r="AB1302" s="82"/>
    </row>
    <row r="1303" spans="1:28" s="85" customFormat="1" x14ac:dyDescent="0.25">
      <c r="A1303" s="82"/>
      <c r="B1303" s="82"/>
      <c r="C1303" s="82"/>
      <c r="D1303" s="729"/>
      <c r="E1303" s="371" t="s">
        <v>113</v>
      </c>
      <c r="F1303" s="372">
        <v>7</v>
      </c>
      <c r="G1303" s="373">
        <v>22</v>
      </c>
      <c r="H1303" s="374">
        <v>5</v>
      </c>
      <c r="I1303" s="375">
        <v>0.97</v>
      </c>
      <c r="J1303" s="376">
        <f t="shared" si="146"/>
        <v>21.34</v>
      </c>
      <c r="K1303" s="66">
        <f t="shared" si="155"/>
        <v>3.2863599999999997</v>
      </c>
      <c r="L1303" s="63">
        <f t="shared" si="156"/>
        <v>0</v>
      </c>
      <c r="M1303" s="63">
        <f t="shared" si="157"/>
        <v>0</v>
      </c>
      <c r="N1303" s="63">
        <f t="shared" si="158"/>
        <v>0</v>
      </c>
      <c r="O1303" s="63">
        <f t="shared" si="159"/>
        <v>0</v>
      </c>
      <c r="P1303" s="63">
        <f t="shared" si="160"/>
        <v>0</v>
      </c>
      <c r="Q1303" s="561">
        <f t="shared" si="145"/>
        <v>0</v>
      </c>
      <c r="R1303" s="174"/>
      <c r="T1303" s="82"/>
      <c r="U1303" s="82"/>
      <c r="V1303" s="82"/>
      <c r="W1303" s="82"/>
      <c r="X1303" s="82"/>
      <c r="Y1303" s="82"/>
      <c r="Z1303" s="82"/>
      <c r="AA1303" s="82"/>
      <c r="AB1303" s="82"/>
    </row>
    <row r="1304" spans="1:28" s="85" customFormat="1" x14ac:dyDescent="0.25">
      <c r="A1304" s="82"/>
      <c r="B1304" s="82"/>
      <c r="C1304" s="82"/>
      <c r="D1304" s="729"/>
      <c r="E1304" s="371" t="s">
        <v>113</v>
      </c>
      <c r="F1304" s="372">
        <v>8</v>
      </c>
      <c r="G1304" s="373">
        <v>8</v>
      </c>
      <c r="H1304" s="374">
        <v>5</v>
      </c>
      <c r="I1304" s="375">
        <v>0.64</v>
      </c>
      <c r="J1304" s="376">
        <f t="shared" si="146"/>
        <v>5.12</v>
      </c>
      <c r="K1304" s="66">
        <f t="shared" si="155"/>
        <v>0.78847999999999996</v>
      </c>
      <c r="L1304" s="63">
        <f t="shared" si="156"/>
        <v>0</v>
      </c>
      <c r="M1304" s="63">
        <f t="shared" si="157"/>
        <v>0</v>
      </c>
      <c r="N1304" s="63">
        <f t="shared" si="158"/>
        <v>0</v>
      </c>
      <c r="O1304" s="63">
        <f t="shared" si="159"/>
        <v>0</v>
      </c>
      <c r="P1304" s="63">
        <f t="shared" si="160"/>
        <v>0</v>
      </c>
      <c r="Q1304" s="561">
        <f t="shared" si="145"/>
        <v>0</v>
      </c>
      <c r="R1304" s="174"/>
      <c r="T1304" s="82"/>
      <c r="U1304" s="82"/>
      <c r="V1304" s="82"/>
      <c r="W1304" s="82"/>
      <c r="X1304" s="82"/>
      <c r="Y1304" s="82"/>
      <c r="Z1304" s="82"/>
      <c r="AA1304" s="82"/>
      <c r="AB1304" s="82"/>
    </row>
    <row r="1305" spans="1:28" s="85" customFormat="1" x14ac:dyDescent="0.25">
      <c r="A1305" s="82"/>
      <c r="B1305" s="82"/>
      <c r="C1305" s="82"/>
      <c r="D1305" s="729"/>
      <c r="E1305" s="371" t="s">
        <v>113</v>
      </c>
      <c r="F1305" s="372">
        <v>9</v>
      </c>
      <c r="G1305" s="373">
        <v>26</v>
      </c>
      <c r="H1305" s="374">
        <v>5</v>
      </c>
      <c r="I1305" s="375">
        <v>0.24</v>
      </c>
      <c r="J1305" s="376">
        <f t="shared" si="146"/>
        <v>6.24</v>
      </c>
      <c r="K1305" s="66">
        <f t="shared" si="155"/>
        <v>0.96096000000000004</v>
      </c>
      <c r="L1305" s="63">
        <f t="shared" si="156"/>
        <v>0</v>
      </c>
      <c r="M1305" s="63">
        <f t="shared" si="157"/>
        <v>0</v>
      </c>
      <c r="N1305" s="63">
        <f t="shared" si="158"/>
        <v>0</v>
      </c>
      <c r="O1305" s="63">
        <f t="shared" si="159"/>
        <v>0</v>
      </c>
      <c r="P1305" s="63">
        <f t="shared" si="160"/>
        <v>0</v>
      </c>
      <c r="Q1305" s="561">
        <f t="shared" si="145"/>
        <v>0</v>
      </c>
      <c r="R1305" s="174"/>
      <c r="T1305" s="82"/>
      <c r="U1305" s="82"/>
      <c r="V1305" s="82"/>
      <c r="W1305" s="82"/>
      <c r="X1305" s="82"/>
      <c r="Y1305" s="82"/>
      <c r="Z1305" s="82"/>
      <c r="AA1305" s="82"/>
      <c r="AB1305" s="82"/>
    </row>
    <row r="1306" spans="1:28" s="85" customFormat="1" x14ac:dyDescent="0.25">
      <c r="A1306" s="82"/>
      <c r="B1306" s="82"/>
      <c r="C1306" s="82"/>
      <c r="D1306" s="729"/>
      <c r="E1306" s="371" t="s">
        <v>113</v>
      </c>
      <c r="F1306" s="372">
        <v>16</v>
      </c>
      <c r="G1306" s="373">
        <v>6</v>
      </c>
      <c r="H1306" s="374">
        <v>10</v>
      </c>
      <c r="I1306" s="375">
        <v>2.97</v>
      </c>
      <c r="J1306" s="376">
        <f t="shared" si="146"/>
        <v>17.82</v>
      </c>
      <c r="K1306" s="66">
        <f t="shared" si="155"/>
        <v>0</v>
      </c>
      <c r="L1306" s="63">
        <f t="shared" si="156"/>
        <v>0</v>
      </c>
      <c r="M1306" s="63">
        <f t="shared" si="157"/>
        <v>0</v>
      </c>
      <c r="N1306" s="63">
        <f t="shared" si="158"/>
        <v>10.99494</v>
      </c>
      <c r="O1306" s="63">
        <f t="shared" si="159"/>
        <v>0</v>
      </c>
      <c r="P1306" s="63">
        <f t="shared" si="160"/>
        <v>0</v>
      </c>
      <c r="Q1306" s="561">
        <f t="shared" si="145"/>
        <v>0</v>
      </c>
      <c r="R1306" s="174"/>
      <c r="T1306" s="82"/>
      <c r="U1306" s="82"/>
      <c r="V1306" s="82"/>
      <c r="W1306" s="82"/>
      <c r="X1306" s="82"/>
      <c r="Y1306" s="82"/>
      <c r="Z1306" s="82"/>
      <c r="AA1306" s="82"/>
      <c r="AB1306" s="82"/>
    </row>
    <row r="1307" spans="1:28" s="85" customFormat="1" x14ac:dyDescent="0.25">
      <c r="A1307" s="82"/>
      <c r="B1307" s="82"/>
      <c r="C1307" s="82"/>
      <c r="D1307" s="729"/>
      <c r="E1307" s="396" t="s">
        <v>184</v>
      </c>
      <c r="F1307" s="403"/>
      <c r="G1307" s="397"/>
      <c r="H1307" s="398"/>
      <c r="I1307" s="399"/>
      <c r="J1307" s="400">
        <f t="shared" si="146"/>
        <v>0</v>
      </c>
      <c r="K1307" s="401">
        <f t="shared" si="155"/>
        <v>0</v>
      </c>
      <c r="L1307" s="196">
        <f t="shared" si="156"/>
        <v>0</v>
      </c>
      <c r="M1307" s="196">
        <f t="shared" si="157"/>
        <v>0</v>
      </c>
      <c r="N1307" s="196">
        <f t="shared" si="158"/>
        <v>0</v>
      </c>
      <c r="O1307" s="196">
        <f t="shared" si="159"/>
        <v>0</v>
      </c>
      <c r="P1307" s="196">
        <f t="shared" si="160"/>
        <v>0</v>
      </c>
      <c r="Q1307" s="566">
        <f t="shared" si="145"/>
        <v>0</v>
      </c>
      <c r="R1307" s="538"/>
      <c r="T1307" s="82"/>
      <c r="U1307" s="82"/>
      <c r="V1307" s="82"/>
      <c r="W1307" s="82"/>
      <c r="X1307" s="82"/>
      <c r="Y1307" s="82"/>
      <c r="Z1307" s="82"/>
      <c r="AA1307" s="82"/>
      <c r="AB1307" s="82"/>
    </row>
    <row r="1308" spans="1:28" s="85" customFormat="1" x14ac:dyDescent="0.25">
      <c r="A1308" s="82"/>
      <c r="B1308" s="82"/>
      <c r="C1308" s="82"/>
      <c r="D1308" s="729"/>
      <c r="E1308" s="371" t="s">
        <v>184</v>
      </c>
      <c r="F1308" s="372"/>
      <c r="G1308" s="373"/>
      <c r="H1308" s="374"/>
      <c r="I1308" s="375"/>
      <c r="J1308" s="376">
        <f t="shared" si="146"/>
        <v>0</v>
      </c>
      <c r="K1308" s="66">
        <f t="shared" si="155"/>
        <v>0</v>
      </c>
      <c r="L1308" s="63">
        <f t="shared" si="156"/>
        <v>0</v>
      </c>
      <c r="M1308" s="63">
        <f t="shared" si="157"/>
        <v>0</v>
      </c>
      <c r="N1308" s="63">
        <f t="shared" si="158"/>
        <v>0</v>
      </c>
      <c r="O1308" s="63">
        <f t="shared" si="159"/>
        <v>0</v>
      </c>
      <c r="P1308" s="63">
        <f t="shared" si="160"/>
        <v>0</v>
      </c>
      <c r="Q1308" s="562">
        <f t="shared" si="145"/>
        <v>0</v>
      </c>
      <c r="R1308" s="377"/>
      <c r="T1308" s="82"/>
      <c r="U1308" s="82"/>
      <c r="V1308" s="82"/>
      <c r="W1308" s="82"/>
      <c r="X1308" s="82"/>
      <c r="Y1308" s="82"/>
      <c r="Z1308" s="82"/>
      <c r="AA1308" s="82"/>
      <c r="AB1308" s="82"/>
    </row>
    <row r="1309" spans="1:28" s="85" customFormat="1" x14ac:dyDescent="0.25">
      <c r="A1309" s="82"/>
      <c r="B1309" s="82"/>
      <c r="C1309" s="82"/>
      <c r="D1309" s="729"/>
      <c r="E1309" s="371" t="s">
        <v>184</v>
      </c>
      <c r="F1309" s="372"/>
      <c r="G1309" s="373"/>
      <c r="H1309" s="374"/>
      <c r="I1309" s="375"/>
      <c r="J1309" s="376">
        <f t="shared" si="146"/>
        <v>0</v>
      </c>
      <c r="K1309" s="66">
        <f t="shared" si="155"/>
        <v>0</v>
      </c>
      <c r="L1309" s="63">
        <f t="shared" si="156"/>
        <v>0</v>
      </c>
      <c r="M1309" s="63">
        <f t="shared" si="157"/>
        <v>0</v>
      </c>
      <c r="N1309" s="63">
        <f t="shared" si="158"/>
        <v>0</v>
      </c>
      <c r="O1309" s="63">
        <f t="shared" si="159"/>
        <v>0</v>
      </c>
      <c r="P1309" s="63">
        <f t="shared" si="160"/>
        <v>0</v>
      </c>
      <c r="Q1309" s="562">
        <f t="shared" si="145"/>
        <v>0</v>
      </c>
      <c r="R1309" s="377"/>
      <c r="T1309" s="82"/>
      <c r="U1309" s="82"/>
      <c r="V1309" s="82"/>
      <c r="W1309" s="82"/>
      <c r="X1309" s="82"/>
      <c r="Y1309" s="82"/>
      <c r="Z1309" s="82"/>
      <c r="AA1309" s="82"/>
      <c r="AB1309" s="82"/>
    </row>
    <row r="1310" spans="1:28" s="85" customFormat="1" ht="13.8" thickBot="1" x14ac:dyDescent="0.3">
      <c r="A1310" s="82"/>
      <c r="B1310" s="82"/>
      <c r="C1310" s="82"/>
      <c r="D1310" s="731"/>
      <c r="E1310" s="390" t="s">
        <v>184</v>
      </c>
      <c r="F1310" s="391"/>
      <c r="G1310" s="392"/>
      <c r="H1310" s="393"/>
      <c r="I1310" s="394"/>
      <c r="J1310" s="395">
        <f t="shared" si="146"/>
        <v>0</v>
      </c>
      <c r="K1310" s="221">
        <f t="shared" si="155"/>
        <v>0</v>
      </c>
      <c r="L1310" s="222">
        <f t="shared" si="156"/>
        <v>0</v>
      </c>
      <c r="M1310" s="222">
        <f t="shared" si="157"/>
        <v>0</v>
      </c>
      <c r="N1310" s="222">
        <f t="shared" si="158"/>
        <v>0</v>
      </c>
      <c r="O1310" s="222">
        <f t="shared" si="159"/>
        <v>0</v>
      </c>
      <c r="P1310" s="222">
        <f t="shared" si="160"/>
        <v>0</v>
      </c>
      <c r="Q1310" s="564">
        <f t="shared" si="145"/>
        <v>0</v>
      </c>
      <c r="R1310" s="539"/>
      <c r="T1310" s="82"/>
      <c r="U1310" s="82"/>
      <c r="V1310" s="82"/>
      <c r="W1310" s="82"/>
      <c r="X1310" s="82"/>
      <c r="Y1310" s="82"/>
      <c r="Z1310" s="82"/>
      <c r="AA1310" s="82"/>
      <c r="AB1310" s="82"/>
    </row>
    <row r="1311" spans="1:28" s="85" customFormat="1" ht="13.8" thickTop="1" x14ac:dyDescent="0.25">
      <c r="A1311" s="82"/>
      <c r="B1311" s="82"/>
      <c r="C1311" s="82"/>
      <c r="D1311" s="728" t="s">
        <v>1801</v>
      </c>
      <c r="E1311" s="384" t="s">
        <v>49</v>
      </c>
      <c r="F1311" s="385">
        <v>4</v>
      </c>
      <c r="G1311" s="386">
        <v>5</v>
      </c>
      <c r="H1311" s="387">
        <v>5</v>
      </c>
      <c r="I1311" s="388">
        <v>0.95</v>
      </c>
      <c r="J1311" s="389">
        <f t="shared" si="146"/>
        <v>4.75</v>
      </c>
      <c r="K1311" s="218">
        <f t="shared" ref="K1311:K1397" si="167">IF($H1311=5,$J1311*$B$21,0)</f>
        <v>0.73150000000000004</v>
      </c>
      <c r="L1311" s="219">
        <f t="shared" ref="L1311:L1397" si="168">IF($H1311=6.3,$J1311*$B$22,0)</f>
        <v>0</v>
      </c>
      <c r="M1311" s="219">
        <f t="shared" ref="M1311:M1397" si="169">IF($H1311=8,$J1311*$B$23,0)</f>
        <v>0</v>
      </c>
      <c r="N1311" s="219">
        <f t="shared" ref="N1311:N1397" si="170">IF($H1311=10,$J1311*$B$24,0)</f>
        <v>0</v>
      </c>
      <c r="O1311" s="219">
        <f t="shared" ref="O1311:O1397" si="171">IF($H1311=12.5,$J1311*$B$26,0)</f>
        <v>0</v>
      </c>
      <c r="P1311" s="219">
        <f t="shared" ref="P1311:P1397" si="172">IF($H1311=16,$J1311*$B$27,0)</f>
        <v>0</v>
      </c>
      <c r="Q1311" s="563">
        <f t="shared" si="145"/>
        <v>0</v>
      </c>
      <c r="R1311" s="220"/>
      <c r="T1311" s="82"/>
      <c r="U1311" s="82"/>
      <c r="V1311" s="82"/>
      <c r="W1311" s="82"/>
      <c r="X1311" s="82"/>
      <c r="Y1311" s="82"/>
      <c r="Z1311" s="82"/>
      <c r="AA1311" s="82"/>
      <c r="AB1311" s="82"/>
    </row>
    <row r="1312" spans="1:28" s="85" customFormat="1" x14ac:dyDescent="0.25">
      <c r="A1312" s="82"/>
      <c r="B1312" s="82"/>
      <c r="C1312" s="82"/>
      <c r="D1312" s="729"/>
      <c r="E1312" s="371" t="s">
        <v>49</v>
      </c>
      <c r="F1312" s="372">
        <v>5</v>
      </c>
      <c r="G1312" s="373">
        <v>8</v>
      </c>
      <c r="H1312" s="374">
        <v>5</v>
      </c>
      <c r="I1312" s="375">
        <v>0.65</v>
      </c>
      <c r="J1312" s="376">
        <f t="shared" si="146"/>
        <v>5.2</v>
      </c>
      <c r="K1312" s="66">
        <f t="shared" si="167"/>
        <v>0.80080000000000007</v>
      </c>
      <c r="L1312" s="63">
        <f t="shared" si="168"/>
        <v>0</v>
      </c>
      <c r="M1312" s="63">
        <f t="shared" si="169"/>
        <v>0</v>
      </c>
      <c r="N1312" s="63">
        <f t="shared" si="170"/>
        <v>0</v>
      </c>
      <c r="O1312" s="63">
        <f t="shared" si="171"/>
        <v>0</v>
      </c>
      <c r="P1312" s="63">
        <f t="shared" si="172"/>
        <v>0</v>
      </c>
      <c r="Q1312" s="561">
        <f t="shared" si="145"/>
        <v>0</v>
      </c>
      <c r="R1312" s="174"/>
      <c r="T1312" s="82"/>
      <c r="U1312" s="82"/>
      <c r="V1312" s="82"/>
      <c r="W1312" s="82"/>
      <c r="X1312" s="82"/>
      <c r="Y1312" s="82"/>
      <c r="Z1312" s="82"/>
      <c r="AA1312" s="82"/>
      <c r="AB1312" s="82"/>
    </row>
    <row r="1313" spans="1:28" s="85" customFormat="1" x14ac:dyDescent="0.25">
      <c r="A1313" s="82"/>
      <c r="B1313" s="82"/>
      <c r="C1313" s="82"/>
      <c r="D1313" s="729"/>
      <c r="E1313" s="371" t="s">
        <v>49</v>
      </c>
      <c r="F1313" s="372">
        <v>21</v>
      </c>
      <c r="G1313" s="373">
        <v>9</v>
      </c>
      <c r="H1313" s="374">
        <v>5</v>
      </c>
      <c r="I1313" s="375">
        <v>0.26</v>
      </c>
      <c r="J1313" s="376">
        <f t="shared" si="146"/>
        <v>2.34</v>
      </c>
      <c r="K1313" s="66">
        <f t="shared" si="167"/>
        <v>0.36035999999999996</v>
      </c>
      <c r="L1313" s="63">
        <f t="shared" si="168"/>
        <v>0</v>
      </c>
      <c r="M1313" s="63">
        <f t="shared" si="169"/>
        <v>0</v>
      </c>
      <c r="N1313" s="63">
        <f t="shared" si="170"/>
        <v>0</v>
      </c>
      <c r="O1313" s="63">
        <f t="shared" si="171"/>
        <v>0</v>
      </c>
      <c r="P1313" s="63">
        <f t="shared" si="172"/>
        <v>0</v>
      </c>
      <c r="Q1313" s="561">
        <f t="shared" si="145"/>
        <v>0</v>
      </c>
      <c r="R1313" s="174"/>
      <c r="T1313" s="82"/>
      <c r="U1313" s="82"/>
      <c r="V1313" s="82"/>
      <c r="W1313" s="82"/>
      <c r="X1313" s="82"/>
      <c r="Y1313" s="82"/>
      <c r="Z1313" s="82"/>
      <c r="AA1313" s="82"/>
      <c r="AB1313" s="82"/>
    </row>
    <row r="1314" spans="1:28" s="85" customFormat="1" x14ac:dyDescent="0.25">
      <c r="A1314" s="82"/>
      <c r="B1314" s="82"/>
      <c r="C1314" s="82"/>
      <c r="D1314" s="729"/>
      <c r="E1314" s="371" t="s">
        <v>49</v>
      </c>
      <c r="F1314" s="372">
        <v>34</v>
      </c>
      <c r="G1314" s="373">
        <v>6</v>
      </c>
      <c r="H1314" s="374">
        <v>10</v>
      </c>
      <c r="I1314" s="375">
        <v>1.37</v>
      </c>
      <c r="J1314" s="376">
        <f t="shared" si="146"/>
        <v>8.2200000000000006</v>
      </c>
      <c r="K1314" s="66">
        <f t="shared" si="167"/>
        <v>0</v>
      </c>
      <c r="L1314" s="63">
        <f t="shared" si="168"/>
        <v>0</v>
      </c>
      <c r="M1314" s="63">
        <f t="shared" si="169"/>
        <v>0</v>
      </c>
      <c r="N1314" s="63">
        <f t="shared" si="170"/>
        <v>5.0717400000000001</v>
      </c>
      <c r="O1314" s="63">
        <f t="shared" si="171"/>
        <v>0</v>
      </c>
      <c r="P1314" s="63">
        <f t="shared" si="172"/>
        <v>0</v>
      </c>
      <c r="Q1314" s="561">
        <f t="shared" si="145"/>
        <v>0</v>
      </c>
      <c r="R1314" s="174"/>
      <c r="T1314" s="82"/>
      <c r="U1314" s="82"/>
      <c r="V1314" s="82"/>
      <c r="W1314" s="82"/>
      <c r="X1314" s="82"/>
      <c r="Y1314" s="82"/>
      <c r="Z1314" s="82"/>
      <c r="AA1314" s="82"/>
      <c r="AB1314" s="82"/>
    </row>
    <row r="1315" spans="1:28" s="85" customFormat="1" x14ac:dyDescent="0.25">
      <c r="A1315" s="82"/>
      <c r="B1315" s="82"/>
      <c r="C1315" s="82"/>
      <c r="D1315" s="729"/>
      <c r="E1315" s="371" t="s">
        <v>113</v>
      </c>
      <c r="F1315" s="372">
        <v>2</v>
      </c>
      <c r="G1315" s="373">
        <v>21</v>
      </c>
      <c r="H1315" s="374">
        <v>5</v>
      </c>
      <c r="I1315" s="375">
        <v>1.07</v>
      </c>
      <c r="J1315" s="376">
        <f t="shared" si="146"/>
        <v>22.470000000000002</v>
      </c>
      <c r="K1315" s="66">
        <f t="shared" si="167"/>
        <v>3.4603800000000002</v>
      </c>
      <c r="L1315" s="63">
        <f t="shared" si="168"/>
        <v>0</v>
      </c>
      <c r="M1315" s="63">
        <f t="shared" si="169"/>
        <v>0</v>
      </c>
      <c r="N1315" s="63">
        <f t="shared" si="170"/>
        <v>0</v>
      </c>
      <c r="O1315" s="63">
        <f t="shared" si="171"/>
        <v>0</v>
      </c>
      <c r="P1315" s="63">
        <f t="shared" si="172"/>
        <v>0</v>
      </c>
      <c r="Q1315" s="561">
        <f t="shared" si="145"/>
        <v>0</v>
      </c>
      <c r="R1315" s="174"/>
      <c r="T1315" s="82"/>
      <c r="U1315" s="82"/>
      <c r="V1315" s="82"/>
      <c r="W1315" s="82"/>
      <c r="X1315" s="82"/>
      <c r="Y1315" s="82"/>
      <c r="Z1315" s="82"/>
      <c r="AA1315" s="82"/>
      <c r="AB1315" s="82"/>
    </row>
    <row r="1316" spans="1:28" s="85" customFormat="1" x14ac:dyDescent="0.25">
      <c r="A1316" s="82"/>
      <c r="B1316" s="82"/>
      <c r="C1316" s="82"/>
      <c r="D1316" s="729"/>
      <c r="E1316" s="371" t="s">
        <v>113</v>
      </c>
      <c r="F1316" s="372">
        <v>3</v>
      </c>
      <c r="G1316" s="373">
        <v>10</v>
      </c>
      <c r="H1316" s="374">
        <v>5</v>
      </c>
      <c r="I1316" s="375">
        <v>0.74</v>
      </c>
      <c r="J1316" s="376">
        <f t="shared" si="146"/>
        <v>7.4</v>
      </c>
      <c r="K1316" s="66">
        <f t="shared" si="167"/>
        <v>1.1395999999999999</v>
      </c>
      <c r="L1316" s="63">
        <f t="shared" si="168"/>
        <v>0</v>
      </c>
      <c r="M1316" s="63">
        <f t="shared" si="169"/>
        <v>0</v>
      </c>
      <c r="N1316" s="63">
        <f t="shared" si="170"/>
        <v>0</v>
      </c>
      <c r="O1316" s="63">
        <f t="shared" si="171"/>
        <v>0</v>
      </c>
      <c r="P1316" s="63">
        <f t="shared" si="172"/>
        <v>0</v>
      </c>
      <c r="Q1316" s="561">
        <f t="shared" si="145"/>
        <v>0</v>
      </c>
      <c r="R1316" s="174"/>
      <c r="T1316" s="82"/>
      <c r="U1316" s="82"/>
      <c r="V1316" s="82"/>
      <c r="W1316" s="82"/>
      <c r="X1316" s="82"/>
      <c r="Y1316" s="82"/>
      <c r="Z1316" s="82"/>
      <c r="AA1316" s="82"/>
      <c r="AB1316" s="82"/>
    </row>
    <row r="1317" spans="1:28" s="85" customFormat="1" x14ac:dyDescent="0.25">
      <c r="A1317" s="82"/>
      <c r="B1317" s="82"/>
      <c r="C1317" s="82"/>
      <c r="D1317" s="729"/>
      <c r="E1317" s="371" t="s">
        <v>113</v>
      </c>
      <c r="F1317" s="372">
        <v>5</v>
      </c>
      <c r="G1317" s="373">
        <v>26</v>
      </c>
      <c r="H1317" s="374">
        <v>5</v>
      </c>
      <c r="I1317" s="375">
        <v>0.28999999999999998</v>
      </c>
      <c r="J1317" s="376">
        <f t="shared" si="146"/>
        <v>7.5399999999999991</v>
      </c>
      <c r="K1317" s="66">
        <f t="shared" si="167"/>
        <v>1.1611599999999997</v>
      </c>
      <c r="L1317" s="63">
        <f t="shared" si="168"/>
        <v>0</v>
      </c>
      <c r="M1317" s="63">
        <f t="shared" si="169"/>
        <v>0</v>
      </c>
      <c r="N1317" s="63">
        <f t="shared" si="170"/>
        <v>0</v>
      </c>
      <c r="O1317" s="63">
        <f t="shared" si="171"/>
        <v>0</v>
      </c>
      <c r="P1317" s="63">
        <f t="shared" si="172"/>
        <v>0</v>
      </c>
      <c r="Q1317" s="561">
        <f t="shared" si="145"/>
        <v>0</v>
      </c>
      <c r="R1317" s="174"/>
      <c r="T1317" s="82"/>
      <c r="U1317" s="82"/>
      <c r="V1317" s="82"/>
      <c r="W1317" s="82"/>
      <c r="X1317" s="82"/>
      <c r="Y1317" s="82"/>
      <c r="Z1317" s="82"/>
      <c r="AA1317" s="82"/>
      <c r="AB1317" s="82"/>
    </row>
    <row r="1318" spans="1:28" s="85" customFormat="1" x14ac:dyDescent="0.25">
      <c r="A1318" s="82"/>
      <c r="B1318" s="82"/>
      <c r="C1318" s="82"/>
      <c r="D1318" s="729"/>
      <c r="E1318" s="371" t="s">
        <v>113</v>
      </c>
      <c r="F1318" s="372">
        <v>15</v>
      </c>
      <c r="G1318" s="373">
        <v>6</v>
      </c>
      <c r="H1318" s="374">
        <v>10</v>
      </c>
      <c r="I1318" s="375">
        <v>3.33</v>
      </c>
      <c r="J1318" s="376">
        <f t="shared" si="146"/>
        <v>19.98</v>
      </c>
      <c r="K1318" s="66">
        <f t="shared" si="167"/>
        <v>0</v>
      </c>
      <c r="L1318" s="63">
        <f t="shared" si="168"/>
        <v>0</v>
      </c>
      <c r="M1318" s="63">
        <f t="shared" si="169"/>
        <v>0</v>
      </c>
      <c r="N1318" s="63">
        <f t="shared" si="170"/>
        <v>12.32766</v>
      </c>
      <c r="O1318" s="63">
        <f t="shared" si="171"/>
        <v>0</v>
      </c>
      <c r="P1318" s="63">
        <f t="shared" si="172"/>
        <v>0</v>
      </c>
      <c r="Q1318" s="561">
        <f t="shared" si="145"/>
        <v>0</v>
      </c>
      <c r="R1318" s="174"/>
      <c r="T1318" s="82"/>
      <c r="U1318" s="82"/>
      <c r="V1318" s="82"/>
      <c r="W1318" s="82"/>
      <c r="X1318" s="82"/>
      <c r="Y1318" s="82"/>
      <c r="Z1318" s="82"/>
      <c r="AA1318" s="82"/>
      <c r="AB1318" s="82"/>
    </row>
    <row r="1319" spans="1:28" s="85" customFormat="1" x14ac:dyDescent="0.25">
      <c r="A1319" s="82"/>
      <c r="B1319" s="82"/>
      <c r="C1319" s="82"/>
      <c r="D1319" s="729"/>
      <c r="E1319" s="371" t="s">
        <v>113</v>
      </c>
      <c r="F1319" s="372">
        <v>2</v>
      </c>
      <c r="G1319" s="373">
        <v>4</v>
      </c>
      <c r="H1319" s="374">
        <v>5</v>
      </c>
      <c r="I1319" s="375">
        <v>1.07</v>
      </c>
      <c r="J1319" s="376">
        <f t="shared" si="146"/>
        <v>4.28</v>
      </c>
      <c r="K1319" s="66">
        <f t="shared" si="167"/>
        <v>0.65912000000000004</v>
      </c>
      <c r="L1319" s="63">
        <f t="shared" si="168"/>
        <v>0</v>
      </c>
      <c r="M1319" s="63">
        <f t="shared" si="169"/>
        <v>0</v>
      </c>
      <c r="N1319" s="63">
        <f t="shared" si="170"/>
        <v>0</v>
      </c>
      <c r="O1319" s="63">
        <f t="shared" si="171"/>
        <v>0</v>
      </c>
      <c r="P1319" s="63">
        <f t="shared" si="172"/>
        <v>0</v>
      </c>
      <c r="Q1319" s="561">
        <f t="shared" si="145"/>
        <v>0</v>
      </c>
      <c r="R1319" s="174"/>
      <c r="T1319" s="82"/>
      <c r="U1319" s="82"/>
      <c r="V1319" s="82"/>
      <c r="W1319" s="82"/>
      <c r="X1319" s="82"/>
      <c r="Y1319" s="82"/>
      <c r="Z1319" s="82"/>
      <c r="AA1319" s="82"/>
      <c r="AB1319" s="82"/>
    </row>
    <row r="1320" spans="1:28" s="85" customFormat="1" x14ac:dyDescent="0.25">
      <c r="A1320" s="82"/>
      <c r="B1320" s="82"/>
      <c r="C1320" s="82"/>
      <c r="D1320" s="729"/>
      <c r="E1320" s="371" t="s">
        <v>113</v>
      </c>
      <c r="F1320" s="372">
        <v>4</v>
      </c>
      <c r="G1320" s="373">
        <v>4</v>
      </c>
      <c r="H1320" s="374">
        <v>5</v>
      </c>
      <c r="I1320" s="375">
        <v>0.28999999999999998</v>
      </c>
      <c r="J1320" s="376">
        <f t="shared" ref="J1320:J1321" si="173">G1320*I1320</f>
        <v>1.1599999999999999</v>
      </c>
      <c r="K1320" s="66">
        <f t="shared" si="167"/>
        <v>0.17863999999999999</v>
      </c>
      <c r="L1320" s="63">
        <f t="shared" si="168"/>
        <v>0</v>
      </c>
      <c r="M1320" s="63">
        <f t="shared" si="169"/>
        <v>0</v>
      </c>
      <c r="N1320" s="63">
        <f t="shared" si="170"/>
        <v>0</v>
      </c>
      <c r="O1320" s="63">
        <f t="shared" si="171"/>
        <v>0</v>
      </c>
      <c r="P1320" s="63">
        <f t="shared" si="172"/>
        <v>0</v>
      </c>
      <c r="Q1320" s="561">
        <f t="shared" si="145"/>
        <v>0</v>
      </c>
      <c r="R1320" s="174"/>
      <c r="T1320" s="82"/>
      <c r="U1320" s="82"/>
      <c r="V1320" s="82"/>
      <c r="W1320" s="82"/>
      <c r="X1320" s="82"/>
      <c r="Y1320" s="82"/>
      <c r="Z1320" s="82"/>
      <c r="AA1320" s="82"/>
      <c r="AB1320" s="82"/>
    </row>
    <row r="1321" spans="1:28" s="85" customFormat="1" x14ac:dyDescent="0.25">
      <c r="A1321" s="82"/>
      <c r="B1321" s="82"/>
      <c r="C1321" s="82"/>
      <c r="D1321" s="729"/>
      <c r="E1321" s="371" t="s">
        <v>113</v>
      </c>
      <c r="F1321" s="372">
        <v>5</v>
      </c>
      <c r="G1321" s="373">
        <v>6</v>
      </c>
      <c r="H1321" s="374">
        <v>10</v>
      </c>
      <c r="I1321" s="375">
        <v>0.78</v>
      </c>
      <c r="J1321" s="376">
        <f t="shared" si="173"/>
        <v>4.68</v>
      </c>
      <c r="K1321" s="66">
        <f t="shared" si="167"/>
        <v>0</v>
      </c>
      <c r="L1321" s="63">
        <f t="shared" si="168"/>
        <v>0</v>
      </c>
      <c r="M1321" s="63">
        <f t="shared" si="169"/>
        <v>0</v>
      </c>
      <c r="N1321" s="63">
        <f t="shared" si="170"/>
        <v>2.8875599999999997</v>
      </c>
      <c r="O1321" s="63">
        <f t="shared" si="171"/>
        <v>0</v>
      </c>
      <c r="P1321" s="63">
        <f t="shared" si="172"/>
        <v>0</v>
      </c>
      <c r="Q1321" s="561">
        <f t="shared" si="145"/>
        <v>0</v>
      </c>
      <c r="R1321" s="174"/>
      <c r="T1321" s="82"/>
      <c r="U1321" s="82"/>
      <c r="V1321" s="82"/>
      <c r="W1321" s="82"/>
      <c r="X1321" s="82"/>
      <c r="Y1321" s="82"/>
      <c r="Z1321" s="82"/>
      <c r="AA1321" s="82"/>
      <c r="AB1321" s="82"/>
    </row>
    <row r="1322" spans="1:28" s="85" customFormat="1" x14ac:dyDescent="0.25">
      <c r="A1322" s="82"/>
      <c r="B1322" s="82"/>
      <c r="C1322" s="82"/>
      <c r="D1322" s="729"/>
      <c r="E1322" s="396" t="s">
        <v>184</v>
      </c>
      <c r="F1322" s="403">
        <v>2</v>
      </c>
      <c r="G1322" s="397">
        <v>6</v>
      </c>
      <c r="H1322" s="398">
        <v>5</v>
      </c>
      <c r="I1322" s="399">
        <v>0.74</v>
      </c>
      <c r="J1322" s="400">
        <f t="shared" si="146"/>
        <v>4.4399999999999995</v>
      </c>
      <c r="K1322" s="401">
        <f t="shared" si="167"/>
        <v>0.68375999999999992</v>
      </c>
      <c r="L1322" s="196">
        <f t="shared" si="168"/>
        <v>0</v>
      </c>
      <c r="M1322" s="196">
        <f t="shared" si="169"/>
        <v>0</v>
      </c>
      <c r="N1322" s="196">
        <f t="shared" si="170"/>
        <v>0</v>
      </c>
      <c r="O1322" s="196">
        <f t="shared" si="171"/>
        <v>0</v>
      </c>
      <c r="P1322" s="196">
        <f t="shared" si="172"/>
        <v>0</v>
      </c>
      <c r="Q1322" s="566">
        <f t="shared" si="145"/>
        <v>0</v>
      </c>
      <c r="R1322" s="538"/>
      <c r="T1322" s="82"/>
      <c r="U1322" s="82"/>
      <c r="V1322" s="82"/>
      <c r="W1322" s="82"/>
      <c r="X1322" s="82"/>
      <c r="Y1322" s="82"/>
      <c r="Z1322" s="82"/>
      <c r="AA1322" s="82"/>
      <c r="AB1322" s="82"/>
    </row>
    <row r="1323" spans="1:28" s="85" customFormat="1" x14ac:dyDescent="0.25">
      <c r="A1323" s="82"/>
      <c r="B1323" s="82"/>
      <c r="C1323" s="82"/>
      <c r="D1323" s="729"/>
      <c r="E1323" s="371" t="s">
        <v>184</v>
      </c>
      <c r="F1323" s="372">
        <v>4</v>
      </c>
      <c r="G1323" s="373">
        <v>3</v>
      </c>
      <c r="H1323" s="374">
        <v>5</v>
      </c>
      <c r="I1323" s="375">
        <v>0.28999999999999998</v>
      </c>
      <c r="J1323" s="376">
        <f t="shared" si="146"/>
        <v>0.86999999999999988</v>
      </c>
      <c r="K1323" s="66">
        <f t="shared" si="167"/>
        <v>0.13397999999999999</v>
      </c>
      <c r="L1323" s="63">
        <f t="shared" si="168"/>
        <v>0</v>
      </c>
      <c r="M1323" s="63">
        <f t="shared" si="169"/>
        <v>0</v>
      </c>
      <c r="N1323" s="63">
        <f t="shared" si="170"/>
        <v>0</v>
      </c>
      <c r="O1323" s="63">
        <f t="shared" si="171"/>
        <v>0</v>
      </c>
      <c r="P1323" s="63">
        <f t="shared" si="172"/>
        <v>0</v>
      </c>
      <c r="Q1323" s="562">
        <f t="shared" si="145"/>
        <v>0</v>
      </c>
      <c r="R1323" s="377"/>
      <c r="T1323" s="82"/>
      <c r="U1323" s="82"/>
      <c r="V1323" s="82"/>
      <c r="W1323" s="82"/>
      <c r="X1323" s="82"/>
      <c r="Y1323" s="82"/>
      <c r="Z1323" s="82"/>
      <c r="AA1323" s="82"/>
      <c r="AB1323" s="82"/>
    </row>
    <row r="1324" spans="1:28" s="85" customFormat="1" x14ac:dyDescent="0.25">
      <c r="A1324" s="82"/>
      <c r="B1324" s="82"/>
      <c r="C1324" s="82"/>
      <c r="D1324" s="729"/>
      <c r="E1324" s="371" t="s">
        <v>184</v>
      </c>
      <c r="F1324" s="372">
        <v>8</v>
      </c>
      <c r="G1324" s="373">
        <v>6</v>
      </c>
      <c r="H1324" s="374">
        <v>10</v>
      </c>
      <c r="I1324" s="375">
        <v>0.32</v>
      </c>
      <c r="J1324" s="376">
        <f t="shared" si="146"/>
        <v>1.92</v>
      </c>
      <c r="K1324" s="66">
        <f t="shared" si="167"/>
        <v>0</v>
      </c>
      <c r="L1324" s="63">
        <f t="shared" si="168"/>
        <v>0</v>
      </c>
      <c r="M1324" s="63">
        <f t="shared" si="169"/>
        <v>0</v>
      </c>
      <c r="N1324" s="63">
        <f t="shared" si="170"/>
        <v>1.1846399999999999</v>
      </c>
      <c r="O1324" s="63">
        <f t="shared" si="171"/>
        <v>0</v>
      </c>
      <c r="P1324" s="63">
        <f t="shared" si="172"/>
        <v>0</v>
      </c>
      <c r="Q1324" s="562">
        <f t="shared" si="145"/>
        <v>0</v>
      </c>
      <c r="R1324" s="377"/>
      <c r="T1324" s="82"/>
      <c r="U1324" s="82"/>
      <c r="V1324" s="82"/>
      <c r="W1324" s="82"/>
      <c r="X1324" s="82"/>
      <c r="Y1324" s="82"/>
      <c r="Z1324" s="82"/>
      <c r="AA1324" s="82"/>
      <c r="AB1324" s="82"/>
    </row>
    <row r="1325" spans="1:28" s="85" customFormat="1" ht="13.8" thickBot="1" x14ac:dyDescent="0.3">
      <c r="A1325" s="82"/>
      <c r="B1325" s="82"/>
      <c r="C1325" s="82"/>
      <c r="D1325" s="731"/>
      <c r="E1325" s="390" t="s">
        <v>184</v>
      </c>
      <c r="F1325" s="391"/>
      <c r="G1325" s="392"/>
      <c r="H1325" s="393"/>
      <c r="I1325" s="394"/>
      <c r="J1325" s="395">
        <f t="shared" si="146"/>
        <v>0</v>
      </c>
      <c r="K1325" s="221">
        <f t="shared" si="167"/>
        <v>0</v>
      </c>
      <c r="L1325" s="222">
        <f t="shared" si="168"/>
        <v>0</v>
      </c>
      <c r="M1325" s="222">
        <f t="shared" si="169"/>
        <v>0</v>
      </c>
      <c r="N1325" s="222">
        <f t="shared" si="170"/>
        <v>0</v>
      </c>
      <c r="O1325" s="222">
        <f t="shared" si="171"/>
        <v>0</v>
      </c>
      <c r="P1325" s="222">
        <f t="shared" si="172"/>
        <v>0</v>
      </c>
      <c r="Q1325" s="564">
        <f t="shared" si="145"/>
        <v>0</v>
      </c>
      <c r="R1325" s="539"/>
      <c r="T1325" s="82"/>
      <c r="U1325" s="82"/>
      <c r="V1325" s="82"/>
      <c r="W1325" s="82"/>
      <c r="X1325" s="82"/>
      <c r="Y1325" s="82"/>
      <c r="Z1325" s="82"/>
      <c r="AA1325" s="82"/>
      <c r="AB1325" s="82"/>
    </row>
    <row r="1326" spans="1:28" s="85" customFormat="1" ht="13.8" thickTop="1" x14ac:dyDescent="0.25">
      <c r="A1326" s="82"/>
      <c r="B1326" s="82"/>
      <c r="C1326" s="82"/>
      <c r="D1326" s="728" t="s">
        <v>1802</v>
      </c>
      <c r="E1326" s="384" t="s">
        <v>49</v>
      </c>
      <c r="F1326" s="385">
        <v>7</v>
      </c>
      <c r="G1326" s="386">
        <v>5</v>
      </c>
      <c r="H1326" s="387">
        <v>5</v>
      </c>
      <c r="I1326" s="388">
        <v>1.1499999999999999</v>
      </c>
      <c r="J1326" s="389">
        <f t="shared" si="146"/>
        <v>5.75</v>
      </c>
      <c r="K1326" s="218">
        <f t="shared" si="167"/>
        <v>0.88549999999999995</v>
      </c>
      <c r="L1326" s="219">
        <f t="shared" si="168"/>
        <v>0</v>
      </c>
      <c r="M1326" s="219">
        <f t="shared" si="169"/>
        <v>0</v>
      </c>
      <c r="N1326" s="219">
        <f t="shared" si="170"/>
        <v>0</v>
      </c>
      <c r="O1326" s="219">
        <f t="shared" si="171"/>
        <v>0</v>
      </c>
      <c r="P1326" s="219">
        <f t="shared" si="172"/>
        <v>0</v>
      </c>
      <c r="Q1326" s="563">
        <f t="shared" si="145"/>
        <v>0</v>
      </c>
      <c r="R1326" s="220"/>
      <c r="T1326" s="82"/>
      <c r="U1326" s="82"/>
      <c r="V1326" s="82"/>
      <c r="W1326" s="82"/>
      <c r="X1326" s="82"/>
      <c r="Y1326" s="82"/>
      <c r="Z1326" s="82"/>
      <c r="AA1326" s="82"/>
      <c r="AB1326" s="82"/>
    </row>
    <row r="1327" spans="1:28" s="85" customFormat="1" x14ac:dyDescent="0.25">
      <c r="A1327" s="82"/>
      <c r="B1327" s="82"/>
      <c r="C1327" s="82"/>
      <c r="D1327" s="729"/>
      <c r="E1327" s="371" t="s">
        <v>49</v>
      </c>
      <c r="F1327" s="372">
        <v>8</v>
      </c>
      <c r="G1327" s="373">
        <v>8</v>
      </c>
      <c r="H1327" s="374">
        <v>5</v>
      </c>
      <c r="I1327" s="375">
        <v>0.85</v>
      </c>
      <c r="J1327" s="376">
        <f t="shared" si="146"/>
        <v>6.8</v>
      </c>
      <c r="K1327" s="66">
        <f t="shared" si="167"/>
        <v>1.0471999999999999</v>
      </c>
      <c r="L1327" s="63">
        <f t="shared" si="168"/>
        <v>0</v>
      </c>
      <c r="M1327" s="63">
        <f t="shared" si="169"/>
        <v>0</v>
      </c>
      <c r="N1327" s="63">
        <f t="shared" si="170"/>
        <v>0</v>
      </c>
      <c r="O1327" s="63">
        <f t="shared" si="171"/>
        <v>0</v>
      </c>
      <c r="P1327" s="63">
        <f t="shared" si="172"/>
        <v>0</v>
      </c>
      <c r="Q1327" s="561">
        <f t="shared" si="145"/>
        <v>0</v>
      </c>
      <c r="R1327" s="174"/>
      <c r="T1327" s="82"/>
      <c r="U1327" s="82"/>
      <c r="V1327" s="82"/>
      <c r="W1327" s="82"/>
      <c r="X1327" s="82"/>
      <c r="Y1327" s="82"/>
      <c r="Z1327" s="82"/>
      <c r="AA1327" s="82"/>
      <c r="AB1327" s="82"/>
    </row>
    <row r="1328" spans="1:28" s="85" customFormat="1" x14ac:dyDescent="0.25">
      <c r="A1328" s="82"/>
      <c r="B1328" s="82"/>
      <c r="C1328" s="82"/>
      <c r="D1328" s="729"/>
      <c r="E1328" s="371" t="s">
        <v>49</v>
      </c>
      <c r="F1328" s="372">
        <v>33</v>
      </c>
      <c r="G1328" s="373">
        <v>4</v>
      </c>
      <c r="H1328" s="374">
        <v>10</v>
      </c>
      <c r="I1328" s="375">
        <v>0.67</v>
      </c>
      <c r="J1328" s="376">
        <f t="shared" ref="J1328" si="174">G1328*I1328</f>
        <v>2.68</v>
      </c>
      <c r="K1328" s="66">
        <f t="shared" si="167"/>
        <v>0</v>
      </c>
      <c r="L1328" s="63">
        <f t="shared" si="168"/>
        <v>0</v>
      </c>
      <c r="M1328" s="63">
        <f t="shared" si="169"/>
        <v>0</v>
      </c>
      <c r="N1328" s="63">
        <f t="shared" si="170"/>
        <v>1.6535600000000001</v>
      </c>
      <c r="O1328" s="63">
        <f t="shared" si="171"/>
        <v>0</v>
      </c>
      <c r="P1328" s="63">
        <f t="shared" si="172"/>
        <v>0</v>
      </c>
      <c r="Q1328" s="561">
        <f t="shared" si="145"/>
        <v>0</v>
      </c>
      <c r="R1328" s="174"/>
      <c r="T1328" s="82"/>
      <c r="U1328" s="82"/>
      <c r="V1328" s="82"/>
      <c r="W1328" s="82"/>
      <c r="X1328" s="82"/>
      <c r="Y1328" s="82"/>
      <c r="Z1328" s="82"/>
      <c r="AA1328" s="82"/>
      <c r="AB1328" s="82"/>
    </row>
    <row r="1329" spans="1:28" s="85" customFormat="1" x14ac:dyDescent="0.25">
      <c r="A1329" s="82"/>
      <c r="B1329" s="82"/>
      <c r="C1329" s="82"/>
      <c r="D1329" s="729"/>
      <c r="E1329" s="371" t="s">
        <v>49</v>
      </c>
      <c r="F1329" s="372">
        <v>34</v>
      </c>
      <c r="G1329" s="373">
        <v>4</v>
      </c>
      <c r="H1329" s="374">
        <v>10</v>
      </c>
      <c r="I1329" s="375">
        <v>1.37</v>
      </c>
      <c r="J1329" s="376">
        <f t="shared" si="146"/>
        <v>5.48</v>
      </c>
      <c r="K1329" s="66">
        <f t="shared" si="167"/>
        <v>0</v>
      </c>
      <c r="L1329" s="63">
        <f t="shared" si="168"/>
        <v>0</v>
      </c>
      <c r="M1329" s="63">
        <f t="shared" si="169"/>
        <v>0</v>
      </c>
      <c r="N1329" s="63">
        <f t="shared" si="170"/>
        <v>3.3811600000000004</v>
      </c>
      <c r="O1329" s="63">
        <f t="shared" si="171"/>
        <v>0</v>
      </c>
      <c r="P1329" s="63">
        <f t="shared" si="172"/>
        <v>0</v>
      </c>
      <c r="Q1329" s="561">
        <f t="shared" si="145"/>
        <v>0</v>
      </c>
      <c r="R1329" s="174"/>
      <c r="T1329" s="82"/>
      <c r="U1329" s="82"/>
      <c r="V1329" s="82"/>
      <c r="W1329" s="82"/>
      <c r="X1329" s="82"/>
      <c r="Y1329" s="82"/>
      <c r="Z1329" s="82"/>
      <c r="AA1329" s="82"/>
      <c r="AB1329" s="82"/>
    </row>
    <row r="1330" spans="1:28" s="85" customFormat="1" x14ac:dyDescent="0.25">
      <c r="A1330" s="82"/>
      <c r="B1330" s="82"/>
      <c r="C1330" s="82"/>
      <c r="D1330" s="729"/>
      <c r="E1330" s="371" t="s">
        <v>49</v>
      </c>
      <c r="F1330" s="372">
        <v>35</v>
      </c>
      <c r="G1330" s="373">
        <v>4</v>
      </c>
      <c r="H1330" s="374">
        <v>10</v>
      </c>
      <c r="I1330" s="375">
        <v>0.99</v>
      </c>
      <c r="J1330" s="376">
        <f t="shared" si="146"/>
        <v>3.96</v>
      </c>
      <c r="K1330" s="66">
        <f t="shared" si="167"/>
        <v>0</v>
      </c>
      <c r="L1330" s="63">
        <f t="shared" si="168"/>
        <v>0</v>
      </c>
      <c r="M1330" s="63">
        <f t="shared" si="169"/>
        <v>0</v>
      </c>
      <c r="N1330" s="63">
        <f t="shared" si="170"/>
        <v>2.4433199999999999</v>
      </c>
      <c r="O1330" s="63">
        <f t="shared" si="171"/>
        <v>0</v>
      </c>
      <c r="P1330" s="63">
        <f t="shared" si="172"/>
        <v>0</v>
      </c>
      <c r="Q1330" s="561">
        <f t="shared" si="145"/>
        <v>0</v>
      </c>
      <c r="R1330" s="174"/>
      <c r="T1330" s="82"/>
      <c r="U1330" s="82"/>
      <c r="V1330" s="82"/>
      <c r="W1330" s="82"/>
      <c r="X1330" s="82"/>
      <c r="Y1330" s="82"/>
      <c r="Z1330" s="82"/>
      <c r="AA1330" s="82"/>
      <c r="AB1330" s="82"/>
    </row>
    <row r="1331" spans="1:28" s="85" customFormat="1" x14ac:dyDescent="0.25">
      <c r="A1331" s="82"/>
      <c r="B1331" s="82"/>
      <c r="C1331" s="82"/>
      <c r="D1331" s="729"/>
      <c r="E1331" s="371" t="s">
        <v>113</v>
      </c>
      <c r="F1331" s="372">
        <v>2</v>
      </c>
      <c r="G1331" s="373">
        <v>21</v>
      </c>
      <c r="H1331" s="374">
        <v>5</v>
      </c>
      <c r="I1331" s="375">
        <v>1.07</v>
      </c>
      <c r="J1331" s="376">
        <f t="shared" si="146"/>
        <v>22.470000000000002</v>
      </c>
      <c r="K1331" s="66">
        <f t="shared" si="167"/>
        <v>3.4603800000000002</v>
      </c>
      <c r="L1331" s="63">
        <f t="shared" si="168"/>
        <v>0</v>
      </c>
      <c r="M1331" s="63">
        <f t="shared" si="169"/>
        <v>0</v>
      </c>
      <c r="N1331" s="63">
        <f t="shared" si="170"/>
        <v>0</v>
      </c>
      <c r="O1331" s="63">
        <f t="shared" si="171"/>
        <v>0</v>
      </c>
      <c r="P1331" s="63">
        <f t="shared" si="172"/>
        <v>0</v>
      </c>
      <c r="Q1331" s="561">
        <f t="shared" si="145"/>
        <v>0</v>
      </c>
      <c r="R1331" s="174"/>
      <c r="T1331" s="82"/>
      <c r="U1331" s="82"/>
      <c r="V1331" s="82"/>
      <c r="W1331" s="82"/>
      <c r="X1331" s="82"/>
      <c r="Y1331" s="82"/>
      <c r="Z1331" s="82"/>
      <c r="AA1331" s="82"/>
      <c r="AB1331" s="82"/>
    </row>
    <row r="1332" spans="1:28" s="85" customFormat="1" x14ac:dyDescent="0.25">
      <c r="A1332" s="82"/>
      <c r="B1332" s="82"/>
      <c r="C1332" s="82"/>
      <c r="D1332" s="729"/>
      <c r="E1332" s="371" t="s">
        <v>113</v>
      </c>
      <c r="F1332" s="372">
        <v>3</v>
      </c>
      <c r="G1332" s="373">
        <v>10</v>
      </c>
      <c r="H1332" s="374">
        <v>5</v>
      </c>
      <c r="I1332" s="375">
        <v>0.74</v>
      </c>
      <c r="J1332" s="376">
        <f t="shared" si="146"/>
        <v>7.4</v>
      </c>
      <c r="K1332" s="66">
        <f t="shared" si="167"/>
        <v>1.1395999999999999</v>
      </c>
      <c r="L1332" s="63">
        <f t="shared" si="168"/>
        <v>0</v>
      </c>
      <c r="M1332" s="63">
        <f t="shared" si="169"/>
        <v>0</v>
      </c>
      <c r="N1332" s="63">
        <f t="shared" si="170"/>
        <v>0</v>
      </c>
      <c r="O1332" s="63">
        <f t="shared" si="171"/>
        <v>0</v>
      </c>
      <c r="P1332" s="63">
        <f t="shared" si="172"/>
        <v>0</v>
      </c>
      <c r="Q1332" s="561">
        <f t="shared" si="145"/>
        <v>0</v>
      </c>
      <c r="R1332" s="174"/>
      <c r="T1332" s="82"/>
      <c r="U1332" s="82"/>
      <c r="V1332" s="82"/>
      <c r="W1332" s="82"/>
      <c r="X1332" s="82"/>
      <c r="Y1332" s="82"/>
      <c r="Z1332" s="82"/>
      <c r="AA1332" s="82"/>
      <c r="AB1332" s="82"/>
    </row>
    <row r="1333" spans="1:28" s="85" customFormat="1" x14ac:dyDescent="0.25">
      <c r="A1333" s="82"/>
      <c r="B1333" s="82"/>
      <c r="C1333" s="82"/>
      <c r="D1333" s="729"/>
      <c r="E1333" s="371" t="s">
        <v>113</v>
      </c>
      <c r="F1333" s="372">
        <v>5</v>
      </c>
      <c r="G1333" s="373">
        <v>52</v>
      </c>
      <c r="H1333" s="374">
        <v>5</v>
      </c>
      <c r="I1333" s="375">
        <v>0.28999999999999998</v>
      </c>
      <c r="J1333" s="376">
        <f t="shared" si="146"/>
        <v>15.079999999999998</v>
      </c>
      <c r="K1333" s="66">
        <f t="shared" si="167"/>
        <v>2.3223199999999995</v>
      </c>
      <c r="L1333" s="63">
        <f t="shared" si="168"/>
        <v>0</v>
      </c>
      <c r="M1333" s="63">
        <f t="shared" si="169"/>
        <v>0</v>
      </c>
      <c r="N1333" s="63">
        <f t="shared" si="170"/>
        <v>0</v>
      </c>
      <c r="O1333" s="63">
        <f t="shared" si="171"/>
        <v>0</v>
      </c>
      <c r="P1333" s="63">
        <f t="shared" si="172"/>
        <v>0</v>
      </c>
      <c r="Q1333" s="561">
        <f t="shared" si="145"/>
        <v>0</v>
      </c>
      <c r="R1333" s="174"/>
      <c r="T1333" s="82"/>
      <c r="U1333" s="82"/>
      <c r="V1333" s="82"/>
      <c r="W1333" s="82"/>
      <c r="X1333" s="82"/>
      <c r="Y1333" s="82"/>
      <c r="Z1333" s="82"/>
      <c r="AA1333" s="82"/>
      <c r="AB1333" s="82"/>
    </row>
    <row r="1334" spans="1:28" s="85" customFormat="1" x14ac:dyDescent="0.25">
      <c r="A1334" s="82"/>
      <c r="B1334" s="82"/>
      <c r="C1334" s="82"/>
      <c r="D1334" s="729"/>
      <c r="E1334" s="371" t="s">
        <v>113</v>
      </c>
      <c r="F1334" s="372">
        <v>15</v>
      </c>
      <c r="G1334" s="373">
        <v>8</v>
      </c>
      <c r="H1334" s="374">
        <v>10</v>
      </c>
      <c r="I1334" s="375">
        <v>3.33</v>
      </c>
      <c r="J1334" s="376">
        <f t="shared" si="146"/>
        <v>26.64</v>
      </c>
      <c r="K1334" s="66">
        <f t="shared" si="167"/>
        <v>0</v>
      </c>
      <c r="L1334" s="63">
        <f t="shared" si="168"/>
        <v>0</v>
      </c>
      <c r="M1334" s="63">
        <f t="shared" si="169"/>
        <v>0</v>
      </c>
      <c r="N1334" s="63">
        <f t="shared" si="170"/>
        <v>16.436879999999999</v>
      </c>
      <c r="O1334" s="63">
        <f t="shared" si="171"/>
        <v>0</v>
      </c>
      <c r="P1334" s="63">
        <f t="shared" si="172"/>
        <v>0</v>
      </c>
      <c r="Q1334" s="561">
        <f t="shared" si="145"/>
        <v>0</v>
      </c>
      <c r="R1334" s="174"/>
      <c r="T1334" s="82"/>
      <c r="U1334" s="82"/>
      <c r="V1334" s="82"/>
      <c r="W1334" s="82"/>
      <c r="X1334" s="82"/>
      <c r="Y1334" s="82"/>
      <c r="Z1334" s="82"/>
      <c r="AA1334" s="82"/>
      <c r="AB1334" s="82"/>
    </row>
    <row r="1335" spans="1:28" s="85" customFormat="1" x14ac:dyDescent="0.25">
      <c r="A1335" s="82"/>
      <c r="B1335" s="82"/>
      <c r="C1335" s="82"/>
      <c r="D1335" s="729"/>
      <c r="E1335" s="371" t="s">
        <v>113</v>
      </c>
      <c r="F1335" s="372">
        <v>2</v>
      </c>
      <c r="G1335" s="373">
        <f>2*8</f>
        <v>16</v>
      </c>
      <c r="H1335" s="374">
        <v>5</v>
      </c>
      <c r="I1335" s="375">
        <v>0.28999999999999998</v>
      </c>
      <c r="J1335" s="376">
        <f t="shared" ref="J1335" si="175">G1335*I1335</f>
        <v>4.6399999999999997</v>
      </c>
      <c r="K1335" s="66">
        <f t="shared" si="167"/>
        <v>0.71455999999999997</v>
      </c>
      <c r="L1335" s="63">
        <f t="shared" si="168"/>
        <v>0</v>
      </c>
      <c r="M1335" s="63">
        <f t="shared" si="169"/>
        <v>0</v>
      </c>
      <c r="N1335" s="63">
        <f t="shared" si="170"/>
        <v>0</v>
      </c>
      <c r="O1335" s="63">
        <f t="shared" si="171"/>
        <v>0</v>
      </c>
      <c r="P1335" s="63">
        <f t="shared" si="172"/>
        <v>0</v>
      </c>
      <c r="Q1335" s="561">
        <f t="shared" si="145"/>
        <v>0</v>
      </c>
      <c r="R1335" s="174"/>
      <c r="T1335" s="82"/>
      <c r="U1335" s="82"/>
      <c r="V1335" s="82"/>
      <c r="W1335" s="82"/>
      <c r="X1335" s="82"/>
      <c r="Y1335" s="82"/>
      <c r="Z1335" s="82"/>
      <c r="AA1335" s="82"/>
      <c r="AB1335" s="82"/>
    </row>
    <row r="1336" spans="1:28" s="85" customFormat="1" x14ac:dyDescent="0.25">
      <c r="A1336" s="82"/>
      <c r="B1336" s="82"/>
      <c r="C1336" s="82"/>
      <c r="D1336" s="729"/>
      <c r="E1336" s="371" t="s">
        <v>113</v>
      </c>
      <c r="F1336" s="372">
        <v>3</v>
      </c>
      <c r="G1336" s="373">
        <f>2*8</f>
        <v>16</v>
      </c>
      <c r="H1336" s="374">
        <v>5</v>
      </c>
      <c r="I1336" s="375">
        <v>0.74</v>
      </c>
      <c r="J1336" s="376">
        <f t="shared" si="146"/>
        <v>11.84</v>
      </c>
      <c r="K1336" s="66">
        <f t="shared" si="167"/>
        <v>1.8233599999999999</v>
      </c>
      <c r="L1336" s="63">
        <f t="shared" si="168"/>
        <v>0</v>
      </c>
      <c r="M1336" s="63">
        <f t="shared" si="169"/>
        <v>0</v>
      </c>
      <c r="N1336" s="63">
        <f t="shared" si="170"/>
        <v>0</v>
      </c>
      <c r="O1336" s="63">
        <f t="shared" si="171"/>
        <v>0</v>
      </c>
      <c r="P1336" s="63">
        <f t="shared" si="172"/>
        <v>0</v>
      </c>
      <c r="Q1336" s="561">
        <f t="shared" si="145"/>
        <v>0</v>
      </c>
      <c r="R1336" s="174"/>
      <c r="T1336" s="82"/>
      <c r="U1336" s="82"/>
      <c r="V1336" s="82"/>
      <c r="W1336" s="82"/>
      <c r="X1336" s="82"/>
      <c r="Y1336" s="82"/>
      <c r="Z1336" s="82"/>
      <c r="AA1336" s="82"/>
      <c r="AB1336" s="82"/>
    </row>
    <row r="1337" spans="1:28" s="85" customFormat="1" x14ac:dyDescent="0.25">
      <c r="A1337" s="82"/>
      <c r="B1337" s="82"/>
      <c r="C1337" s="82"/>
      <c r="D1337" s="729"/>
      <c r="E1337" s="371" t="s">
        <v>113</v>
      </c>
      <c r="F1337" s="372">
        <v>8</v>
      </c>
      <c r="G1337" s="373">
        <f>2*8</f>
        <v>16</v>
      </c>
      <c r="H1337" s="374">
        <v>10</v>
      </c>
      <c r="I1337" s="375">
        <v>0.78</v>
      </c>
      <c r="J1337" s="376">
        <f t="shared" ref="J1337" si="176">G1337*I1337</f>
        <v>12.48</v>
      </c>
      <c r="K1337" s="66">
        <f t="shared" si="167"/>
        <v>0</v>
      </c>
      <c r="L1337" s="63">
        <f t="shared" si="168"/>
        <v>0</v>
      </c>
      <c r="M1337" s="63">
        <f t="shared" si="169"/>
        <v>0</v>
      </c>
      <c r="N1337" s="63">
        <f t="shared" si="170"/>
        <v>7.7001600000000003</v>
      </c>
      <c r="O1337" s="63">
        <f t="shared" si="171"/>
        <v>0</v>
      </c>
      <c r="P1337" s="63">
        <f t="shared" si="172"/>
        <v>0</v>
      </c>
      <c r="Q1337" s="561">
        <f t="shared" si="145"/>
        <v>0</v>
      </c>
      <c r="R1337" s="174"/>
      <c r="T1337" s="82"/>
      <c r="U1337" s="82"/>
      <c r="V1337" s="82"/>
      <c r="W1337" s="82"/>
      <c r="X1337" s="82"/>
      <c r="Y1337" s="82"/>
      <c r="Z1337" s="82"/>
      <c r="AA1337" s="82"/>
      <c r="AB1337" s="82"/>
    </row>
    <row r="1338" spans="1:28" s="85" customFormat="1" x14ac:dyDescent="0.25">
      <c r="A1338" s="82"/>
      <c r="B1338" s="82"/>
      <c r="C1338" s="82"/>
      <c r="D1338" s="729"/>
      <c r="E1338" s="396" t="s">
        <v>184</v>
      </c>
      <c r="F1338" s="403">
        <v>2</v>
      </c>
      <c r="G1338" s="397">
        <v>6</v>
      </c>
      <c r="H1338" s="398">
        <v>5</v>
      </c>
      <c r="I1338" s="399">
        <v>0.74</v>
      </c>
      <c r="J1338" s="400">
        <f t="shared" si="146"/>
        <v>4.4399999999999995</v>
      </c>
      <c r="K1338" s="401">
        <f t="shared" si="167"/>
        <v>0.68375999999999992</v>
      </c>
      <c r="L1338" s="196">
        <f t="shared" si="168"/>
        <v>0</v>
      </c>
      <c r="M1338" s="196">
        <f t="shared" si="169"/>
        <v>0</v>
      </c>
      <c r="N1338" s="196">
        <f t="shared" si="170"/>
        <v>0</v>
      </c>
      <c r="O1338" s="196">
        <f t="shared" si="171"/>
        <v>0</v>
      </c>
      <c r="P1338" s="196">
        <f t="shared" si="172"/>
        <v>0</v>
      </c>
      <c r="Q1338" s="566">
        <f t="shared" si="145"/>
        <v>0</v>
      </c>
      <c r="R1338" s="538"/>
      <c r="T1338" s="82"/>
      <c r="U1338" s="82"/>
      <c r="V1338" s="82"/>
      <c r="W1338" s="82"/>
      <c r="X1338" s="82"/>
      <c r="Y1338" s="82"/>
      <c r="Z1338" s="82"/>
      <c r="AA1338" s="82"/>
      <c r="AB1338" s="82"/>
    </row>
    <row r="1339" spans="1:28" s="85" customFormat="1" x14ac:dyDescent="0.25">
      <c r="A1339" s="82"/>
      <c r="B1339" s="82"/>
      <c r="C1339" s="82"/>
      <c r="D1339" s="729"/>
      <c r="E1339" s="371" t="s">
        <v>184</v>
      </c>
      <c r="F1339" s="372">
        <v>4</v>
      </c>
      <c r="G1339" s="373">
        <v>6</v>
      </c>
      <c r="H1339" s="374">
        <v>5</v>
      </c>
      <c r="I1339" s="375">
        <v>0.28999999999999998</v>
      </c>
      <c r="J1339" s="376">
        <f t="shared" si="146"/>
        <v>1.7399999999999998</v>
      </c>
      <c r="K1339" s="66">
        <f t="shared" si="167"/>
        <v>0.26795999999999998</v>
      </c>
      <c r="L1339" s="63">
        <f t="shared" si="168"/>
        <v>0</v>
      </c>
      <c r="M1339" s="63">
        <f t="shared" si="169"/>
        <v>0</v>
      </c>
      <c r="N1339" s="63">
        <f t="shared" si="170"/>
        <v>0</v>
      </c>
      <c r="O1339" s="63">
        <f t="shared" si="171"/>
        <v>0</v>
      </c>
      <c r="P1339" s="63">
        <f t="shared" si="172"/>
        <v>0</v>
      </c>
      <c r="Q1339" s="562">
        <f t="shared" si="145"/>
        <v>0</v>
      </c>
      <c r="R1339" s="377"/>
      <c r="T1339" s="82"/>
      <c r="U1339" s="82"/>
      <c r="V1339" s="82"/>
      <c r="W1339" s="82"/>
      <c r="X1339" s="82"/>
      <c r="Y1339" s="82"/>
      <c r="Z1339" s="82"/>
      <c r="AA1339" s="82"/>
      <c r="AB1339" s="82"/>
    </row>
    <row r="1340" spans="1:28" s="85" customFormat="1" x14ac:dyDescent="0.25">
      <c r="A1340" s="82"/>
      <c r="B1340" s="82"/>
      <c r="C1340" s="82"/>
      <c r="D1340" s="729"/>
      <c r="E1340" s="371" t="s">
        <v>184</v>
      </c>
      <c r="F1340" s="372">
        <v>9</v>
      </c>
      <c r="G1340" s="373">
        <v>8</v>
      </c>
      <c r="H1340" s="374">
        <v>10</v>
      </c>
      <c r="I1340" s="375">
        <v>0.68</v>
      </c>
      <c r="J1340" s="376">
        <f t="shared" si="146"/>
        <v>5.44</v>
      </c>
      <c r="K1340" s="66">
        <f t="shared" si="167"/>
        <v>0</v>
      </c>
      <c r="L1340" s="63">
        <f t="shared" si="168"/>
        <v>0</v>
      </c>
      <c r="M1340" s="63">
        <f t="shared" si="169"/>
        <v>0</v>
      </c>
      <c r="N1340" s="63">
        <f t="shared" si="170"/>
        <v>3.3564800000000004</v>
      </c>
      <c r="O1340" s="63">
        <f t="shared" si="171"/>
        <v>0</v>
      </c>
      <c r="P1340" s="63">
        <f t="shared" si="172"/>
        <v>0</v>
      </c>
      <c r="Q1340" s="562">
        <f t="shared" si="145"/>
        <v>0</v>
      </c>
      <c r="R1340" s="377"/>
      <c r="T1340" s="82"/>
      <c r="U1340" s="82"/>
      <c r="V1340" s="82"/>
      <c r="W1340" s="82"/>
      <c r="X1340" s="82"/>
      <c r="Y1340" s="82"/>
      <c r="Z1340" s="82"/>
      <c r="AA1340" s="82"/>
      <c r="AB1340" s="82"/>
    </row>
    <row r="1341" spans="1:28" s="85" customFormat="1" x14ac:dyDescent="0.25">
      <c r="A1341" s="82"/>
      <c r="B1341" s="82"/>
      <c r="C1341" s="82"/>
      <c r="D1341" s="729"/>
      <c r="E1341" s="371" t="s">
        <v>184</v>
      </c>
      <c r="F1341" s="372">
        <v>1</v>
      </c>
      <c r="G1341" s="373">
        <v>14</v>
      </c>
      <c r="H1341" s="374">
        <v>5</v>
      </c>
      <c r="I1341" s="375">
        <v>0.28999999999999998</v>
      </c>
      <c r="J1341" s="376">
        <f t="shared" ref="J1341" si="177">G1341*I1341</f>
        <v>4.0599999999999996</v>
      </c>
      <c r="K1341" s="66">
        <f t="shared" si="167"/>
        <v>0.62523999999999991</v>
      </c>
      <c r="L1341" s="63">
        <f t="shared" si="168"/>
        <v>0</v>
      </c>
      <c r="M1341" s="63">
        <f t="shared" si="169"/>
        <v>0</v>
      </c>
      <c r="N1341" s="63">
        <f t="shared" si="170"/>
        <v>0</v>
      </c>
      <c r="O1341" s="63">
        <f t="shared" si="171"/>
        <v>0</v>
      </c>
      <c r="P1341" s="63">
        <f t="shared" si="172"/>
        <v>0</v>
      </c>
      <c r="Q1341" s="562">
        <f t="shared" ref="Q1341:Q1343" si="178">IF($H1341=20,$J1341*$B$28,0)</f>
        <v>0</v>
      </c>
      <c r="R1341" s="377"/>
      <c r="T1341" s="82"/>
      <c r="U1341" s="82"/>
      <c r="V1341" s="82"/>
      <c r="W1341" s="82"/>
      <c r="X1341" s="82"/>
      <c r="Y1341" s="82"/>
      <c r="Z1341" s="82"/>
      <c r="AA1341" s="82"/>
      <c r="AB1341" s="82"/>
    </row>
    <row r="1342" spans="1:28" s="85" customFormat="1" x14ac:dyDescent="0.25">
      <c r="A1342" s="82"/>
      <c r="B1342" s="82"/>
      <c r="C1342" s="82"/>
      <c r="D1342" s="729"/>
      <c r="E1342" s="371" t="s">
        <v>184</v>
      </c>
      <c r="F1342" s="372">
        <v>2</v>
      </c>
      <c r="G1342" s="373">
        <v>5</v>
      </c>
      <c r="H1342" s="374">
        <v>5</v>
      </c>
      <c r="I1342" s="375">
        <v>1.07</v>
      </c>
      <c r="J1342" s="376">
        <f t="shared" si="146"/>
        <v>5.3500000000000005</v>
      </c>
      <c r="K1342" s="66">
        <f t="shared" si="167"/>
        <v>0.82390000000000008</v>
      </c>
      <c r="L1342" s="63">
        <f t="shared" si="168"/>
        <v>0</v>
      </c>
      <c r="M1342" s="63">
        <f t="shared" si="169"/>
        <v>0</v>
      </c>
      <c r="N1342" s="63">
        <f t="shared" si="170"/>
        <v>0</v>
      </c>
      <c r="O1342" s="63">
        <f t="shared" si="171"/>
        <v>0</v>
      </c>
      <c r="P1342" s="63">
        <f t="shared" si="172"/>
        <v>0</v>
      </c>
      <c r="Q1342" s="562">
        <f t="shared" si="178"/>
        <v>0</v>
      </c>
      <c r="R1342" s="377"/>
      <c r="T1342" s="82"/>
      <c r="U1342" s="82"/>
      <c r="V1342" s="82"/>
      <c r="W1342" s="82"/>
      <c r="X1342" s="82"/>
      <c r="Y1342" s="82"/>
      <c r="Z1342" s="82"/>
      <c r="AA1342" s="82"/>
      <c r="AB1342" s="82"/>
    </row>
    <row r="1343" spans="1:28" s="85" customFormat="1" x14ac:dyDescent="0.25">
      <c r="A1343" s="82"/>
      <c r="B1343" s="82"/>
      <c r="C1343" s="82"/>
      <c r="D1343" s="729"/>
      <c r="E1343" s="371" t="s">
        <v>184</v>
      </c>
      <c r="F1343" s="372">
        <v>3</v>
      </c>
      <c r="G1343" s="373">
        <v>4</v>
      </c>
      <c r="H1343" s="374">
        <v>5</v>
      </c>
      <c r="I1343" s="375">
        <v>0.74</v>
      </c>
      <c r="J1343" s="376">
        <f t="shared" ref="J1343" si="179">G1343*I1343</f>
        <v>2.96</v>
      </c>
      <c r="K1343" s="66">
        <f t="shared" si="167"/>
        <v>0.45583999999999997</v>
      </c>
      <c r="L1343" s="63">
        <f t="shared" si="168"/>
        <v>0</v>
      </c>
      <c r="M1343" s="63">
        <f t="shared" si="169"/>
        <v>0</v>
      </c>
      <c r="N1343" s="63">
        <f t="shared" si="170"/>
        <v>0</v>
      </c>
      <c r="O1343" s="63">
        <f t="shared" si="171"/>
        <v>0</v>
      </c>
      <c r="P1343" s="63">
        <f t="shared" si="172"/>
        <v>0</v>
      </c>
      <c r="Q1343" s="562">
        <f t="shared" si="178"/>
        <v>0</v>
      </c>
      <c r="R1343" s="377"/>
      <c r="T1343" s="82"/>
      <c r="U1343" s="82"/>
      <c r="V1343" s="82"/>
      <c r="W1343" s="82"/>
      <c r="X1343" s="82"/>
      <c r="Y1343" s="82"/>
      <c r="Z1343" s="82"/>
      <c r="AA1343" s="82"/>
      <c r="AB1343" s="82"/>
    </row>
    <row r="1344" spans="1:28" s="85" customFormat="1" ht="13.8" thickBot="1" x14ac:dyDescent="0.3">
      <c r="A1344" s="82"/>
      <c r="B1344" s="82"/>
      <c r="C1344" s="82"/>
      <c r="D1344" s="731"/>
      <c r="E1344" s="390" t="s">
        <v>184</v>
      </c>
      <c r="F1344" s="391">
        <v>21</v>
      </c>
      <c r="G1344" s="392">
        <v>8</v>
      </c>
      <c r="H1344" s="393">
        <v>10</v>
      </c>
      <c r="I1344" s="394">
        <v>0.67</v>
      </c>
      <c r="J1344" s="395">
        <f t="shared" si="146"/>
        <v>5.36</v>
      </c>
      <c r="K1344" s="221">
        <f t="shared" si="167"/>
        <v>0</v>
      </c>
      <c r="L1344" s="222">
        <f t="shared" si="168"/>
        <v>0</v>
      </c>
      <c r="M1344" s="222">
        <f t="shared" si="169"/>
        <v>0</v>
      </c>
      <c r="N1344" s="222">
        <f t="shared" si="170"/>
        <v>3.3071200000000003</v>
      </c>
      <c r="O1344" s="222">
        <f t="shared" si="171"/>
        <v>0</v>
      </c>
      <c r="P1344" s="222">
        <f t="shared" si="172"/>
        <v>0</v>
      </c>
      <c r="Q1344" s="564">
        <f t="shared" si="145"/>
        <v>0</v>
      </c>
      <c r="R1344" s="539"/>
      <c r="T1344" s="82"/>
      <c r="U1344" s="82"/>
      <c r="V1344" s="82"/>
      <c r="W1344" s="82"/>
      <c r="X1344" s="82"/>
      <c r="Y1344" s="82"/>
      <c r="Z1344" s="82"/>
      <c r="AA1344" s="82"/>
      <c r="AB1344" s="82"/>
    </row>
    <row r="1345" spans="1:28" s="85" customFormat="1" ht="13.8" thickTop="1" x14ac:dyDescent="0.25">
      <c r="A1345" s="82"/>
      <c r="B1345" s="82"/>
      <c r="C1345" s="82"/>
      <c r="D1345" s="728" t="s">
        <v>1803</v>
      </c>
      <c r="E1345" s="384" t="s">
        <v>49</v>
      </c>
      <c r="F1345" s="385">
        <v>24</v>
      </c>
      <c r="G1345" s="386">
        <v>14</v>
      </c>
      <c r="H1345" s="387">
        <v>5</v>
      </c>
      <c r="I1345" s="388">
        <v>0.26</v>
      </c>
      <c r="J1345" s="389">
        <f t="shared" si="146"/>
        <v>3.64</v>
      </c>
      <c r="K1345" s="218">
        <f t="shared" si="167"/>
        <v>0.56056000000000006</v>
      </c>
      <c r="L1345" s="219">
        <f t="shared" si="168"/>
        <v>0</v>
      </c>
      <c r="M1345" s="219">
        <f t="shared" si="169"/>
        <v>0</v>
      </c>
      <c r="N1345" s="219">
        <f t="shared" si="170"/>
        <v>0</v>
      </c>
      <c r="O1345" s="219">
        <f t="shared" si="171"/>
        <v>0</v>
      </c>
      <c r="P1345" s="219">
        <f t="shared" si="172"/>
        <v>0</v>
      </c>
      <c r="Q1345" s="563">
        <f t="shared" si="145"/>
        <v>0</v>
      </c>
      <c r="R1345" s="220"/>
      <c r="T1345" s="82"/>
      <c r="U1345" s="82"/>
      <c r="V1345" s="82"/>
      <c r="W1345" s="82"/>
      <c r="X1345" s="82"/>
      <c r="Y1345" s="82"/>
      <c r="Z1345" s="82"/>
      <c r="AA1345" s="82"/>
      <c r="AB1345" s="82"/>
    </row>
    <row r="1346" spans="1:28" s="85" customFormat="1" x14ac:dyDescent="0.25">
      <c r="A1346" s="82"/>
      <c r="B1346" s="82"/>
      <c r="C1346" s="82"/>
      <c r="D1346" s="729"/>
      <c r="E1346" s="371" t="s">
        <v>49</v>
      </c>
      <c r="F1346" s="372">
        <v>25</v>
      </c>
      <c r="G1346" s="373">
        <v>4</v>
      </c>
      <c r="H1346" s="374">
        <v>5</v>
      </c>
      <c r="I1346" s="375">
        <v>1.1499999999999999</v>
      </c>
      <c r="J1346" s="376">
        <f t="shared" si="146"/>
        <v>4.5999999999999996</v>
      </c>
      <c r="K1346" s="66">
        <f t="shared" si="167"/>
        <v>0.70839999999999992</v>
      </c>
      <c r="L1346" s="63">
        <f t="shared" si="168"/>
        <v>0</v>
      </c>
      <c r="M1346" s="63">
        <f t="shared" si="169"/>
        <v>0</v>
      </c>
      <c r="N1346" s="63">
        <f t="shared" si="170"/>
        <v>0</v>
      </c>
      <c r="O1346" s="63">
        <f t="shared" si="171"/>
        <v>0</v>
      </c>
      <c r="P1346" s="63">
        <f t="shared" si="172"/>
        <v>0</v>
      </c>
      <c r="Q1346" s="561">
        <f t="shared" si="145"/>
        <v>0</v>
      </c>
      <c r="R1346" s="174"/>
      <c r="T1346" s="82"/>
      <c r="U1346" s="82"/>
      <c r="V1346" s="82"/>
      <c r="W1346" s="82"/>
      <c r="X1346" s="82"/>
      <c r="Y1346" s="82"/>
      <c r="Z1346" s="82"/>
      <c r="AA1346" s="82"/>
      <c r="AB1346" s="82"/>
    </row>
    <row r="1347" spans="1:28" s="85" customFormat="1" x14ac:dyDescent="0.25">
      <c r="A1347" s="82"/>
      <c r="B1347" s="82"/>
      <c r="C1347" s="82"/>
      <c r="D1347" s="729"/>
      <c r="E1347" s="371" t="s">
        <v>49</v>
      </c>
      <c r="F1347" s="372">
        <v>26</v>
      </c>
      <c r="G1347" s="373">
        <v>6</v>
      </c>
      <c r="H1347" s="374">
        <v>5</v>
      </c>
      <c r="I1347" s="375">
        <v>0.75</v>
      </c>
      <c r="J1347" s="376">
        <f t="shared" si="146"/>
        <v>4.5</v>
      </c>
      <c r="K1347" s="66">
        <f t="shared" si="167"/>
        <v>0.69299999999999995</v>
      </c>
      <c r="L1347" s="63">
        <f t="shared" si="168"/>
        <v>0</v>
      </c>
      <c r="M1347" s="63">
        <f t="shared" si="169"/>
        <v>0</v>
      </c>
      <c r="N1347" s="63">
        <f t="shared" si="170"/>
        <v>0</v>
      </c>
      <c r="O1347" s="63">
        <f t="shared" si="171"/>
        <v>0</v>
      </c>
      <c r="P1347" s="63">
        <f t="shared" si="172"/>
        <v>0</v>
      </c>
      <c r="Q1347" s="561">
        <f t="shared" si="145"/>
        <v>0</v>
      </c>
      <c r="R1347" s="174"/>
      <c r="T1347" s="82"/>
      <c r="U1347" s="82"/>
      <c r="V1347" s="82"/>
      <c r="W1347" s="82"/>
      <c r="X1347" s="82"/>
      <c r="Y1347" s="82"/>
      <c r="Z1347" s="82"/>
      <c r="AA1347" s="82"/>
      <c r="AB1347" s="82"/>
    </row>
    <row r="1348" spans="1:28" s="85" customFormat="1" x14ac:dyDescent="0.25">
      <c r="A1348" s="82"/>
      <c r="B1348" s="82"/>
      <c r="C1348" s="82"/>
      <c r="D1348" s="729"/>
      <c r="E1348" s="371" t="s">
        <v>49</v>
      </c>
      <c r="F1348" s="372">
        <v>38</v>
      </c>
      <c r="G1348" s="373">
        <v>8</v>
      </c>
      <c r="H1348" s="374">
        <v>12.5</v>
      </c>
      <c r="I1348" s="375">
        <v>1.45</v>
      </c>
      <c r="J1348" s="376">
        <f t="shared" si="146"/>
        <v>11.6</v>
      </c>
      <c r="K1348" s="66">
        <f t="shared" si="167"/>
        <v>0</v>
      </c>
      <c r="L1348" s="63">
        <f t="shared" si="168"/>
        <v>0</v>
      </c>
      <c r="M1348" s="63">
        <f t="shared" si="169"/>
        <v>0</v>
      </c>
      <c r="N1348" s="63">
        <f t="shared" si="170"/>
        <v>0</v>
      </c>
      <c r="O1348" s="63">
        <f t="shared" si="171"/>
        <v>11.1708</v>
      </c>
      <c r="P1348" s="63">
        <f t="shared" si="172"/>
        <v>0</v>
      </c>
      <c r="Q1348" s="561">
        <f t="shared" si="145"/>
        <v>0</v>
      </c>
      <c r="R1348" s="174"/>
      <c r="T1348" s="82"/>
      <c r="U1348" s="82"/>
      <c r="V1348" s="82"/>
      <c r="W1348" s="82"/>
      <c r="X1348" s="82"/>
      <c r="Y1348" s="82"/>
      <c r="Z1348" s="82"/>
      <c r="AA1348" s="82"/>
      <c r="AB1348" s="82"/>
    </row>
    <row r="1349" spans="1:28" s="85" customFormat="1" x14ac:dyDescent="0.25">
      <c r="A1349" s="82"/>
      <c r="B1349" s="82"/>
      <c r="C1349" s="82"/>
      <c r="D1349" s="729"/>
      <c r="E1349" s="371" t="s">
        <v>113</v>
      </c>
      <c r="F1349" s="372">
        <v>4</v>
      </c>
      <c r="G1349" s="373">
        <v>42</v>
      </c>
      <c r="H1349" s="374">
        <v>5</v>
      </c>
      <c r="I1349" s="375">
        <v>0.28999999999999998</v>
      </c>
      <c r="J1349" s="376">
        <f t="shared" si="146"/>
        <v>12.18</v>
      </c>
      <c r="K1349" s="66">
        <f t="shared" si="167"/>
        <v>1.8757199999999998</v>
      </c>
      <c r="L1349" s="63">
        <f t="shared" si="168"/>
        <v>0</v>
      </c>
      <c r="M1349" s="63">
        <f t="shared" si="169"/>
        <v>0</v>
      </c>
      <c r="N1349" s="63">
        <f t="shared" si="170"/>
        <v>0</v>
      </c>
      <c r="O1349" s="63">
        <f t="shared" si="171"/>
        <v>0</v>
      </c>
      <c r="P1349" s="63">
        <f t="shared" si="172"/>
        <v>0</v>
      </c>
      <c r="Q1349" s="561">
        <f t="shared" si="145"/>
        <v>0</v>
      </c>
      <c r="R1349" s="174"/>
      <c r="T1349" s="82"/>
      <c r="U1349" s="82"/>
      <c r="V1349" s="82"/>
      <c r="W1349" s="82"/>
      <c r="X1349" s="82"/>
      <c r="Y1349" s="82"/>
      <c r="Z1349" s="82"/>
      <c r="AA1349" s="82"/>
      <c r="AB1349" s="82"/>
    </row>
    <row r="1350" spans="1:28" s="85" customFormat="1" x14ac:dyDescent="0.25">
      <c r="A1350" s="82"/>
      <c r="B1350" s="82"/>
      <c r="C1350" s="82"/>
      <c r="D1350" s="729"/>
      <c r="E1350" s="371" t="s">
        <v>113</v>
      </c>
      <c r="F1350" s="372">
        <v>13</v>
      </c>
      <c r="G1350" s="373">
        <v>17</v>
      </c>
      <c r="H1350" s="374">
        <v>5</v>
      </c>
      <c r="I1350" s="375">
        <v>1.27</v>
      </c>
      <c r="J1350" s="376">
        <f t="shared" si="146"/>
        <v>21.59</v>
      </c>
      <c r="K1350" s="66">
        <f t="shared" si="167"/>
        <v>3.3248600000000001</v>
      </c>
      <c r="L1350" s="63">
        <f t="shared" si="168"/>
        <v>0</v>
      </c>
      <c r="M1350" s="63">
        <f t="shared" si="169"/>
        <v>0</v>
      </c>
      <c r="N1350" s="63">
        <f t="shared" si="170"/>
        <v>0</v>
      </c>
      <c r="O1350" s="63">
        <f t="shared" si="171"/>
        <v>0</v>
      </c>
      <c r="P1350" s="63">
        <f t="shared" si="172"/>
        <v>0</v>
      </c>
      <c r="Q1350" s="561">
        <f t="shared" si="145"/>
        <v>0</v>
      </c>
      <c r="R1350" s="174"/>
      <c r="T1350" s="82"/>
      <c r="U1350" s="82"/>
      <c r="V1350" s="82"/>
      <c r="W1350" s="82"/>
      <c r="X1350" s="82"/>
      <c r="Y1350" s="82"/>
      <c r="Z1350" s="82"/>
      <c r="AA1350" s="82"/>
      <c r="AB1350" s="82"/>
    </row>
    <row r="1351" spans="1:28" s="85" customFormat="1" x14ac:dyDescent="0.25">
      <c r="A1351" s="82"/>
      <c r="B1351" s="82"/>
      <c r="C1351" s="82"/>
      <c r="D1351" s="729"/>
      <c r="E1351" s="371" t="s">
        <v>113</v>
      </c>
      <c r="F1351" s="372">
        <v>14</v>
      </c>
      <c r="G1351" s="373">
        <v>8</v>
      </c>
      <c r="H1351" s="374">
        <v>5</v>
      </c>
      <c r="I1351" s="375">
        <v>0.84</v>
      </c>
      <c r="J1351" s="376">
        <f t="shared" si="146"/>
        <v>6.72</v>
      </c>
      <c r="K1351" s="66">
        <f t="shared" si="167"/>
        <v>1.03488</v>
      </c>
      <c r="L1351" s="63">
        <f t="shared" si="168"/>
        <v>0</v>
      </c>
      <c r="M1351" s="63">
        <f t="shared" si="169"/>
        <v>0</v>
      </c>
      <c r="N1351" s="63">
        <f t="shared" si="170"/>
        <v>0</v>
      </c>
      <c r="O1351" s="63">
        <f t="shared" si="171"/>
        <v>0</v>
      </c>
      <c r="P1351" s="63">
        <f t="shared" si="172"/>
        <v>0</v>
      </c>
      <c r="Q1351" s="561">
        <f t="shared" si="145"/>
        <v>0</v>
      </c>
      <c r="R1351" s="174"/>
      <c r="T1351" s="82"/>
      <c r="U1351" s="82"/>
      <c r="V1351" s="82"/>
      <c r="W1351" s="82"/>
      <c r="X1351" s="82"/>
      <c r="Y1351" s="82"/>
      <c r="Z1351" s="82"/>
      <c r="AA1351" s="82"/>
      <c r="AB1351" s="82"/>
    </row>
    <row r="1352" spans="1:28" s="85" customFormat="1" x14ac:dyDescent="0.25">
      <c r="A1352" s="82"/>
      <c r="B1352" s="82"/>
      <c r="C1352" s="82"/>
      <c r="D1352" s="729"/>
      <c r="E1352" s="371" t="s">
        <v>113</v>
      </c>
      <c r="F1352" s="372">
        <v>17</v>
      </c>
      <c r="G1352" s="373">
        <v>8</v>
      </c>
      <c r="H1352" s="374">
        <v>12.5</v>
      </c>
      <c r="I1352" s="375">
        <v>3.42</v>
      </c>
      <c r="J1352" s="376">
        <f t="shared" si="146"/>
        <v>27.36</v>
      </c>
      <c r="K1352" s="66">
        <f t="shared" si="167"/>
        <v>0</v>
      </c>
      <c r="L1352" s="63">
        <f t="shared" si="168"/>
        <v>0</v>
      </c>
      <c r="M1352" s="63">
        <f t="shared" si="169"/>
        <v>0</v>
      </c>
      <c r="N1352" s="63">
        <f t="shared" si="170"/>
        <v>0</v>
      </c>
      <c r="O1352" s="63">
        <f t="shared" si="171"/>
        <v>26.347679999999997</v>
      </c>
      <c r="P1352" s="63">
        <f t="shared" si="172"/>
        <v>0</v>
      </c>
      <c r="Q1352" s="561">
        <f t="shared" si="145"/>
        <v>0</v>
      </c>
      <c r="R1352" s="174"/>
      <c r="T1352" s="82"/>
      <c r="U1352" s="82"/>
      <c r="V1352" s="82"/>
      <c r="W1352" s="82"/>
      <c r="X1352" s="82"/>
      <c r="Y1352" s="82"/>
      <c r="Z1352" s="82"/>
      <c r="AA1352" s="82"/>
      <c r="AB1352" s="82"/>
    </row>
    <row r="1353" spans="1:28" s="85" customFormat="1" x14ac:dyDescent="0.25">
      <c r="A1353" s="82"/>
      <c r="B1353" s="82"/>
      <c r="C1353" s="82"/>
      <c r="D1353" s="729"/>
      <c r="E1353" s="371" t="s">
        <v>113</v>
      </c>
      <c r="F1353" s="372">
        <v>7</v>
      </c>
      <c r="G1353" s="373">
        <v>10</v>
      </c>
      <c r="H1353" s="374">
        <v>8</v>
      </c>
      <c r="I1353" s="375">
        <v>0.85</v>
      </c>
      <c r="J1353" s="376">
        <f t="shared" si="146"/>
        <v>8.5</v>
      </c>
      <c r="K1353" s="66">
        <f t="shared" si="167"/>
        <v>0</v>
      </c>
      <c r="L1353" s="63">
        <f t="shared" si="168"/>
        <v>0</v>
      </c>
      <c r="M1353" s="63">
        <f t="shared" si="169"/>
        <v>3.3574999999999999</v>
      </c>
      <c r="N1353" s="63">
        <f t="shared" si="170"/>
        <v>0</v>
      </c>
      <c r="O1353" s="63">
        <f t="shared" si="171"/>
        <v>0</v>
      </c>
      <c r="P1353" s="63">
        <f t="shared" si="172"/>
        <v>0</v>
      </c>
      <c r="Q1353" s="561">
        <f t="shared" si="145"/>
        <v>0</v>
      </c>
      <c r="R1353" s="174"/>
      <c r="T1353" s="82"/>
      <c r="U1353" s="82"/>
      <c r="V1353" s="82"/>
      <c r="W1353" s="82"/>
      <c r="X1353" s="82"/>
      <c r="Y1353" s="82"/>
      <c r="Z1353" s="82"/>
      <c r="AA1353" s="82"/>
      <c r="AB1353" s="82"/>
    </row>
    <row r="1354" spans="1:28" s="85" customFormat="1" x14ac:dyDescent="0.25">
      <c r="A1354" s="82"/>
      <c r="B1354" s="82"/>
      <c r="C1354" s="82"/>
      <c r="D1354" s="729"/>
      <c r="E1354" s="371" t="s">
        <v>113</v>
      </c>
      <c r="F1354" s="372">
        <v>10</v>
      </c>
      <c r="G1354" s="373">
        <v>8</v>
      </c>
      <c r="H1354" s="374">
        <v>12.5</v>
      </c>
      <c r="I1354" s="375">
        <v>0.87</v>
      </c>
      <c r="J1354" s="376">
        <f t="shared" ref="J1354" si="180">G1354*I1354</f>
        <v>6.96</v>
      </c>
      <c r="K1354" s="66">
        <f t="shared" si="167"/>
        <v>0</v>
      </c>
      <c r="L1354" s="63">
        <f t="shared" si="168"/>
        <v>0</v>
      </c>
      <c r="M1354" s="63">
        <f t="shared" si="169"/>
        <v>0</v>
      </c>
      <c r="N1354" s="63">
        <f t="shared" si="170"/>
        <v>0</v>
      </c>
      <c r="O1354" s="63">
        <f t="shared" si="171"/>
        <v>6.7024799999999995</v>
      </c>
      <c r="P1354" s="63">
        <f t="shared" si="172"/>
        <v>0</v>
      </c>
      <c r="Q1354" s="561">
        <f t="shared" si="145"/>
        <v>0</v>
      </c>
      <c r="R1354" s="174"/>
      <c r="T1354" s="82"/>
      <c r="U1354" s="82"/>
      <c r="V1354" s="82"/>
      <c r="W1354" s="82"/>
      <c r="X1354" s="82"/>
      <c r="Y1354" s="82"/>
      <c r="Z1354" s="82"/>
      <c r="AA1354" s="82"/>
      <c r="AB1354" s="82"/>
    </row>
    <row r="1355" spans="1:28" s="85" customFormat="1" x14ac:dyDescent="0.25">
      <c r="A1355" s="82"/>
      <c r="B1355" s="82"/>
      <c r="C1355" s="82"/>
      <c r="D1355" s="729"/>
      <c r="E1355" s="396" t="s">
        <v>184</v>
      </c>
      <c r="F1355" s="403">
        <v>3</v>
      </c>
      <c r="G1355" s="397">
        <v>6</v>
      </c>
      <c r="H1355" s="398">
        <v>5</v>
      </c>
      <c r="I1355" s="399">
        <v>0.28999999999999998</v>
      </c>
      <c r="J1355" s="400">
        <f t="shared" si="146"/>
        <v>1.7399999999999998</v>
      </c>
      <c r="K1355" s="401">
        <f t="shared" si="167"/>
        <v>0.26795999999999998</v>
      </c>
      <c r="L1355" s="196">
        <f t="shared" si="168"/>
        <v>0</v>
      </c>
      <c r="M1355" s="196">
        <f t="shared" si="169"/>
        <v>0</v>
      </c>
      <c r="N1355" s="196">
        <f t="shared" si="170"/>
        <v>0</v>
      </c>
      <c r="O1355" s="196">
        <f t="shared" si="171"/>
        <v>0</v>
      </c>
      <c r="P1355" s="196">
        <f t="shared" si="172"/>
        <v>0</v>
      </c>
      <c r="Q1355" s="566">
        <f t="shared" si="145"/>
        <v>0</v>
      </c>
      <c r="R1355" s="538"/>
      <c r="T1355" s="82"/>
      <c r="U1355" s="82"/>
      <c r="V1355" s="82"/>
      <c r="W1355" s="82"/>
      <c r="X1355" s="82"/>
      <c r="Y1355" s="82"/>
      <c r="Z1355" s="82"/>
      <c r="AA1355" s="82"/>
      <c r="AB1355" s="82"/>
    </row>
    <row r="1356" spans="1:28" s="85" customFormat="1" x14ac:dyDescent="0.25">
      <c r="A1356" s="82"/>
      <c r="B1356" s="82"/>
      <c r="C1356" s="82"/>
      <c r="D1356" s="729"/>
      <c r="E1356" s="371" t="s">
        <v>184</v>
      </c>
      <c r="F1356" s="372">
        <v>6</v>
      </c>
      <c r="G1356" s="373">
        <v>6</v>
      </c>
      <c r="H1356" s="374">
        <v>5</v>
      </c>
      <c r="I1356" s="375">
        <v>0.84</v>
      </c>
      <c r="J1356" s="376">
        <f t="shared" si="146"/>
        <v>5.04</v>
      </c>
      <c r="K1356" s="66">
        <f t="shared" si="167"/>
        <v>0.77615999999999996</v>
      </c>
      <c r="L1356" s="63">
        <f t="shared" si="168"/>
        <v>0</v>
      </c>
      <c r="M1356" s="63">
        <f t="shared" si="169"/>
        <v>0</v>
      </c>
      <c r="N1356" s="63">
        <f t="shared" si="170"/>
        <v>0</v>
      </c>
      <c r="O1356" s="63">
        <f t="shared" si="171"/>
        <v>0</v>
      </c>
      <c r="P1356" s="63">
        <f t="shared" si="172"/>
        <v>0</v>
      </c>
      <c r="Q1356" s="562">
        <f t="shared" si="145"/>
        <v>0</v>
      </c>
      <c r="R1356" s="377"/>
      <c r="T1356" s="82"/>
      <c r="U1356" s="82"/>
      <c r="V1356" s="82"/>
      <c r="W1356" s="82"/>
      <c r="X1356" s="82"/>
      <c r="Y1356" s="82"/>
      <c r="Z1356" s="82"/>
      <c r="AA1356" s="82"/>
      <c r="AB1356" s="82"/>
    </row>
    <row r="1357" spans="1:28" s="85" customFormat="1" x14ac:dyDescent="0.25">
      <c r="A1357" s="82"/>
      <c r="B1357" s="82"/>
      <c r="C1357" s="82"/>
      <c r="D1357" s="729"/>
      <c r="E1357" s="371" t="s">
        <v>184</v>
      </c>
      <c r="F1357" s="372">
        <v>11</v>
      </c>
      <c r="G1357" s="373">
        <v>8</v>
      </c>
      <c r="H1357" s="374">
        <v>12.5</v>
      </c>
      <c r="I1357" s="375">
        <v>0.77</v>
      </c>
      <c r="J1357" s="376">
        <f t="shared" si="146"/>
        <v>6.16</v>
      </c>
      <c r="K1357" s="66">
        <f t="shared" si="167"/>
        <v>0</v>
      </c>
      <c r="L1357" s="63">
        <f t="shared" si="168"/>
        <v>0</v>
      </c>
      <c r="M1357" s="63">
        <f t="shared" si="169"/>
        <v>0</v>
      </c>
      <c r="N1357" s="63">
        <f t="shared" si="170"/>
        <v>0</v>
      </c>
      <c r="O1357" s="63">
        <f t="shared" si="171"/>
        <v>5.93208</v>
      </c>
      <c r="P1357" s="63">
        <f t="shared" si="172"/>
        <v>0</v>
      </c>
      <c r="Q1357" s="562">
        <f t="shared" si="145"/>
        <v>0</v>
      </c>
      <c r="R1357" s="377"/>
      <c r="T1357" s="82"/>
      <c r="U1357" s="82"/>
      <c r="V1357" s="82"/>
      <c r="W1357" s="82"/>
      <c r="X1357" s="82"/>
      <c r="Y1357" s="82"/>
      <c r="Z1357" s="82"/>
      <c r="AA1357" s="82"/>
      <c r="AB1357" s="82"/>
    </row>
    <row r="1358" spans="1:28" s="85" customFormat="1" x14ac:dyDescent="0.25">
      <c r="A1358" s="82"/>
      <c r="B1358" s="82"/>
      <c r="C1358" s="82"/>
      <c r="D1358" s="729"/>
      <c r="E1358" s="396" t="s">
        <v>184</v>
      </c>
      <c r="F1358" s="403">
        <v>6</v>
      </c>
      <c r="G1358" s="397">
        <v>10</v>
      </c>
      <c r="H1358" s="398">
        <v>5</v>
      </c>
      <c r="I1358" s="399">
        <v>0.28999999999999998</v>
      </c>
      <c r="J1358" s="400">
        <f t="shared" ref="J1358:J1360" si="181">G1358*I1358</f>
        <v>2.9</v>
      </c>
      <c r="K1358" s="401">
        <f t="shared" si="167"/>
        <v>0.4466</v>
      </c>
      <c r="L1358" s="196">
        <f t="shared" si="168"/>
        <v>0</v>
      </c>
      <c r="M1358" s="196">
        <f t="shared" si="169"/>
        <v>0</v>
      </c>
      <c r="N1358" s="196">
        <f t="shared" si="170"/>
        <v>0</v>
      </c>
      <c r="O1358" s="196">
        <f t="shared" si="171"/>
        <v>0</v>
      </c>
      <c r="P1358" s="196">
        <f t="shared" si="172"/>
        <v>0</v>
      </c>
      <c r="Q1358" s="566">
        <f t="shared" ref="Q1358:Q1360" si="182">IF($H1358=20,$J1358*$B$28,0)</f>
        <v>0</v>
      </c>
      <c r="R1358" s="538"/>
      <c r="T1358" s="82"/>
      <c r="U1358" s="82"/>
      <c r="V1358" s="82"/>
      <c r="W1358" s="82"/>
      <c r="X1358" s="82"/>
      <c r="Y1358" s="82"/>
      <c r="Z1358" s="82"/>
      <c r="AA1358" s="82"/>
      <c r="AB1358" s="82"/>
    </row>
    <row r="1359" spans="1:28" s="85" customFormat="1" x14ac:dyDescent="0.25">
      <c r="A1359" s="82"/>
      <c r="B1359" s="82"/>
      <c r="C1359" s="82"/>
      <c r="D1359" s="729"/>
      <c r="E1359" s="371" t="s">
        <v>184</v>
      </c>
      <c r="F1359" s="372">
        <v>7</v>
      </c>
      <c r="G1359" s="373">
        <v>4</v>
      </c>
      <c r="H1359" s="374">
        <v>5</v>
      </c>
      <c r="I1359" s="375">
        <v>1.27</v>
      </c>
      <c r="J1359" s="376">
        <f t="shared" si="181"/>
        <v>5.08</v>
      </c>
      <c r="K1359" s="66">
        <f t="shared" si="167"/>
        <v>0.78232000000000002</v>
      </c>
      <c r="L1359" s="63">
        <f t="shared" si="168"/>
        <v>0</v>
      </c>
      <c r="M1359" s="63">
        <f t="shared" si="169"/>
        <v>0</v>
      </c>
      <c r="N1359" s="63">
        <f t="shared" si="170"/>
        <v>0</v>
      </c>
      <c r="O1359" s="63">
        <f t="shared" si="171"/>
        <v>0</v>
      </c>
      <c r="P1359" s="63">
        <f t="shared" si="172"/>
        <v>0</v>
      </c>
      <c r="Q1359" s="562">
        <f t="shared" si="182"/>
        <v>0</v>
      </c>
      <c r="R1359" s="377"/>
      <c r="T1359" s="82"/>
      <c r="U1359" s="82"/>
      <c r="V1359" s="82"/>
      <c r="W1359" s="82"/>
      <c r="X1359" s="82"/>
      <c r="Y1359" s="82"/>
      <c r="Z1359" s="82"/>
      <c r="AA1359" s="82"/>
      <c r="AB1359" s="82"/>
    </row>
    <row r="1360" spans="1:28" s="85" customFormat="1" x14ac:dyDescent="0.25">
      <c r="A1360" s="82"/>
      <c r="B1360" s="82"/>
      <c r="C1360" s="82"/>
      <c r="D1360" s="729"/>
      <c r="E1360" s="371" t="s">
        <v>184</v>
      </c>
      <c r="F1360" s="372">
        <v>8</v>
      </c>
      <c r="G1360" s="373">
        <v>2</v>
      </c>
      <c r="H1360" s="374">
        <v>5</v>
      </c>
      <c r="I1360" s="375">
        <v>0.84</v>
      </c>
      <c r="J1360" s="376">
        <f t="shared" si="181"/>
        <v>1.68</v>
      </c>
      <c r="K1360" s="66">
        <f t="shared" si="167"/>
        <v>0.25872000000000001</v>
      </c>
      <c r="L1360" s="63">
        <f t="shared" si="168"/>
        <v>0</v>
      </c>
      <c r="M1360" s="63">
        <f t="shared" si="169"/>
        <v>0</v>
      </c>
      <c r="N1360" s="63">
        <f t="shared" si="170"/>
        <v>0</v>
      </c>
      <c r="O1360" s="63">
        <f t="shared" si="171"/>
        <v>0</v>
      </c>
      <c r="P1360" s="63">
        <f t="shared" si="172"/>
        <v>0</v>
      </c>
      <c r="Q1360" s="562">
        <f t="shared" si="182"/>
        <v>0</v>
      </c>
      <c r="R1360" s="377"/>
      <c r="T1360" s="82"/>
      <c r="U1360" s="82"/>
      <c r="V1360" s="82"/>
      <c r="W1360" s="82"/>
      <c r="X1360" s="82"/>
      <c r="Y1360" s="82"/>
      <c r="Z1360" s="82"/>
      <c r="AA1360" s="82"/>
      <c r="AB1360" s="82"/>
    </row>
    <row r="1361" spans="1:28" s="85" customFormat="1" ht="13.8" thickBot="1" x14ac:dyDescent="0.3">
      <c r="A1361" s="82"/>
      <c r="B1361" s="82"/>
      <c r="C1361" s="82"/>
      <c r="D1361" s="731"/>
      <c r="E1361" s="390" t="s">
        <v>184</v>
      </c>
      <c r="F1361" s="391">
        <v>22</v>
      </c>
      <c r="G1361" s="392">
        <v>8</v>
      </c>
      <c r="H1361" s="393">
        <v>12.5</v>
      </c>
      <c r="I1361" s="394">
        <v>0.67</v>
      </c>
      <c r="J1361" s="395">
        <f t="shared" si="146"/>
        <v>5.36</v>
      </c>
      <c r="K1361" s="221">
        <f t="shared" si="167"/>
        <v>0</v>
      </c>
      <c r="L1361" s="222">
        <f t="shared" si="168"/>
        <v>0</v>
      </c>
      <c r="M1361" s="222">
        <f t="shared" si="169"/>
        <v>0</v>
      </c>
      <c r="N1361" s="222">
        <f t="shared" si="170"/>
        <v>0</v>
      </c>
      <c r="O1361" s="222">
        <f t="shared" si="171"/>
        <v>5.1616800000000005</v>
      </c>
      <c r="P1361" s="222">
        <f t="shared" si="172"/>
        <v>0</v>
      </c>
      <c r="Q1361" s="564">
        <f t="shared" si="145"/>
        <v>0</v>
      </c>
      <c r="R1361" s="539"/>
      <c r="T1361" s="82"/>
      <c r="U1361" s="82"/>
      <c r="V1361" s="82"/>
      <c r="W1361" s="82"/>
      <c r="X1361" s="82"/>
      <c r="Y1361" s="82"/>
      <c r="Z1361" s="82"/>
      <c r="AA1361" s="82"/>
      <c r="AB1361" s="82"/>
    </row>
    <row r="1362" spans="1:28" s="85" customFormat="1" ht="13.8" thickTop="1" x14ac:dyDescent="0.25">
      <c r="A1362" s="82"/>
      <c r="B1362" s="82"/>
      <c r="C1362" s="82"/>
      <c r="D1362" s="728" t="s">
        <v>1804</v>
      </c>
      <c r="E1362" s="384" t="s">
        <v>49</v>
      </c>
      <c r="F1362" s="385">
        <v>18</v>
      </c>
      <c r="G1362" s="386">
        <f>2*18</f>
        <v>36</v>
      </c>
      <c r="H1362" s="387">
        <v>5</v>
      </c>
      <c r="I1362" s="388">
        <v>0.28999999999999998</v>
      </c>
      <c r="J1362" s="389">
        <f t="shared" si="146"/>
        <v>10.44</v>
      </c>
      <c r="K1362" s="218">
        <f t="shared" si="167"/>
        <v>1.6077599999999999</v>
      </c>
      <c r="L1362" s="219">
        <f t="shared" si="168"/>
        <v>0</v>
      </c>
      <c r="M1362" s="219">
        <f t="shared" si="169"/>
        <v>0</v>
      </c>
      <c r="N1362" s="219">
        <f t="shared" si="170"/>
        <v>0</v>
      </c>
      <c r="O1362" s="219">
        <f t="shared" si="171"/>
        <v>0</v>
      </c>
      <c r="P1362" s="219">
        <f t="shared" si="172"/>
        <v>0</v>
      </c>
      <c r="Q1362" s="563">
        <f t="shared" si="145"/>
        <v>0</v>
      </c>
      <c r="R1362" s="220"/>
      <c r="T1362" s="82"/>
      <c r="U1362" s="82"/>
      <c r="V1362" s="82"/>
      <c r="W1362" s="82"/>
      <c r="X1362" s="82"/>
      <c r="Y1362" s="82"/>
      <c r="Z1362" s="82"/>
      <c r="AA1362" s="82"/>
      <c r="AB1362" s="82"/>
    </row>
    <row r="1363" spans="1:28" s="85" customFormat="1" x14ac:dyDescent="0.25">
      <c r="A1363" s="82"/>
      <c r="B1363" s="82"/>
      <c r="C1363" s="82"/>
      <c r="D1363" s="729"/>
      <c r="E1363" s="371" t="s">
        <v>49</v>
      </c>
      <c r="F1363" s="372">
        <v>22</v>
      </c>
      <c r="G1363" s="373">
        <f>2*5</f>
        <v>10</v>
      </c>
      <c r="H1363" s="374">
        <v>5</v>
      </c>
      <c r="I1363" s="375">
        <v>1.47</v>
      </c>
      <c r="J1363" s="376">
        <f t="shared" si="146"/>
        <v>14.7</v>
      </c>
      <c r="K1363" s="66">
        <f t="shared" si="167"/>
        <v>2.2637999999999998</v>
      </c>
      <c r="L1363" s="63">
        <f t="shared" si="168"/>
        <v>0</v>
      </c>
      <c r="M1363" s="63">
        <f t="shared" si="169"/>
        <v>0</v>
      </c>
      <c r="N1363" s="63">
        <f t="shared" si="170"/>
        <v>0</v>
      </c>
      <c r="O1363" s="63">
        <f t="shared" si="171"/>
        <v>0</v>
      </c>
      <c r="P1363" s="63">
        <f t="shared" si="172"/>
        <v>0</v>
      </c>
      <c r="Q1363" s="561">
        <f t="shared" si="145"/>
        <v>0</v>
      </c>
      <c r="R1363" s="174"/>
      <c r="T1363" s="82"/>
      <c r="U1363" s="82"/>
      <c r="V1363" s="82"/>
      <c r="W1363" s="82"/>
      <c r="X1363" s="82"/>
      <c r="Y1363" s="82"/>
      <c r="Z1363" s="82"/>
      <c r="AA1363" s="82"/>
      <c r="AB1363" s="82"/>
    </row>
    <row r="1364" spans="1:28" s="85" customFormat="1" x14ac:dyDescent="0.25">
      <c r="A1364" s="82"/>
      <c r="B1364" s="82"/>
      <c r="C1364" s="82"/>
      <c r="D1364" s="729"/>
      <c r="E1364" s="371" t="s">
        <v>49</v>
      </c>
      <c r="F1364" s="372">
        <v>23</v>
      </c>
      <c r="G1364" s="373">
        <f>2*8</f>
        <v>16</v>
      </c>
      <c r="H1364" s="374">
        <v>5</v>
      </c>
      <c r="I1364" s="375">
        <v>0.94</v>
      </c>
      <c r="J1364" s="376">
        <f t="shared" si="146"/>
        <v>15.04</v>
      </c>
      <c r="K1364" s="66">
        <f t="shared" si="167"/>
        <v>2.31616</v>
      </c>
      <c r="L1364" s="63">
        <f t="shared" si="168"/>
        <v>0</v>
      </c>
      <c r="M1364" s="63">
        <f t="shared" si="169"/>
        <v>0</v>
      </c>
      <c r="N1364" s="63">
        <f t="shared" si="170"/>
        <v>0</v>
      </c>
      <c r="O1364" s="63">
        <f t="shared" si="171"/>
        <v>0</v>
      </c>
      <c r="P1364" s="63">
        <f t="shared" si="172"/>
        <v>0</v>
      </c>
      <c r="Q1364" s="561">
        <f t="shared" si="145"/>
        <v>0</v>
      </c>
      <c r="R1364" s="174"/>
      <c r="T1364" s="82"/>
      <c r="U1364" s="82"/>
      <c r="V1364" s="82"/>
      <c r="W1364" s="82"/>
      <c r="X1364" s="82"/>
      <c r="Y1364" s="82"/>
      <c r="Z1364" s="82"/>
      <c r="AA1364" s="82"/>
      <c r="AB1364" s="82"/>
    </row>
    <row r="1365" spans="1:28" s="85" customFormat="1" x14ac:dyDescent="0.25">
      <c r="A1365" s="82"/>
      <c r="B1365" s="82"/>
      <c r="C1365" s="82"/>
      <c r="D1365" s="729"/>
      <c r="E1365" s="371" t="s">
        <v>49</v>
      </c>
      <c r="F1365" s="372">
        <v>34</v>
      </c>
      <c r="G1365" s="373">
        <f>2*8</f>
        <v>16</v>
      </c>
      <c r="H1365" s="374">
        <v>10</v>
      </c>
      <c r="I1365" s="375">
        <v>1.37</v>
      </c>
      <c r="J1365" s="376">
        <f t="shared" si="146"/>
        <v>21.92</v>
      </c>
      <c r="K1365" s="66">
        <f t="shared" si="167"/>
        <v>0</v>
      </c>
      <c r="L1365" s="63">
        <f t="shared" si="168"/>
        <v>0</v>
      </c>
      <c r="M1365" s="63">
        <f t="shared" si="169"/>
        <v>0</v>
      </c>
      <c r="N1365" s="63">
        <f t="shared" si="170"/>
        <v>13.524640000000002</v>
      </c>
      <c r="O1365" s="63">
        <f t="shared" si="171"/>
        <v>0</v>
      </c>
      <c r="P1365" s="63">
        <f t="shared" si="172"/>
        <v>0</v>
      </c>
      <c r="Q1365" s="561">
        <f t="shared" si="145"/>
        <v>0</v>
      </c>
      <c r="R1365" s="174"/>
      <c r="T1365" s="82"/>
      <c r="U1365" s="82"/>
      <c r="V1365" s="82"/>
      <c r="W1365" s="82"/>
      <c r="X1365" s="82"/>
      <c r="Y1365" s="82"/>
      <c r="Z1365" s="82"/>
      <c r="AA1365" s="82"/>
      <c r="AB1365" s="82"/>
    </row>
    <row r="1366" spans="1:28" s="85" customFormat="1" x14ac:dyDescent="0.25">
      <c r="A1366" s="82"/>
      <c r="B1366" s="82"/>
      <c r="C1366" s="82"/>
      <c r="D1366" s="729"/>
      <c r="E1366" s="371" t="s">
        <v>113</v>
      </c>
      <c r="F1366" s="372">
        <v>5</v>
      </c>
      <c r="G1366" s="373">
        <f>2*52</f>
        <v>104</v>
      </c>
      <c r="H1366" s="374">
        <v>5</v>
      </c>
      <c r="I1366" s="375">
        <v>0.28999999999999998</v>
      </c>
      <c r="J1366" s="376">
        <f t="shared" si="146"/>
        <v>30.159999999999997</v>
      </c>
      <c r="K1366" s="66">
        <f t="shared" si="167"/>
        <v>4.644639999999999</v>
      </c>
      <c r="L1366" s="63">
        <f t="shared" si="168"/>
        <v>0</v>
      </c>
      <c r="M1366" s="63">
        <f t="shared" si="169"/>
        <v>0</v>
      </c>
      <c r="N1366" s="63">
        <f t="shared" si="170"/>
        <v>0</v>
      </c>
      <c r="O1366" s="63">
        <f t="shared" si="171"/>
        <v>0</v>
      </c>
      <c r="P1366" s="63">
        <f t="shared" si="172"/>
        <v>0</v>
      </c>
      <c r="Q1366" s="561">
        <f t="shared" si="145"/>
        <v>0</v>
      </c>
      <c r="R1366" s="174"/>
      <c r="T1366" s="82"/>
      <c r="U1366" s="82"/>
      <c r="V1366" s="82"/>
      <c r="W1366" s="82"/>
      <c r="X1366" s="82"/>
      <c r="Y1366" s="82"/>
      <c r="Z1366" s="82"/>
      <c r="AA1366" s="82"/>
      <c r="AB1366" s="82"/>
    </row>
    <row r="1367" spans="1:28" s="85" customFormat="1" x14ac:dyDescent="0.25">
      <c r="A1367" s="82"/>
      <c r="B1367" s="82"/>
      <c r="C1367" s="82"/>
      <c r="D1367" s="729"/>
      <c r="E1367" s="371" t="s">
        <v>113</v>
      </c>
      <c r="F1367" s="372">
        <v>11</v>
      </c>
      <c r="G1367" s="373">
        <f>2*21</f>
        <v>42</v>
      </c>
      <c r="H1367" s="374">
        <v>5</v>
      </c>
      <c r="I1367" s="375">
        <v>1.47</v>
      </c>
      <c r="J1367" s="376">
        <f t="shared" si="146"/>
        <v>61.74</v>
      </c>
      <c r="K1367" s="66">
        <f t="shared" si="167"/>
        <v>9.5079600000000006</v>
      </c>
      <c r="L1367" s="63">
        <f t="shared" si="168"/>
        <v>0</v>
      </c>
      <c r="M1367" s="63">
        <f t="shared" si="169"/>
        <v>0</v>
      </c>
      <c r="N1367" s="63">
        <f t="shared" si="170"/>
        <v>0</v>
      </c>
      <c r="O1367" s="63">
        <f t="shared" si="171"/>
        <v>0</v>
      </c>
      <c r="P1367" s="63">
        <f t="shared" si="172"/>
        <v>0</v>
      </c>
      <c r="Q1367" s="561">
        <f t="shared" si="145"/>
        <v>0</v>
      </c>
      <c r="R1367" s="174"/>
      <c r="T1367" s="82"/>
      <c r="U1367" s="82"/>
      <c r="V1367" s="82"/>
      <c r="W1367" s="82"/>
      <c r="X1367" s="82"/>
      <c r="Y1367" s="82"/>
      <c r="Z1367" s="82"/>
      <c r="AA1367" s="82"/>
      <c r="AB1367" s="82"/>
    </row>
    <row r="1368" spans="1:28" s="85" customFormat="1" x14ac:dyDescent="0.25">
      <c r="A1368" s="82"/>
      <c r="B1368" s="82"/>
      <c r="C1368" s="82"/>
      <c r="D1368" s="729"/>
      <c r="E1368" s="371" t="s">
        <v>113</v>
      </c>
      <c r="F1368" s="372">
        <v>12</v>
      </c>
      <c r="G1368" s="373">
        <f>2*10</f>
        <v>20</v>
      </c>
      <c r="H1368" s="374">
        <v>5</v>
      </c>
      <c r="I1368" s="375">
        <v>0.94</v>
      </c>
      <c r="J1368" s="376">
        <f t="shared" si="146"/>
        <v>18.799999999999997</v>
      </c>
      <c r="K1368" s="66">
        <f t="shared" si="167"/>
        <v>2.8951999999999996</v>
      </c>
      <c r="L1368" s="63">
        <f t="shared" si="168"/>
        <v>0</v>
      </c>
      <c r="M1368" s="63">
        <f t="shared" si="169"/>
        <v>0</v>
      </c>
      <c r="N1368" s="63">
        <f t="shared" si="170"/>
        <v>0</v>
      </c>
      <c r="O1368" s="63">
        <f t="shared" si="171"/>
        <v>0</v>
      </c>
      <c r="P1368" s="63">
        <f t="shared" si="172"/>
        <v>0</v>
      </c>
      <c r="Q1368" s="561">
        <f t="shared" si="145"/>
        <v>0</v>
      </c>
      <c r="R1368" s="174"/>
      <c r="T1368" s="82"/>
      <c r="U1368" s="82"/>
      <c r="V1368" s="82"/>
      <c r="W1368" s="82"/>
      <c r="X1368" s="82"/>
      <c r="Y1368" s="82"/>
      <c r="Z1368" s="82"/>
      <c r="AA1368" s="82"/>
      <c r="AB1368" s="82"/>
    </row>
    <row r="1369" spans="1:28" s="85" customFormat="1" x14ac:dyDescent="0.25">
      <c r="A1369" s="82"/>
      <c r="B1369" s="82"/>
      <c r="C1369" s="82"/>
      <c r="D1369" s="729"/>
      <c r="E1369" s="371" t="s">
        <v>113</v>
      </c>
      <c r="F1369" s="372">
        <v>15</v>
      </c>
      <c r="G1369" s="373">
        <f>2*8</f>
        <v>16</v>
      </c>
      <c r="H1369" s="374">
        <v>10</v>
      </c>
      <c r="I1369" s="375">
        <v>3.33</v>
      </c>
      <c r="J1369" s="376">
        <f t="shared" si="146"/>
        <v>53.28</v>
      </c>
      <c r="K1369" s="66">
        <f t="shared" si="167"/>
        <v>0</v>
      </c>
      <c r="L1369" s="63">
        <f t="shared" si="168"/>
        <v>0</v>
      </c>
      <c r="M1369" s="63">
        <f t="shared" si="169"/>
        <v>0</v>
      </c>
      <c r="N1369" s="63">
        <f t="shared" si="170"/>
        <v>32.873759999999997</v>
      </c>
      <c r="O1369" s="63">
        <f t="shared" si="171"/>
        <v>0</v>
      </c>
      <c r="P1369" s="63">
        <f t="shared" si="172"/>
        <v>0</v>
      </c>
      <c r="Q1369" s="561">
        <f t="shared" si="145"/>
        <v>0</v>
      </c>
      <c r="R1369" s="174"/>
      <c r="T1369" s="82"/>
      <c r="U1369" s="82"/>
      <c r="V1369" s="82"/>
      <c r="W1369" s="82"/>
      <c r="X1369" s="82"/>
      <c r="Y1369" s="82"/>
      <c r="Z1369" s="82"/>
      <c r="AA1369" s="82"/>
      <c r="AB1369" s="82"/>
    </row>
    <row r="1370" spans="1:28" s="85" customFormat="1" x14ac:dyDescent="0.25">
      <c r="A1370" s="82"/>
      <c r="B1370" s="82"/>
      <c r="C1370" s="82"/>
      <c r="D1370" s="729"/>
      <c r="E1370" s="371" t="s">
        <v>113</v>
      </c>
      <c r="F1370" s="372">
        <v>2</v>
      </c>
      <c r="G1370" s="373">
        <f>2*8</f>
        <v>16</v>
      </c>
      <c r="H1370" s="374">
        <v>5</v>
      </c>
      <c r="I1370" s="375">
        <v>0.28999999999999998</v>
      </c>
      <c r="J1370" s="376">
        <f t="shared" ref="J1370" si="183">G1370*I1370</f>
        <v>4.6399999999999997</v>
      </c>
      <c r="K1370" s="66">
        <f t="shared" si="167"/>
        <v>0.71455999999999997</v>
      </c>
      <c r="L1370" s="63">
        <f t="shared" si="168"/>
        <v>0</v>
      </c>
      <c r="M1370" s="63">
        <f t="shared" si="169"/>
        <v>0</v>
      </c>
      <c r="N1370" s="63">
        <f t="shared" si="170"/>
        <v>0</v>
      </c>
      <c r="O1370" s="63">
        <f t="shared" si="171"/>
        <v>0</v>
      </c>
      <c r="P1370" s="63">
        <f t="shared" si="172"/>
        <v>0</v>
      </c>
      <c r="Q1370" s="561">
        <f t="shared" si="145"/>
        <v>0</v>
      </c>
      <c r="R1370" s="174"/>
      <c r="T1370" s="82"/>
      <c r="U1370" s="82"/>
      <c r="V1370" s="82"/>
      <c r="W1370" s="82"/>
      <c r="X1370" s="82"/>
      <c r="Y1370" s="82"/>
      <c r="Z1370" s="82"/>
      <c r="AA1370" s="82"/>
      <c r="AB1370" s="82"/>
    </row>
    <row r="1371" spans="1:28" s="85" customFormat="1" x14ac:dyDescent="0.25">
      <c r="A1371" s="82"/>
      <c r="B1371" s="82"/>
      <c r="C1371" s="82"/>
      <c r="D1371" s="729"/>
      <c r="E1371" s="371" t="s">
        <v>113</v>
      </c>
      <c r="F1371" s="372">
        <v>4</v>
      </c>
      <c r="G1371" s="373">
        <f>2*8</f>
        <v>16</v>
      </c>
      <c r="H1371" s="374">
        <v>5</v>
      </c>
      <c r="I1371" s="375">
        <v>0.94</v>
      </c>
      <c r="J1371" s="376">
        <f t="shared" si="146"/>
        <v>15.04</v>
      </c>
      <c r="K1371" s="66">
        <f t="shared" si="167"/>
        <v>2.31616</v>
      </c>
      <c r="L1371" s="63">
        <f t="shared" si="168"/>
        <v>0</v>
      </c>
      <c r="M1371" s="63">
        <f t="shared" si="169"/>
        <v>0</v>
      </c>
      <c r="N1371" s="63">
        <f t="shared" si="170"/>
        <v>0</v>
      </c>
      <c r="O1371" s="63">
        <f t="shared" si="171"/>
        <v>0</v>
      </c>
      <c r="P1371" s="63">
        <f t="shared" si="172"/>
        <v>0</v>
      </c>
      <c r="Q1371" s="561">
        <f t="shared" si="145"/>
        <v>0</v>
      </c>
      <c r="R1371" s="174"/>
      <c r="T1371" s="82"/>
      <c r="U1371" s="82"/>
      <c r="V1371" s="82"/>
      <c r="W1371" s="82"/>
      <c r="X1371" s="82"/>
      <c r="Y1371" s="82"/>
      <c r="Z1371" s="82"/>
      <c r="AA1371" s="82"/>
      <c r="AB1371" s="82"/>
    </row>
    <row r="1372" spans="1:28" s="85" customFormat="1" x14ac:dyDescent="0.25">
      <c r="A1372" s="82"/>
      <c r="B1372" s="82"/>
      <c r="C1372" s="82"/>
      <c r="D1372" s="729"/>
      <c r="E1372" s="371" t="s">
        <v>113</v>
      </c>
      <c r="F1372" s="372">
        <v>8</v>
      </c>
      <c r="G1372" s="373">
        <f>2*8</f>
        <v>16</v>
      </c>
      <c r="H1372" s="374">
        <v>10</v>
      </c>
      <c r="I1372" s="375">
        <v>0.78</v>
      </c>
      <c r="J1372" s="376">
        <f t="shared" ref="J1372" si="184">G1372*I1372</f>
        <v>12.48</v>
      </c>
      <c r="K1372" s="66">
        <f t="shared" si="167"/>
        <v>0</v>
      </c>
      <c r="L1372" s="63">
        <f t="shared" si="168"/>
        <v>0</v>
      </c>
      <c r="M1372" s="63">
        <f t="shared" si="169"/>
        <v>0</v>
      </c>
      <c r="N1372" s="63">
        <f t="shared" si="170"/>
        <v>7.7001600000000003</v>
      </c>
      <c r="O1372" s="63">
        <f t="shared" si="171"/>
        <v>0</v>
      </c>
      <c r="P1372" s="63">
        <f t="shared" si="172"/>
        <v>0</v>
      </c>
      <c r="Q1372" s="561">
        <f t="shared" si="145"/>
        <v>0</v>
      </c>
      <c r="R1372" s="174"/>
      <c r="T1372" s="82"/>
      <c r="U1372" s="82"/>
      <c r="V1372" s="82"/>
      <c r="W1372" s="82"/>
      <c r="X1372" s="82"/>
      <c r="Y1372" s="82"/>
      <c r="Z1372" s="82"/>
      <c r="AA1372" s="82"/>
      <c r="AB1372" s="82"/>
    </row>
    <row r="1373" spans="1:28" s="85" customFormat="1" x14ac:dyDescent="0.25">
      <c r="A1373" s="82"/>
      <c r="B1373" s="82"/>
      <c r="C1373" s="82"/>
      <c r="D1373" s="729"/>
      <c r="E1373" s="396" t="s">
        <v>184</v>
      </c>
      <c r="F1373" s="403">
        <v>4</v>
      </c>
      <c r="G1373" s="397">
        <f>2*6</f>
        <v>12</v>
      </c>
      <c r="H1373" s="398">
        <v>5</v>
      </c>
      <c r="I1373" s="399">
        <v>0.28999999999999998</v>
      </c>
      <c r="J1373" s="400">
        <f t="shared" si="146"/>
        <v>3.4799999999999995</v>
      </c>
      <c r="K1373" s="401">
        <f t="shared" si="167"/>
        <v>0.53591999999999995</v>
      </c>
      <c r="L1373" s="196">
        <f t="shared" si="168"/>
        <v>0</v>
      </c>
      <c r="M1373" s="196">
        <f t="shared" si="169"/>
        <v>0</v>
      </c>
      <c r="N1373" s="196">
        <f t="shared" si="170"/>
        <v>0</v>
      </c>
      <c r="O1373" s="196">
        <f t="shared" si="171"/>
        <v>0</v>
      </c>
      <c r="P1373" s="196">
        <f t="shared" si="172"/>
        <v>0</v>
      </c>
      <c r="Q1373" s="566">
        <f t="shared" si="145"/>
        <v>0</v>
      </c>
      <c r="R1373" s="538"/>
      <c r="T1373" s="82"/>
      <c r="U1373" s="82"/>
      <c r="V1373" s="82"/>
      <c r="W1373" s="82"/>
      <c r="X1373" s="82"/>
      <c r="Y1373" s="82"/>
      <c r="Z1373" s="82"/>
      <c r="AA1373" s="82"/>
      <c r="AB1373" s="82"/>
    </row>
    <row r="1374" spans="1:28" s="85" customFormat="1" x14ac:dyDescent="0.25">
      <c r="A1374" s="82"/>
      <c r="B1374" s="82"/>
      <c r="C1374" s="82"/>
      <c r="D1374" s="729"/>
      <c r="E1374" s="371" t="s">
        <v>184</v>
      </c>
      <c r="F1374" s="372">
        <v>5</v>
      </c>
      <c r="G1374" s="373">
        <f>2*3</f>
        <v>6</v>
      </c>
      <c r="H1374" s="374">
        <v>5</v>
      </c>
      <c r="I1374" s="375">
        <v>1.47</v>
      </c>
      <c r="J1374" s="376">
        <f t="shared" si="146"/>
        <v>8.82</v>
      </c>
      <c r="K1374" s="66">
        <f t="shared" si="167"/>
        <v>1.3582799999999999</v>
      </c>
      <c r="L1374" s="63">
        <f t="shared" si="168"/>
        <v>0</v>
      </c>
      <c r="M1374" s="63">
        <f t="shared" si="169"/>
        <v>0</v>
      </c>
      <c r="N1374" s="63">
        <f t="shared" si="170"/>
        <v>0</v>
      </c>
      <c r="O1374" s="63">
        <f t="shared" si="171"/>
        <v>0</v>
      </c>
      <c r="P1374" s="63">
        <f t="shared" si="172"/>
        <v>0</v>
      </c>
      <c r="Q1374" s="562">
        <f t="shared" si="145"/>
        <v>0</v>
      </c>
      <c r="R1374" s="377"/>
      <c r="T1374" s="82"/>
      <c r="U1374" s="82"/>
      <c r="V1374" s="82"/>
      <c r="W1374" s="82"/>
      <c r="X1374" s="82"/>
      <c r="Y1374" s="82"/>
      <c r="Z1374" s="82"/>
      <c r="AA1374" s="82"/>
      <c r="AB1374" s="82"/>
    </row>
    <row r="1375" spans="1:28" s="85" customFormat="1" x14ac:dyDescent="0.25">
      <c r="A1375" s="82"/>
      <c r="B1375" s="82"/>
      <c r="C1375" s="82"/>
      <c r="D1375" s="729"/>
      <c r="E1375" s="371" t="s">
        <v>184</v>
      </c>
      <c r="F1375" s="372">
        <v>9</v>
      </c>
      <c r="G1375" s="373">
        <f>2*8</f>
        <v>16</v>
      </c>
      <c r="H1375" s="374">
        <v>10</v>
      </c>
      <c r="I1375" s="375">
        <v>0.68</v>
      </c>
      <c r="J1375" s="376">
        <f t="shared" si="146"/>
        <v>10.88</v>
      </c>
      <c r="K1375" s="66">
        <f t="shared" si="167"/>
        <v>0</v>
      </c>
      <c r="L1375" s="63">
        <f t="shared" si="168"/>
        <v>0</v>
      </c>
      <c r="M1375" s="63">
        <f t="shared" si="169"/>
        <v>0</v>
      </c>
      <c r="N1375" s="63">
        <f t="shared" si="170"/>
        <v>6.7129600000000007</v>
      </c>
      <c r="O1375" s="63">
        <f t="shared" si="171"/>
        <v>0</v>
      </c>
      <c r="P1375" s="63">
        <f t="shared" si="172"/>
        <v>0</v>
      </c>
      <c r="Q1375" s="562">
        <f t="shared" si="145"/>
        <v>0</v>
      </c>
      <c r="R1375" s="377"/>
      <c r="T1375" s="82"/>
      <c r="U1375" s="82"/>
      <c r="V1375" s="82"/>
      <c r="W1375" s="82"/>
      <c r="X1375" s="82"/>
      <c r="Y1375" s="82"/>
      <c r="Z1375" s="82"/>
      <c r="AA1375" s="82"/>
      <c r="AB1375" s="82"/>
    </row>
    <row r="1376" spans="1:28" s="85" customFormat="1" x14ac:dyDescent="0.25">
      <c r="A1376" s="82"/>
      <c r="B1376" s="82"/>
      <c r="C1376" s="82"/>
      <c r="D1376" s="729"/>
      <c r="E1376" s="396" t="s">
        <v>184</v>
      </c>
      <c r="F1376" s="403">
        <v>1</v>
      </c>
      <c r="G1376" s="397">
        <f>2*14</f>
        <v>28</v>
      </c>
      <c r="H1376" s="398">
        <v>5</v>
      </c>
      <c r="I1376" s="399">
        <v>0.28999999999999998</v>
      </c>
      <c r="J1376" s="400">
        <f t="shared" ref="J1376:J1378" si="185">G1376*I1376</f>
        <v>8.1199999999999992</v>
      </c>
      <c r="K1376" s="401">
        <f t="shared" si="167"/>
        <v>1.2504799999999998</v>
      </c>
      <c r="L1376" s="196">
        <f t="shared" si="168"/>
        <v>0</v>
      </c>
      <c r="M1376" s="196">
        <f t="shared" si="169"/>
        <v>0</v>
      </c>
      <c r="N1376" s="196">
        <f t="shared" si="170"/>
        <v>0</v>
      </c>
      <c r="O1376" s="196">
        <f t="shared" si="171"/>
        <v>0</v>
      </c>
      <c r="P1376" s="196">
        <f t="shared" si="172"/>
        <v>0</v>
      </c>
      <c r="Q1376" s="566">
        <f t="shared" ref="Q1376:Q1378" si="186">IF($H1376=20,$J1376*$B$28,0)</f>
        <v>0</v>
      </c>
      <c r="R1376" s="538"/>
      <c r="T1376" s="82"/>
      <c r="U1376" s="82"/>
      <c r="V1376" s="82"/>
      <c r="W1376" s="82"/>
      <c r="X1376" s="82"/>
      <c r="Y1376" s="82"/>
      <c r="Z1376" s="82"/>
      <c r="AA1376" s="82"/>
      <c r="AB1376" s="82"/>
    </row>
    <row r="1377" spans="1:28" s="85" customFormat="1" x14ac:dyDescent="0.25">
      <c r="A1377" s="82"/>
      <c r="B1377" s="82"/>
      <c r="C1377" s="82"/>
      <c r="D1377" s="729"/>
      <c r="E1377" s="371" t="s">
        <v>184</v>
      </c>
      <c r="F1377" s="372">
        <v>4</v>
      </c>
      <c r="G1377" s="373">
        <f>2*5</f>
        <v>10</v>
      </c>
      <c r="H1377" s="374">
        <v>5</v>
      </c>
      <c r="I1377" s="375">
        <v>1.47</v>
      </c>
      <c r="J1377" s="376">
        <f t="shared" si="185"/>
        <v>14.7</v>
      </c>
      <c r="K1377" s="66">
        <f t="shared" si="167"/>
        <v>2.2637999999999998</v>
      </c>
      <c r="L1377" s="63">
        <f t="shared" si="168"/>
        <v>0</v>
      </c>
      <c r="M1377" s="63">
        <f t="shared" si="169"/>
        <v>0</v>
      </c>
      <c r="N1377" s="63">
        <f t="shared" si="170"/>
        <v>0</v>
      </c>
      <c r="O1377" s="63">
        <f t="shared" si="171"/>
        <v>0</v>
      </c>
      <c r="P1377" s="63">
        <f t="shared" si="172"/>
        <v>0</v>
      </c>
      <c r="Q1377" s="562">
        <f t="shared" si="186"/>
        <v>0</v>
      </c>
      <c r="R1377" s="377"/>
      <c r="T1377" s="82"/>
      <c r="U1377" s="82"/>
      <c r="V1377" s="82"/>
      <c r="W1377" s="82"/>
      <c r="X1377" s="82"/>
      <c r="Y1377" s="82"/>
      <c r="Z1377" s="82"/>
      <c r="AA1377" s="82"/>
      <c r="AB1377" s="82"/>
    </row>
    <row r="1378" spans="1:28" s="85" customFormat="1" x14ac:dyDescent="0.25">
      <c r="A1378" s="82"/>
      <c r="B1378" s="82"/>
      <c r="C1378" s="82"/>
      <c r="D1378" s="729"/>
      <c r="E1378" s="371" t="s">
        <v>184</v>
      </c>
      <c r="F1378" s="372">
        <v>5</v>
      </c>
      <c r="G1378" s="373">
        <f>2*4</f>
        <v>8</v>
      </c>
      <c r="H1378" s="374">
        <v>5</v>
      </c>
      <c r="I1378" s="375">
        <v>0.94</v>
      </c>
      <c r="J1378" s="376">
        <f t="shared" si="185"/>
        <v>7.52</v>
      </c>
      <c r="K1378" s="66">
        <f t="shared" si="167"/>
        <v>1.15808</v>
      </c>
      <c r="L1378" s="63">
        <f t="shared" si="168"/>
        <v>0</v>
      </c>
      <c r="M1378" s="63">
        <f t="shared" si="169"/>
        <v>0</v>
      </c>
      <c r="N1378" s="63">
        <f t="shared" si="170"/>
        <v>0</v>
      </c>
      <c r="O1378" s="63">
        <f t="shared" si="171"/>
        <v>0</v>
      </c>
      <c r="P1378" s="63">
        <f t="shared" si="172"/>
        <v>0</v>
      </c>
      <c r="Q1378" s="562">
        <f t="shared" si="186"/>
        <v>0</v>
      </c>
      <c r="R1378" s="377"/>
      <c r="T1378" s="82"/>
      <c r="U1378" s="82"/>
      <c r="V1378" s="82"/>
      <c r="W1378" s="82"/>
      <c r="X1378" s="82"/>
      <c r="Y1378" s="82"/>
      <c r="Z1378" s="82"/>
      <c r="AA1378" s="82"/>
      <c r="AB1378" s="82"/>
    </row>
    <row r="1379" spans="1:28" s="85" customFormat="1" ht="13.8" thickBot="1" x14ac:dyDescent="0.3">
      <c r="A1379" s="82"/>
      <c r="B1379" s="82"/>
      <c r="C1379" s="82"/>
      <c r="D1379" s="731"/>
      <c r="E1379" s="390" t="s">
        <v>184</v>
      </c>
      <c r="F1379" s="391">
        <v>21</v>
      </c>
      <c r="G1379" s="392">
        <f>2*8</f>
        <v>16</v>
      </c>
      <c r="H1379" s="393">
        <v>10</v>
      </c>
      <c r="I1379" s="394">
        <v>0.67</v>
      </c>
      <c r="J1379" s="395">
        <f t="shared" si="146"/>
        <v>10.72</v>
      </c>
      <c r="K1379" s="221">
        <f t="shared" si="167"/>
        <v>0</v>
      </c>
      <c r="L1379" s="222">
        <f t="shared" si="168"/>
        <v>0</v>
      </c>
      <c r="M1379" s="222">
        <f t="shared" si="169"/>
        <v>0</v>
      </c>
      <c r="N1379" s="222">
        <f t="shared" si="170"/>
        <v>6.6142400000000006</v>
      </c>
      <c r="O1379" s="222">
        <f t="shared" si="171"/>
        <v>0</v>
      </c>
      <c r="P1379" s="222">
        <f t="shared" si="172"/>
        <v>0</v>
      </c>
      <c r="Q1379" s="564">
        <f t="shared" si="145"/>
        <v>0</v>
      </c>
      <c r="R1379" s="539"/>
      <c r="T1379" s="82"/>
      <c r="U1379" s="82"/>
      <c r="V1379" s="82"/>
      <c r="W1379" s="82"/>
      <c r="X1379" s="82"/>
      <c r="Y1379" s="82"/>
      <c r="Z1379" s="82"/>
      <c r="AA1379" s="82"/>
      <c r="AB1379" s="82"/>
    </row>
    <row r="1380" spans="1:28" s="85" customFormat="1" ht="13.8" thickTop="1" x14ac:dyDescent="0.25">
      <c r="A1380" s="82"/>
      <c r="B1380" s="82"/>
      <c r="C1380" s="82"/>
      <c r="D1380" s="728" t="s">
        <v>1805</v>
      </c>
      <c r="E1380" s="384" t="s">
        <v>49</v>
      </c>
      <c r="F1380" s="385">
        <v>18</v>
      </c>
      <c r="G1380" s="386">
        <f>2*18</f>
        <v>36</v>
      </c>
      <c r="H1380" s="387">
        <v>5</v>
      </c>
      <c r="I1380" s="388">
        <v>0.28999999999999998</v>
      </c>
      <c r="J1380" s="389">
        <f t="shared" si="146"/>
        <v>10.44</v>
      </c>
      <c r="K1380" s="218">
        <f t="shared" si="167"/>
        <v>1.6077599999999999</v>
      </c>
      <c r="L1380" s="219">
        <f t="shared" si="168"/>
        <v>0</v>
      </c>
      <c r="M1380" s="219">
        <f t="shared" si="169"/>
        <v>0</v>
      </c>
      <c r="N1380" s="219">
        <f t="shared" si="170"/>
        <v>0</v>
      </c>
      <c r="O1380" s="219">
        <f t="shared" si="171"/>
        <v>0</v>
      </c>
      <c r="P1380" s="219">
        <f t="shared" si="172"/>
        <v>0</v>
      </c>
      <c r="Q1380" s="563">
        <f t="shared" si="145"/>
        <v>0</v>
      </c>
      <c r="R1380" s="220"/>
      <c r="T1380" s="82"/>
      <c r="U1380" s="82"/>
      <c r="V1380" s="82"/>
      <c r="W1380" s="82"/>
      <c r="X1380" s="82"/>
      <c r="Y1380" s="82"/>
      <c r="Z1380" s="82"/>
      <c r="AA1380" s="82"/>
      <c r="AB1380" s="82"/>
    </row>
    <row r="1381" spans="1:28" s="85" customFormat="1" x14ac:dyDescent="0.25">
      <c r="A1381" s="82"/>
      <c r="B1381" s="82"/>
      <c r="C1381" s="82"/>
      <c r="D1381" s="729"/>
      <c r="E1381" s="371" t="s">
        <v>49</v>
      </c>
      <c r="F1381" s="372">
        <v>22</v>
      </c>
      <c r="G1381" s="373">
        <f>2*5</f>
        <v>10</v>
      </c>
      <c r="H1381" s="374">
        <v>5</v>
      </c>
      <c r="I1381" s="375">
        <v>1.47</v>
      </c>
      <c r="J1381" s="376">
        <f t="shared" si="146"/>
        <v>14.7</v>
      </c>
      <c r="K1381" s="66">
        <f t="shared" si="167"/>
        <v>2.2637999999999998</v>
      </c>
      <c r="L1381" s="63">
        <f t="shared" si="168"/>
        <v>0</v>
      </c>
      <c r="M1381" s="63">
        <f t="shared" si="169"/>
        <v>0</v>
      </c>
      <c r="N1381" s="63">
        <f t="shared" si="170"/>
        <v>0</v>
      </c>
      <c r="O1381" s="63">
        <f t="shared" si="171"/>
        <v>0</v>
      </c>
      <c r="P1381" s="63">
        <f t="shared" si="172"/>
        <v>0</v>
      </c>
      <c r="Q1381" s="561">
        <f t="shared" si="145"/>
        <v>0</v>
      </c>
      <c r="R1381" s="174"/>
      <c r="T1381" s="82"/>
      <c r="U1381" s="82"/>
      <c r="V1381" s="82"/>
      <c r="W1381" s="82"/>
      <c r="X1381" s="82"/>
      <c r="Y1381" s="82"/>
      <c r="Z1381" s="82"/>
      <c r="AA1381" s="82"/>
      <c r="AB1381" s="82"/>
    </row>
    <row r="1382" spans="1:28" s="85" customFormat="1" x14ac:dyDescent="0.25">
      <c r="A1382" s="82"/>
      <c r="B1382" s="82"/>
      <c r="C1382" s="82"/>
      <c r="D1382" s="729"/>
      <c r="E1382" s="371" t="s">
        <v>49</v>
      </c>
      <c r="F1382" s="372">
        <v>23</v>
      </c>
      <c r="G1382" s="373">
        <f>2*8</f>
        <v>16</v>
      </c>
      <c r="H1382" s="374">
        <v>5</v>
      </c>
      <c r="I1382" s="375">
        <v>0.94</v>
      </c>
      <c r="J1382" s="376">
        <f t="shared" si="146"/>
        <v>15.04</v>
      </c>
      <c r="K1382" s="66">
        <f t="shared" si="167"/>
        <v>2.31616</v>
      </c>
      <c r="L1382" s="63">
        <f t="shared" si="168"/>
        <v>0</v>
      </c>
      <c r="M1382" s="63">
        <f t="shared" si="169"/>
        <v>0</v>
      </c>
      <c r="N1382" s="63">
        <f t="shared" si="170"/>
        <v>0</v>
      </c>
      <c r="O1382" s="63">
        <f t="shared" si="171"/>
        <v>0</v>
      </c>
      <c r="P1382" s="63">
        <f t="shared" si="172"/>
        <v>0</v>
      </c>
      <c r="Q1382" s="561">
        <f t="shared" si="145"/>
        <v>0</v>
      </c>
      <c r="R1382" s="174"/>
      <c r="T1382" s="82"/>
      <c r="U1382" s="82"/>
      <c r="V1382" s="82"/>
      <c r="W1382" s="82"/>
      <c r="X1382" s="82"/>
      <c r="Y1382" s="82"/>
      <c r="Z1382" s="82"/>
      <c r="AA1382" s="82"/>
      <c r="AB1382" s="82"/>
    </row>
    <row r="1383" spans="1:28" s="85" customFormat="1" x14ac:dyDescent="0.25">
      <c r="A1383" s="82"/>
      <c r="B1383" s="82"/>
      <c r="C1383" s="82"/>
      <c r="D1383" s="729"/>
      <c r="E1383" s="371" t="s">
        <v>49</v>
      </c>
      <c r="F1383" s="372">
        <v>34</v>
      </c>
      <c r="G1383" s="373">
        <f>2*8</f>
        <v>16</v>
      </c>
      <c r="H1383" s="374">
        <v>10</v>
      </c>
      <c r="I1383" s="375">
        <v>1.37</v>
      </c>
      <c r="J1383" s="376">
        <f t="shared" si="146"/>
        <v>21.92</v>
      </c>
      <c r="K1383" s="66">
        <f t="shared" si="167"/>
        <v>0</v>
      </c>
      <c r="L1383" s="63">
        <f t="shared" si="168"/>
        <v>0</v>
      </c>
      <c r="M1383" s="63">
        <f t="shared" si="169"/>
        <v>0</v>
      </c>
      <c r="N1383" s="63">
        <f t="shared" si="170"/>
        <v>13.524640000000002</v>
      </c>
      <c r="O1383" s="63">
        <f t="shared" si="171"/>
        <v>0</v>
      </c>
      <c r="P1383" s="63">
        <f t="shared" si="172"/>
        <v>0</v>
      </c>
      <c r="Q1383" s="561">
        <f t="shared" si="145"/>
        <v>0</v>
      </c>
      <c r="R1383" s="174"/>
      <c r="T1383" s="82"/>
      <c r="U1383" s="82"/>
      <c r="V1383" s="82"/>
      <c r="W1383" s="82"/>
      <c r="X1383" s="82"/>
      <c r="Y1383" s="82"/>
      <c r="Z1383" s="82"/>
      <c r="AA1383" s="82"/>
      <c r="AB1383" s="82"/>
    </row>
    <row r="1384" spans="1:28" s="85" customFormat="1" x14ac:dyDescent="0.25">
      <c r="A1384" s="82"/>
      <c r="B1384" s="82"/>
      <c r="C1384" s="82"/>
      <c r="D1384" s="729"/>
      <c r="E1384" s="371" t="s">
        <v>113</v>
      </c>
      <c r="F1384" s="372">
        <v>5</v>
      </c>
      <c r="G1384" s="373">
        <f>2*50</f>
        <v>100</v>
      </c>
      <c r="H1384" s="374">
        <v>5</v>
      </c>
      <c r="I1384" s="375">
        <v>0.28999999999999998</v>
      </c>
      <c r="J1384" s="376">
        <f t="shared" si="146"/>
        <v>28.999999999999996</v>
      </c>
      <c r="K1384" s="66">
        <f t="shared" si="167"/>
        <v>4.4659999999999993</v>
      </c>
      <c r="L1384" s="63">
        <f t="shared" si="168"/>
        <v>0</v>
      </c>
      <c r="M1384" s="63">
        <f t="shared" si="169"/>
        <v>0</v>
      </c>
      <c r="N1384" s="63">
        <f t="shared" si="170"/>
        <v>0</v>
      </c>
      <c r="O1384" s="63">
        <f t="shared" si="171"/>
        <v>0</v>
      </c>
      <c r="P1384" s="63">
        <f t="shared" si="172"/>
        <v>0</v>
      </c>
      <c r="Q1384" s="561">
        <f t="shared" si="145"/>
        <v>0</v>
      </c>
      <c r="R1384" s="174"/>
      <c r="T1384" s="82"/>
      <c r="U1384" s="82"/>
      <c r="V1384" s="82"/>
      <c r="W1384" s="82"/>
      <c r="X1384" s="82"/>
      <c r="Y1384" s="82"/>
      <c r="Z1384" s="82"/>
      <c r="AA1384" s="82"/>
      <c r="AB1384" s="82"/>
    </row>
    <row r="1385" spans="1:28" s="85" customFormat="1" x14ac:dyDescent="0.25">
      <c r="A1385" s="82"/>
      <c r="B1385" s="82"/>
      <c r="C1385" s="82"/>
      <c r="D1385" s="729"/>
      <c r="E1385" s="371" t="s">
        <v>113</v>
      </c>
      <c r="F1385" s="372">
        <v>11</v>
      </c>
      <c r="G1385" s="373">
        <f>2*25</f>
        <v>50</v>
      </c>
      <c r="H1385" s="374">
        <v>5</v>
      </c>
      <c r="I1385" s="375">
        <v>1.47</v>
      </c>
      <c r="J1385" s="376">
        <f t="shared" si="146"/>
        <v>73.5</v>
      </c>
      <c r="K1385" s="66">
        <f t="shared" si="167"/>
        <v>11.318999999999999</v>
      </c>
      <c r="L1385" s="63">
        <f t="shared" si="168"/>
        <v>0</v>
      </c>
      <c r="M1385" s="63">
        <f t="shared" si="169"/>
        <v>0</v>
      </c>
      <c r="N1385" s="63">
        <f t="shared" si="170"/>
        <v>0</v>
      </c>
      <c r="O1385" s="63">
        <f t="shared" si="171"/>
        <v>0</v>
      </c>
      <c r="P1385" s="63">
        <f t="shared" si="172"/>
        <v>0</v>
      </c>
      <c r="Q1385" s="561">
        <f t="shared" si="145"/>
        <v>0</v>
      </c>
      <c r="R1385" s="174"/>
      <c r="T1385" s="82"/>
      <c r="U1385" s="82"/>
      <c r="V1385" s="82"/>
      <c r="W1385" s="82"/>
      <c r="X1385" s="82"/>
      <c r="Y1385" s="82"/>
      <c r="Z1385" s="82"/>
      <c r="AA1385" s="82"/>
      <c r="AB1385" s="82"/>
    </row>
    <row r="1386" spans="1:28" s="85" customFormat="1" x14ac:dyDescent="0.25">
      <c r="A1386" s="82"/>
      <c r="B1386" s="82"/>
      <c r="C1386" s="82"/>
      <c r="D1386" s="729"/>
      <c r="E1386" s="371" t="s">
        <v>113</v>
      </c>
      <c r="F1386" s="372">
        <v>15</v>
      </c>
      <c r="G1386" s="373">
        <f>2*8</f>
        <v>16</v>
      </c>
      <c r="H1386" s="374">
        <v>10</v>
      </c>
      <c r="I1386" s="375">
        <v>3.33</v>
      </c>
      <c r="J1386" s="376">
        <f t="shared" si="146"/>
        <v>53.28</v>
      </c>
      <c r="K1386" s="66">
        <f t="shared" si="167"/>
        <v>0</v>
      </c>
      <c r="L1386" s="63">
        <f t="shared" si="168"/>
        <v>0</v>
      </c>
      <c r="M1386" s="63">
        <f t="shared" si="169"/>
        <v>0</v>
      </c>
      <c r="N1386" s="63">
        <f t="shared" si="170"/>
        <v>32.873759999999997</v>
      </c>
      <c r="O1386" s="63">
        <f t="shared" si="171"/>
        <v>0</v>
      </c>
      <c r="P1386" s="63">
        <f t="shared" si="172"/>
        <v>0</v>
      </c>
      <c r="Q1386" s="561">
        <f t="shared" si="145"/>
        <v>0</v>
      </c>
      <c r="R1386" s="174"/>
      <c r="T1386" s="82"/>
      <c r="U1386" s="82"/>
      <c r="V1386" s="82"/>
      <c r="W1386" s="82"/>
      <c r="X1386" s="82"/>
      <c r="Y1386" s="82"/>
      <c r="Z1386" s="82"/>
      <c r="AA1386" s="82"/>
      <c r="AB1386" s="82"/>
    </row>
    <row r="1387" spans="1:28" s="85" customFormat="1" x14ac:dyDescent="0.25">
      <c r="A1387" s="82"/>
      <c r="B1387" s="82"/>
      <c r="C1387" s="82"/>
      <c r="D1387" s="729"/>
      <c r="E1387" s="371" t="s">
        <v>113</v>
      </c>
      <c r="F1387" s="372">
        <v>2</v>
      </c>
      <c r="G1387" s="373">
        <f>2*8</f>
        <v>16</v>
      </c>
      <c r="H1387" s="374">
        <v>5</v>
      </c>
      <c r="I1387" s="375">
        <v>0.28999999999999998</v>
      </c>
      <c r="J1387" s="376">
        <f t="shared" ref="J1387" si="187">G1387*I1387</f>
        <v>4.6399999999999997</v>
      </c>
      <c r="K1387" s="66">
        <f t="shared" si="167"/>
        <v>0.71455999999999997</v>
      </c>
      <c r="L1387" s="63">
        <f t="shared" si="168"/>
        <v>0</v>
      </c>
      <c r="M1387" s="63">
        <f t="shared" si="169"/>
        <v>0</v>
      </c>
      <c r="N1387" s="63">
        <f t="shared" si="170"/>
        <v>0</v>
      </c>
      <c r="O1387" s="63">
        <f t="shared" si="171"/>
        <v>0</v>
      </c>
      <c r="P1387" s="63">
        <f t="shared" si="172"/>
        <v>0</v>
      </c>
      <c r="Q1387" s="561">
        <f t="shared" ref="Q1387:Q1389" si="188">IF($H1387=20,$J1387*$B$28,0)</f>
        <v>0</v>
      </c>
      <c r="R1387" s="174"/>
      <c r="T1387" s="82"/>
      <c r="U1387" s="82"/>
      <c r="V1387" s="82"/>
      <c r="W1387" s="82"/>
      <c r="X1387" s="82"/>
      <c r="Y1387" s="82"/>
      <c r="Z1387" s="82"/>
      <c r="AA1387" s="82"/>
      <c r="AB1387" s="82"/>
    </row>
    <row r="1388" spans="1:28" s="85" customFormat="1" x14ac:dyDescent="0.25">
      <c r="A1388" s="82"/>
      <c r="B1388" s="82"/>
      <c r="C1388" s="82"/>
      <c r="D1388" s="729"/>
      <c r="E1388" s="371" t="s">
        <v>113</v>
      </c>
      <c r="F1388" s="372">
        <v>4</v>
      </c>
      <c r="G1388" s="373">
        <f>2*8</f>
        <v>16</v>
      </c>
      <c r="H1388" s="374">
        <v>5</v>
      </c>
      <c r="I1388" s="375">
        <v>0.94</v>
      </c>
      <c r="J1388" s="376">
        <f t="shared" si="146"/>
        <v>15.04</v>
      </c>
      <c r="K1388" s="66">
        <f t="shared" si="167"/>
        <v>2.31616</v>
      </c>
      <c r="L1388" s="63">
        <f t="shared" si="168"/>
        <v>0</v>
      </c>
      <c r="M1388" s="63">
        <f t="shared" si="169"/>
        <v>0</v>
      </c>
      <c r="N1388" s="63">
        <f t="shared" si="170"/>
        <v>0</v>
      </c>
      <c r="O1388" s="63">
        <f t="shared" si="171"/>
        <v>0</v>
      </c>
      <c r="P1388" s="63">
        <f t="shared" si="172"/>
        <v>0</v>
      </c>
      <c r="Q1388" s="561">
        <f t="shared" si="188"/>
        <v>0</v>
      </c>
      <c r="R1388" s="174"/>
      <c r="T1388" s="82"/>
      <c r="U1388" s="82"/>
      <c r="V1388" s="82"/>
      <c r="W1388" s="82"/>
      <c r="X1388" s="82"/>
      <c r="Y1388" s="82"/>
      <c r="Z1388" s="82"/>
      <c r="AA1388" s="82"/>
      <c r="AB1388" s="82"/>
    </row>
    <row r="1389" spans="1:28" s="85" customFormat="1" x14ac:dyDescent="0.25">
      <c r="A1389" s="82"/>
      <c r="B1389" s="82"/>
      <c r="C1389" s="82"/>
      <c r="D1389" s="729"/>
      <c r="E1389" s="371" t="s">
        <v>113</v>
      </c>
      <c r="F1389" s="372">
        <v>9</v>
      </c>
      <c r="G1389" s="373">
        <f>2*8</f>
        <v>16</v>
      </c>
      <c r="H1389" s="374">
        <v>10</v>
      </c>
      <c r="I1389" s="375">
        <v>0.42</v>
      </c>
      <c r="J1389" s="376">
        <f t="shared" ref="J1389" si="189">G1389*I1389</f>
        <v>6.72</v>
      </c>
      <c r="K1389" s="66">
        <f t="shared" si="167"/>
        <v>0</v>
      </c>
      <c r="L1389" s="63">
        <f t="shared" si="168"/>
        <v>0</v>
      </c>
      <c r="M1389" s="63">
        <f t="shared" si="169"/>
        <v>0</v>
      </c>
      <c r="N1389" s="63">
        <f t="shared" si="170"/>
        <v>4.1462399999999997</v>
      </c>
      <c r="O1389" s="63">
        <f t="shared" si="171"/>
        <v>0</v>
      </c>
      <c r="P1389" s="63">
        <f t="shared" si="172"/>
        <v>0</v>
      </c>
      <c r="Q1389" s="561">
        <f t="shared" si="188"/>
        <v>0</v>
      </c>
      <c r="R1389" s="174"/>
      <c r="T1389" s="82"/>
      <c r="U1389" s="82"/>
      <c r="V1389" s="82"/>
      <c r="W1389" s="82"/>
      <c r="X1389" s="82"/>
      <c r="Y1389" s="82"/>
      <c r="Z1389" s="82"/>
      <c r="AA1389" s="82"/>
      <c r="AB1389" s="82"/>
    </row>
    <row r="1390" spans="1:28" s="85" customFormat="1" x14ac:dyDescent="0.25">
      <c r="A1390" s="82"/>
      <c r="B1390" s="82"/>
      <c r="C1390" s="82"/>
      <c r="D1390" s="729"/>
      <c r="E1390" s="396" t="s">
        <v>184</v>
      </c>
      <c r="F1390" s="403"/>
      <c r="G1390" s="397"/>
      <c r="H1390" s="398"/>
      <c r="I1390" s="399"/>
      <c r="J1390" s="400">
        <f t="shared" si="146"/>
        <v>0</v>
      </c>
      <c r="K1390" s="401">
        <f t="shared" si="167"/>
        <v>0</v>
      </c>
      <c r="L1390" s="196">
        <f t="shared" si="168"/>
        <v>0</v>
      </c>
      <c r="M1390" s="196">
        <f t="shared" si="169"/>
        <v>0</v>
      </c>
      <c r="N1390" s="196">
        <f t="shared" si="170"/>
        <v>0</v>
      </c>
      <c r="O1390" s="196">
        <f t="shared" si="171"/>
        <v>0</v>
      </c>
      <c r="P1390" s="196">
        <f t="shared" si="172"/>
        <v>0</v>
      </c>
      <c r="Q1390" s="566">
        <f t="shared" si="145"/>
        <v>0</v>
      </c>
      <c r="R1390" s="538"/>
      <c r="T1390" s="82"/>
      <c r="U1390" s="82"/>
      <c r="V1390" s="82"/>
      <c r="W1390" s="82"/>
      <c r="X1390" s="82"/>
      <c r="Y1390" s="82"/>
      <c r="Z1390" s="82"/>
      <c r="AA1390" s="82"/>
      <c r="AB1390" s="82"/>
    </row>
    <row r="1391" spans="1:28" s="85" customFormat="1" x14ac:dyDescent="0.25">
      <c r="A1391" s="82"/>
      <c r="B1391" s="82"/>
      <c r="C1391" s="82"/>
      <c r="D1391" s="729"/>
      <c r="E1391" s="371" t="s">
        <v>184</v>
      </c>
      <c r="F1391" s="372"/>
      <c r="G1391" s="373"/>
      <c r="H1391" s="374"/>
      <c r="I1391" s="375"/>
      <c r="J1391" s="376">
        <f t="shared" si="146"/>
        <v>0</v>
      </c>
      <c r="K1391" s="66">
        <f t="shared" si="167"/>
        <v>0</v>
      </c>
      <c r="L1391" s="63">
        <f t="shared" si="168"/>
        <v>0</v>
      </c>
      <c r="M1391" s="63">
        <f t="shared" si="169"/>
        <v>0</v>
      </c>
      <c r="N1391" s="63">
        <f t="shared" si="170"/>
        <v>0</v>
      </c>
      <c r="O1391" s="63">
        <f t="shared" si="171"/>
        <v>0</v>
      </c>
      <c r="P1391" s="63">
        <f t="shared" si="172"/>
        <v>0</v>
      </c>
      <c r="Q1391" s="562">
        <f t="shared" si="145"/>
        <v>0</v>
      </c>
      <c r="R1391" s="377"/>
      <c r="T1391" s="82"/>
      <c r="U1391" s="82"/>
      <c r="V1391" s="82"/>
      <c r="W1391" s="82"/>
      <c r="X1391" s="82"/>
      <c r="Y1391" s="82"/>
      <c r="Z1391" s="82"/>
      <c r="AA1391" s="82"/>
      <c r="AB1391" s="82"/>
    </row>
    <row r="1392" spans="1:28" s="85" customFormat="1" x14ac:dyDescent="0.25">
      <c r="A1392" s="82"/>
      <c r="B1392" s="82"/>
      <c r="C1392" s="82"/>
      <c r="D1392" s="729"/>
      <c r="E1392" s="371" t="s">
        <v>184</v>
      </c>
      <c r="F1392" s="372"/>
      <c r="G1392" s="373"/>
      <c r="H1392" s="374"/>
      <c r="I1392" s="375"/>
      <c r="J1392" s="376">
        <f t="shared" si="146"/>
        <v>0</v>
      </c>
      <c r="K1392" s="66">
        <f t="shared" si="167"/>
        <v>0</v>
      </c>
      <c r="L1392" s="63">
        <f t="shared" si="168"/>
        <v>0</v>
      </c>
      <c r="M1392" s="63">
        <f t="shared" si="169"/>
        <v>0</v>
      </c>
      <c r="N1392" s="63">
        <f t="shared" si="170"/>
        <v>0</v>
      </c>
      <c r="O1392" s="63">
        <f t="shared" si="171"/>
        <v>0</v>
      </c>
      <c r="P1392" s="63">
        <f t="shared" si="172"/>
        <v>0</v>
      </c>
      <c r="Q1392" s="562">
        <f t="shared" si="145"/>
        <v>0</v>
      </c>
      <c r="R1392" s="377"/>
      <c r="T1392" s="82"/>
      <c r="U1392" s="82"/>
      <c r="V1392" s="82"/>
      <c r="W1392" s="82"/>
      <c r="X1392" s="82"/>
      <c r="Y1392" s="82"/>
      <c r="Z1392" s="82"/>
      <c r="AA1392" s="82"/>
      <c r="AB1392" s="82"/>
    </row>
    <row r="1393" spans="1:28" s="85" customFormat="1" ht="13.8" thickBot="1" x14ac:dyDescent="0.3">
      <c r="A1393" s="82"/>
      <c r="B1393" s="82"/>
      <c r="C1393" s="82"/>
      <c r="D1393" s="731"/>
      <c r="E1393" s="390" t="s">
        <v>184</v>
      </c>
      <c r="F1393" s="391"/>
      <c r="G1393" s="392"/>
      <c r="H1393" s="393"/>
      <c r="I1393" s="394"/>
      <c r="J1393" s="395">
        <f t="shared" si="146"/>
        <v>0</v>
      </c>
      <c r="K1393" s="221">
        <f t="shared" si="167"/>
        <v>0</v>
      </c>
      <c r="L1393" s="222">
        <f t="shared" si="168"/>
        <v>0</v>
      </c>
      <c r="M1393" s="222">
        <f t="shared" si="169"/>
        <v>0</v>
      </c>
      <c r="N1393" s="222">
        <f t="shared" si="170"/>
        <v>0</v>
      </c>
      <c r="O1393" s="222">
        <f t="shared" si="171"/>
        <v>0</v>
      </c>
      <c r="P1393" s="222">
        <f t="shared" si="172"/>
        <v>0</v>
      </c>
      <c r="Q1393" s="564">
        <f t="shared" si="145"/>
        <v>0</v>
      </c>
      <c r="R1393" s="539"/>
      <c r="T1393" s="82"/>
      <c r="U1393" s="82"/>
      <c r="V1393" s="82"/>
      <c r="W1393" s="82"/>
      <c r="X1393" s="82"/>
      <c r="Y1393" s="82"/>
      <c r="Z1393" s="82"/>
      <c r="AA1393" s="82"/>
      <c r="AB1393" s="82"/>
    </row>
    <row r="1394" spans="1:28" s="85" customFormat="1" ht="13.8" thickTop="1" x14ac:dyDescent="0.25">
      <c r="A1394" s="82"/>
      <c r="B1394" s="82"/>
      <c r="C1394" s="82"/>
      <c r="D1394" s="728" t="s">
        <v>1806</v>
      </c>
      <c r="E1394" s="384" t="s">
        <v>49</v>
      </c>
      <c r="F1394" s="385">
        <v>3</v>
      </c>
      <c r="G1394" s="386">
        <v>11</v>
      </c>
      <c r="H1394" s="387">
        <v>5</v>
      </c>
      <c r="I1394" s="388">
        <v>0.26</v>
      </c>
      <c r="J1394" s="389">
        <f t="shared" si="146"/>
        <v>2.8600000000000003</v>
      </c>
      <c r="K1394" s="218">
        <f t="shared" si="167"/>
        <v>0.44044000000000005</v>
      </c>
      <c r="L1394" s="219">
        <f t="shared" si="168"/>
        <v>0</v>
      </c>
      <c r="M1394" s="219">
        <f t="shared" si="169"/>
        <v>0</v>
      </c>
      <c r="N1394" s="219">
        <f t="shared" si="170"/>
        <v>0</v>
      </c>
      <c r="O1394" s="219">
        <f t="shared" si="171"/>
        <v>0</v>
      </c>
      <c r="P1394" s="219">
        <f t="shared" si="172"/>
        <v>0</v>
      </c>
      <c r="Q1394" s="563">
        <f t="shared" si="145"/>
        <v>0</v>
      </c>
      <c r="R1394" s="220"/>
      <c r="T1394" s="82"/>
      <c r="U1394" s="82"/>
      <c r="V1394" s="82"/>
      <c r="W1394" s="82"/>
      <c r="X1394" s="82"/>
      <c r="Y1394" s="82"/>
      <c r="Z1394" s="82"/>
      <c r="AA1394" s="82"/>
      <c r="AB1394" s="82"/>
    </row>
    <row r="1395" spans="1:28" s="85" customFormat="1" x14ac:dyDescent="0.25">
      <c r="A1395" s="82"/>
      <c r="B1395" s="82"/>
      <c r="C1395" s="82"/>
      <c r="D1395" s="729"/>
      <c r="E1395" s="371" t="s">
        <v>49</v>
      </c>
      <c r="F1395" s="372">
        <v>4</v>
      </c>
      <c r="G1395" s="373">
        <v>6</v>
      </c>
      <c r="H1395" s="374">
        <v>5</v>
      </c>
      <c r="I1395" s="375">
        <v>0.95</v>
      </c>
      <c r="J1395" s="376">
        <f t="shared" si="146"/>
        <v>5.6999999999999993</v>
      </c>
      <c r="K1395" s="66">
        <f t="shared" si="167"/>
        <v>0.87779999999999991</v>
      </c>
      <c r="L1395" s="63">
        <f t="shared" si="168"/>
        <v>0</v>
      </c>
      <c r="M1395" s="63">
        <f t="shared" si="169"/>
        <v>0</v>
      </c>
      <c r="N1395" s="63">
        <f t="shared" si="170"/>
        <v>0</v>
      </c>
      <c r="O1395" s="63">
        <f t="shared" si="171"/>
        <v>0</v>
      </c>
      <c r="P1395" s="63">
        <f t="shared" si="172"/>
        <v>0</v>
      </c>
      <c r="Q1395" s="561">
        <f t="shared" si="145"/>
        <v>0</v>
      </c>
      <c r="R1395" s="174"/>
      <c r="T1395" s="82"/>
      <c r="U1395" s="82"/>
      <c r="V1395" s="82"/>
      <c r="W1395" s="82"/>
      <c r="X1395" s="82"/>
      <c r="Y1395" s="82"/>
      <c r="Z1395" s="82"/>
      <c r="AA1395" s="82"/>
      <c r="AB1395" s="82"/>
    </row>
    <row r="1396" spans="1:28" s="85" customFormat="1" x14ac:dyDescent="0.25">
      <c r="A1396" s="82"/>
      <c r="B1396" s="82"/>
      <c r="C1396" s="82"/>
      <c r="D1396" s="729"/>
      <c r="E1396" s="371" t="s">
        <v>49</v>
      </c>
      <c r="F1396" s="372">
        <v>5</v>
      </c>
      <c r="G1396" s="373">
        <v>10</v>
      </c>
      <c r="H1396" s="374">
        <v>5</v>
      </c>
      <c r="I1396" s="375">
        <v>0.65</v>
      </c>
      <c r="J1396" s="376">
        <f t="shared" si="146"/>
        <v>6.5</v>
      </c>
      <c r="K1396" s="66">
        <f t="shared" si="167"/>
        <v>1.0009999999999999</v>
      </c>
      <c r="L1396" s="63">
        <f t="shared" si="168"/>
        <v>0</v>
      </c>
      <c r="M1396" s="63">
        <f t="shared" si="169"/>
        <v>0</v>
      </c>
      <c r="N1396" s="63">
        <f t="shared" si="170"/>
        <v>0</v>
      </c>
      <c r="O1396" s="63">
        <f t="shared" si="171"/>
        <v>0</v>
      </c>
      <c r="P1396" s="63">
        <f t="shared" si="172"/>
        <v>0</v>
      </c>
      <c r="Q1396" s="561">
        <f t="shared" si="145"/>
        <v>0</v>
      </c>
      <c r="R1396" s="174"/>
      <c r="T1396" s="82"/>
      <c r="U1396" s="82"/>
      <c r="V1396" s="82"/>
      <c r="W1396" s="82"/>
      <c r="X1396" s="82"/>
      <c r="Y1396" s="82"/>
      <c r="Z1396" s="82"/>
      <c r="AA1396" s="82"/>
      <c r="AB1396" s="82"/>
    </row>
    <row r="1397" spans="1:28" s="85" customFormat="1" x14ac:dyDescent="0.25">
      <c r="A1397" s="82"/>
      <c r="B1397" s="82"/>
      <c r="C1397" s="82"/>
      <c r="D1397" s="729"/>
      <c r="E1397" s="371" t="s">
        <v>49</v>
      </c>
      <c r="F1397" s="372">
        <v>39</v>
      </c>
      <c r="G1397" s="373">
        <v>10</v>
      </c>
      <c r="H1397" s="374">
        <v>16</v>
      </c>
      <c r="I1397" s="375">
        <v>1.55</v>
      </c>
      <c r="J1397" s="376">
        <f t="shared" ref="J1397:J1477" si="190">G1397*I1397</f>
        <v>15.5</v>
      </c>
      <c r="K1397" s="66">
        <f t="shared" si="167"/>
        <v>0</v>
      </c>
      <c r="L1397" s="63">
        <f t="shared" si="168"/>
        <v>0</v>
      </c>
      <c r="M1397" s="63">
        <f t="shared" si="169"/>
        <v>0</v>
      </c>
      <c r="N1397" s="63">
        <f t="shared" si="170"/>
        <v>0</v>
      </c>
      <c r="O1397" s="63">
        <f t="shared" si="171"/>
        <v>0</v>
      </c>
      <c r="P1397" s="63">
        <f t="shared" si="172"/>
        <v>24.459</v>
      </c>
      <c r="Q1397" s="561">
        <f t="shared" ref="Q1397:Q1544" si="191">IF($H1397=20,$J1397*$B$28,0)</f>
        <v>0</v>
      </c>
      <c r="R1397" s="174"/>
      <c r="T1397" s="82"/>
      <c r="U1397" s="82"/>
      <c r="V1397" s="82"/>
      <c r="W1397" s="82"/>
      <c r="X1397" s="82"/>
      <c r="Y1397" s="82"/>
      <c r="Z1397" s="82"/>
      <c r="AA1397" s="82"/>
      <c r="AB1397" s="82"/>
    </row>
    <row r="1398" spans="1:28" s="85" customFormat="1" x14ac:dyDescent="0.25">
      <c r="A1398" s="82"/>
      <c r="B1398" s="82"/>
      <c r="C1398" s="82"/>
      <c r="D1398" s="729"/>
      <c r="E1398" s="371" t="s">
        <v>113</v>
      </c>
      <c r="F1398" s="372">
        <v>1</v>
      </c>
      <c r="G1398" s="373">
        <v>20</v>
      </c>
      <c r="H1398" s="374">
        <v>5</v>
      </c>
      <c r="I1398" s="375">
        <v>0.28999999999999998</v>
      </c>
      <c r="J1398" s="376">
        <f t="shared" si="190"/>
        <v>5.8</v>
      </c>
      <c r="K1398" s="66">
        <f t="shared" ref="K1398:K1481" si="192">IF($H1398=5,$J1398*$B$21,0)</f>
        <v>0.89319999999999999</v>
      </c>
      <c r="L1398" s="63">
        <f t="shared" ref="L1398:L1481" si="193">IF($H1398=6.3,$J1398*$B$22,0)</f>
        <v>0</v>
      </c>
      <c r="M1398" s="63">
        <f t="shared" ref="M1398:M1481" si="194">IF($H1398=8,$J1398*$B$23,0)</f>
        <v>0</v>
      </c>
      <c r="N1398" s="63">
        <f t="shared" ref="N1398:N1481" si="195">IF($H1398=10,$J1398*$B$24,0)</f>
        <v>0</v>
      </c>
      <c r="O1398" s="63">
        <f t="shared" ref="O1398:O1481" si="196">IF($H1398=12.5,$J1398*$B$26,0)</f>
        <v>0</v>
      </c>
      <c r="P1398" s="63">
        <f t="shared" ref="P1398:P1481" si="197">IF($H1398=16,$J1398*$B$27,0)</f>
        <v>0</v>
      </c>
      <c r="Q1398" s="561">
        <f t="shared" si="191"/>
        <v>0</v>
      </c>
      <c r="R1398" s="174"/>
      <c r="T1398" s="82"/>
      <c r="U1398" s="82"/>
      <c r="V1398" s="82"/>
      <c r="W1398" s="82"/>
      <c r="X1398" s="82"/>
      <c r="Y1398" s="82"/>
      <c r="Z1398" s="82"/>
      <c r="AA1398" s="82"/>
      <c r="AB1398" s="82"/>
    </row>
    <row r="1399" spans="1:28" s="85" customFormat="1" x14ac:dyDescent="0.25">
      <c r="A1399" s="82"/>
      <c r="B1399" s="82"/>
      <c r="C1399" s="82"/>
      <c r="D1399" s="729"/>
      <c r="E1399" s="371" t="s">
        <v>113</v>
      </c>
      <c r="F1399" s="372">
        <v>2</v>
      </c>
      <c r="G1399" s="373">
        <v>16</v>
      </c>
      <c r="H1399" s="374">
        <v>5</v>
      </c>
      <c r="I1399" s="375">
        <v>1.07</v>
      </c>
      <c r="J1399" s="376">
        <f t="shared" si="190"/>
        <v>17.12</v>
      </c>
      <c r="K1399" s="66">
        <f t="shared" si="192"/>
        <v>2.6364800000000002</v>
      </c>
      <c r="L1399" s="63">
        <f t="shared" si="193"/>
        <v>0</v>
      </c>
      <c r="M1399" s="63">
        <f t="shared" si="194"/>
        <v>0</v>
      </c>
      <c r="N1399" s="63">
        <f t="shared" si="195"/>
        <v>0</v>
      </c>
      <c r="O1399" s="63">
        <f t="shared" si="196"/>
        <v>0</v>
      </c>
      <c r="P1399" s="63">
        <f t="shared" si="197"/>
        <v>0</v>
      </c>
      <c r="Q1399" s="561">
        <f t="shared" si="191"/>
        <v>0</v>
      </c>
      <c r="R1399" s="174"/>
      <c r="T1399" s="82"/>
      <c r="U1399" s="82"/>
      <c r="V1399" s="82"/>
      <c r="W1399" s="82"/>
      <c r="X1399" s="82"/>
      <c r="Y1399" s="82"/>
      <c r="Z1399" s="82"/>
      <c r="AA1399" s="82"/>
      <c r="AB1399" s="82"/>
    </row>
    <row r="1400" spans="1:28" s="85" customFormat="1" x14ac:dyDescent="0.25">
      <c r="A1400" s="82"/>
      <c r="B1400" s="82"/>
      <c r="C1400" s="82"/>
      <c r="D1400" s="729"/>
      <c r="E1400" s="371" t="s">
        <v>113</v>
      </c>
      <c r="F1400" s="372">
        <v>3</v>
      </c>
      <c r="G1400" s="373">
        <v>8</v>
      </c>
      <c r="H1400" s="374">
        <v>5</v>
      </c>
      <c r="I1400" s="375">
        <v>0.74</v>
      </c>
      <c r="J1400" s="376">
        <f t="shared" si="190"/>
        <v>5.92</v>
      </c>
      <c r="K1400" s="66">
        <f t="shared" si="192"/>
        <v>0.91167999999999993</v>
      </c>
      <c r="L1400" s="63">
        <f t="shared" si="193"/>
        <v>0</v>
      </c>
      <c r="M1400" s="63">
        <f t="shared" si="194"/>
        <v>0</v>
      </c>
      <c r="N1400" s="63">
        <f t="shared" si="195"/>
        <v>0</v>
      </c>
      <c r="O1400" s="63">
        <f t="shared" si="196"/>
        <v>0</v>
      </c>
      <c r="P1400" s="63">
        <f t="shared" si="197"/>
        <v>0</v>
      </c>
      <c r="Q1400" s="561">
        <f t="shared" si="191"/>
        <v>0</v>
      </c>
      <c r="R1400" s="174"/>
      <c r="T1400" s="82"/>
      <c r="U1400" s="82"/>
      <c r="V1400" s="82"/>
      <c r="W1400" s="82"/>
      <c r="X1400" s="82"/>
      <c r="Y1400" s="82"/>
      <c r="Z1400" s="82"/>
      <c r="AA1400" s="82"/>
      <c r="AB1400" s="82"/>
    </row>
    <row r="1401" spans="1:28" s="85" customFormat="1" x14ac:dyDescent="0.25">
      <c r="A1401" s="82"/>
      <c r="B1401" s="82"/>
      <c r="C1401" s="82"/>
      <c r="D1401" s="729"/>
      <c r="E1401" s="371" t="s">
        <v>113</v>
      </c>
      <c r="F1401" s="372">
        <v>19</v>
      </c>
      <c r="G1401" s="373">
        <v>10</v>
      </c>
      <c r="H1401" s="374">
        <v>16</v>
      </c>
      <c r="I1401" s="375">
        <v>3.53</v>
      </c>
      <c r="J1401" s="376">
        <f t="shared" si="190"/>
        <v>35.299999999999997</v>
      </c>
      <c r="K1401" s="66">
        <f t="shared" si="192"/>
        <v>0</v>
      </c>
      <c r="L1401" s="63">
        <f t="shared" si="193"/>
        <v>0</v>
      </c>
      <c r="M1401" s="63">
        <f t="shared" si="194"/>
        <v>0</v>
      </c>
      <c r="N1401" s="63">
        <f t="shared" si="195"/>
        <v>0</v>
      </c>
      <c r="O1401" s="63">
        <f t="shared" si="196"/>
        <v>0</v>
      </c>
      <c r="P1401" s="63">
        <f t="shared" si="197"/>
        <v>55.703399999999995</v>
      </c>
      <c r="Q1401" s="561">
        <f t="shared" si="191"/>
        <v>0</v>
      </c>
      <c r="R1401" s="174"/>
      <c r="T1401" s="82"/>
      <c r="U1401" s="82"/>
      <c r="V1401" s="82"/>
      <c r="W1401" s="82"/>
      <c r="X1401" s="82"/>
      <c r="Y1401" s="82"/>
      <c r="Z1401" s="82"/>
      <c r="AA1401" s="82"/>
      <c r="AB1401" s="82"/>
    </row>
    <row r="1402" spans="1:28" s="85" customFormat="1" x14ac:dyDescent="0.25">
      <c r="A1402" s="82"/>
      <c r="B1402" s="82"/>
      <c r="C1402" s="82"/>
      <c r="D1402" s="729"/>
      <c r="E1402" s="371" t="s">
        <v>113</v>
      </c>
      <c r="F1402" s="372">
        <v>1</v>
      </c>
      <c r="G1402" s="373">
        <v>3</v>
      </c>
      <c r="H1402" s="374">
        <v>5</v>
      </c>
      <c r="I1402" s="375">
        <v>0.28999999999999998</v>
      </c>
      <c r="J1402" s="376">
        <f t="shared" si="190"/>
        <v>0.86999999999999988</v>
      </c>
      <c r="K1402" s="66">
        <f t="shared" si="192"/>
        <v>0.13397999999999999</v>
      </c>
      <c r="L1402" s="63">
        <f t="shared" si="193"/>
        <v>0</v>
      </c>
      <c r="M1402" s="63">
        <f t="shared" si="194"/>
        <v>0</v>
      </c>
      <c r="N1402" s="63">
        <f t="shared" si="195"/>
        <v>0</v>
      </c>
      <c r="O1402" s="63">
        <f t="shared" si="196"/>
        <v>0</v>
      </c>
      <c r="P1402" s="63">
        <f t="shared" si="197"/>
        <v>0</v>
      </c>
      <c r="Q1402" s="561">
        <f t="shared" si="191"/>
        <v>0</v>
      </c>
      <c r="R1402" s="174"/>
      <c r="T1402" s="82"/>
      <c r="U1402" s="82"/>
      <c r="V1402" s="82"/>
      <c r="W1402" s="82"/>
      <c r="X1402" s="82"/>
      <c r="Y1402" s="82"/>
      <c r="Z1402" s="82"/>
      <c r="AA1402" s="82"/>
      <c r="AB1402" s="82"/>
    </row>
    <row r="1403" spans="1:28" s="85" customFormat="1" x14ac:dyDescent="0.25">
      <c r="A1403" s="82"/>
      <c r="B1403" s="82"/>
      <c r="C1403" s="82"/>
      <c r="D1403" s="729"/>
      <c r="E1403" s="371" t="s">
        <v>113</v>
      </c>
      <c r="F1403" s="372">
        <v>2</v>
      </c>
      <c r="G1403" s="373">
        <v>3</v>
      </c>
      <c r="H1403" s="374">
        <v>5</v>
      </c>
      <c r="I1403" s="375">
        <v>1.07</v>
      </c>
      <c r="J1403" s="376">
        <f t="shared" si="190"/>
        <v>3.21</v>
      </c>
      <c r="K1403" s="66">
        <f t="shared" si="192"/>
        <v>0.49434</v>
      </c>
      <c r="L1403" s="63">
        <f t="shared" si="193"/>
        <v>0</v>
      </c>
      <c r="M1403" s="63">
        <f t="shared" si="194"/>
        <v>0</v>
      </c>
      <c r="N1403" s="63">
        <f t="shared" si="195"/>
        <v>0</v>
      </c>
      <c r="O1403" s="63">
        <f t="shared" si="196"/>
        <v>0</v>
      </c>
      <c r="P1403" s="63">
        <f t="shared" si="197"/>
        <v>0</v>
      </c>
      <c r="Q1403" s="561">
        <f t="shared" si="191"/>
        <v>0</v>
      </c>
      <c r="R1403" s="174"/>
      <c r="T1403" s="82"/>
      <c r="U1403" s="82"/>
      <c r="V1403" s="82"/>
      <c r="W1403" s="82"/>
      <c r="X1403" s="82"/>
      <c r="Y1403" s="82"/>
      <c r="Z1403" s="82"/>
      <c r="AA1403" s="82"/>
      <c r="AB1403" s="82"/>
    </row>
    <row r="1404" spans="1:28" s="85" customFormat="1" x14ac:dyDescent="0.25">
      <c r="A1404" s="82"/>
      <c r="B1404" s="82"/>
      <c r="C1404" s="82"/>
      <c r="D1404" s="729"/>
      <c r="E1404" s="371" t="s">
        <v>113</v>
      </c>
      <c r="F1404" s="372">
        <v>7</v>
      </c>
      <c r="G1404" s="373">
        <v>10</v>
      </c>
      <c r="H1404" s="374">
        <v>16</v>
      </c>
      <c r="I1404" s="375">
        <v>0.98</v>
      </c>
      <c r="J1404" s="376">
        <f t="shared" si="190"/>
        <v>9.8000000000000007</v>
      </c>
      <c r="K1404" s="66">
        <f t="shared" si="192"/>
        <v>0</v>
      </c>
      <c r="L1404" s="63">
        <f t="shared" si="193"/>
        <v>0</v>
      </c>
      <c r="M1404" s="63">
        <f t="shared" si="194"/>
        <v>0</v>
      </c>
      <c r="N1404" s="63">
        <f t="shared" si="195"/>
        <v>0</v>
      </c>
      <c r="O1404" s="63">
        <f t="shared" si="196"/>
        <v>0</v>
      </c>
      <c r="P1404" s="63">
        <f t="shared" si="197"/>
        <v>15.464400000000001</v>
      </c>
      <c r="Q1404" s="561">
        <f t="shared" si="191"/>
        <v>0</v>
      </c>
      <c r="R1404" s="174"/>
      <c r="T1404" s="82"/>
      <c r="U1404" s="82"/>
      <c r="V1404" s="82"/>
      <c r="W1404" s="82"/>
      <c r="X1404" s="82"/>
      <c r="Y1404" s="82"/>
      <c r="Z1404" s="82"/>
      <c r="AA1404" s="82"/>
      <c r="AB1404" s="82"/>
    </row>
    <row r="1405" spans="1:28" s="85" customFormat="1" x14ac:dyDescent="0.25">
      <c r="A1405" s="82"/>
      <c r="B1405" s="82"/>
      <c r="C1405" s="82"/>
      <c r="D1405" s="729"/>
      <c r="E1405" s="396" t="s">
        <v>184</v>
      </c>
      <c r="F1405" s="403">
        <v>1</v>
      </c>
      <c r="G1405" s="397">
        <v>2</v>
      </c>
      <c r="H1405" s="398">
        <v>5</v>
      </c>
      <c r="I1405" s="399">
        <v>0.28999999999999998</v>
      </c>
      <c r="J1405" s="400">
        <f t="shared" si="190"/>
        <v>0.57999999999999996</v>
      </c>
      <c r="K1405" s="401">
        <f t="shared" si="192"/>
        <v>8.9319999999999997E-2</v>
      </c>
      <c r="L1405" s="196">
        <f t="shared" si="193"/>
        <v>0</v>
      </c>
      <c r="M1405" s="196">
        <f t="shared" si="194"/>
        <v>0</v>
      </c>
      <c r="N1405" s="196">
        <f t="shared" si="195"/>
        <v>0</v>
      </c>
      <c r="O1405" s="196">
        <f t="shared" si="196"/>
        <v>0</v>
      </c>
      <c r="P1405" s="196">
        <f t="shared" si="197"/>
        <v>0</v>
      </c>
      <c r="Q1405" s="566">
        <f t="shared" si="191"/>
        <v>0</v>
      </c>
      <c r="R1405" s="538"/>
      <c r="T1405" s="82"/>
      <c r="U1405" s="82"/>
      <c r="V1405" s="82"/>
      <c r="W1405" s="82"/>
      <c r="X1405" s="82"/>
      <c r="Y1405" s="82"/>
      <c r="Z1405" s="82"/>
      <c r="AA1405" s="82"/>
      <c r="AB1405" s="82"/>
    </row>
    <row r="1406" spans="1:28" s="85" customFormat="1" x14ac:dyDescent="0.25">
      <c r="A1406" s="82"/>
      <c r="B1406" s="82"/>
      <c r="C1406" s="82"/>
      <c r="D1406" s="729"/>
      <c r="E1406" s="371" t="s">
        <v>184</v>
      </c>
      <c r="F1406" s="372">
        <v>2</v>
      </c>
      <c r="G1406" s="373">
        <v>4</v>
      </c>
      <c r="H1406" s="374">
        <v>5</v>
      </c>
      <c r="I1406" s="375">
        <v>0.74</v>
      </c>
      <c r="J1406" s="376">
        <f t="shared" si="190"/>
        <v>2.96</v>
      </c>
      <c r="K1406" s="66">
        <f t="shared" si="192"/>
        <v>0.45583999999999997</v>
      </c>
      <c r="L1406" s="63">
        <f t="shared" si="193"/>
        <v>0</v>
      </c>
      <c r="M1406" s="63">
        <f t="shared" si="194"/>
        <v>0</v>
      </c>
      <c r="N1406" s="63">
        <f t="shared" si="195"/>
        <v>0</v>
      </c>
      <c r="O1406" s="63">
        <f t="shared" si="196"/>
        <v>0</v>
      </c>
      <c r="P1406" s="63">
        <f t="shared" si="197"/>
        <v>0</v>
      </c>
      <c r="Q1406" s="562">
        <f t="shared" si="191"/>
        <v>0</v>
      </c>
      <c r="R1406" s="377"/>
      <c r="T1406" s="82"/>
      <c r="U1406" s="82"/>
      <c r="V1406" s="82"/>
      <c r="W1406" s="82"/>
      <c r="X1406" s="82"/>
      <c r="Y1406" s="82"/>
      <c r="Z1406" s="82"/>
      <c r="AA1406" s="82"/>
      <c r="AB1406" s="82"/>
    </row>
    <row r="1407" spans="1:28" s="85" customFormat="1" x14ac:dyDescent="0.25">
      <c r="A1407" s="82"/>
      <c r="B1407" s="82"/>
      <c r="C1407" s="82"/>
      <c r="D1407" s="729"/>
      <c r="E1407" s="371" t="s">
        <v>184</v>
      </c>
      <c r="F1407" s="372">
        <v>12</v>
      </c>
      <c r="G1407" s="373">
        <v>10</v>
      </c>
      <c r="H1407" s="374">
        <v>16</v>
      </c>
      <c r="I1407" s="375">
        <v>0.32</v>
      </c>
      <c r="J1407" s="376">
        <f t="shared" si="190"/>
        <v>3.2</v>
      </c>
      <c r="K1407" s="66">
        <f t="shared" si="192"/>
        <v>0</v>
      </c>
      <c r="L1407" s="63">
        <f t="shared" si="193"/>
        <v>0</v>
      </c>
      <c r="M1407" s="63">
        <f t="shared" si="194"/>
        <v>0</v>
      </c>
      <c r="N1407" s="63">
        <f t="shared" si="195"/>
        <v>0</v>
      </c>
      <c r="O1407" s="63">
        <f t="shared" si="196"/>
        <v>0</v>
      </c>
      <c r="P1407" s="63">
        <f t="shared" si="197"/>
        <v>5.0496000000000008</v>
      </c>
      <c r="Q1407" s="562">
        <f t="shared" si="191"/>
        <v>0</v>
      </c>
      <c r="R1407" s="377"/>
      <c r="T1407" s="82"/>
      <c r="U1407" s="82"/>
      <c r="V1407" s="82"/>
      <c r="W1407" s="82"/>
      <c r="X1407" s="82"/>
      <c r="Y1407" s="82"/>
      <c r="Z1407" s="82"/>
      <c r="AA1407" s="82"/>
      <c r="AB1407" s="82"/>
    </row>
    <row r="1408" spans="1:28" s="85" customFormat="1" ht="13.8" thickBot="1" x14ac:dyDescent="0.3">
      <c r="A1408" s="82"/>
      <c r="B1408" s="82"/>
      <c r="C1408" s="82"/>
      <c r="D1408" s="731"/>
      <c r="E1408" s="390" t="s">
        <v>184</v>
      </c>
      <c r="F1408" s="391"/>
      <c r="G1408" s="392"/>
      <c r="H1408" s="393"/>
      <c r="I1408" s="394"/>
      <c r="J1408" s="395">
        <f t="shared" si="190"/>
        <v>0</v>
      </c>
      <c r="K1408" s="221">
        <f t="shared" si="192"/>
        <v>0</v>
      </c>
      <c r="L1408" s="222">
        <f t="shared" si="193"/>
        <v>0</v>
      </c>
      <c r="M1408" s="222">
        <f t="shared" si="194"/>
        <v>0</v>
      </c>
      <c r="N1408" s="222">
        <f t="shared" si="195"/>
        <v>0</v>
      </c>
      <c r="O1408" s="222">
        <f t="shared" si="196"/>
        <v>0</v>
      </c>
      <c r="P1408" s="222">
        <f t="shared" si="197"/>
        <v>0</v>
      </c>
      <c r="Q1408" s="564">
        <f t="shared" si="191"/>
        <v>0</v>
      </c>
      <c r="R1408" s="539"/>
      <c r="T1408" s="82"/>
      <c r="U1408" s="82"/>
      <c r="V1408" s="82"/>
      <c r="W1408" s="82"/>
      <c r="X1408" s="82"/>
      <c r="Y1408" s="82"/>
      <c r="Z1408" s="82"/>
      <c r="AA1408" s="82"/>
      <c r="AB1408" s="82"/>
    </row>
    <row r="1409" spans="1:28" s="85" customFormat="1" ht="13.8" thickTop="1" x14ac:dyDescent="0.25">
      <c r="A1409" s="82"/>
      <c r="B1409" s="82"/>
      <c r="C1409" s="82"/>
      <c r="D1409" s="728" t="s">
        <v>1807</v>
      </c>
      <c r="E1409" s="384" t="s">
        <v>49</v>
      </c>
      <c r="F1409" s="385">
        <v>4</v>
      </c>
      <c r="G1409" s="386">
        <v>5</v>
      </c>
      <c r="H1409" s="387">
        <v>5</v>
      </c>
      <c r="I1409" s="388">
        <v>0.95</v>
      </c>
      <c r="J1409" s="389">
        <f t="shared" si="190"/>
        <v>4.75</v>
      </c>
      <c r="K1409" s="218">
        <f t="shared" si="192"/>
        <v>0.73150000000000004</v>
      </c>
      <c r="L1409" s="219">
        <f t="shared" si="193"/>
        <v>0</v>
      </c>
      <c r="M1409" s="219">
        <f t="shared" si="194"/>
        <v>0</v>
      </c>
      <c r="N1409" s="219">
        <f t="shared" si="195"/>
        <v>0</v>
      </c>
      <c r="O1409" s="219">
        <f t="shared" si="196"/>
        <v>0</v>
      </c>
      <c r="P1409" s="219">
        <f t="shared" si="197"/>
        <v>0</v>
      </c>
      <c r="Q1409" s="563">
        <f t="shared" si="191"/>
        <v>0</v>
      </c>
      <c r="R1409" s="220"/>
      <c r="T1409" s="82"/>
      <c r="U1409" s="82"/>
      <c r="V1409" s="82"/>
      <c r="W1409" s="82"/>
      <c r="X1409" s="82"/>
      <c r="Y1409" s="82"/>
      <c r="Z1409" s="82"/>
      <c r="AA1409" s="82"/>
      <c r="AB1409" s="82"/>
    </row>
    <row r="1410" spans="1:28" s="85" customFormat="1" x14ac:dyDescent="0.25">
      <c r="A1410" s="82"/>
      <c r="B1410" s="82"/>
      <c r="C1410" s="82"/>
      <c r="D1410" s="729"/>
      <c r="E1410" s="371" t="s">
        <v>49</v>
      </c>
      <c r="F1410" s="372">
        <v>5</v>
      </c>
      <c r="G1410" s="373">
        <v>8</v>
      </c>
      <c r="H1410" s="374">
        <v>5</v>
      </c>
      <c r="I1410" s="375">
        <v>0.65</v>
      </c>
      <c r="J1410" s="376">
        <f t="shared" si="190"/>
        <v>5.2</v>
      </c>
      <c r="K1410" s="66">
        <f t="shared" si="192"/>
        <v>0.80080000000000007</v>
      </c>
      <c r="L1410" s="63">
        <f t="shared" si="193"/>
        <v>0</v>
      </c>
      <c r="M1410" s="63">
        <f t="shared" si="194"/>
        <v>0</v>
      </c>
      <c r="N1410" s="63">
        <f t="shared" si="195"/>
        <v>0</v>
      </c>
      <c r="O1410" s="63">
        <f t="shared" si="196"/>
        <v>0</v>
      </c>
      <c r="P1410" s="63">
        <f t="shared" si="197"/>
        <v>0</v>
      </c>
      <c r="Q1410" s="561">
        <f t="shared" si="191"/>
        <v>0</v>
      </c>
      <c r="R1410" s="174"/>
      <c r="T1410" s="82"/>
      <c r="U1410" s="82"/>
      <c r="V1410" s="82"/>
      <c r="W1410" s="82"/>
      <c r="X1410" s="82"/>
      <c r="Y1410" s="82"/>
      <c r="Z1410" s="82"/>
      <c r="AA1410" s="82"/>
      <c r="AB1410" s="82"/>
    </row>
    <row r="1411" spans="1:28" s="85" customFormat="1" x14ac:dyDescent="0.25">
      <c r="A1411" s="82"/>
      <c r="B1411" s="82"/>
      <c r="C1411" s="82"/>
      <c r="D1411" s="729"/>
      <c r="E1411" s="371" t="s">
        <v>49</v>
      </c>
      <c r="F1411" s="372">
        <v>34</v>
      </c>
      <c r="G1411" s="373">
        <v>8</v>
      </c>
      <c r="H1411" s="374">
        <v>10</v>
      </c>
      <c r="I1411" s="375">
        <v>1.37</v>
      </c>
      <c r="J1411" s="376">
        <f t="shared" si="190"/>
        <v>10.96</v>
      </c>
      <c r="K1411" s="66">
        <f t="shared" si="192"/>
        <v>0</v>
      </c>
      <c r="L1411" s="63">
        <f t="shared" si="193"/>
        <v>0</v>
      </c>
      <c r="M1411" s="63">
        <f t="shared" si="194"/>
        <v>0</v>
      </c>
      <c r="N1411" s="63">
        <f t="shared" si="195"/>
        <v>6.7623200000000008</v>
      </c>
      <c r="O1411" s="63">
        <f t="shared" si="196"/>
        <v>0</v>
      </c>
      <c r="P1411" s="63">
        <f t="shared" si="197"/>
        <v>0</v>
      </c>
      <c r="Q1411" s="561">
        <f t="shared" si="191"/>
        <v>0</v>
      </c>
      <c r="R1411" s="174"/>
      <c r="T1411" s="82"/>
      <c r="U1411" s="82"/>
      <c r="V1411" s="82"/>
      <c r="W1411" s="82"/>
      <c r="X1411" s="82"/>
      <c r="Y1411" s="82"/>
      <c r="Z1411" s="82"/>
      <c r="AA1411" s="82"/>
      <c r="AB1411" s="82"/>
    </row>
    <row r="1412" spans="1:28" s="85" customFormat="1" x14ac:dyDescent="0.25">
      <c r="A1412" s="82"/>
      <c r="B1412" s="82"/>
      <c r="C1412" s="82"/>
      <c r="D1412" s="729"/>
      <c r="E1412" s="371" t="s">
        <v>113</v>
      </c>
      <c r="F1412" s="372">
        <v>2</v>
      </c>
      <c r="G1412" s="373">
        <v>25</v>
      </c>
      <c r="H1412" s="374">
        <v>5</v>
      </c>
      <c r="I1412" s="375">
        <v>1.07</v>
      </c>
      <c r="J1412" s="376">
        <f t="shared" si="190"/>
        <v>26.75</v>
      </c>
      <c r="K1412" s="66">
        <f t="shared" si="192"/>
        <v>4.1195000000000004</v>
      </c>
      <c r="L1412" s="63">
        <f t="shared" si="193"/>
        <v>0</v>
      </c>
      <c r="M1412" s="63">
        <f t="shared" si="194"/>
        <v>0</v>
      </c>
      <c r="N1412" s="63">
        <f t="shared" si="195"/>
        <v>0</v>
      </c>
      <c r="O1412" s="63">
        <f t="shared" si="196"/>
        <v>0</v>
      </c>
      <c r="P1412" s="63">
        <f t="shared" si="197"/>
        <v>0</v>
      </c>
      <c r="Q1412" s="561">
        <f t="shared" si="191"/>
        <v>0</v>
      </c>
      <c r="R1412" s="174"/>
      <c r="T1412" s="82"/>
      <c r="U1412" s="82"/>
      <c r="V1412" s="82"/>
      <c r="W1412" s="82"/>
      <c r="X1412" s="82"/>
      <c r="Y1412" s="82"/>
      <c r="Z1412" s="82"/>
      <c r="AA1412" s="82"/>
      <c r="AB1412" s="82"/>
    </row>
    <row r="1413" spans="1:28" s="85" customFormat="1" x14ac:dyDescent="0.25">
      <c r="A1413" s="82"/>
      <c r="B1413" s="82"/>
      <c r="C1413" s="82"/>
      <c r="D1413" s="729"/>
      <c r="E1413" s="371" t="s">
        <v>113</v>
      </c>
      <c r="F1413" s="372">
        <v>5</v>
      </c>
      <c r="G1413" s="373">
        <v>50</v>
      </c>
      <c r="H1413" s="374">
        <v>5</v>
      </c>
      <c r="I1413" s="375">
        <v>0.28999999999999998</v>
      </c>
      <c r="J1413" s="376">
        <f t="shared" si="190"/>
        <v>14.499999999999998</v>
      </c>
      <c r="K1413" s="66">
        <f t="shared" si="192"/>
        <v>2.2329999999999997</v>
      </c>
      <c r="L1413" s="63">
        <f t="shared" si="193"/>
        <v>0</v>
      </c>
      <c r="M1413" s="63">
        <f t="shared" si="194"/>
        <v>0</v>
      </c>
      <c r="N1413" s="63">
        <f t="shared" si="195"/>
        <v>0</v>
      </c>
      <c r="O1413" s="63">
        <f t="shared" si="196"/>
        <v>0</v>
      </c>
      <c r="P1413" s="63">
        <f t="shared" si="197"/>
        <v>0</v>
      </c>
      <c r="Q1413" s="561">
        <f t="shared" si="191"/>
        <v>0</v>
      </c>
      <c r="R1413" s="174"/>
      <c r="T1413" s="82"/>
      <c r="U1413" s="82"/>
      <c r="V1413" s="82"/>
      <c r="W1413" s="82"/>
      <c r="X1413" s="82"/>
      <c r="Y1413" s="82"/>
      <c r="Z1413" s="82"/>
      <c r="AA1413" s="82"/>
      <c r="AB1413" s="82"/>
    </row>
    <row r="1414" spans="1:28" s="85" customFormat="1" x14ac:dyDescent="0.25">
      <c r="A1414" s="82"/>
      <c r="B1414" s="82"/>
      <c r="C1414" s="82"/>
      <c r="D1414" s="729"/>
      <c r="E1414" s="371" t="s">
        <v>113</v>
      </c>
      <c r="F1414" s="372">
        <v>15</v>
      </c>
      <c r="G1414" s="373">
        <v>8</v>
      </c>
      <c r="H1414" s="374">
        <v>10</v>
      </c>
      <c r="I1414" s="375">
        <v>3.33</v>
      </c>
      <c r="J1414" s="376">
        <f t="shared" si="190"/>
        <v>26.64</v>
      </c>
      <c r="K1414" s="66">
        <f t="shared" si="192"/>
        <v>0</v>
      </c>
      <c r="L1414" s="63">
        <f t="shared" si="193"/>
        <v>0</v>
      </c>
      <c r="M1414" s="63">
        <f t="shared" si="194"/>
        <v>0</v>
      </c>
      <c r="N1414" s="63">
        <f t="shared" si="195"/>
        <v>16.436879999999999</v>
      </c>
      <c r="O1414" s="63">
        <f t="shared" si="196"/>
        <v>0</v>
      </c>
      <c r="P1414" s="63">
        <f t="shared" si="197"/>
        <v>0</v>
      </c>
      <c r="Q1414" s="561">
        <f t="shared" si="191"/>
        <v>0</v>
      </c>
      <c r="R1414" s="174"/>
      <c r="T1414" s="82"/>
      <c r="U1414" s="82"/>
      <c r="V1414" s="82"/>
      <c r="W1414" s="82"/>
      <c r="X1414" s="82"/>
      <c r="Y1414" s="82"/>
      <c r="Z1414" s="82"/>
      <c r="AA1414" s="82"/>
      <c r="AB1414" s="82"/>
    </row>
    <row r="1415" spans="1:28" s="85" customFormat="1" x14ac:dyDescent="0.25">
      <c r="A1415" s="82"/>
      <c r="B1415" s="82"/>
      <c r="C1415" s="82"/>
      <c r="D1415" s="729"/>
      <c r="E1415" s="396" t="s">
        <v>184</v>
      </c>
      <c r="F1415" s="403">
        <v>4</v>
      </c>
      <c r="G1415" s="397">
        <v>6</v>
      </c>
      <c r="H1415" s="398">
        <v>5</v>
      </c>
      <c r="I1415" s="399">
        <v>0.28999999999999998</v>
      </c>
      <c r="J1415" s="400">
        <f t="shared" si="190"/>
        <v>1.7399999999999998</v>
      </c>
      <c r="K1415" s="401">
        <f t="shared" si="192"/>
        <v>0.26795999999999998</v>
      </c>
      <c r="L1415" s="196">
        <f t="shared" si="193"/>
        <v>0</v>
      </c>
      <c r="M1415" s="196">
        <f t="shared" si="194"/>
        <v>0</v>
      </c>
      <c r="N1415" s="196">
        <f t="shared" si="195"/>
        <v>0</v>
      </c>
      <c r="O1415" s="196">
        <f t="shared" si="196"/>
        <v>0</v>
      </c>
      <c r="P1415" s="196">
        <f t="shared" si="197"/>
        <v>0</v>
      </c>
      <c r="Q1415" s="566">
        <f t="shared" si="191"/>
        <v>0</v>
      </c>
      <c r="R1415" s="538"/>
      <c r="T1415" s="82"/>
      <c r="U1415" s="82"/>
      <c r="V1415" s="82"/>
      <c r="W1415" s="82"/>
      <c r="X1415" s="82"/>
      <c r="Y1415" s="82"/>
      <c r="Z1415" s="82"/>
      <c r="AA1415" s="82"/>
      <c r="AB1415" s="82"/>
    </row>
    <row r="1416" spans="1:28" s="85" customFormat="1" x14ac:dyDescent="0.25">
      <c r="A1416" s="82"/>
      <c r="B1416" s="82"/>
      <c r="C1416" s="82"/>
      <c r="D1416" s="729"/>
      <c r="E1416" s="371" t="s">
        <v>184</v>
      </c>
      <c r="F1416" s="372">
        <v>7</v>
      </c>
      <c r="G1416" s="373">
        <v>3</v>
      </c>
      <c r="H1416" s="374">
        <v>5</v>
      </c>
      <c r="I1416" s="375">
        <v>1.07</v>
      </c>
      <c r="J1416" s="376">
        <f t="shared" si="190"/>
        <v>3.21</v>
      </c>
      <c r="K1416" s="66">
        <f t="shared" si="192"/>
        <v>0.49434</v>
      </c>
      <c r="L1416" s="63">
        <f t="shared" si="193"/>
        <v>0</v>
      </c>
      <c r="M1416" s="63">
        <f t="shared" si="194"/>
        <v>0</v>
      </c>
      <c r="N1416" s="63">
        <f t="shared" si="195"/>
        <v>0</v>
      </c>
      <c r="O1416" s="63">
        <f t="shared" si="196"/>
        <v>0</v>
      </c>
      <c r="P1416" s="63">
        <f t="shared" si="197"/>
        <v>0</v>
      </c>
      <c r="Q1416" s="562">
        <f t="shared" si="191"/>
        <v>0</v>
      </c>
      <c r="R1416" s="377"/>
      <c r="T1416" s="82"/>
      <c r="U1416" s="82"/>
      <c r="V1416" s="82"/>
      <c r="W1416" s="82"/>
      <c r="X1416" s="82"/>
      <c r="Y1416" s="82"/>
      <c r="Z1416" s="82"/>
      <c r="AA1416" s="82"/>
      <c r="AB1416" s="82"/>
    </row>
    <row r="1417" spans="1:28" s="85" customFormat="1" x14ac:dyDescent="0.25">
      <c r="A1417" s="82"/>
      <c r="B1417" s="82"/>
      <c r="C1417" s="82"/>
      <c r="D1417" s="729"/>
      <c r="E1417" s="371" t="s">
        <v>184</v>
      </c>
      <c r="F1417" s="372">
        <v>9</v>
      </c>
      <c r="G1417" s="373">
        <v>8</v>
      </c>
      <c r="H1417" s="374">
        <v>10</v>
      </c>
      <c r="I1417" s="375">
        <v>0.68</v>
      </c>
      <c r="J1417" s="376">
        <f t="shared" si="190"/>
        <v>5.44</v>
      </c>
      <c r="K1417" s="66">
        <f t="shared" si="192"/>
        <v>0</v>
      </c>
      <c r="L1417" s="63">
        <f t="shared" si="193"/>
        <v>0</v>
      </c>
      <c r="M1417" s="63">
        <f t="shared" si="194"/>
        <v>0</v>
      </c>
      <c r="N1417" s="63">
        <f t="shared" si="195"/>
        <v>3.3564800000000004</v>
      </c>
      <c r="O1417" s="63">
        <f t="shared" si="196"/>
        <v>0</v>
      </c>
      <c r="P1417" s="63">
        <f t="shared" si="197"/>
        <v>0</v>
      </c>
      <c r="Q1417" s="562">
        <f t="shared" si="191"/>
        <v>0</v>
      </c>
      <c r="R1417" s="377"/>
      <c r="T1417" s="82"/>
      <c r="U1417" s="82"/>
      <c r="V1417" s="82"/>
      <c r="W1417" s="82"/>
      <c r="X1417" s="82"/>
      <c r="Y1417" s="82"/>
      <c r="Z1417" s="82"/>
      <c r="AA1417" s="82"/>
      <c r="AB1417" s="82"/>
    </row>
    <row r="1418" spans="1:28" s="85" customFormat="1" x14ac:dyDescent="0.25">
      <c r="A1418" s="82"/>
      <c r="B1418" s="82"/>
      <c r="C1418" s="82"/>
      <c r="D1418" s="729"/>
      <c r="E1418" s="371" t="s">
        <v>184</v>
      </c>
      <c r="F1418" s="372">
        <v>1</v>
      </c>
      <c r="G1418" s="373">
        <v>14</v>
      </c>
      <c r="H1418" s="374">
        <v>5</v>
      </c>
      <c r="I1418" s="375">
        <v>0.28999999999999998</v>
      </c>
      <c r="J1418" s="376">
        <f t="shared" si="190"/>
        <v>4.0599999999999996</v>
      </c>
      <c r="K1418" s="66">
        <f t="shared" si="192"/>
        <v>0.62523999999999991</v>
      </c>
      <c r="L1418" s="63">
        <f t="shared" si="193"/>
        <v>0</v>
      </c>
      <c r="M1418" s="63">
        <f t="shared" si="194"/>
        <v>0</v>
      </c>
      <c r="N1418" s="63">
        <f t="shared" si="195"/>
        <v>0</v>
      </c>
      <c r="O1418" s="63">
        <f t="shared" si="196"/>
        <v>0</v>
      </c>
      <c r="P1418" s="63">
        <f t="shared" si="197"/>
        <v>0</v>
      </c>
      <c r="Q1418" s="562">
        <f t="shared" si="191"/>
        <v>0</v>
      </c>
      <c r="R1418" s="377"/>
      <c r="T1418" s="82"/>
      <c r="U1418" s="82"/>
      <c r="V1418" s="82"/>
      <c r="W1418" s="82"/>
      <c r="X1418" s="82"/>
      <c r="Y1418" s="82"/>
      <c r="Z1418" s="82"/>
      <c r="AA1418" s="82"/>
      <c r="AB1418" s="82"/>
    </row>
    <row r="1419" spans="1:28" s="85" customFormat="1" x14ac:dyDescent="0.25">
      <c r="A1419" s="82"/>
      <c r="B1419" s="82"/>
      <c r="C1419" s="82"/>
      <c r="D1419" s="729"/>
      <c r="E1419" s="371" t="s">
        <v>184</v>
      </c>
      <c r="F1419" s="372">
        <v>2</v>
      </c>
      <c r="G1419" s="373">
        <v>5</v>
      </c>
      <c r="H1419" s="374">
        <v>5</v>
      </c>
      <c r="I1419" s="375">
        <v>1.07</v>
      </c>
      <c r="J1419" s="376">
        <f t="shared" si="190"/>
        <v>5.3500000000000005</v>
      </c>
      <c r="K1419" s="66">
        <f t="shared" si="192"/>
        <v>0.82390000000000008</v>
      </c>
      <c r="L1419" s="63">
        <f t="shared" si="193"/>
        <v>0</v>
      </c>
      <c r="M1419" s="63">
        <f t="shared" si="194"/>
        <v>0</v>
      </c>
      <c r="N1419" s="63">
        <f t="shared" si="195"/>
        <v>0</v>
      </c>
      <c r="O1419" s="63">
        <f t="shared" si="196"/>
        <v>0</v>
      </c>
      <c r="P1419" s="63">
        <f t="shared" si="197"/>
        <v>0</v>
      </c>
      <c r="Q1419" s="562">
        <f t="shared" si="191"/>
        <v>0</v>
      </c>
      <c r="R1419" s="377"/>
      <c r="T1419" s="82"/>
      <c r="U1419" s="82"/>
      <c r="V1419" s="82"/>
      <c r="W1419" s="82"/>
      <c r="X1419" s="82"/>
      <c r="Y1419" s="82"/>
      <c r="Z1419" s="82"/>
      <c r="AA1419" s="82"/>
      <c r="AB1419" s="82"/>
    </row>
    <row r="1420" spans="1:28" s="85" customFormat="1" x14ac:dyDescent="0.25">
      <c r="A1420" s="82"/>
      <c r="B1420" s="82"/>
      <c r="C1420" s="82"/>
      <c r="D1420" s="729"/>
      <c r="E1420" s="371" t="s">
        <v>184</v>
      </c>
      <c r="F1420" s="372">
        <v>3</v>
      </c>
      <c r="G1420" s="373">
        <v>4</v>
      </c>
      <c r="H1420" s="374">
        <v>5</v>
      </c>
      <c r="I1420" s="375">
        <v>0.74</v>
      </c>
      <c r="J1420" s="376">
        <f t="shared" si="190"/>
        <v>2.96</v>
      </c>
      <c r="K1420" s="66">
        <f t="shared" si="192"/>
        <v>0.45583999999999997</v>
      </c>
      <c r="L1420" s="63">
        <f t="shared" si="193"/>
        <v>0</v>
      </c>
      <c r="M1420" s="63">
        <f t="shared" si="194"/>
        <v>0</v>
      </c>
      <c r="N1420" s="63">
        <f t="shared" si="195"/>
        <v>0</v>
      </c>
      <c r="O1420" s="63">
        <f t="shared" si="196"/>
        <v>0</v>
      </c>
      <c r="P1420" s="63">
        <f t="shared" si="197"/>
        <v>0</v>
      </c>
      <c r="Q1420" s="562">
        <f t="shared" si="191"/>
        <v>0</v>
      </c>
      <c r="R1420" s="377"/>
      <c r="T1420" s="82"/>
      <c r="U1420" s="82"/>
      <c r="V1420" s="82"/>
      <c r="W1420" s="82"/>
      <c r="X1420" s="82"/>
      <c r="Y1420" s="82"/>
      <c r="Z1420" s="82"/>
      <c r="AA1420" s="82"/>
      <c r="AB1420" s="82"/>
    </row>
    <row r="1421" spans="1:28" s="85" customFormat="1" ht="13.8" thickBot="1" x14ac:dyDescent="0.3">
      <c r="A1421" s="82"/>
      <c r="B1421" s="82"/>
      <c r="C1421" s="82"/>
      <c r="D1421" s="729"/>
      <c r="E1421" s="390" t="s">
        <v>184</v>
      </c>
      <c r="F1421" s="391">
        <v>21</v>
      </c>
      <c r="G1421" s="392">
        <v>8</v>
      </c>
      <c r="H1421" s="393">
        <v>10</v>
      </c>
      <c r="I1421" s="394">
        <v>0.67</v>
      </c>
      <c r="J1421" s="395">
        <f t="shared" si="190"/>
        <v>5.36</v>
      </c>
      <c r="K1421" s="221">
        <f t="shared" si="192"/>
        <v>0</v>
      </c>
      <c r="L1421" s="222">
        <f t="shared" si="193"/>
        <v>0</v>
      </c>
      <c r="M1421" s="222">
        <f t="shared" si="194"/>
        <v>0</v>
      </c>
      <c r="N1421" s="222">
        <f t="shared" si="195"/>
        <v>3.3071200000000003</v>
      </c>
      <c r="O1421" s="222">
        <f t="shared" si="196"/>
        <v>0</v>
      </c>
      <c r="P1421" s="222">
        <f t="shared" si="197"/>
        <v>0</v>
      </c>
      <c r="Q1421" s="564">
        <f t="shared" si="191"/>
        <v>0</v>
      </c>
      <c r="R1421" s="539"/>
      <c r="T1421" s="82"/>
      <c r="U1421" s="82"/>
      <c r="V1421" s="82"/>
      <c r="W1421" s="82"/>
      <c r="X1421" s="82"/>
      <c r="Y1421" s="82"/>
      <c r="Z1421" s="82"/>
      <c r="AA1421" s="82"/>
      <c r="AB1421" s="82"/>
    </row>
    <row r="1422" spans="1:28" s="85" customFormat="1" ht="13.8" thickTop="1" x14ac:dyDescent="0.25">
      <c r="A1422" s="82"/>
      <c r="B1422" s="82"/>
      <c r="C1422" s="82"/>
      <c r="D1422" s="728" t="s">
        <v>1808</v>
      </c>
      <c r="E1422" s="384" t="s">
        <v>49</v>
      </c>
      <c r="F1422" s="385">
        <v>3</v>
      </c>
      <c r="G1422" s="386">
        <v>14</v>
      </c>
      <c r="H1422" s="387">
        <v>5</v>
      </c>
      <c r="I1422" s="388">
        <v>0.26</v>
      </c>
      <c r="J1422" s="389">
        <f t="shared" si="190"/>
        <v>3.64</v>
      </c>
      <c r="K1422" s="218">
        <f t="shared" si="192"/>
        <v>0.56056000000000006</v>
      </c>
      <c r="L1422" s="219">
        <f t="shared" si="193"/>
        <v>0</v>
      </c>
      <c r="M1422" s="219">
        <f t="shared" si="194"/>
        <v>0</v>
      </c>
      <c r="N1422" s="219">
        <f t="shared" si="195"/>
        <v>0</v>
      </c>
      <c r="O1422" s="219">
        <f t="shared" si="196"/>
        <v>0</v>
      </c>
      <c r="P1422" s="219">
        <f t="shared" si="197"/>
        <v>0</v>
      </c>
      <c r="Q1422" s="563">
        <f t="shared" si="191"/>
        <v>0</v>
      </c>
      <c r="R1422" s="220"/>
      <c r="T1422" s="82"/>
      <c r="U1422" s="82"/>
      <c r="V1422" s="82"/>
      <c r="W1422" s="82"/>
      <c r="X1422" s="82"/>
      <c r="Y1422" s="82"/>
      <c r="Z1422" s="82"/>
      <c r="AA1422" s="82"/>
      <c r="AB1422" s="82"/>
    </row>
    <row r="1423" spans="1:28" s="85" customFormat="1" x14ac:dyDescent="0.25">
      <c r="A1423" s="82"/>
      <c r="B1423" s="82"/>
      <c r="C1423" s="82"/>
      <c r="D1423" s="729"/>
      <c r="E1423" s="371" t="s">
        <v>49</v>
      </c>
      <c r="F1423" s="372">
        <v>27</v>
      </c>
      <c r="G1423" s="373">
        <v>4</v>
      </c>
      <c r="H1423" s="374">
        <v>5</v>
      </c>
      <c r="I1423" s="375">
        <v>1.35</v>
      </c>
      <c r="J1423" s="376">
        <f t="shared" si="190"/>
        <v>5.4</v>
      </c>
      <c r="K1423" s="66">
        <f t="shared" si="192"/>
        <v>0.83160000000000001</v>
      </c>
      <c r="L1423" s="63">
        <f t="shared" si="193"/>
        <v>0</v>
      </c>
      <c r="M1423" s="63">
        <f t="shared" si="194"/>
        <v>0</v>
      </c>
      <c r="N1423" s="63">
        <f t="shared" si="195"/>
        <v>0</v>
      </c>
      <c r="O1423" s="63">
        <f t="shared" si="196"/>
        <v>0</v>
      </c>
      <c r="P1423" s="63">
        <f t="shared" si="197"/>
        <v>0</v>
      </c>
      <c r="Q1423" s="561">
        <f t="shared" si="191"/>
        <v>0</v>
      </c>
      <c r="R1423" s="174"/>
      <c r="T1423" s="82"/>
      <c r="U1423" s="82"/>
      <c r="V1423" s="82"/>
      <c r="W1423" s="82"/>
      <c r="X1423" s="82"/>
      <c r="Y1423" s="82"/>
      <c r="Z1423" s="82"/>
      <c r="AA1423" s="82"/>
      <c r="AB1423" s="82"/>
    </row>
    <row r="1424" spans="1:28" s="85" customFormat="1" x14ac:dyDescent="0.25">
      <c r="A1424" s="82"/>
      <c r="B1424" s="82"/>
      <c r="C1424" s="82"/>
      <c r="D1424" s="729"/>
      <c r="E1424" s="371" t="s">
        <v>49</v>
      </c>
      <c r="F1424" s="372">
        <v>28</v>
      </c>
      <c r="G1424" s="373">
        <v>6</v>
      </c>
      <c r="H1424" s="374">
        <v>5</v>
      </c>
      <c r="I1424" s="375">
        <v>0.85</v>
      </c>
      <c r="J1424" s="376">
        <f t="shared" si="190"/>
        <v>5.0999999999999996</v>
      </c>
      <c r="K1424" s="66">
        <f t="shared" si="192"/>
        <v>0.78539999999999999</v>
      </c>
      <c r="L1424" s="63">
        <f t="shared" si="193"/>
        <v>0</v>
      </c>
      <c r="M1424" s="63">
        <f t="shared" si="194"/>
        <v>0</v>
      </c>
      <c r="N1424" s="63">
        <f t="shared" si="195"/>
        <v>0</v>
      </c>
      <c r="O1424" s="63">
        <f t="shared" si="196"/>
        <v>0</v>
      </c>
      <c r="P1424" s="63">
        <f t="shared" si="197"/>
        <v>0</v>
      </c>
      <c r="Q1424" s="561">
        <f t="shared" si="191"/>
        <v>0</v>
      </c>
      <c r="R1424" s="174"/>
      <c r="T1424" s="82"/>
      <c r="U1424" s="82"/>
      <c r="V1424" s="82"/>
      <c r="W1424" s="82"/>
      <c r="X1424" s="82"/>
      <c r="Y1424" s="82"/>
      <c r="Z1424" s="82"/>
      <c r="AA1424" s="82"/>
      <c r="AB1424" s="82"/>
    </row>
    <row r="1425" spans="1:28" s="85" customFormat="1" x14ac:dyDescent="0.25">
      <c r="A1425" s="82"/>
      <c r="B1425" s="82"/>
      <c r="C1425" s="82"/>
      <c r="D1425" s="729"/>
      <c r="E1425" s="371" t="s">
        <v>49</v>
      </c>
      <c r="F1425" s="372">
        <v>39</v>
      </c>
      <c r="G1425" s="373">
        <v>8</v>
      </c>
      <c r="H1425" s="374">
        <v>16</v>
      </c>
      <c r="I1425" s="375">
        <v>1.55</v>
      </c>
      <c r="J1425" s="376">
        <f t="shared" ref="J1425" si="198">G1425*I1425</f>
        <v>12.4</v>
      </c>
      <c r="K1425" s="66">
        <f t="shared" si="192"/>
        <v>0</v>
      </c>
      <c r="L1425" s="63">
        <f t="shared" si="193"/>
        <v>0</v>
      </c>
      <c r="M1425" s="63">
        <f t="shared" si="194"/>
        <v>0</v>
      </c>
      <c r="N1425" s="63">
        <f t="shared" si="195"/>
        <v>0</v>
      </c>
      <c r="O1425" s="63">
        <f t="shared" si="196"/>
        <v>0</v>
      </c>
      <c r="P1425" s="63">
        <f t="shared" si="197"/>
        <v>19.5672</v>
      </c>
      <c r="Q1425" s="561">
        <f t="shared" si="191"/>
        <v>0</v>
      </c>
      <c r="R1425" s="174"/>
      <c r="T1425" s="82"/>
      <c r="U1425" s="82"/>
      <c r="V1425" s="82"/>
      <c r="W1425" s="82"/>
      <c r="X1425" s="82"/>
      <c r="Y1425" s="82"/>
      <c r="Z1425" s="82"/>
      <c r="AA1425" s="82"/>
      <c r="AB1425" s="82"/>
    </row>
    <row r="1426" spans="1:28" s="85" customFormat="1" x14ac:dyDescent="0.25">
      <c r="A1426" s="82"/>
      <c r="B1426" s="82"/>
      <c r="C1426" s="82"/>
      <c r="D1426" s="729"/>
      <c r="E1426" s="371" t="s">
        <v>113</v>
      </c>
      <c r="F1426" s="372">
        <v>1</v>
      </c>
      <c r="G1426" s="373">
        <v>38</v>
      </c>
      <c r="H1426" s="374">
        <v>5</v>
      </c>
      <c r="I1426" s="375">
        <v>0.28999999999999998</v>
      </c>
      <c r="J1426" s="376">
        <f t="shared" si="190"/>
        <v>11.02</v>
      </c>
      <c r="K1426" s="66">
        <f t="shared" si="192"/>
        <v>1.6970799999999999</v>
      </c>
      <c r="L1426" s="63">
        <f t="shared" si="193"/>
        <v>0</v>
      </c>
      <c r="M1426" s="63">
        <f t="shared" si="194"/>
        <v>0</v>
      </c>
      <c r="N1426" s="63">
        <f t="shared" si="195"/>
        <v>0</v>
      </c>
      <c r="O1426" s="63">
        <f t="shared" si="196"/>
        <v>0</v>
      </c>
      <c r="P1426" s="63">
        <f t="shared" si="197"/>
        <v>0</v>
      </c>
      <c r="Q1426" s="561">
        <f t="shared" si="191"/>
        <v>0</v>
      </c>
      <c r="R1426" s="174"/>
      <c r="T1426" s="82"/>
      <c r="U1426" s="82"/>
      <c r="V1426" s="82"/>
      <c r="W1426" s="82"/>
      <c r="X1426" s="82"/>
      <c r="Y1426" s="82"/>
      <c r="Z1426" s="82"/>
      <c r="AA1426" s="82"/>
      <c r="AB1426" s="82"/>
    </row>
    <row r="1427" spans="1:28" s="85" customFormat="1" x14ac:dyDescent="0.25">
      <c r="A1427" s="82"/>
      <c r="B1427" s="82"/>
      <c r="C1427" s="82"/>
      <c r="D1427" s="729"/>
      <c r="E1427" s="371" t="s">
        <v>113</v>
      </c>
      <c r="F1427" s="372">
        <v>11</v>
      </c>
      <c r="G1427" s="373">
        <v>19</v>
      </c>
      <c r="H1427" s="374">
        <v>5</v>
      </c>
      <c r="I1427" s="375">
        <v>1.47</v>
      </c>
      <c r="J1427" s="376">
        <f t="shared" si="190"/>
        <v>27.93</v>
      </c>
      <c r="K1427" s="66">
        <f t="shared" si="192"/>
        <v>4.3012199999999998</v>
      </c>
      <c r="L1427" s="63">
        <f t="shared" si="193"/>
        <v>0</v>
      </c>
      <c r="M1427" s="63">
        <f t="shared" si="194"/>
        <v>0</v>
      </c>
      <c r="N1427" s="63">
        <f t="shared" si="195"/>
        <v>0</v>
      </c>
      <c r="O1427" s="63">
        <f t="shared" si="196"/>
        <v>0</v>
      </c>
      <c r="P1427" s="63">
        <f t="shared" si="197"/>
        <v>0</v>
      </c>
      <c r="Q1427" s="561">
        <f t="shared" si="191"/>
        <v>0</v>
      </c>
      <c r="R1427" s="174"/>
      <c r="T1427" s="82"/>
      <c r="U1427" s="82"/>
      <c r="V1427" s="82"/>
      <c r="W1427" s="82"/>
      <c r="X1427" s="82"/>
      <c r="Y1427" s="82"/>
      <c r="Z1427" s="82"/>
      <c r="AA1427" s="82"/>
      <c r="AB1427" s="82"/>
    </row>
    <row r="1428" spans="1:28" s="85" customFormat="1" x14ac:dyDescent="0.25">
      <c r="A1428" s="82"/>
      <c r="B1428" s="82"/>
      <c r="C1428" s="82"/>
      <c r="D1428" s="729"/>
      <c r="E1428" s="371" t="s">
        <v>113</v>
      </c>
      <c r="F1428" s="372">
        <v>19</v>
      </c>
      <c r="G1428" s="373">
        <v>8</v>
      </c>
      <c r="H1428" s="374">
        <v>16</v>
      </c>
      <c r="I1428" s="375">
        <v>3.53</v>
      </c>
      <c r="J1428" s="376">
        <f t="shared" si="190"/>
        <v>28.24</v>
      </c>
      <c r="K1428" s="66">
        <f t="shared" si="192"/>
        <v>0</v>
      </c>
      <c r="L1428" s="63">
        <f t="shared" si="193"/>
        <v>0</v>
      </c>
      <c r="M1428" s="63">
        <f t="shared" si="194"/>
        <v>0</v>
      </c>
      <c r="N1428" s="63">
        <f t="shared" si="195"/>
        <v>0</v>
      </c>
      <c r="O1428" s="63">
        <f t="shared" si="196"/>
        <v>0</v>
      </c>
      <c r="P1428" s="63">
        <f t="shared" si="197"/>
        <v>44.562719999999999</v>
      </c>
      <c r="Q1428" s="561">
        <f t="shared" si="191"/>
        <v>0</v>
      </c>
      <c r="R1428" s="174"/>
      <c r="T1428" s="82"/>
      <c r="U1428" s="82"/>
      <c r="V1428" s="82"/>
      <c r="W1428" s="82"/>
      <c r="X1428" s="82"/>
      <c r="Y1428" s="82"/>
      <c r="Z1428" s="82"/>
      <c r="AA1428" s="82"/>
      <c r="AB1428" s="82"/>
    </row>
    <row r="1429" spans="1:28" s="85" customFormat="1" x14ac:dyDescent="0.25">
      <c r="A1429" s="82"/>
      <c r="B1429" s="82"/>
      <c r="C1429" s="82"/>
      <c r="D1429" s="729"/>
      <c r="E1429" s="371" t="s">
        <v>113</v>
      </c>
      <c r="F1429" s="372">
        <v>1</v>
      </c>
      <c r="G1429" s="373">
        <v>6</v>
      </c>
      <c r="H1429" s="374">
        <v>5</v>
      </c>
      <c r="I1429" s="375">
        <v>0.28999999999999998</v>
      </c>
      <c r="J1429" s="376">
        <f t="shared" ref="J1429" si="199">G1429*I1429</f>
        <v>1.7399999999999998</v>
      </c>
      <c r="K1429" s="66">
        <f t="shared" si="192"/>
        <v>0.26795999999999998</v>
      </c>
      <c r="L1429" s="63">
        <f t="shared" si="193"/>
        <v>0</v>
      </c>
      <c r="M1429" s="63">
        <f t="shared" si="194"/>
        <v>0</v>
      </c>
      <c r="N1429" s="63">
        <f t="shared" si="195"/>
        <v>0</v>
      </c>
      <c r="O1429" s="63">
        <f t="shared" si="196"/>
        <v>0</v>
      </c>
      <c r="P1429" s="63">
        <f t="shared" si="197"/>
        <v>0</v>
      </c>
      <c r="Q1429" s="561">
        <f t="shared" si="191"/>
        <v>0</v>
      </c>
      <c r="R1429" s="174"/>
      <c r="T1429" s="82"/>
      <c r="U1429" s="82"/>
      <c r="V1429" s="82"/>
      <c r="W1429" s="82"/>
      <c r="X1429" s="82"/>
      <c r="Y1429" s="82"/>
      <c r="Z1429" s="82"/>
      <c r="AA1429" s="82"/>
      <c r="AB1429" s="82"/>
    </row>
    <row r="1430" spans="1:28" s="85" customFormat="1" x14ac:dyDescent="0.25">
      <c r="A1430" s="82"/>
      <c r="B1430" s="82"/>
      <c r="C1430" s="82"/>
      <c r="D1430" s="729"/>
      <c r="E1430" s="371" t="s">
        <v>113</v>
      </c>
      <c r="F1430" s="372">
        <v>2</v>
      </c>
      <c r="G1430" s="373">
        <v>6</v>
      </c>
      <c r="H1430" s="374">
        <v>5</v>
      </c>
      <c r="I1430" s="375">
        <v>0.94</v>
      </c>
      <c r="J1430" s="376">
        <f t="shared" si="190"/>
        <v>5.64</v>
      </c>
      <c r="K1430" s="66">
        <f t="shared" si="192"/>
        <v>0.86855999999999989</v>
      </c>
      <c r="L1430" s="63">
        <f t="shared" si="193"/>
        <v>0</v>
      </c>
      <c r="M1430" s="63">
        <f t="shared" si="194"/>
        <v>0</v>
      </c>
      <c r="N1430" s="63">
        <f t="shared" si="195"/>
        <v>0</v>
      </c>
      <c r="O1430" s="63">
        <f t="shared" si="196"/>
        <v>0</v>
      </c>
      <c r="P1430" s="63">
        <f t="shared" si="197"/>
        <v>0</v>
      </c>
      <c r="Q1430" s="561">
        <f t="shared" si="191"/>
        <v>0</v>
      </c>
      <c r="R1430" s="174"/>
      <c r="T1430" s="82"/>
      <c r="U1430" s="82"/>
      <c r="V1430" s="82"/>
      <c r="W1430" s="82"/>
      <c r="X1430" s="82"/>
      <c r="Y1430" s="82"/>
      <c r="Z1430" s="82"/>
      <c r="AA1430" s="82"/>
      <c r="AB1430" s="82"/>
    </row>
    <row r="1431" spans="1:28" s="85" customFormat="1" x14ac:dyDescent="0.25">
      <c r="A1431" s="82"/>
      <c r="B1431" s="82"/>
      <c r="C1431" s="82"/>
      <c r="D1431" s="729"/>
      <c r="E1431" s="371" t="s">
        <v>113</v>
      </c>
      <c r="F1431" s="372">
        <v>37</v>
      </c>
      <c r="G1431" s="373">
        <v>8</v>
      </c>
      <c r="H1431" s="374">
        <v>16</v>
      </c>
      <c r="I1431" s="375">
        <v>0.98</v>
      </c>
      <c r="J1431" s="376">
        <f t="shared" ref="J1431" si="200">G1431*I1431</f>
        <v>7.84</v>
      </c>
      <c r="K1431" s="66">
        <f t="shared" si="192"/>
        <v>0</v>
      </c>
      <c r="L1431" s="63">
        <f t="shared" si="193"/>
        <v>0</v>
      </c>
      <c r="M1431" s="63">
        <f t="shared" si="194"/>
        <v>0</v>
      </c>
      <c r="N1431" s="63">
        <f t="shared" si="195"/>
        <v>0</v>
      </c>
      <c r="O1431" s="63">
        <f t="shared" si="196"/>
        <v>0</v>
      </c>
      <c r="P1431" s="63">
        <f t="shared" si="197"/>
        <v>12.37152</v>
      </c>
      <c r="Q1431" s="561">
        <f t="shared" si="191"/>
        <v>0</v>
      </c>
      <c r="R1431" s="174"/>
      <c r="T1431" s="82"/>
      <c r="U1431" s="82"/>
      <c r="V1431" s="82"/>
      <c r="W1431" s="82"/>
      <c r="X1431" s="82"/>
      <c r="Y1431" s="82"/>
      <c r="Z1431" s="82"/>
      <c r="AA1431" s="82"/>
      <c r="AB1431" s="82"/>
    </row>
    <row r="1432" spans="1:28" s="85" customFormat="1" x14ac:dyDescent="0.25">
      <c r="A1432" s="82"/>
      <c r="B1432" s="82"/>
      <c r="C1432" s="82"/>
      <c r="D1432" s="729"/>
      <c r="E1432" s="396" t="s">
        <v>184</v>
      </c>
      <c r="F1432" s="403">
        <v>1</v>
      </c>
      <c r="G1432" s="397">
        <v>4</v>
      </c>
      <c r="H1432" s="398">
        <v>5</v>
      </c>
      <c r="I1432" s="399">
        <v>0.28999999999999998</v>
      </c>
      <c r="J1432" s="400">
        <f t="shared" si="190"/>
        <v>1.1599999999999999</v>
      </c>
      <c r="K1432" s="401">
        <f t="shared" si="192"/>
        <v>0.17863999999999999</v>
      </c>
      <c r="L1432" s="196">
        <f t="shared" si="193"/>
        <v>0</v>
      </c>
      <c r="M1432" s="196">
        <f t="shared" si="194"/>
        <v>0</v>
      </c>
      <c r="N1432" s="196">
        <f t="shared" si="195"/>
        <v>0</v>
      </c>
      <c r="O1432" s="196">
        <f t="shared" si="196"/>
        <v>0</v>
      </c>
      <c r="P1432" s="196">
        <f t="shared" si="197"/>
        <v>0</v>
      </c>
      <c r="Q1432" s="566">
        <f t="shared" si="191"/>
        <v>0</v>
      </c>
      <c r="R1432" s="538"/>
      <c r="T1432" s="82"/>
      <c r="U1432" s="82"/>
      <c r="V1432" s="82"/>
      <c r="W1432" s="82"/>
      <c r="X1432" s="82"/>
      <c r="Y1432" s="82"/>
      <c r="Z1432" s="82"/>
      <c r="AA1432" s="82"/>
      <c r="AB1432" s="82"/>
    </row>
    <row r="1433" spans="1:28" s="85" customFormat="1" x14ac:dyDescent="0.25">
      <c r="A1433" s="82"/>
      <c r="B1433" s="82"/>
      <c r="C1433" s="82"/>
      <c r="D1433" s="729"/>
      <c r="E1433" s="371" t="s">
        <v>184</v>
      </c>
      <c r="F1433" s="372">
        <v>3</v>
      </c>
      <c r="G1433" s="373">
        <v>2</v>
      </c>
      <c r="H1433" s="374">
        <v>5</v>
      </c>
      <c r="I1433" s="375">
        <v>1.47</v>
      </c>
      <c r="J1433" s="376">
        <f t="shared" si="190"/>
        <v>2.94</v>
      </c>
      <c r="K1433" s="66">
        <f t="shared" si="192"/>
        <v>0.45276</v>
      </c>
      <c r="L1433" s="63">
        <f t="shared" si="193"/>
        <v>0</v>
      </c>
      <c r="M1433" s="63">
        <f t="shared" si="194"/>
        <v>0</v>
      </c>
      <c r="N1433" s="63">
        <f t="shared" si="195"/>
        <v>0</v>
      </c>
      <c r="O1433" s="63">
        <f t="shared" si="196"/>
        <v>0</v>
      </c>
      <c r="P1433" s="63">
        <f t="shared" si="197"/>
        <v>0</v>
      </c>
      <c r="Q1433" s="562">
        <f t="shared" si="191"/>
        <v>0</v>
      </c>
      <c r="R1433" s="377"/>
      <c r="T1433" s="82"/>
      <c r="U1433" s="82"/>
      <c r="V1433" s="82"/>
      <c r="W1433" s="82"/>
      <c r="X1433" s="82"/>
      <c r="Y1433" s="82"/>
      <c r="Z1433" s="82"/>
      <c r="AA1433" s="82"/>
      <c r="AB1433" s="82"/>
    </row>
    <row r="1434" spans="1:28" s="85" customFormat="1" x14ac:dyDescent="0.25">
      <c r="A1434" s="82"/>
      <c r="B1434" s="82"/>
      <c r="C1434" s="82"/>
      <c r="D1434" s="729"/>
      <c r="E1434" s="371" t="s">
        <v>184</v>
      </c>
      <c r="F1434" s="372">
        <v>17</v>
      </c>
      <c r="G1434" s="373">
        <v>8</v>
      </c>
      <c r="H1434" s="374">
        <v>16</v>
      </c>
      <c r="I1434" s="375">
        <v>0.88</v>
      </c>
      <c r="J1434" s="376">
        <f t="shared" si="190"/>
        <v>7.04</v>
      </c>
      <c r="K1434" s="66">
        <f t="shared" si="192"/>
        <v>0</v>
      </c>
      <c r="L1434" s="63">
        <f t="shared" si="193"/>
        <v>0</v>
      </c>
      <c r="M1434" s="63">
        <f t="shared" si="194"/>
        <v>0</v>
      </c>
      <c r="N1434" s="63">
        <f t="shared" si="195"/>
        <v>0</v>
      </c>
      <c r="O1434" s="63">
        <f t="shared" si="196"/>
        <v>0</v>
      </c>
      <c r="P1434" s="63">
        <f t="shared" si="197"/>
        <v>11.109120000000001</v>
      </c>
      <c r="Q1434" s="562">
        <f t="shared" si="191"/>
        <v>0</v>
      </c>
      <c r="R1434" s="377"/>
      <c r="T1434" s="82"/>
      <c r="U1434" s="82"/>
      <c r="V1434" s="82"/>
      <c r="W1434" s="82"/>
      <c r="X1434" s="82"/>
      <c r="Y1434" s="82"/>
      <c r="Z1434" s="82"/>
      <c r="AA1434" s="82"/>
      <c r="AB1434" s="82"/>
    </row>
    <row r="1435" spans="1:28" s="85" customFormat="1" x14ac:dyDescent="0.25">
      <c r="A1435" s="82"/>
      <c r="B1435" s="82"/>
      <c r="C1435" s="82"/>
      <c r="D1435" s="729"/>
      <c r="E1435" s="396" t="s">
        <v>184</v>
      </c>
      <c r="F1435" s="403">
        <v>4</v>
      </c>
      <c r="G1435" s="397">
        <v>3</v>
      </c>
      <c r="H1435" s="398">
        <v>5</v>
      </c>
      <c r="I1435" s="399">
        <v>1.47</v>
      </c>
      <c r="J1435" s="400">
        <f t="shared" ref="J1435:J1437" si="201">G1435*I1435</f>
        <v>4.41</v>
      </c>
      <c r="K1435" s="401">
        <f t="shared" si="192"/>
        <v>0.67913999999999997</v>
      </c>
      <c r="L1435" s="196">
        <f t="shared" si="193"/>
        <v>0</v>
      </c>
      <c r="M1435" s="196">
        <f t="shared" si="194"/>
        <v>0</v>
      </c>
      <c r="N1435" s="196">
        <f t="shared" si="195"/>
        <v>0</v>
      </c>
      <c r="O1435" s="196">
        <f t="shared" si="196"/>
        <v>0</v>
      </c>
      <c r="P1435" s="196">
        <f t="shared" si="197"/>
        <v>0</v>
      </c>
      <c r="Q1435" s="566">
        <f t="shared" si="191"/>
        <v>0</v>
      </c>
      <c r="R1435" s="538"/>
      <c r="T1435" s="82"/>
      <c r="U1435" s="82"/>
      <c r="V1435" s="82"/>
      <c r="W1435" s="82"/>
      <c r="X1435" s="82"/>
      <c r="Y1435" s="82"/>
      <c r="Z1435" s="82"/>
      <c r="AA1435" s="82"/>
      <c r="AB1435" s="82"/>
    </row>
    <row r="1436" spans="1:28" s="85" customFormat="1" x14ac:dyDescent="0.25">
      <c r="A1436" s="82"/>
      <c r="B1436" s="82"/>
      <c r="C1436" s="82"/>
      <c r="D1436" s="729"/>
      <c r="E1436" s="371" t="s">
        <v>184</v>
      </c>
      <c r="F1436" s="372">
        <v>5</v>
      </c>
      <c r="G1436" s="373">
        <v>2</v>
      </c>
      <c r="H1436" s="374">
        <v>5</v>
      </c>
      <c r="I1436" s="375">
        <v>0.94</v>
      </c>
      <c r="J1436" s="376">
        <f t="shared" si="201"/>
        <v>1.88</v>
      </c>
      <c r="K1436" s="66">
        <f t="shared" si="192"/>
        <v>0.28952</v>
      </c>
      <c r="L1436" s="63">
        <f t="shared" si="193"/>
        <v>0</v>
      </c>
      <c r="M1436" s="63">
        <f t="shared" si="194"/>
        <v>0</v>
      </c>
      <c r="N1436" s="63">
        <f t="shared" si="195"/>
        <v>0</v>
      </c>
      <c r="O1436" s="63">
        <f t="shared" si="196"/>
        <v>0</v>
      </c>
      <c r="P1436" s="63">
        <f t="shared" si="197"/>
        <v>0</v>
      </c>
      <c r="Q1436" s="562">
        <f t="shared" si="191"/>
        <v>0</v>
      </c>
      <c r="R1436" s="377"/>
      <c r="T1436" s="82"/>
      <c r="U1436" s="82"/>
      <c r="V1436" s="82"/>
      <c r="W1436" s="82"/>
      <c r="X1436" s="82"/>
      <c r="Y1436" s="82"/>
      <c r="Z1436" s="82"/>
      <c r="AA1436" s="82"/>
      <c r="AB1436" s="82"/>
    </row>
    <row r="1437" spans="1:28" s="85" customFormat="1" x14ac:dyDescent="0.25">
      <c r="A1437" s="82"/>
      <c r="B1437" s="82"/>
      <c r="C1437" s="82"/>
      <c r="D1437" s="729"/>
      <c r="E1437" s="371" t="s">
        <v>184</v>
      </c>
      <c r="F1437" s="372">
        <v>9</v>
      </c>
      <c r="G1437" s="373">
        <v>8</v>
      </c>
      <c r="H1437" s="374">
        <v>5</v>
      </c>
      <c r="I1437" s="375">
        <v>0.28999999999999998</v>
      </c>
      <c r="J1437" s="376">
        <f t="shared" si="201"/>
        <v>2.3199999999999998</v>
      </c>
      <c r="K1437" s="66">
        <f t="shared" si="192"/>
        <v>0.35727999999999999</v>
      </c>
      <c r="L1437" s="63">
        <f t="shared" si="193"/>
        <v>0</v>
      </c>
      <c r="M1437" s="63">
        <f t="shared" si="194"/>
        <v>0</v>
      </c>
      <c r="N1437" s="63">
        <f t="shared" si="195"/>
        <v>0</v>
      </c>
      <c r="O1437" s="63">
        <f t="shared" si="196"/>
        <v>0</v>
      </c>
      <c r="P1437" s="63">
        <f t="shared" si="197"/>
        <v>0</v>
      </c>
      <c r="Q1437" s="562">
        <f t="shared" si="191"/>
        <v>0</v>
      </c>
      <c r="R1437" s="377"/>
      <c r="T1437" s="82"/>
      <c r="U1437" s="82"/>
      <c r="V1437" s="82"/>
      <c r="W1437" s="82"/>
      <c r="X1437" s="82"/>
      <c r="Y1437" s="82"/>
      <c r="Z1437" s="82"/>
      <c r="AA1437" s="82"/>
      <c r="AB1437" s="82"/>
    </row>
    <row r="1438" spans="1:28" s="85" customFormat="1" ht="13.8" thickBot="1" x14ac:dyDescent="0.3">
      <c r="A1438" s="82"/>
      <c r="B1438" s="82"/>
      <c r="C1438" s="82"/>
      <c r="D1438" s="731"/>
      <c r="E1438" s="390" t="s">
        <v>184</v>
      </c>
      <c r="F1438" s="391">
        <v>23</v>
      </c>
      <c r="G1438" s="392">
        <v>8</v>
      </c>
      <c r="H1438" s="393">
        <v>16</v>
      </c>
      <c r="I1438" s="394">
        <v>0.67</v>
      </c>
      <c r="J1438" s="395">
        <f t="shared" si="190"/>
        <v>5.36</v>
      </c>
      <c r="K1438" s="221">
        <f t="shared" si="192"/>
        <v>0</v>
      </c>
      <c r="L1438" s="222">
        <f t="shared" si="193"/>
        <v>0</v>
      </c>
      <c r="M1438" s="222">
        <f t="shared" si="194"/>
        <v>0</v>
      </c>
      <c r="N1438" s="222">
        <f t="shared" si="195"/>
        <v>0</v>
      </c>
      <c r="O1438" s="222">
        <f t="shared" si="196"/>
        <v>0</v>
      </c>
      <c r="P1438" s="222">
        <f t="shared" si="197"/>
        <v>8.4580800000000007</v>
      </c>
      <c r="Q1438" s="564">
        <f t="shared" si="191"/>
        <v>0</v>
      </c>
      <c r="R1438" s="539"/>
      <c r="T1438" s="82"/>
      <c r="U1438" s="82"/>
      <c r="V1438" s="82"/>
      <c r="W1438" s="82"/>
      <c r="X1438" s="82"/>
      <c r="Y1438" s="82"/>
      <c r="Z1438" s="82"/>
      <c r="AA1438" s="82"/>
      <c r="AB1438" s="82"/>
    </row>
    <row r="1439" spans="1:28" s="85" customFormat="1" ht="13.8" thickTop="1" x14ac:dyDescent="0.25">
      <c r="A1439" s="82"/>
      <c r="B1439" s="82"/>
      <c r="C1439" s="82"/>
      <c r="D1439" s="728" t="s">
        <v>1809</v>
      </c>
      <c r="E1439" s="384" t="s">
        <v>49</v>
      </c>
      <c r="F1439" s="385">
        <v>3</v>
      </c>
      <c r="G1439" s="386">
        <f>2*12</f>
        <v>24</v>
      </c>
      <c r="H1439" s="387">
        <v>5</v>
      </c>
      <c r="I1439" s="388">
        <v>0.26</v>
      </c>
      <c r="J1439" s="389">
        <f t="shared" si="190"/>
        <v>6.24</v>
      </c>
      <c r="K1439" s="218">
        <f t="shared" si="192"/>
        <v>0.96096000000000004</v>
      </c>
      <c r="L1439" s="219">
        <f t="shared" si="193"/>
        <v>0</v>
      </c>
      <c r="M1439" s="219">
        <f t="shared" si="194"/>
        <v>0</v>
      </c>
      <c r="N1439" s="219">
        <f t="shared" si="195"/>
        <v>0</v>
      </c>
      <c r="O1439" s="219">
        <f t="shared" si="196"/>
        <v>0</v>
      </c>
      <c r="P1439" s="219">
        <f t="shared" si="197"/>
        <v>0</v>
      </c>
      <c r="Q1439" s="563">
        <f t="shared" si="191"/>
        <v>0</v>
      </c>
      <c r="R1439" s="220"/>
      <c r="T1439" s="82"/>
      <c r="U1439" s="82"/>
      <c r="V1439" s="82"/>
      <c r="W1439" s="82"/>
      <c r="X1439" s="82"/>
      <c r="Y1439" s="82"/>
      <c r="Z1439" s="82"/>
      <c r="AA1439" s="82"/>
      <c r="AB1439" s="82"/>
    </row>
    <row r="1440" spans="1:28" s="85" customFormat="1" x14ac:dyDescent="0.25">
      <c r="A1440" s="82"/>
      <c r="B1440" s="82"/>
      <c r="C1440" s="82"/>
      <c r="D1440" s="729"/>
      <c r="E1440" s="371" t="s">
        <v>49</v>
      </c>
      <c r="F1440" s="372">
        <v>25</v>
      </c>
      <c r="G1440" s="373">
        <f>2*3</f>
        <v>6</v>
      </c>
      <c r="H1440" s="374">
        <v>5</v>
      </c>
      <c r="I1440" s="375">
        <v>1.1499999999999999</v>
      </c>
      <c r="J1440" s="376">
        <f t="shared" si="190"/>
        <v>6.8999999999999995</v>
      </c>
      <c r="K1440" s="66">
        <f t="shared" si="192"/>
        <v>1.0626</v>
      </c>
      <c r="L1440" s="63">
        <f t="shared" si="193"/>
        <v>0</v>
      </c>
      <c r="M1440" s="63">
        <f t="shared" si="194"/>
        <v>0</v>
      </c>
      <c r="N1440" s="63">
        <f t="shared" si="195"/>
        <v>0</v>
      </c>
      <c r="O1440" s="63">
        <f t="shared" si="196"/>
        <v>0</v>
      </c>
      <c r="P1440" s="63">
        <f t="shared" si="197"/>
        <v>0</v>
      </c>
      <c r="Q1440" s="561">
        <f t="shared" si="191"/>
        <v>0</v>
      </c>
      <c r="R1440" s="174"/>
      <c r="T1440" s="82"/>
      <c r="U1440" s="82"/>
      <c r="V1440" s="82"/>
      <c r="W1440" s="82"/>
      <c r="X1440" s="82"/>
      <c r="Y1440" s="82"/>
      <c r="Z1440" s="82"/>
      <c r="AA1440" s="82"/>
      <c r="AB1440" s="82"/>
    </row>
    <row r="1441" spans="1:28" s="85" customFormat="1" x14ac:dyDescent="0.25">
      <c r="A1441" s="82"/>
      <c r="B1441" s="82"/>
      <c r="C1441" s="82"/>
      <c r="D1441" s="729"/>
      <c r="E1441" s="371" t="s">
        <v>49</v>
      </c>
      <c r="F1441" s="372">
        <v>26</v>
      </c>
      <c r="G1441" s="373">
        <f>2*6</f>
        <v>12</v>
      </c>
      <c r="H1441" s="374">
        <v>5</v>
      </c>
      <c r="I1441" s="375">
        <v>0.75</v>
      </c>
      <c r="J1441" s="376">
        <f t="shared" si="190"/>
        <v>9</v>
      </c>
      <c r="K1441" s="66">
        <f t="shared" si="192"/>
        <v>1.3859999999999999</v>
      </c>
      <c r="L1441" s="63">
        <f t="shared" si="193"/>
        <v>0</v>
      </c>
      <c r="M1441" s="63">
        <f t="shared" si="194"/>
        <v>0</v>
      </c>
      <c r="N1441" s="63">
        <f t="shared" si="195"/>
        <v>0</v>
      </c>
      <c r="O1441" s="63">
        <f t="shared" si="196"/>
        <v>0</v>
      </c>
      <c r="P1441" s="63">
        <f t="shared" si="197"/>
        <v>0</v>
      </c>
      <c r="Q1441" s="561">
        <f t="shared" si="191"/>
        <v>0</v>
      </c>
      <c r="R1441" s="174"/>
      <c r="T1441" s="82"/>
      <c r="U1441" s="82"/>
      <c r="V1441" s="82"/>
      <c r="W1441" s="82"/>
      <c r="X1441" s="82"/>
      <c r="Y1441" s="82"/>
      <c r="Z1441" s="82"/>
      <c r="AA1441" s="82"/>
      <c r="AB1441" s="82"/>
    </row>
    <row r="1442" spans="1:28" s="85" customFormat="1" x14ac:dyDescent="0.25">
      <c r="A1442" s="82"/>
      <c r="B1442" s="82"/>
      <c r="C1442" s="82"/>
      <c r="D1442" s="729"/>
      <c r="E1442" s="371" t="s">
        <v>49</v>
      </c>
      <c r="F1442" s="372">
        <v>39</v>
      </c>
      <c r="G1442" s="373">
        <f>2*8</f>
        <v>16</v>
      </c>
      <c r="H1442" s="374">
        <v>16</v>
      </c>
      <c r="I1442" s="375">
        <v>1.55</v>
      </c>
      <c r="J1442" s="376">
        <f t="shared" si="190"/>
        <v>24.8</v>
      </c>
      <c r="K1442" s="66">
        <f t="shared" si="192"/>
        <v>0</v>
      </c>
      <c r="L1442" s="63">
        <f t="shared" si="193"/>
        <v>0</v>
      </c>
      <c r="M1442" s="63">
        <f t="shared" si="194"/>
        <v>0</v>
      </c>
      <c r="N1442" s="63">
        <f t="shared" si="195"/>
        <v>0</v>
      </c>
      <c r="O1442" s="63">
        <f t="shared" si="196"/>
        <v>0</v>
      </c>
      <c r="P1442" s="63">
        <f t="shared" si="197"/>
        <v>39.134399999999999</v>
      </c>
      <c r="Q1442" s="561">
        <f t="shared" si="191"/>
        <v>0</v>
      </c>
      <c r="R1442" s="174"/>
      <c r="T1442" s="82"/>
      <c r="U1442" s="82"/>
      <c r="V1442" s="82"/>
      <c r="W1442" s="82"/>
      <c r="X1442" s="82"/>
      <c r="Y1442" s="82"/>
      <c r="Z1442" s="82"/>
      <c r="AA1442" s="82"/>
      <c r="AB1442" s="82"/>
    </row>
    <row r="1443" spans="1:28" s="85" customFormat="1" x14ac:dyDescent="0.25">
      <c r="A1443" s="82"/>
      <c r="B1443" s="82"/>
      <c r="C1443" s="82"/>
      <c r="D1443" s="729"/>
      <c r="E1443" s="371" t="s">
        <v>113</v>
      </c>
      <c r="F1443" s="372">
        <v>1</v>
      </c>
      <c r="G1443" s="373">
        <f>2*38</f>
        <v>76</v>
      </c>
      <c r="H1443" s="374">
        <v>5</v>
      </c>
      <c r="I1443" s="375">
        <v>0.28999999999999998</v>
      </c>
      <c r="J1443" s="376">
        <f t="shared" si="190"/>
        <v>22.04</v>
      </c>
      <c r="K1443" s="66">
        <f t="shared" si="192"/>
        <v>3.3941599999999998</v>
      </c>
      <c r="L1443" s="63">
        <f t="shared" si="193"/>
        <v>0</v>
      </c>
      <c r="M1443" s="63">
        <f t="shared" si="194"/>
        <v>0</v>
      </c>
      <c r="N1443" s="63">
        <f t="shared" si="195"/>
        <v>0</v>
      </c>
      <c r="O1443" s="63">
        <f t="shared" si="196"/>
        <v>0</v>
      </c>
      <c r="P1443" s="63">
        <f t="shared" si="197"/>
        <v>0</v>
      </c>
      <c r="Q1443" s="561">
        <f t="shared" si="191"/>
        <v>0</v>
      </c>
      <c r="R1443" s="174"/>
      <c r="T1443" s="82"/>
      <c r="U1443" s="82"/>
      <c r="V1443" s="82"/>
      <c r="W1443" s="82"/>
      <c r="X1443" s="82"/>
      <c r="Y1443" s="82"/>
      <c r="Z1443" s="82"/>
      <c r="AA1443" s="82"/>
      <c r="AB1443" s="82"/>
    </row>
    <row r="1444" spans="1:28" s="85" customFormat="1" x14ac:dyDescent="0.25">
      <c r="A1444" s="82"/>
      <c r="B1444" s="82"/>
      <c r="C1444" s="82"/>
      <c r="D1444" s="729"/>
      <c r="E1444" s="371" t="s">
        <v>113</v>
      </c>
      <c r="F1444" s="372">
        <v>13</v>
      </c>
      <c r="G1444" s="373">
        <f>2*19</f>
        <v>38</v>
      </c>
      <c r="H1444" s="374">
        <v>5</v>
      </c>
      <c r="I1444" s="375">
        <v>1.27</v>
      </c>
      <c r="J1444" s="376">
        <f t="shared" si="190"/>
        <v>48.26</v>
      </c>
      <c r="K1444" s="66">
        <f t="shared" si="192"/>
        <v>7.4320399999999998</v>
      </c>
      <c r="L1444" s="63">
        <f t="shared" si="193"/>
        <v>0</v>
      </c>
      <c r="M1444" s="63">
        <f t="shared" si="194"/>
        <v>0</v>
      </c>
      <c r="N1444" s="63">
        <f t="shared" si="195"/>
        <v>0</v>
      </c>
      <c r="O1444" s="63">
        <f t="shared" si="196"/>
        <v>0</v>
      </c>
      <c r="P1444" s="63">
        <f t="shared" si="197"/>
        <v>0</v>
      </c>
      <c r="Q1444" s="561">
        <f t="shared" si="191"/>
        <v>0</v>
      </c>
      <c r="R1444" s="174"/>
      <c r="T1444" s="82"/>
      <c r="U1444" s="82"/>
      <c r="V1444" s="82"/>
      <c r="W1444" s="82"/>
      <c r="X1444" s="82"/>
      <c r="Y1444" s="82"/>
      <c r="Z1444" s="82"/>
      <c r="AA1444" s="82"/>
      <c r="AB1444" s="82"/>
    </row>
    <row r="1445" spans="1:28" s="85" customFormat="1" x14ac:dyDescent="0.25">
      <c r="A1445" s="82"/>
      <c r="B1445" s="82"/>
      <c r="C1445" s="82"/>
      <c r="D1445" s="729"/>
      <c r="E1445" s="371" t="s">
        <v>113</v>
      </c>
      <c r="F1445" s="372">
        <v>19</v>
      </c>
      <c r="G1445" s="373">
        <f>2*8</f>
        <v>16</v>
      </c>
      <c r="H1445" s="374">
        <v>16</v>
      </c>
      <c r="I1445" s="375">
        <v>3.53</v>
      </c>
      <c r="J1445" s="376">
        <f t="shared" si="190"/>
        <v>56.48</v>
      </c>
      <c r="K1445" s="66">
        <f t="shared" si="192"/>
        <v>0</v>
      </c>
      <c r="L1445" s="63">
        <f t="shared" si="193"/>
        <v>0</v>
      </c>
      <c r="M1445" s="63">
        <f t="shared" si="194"/>
        <v>0</v>
      </c>
      <c r="N1445" s="63">
        <f t="shared" si="195"/>
        <v>0</v>
      </c>
      <c r="O1445" s="63">
        <f t="shared" si="196"/>
        <v>0</v>
      </c>
      <c r="P1445" s="63">
        <f t="shared" si="197"/>
        <v>89.125439999999998</v>
      </c>
      <c r="Q1445" s="561">
        <f t="shared" si="191"/>
        <v>0</v>
      </c>
      <c r="R1445" s="174"/>
      <c r="T1445" s="82"/>
      <c r="U1445" s="82"/>
      <c r="V1445" s="82"/>
      <c r="W1445" s="82"/>
      <c r="X1445" s="82"/>
      <c r="Y1445" s="82"/>
      <c r="Z1445" s="82"/>
      <c r="AA1445" s="82"/>
      <c r="AB1445" s="82"/>
    </row>
    <row r="1446" spans="1:28" s="85" customFormat="1" x14ac:dyDescent="0.25">
      <c r="A1446" s="82"/>
      <c r="B1446" s="82"/>
      <c r="C1446" s="82"/>
      <c r="D1446" s="729"/>
      <c r="E1446" s="371" t="s">
        <v>113</v>
      </c>
      <c r="F1446" s="372">
        <v>5</v>
      </c>
      <c r="G1446" s="373">
        <f>2*6</f>
        <v>12</v>
      </c>
      <c r="H1446" s="374">
        <v>5</v>
      </c>
      <c r="I1446" s="375">
        <v>0.28999999999999998</v>
      </c>
      <c r="J1446" s="376">
        <f t="shared" ref="J1446" si="202">G1446*I1446</f>
        <v>3.4799999999999995</v>
      </c>
      <c r="K1446" s="66">
        <f t="shared" si="192"/>
        <v>0.53591999999999995</v>
      </c>
      <c r="L1446" s="63">
        <f t="shared" si="193"/>
        <v>0</v>
      </c>
      <c r="M1446" s="63">
        <f t="shared" si="194"/>
        <v>0</v>
      </c>
      <c r="N1446" s="63">
        <f t="shared" si="195"/>
        <v>0</v>
      </c>
      <c r="O1446" s="63">
        <f t="shared" si="196"/>
        <v>0</v>
      </c>
      <c r="P1446" s="63">
        <f t="shared" si="197"/>
        <v>0</v>
      </c>
      <c r="Q1446" s="561">
        <f t="shared" si="191"/>
        <v>0</v>
      </c>
      <c r="R1446" s="174"/>
      <c r="T1446" s="82"/>
      <c r="U1446" s="82"/>
      <c r="V1446" s="82"/>
      <c r="W1446" s="82"/>
      <c r="X1446" s="82"/>
      <c r="Y1446" s="82"/>
      <c r="Z1446" s="82"/>
      <c r="AA1446" s="82"/>
      <c r="AB1446" s="82"/>
    </row>
    <row r="1447" spans="1:28" s="85" customFormat="1" x14ac:dyDescent="0.25">
      <c r="A1447" s="82"/>
      <c r="B1447" s="82"/>
      <c r="C1447" s="82"/>
      <c r="D1447" s="729"/>
      <c r="E1447" s="371" t="s">
        <v>113</v>
      </c>
      <c r="F1447" s="372">
        <v>6</v>
      </c>
      <c r="G1447" s="373">
        <f>2*6</f>
        <v>12</v>
      </c>
      <c r="H1447" s="374">
        <v>5</v>
      </c>
      <c r="I1447" s="375">
        <v>0.84</v>
      </c>
      <c r="J1447" s="376">
        <f t="shared" si="190"/>
        <v>10.08</v>
      </c>
      <c r="K1447" s="66">
        <f t="shared" si="192"/>
        <v>1.5523199999999999</v>
      </c>
      <c r="L1447" s="63">
        <f t="shared" si="193"/>
        <v>0</v>
      </c>
      <c r="M1447" s="63">
        <f t="shared" si="194"/>
        <v>0</v>
      </c>
      <c r="N1447" s="63">
        <f t="shared" si="195"/>
        <v>0</v>
      </c>
      <c r="O1447" s="63">
        <f t="shared" si="196"/>
        <v>0</v>
      </c>
      <c r="P1447" s="63">
        <f t="shared" si="197"/>
        <v>0</v>
      </c>
      <c r="Q1447" s="561">
        <f t="shared" si="191"/>
        <v>0</v>
      </c>
      <c r="R1447" s="174"/>
      <c r="T1447" s="82"/>
      <c r="U1447" s="82"/>
      <c r="V1447" s="82"/>
      <c r="W1447" s="82"/>
      <c r="X1447" s="82"/>
      <c r="Y1447" s="82"/>
      <c r="Z1447" s="82"/>
      <c r="AA1447" s="82"/>
      <c r="AB1447" s="82"/>
    </row>
    <row r="1448" spans="1:28" s="85" customFormat="1" x14ac:dyDescent="0.25">
      <c r="A1448" s="82"/>
      <c r="B1448" s="82"/>
      <c r="C1448" s="82"/>
      <c r="D1448" s="729"/>
      <c r="E1448" s="371" t="s">
        <v>113</v>
      </c>
      <c r="F1448" s="372">
        <v>11</v>
      </c>
      <c r="G1448" s="373">
        <f>2*8</f>
        <v>16</v>
      </c>
      <c r="H1448" s="374">
        <v>16</v>
      </c>
      <c r="I1448" s="375">
        <v>0.98</v>
      </c>
      <c r="J1448" s="376">
        <f t="shared" ref="J1448" si="203">G1448*I1448</f>
        <v>15.68</v>
      </c>
      <c r="K1448" s="66">
        <f t="shared" si="192"/>
        <v>0</v>
      </c>
      <c r="L1448" s="63">
        <f t="shared" si="193"/>
        <v>0</v>
      </c>
      <c r="M1448" s="63">
        <f t="shared" si="194"/>
        <v>0</v>
      </c>
      <c r="N1448" s="63">
        <f t="shared" si="195"/>
        <v>0</v>
      </c>
      <c r="O1448" s="63">
        <f t="shared" si="196"/>
        <v>0</v>
      </c>
      <c r="P1448" s="63">
        <f t="shared" si="197"/>
        <v>24.743040000000001</v>
      </c>
      <c r="Q1448" s="561">
        <f t="shared" si="191"/>
        <v>0</v>
      </c>
      <c r="R1448" s="174"/>
      <c r="T1448" s="82"/>
      <c r="U1448" s="82"/>
      <c r="V1448" s="82"/>
      <c r="W1448" s="82"/>
      <c r="X1448" s="82"/>
      <c r="Y1448" s="82"/>
      <c r="Z1448" s="82"/>
      <c r="AA1448" s="82"/>
      <c r="AB1448" s="82"/>
    </row>
    <row r="1449" spans="1:28" s="85" customFormat="1" x14ac:dyDescent="0.25">
      <c r="A1449" s="82"/>
      <c r="B1449" s="82"/>
      <c r="C1449" s="82"/>
      <c r="D1449" s="729"/>
      <c r="E1449" s="396" t="s">
        <v>184</v>
      </c>
      <c r="F1449" s="403">
        <v>1</v>
      </c>
      <c r="G1449" s="397">
        <f>2*6</f>
        <v>12</v>
      </c>
      <c r="H1449" s="398">
        <v>5</v>
      </c>
      <c r="I1449" s="399">
        <v>0.28999999999999998</v>
      </c>
      <c r="J1449" s="400">
        <f t="shared" si="190"/>
        <v>3.4799999999999995</v>
      </c>
      <c r="K1449" s="401">
        <f t="shared" si="192"/>
        <v>0.53591999999999995</v>
      </c>
      <c r="L1449" s="196">
        <f t="shared" si="193"/>
        <v>0</v>
      </c>
      <c r="M1449" s="196">
        <f t="shared" si="194"/>
        <v>0</v>
      </c>
      <c r="N1449" s="196">
        <f t="shared" si="195"/>
        <v>0</v>
      </c>
      <c r="O1449" s="196">
        <f t="shared" si="196"/>
        <v>0</v>
      </c>
      <c r="P1449" s="196">
        <f t="shared" si="197"/>
        <v>0</v>
      </c>
      <c r="Q1449" s="566">
        <f t="shared" si="191"/>
        <v>0</v>
      </c>
      <c r="R1449" s="538"/>
      <c r="T1449" s="82"/>
      <c r="U1449" s="82"/>
      <c r="V1449" s="82"/>
      <c r="W1449" s="82"/>
      <c r="X1449" s="82"/>
      <c r="Y1449" s="82"/>
      <c r="Z1449" s="82"/>
      <c r="AA1449" s="82"/>
      <c r="AB1449" s="82"/>
    </row>
    <row r="1450" spans="1:28" s="85" customFormat="1" x14ac:dyDescent="0.25">
      <c r="A1450" s="82"/>
      <c r="B1450" s="82"/>
      <c r="C1450" s="82"/>
      <c r="D1450" s="729"/>
      <c r="E1450" s="371" t="s">
        <v>184</v>
      </c>
      <c r="F1450" s="372">
        <v>2</v>
      </c>
      <c r="G1450" s="373">
        <f>2*3</f>
        <v>6</v>
      </c>
      <c r="H1450" s="374">
        <v>5</v>
      </c>
      <c r="I1450" s="375">
        <v>1.27</v>
      </c>
      <c r="J1450" s="376">
        <f t="shared" si="190"/>
        <v>7.62</v>
      </c>
      <c r="K1450" s="66">
        <f t="shared" si="192"/>
        <v>1.1734800000000001</v>
      </c>
      <c r="L1450" s="63">
        <f t="shared" si="193"/>
        <v>0</v>
      </c>
      <c r="M1450" s="63">
        <f t="shared" si="194"/>
        <v>0</v>
      </c>
      <c r="N1450" s="63">
        <f t="shared" si="195"/>
        <v>0</v>
      </c>
      <c r="O1450" s="63">
        <f t="shared" si="196"/>
        <v>0</v>
      </c>
      <c r="P1450" s="63">
        <f t="shared" si="197"/>
        <v>0</v>
      </c>
      <c r="Q1450" s="562">
        <f t="shared" si="191"/>
        <v>0</v>
      </c>
      <c r="R1450" s="377"/>
      <c r="T1450" s="82"/>
      <c r="U1450" s="82"/>
      <c r="V1450" s="82"/>
      <c r="W1450" s="82"/>
      <c r="X1450" s="82"/>
      <c r="Y1450" s="82"/>
      <c r="Z1450" s="82"/>
      <c r="AA1450" s="82"/>
      <c r="AB1450" s="82"/>
    </row>
    <row r="1451" spans="1:28" s="85" customFormat="1" x14ac:dyDescent="0.25">
      <c r="A1451" s="82"/>
      <c r="B1451" s="82"/>
      <c r="C1451" s="82"/>
      <c r="D1451" s="729"/>
      <c r="E1451" s="371" t="s">
        <v>184</v>
      </c>
      <c r="F1451" s="372">
        <v>17</v>
      </c>
      <c r="G1451" s="373">
        <f>2*8</f>
        <v>16</v>
      </c>
      <c r="H1451" s="374">
        <v>16</v>
      </c>
      <c r="I1451" s="375">
        <v>0.88</v>
      </c>
      <c r="J1451" s="376">
        <f t="shared" si="190"/>
        <v>14.08</v>
      </c>
      <c r="K1451" s="66">
        <f t="shared" si="192"/>
        <v>0</v>
      </c>
      <c r="L1451" s="63">
        <f t="shared" si="193"/>
        <v>0</v>
      </c>
      <c r="M1451" s="63">
        <f t="shared" si="194"/>
        <v>0</v>
      </c>
      <c r="N1451" s="63">
        <f t="shared" si="195"/>
        <v>0</v>
      </c>
      <c r="O1451" s="63">
        <f t="shared" si="196"/>
        <v>0</v>
      </c>
      <c r="P1451" s="63">
        <f t="shared" si="197"/>
        <v>22.218240000000002</v>
      </c>
      <c r="Q1451" s="562">
        <f t="shared" si="191"/>
        <v>0</v>
      </c>
      <c r="R1451" s="377"/>
      <c r="T1451" s="82"/>
      <c r="U1451" s="82"/>
      <c r="V1451" s="82"/>
      <c r="W1451" s="82"/>
      <c r="X1451" s="82"/>
      <c r="Y1451" s="82"/>
      <c r="Z1451" s="82"/>
      <c r="AA1451" s="82"/>
      <c r="AB1451" s="82"/>
    </row>
    <row r="1452" spans="1:28" s="85" customFormat="1" x14ac:dyDescent="0.25">
      <c r="A1452" s="82"/>
      <c r="B1452" s="82"/>
      <c r="C1452" s="82"/>
      <c r="D1452" s="729"/>
      <c r="E1452" s="396" t="s">
        <v>184</v>
      </c>
      <c r="F1452" s="403">
        <v>7</v>
      </c>
      <c r="G1452" s="397">
        <f>2*4</f>
        <v>8</v>
      </c>
      <c r="H1452" s="398">
        <v>5</v>
      </c>
      <c r="I1452" s="399">
        <v>1.27</v>
      </c>
      <c r="J1452" s="400">
        <f t="shared" ref="J1452:J1454" si="204">G1452*I1452</f>
        <v>10.16</v>
      </c>
      <c r="K1452" s="401">
        <f t="shared" si="192"/>
        <v>1.56464</v>
      </c>
      <c r="L1452" s="196">
        <f t="shared" si="193"/>
        <v>0</v>
      </c>
      <c r="M1452" s="196">
        <f t="shared" si="194"/>
        <v>0</v>
      </c>
      <c r="N1452" s="196">
        <f t="shared" si="195"/>
        <v>0</v>
      </c>
      <c r="O1452" s="196">
        <f t="shared" si="196"/>
        <v>0</v>
      </c>
      <c r="P1452" s="196">
        <f t="shared" si="197"/>
        <v>0</v>
      </c>
      <c r="Q1452" s="566">
        <f t="shared" si="191"/>
        <v>0</v>
      </c>
      <c r="R1452" s="538"/>
      <c r="T1452" s="82"/>
      <c r="U1452" s="82"/>
      <c r="V1452" s="82"/>
      <c r="W1452" s="82"/>
      <c r="X1452" s="82"/>
      <c r="Y1452" s="82"/>
      <c r="Z1452" s="82"/>
      <c r="AA1452" s="82"/>
      <c r="AB1452" s="82"/>
    </row>
    <row r="1453" spans="1:28" s="85" customFormat="1" x14ac:dyDescent="0.25">
      <c r="A1453" s="82"/>
      <c r="B1453" s="82"/>
      <c r="C1453" s="82"/>
      <c r="D1453" s="729"/>
      <c r="E1453" s="371" t="s">
        <v>184</v>
      </c>
      <c r="F1453" s="372">
        <v>8</v>
      </c>
      <c r="G1453" s="373">
        <f>2*2</f>
        <v>4</v>
      </c>
      <c r="H1453" s="374">
        <v>5</v>
      </c>
      <c r="I1453" s="375">
        <v>0.84</v>
      </c>
      <c r="J1453" s="376">
        <f t="shared" si="204"/>
        <v>3.36</v>
      </c>
      <c r="K1453" s="66">
        <f t="shared" si="192"/>
        <v>0.51744000000000001</v>
      </c>
      <c r="L1453" s="63">
        <f t="shared" si="193"/>
        <v>0</v>
      </c>
      <c r="M1453" s="63">
        <f t="shared" si="194"/>
        <v>0</v>
      </c>
      <c r="N1453" s="63">
        <f t="shared" si="195"/>
        <v>0</v>
      </c>
      <c r="O1453" s="63">
        <f t="shared" si="196"/>
        <v>0</v>
      </c>
      <c r="P1453" s="63">
        <f t="shared" si="197"/>
        <v>0</v>
      </c>
      <c r="Q1453" s="562">
        <f t="shared" si="191"/>
        <v>0</v>
      </c>
      <c r="R1453" s="377"/>
      <c r="T1453" s="82"/>
      <c r="U1453" s="82"/>
      <c r="V1453" s="82"/>
      <c r="W1453" s="82"/>
      <c r="X1453" s="82"/>
      <c r="Y1453" s="82"/>
      <c r="Z1453" s="82"/>
      <c r="AA1453" s="82"/>
      <c r="AB1453" s="82"/>
    </row>
    <row r="1454" spans="1:28" s="85" customFormat="1" x14ac:dyDescent="0.25">
      <c r="A1454" s="82"/>
      <c r="B1454" s="82"/>
      <c r="C1454" s="82"/>
      <c r="D1454" s="729"/>
      <c r="E1454" s="371" t="s">
        <v>184</v>
      </c>
      <c r="F1454" s="372">
        <v>9</v>
      </c>
      <c r="G1454" s="373">
        <f>2*10</f>
        <v>20</v>
      </c>
      <c r="H1454" s="374">
        <v>5</v>
      </c>
      <c r="I1454" s="375">
        <v>0.28999999999999998</v>
      </c>
      <c r="J1454" s="376">
        <f t="shared" si="204"/>
        <v>5.8</v>
      </c>
      <c r="K1454" s="66">
        <f t="shared" si="192"/>
        <v>0.89319999999999999</v>
      </c>
      <c r="L1454" s="63">
        <f t="shared" si="193"/>
        <v>0</v>
      </c>
      <c r="M1454" s="63">
        <f t="shared" si="194"/>
        <v>0</v>
      </c>
      <c r="N1454" s="63">
        <f t="shared" si="195"/>
        <v>0</v>
      </c>
      <c r="O1454" s="63">
        <f t="shared" si="196"/>
        <v>0</v>
      </c>
      <c r="P1454" s="63">
        <f t="shared" si="197"/>
        <v>0</v>
      </c>
      <c r="Q1454" s="562">
        <f t="shared" si="191"/>
        <v>0</v>
      </c>
      <c r="R1454" s="377"/>
      <c r="T1454" s="82"/>
      <c r="U1454" s="82"/>
      <c r="V1454" s="82"/>
      <c r="W1454" s="82"/>
      <c r="X1454" s="82"/>
      <c r="Y1454" s="82"/>
      <c r="Z1454" s="82"/>
      <c r="AA1454" s="82"/>
      <c r="AB1454" s="82"/>
    </row>
    <row r="1455" spans="1:28" s="85" customFormat="1" ht="13.8" thickBot="1" x14ac:dyDescent="0.3">
      <c r="A1455" s="82"/>
      <c r="B1455" s="82"/>
      <c r="C1455" s="82"/>
      <c r="D1455" s="731"/>
      <c r="E1455" s="390" t="s">
        <v>184</v>
      </c>
      <c r="F1455" s="391">
        <v>23</v>
      </c>
      <c r="G1455" s="392">
        <f>2*8</f>
        <v>16</v>
      </c>
      <c r="H1455" s="393">
        <v>16</v>
      </c>
      <c r="I1455" s="394">
        <v>0.67</v>
      </c>
      <c r="J1455" s="395">
        <f t="shared" si="190"/>
        <v>10.72</v>
      </c>
      <c r="K1455" s="221">
        <f t="shared" si="192"/>
        <v>0</v>
      </c>
      <c r="L1455" s="222">
        <f t="shared" si="193"/>
        <v>0</v>
      </c>
      <c r="M1455" s="222">
        <f t="shared" si="194"/>
        <v>0</v>
      </c>
      <c r="N1455" s="222">
        <f t="shared" si="195"/>
        <v>0</v>
      </c>
      <c r="O1455" s="222">
        <f t="shared" si="196"/>
        <v>0</v>
      </c>
      <c r="P1455" s="222">
        <f t="shared" si="197"/>
        <v>16.916160000000001</v>
      </c>
      <c r="Q1455" s="564">
        <f t="shared" si="191"/>
        <v>0</v>
      </c>
      <c r="R1455" s="539"/>
      <c r="T1455" s="82"/>
      <c r="U1455" s="82"/>
      <c r="V1455" s="82"/>
      <c r="W1455" s="82"/>
      <c r="X1455" s="82"/>
      <c r="Y1455" s="82"/>
      <c r="Z1455" s="82"/>
      <c r="AA1455" s="82"/>
      <c r="AB1455" s="82"/>
    </row>
    <row r="1456" spans="1:28" s="85" customFormat="1" ht="13.8" thickTop="1" x14ac:dyDescent="0.25">
      <c r="A1456" s="82"/>
      <c r="B1456" s="82"/>
      <c r="C1456" s="82"/>
      <c r="D1456" s="728" t="s">
        <v>1810</v>
      </c>
      <c r="E1456" s="384" t="s">
        <v>49</v>
      </c>
      <c r="F1456" s="385">
        <v>1</v>
      </c>
      <c r="G1456" s="386">
        <v>6</v>
      </c>
      <c r="H1456" s="387">
        <v>5</v>
      </c>
      <c r="I1456" s="388">
        <v>0.28999999999999998</v>
      </c>
      <c r="J1456" s="389">
        <f t="shared" si="190"/>
        <v>1.7399999999999998</v>
      </c>
      <c r="K1456" s="218">
        <f t="shared" si="192"/>
        <v>0.26795999999999998</v>
      </c>
      <c r="L1456" s="219">
        <f t="shared" si="193"/>
        <v>0</v>
      </c>
      <c r="M1456" s="219">
        <f t="shared" si="194"/>
        <v>0</v>
      </c>
      <c r="N1456" s="219">
        <f t="shared" si="195"/>
        <v>0</v>
      </c>
      <c r="O1456" s="219">
        <f t="shared" si="196"/>
        <v>0</v>
      </c>
      <c r="P1456" s="219">
        <f t="shared" si="197"/>
        <v>0</v>
      </c>
      <c r="Q1456" s="563">
        <f t="shared" si="191"/>
        <v>0</v>
      </c>
      <c r="R1456" s="220"/>
      <c r="T1456" s="82"/>
      <c r="U1456" s="82"/>
      <c r="V1456" s="82"/>
      <c r="W1456" s="82"/>
      <c r="X1456" s="82"/>
      <c r="Y1456" s="82"/>
      <c r="Z1456" s="82"/>
      <c r="AA1456" s="82"/>
      <c r="AB1456" s="82"/>
    </row>
    <row r="1457" spans="1:28" s="85" customFormat="1" x14ac:dyDescent="0.25">
      <c r="A1457" s="82"/>
      <c r="B1457" s="82"/>
      <c r="C1457" s="82"/>
      <c r="D1457" s="729"/>
      <c r="E1457" s="371" t="s">
        <v>49</v>
      </c>
      <c r="F1457" s="372">
        <v>2</v>
      </c>
      <c r="G1457" s="373">
        <v>6</v>
      </c>
      <c r="H1457" s="374">
        <v>5</v>
      </c>
      <c r="I1457" s="375">
        <v>0.74</v>
      </c>
      <c r="J1457" s="376">
        <f t="shared" si="190"/>
        <v>4.4399999999999995</v>
      </c>
      <c r="K1457" s="66">
        <f t="shared" si="192"/>
        <v>0.68375999999999992</v>
      </c>
      <c r="L1457" s="63">
        <f t="shared" si="193"/>
        <v>0</v>
      </c>
      <c r="M1457" s="63">
        <f t="shared" si="194"/>
        <v>0</v>
      </c>
      <c r="N1457" s="63">
        <f t="shared" si="195"/>
        <v>0</v>
      </c>
      <c r="O1457" s="63">
        <f t="shared" si="196"/>
        <v>0</v>
      </c>
      <c r="P1457" s="63">
        <f t="shared" si="197"/>
        <v>0</v>
      </c>
      <c r="Q1457" s="561">
        <f t="shared" si="191"/>
        <v>0</v>
      </c>
      <c r="R1457" s="174"/>
      <c r="T1457" s="82"/>
      <c r="U1457" s="82"/>
      <c r="V1457" s="82"/>
      <c r="W1457" s="82"/>
      <c r="X1457" s="82"/>
      <c r="Y1457" s="82"/>
      <c r="Z1457" s="82"/>
      <c r="AA1457" s="82"/>
      <c r="AB1457" s="82"/>
    </row>
    <row r="1458" spans="1:28" s="85" customFormat="1" x14ac:dyDescent="0.25">
      <c r="A1458" s="82"/>
      <c r="B1458" s="82"/>
      <c r="C1458" s="82"/>
      <c r="D1458" s="729"/>
      <c r="E1458" s="371" t="s">
        <v>49</v>
      </c>
      <c r="F1458" s="372">
        <v>6</v>
      </c>
      <c r="G1458" s="373">
        <v>3</v>
      </c>
      <c r="H1458" s="374">
        <v>5</v>
      </c>
      <c r="I1458" s="375">
        <v>1.07</v>
      </c>
      <c r="J1458" s="376">
        <f t="shared" si="190"/>
        <v>3.21</v>
      </c>
      <c r="K1458" s="66">
        <f t="shared" si="192"/>
        <v>0.49434</v>
      </c>
      <c r="L1458" s="63">
        <f t="shared" si="193"/>
        <v>0</v>
      </c>
      <c r="M1458" s="63">
        <f t="shared" si="194"/>
        <v>0</v>
      </c>
      <c r="N1458" s="63">
        <f t="shared" si="195"/>
        <v>0</v>
      </c>
      <c r="O1458" s="63">
        <f t="shared" si="196"/>
        <v>0</v>
      </c>
      <c r="P1458" s="63">
        <f t="shared" si="197"/>
        <v>0</v>
      </c>
      <c r="Q1458" s="561">
        <f t="shared" si="191"/>
        <v>0</v>
      </c>
      <c r="R1458" s="174"/>
      <c r="T1458" s="82"/>
      <c r="U1458" s="82"/>
      <c r="V1458" s="82"/>
      <c r="W1458" s="82"/>
      <c r="X1458" s="82"/>
      <c r="Y1458" s="82"/>
      <c r="Z1458" s="82"/>
      <c r="AA1458" s="82"/>
      <c r="AB1458" s="82"/>
    </row>
    <row r="1459" spans="1:28" s="85" customFormat="1" x14ac:dyDescent="0.25">
      <c r="A1459" s="82"/>
      <c r="B1459" s="82"/>
      <c r="C1459" s="82"/>
      <c r="D1459" s="729"/>
      <c r="E1459" s="371" t="s">
        <v>49</v>
      </c>
      <c r="F1459" s="372">
        <v>39</v>
      </c>
      <c r="G1459" s="373">
        <v>10</v>
      </c>
      <c r="H1459" s="374">
        <v>16</v>
      </c>
      <c r="I1459" s="375">
        <v>1.55</v>
      </c>
      <c r="J1459" s="376">
        <f t="shared" si="190"/>
        <v>15.5</v>
      </c>
      <c r="K1459" s="66">
        <f t="shared" si="192"/>
        <v>0</v>
      </c>
      <c r="L1459" s="63">
        <f t="shared" si="193"/>
        <v>0</v>
      </c>
      <c r="M1459" s="63">
        <f t="shared" si="194"/>
        <v>0</v>
      </c>
      <c r="N1459" s="63">
        <f t="shared" si="195"/>
        <v>0</v>
      </c>
      <c r="O1459" s="63">
        <f t="shared" si="196"/>
        <v>0</v>
      </c>
      <c r="P1459" s="63">
        <f t="shared" si="197"/>
        <v>24.459</v>
      </c>
      <c r="Q1459" s="561">
        <f t="shared" si="191"/>
        <v>0</v>
      </c>
      <c r="R1459" s="174"/>
      <c r="T1459" s="82"/>
      <c r="U1459" s="82"/>
      <c r="V1459" s="82"/>
      <c r="W1459" s="82"/>
      <c r="X1459" s="82"/>
      <c r="Y1459" s="82"/>
      <c r="Z1459" s="82"/>
      <c r="AA1459" s="82"/>
      <c r="AB1459" s="82"/>
    </row>
    <row r="1460" spans="1:28" s="85" customFormat="1" x14ac:dyDescent="0.25">
      <c r="A1460" s="82"/>
      <c r="B1460" s="82"/>
      <c r="C1460" s="82"/>
      <c r="D1460" s="729"/>
      <c r="E1460" s="371" t="s">
        <v>113</v>
      </c>
      <c r="F1460" s="372">
        <v>1</v>
      </c>
      <c r="G1460" s="373">
        <v>20</v>
      </c>
      <c r="H1460" s="374">
        <v>5</v>
      </c>
      <c r="I1460" s="375">
        <v>0.28999999999999998</v>
      </c>
      <c r="J1460" s="376">
        <f t="shared" si="190"/>
        <v>5.8</v>
      </c>
      <c r="K1460" s="66">
        <f t="shared" si="192"/>
        <v>0.89319999999999999</v>
      </c>
      <c r="L1460" s="63">
        <f t="shared" si="193"/>
        <v>0</v>
      </c>
      <c r="M1460" s="63">
        <f t="shared" si="194"/>
        <v>0</v>
      </c>
      <c r="N1460" s="63">
        <f t="shared" si="195"/>
        <v>0</v>
      </c>
      <c r="O1460" s="63">
        <f t="shared" si="196"/>
        <v>0</v>
      </c>
      <c r="P1460" s="63">
        <f t="shared" si="197"/>
        <v>0</v>
      </c>
      <c r="Q1460" s="561">
        <f t="shared" si="191"/>
        <v>0</v>
      </c>
      <c r="R1460" s="174"/>
      <c r="T1460" s="82"/>
      <c r="U1460" s="82"/>
      <c r="V1460" s="82"/>
      <c r="W1460" s="82"/>
      <c r="X1460" s="82"/>
      <c r="Y1460" s="82"/>
      <c r="Z1460" s="82"/>
      <c r="AA1460" s="82"/>
      <c r="AB1460" s="82"/>
    </row>
    <row r="1461" spans="1:28" s="85" customFormat="1" x14ac:dyDescent="0.25">
      <c r="A1461" s="82"/>
      <c r="B1461" s="82"/>
      <c r="C1461" s="82"/>
      <c r="D1461" s="729"/>
      <c r="E1461" s="371" t="s">
        <v>113</v>
      </c>
      <c r="F1461" s="372">
        <v>2</v>
      </c>
      <c r="G1461" s="373">
        <v>16</v>
      </c>
      <c r="H1461" s="374">
        <v>5</v>
      </c>
      <c r="I1461" s="375">
        <v>1.07</v>
      </c>
      <c r="J1461" s="376">
        <f t="shared" si="190"/>
        <v>17.12</v>
      </c>
      <c r="K1461" s="66">
        <f t="shared" si="192"/>
        <v>2.6364800000000002</v>
      </c>
      <c r="L1461" s="63">
        <f t="shared" si="193"/>
        <v>0</v>
      </c>
      <c r="M1461" s="63">
        <f t="shared" si="194"/>
        <v>0</v>
      </c>
      <c r="N1461" s="63">
        <f t="shared" si="195"/>
        <v>0</v>
      </c>
      <c r="O1461" s="63">
        <f t="shared" si="196"/>
        <v>0</v>
      </c>
      <c r="P1461" s="63">
        <f t="shared" si="197"/>
        <v>0</v>
      </c>
      <c r="Q1461" s="561">
        <f t="shared" si="191"/>
        <v>0</v>
      </c>
      <c r="R1461" s="174"/>
      <c r="T1461" s="82"/>
      <c r="U1461" s="82"/>
      <c r="V1461" s="82"/>
      <c r="W1461" s="82"/>
      <c r="X1461" s="82"/>
      <c r="Y1461" s="82"/>
      <c r="Z1461" s="82"/>
      <c r="AA1461" s="82"/>
      <c r="AB1461" s="82"/>
    </row>
    <row r="1462" spans="1:28" s="85" customFormat="1" x14ac:dyDescent="0.25">
      <c r="A1462" s="82"/>
      <c r="B1462" s="82"/>
      <c r="C1462" s="82"/>
      <c r="D1462" s="729"/>
      <c r="E1462" s="371" t="s">
        <v>113</v>
      </c>
      <c r="F1462" s="372">
        <v>3</v>
      </c>
      <c r="G1462" s="373">
        <v>8</v>
      </c>
      <c r="H1462" s="374">
        <v>5</v>
      </c>
      <c r="I1462" s="375">
        <v>0.74</v>
      </c>
      <c r="J1462" s="376">
        <f t="shared" si="190"/>
        <v>5.92</v>
      </c>
      <c r="K1462" s="66">
        <f t="shared" si="192"/>
        <v>0.91167999999999993</v>
      </c>
      <c r="L1462" s="63">
        <f t="shared" si="193"/>
        <v>0</v>
      </c>
      <c r="M1462" s="63">
        <f t="shared" si="194"/>
        <v>0</v>
      </c>
      <c r="N1462" s="63">
        <f t="shared" si="195"/>
        <v>0</v>
      </c>
      <c r="O1462" s="63">
        <f t="shared" si="196"/>
        <v>0</v>
      </c>
      <c r="P1462" s="63">
        <f t="shared" si="197"/>
        <v>0</v>
      </c>
      <c r="Q1462" s="561">
        <f t="shared" si="191"/>
        <v>0</v>
      </c>
      <c r="R1462" s="174"/>
      <c r="T1462" s="82"/>
      <c r="U1462" s="82"/>
      <c r="V1462" s="82"/>
      <c r="W1462" s="82"/>
      <c r="X1462" s="82"/>
      <c r="Y1462" s="82"/>
      <c r="Z1462" s="82"/>
      <c r="AA1462" s="82"/>
      <c r="AB1462" s="82"/>
    </row>
    <row r="1463" spans="1:28" s="85" customFormat="1" x14ac:dyDescent="0.25">
      <c r="A1463" s="82"/>
      <c r="B1463" s="82"/>
      <c r="C1463" s="82"/>
      <c r="D1463" s="729"/>
      <c r="E1463" s="371" t="s">
        <v>113</v>
      </c>
      <c r="F1463" s="372">
        <v>19</v>
      </c>
      <c r="G1463" s="373">
        <v>10</v>
      </c>
      <c r="H1463" s="374">
        <v>16</v>
      </c>
      <c r="I1463" s="375">
        <v>3.53</v>
      </c>
      <c r="J1463" s="376">
        <f t="shared" si="190"/>
        <v>35.299999999999997</v>
      </c>
      <c r="K1463" s="66">
        <f t="shared" si="192"/>
        <v>0</v>
      </c>
      <c r="L1463" s="63">
        <f t="shared" si="193"/>
        <v>0</v>
      </c>
      <c r="M1463" s="63">
        <f t="shared" si="194"/>
        <v>0</v>
      </c>
      <c r="N1463" s="63">
        <f t="shared" si="195"/>
        <v>0</v>
      </c>
      <c r="O1463" s="63">
        <f t="shared" si="196"/>
        <v>0</v>
      </c>
      <c r="P1463" s="63">
        <f t="shared" si="197"/>
        <v>55.703399999999995</v>
      </c>
      <c r="Q1463" s="561">
        <f t="shared" si="191"/>
        <v>0</v>
      </c>
      <c r="R1463" s="174"/>
      <c r="T1463" s="82"/>
      <c r="U1463" s="82"/>
      <c r="V1463" s="82"/>
      <c r="W1463" s="82"/>
      <c r="X1463" s="82"/>
      <c r="Y1463" s="82"/>
      <c r="Z1463" s="82"/>
      <c r="AA1463" s="82"/>
      <c r="AB1463" s="82"/>
    </row>
    <row r="1464" spans="1:28" s="85" customFormat="1" x14ac:dyDescent="0.25">
      <c r="A1464" s="82"/>
      <c r="B1464" s="82"/>
      <c r="C1464" s="82"/>
      <c r="D1464" s="729"/>
      <c r="E1464" s="371" t="s">
        <v>113</v>
      </c>
      <c r="F1464" s="372">
        <v>1</v>
      </c>
      <c r="G1464" s="373">
        <v>3</v>
      </c>
      <c r="H1464" s="374">
        <v>5</v>
      </c>
      <c r="I1464" s="375">
        <v>0.28999999999999998</v>
      </c>
      <c r="J1464" s="376">
        <f t="shared" ref="J1464:J1466" si="205">G1464*I1464</f>
        <v>0.86999999999999988</v>
      </c>
      <c r="K1464" s="66">
        <f t="shared" si="192"/>
        <v>0.13397999999999999</v>
      </c>
      <c r="L1464" s="63">
        <f t="shared" si="193"/>
        <v>0</v>
      </c>
      <c r="M1464" s="63">
        <f t="shared" si="194"/>
        <v>0</v>
      </c>
      <c r="N1464" s="63">
        <f t="shared" si="195"/>
        <v>0</v>
      </c>
      <c r="O1464" s="63">
        <f t="shared" si="196"/>
        <v>0</v>
      </c>
      <c r="P1464" s="63">
        <f t="shared" si="197"/>
        <v>0</v>
      </c>
      <c r="Q1464" s="561">
        <f t="shared" si="191"/>
        <v>0</v>
      </c>
      <c r="R1464" s="174"/>
      <c r="T1464" s="82"/>
      <c r="U1464" s="82"/>
      <c r="V1464" s="82"/>
      <c r="W1464" s="82"/>
      <c r="X1464" s="82"/>
      <c r="Y1464" s="82"/>
      <c r="Z1464" s="82"/>
      <c r="AA1464" s="82"/>
      <c r="AB1464" s="82"/>
    </row>
    <row r="1465" spans="1:28" s="85" customFormat="1" x14ac:dyDescent="0.25">
      <c r="A1465" s="82"/>
      <c r="B1465" s="82"/>
      <c r="C1465" s="82"/>
      <c r="D1465" s="729"/>
      <c r="E1465" s="371" t="s">
        <v>113</v>
      </c>
      <c r="F1465" s="372">
        <v>2</v>
      </c>
      <c r="G1465" s="373">
        <v>3</v>
      </c>
      <c r="H1465" s="374">
        <v>5</v>
      </c>
      <c r="I1465" s="375">
        <v>1.07</v>
      </c>
      <c r="J1465" s="376">
        <f t="shared" si="205"/>
        <v>3.21</v>
      </c>
      <c r="K1465" s="66">
        <f t="shared" si="192"/>
        <v>0.49434</v>
      </c>
      <c r="L1465" s="63">
        <f t="shared" si="193"/>
        <v>0</v>
      </c>
      <c r="M1465" s="63">
        <f t="shared" si="194"/>
        <v>0</v>
      </c>
      <c r="N1465" s="63">
        <f t="shared" si="195"/>
        <v>0</v>
      </c>
      <c r="O1465" s="63">
        <f t="shared" si="196"/>
        <v>0</v>
      </c>
      <c r="P1465" s="63">
        <f t="shared" si="197"/>
        <v>0</v>
      </c>
      <c r="Q1465" s="561">
        <f t="shared" si="191"/>
        <v>0</v>
      </c>
      <c r="R1465" s="174"/>
      <c r="T1465" s="82"/>
      <c r="U1465" s="82"/>
      <c r="V1465" s="82"/>
      <c r="W1465" s="82"/>
      <c r="X1465" s="82"/>
      <c r="Y1465" s="82"/>
      <c r="Z1465" s="82"/>
      <c r="AA1465" s="82"/>
      <c r="AB1465" s="82"/>
    </row>
    <row r="1466" spans="1:28" s="85" customFormat="1" x14ac:dyDescent="0.25">
      <c r="A1466" s="82"/>
      <c r="B1466" s="82"/>
      <c r="C1466" s="82"/>
      <c r="D1466" s="729"/>
      <c r="E1466" s="371" t="s">
        <v>113</v>
      </c>
      <c r="F1466" s="372">
        <v>7</v>
      </c>
      <c r="G1466" s="373">
        <v>10</v>
      </c>
      <c r="H1466" s="374">
        <v>16</v>
      </c>
      <c r="I1466" s="375">
        <v>0.98</v>
      </c>
      <c r="J1466" s="376">
        <f t="shared" si="205"/>
        <v>9.8000000000000007</v>
      </c>
      <c r="K1466" s="66">
        <f t="shared" si="192"/>
        <v>0</v>
      </c>
      <c r="L1466" s="63">
        <f t="shared" si="193"/>
        <v>0</v>
      </c>
      <c r="M1466" s="63">
        <f t="shared" si="194"/>
        <v>0</v>
      </c>
      <c r="N1466" s="63">
        <f t="shared" si="195"/>
        <v>0</v>
      </c>
      <c r="O1466" s="63">
        <f t="shared" si="196"/>
        <v>0</v>
      </c>
      <c r="P1466" s="63">
        <f t="shared" si="197"/>
        <v>15.464400000000001</v>
      </c>
      <c r="Q1466" s="561">
        <f t="shared" si="191"/>
        <v>0</v>
      </c>
      <c r="R1466" s="174"/>
      <c r="T1466" s="82"/>
      <c r="U1466" s="82"/>
      <c r="V1466" s="82"/>
      <c r="W1466" s="82"/>
      <c r="X1466" s="82"/>
      <c r="Y1466" s="82"/>
      <c r="Z1466" s="82"/>
      <c r="AA1466" s="82"/>
      <c r="AB1466" s="82"/>
    </row>
    <row r="1467" spans="1:28" s="85" customFormat="1" x14ac:dyDescent="0.25">
      <c r="A1467" s="82"/>
      <c r="B1467" s="82"/>
      <c r="C1467" s="82"/>
      <c r="D1467" s="729"/>
      <c r="E1467" s="396" t="s">
        <v>184</v>
      </c>
      <c r="F1467" s="403">
        <v>1</v>
      </c>
      <c r="G1467" s="397">
        <v>3</v>
      </c>
      <c r="H1467" s="398">
        <v>5</v>
      </c>
      <c r="I1467" s="399">
        <v>0.28999999999999998</v>
      </c>
      <c r="J1467" s="400">
        <f t="shared" si="190"/>
        <v>0.86999999999999988</v>
      </c>
      <c r="K1467" s="401">
        <f t="shared" si="192"/>
        <v>0.13397999999999999</v>
      </c>
      <c r="L1467" s="196">
        <f t="shared" si="193"/>
        <v>0</v>
      </c>
      <c r="M1467" s="196">
        <f t="shared" si="194"/>
        <v>0</v>
      </c>
      <c r="N1467" s="196">
        <f t="shared" si="195"/>
        <v>0</v>
      </c>
      <c r="O1467" s="196">
        <f t="shared" si="196"/>
        <v>0</v>
      </c>
      <c r="P1467" s="196">
        <f t="shared" si="197"/>
        <v>0</v>
      </c>
      <c r="Q1467" s="566">
        <f t="shared" si="191"/>
        <v>0</v>
      </c>
      <c r="R1467" s="538"/>
      <c r="T1467" s="82"/>
      <c r="U1467" s="82"/>
      <c r="V1467" s="82"/>
      <c r="W1467" s="82"/>
      <c r="X1467" s="82"/>
      <c r="Y1467" s="82"/>
      <c r="Z1467" s="82"/>
      <c r="AA1467" s="82"/>
      <c r="AB1467" s="82"/>
    </row>
    <row r="1468" spans="1:28" s="85" customFormat="1" x14ac:dyDescent="0.25">
      <c r="A1468" s="82"/>
      <c r="B1468" s="82"/>
      <c r="C1468" s="82"/>
      <c r="D1468" s="729"/>
      <c r="E1468" s="371" t="s">
        <v>184</v>
      </c>
      <c r="F1468" s="372">
        <v>2</v>
      </c>
      <c r="G1468" s="373">
        <v>6</v>
      </c>
      <c r="H1468" s="374">
        <v>5</v>
      </c>
      <c r="I1468" s="375">
        <v>0.74</v>
      </c>
      <c r="J1468" s="376">
        <f t="shared" si="190"/>
        <v>4.4399999999999995</v>
      </c>
      <c r="K1468" s="66">
        <f t="shared" si="192"/>
        <v>0.68375999999999992</v>
      </c>
      <c r="L1468" s="63">
        <f t="shared" si="193"/>
        <v>0</v>
      </c>
      <c r="M1468" s="63">
        <f t="shared" si="194"/>
        <v>0</v>
      </c>
      <c r="N1468" s="63">
        <f t="shared" si="195"/>
        <v>0</v>
      </c>
      <c r="O1468" s="63">
        <f t="shared" si="196"/>
        <v>0</v>
      </c>
      <c r="P1468" s="63">
        <f t="shared" si="197"/>
        <v>0</v>
      </c>
      <c r="Q1468" s="562">
        <f t="shared" si="191"/>
        <v>0</v>
      </c>
      <c r="R1468" s="377"/>
      <c r="T1468" s="82"/>
      <c r="U1468" s="82"/>
      <c r="V1468" s="82"/>
      <c r="W1468" s="82"/>
      <c r="X1468" s="82"/>
      <c r="Y1468" s="82"/>
      <c r="Z1468" s="82"/>
      <c r="AA1468" s="82"/>
      <c r="AB1468" s="82"/>
    </row>
    <row r="1469" spans="1:28" s="85" customFormat="1" x14ac:dyDescent="0.25">
      <c r="A1469" s="82"/>
      <c r="B1469" s="82"/>
      <c r="C1469" s="82"/>
      <c r="D1469" s="729"/>
      <c r="E1469" s="371" t="s">
        <v>184</v>
      </c>
      <c r="F1469" s="372">
        <v>12</v>
      </c>
      <c r="G1469" s="373">
        <v>10</v>
      </c>
      <c r="H1469" s="374">
        <v>16</v>
      </c>
      <c r="I1469" s="375">
        <v>0.32</v>
      </c>
      <c r="J1469" s="376">
        <f t="shared" si="190"/>
        <v>3.2</v>
      </c>
      <c r="K1469" s="66">
        <f t="shared" si="192"/>
        <v>0</v>
      </c>
      <c r="L1469" s="63">
        <f t="shared" si="193"/>
        <v>0</v>
      </c>
      <c r="M1469" s="63">
        <f t="shared" si="194"/>
        <v>0</v>
      </c>
      <c r="N1469" s="63">
        <f t="shared" si="195"/>
        <v>0</v>
      </c>
      <c r="O1469" s="63">
        <f t="shared" si="196"/>
        <v>0</v>
      </c>
      <c r="P1469" s="63">
        <f t="shared" si="197"/>
        <v>5.0496000000000008</v>
      </c>
      <c r="Q1469" s="562">
        <f t="shared" si="191"/>
        <v>0</v>
      </c>
      <c r="R1469" s="377"/>
      <c r="T1469" s="82"/>
      <c r="U1469" s="82"/>
      <c r="V1469" s="82"/>
      <c r="W1469" s="82"/>
      <c r="X1469" s="82"/>
      <c r="Y1469" s="82"/>
      <c r="Z1469" s="82"/>
      <c r="AA1469" s="82"/>
      <c r="AB1469" s="82"/>
    </row>
    <row r="1470" spans="1:28" s="85" customFormat="1" ht="13.8" thickBot="1" x14ac:dyDescent="0.3">
      <c r="A1470" s="82"/>
      <c r="B1470" s="82"/>
      <c r="C1470" s="82"/>
      <c r="D1470" s="731"/>
      <c r="E1470" s="390" t="s">
        <v>184</v>
      </c>
      <c r="F1470" s="391"/>
      <c r="G1470" s="392"/>
      <c r="H1470" s="393"/>
      <c r="I1470" s="394"/>
      <c r="J1470" s="395">
        <f t="shared" si="190"/>
        <v>0</v>
      </c>
      <c r="K1470" s="221">
        <f t="shared" si="192"/>
        <v>0</v>
      </c>
      <c r="L1470" s="222">
        <f t="shared" si="193"/>
        <v>0</v>
      </c>
      <c r="M1470" s="222">
        <f t="shared" si="194"/>
        <v>0</v>
      </c>
      <c r="N1470" s="222">
        <f t="shared" si="195"/>
        <v>0</v>
      </c>
      <c r="O1470" s="222">
        <f t="shared" si="196"/>
        <v>0</v>
      </c>
      <c r="P1470" s="222">
        <f t="shared" si="197"/>
        <v>0</v>
      </c>
      <c r="Q1470" s="564">
        <f t="shared" si="191"/>
        <v>0</v>
      </c>
      <c r="R1470" s="539"/>
      <c r="T1470" s="82"/>
      <c r="U1470" s="82"/>
      <c r="V1470" s="82"/>
      <c r="W1470" s="82"/>
      <c r="X1470" s="82"/>
      <c r="Y1470" s="82"/>
      <c r="Z1470" s="82"/>
      <c r="AA1470" s="82"/>
      <c r="AB1470" s="82"/>
    </row>
    <row r="1471" spans="1:28" s="85" customFormat="1" ht="13.8" thickTop="1" x14ac:dyDescent="0.25">
      <c r="A1471" s="82"/>
      <c r="B1471" s="82"/>
      <c r="C1471" s="82"/>
      <c r="D1471" s="728" t="s">
        <v>1811</v>
      </c>
      <c r="E1471" s="384" t="s">
        <v>49</v>
      </c>
      <c r="F1471" s="385">
        <v>3</v>
      </c>
      <c r="G1471" s="386">
        <v>6</v>
      </c>
      <c r="H1471" s="387">
        <v>5</v>
      </c>
      <c r="I1471" s="388">
        <v>0.26</v>
      </c>
      <c r="J1471" s="389">
        <f t="shared" si="190"/>
        <v>1.56</v>
      </c>
      <c r="K1471" s="218">
        <f t="shared" si="192"/>
        <v>0.24024000000000001</v>
      </c>
      <c r="L1471" s="219">
        <f t="shared" si="193"/>
        <v>0</v>
      </c>
      <c r="M1471" s="219">
        <f t="shared" si="194"/>
        <v>0</v>
      </c>
      <c r="N1471" s="219">
        <f t="shared" si="195"/>
        <v>0</v>
      </c>
      <c r="O1471" s="219">
        <f t="shared" si="196"/>
        <v>0</v>
      </c>
      <c r="P1471" s="219">
        <f t="shared" si="197"/>
        <v>0</v>
      </c>
      <c r="Q1471" s="563">
        <f t="shared" si="191"/>
        <v>0</v>
      </c>
      <c r="R1471" s="220"/>
      <c r="T1471" s="82"/>
      <c r="U1471" s="82"/>
      <c r="V1471" s="82"/>
      <c r="W1471" s="82"/>
      <c r="X1471" s="82"/>
      <c r="Y1471" s="82"/>
      <c r="Z1471" s="82"/>
      <c r="AA1471" s="82"/>
      <c r="AB1471" s="82"/>
    </row>
    <row r="1472" spans="1:28" s="85" customFormat="1" x14ac:dyDescent="0.25">
      <c r="A1472" s="82"/>
      <c r="B1472" s="82"/>
      <c r="C1472" s="82"/>
      <c r="D1472" s="729"/>
      <c r="E1472" s="371" t="s">
        <v>49</v>
      </c>
      <c r="F1472" s="372">
        <v>4</v>
      </c>
      <c r="G1472" s="373">
        <v>3</v>
      </c>
      <c r="H1472" s="374">
        <v>5</v>
      </c>
      <c r="I1472" s="375">
        <v>0.95</v>
      </c>
      <c r="J1472" s="376">
        <f t="shared" si="190"/>
        <v>2.8499999999999996</v>
      </c>
      <c r="K1472" s="66">
        <f t="shared" si="192"/>
        <v>0.43889999999999996</v>
      </c>
      <c r="L1472" s="63">
        <f t="shared" si="193"/>
        <v>0</v>
      </c>
      <c r="M1472" s="63">
        <f t="shared" si="194"/>
        <v>0</v>
      </c>
      <c r="N1472" s="63">
        <f t="shared" si="195"/>
        <v>0</v>
      </c>
      <c r="O1472" s="63">
        <f t="shared" si="196"/>
        <v>0</v>
      </c>
      <c r="P1472" s="63">
        <f t="shared" si="197"/>
        <v>0</v>
      </c>
      <c r="Q1472" s="561">
        <f t="shared" si="191"/>
        <v>0</v>
      </c>
      <c r="R1472" s="174"/>
      <c r="T1472" s="82"/>
      <c r="U1472" s="82"/>
      <c r="V1472" s="82"/>
      <c r="W1472" s="82"/>
      <c r="X1472" s="82"/>
      <c r="Y1472" s="82"/>
      <c r="Z1472" s="82"/>
      <c r="AA1472" s="82"/>
      <c r="AB1472" s="82"/>
    </row>
    <row r="1473" spans="1:28" s="85" customFormat="1" x14ac:dyDescent="0.25">
      <c r="A1473" s="82"/>
      <c r="B1473" s="82"/>
      <c r="C1473" s="82"/>
      <c r="D1473" s="729"/>
      <c r="E1473" s="371" t="s">
        <v>49</v>
      </c>
      <c r="F1473" s="372">
        <v>5</v>
      </c>
      <c r="G1473" s="373">
        <v>6</v>
      </c>
      <c r="H1473" s="374">
        <v>5</v>
      </c>
      <c r="I1473" s="375">
        <v>0.65</v>
      </c>
      <c r="J1473" s="376">
        <f t="shared" si="190"/>
        <v>3.9000000000000004</v>
      </c>
      <c r="K1473" s="66">
        <f t="shared" si="192"/>
        <v>0.60060000000000002</v>
      </c>
      <c r="L1473" s="63">
        <f t="shared" si="193"/>
        <v>0</v>
      </c>
      <c r="M1473" s="63">
        <f t="shared" si="194"/>
        <v>0</v>
      </c>
      <c r="N1473" s="63">
        <f t="shared" si="195"/>
        <v>0</v>
      </c>
      <c r="O1473" s="63">
        <f t="shared" si="196"/>
        <v>0</v>
      </c>
      <c r="P1473" s="63">
        <f t="shared" si="197"/>
        <v>0</v>
      </c>
      <c r="Q1473" s="561">
        <f t="shared" si="191"/>
        <v>0</v>
      </c>
      <c r="R1473" s="174"/>
      <c r="T1473" s="82"/>
      <c r="U1473" s="82"/>
      <c r="V1473" s="82"/>
      <c r="W1473" s="82"/>
      <c r="X1473" s="82"/>
      <c r="Y1473" s="82"/>
      <c r="Z1473" s="82"/>
      <c r="AA1473" s="82"/>
      <c r="AB1473" s="82"/>
    </row>
    <row r="1474" spans="1:28" s="85" customFormat="1" x14ac:dyDescent="0.25">
      <c r="A1474" s="82"/>
      <c r="B1474" s="82"/>
      <c r="C1474" s="82"/>
      <c r="D1474" s="729"/>
      <c r="E1474" s="371" t="s">
        <v>49</v>
      </c>
      <c r="F1474" s="372">
        <v>39</v>
      </c>
      <c r="G1474" s="373">
        <v>10</v>
      </c>
      <c r="H1474" s="374">
        <v>16</v>
      </c>
      <c r="I1474" s="375">
        <v>1.55</v>
      </c>
      <c r="J1474" s="376">
        <f t="shared" si="190"/>
        <v>15.5</v>
      </c>
      <c r="K1474" s="66">
        <f t="shared" si="192"/>
        <v>0</v>
      </c>
      <c r="L1474" s="63">
        <f t="shared" si="193"/>
        <v>0</v>
      </c>
      <c r="M1474" s="63">
        <f t="shared" si="194"/>
        <v>0</v>
      </c>
      <c r="N1474" s="63">
        <f t="shared" si="195"/>
        <v>0</v>
      </c>
      <c r="O1474" s="63">
        <f t="shared" si="196"/>
        <v>0</v>
      </c>
      <c r="P1474" s="63">
        <f t="shared" si="197"/>
        <v>24.459</v>
      </c>
      <c r="Q1474" s="561">
        <f t="shared" si="191"/>
        <v>0</v>
      </c>
      <c r="R1474" s="174"/>
      <c r="T1474" s="82"/>
      <c r="U1474" s="82"/>
      <c r="V1474" s="82"/>
      <c r="W1474" s="82"/>
      <c r="X1474" s="82"/>
      <c r="Y1474" s="82"/>
      <c r="Z1474" s="82"/>
      <c r="AA1474" s="82"/>
      <c r="AB1474" s="82"/>
    </row>
    <row r="1475" spans="1:28" s="85" customFormat="1" x14ac:dyDescent="0.25">
      <c r="A1475" s="82"/>
      <c r="B1475" s="82"/>
      <c r="C1475" s="82"/>
      <c r="D1475" s="729"/>
      <c r="E1475" s="371" t="s">
        <v>113</v>
      </c>
      <c r="F1475" s="372">
        <v>1</v>
      </c>
      <c r="G1475" s="373">
        <v>20</v>
      </c>
      <c r="H1475" s="374">
        <v>5</v>
      </c>
      <c r="I1475" s="375">
        <v>0.28999999999999998</v>
      </c>
      <c r="J1475" s="376">
        <f t="shared" si="190"/>
        <v>5.8</v>
      </c>
      <c r="K1475" s="66">
        <f t="shared" si="192"/>
        <v>0.89319999999999999</v>
      </c>
      <c r="L1475" s="63">
        <f t="shared" si="193"/>
        <v>0</v>
      </c>
      <c r="M1475" s="63">
        <f t="shared" si="194"/>
        <v>0</v>
      </c>
      <c r="N1475" s="63">
        <f t="shared" si="195"/>
        <v>0</v>
      </c>
      <c r="O1475" s="63">
        <f t="shared" si="196"/>
        <v>0</v>
      </c>
      <c r="P1475" s="63">
        <f t="shared" si="197"/>
        <v>0</v>
      </c>
      <c r="Q1475" s="561">
        <f t="shared" si="191"/>
        <v>0</v>
      </c>
      <c r="R1475" s="174"/>
      <c r="T1475" s="82"/>
      <c r="U1475" s="82"/>
      <c r="V1475" s="82"/>
      <c r="W1475" s="82"/>
      <c r="X1475" s="82"/>
      <c r="Y1475" s="82"/>
      <c r="Z1475" s="82"/>
      <c r="AA1475" s="82"/>
      <c r="AB1475" s="82"/>
    </row>
    <row r="1476" spans="1:28" s="85" customFormat="1" x14ac:dyDescent="0.25">
      <c r="A1476" s="82"/>
      <c r="B1476" s="82"/>
      <c r="C1476" s="82"/>
      <c r="D1476" s="729"/>
      <c r="E1476" s="371" t="s">
        <v>113</v>
      </c>
      <c r="F1476" s="372">
        <v>2</v>
      </c>
      <c r="G1476" s="373">
        <v>16</v>
      </c>
      <c r="H1476" s="374">
        <v>5</v>
      </c>
      <c r="I1476" s="375">
        <v>1.07</v>
      </c>
      <c r="J1476" s="376">
        <f t="shared" si="190"/>
        <v>17.12</v>
      </c>
      <c r="K1476" s="66">
        <f t="shared" si="192"/>
        <v>2.6364800000000002</v>
      </c>
      <c r="L1476" s="63">
        <f t="shared" si="193"/>
        <v>0</v>
      </c>
      <c r="M1476" s="63">
        <f t="shared" si="194"/>
        <v>0</v>
      </c>
      <c r="N1476" s="63">
        <f t="shared" si="195"/>
        <v>0</v>
      </c>
      <c r="O1476" s="63">
        <f t="shared" si="196"/>
        <v>0</v>
      </c>
      <c r="P1476" s="63">
        <f t="shared" si="197"/>
        <v>0</v>
      </c>
      <c r="Q1476" s="561">
        <f t="shared" si="191"/>
        <v>0</v>
      </c>
      <c r="R1476" s="174"/>
      <c r="T1476" s="82"/>
      <c r="U1476" s="82"/>
      <c r="V1476" s="82"/>
      <c r="W1476" s="82"/>
      <c r="X1476" s="82"/>
      <c r="Y1476" s="82"/>
      <c r="Z1476" s="82"/>
      <c r="AA1476" s="82"/>
      <c r="AB1476" s="82"/>
    </row>
    <row r="1477" spans="1:28" s="85" customFormat="1" x14ac:dyDescent="0.25">
      <c r="A1477" s="82"/>
      <c r="B1477" s="82"/>
      <c r="C1477" s="82"/>
      <c r="D1477" s="729"/>
      <c r="E1477" s="371" t="s">
        <v>113</v>
      </c>
      <c r="F1477" s="372">
        <v>3</v>
      </c>
      <c r="G1477" s="373">
        <v>8</v>
      </c>
      <c r="H1477" s="374">
        <v>5</v>
      </c>
      <c r="I1477" s="375">
        <v>0.74</v>
      </c>
      <c r="J1477" s="376">
        <f t="shared" si="190"/>
        <v>5.92</v>
      </c>
      <c r="K1477" s="66">
        <f t="shared" si="192"/>
        <v>0.91167999999999993</v>
      </c>
      <c r="L1477" s="63">
        <f t="shared" si="193"/>
        <v>0</v>
      </c>
      <c r="M1477" s="63">
        <f t="shared" si="194"/>
        <v>0</v>
      </c>
      <c r="N1477" s="63">
        <f t="shared" si="195"/>
        <v>0</v>
      </c>
      <c r="O1477" s="63">
        <f t="shared" si="196"/>
        <v>0</v>
      </c>
      <c r="P1477" s="63">
        <f t="shared" si="197"/>
        <v>0</v>
      </c>
      <c r="Q1477" s="561">
        <f t="shared" si="191"/>
        <v>0</v>
      </c>
      <c r="R1477" s="174"/>
      <c r="T1477" s="82"/>
      <c r="U1477" s="82"/>
      <c r="V1477" s="82"/>
      <c r="W1477" s="82"/>
      <c r="X1477" s="82"/>
      <c r="Y1477" s="82"/>
      <c r="Z1477" s="82"/>
      <c r="AA1477" s="82"/>
      <c r="AB1477" s="82"/>
    </row>
    <row r="1478" spans="1:28" s="85" customFormat="1" x14ac:dyDescent="0.25">
      <c r="A1478" s="82"/>
      <c r="B1478" s="82"/>
      <c r="C1478" s="82"/>
      <c r="D1478" s="729"/>
      <c r="E1478" s="371" t="s">
        <v>113</v>
      </c>
      <c r="F1478" s="372">
        <v>19</v>
      </c>
      <c r="G1478" s="373">
        <v>10</v>
      </c>
      <c r="H1478" s="374">
        <v>16</v>
      </c>
      <c r="I1478" s="375">
        <v>3.53</v>
      </c>
      <c r="J1478" s="376">
        <f t="shared" ref="J1478:J1544" si="206">G1478*I1478</f>
        <v>35.299999999999997</v>
      </c>
      <c r="K1478" s="66">
        <f t="shared" si="192"/>
        <v>0</v>
      </c>
      <c r="L1478" s="63">
        <f t="shared" si="193"/>
        <v>0</v>
      </c>
      <c r="M1478" s="63">
        <f t="shared" si="194"/>
        <v>0</v>
      </c>
      <c r="N1478" s="63">
        <f t="shared" si="195"/>
        <v>0</v>
      </c>
      <c r="O1478" s="63">
        <f t="shared" si="196"/>
        <v>0</v>
      </c>
      <c r="P1478" s="63">
        <f t="shared" si="197"/>
        <v>55.703399999999995</v>
      </c>
      <c r="Q1478" s="561">
        <f t="shared" si="191"/>
        <v>0</v>
      </c>
      <c r="R1478" s="174"/>
      <c r="T1478" s="82"/>
      <c r="U1478" s="82"/>
      <c r="V1478" s="82"/>
      <c r="W1478" s="82"/>
      <c r="X1478" s="82"/>
      <c r="Y1478" s="82"/>
      <c r="Z1478" s="82"/>
      <c r="AA1478" s="82"/>
      <c r="AB1478" s="82"/>
    </row>
    <row r="1479" spans="1:28" s="85" customFormat="1" x14ac:dyDescent="0.25">
      <c r="A1479" s="82"/>
      <c r="B1479" s="82"/>
      <c r="C1479" s="82"/>
      <c r="D1479" s="729"/>
      <c r="E1479" s="371" t="s">
        <v>113</v>
      </c>
      <c r="F1479" s="372">
        <v>1</v>
      </c>
      <c r="G1479" s="373">
        <v>5</v>
      </c>
      <c r="H1479" s="374">
        <v>5</v>
      </c>
      <c r="I1479" s="375">
        <v>0.28999999999999998</v>
      </c>
      <c r="J1479" s="376">
        <f t="shared" ref="J1479" si="207">G1479*I1479</f>
        <v>1.45</v>
      </c>
      <c r="K1479" s="66">
        <f t="shared" si="192"/>
        <v>0.2233</v>
      </c>
      <c r="L1479" s="63">
        <f t="shared" si="193"/>
        <v>0</v>
      </c>
      <c r="M1479" s="63">
        <f t="shared" si="194"/>
        <v>0</v>
      </c>
      <c r="N1479" s="63">
        <f t="shared" si="195"/>
        <v>0</v>
      </c>
      <c r="O1479" s="63">
        <f t="shared" si="196"/>
        <v>0</v>
      </c>
      <c r="P1479" s="63">
        <f t="shared" si="197"/>
        <v>0</v>
      </c>
      <c r="Q1479" s="561">
        <f t="shared" si="191"/>
        <v>0</v>
      </c>
      <c r="R1479" s="174"/>
      <c r="T1479" s="82"/>
      <c r="U1479" s="82"/>
      <c r="V1479" s="82"/>
      <c r="W1479" s="82"/>
      <c r="X1479" s="82"/>
      <c r="Y1479" s="82"/>
      <c r="Z1479" s="82"/>
      <c r="AA1479" s="82"/>
      <c r="AB1479" s="82"/>
    </row>
    <row r="1480" spans="1:28" s="85" customFormat="1" x14ac:dyDescent="0.25">
      <c r="A1480" s="82"/>
      <c r="B1480" s="82"/>
      <c r="C1480" s="82"/>
      <c r="D1480" s="729"/>
      <c r="E1480" s="371" t="s">
        <v>113</v>
      </c>
      <c r="F1480" s="372">
        <v>2</v>
      </c>
      <c r="G1480" s="373">
        <v>5</v>
      </c>
      <c r="H1480" s="374">
        <v>5</v>
      </c>
      <c r="I1480" s="375">
        <v>1.07</v>
      </c>
      <c r="J1480" s="376">
        <f t="shared" si="206"/>
        <v>5.3500000000000005</v>
      </c>
      <c r="K1480" s="66">
        <f t="shared" si="192"/>
        <v>0.82390000000000008</v>
      </c>
      <c r="L1480" s="63">
        <f t="shared" si="193"/>
        <v>0</v>
      </c>
      <c r="M1480" s="63">
        <f t="shared" si="194"/>
        <v>0</v>
      </c>
      <c r="N1480" s="63">
        <f t="shared" si="195"/>
        <v>0</v>
      </c>
      <c r="O1480" s="63">
        <f t="shared" si="196"/>
        <v>0</v>
      </c>
      <c r="P1480" s="63">
        <f t="shared" si="197"/>
        <v>0</v>
      </c>
      <c r="Q1480" s="561">
        <f t="shared" si="191"/>
        <v>0</v>
      </c>
      <c r="R1480" s="174"/>
      <c r="T1480" s="82"/>
      <c r="U1480" s="82"/>
      <c r="V1480" s="82"/>
      <c r="W1480" s="82"/>
      <c r="X1480" s="82"/>
      <c r="Y1480" s="82"/>
      <c r="Z1480" s="82"/>
      <c r="AA1480" s="82"/>
      <c r="AB1480" s="82"/>
    </row>
    <row r="1481" spans="1:28" s="85" customFormat="1" x14ac:dyDescent="0.25">
      <c r="A1481" s="82"/>
      <c r="B1481" s="82"/>
      <c r="C1481" s="82"/>
      <c r="D1481" s="729"/>
      <c r="E1481" s="371" t="s">
        <v>113</v>
      </c>
      <c r="F1481" s="372">
        <v>7</v>
      </c>
      <c r="G1481" s="373">
        <v>10</v>
      </c>
      <c r="H1481" s="374">
        <v>16</v>
      </c>
      <c r="I1481" s="375">
        <v>0.98</v>
      </c>
      <c r="J1481" s="376">
        <f t="shared" ref="J1481" si="208">G1481*I1481</f>
        <v>9.8000000000000007</v>
      </c>
      <c r="K1481" s="66">
        <f t="shared" si="192"/>
        <v>0</v>
      </c>
      <c r="L1481" s="63">
        <f t="shared" si="193"/>
        <v>0</v>
      </c>
      <c r="M1481" s="63">
        <f t="shared" si="194"/>
        <v>0</v>
      </c>
      <c r="N1481" s="63">
        <f t="shared" si="195"/>
        <v>0</v>
      </c>
      <c r="O1481" s="63">
        <f t="shared" si="196"/>
        <v>0</v>
      </c>
      <c r="P1481" s="63">
        <f t="shared" si="197"/>
        <v>15.464400000000001</v>
      </c>
      <c r="Q1481" s="561">
        <f t="shared" si="191"/>
        <v>0</v>
      </c>
      <c r="R1481" s="174"/>
      <c r="T1481" s="82"/>
      <c r="U1481" s="82"/>
      <c r="V1481" s="82"/>
      <c r="W1481" s="82"/>
      <c r="X1481" s="82"/>
      <c r="Y1481" s="82"/>
      <c r="Z1481" s="82"/>
      <c r="AA1481" s="82"/>
      <c r="AB1481" s="82"/>
    </row>
    <row r="1482" spans="1:28" s="85" customFormat="1" x14ac:dyDescent="0.25">
      <c r="A1482" s="82"/>
      <c r="B1482" s="82"/>
      <c r="C1482" s="82"/>
      <c r="D1482" s="729"/>
      <c r="E1482" s="396" t="s">
        <v>184</v>
      </c>
      <c r="F1482" s="403">
        <v>1</v>
      </c>
      <c r="G1482" s="397">
        <v>4</v>
      </c>
      <c r="H1482" s="398">
        <v>5</v>
      </c>
      <c r="I1482" s="399">
        <v>0.28999999999999998</v>
      </c>
      <c r="J1482" s="400">
        <f t="shared" si="206"/>
        <v>1.1599999999999999</v>
      </c>
      <c r="K1482" s="401">
        <f t="shared" ref="K1482:K1544" si="209">IF($H1482=5,$J1482*$B$21,0)</f>
        <v>0.17863999999999999</v>
      </c>
      <c r="L1482" s="196">
        <f t="shared" ref="L1482:L1544" si="210">IF($H1482=6.3,$J1482*$B$22,0)</f>
        <v>0</v>
      </c>
      <c r="M1482" s="196">
        <f t="shared" ref="M1482:M1544" si="211">IF($H1482=8,$J1482*$B$23,0)</f>
        <v>0</v>
      </c>
      <c r="N1482" s="196">
        <f t="shared" ref="N1482:N1544" si="212">IF($H1482=10,$J1482*$B$24,0)</f>
        <v>0</v>
      </c>
      <c r="O1482" s="196">
        <f t="shared" ref="O1482:O1544" si="213">IF($H1482=12.5,$J1482*$B$26,0)</f>
        <v>0</v>
      </c>
      <c r="P1482" s="196">
        <f t="shared" ref="P1482:P1544" si="214">IF($H1482=16,$J1482*$B$27,0)</f>
        <v>0</v>
      </c>
      <c r="Q1482" s="566">
        <f t="shared" si="191"/>
        <v>0</v>
      </c>
      <c r="R1482" s="538"/>
      <c r="T1482" s="82"/>
      <c r="U1482" s="82"/>
      <c r="V1482" s="82"/>
      <c r="W1482" s="82"/>
      <c r="X1482" s="82"/>
      <c r="Y1482" s="82"/>
      <c r="Z1482" s="82"/>
      <c r="AA1482" s="82"/>
      <c r="AB1482" s="82"/>
    </row>
    <row r="1483" spans="1:28" s="85" customFormat="1" x14ac:dyDescent="0.25">
      <c r="A1483" s="82"/>
      <c r="B1483" s="82"/>
      <c r="C1483" s="82"/>
      <c r="D1483" s="729"/>
      <c r="E1483" s="371" t="s">
        <v>184</v>
      </c>
      <c r="F1483" s="372">
        <v>2</v>
      </c>
      <c r="G1483" s="373">
        <v>8</v>
      </c>
      <c r="H1483" s="374">
        <v>5</v>
      </c>
      <c r="I1483" s="375">
        <v>0.74</v>
      </c>
      <c r="J1483" s="376">
        <f t="shared" si="206"/>
        <v>5.92</v>
      </c>
      <c r="K1483" s="66">
        <f t="shared" si="209"/>
        <v>0.91167999999999993</v>
      </c>
      <c r="L1483" s="63">
        <f t="shared" si="210"/>
        <v>0</v>
      </c>
      <c r="M1483" s="63">
        <f t="shared" si="211"/>
        <v>0</v>
      </c>
      <c r="N1483" s="63">
        <f t="shared" si="212"/>
        <v>0</v>
      </c>
      <c r="O1483" s="63">
        <f t="shared" si="213"/>
        <v>0</v>
      </c>
      <c r="P1483" s="63">
        <f t="shared" si="214"/>
        <v>0</v>
      </c>
      <c r="Q1483" s="562">
        <f t="shared" si="191"/>
        <v>0</v>
      </c>
      <c r="R1483" s="377"/>
      <c r="T1483" s="82"/>
      <c r="U1483" s="82"/>
      <c r="V1483" s="82"/>
      <c r="W1483" s="82"/>
      <c r="X1483" s="82"/>
      <c r="Y1483" s="82"/>
      <c r="Z1483" s="82"/>
      <c r="AA1483" s="82"/>
      <c r="AB1483" s="82"/>
    </row>
    <row r="1484" spans="1:28" s="85" customFormat="1" x14ac:dyDescent="0.25">
      <c r="A1484" s="82"/>
      <c r="B1484" s="82"/>
      <c r="C1484" s="82"/>
      <c r="D1484" s="729"/>
      <c r="E1484" s="371" t="s">
        <v>184</v>
      </c>
      <c r="F1484" s="372">
        <v>12</v>
      </c>
      <c r="G1484" s="373">
        <v>10</v>
      </c>
      <c r="H1484" s="374">
        <v>16</v>
      </c>
      <c r="I1484" s="375">
        <v>0.32</v>
      </c>
      <c r="J1484" s="376">
        <f t="shared" si="206"/>
        <v>3.2</v>
      </c>
      <c r="K1484" s="66">
        <f t="shared" si="209"/>
        <v>0</v>
      </c>
      <c r="L1484" s="63">
        <f t="shared" si="210"/>
        <v>0</v>
      </c>
      <c r="M1484" s="63">
        <f t="shared" si="211"/>
        <v>0</v>
      </c>
      <c r="N1484" s="63">
        <f t="shared" si="212"/>
        <v>0</v>
      </c>
      <c r="O1484" s="63">
        <f t="shared" si="213"/>
        <v>0</v>
      </c>
      <c r="P1484" s="63">
        <f t="shared" si="214"/>
        <v>5.0496000000000008</v>
      </c>
      <c r="Q1484" s="562">
        <f t="shared" si="191"/>
        <v>0</v>
      </c>
      <c r="R1484" s="377"/>
      <c r="T1484" s="82"/>
      <c r="U1484" s="82"/>
      <c r="V1484" s="82"/>
      <c r="W1484" s="82"/>
      <c r="X1484" s="82"/>
      <c r="Y1484" s="82"/>
      <c r="Z1484" s="82"/>
      <c r="AA1484" s="82"/>
      <c r="AB1484" s="82"/>
    </row>
    <row r="1485" spans="1:28" s="85" customFormat="1" ht="13.8" thickBot="1" x14ac:dyDescent="0.3">
      <c r="A1485" s="82"/>
      <c r="B1485" s="82"/>
      <c r="C1485" s="82"/>
      <c r="D1485" s="731"/>
      <c r="E1485" s="390" t="s">
        <v>184</v>
      </c>
      <c r="F1485" s="391"/>
      <c r="G1485" s="392"/>
      <c r="H1485" s="393"/>
      <c r="I1485" s="394"/>
      <c r="J1485" s="395">
        <f t="shared" si="206"/>
        <v>0</v>
      </c>
      <c r="K1485" s="221">
        <f t="shared" si="209"/>
        <v>0</v>
      </c>
      <c r="L1485" s="222">
        <f t="shared" si="210"/>
        <v>0</v>
      </c>
      <c r="M1485" s="222">
        <f t="shared" si="211"/>
        <v>0</v>
      </c>
      <c r="N1485" s="222">
        <f t="shared" si="212"/>
        <v>0</v>
      </c>
      <c r="O1485" s="222">
        <f t="shared" si="213"/>
        <v>0</v>
      </c>
      <c r="P1485" s="222">
        <f t="shared" si="214"/>
        <v>0</v>
      </c>
      <c r="Q1485" s="564">
        <f t="shared" si="191"/>
        <v>0</v>
      </c>
      <c r="R1485" s="539"/>
      <c r="T1485" s="82"/>
      <c r="U1485" s="82"/>
      <c r="V1485" s="82"/>
      <c r="W1485" s="82"/>
      <c r="X1485" s="82"/>
      <c r="Y1485" s="82"/>
      <c r="Z1485" s="82"/>
      <c r="AA1485" s="82"/>
      <c r="AB1485" s="82"/>
    </row>
    <row r="1486" spans="1:28" s="85" customFormat="1" ht="13.8" thickTop="1" x14ac:dyDescent="0.25">
      <c r="A1486" s="82"/>
      <c r="B1486" s="82"/>
      <c r="C1486" s="82"/>
      <c r="D1486" s="728" t="s">
        <v>1812</v>
      </c>
      <c r="E1486" s="384" t="s">
        <v>49</v>
      </c>
      <c r="F1486" s="385">
        <v>7</v>
      </c>
      <c r="G1486" s="386">
        <v>4</v>
      </c>
      <c r="H1486" s="387">
        <v>5</v>
      </c>
      <c r="I1486" s="388">
        <v>1.1499999999999999</v>
      </c>
      <c r="J1486" s="389">
        <f t="shared" si="206"/>
        <v>4.5999999999999996</v>
      </c>
      <c r="K1486" s="218">
        <f t="shared" si="209"/>
        <v>0.70839999999999992</v>
      </c>
      <c r="L1486" s="219">
        <f t="shared" si="210"/>
        <v>0</v>
      </c>
      <c r="M1486" s="219">
        <f t="shared" si="211"/>
        <v>0</v>
      </c>
      <c r="N1486" s="219">
        <f t="shared" si="212"/>
        <v>0</v>
      </c>
      <c r="O1486" s="219">
        <f t="shared" si="213"/>
        <v>0</v>
      </c>
      <c r="P1486" s="219">
        <f t="shared" si="214"/>
        <v>0</v>
      </c>
      <c r="Q1486" s="563">
        <f t="shared" si="191"/>
        <v>0</v>
      </c>
      <c r="R1486" s="220"/>
      <c r="T1486" s="82"/>
      <c r="U1486" s="82"/>
      <c r="V1486" s="82"/>
      <c r="W1486" s="82"/>
      <c r="X1486" s="82"/>
      <c r="Y1486" s="82"/>
      <c r="Z1486" s="82"/>
      <c r="AA1486" s="82"/>
      <c r="AB1486" s="82"/>
    </row>
    <row r="1487" spans="1:28" s="85" customFormat="1" x14ac:dyDescent="0.25">
      <c r="A1487" s="82"/>
      <c r="B1487" s="82"/>
      <c r="C1487" s="82"/>
      <c r="D1487" s="729"/>
      <c r="E1487" s="371" t="s">
        <v>49</v>
      </c>
      <c r="F1487" s="372">
        <v>8</v>
      </c>
      <c r="G1487" s="373">
        <v>6</v>
      </c>
      <c r="H1487" s="374">
        <v>5</v>
      </c>
      <c r="I1487" s="375">
        <v>0.85</v>
      </c>
      <c r="J1487" s="376">
        <f t="shared" si="206"/>
        <v>5.0999999999999996</v>
      </c>
      <c r="K1487" s="66">
        <f t="shared" si="209"/>
        <v>0.78539999999999999</v>
      </c>
      <c r="L1487" s="63">
        <f t="shared" si="210"/>
        <v>0</v>
      </c>
      <c r="M1487" s="63">
        <f t="shared" si="211"/>
        <v>0</v>
      </c>
      <c r="N1487" s="63">
        <f t="shared" si="212"/>
        <v>0</v>
      </c>
      <c r="O1487" s="63">
        <f t="shared" si="213"/>
        <v>0</v>
      </c>
      <c r="P1487" s="63">
        <f t="shared" si="214"/>
        <v>0</v>
      </c>
      <c r="Q1487" s="561">
        <f t="shared" si="191"/>
        <v>0</v>
      </c>
      <c r="R1487" s="174"/>
      <c r="T1487" s="82"/>
      <c r="U1487" s="82"/>
      <c r="V1487" s="82"/>
      <c r="W1487" s="82"/>
      <c r="X1487" s="82"/>
      <c r="Y1487" s="82"/>
      <c r="Z1487" s="82"/>
      <c r="AA1487" s="82"/>
      <c r="AB1487" s="82"/>
    </row>
    <row r="1488" spans="1:28" s="85" customFormat="1" x14ac:dyDescent="0.25">
      <c r="A1488" s="82"/>
      <c r="B1488" s="82"/>
      <c r="C1488" s="82"/>
      <c r="D1488" s="729"/>
      <c r="E1488" s="371" t="s">
        <v>49</v>
      </c>
      <c r="F1488" s="372">
        <v>36</v>
      </c>
      <c r="G1488" s="373">
        <v>4</v>
      </c>
      <c r="H1488" s="374">
        <v>12.5</v>
      </c>
      <c r="I1488" s="375">
        <v>0.98</v>
      </c>
      <c r="J1488" s="376">
        <f t="shared" ref="J1488" si="215">G1488*I1488</f>
        <v>3.92</v>
      </c>
      <c r="K1488" s="66">
        <f t="shared" si="209"/>
        <v>0</v>
      </c>
      <c r="L1488" s="63">
        <f t="shared" si="210"/>
        <v>0</v>
      </c>
      <c r="M1488" s="63">
        <f t="shared" si="211"/>
        <v>0</v>
      </c>
      <c r="N1488" s="63">
        <f t="shared" si="212"/>
        <v>0</v>
      </c>
      <c r="O1488" s="63">
        <f t="shared" si="213"/>
        <v>3.7749599999999996</v>
      </c>
      <c r="P1488" s="63">
        <f t="shared" si="214"/>
        <v>0</v>
      </c>
      <c r="Q1488" s="561">
        <f t="shared" si="191"/>
        <v>0</v>
      </c>
      <c r="R1488" s="174"/>
      <c r="T1488" s="82"/>
      <c r="U1488" s="82"/>
      <c r="V1488" s="82"/>
      <c r="W1488" s="82"/>
      <c r="X1488" s="82"/>
      <c r="Y1488" s="82"/>
      <c r="Z1488" s="82"/>
      <c r="AA1488" s="82"/>
      <c r="AB1488" s="82"/>
    </row>
    <row r="1489" spans="1:28" s="85" customFormat="1" x14ac:dyDescent="0.25">
      <c r="A1489" s="82"/>
      <c r="B1489" s="82"/>
      <c r="C1489" s="82"/>
      <c r="D1489" s="729"/>
      <c r="E1489" s="371" t="s">
        <v>49</v>
      </c>
      <c r="F1489" s="372">
        <v>37</v>
      </c>
      <c r="G1489" s="373">
        <v>4</v>
      </c>
      <c r="H1489" s="374">
        <v>12.5</v>
      </c>
      <c r="I1489" s="375">
        <v>0.83</v>
      </c>
      <c r="J1489" s="376">
        <f t="shared" si="206"/>
        <v>3.32</v>
      </c>
      <c r="K1489" s="66">
        <f t="shared" si="209"/>
        <v>0</v>
      </c>
      <c r="L1489" s="63">
        <f t="shared" si="210"/>
        <v>0</v>
      </c>
      <c r="M1489" s="63">
        <f t="shared" si="211"/>
        <v>0</v>
      </c>
      <c r="N1489" s="63">
        <f t="shared" si="212"/>
        <v>0</v>
      </c>
      <c r="O1489" s="63">
        <f t="shared" si="213"/>
        <v>3.1971599999999998</v>
      </c>
      <c r="P1489" s="63">
        <f t="shared" si="214"/>
        <v>0</v>
      </c>
      <c r="Q1489" s="561">
        <f t="shared" si="191"/>
        <v>0</v>
      </c>
      <c r="R1489" s="174"/>
      <c r="T1489" s="82"/>
      <c r="U1489" s="82"/>
      <c r="V1489" s="82"/>
      <c r="W1489" s="82"/>
      <c r="X1489" s="82"/>
      <c r="Y1489" s="82"/>
      <c r="Z1489" s="82"/>
      <c r="AA1489" s="82"/>
      <c r="AB1489" s="82"/>
    </row>
    <row r="1490" spans="1:28" s="85" customFormat="1" x14ac:dyDescent="0.25">
      <c r="A1490" s="82"/>
      <c r="B1490" s="82"/>
      <c r="C1490" s="82"/>
      <c r="D1490" s="729"/>
      <c r="E1490" s="371" t="s">
        <v>49</v>
      </c>
      <c r="F1490" s="372">
        <v>38</v>
      </c>
      <c r="G1490" s="373">
        <v>4</v>
      </c>
      <c r="H1490" s="374">
        <v>12.5</v>
      </c>
      <c r="I1490" s="375">
        <v>1.45</v>
      </c>
      <c r="J1490" s="376">
        <f t="shared" si="206"/>
        <v>5.8</v>
      </c>
      <c r="K1490" s="66">
        <f t="shared" si="209"/>
        <v>0</v>
      </c>
      <c r="L1490" s="63">
        <f t="shared" si="210"/>
        <v>0</v>
      </c>
      <c r="M1490" s="63">
        <f t="shared" si="211"/>
        <v>0</v>
      </c>
      <c r="N1490" s="63">
        <f t="shared" si="212"/>
        <v>0</v>
      </c>
      <c r="O1490" s="63">
        <f t="shared" si="213"/>
        <v>5.5853999999999999</v>
      </c>
      <c r="P1490" s="63">
        <f t="shared" si="214"/>
        <v>0</v>
      </c>
      <c r="Q1490" s="561">
        <f t="shared" si="191"/>
        <v>0</v>
      </c>
      <c r="R1490" s="174"/>
      <c r="T1490" s="82"/>
      <c r="U1490" s="82"/>
      <c r="V1490" s="82"/>
      <c r="W1490" s="82"/>
      <c r="X1490" s="82"/>
      <c r="Y1490" s="82"/>
      <c r="Z1490" s="82"/>
      <c r="AA1490" s="82"/>
      <c r="AB1490" s="82"/>
    </row>
    <row r="1491" spans="1:28" s="85" customFormat="1" x14ac:dyDescent="0.25">
      <c r="A1491" s="82"/>
      <c r="B1491" s="82"/>
      <c r="C1491" s="82"/>
      <c r="D1491" s="729"/>
      <c r="E1491" s="371" t="s">
        <v>113</v>
      </c>
      <c r="F1491" s="372">
        <v>2</v>
      </c>
      <c r="G1491" s="373">
        <v>17</v>
      </c>
      <c r="H1491" s="374">
        <v>5</v>
      </c>
      <c r="I1491" s="375">
        <v>1.07</v>
      </c>
      <c r="J1491" s="376">
        <f t="shared" si="206"/>
        <v>18.190000000000001</v>
      </c>
      <c r="K1491" s="66">
        <f t="shared" si="209"/>
        <v>2.8012600000000001</v>
      </c>
      <c r="L1491" s="63">
        <f t="shared" si="210"/>
        <v>0</v>
      </c>
      <c r="M1491" s="63">
        <f t="shared" si="211"/>
        <v>0</v>
      </c>
      <c r="N1491" s="63">
        <f t="shared" si="212"/>
        <v>0</v>
      </c>
      <c r="O1491" s="63">
        <f t="shared" si="213"/>
        <v>0</v>
      </c>
      <c r="P1491" s="63">
        <f t="shared" si="214"/>
        <v>0</v>
      </c>
      <c r="Q1491" s="561">
        <f t="shared" si="191"/>
        <v>0</v>
      </c>
      <c r="R1491" s="174"/>
      <c r="T1491" s="82"/>
      <c r="U1491" s="82"/>
      <c r="V1491" s="82"/>
      <c r="W1491" s="82"/>
      <c r="X1491" s="82"/>
      <c r="Y1491" s="82"/>
      <c r="Z1491" s="82"/>
      <c r="AA1491" s="82"/>
      <c r="AB1491" s="82"/>
    </row>
    <row r="1492" spans="1:28" s="85" customFormat="1" x14ac:dyDescent="0.25">
      <c r="A1492" s="82"/>
      <c r="B1492" s="82"/>
      <c r="C1492" s="82"/>
      <c r="D1492" s="729"/>
      <c r="E1492" s="371" t="s">
        <v>113</v>
      </c>
      <c r="F1492" s="372">
        <v>4</v>
      </c>
      <c r="G1492" s="373">
        <v>42</v>
      </c>
      <c r="H1492" s="374">
        <v>5</v>
      </c>
      <c r="I1492" s="375">
        <v>0.28999999999999998</v>
      </c>
      <c r="J1492" s="376">
        <f t="shared" si="206"/>
        <v>12.18</v>
      </c>
      <c r="K1492" s="66">
        <f t="shared" si="209"/>
        <v>1.8757199999999998</v>
      </c>
      <c r="L1492" s="63">
        <f t="shared" si="210"/>
        <v>0</v>
      </c>
      <c r="M1492" s="63">
        <f t="shared" si="211"/>
        <v>0</v>
      </c>
      <c r="N1492" s="63">
        <f t="shared" si="212"/>
        <v>0</v>
      </c>
      <c r="O1492" s="63">
        <f t="shared" si="213"/>
        <v>0</v>
      </c>
      <c r="P1492" s="63">
        <f t="shared" si="214"/>
        <v>0</v>
      </c>
      <c r="Q1492" s="561">
        <f t="shared" si="191"/>
        <v>0</v>
      </c>
      <c r="R1492" s="174"/>
      <c r="T1492" s="82"/>
      <c r="U1492" s="82"/>
      <c r="V1492" s="82"/>
      <c r="W1492" s="82"/>
      <c r="X1492" s="82"/>
      <c r="Y1492" s="82"/>
      <c r="Z1492" s="82"/>
      <c r="AA1492" s="82"/>
      <c r="AB1492" s="82"/>
    </row>
    <row r="1493" spans="1:28" s="85" customFormat="1" x14ac:dyDescent="0.25">
      <c r="A1493" s="82"/>
      <c r="B1493" s="82"/>
      <c r="C1493" s="82"/>
      <c r="D1493" s="729"/>
      <c r="E1493" s="371" t="s">
        <v>113</v>
      </c>
      <c r="F1493" s="372">
        <v>3</v>
      </c>
      <c r="G1493" s="373">
        <v>8</v>
      </c>
      <c r="H1493" s="374">
        <v>5</v>
      </c>
      <c r="I1493" s="375">
        <v>0.74</v>
      </c>
      <c r="J1493" s="376">
        <f t="shared" si="206"/>
        <v>5.92</v>
      </c>
      <c r="K1493" s="66">
        <f t="shared" si="209"/>
        <v>0.91167999999999993</v>
      </c>
      <c r="L1493" s="63">
        <f t="shared" si="210"/>
        <v>0</v>
      </c>
      <c r="M1493" s="63">
        <f t="shared" si="211"/>
        <v>0</v>
      </c>
      <c r="N1493" s="63">
        <f t="shared" si="212"/>
        <v>0</v>
      </c>
      <c r="O1493" s="63">
        <f t="shared" si="213"/>
        <v>0</v>
      </c>
      <c r="P1493" s="63">
        <f t="shared" si="214"/>
        <v>0</v>
      </c>
      <c r="Q1493" s="561">
        <f t="shared" si="191"/>
        <v>0</v>
      </c>
      <c r="R1493" s="174"/>
      <c r="T1493" s="82"/>
      <c r="U1493" s="82"/>
      <c r="V1493" s="82"/>
      <c r="W1493" s="82"/>
      <c r="X1493" s="82"/>
      <c r="Y1493" s="82"/>
      <c r="Z1493" s="82"/>
      <c r="AA1493" s="82"/>
      <c r="AB1493" s="82"/>
    </row>
    <row r="1494" spans="1:28" s="85" customFormat="1" x14ac:dyDescent="0.25">
      <c r="A1494" s="82"/>
      <c r="B1494" s="82"/>
      <c r="C1494" s="82"/>
      <c r="D1494" s="729"/>
      <c r="E1494" s="371" t="s">
        <v>113</v>
      </c>
      <c r="F1494" s="372">
        <v>17</v>
      </c>
      <c r="G1494" s="373">
        <v>8</v>
      </c>
      <c r="H1494" s="374">
        <v>12.5</v>
      </c>
      <c r="I1494" s="375">
        <v>3.42</v>
      </c>
      <c r="J1494" s="376">
        <f t="shared" si="206"/>
        <v>27.36</v>
      </c>
      <c r="K1494" s="66">
        <f t="shared" si="209"/>
        <v>0</v>
      </c>
      <c r="L1494" s="63">
        <f t="shared" si="210"/>
        <v>0</v>
      </c>
      <c r="M1494" s="63">
        <f t="shared" si="211"/>
        <v>0</v>
      </c>
      <c r="N1494" s="63">
        <f t="shared" si="212"/>
        <v>0</v>
      </c>
      <c r="O1494" s="63">
        <f t="shared" si="213"/>
        <v>26.347679999999997</v>
      </c>
      <c r="P1494" s="63">
        <f t="shared" si="214"/>
        <v>0</v>
      </c>
      <c r="Q1494" s="561">
        <f t="shared" si="191"/>
        <v>0</v>
      </c>
      <c r="R1494" s="174"/>
      <c r="T1494" s="82"/>
      <c r="U1494" s="82"/>
      <c r="V1494" s="82"/>
      <c r="W1494" s="82"/>
      <c r="X1494" s="82"/>
      <c r="Y1494" s="82"/>
      <c r="Z1494" s="82"/>
      <c r="AA1494" s="82"/>
      <c r="AB1494" s="82"/>
    </row>
    <row r="1495" spans="1:28" s="85" customFormat="1" x14ac:dyDescent="0.25">
      <c r="A1495" s="82"/>
      <c r="B1495" s="82"/>
      <c r="C1495" s="82"/>
      <c r="D1495" s="729"/>
      <c r="E1495" s="371" t="s">
        <v>113</v>
      </c>
      <c r="F1495" s="372">
        <v>2</v>
      </c>
      <c r="G1495" s="373">
        <v>3</v>
      </c>
      <c r="H1495" s="374">
        <v>5</v>
      </c>
      <c r="I1495" s="375">
        <v>1.07</v>
      </c>
      <c r="J1495" s="376">
        <f t="shared" ref="J1495" si="216">G1495*I1495</f>
        <v>3.21</v>
      </c>
      <c r="K1495" s="66">
        <f t="shared" si="209"/>
        <v>0.49434</v>
      </c>
      <c r="L1495" s="63">
        <f t="shared" si="210"/>
        <v>0</v>
      </c>
      <c r="M1495" s="63">
        <f t="shared" si="211"/>
        <v>0</v>
      </c>
      <c r="N1495" s="63">
        <f t="shared" si="212"/>
        <v>0</v>
      </c>
      <c r="O1495" s="63">
        <f t="shared" si="213"/>
        <v>0</v>
      </c>
      <c r="P1495" s="63">
        <f t="shared" si="214"/>
        <v>0</v>
      </c>
      <c r="Q1495" s="561">
        <f t="shared" si="191"/>
        <v>0</v>
      </c>
      <c r="R1495" s="174"/>
      <c r="T1495" s="82"/>
      <c r="U1495" s="82"/>
      <c r="V1495" s="82"/>
      <c r="W1495" s="82"/>
      <c r="X1495" s="82"/>
      <c r="Y1495" s="82"/>
      <c r="Z1495" s="82"/>
      <c r="AA1495" s="82"/>
      <c r="AB1495" s="82"/>
    </row>
    <row r="1496" spans="1:28" s="85" customFormat="1" x14ac:dyDescent="0.25">
      <c r="A1496" s="82"/>
      <c r="B1496" s="82"/>
      <c r="C1496" s="82"/>
      <c r="D1496" s="729"/>
      <c r="E1496" s="371" t="s">
        <v>113</v>
      </c>
      <c r="F1496" s="372">
        <v>3</v>
      </c>
      <c r="G1496" s="373">
        <v>6</v>
      </c>
      <c r="H1496" s="374">
        <v>5</v>
      </c>
      <c r="I1496" s="375">
        <v>0.28999999999999998</v>
      </c>
      <c r="J1496" s="376">
        <f t="shared" si="206"/>
        <v>1.7399999999999998</v>
      </c>
      <c r="K1496" s="66">
        <f t="shared" si="209"/>
        <v>0.26795999999999998</v>
      </c>
      <c r="L1496" s="63">
        <f t="shared" si="210"/>
        <v>0</v>
      </c>
      <c r="M1496" s="63">
        <f t="shared" si="211"/>
        <v>0</v>
      </c>
      <c r="N1496" s="63">
        <f t="shared" si="212"/>
        <v>0</v>
      </c>
      <c r="O1496" s="63">
        <f t="shared" si="213"/>
        <v>0</v>
      </c>
      <c r="P1496" s="63">
        <f t="shared" si="214"/>
        <v>0</v>
      </c>
      <c r="Q1496" s="561">
        <f t="shared" si="191"/>
        <v>0</v>
      </c>
      <c r="R1496" s="174"/>
      <c r="T1496" s="82"/>
      <c r="U1496" s="82"/>
      <c r="V1496" s="82"/>
      <c r="W1496" s="82"/>
      <c r="X1496" s="82"/>
      <c r="Y1496" s="82"/>
      <c r="Z1496" s="82"/>
      <c r="AA1496" s="82"/>
      <c r="AB1496" s="82"/>
    </row>
    <row r="1497" spans="1:28" s="85" customFormat="1" x14ac:dyDescent="0.25">
      <c r="A1497" s="82"/>
      <c r="B1497" s="82"/>
      <c r="C1497" s="82"/>
      <c r="D1497" s="729"/>
      <c r="E1497" s="371" t="s">
        <v>113</v>
      </c>
      <c r="F1497" s="372">
        <v>6</v>
      </c>
      <c r="G1497" s="373">
        <v>8</v>
      </c>
      <c r="H1497" s="374">
        <v>12.5</v>
      </c>
      <c r="I1497" s="375">
        <v>0.87</v>
      </c>
      <c r="J1497" s="376">
        <f t="shared" ref="J1497" si="217">G1497*I1497</f>
        <v>6.96</v>
      </c>
      <c r="K1497" s="66">
        <f t="shared" si="209"/>
        <v>0</v>
      </c>
      <c r="L1497" s="63">
        <f t="shared" si="210"/>
        <v>0</v>
      </c>
      <c r="M1497" s="63">
        <f t="shared" si="211"/>
        <v>0</v>
      </c>
      <c r="N1497" s="63">
        <f t="shared" si="212"/>
        <v>0</v>
      </c>
      <c r="O1497" s="63">
        <f t="shared" si="213"/>
        <v>6.7024799999999995</v>
      </c>
      <c r="P1497" s="63">
        <f t="shared" si="214"/>
        <v>0</v>
      </c>
      <c r="Q1497" s="561">
        <f t="shared" si="191"/>
        <v>0</v>
      </c>
      <c r="R1497" s="174"/>
      <c r="T1497" s="82"/>
      <c r="U1497" s="82"/>
      <c r="V1497" s="82"/>
      <c r="W1497" s="82"/>
      <c r="X1497" s="82"/>
      <c r="Y1497" s="82"/>
      <c r="Z1497" s="82"/>
      <c r="AA1497" s="82"/>
      <c r="AB1497" s="82"/>
    </row>
    <row r="1498" spans="1:28" s="85" customFormat="1" x14ac:dyDescent="0.25">
      <c r="A1498" s="82"/>
      <c r="B1498" s="82"/>
      <c r="C1498" s="82"/>
      <c r="D1498" s="729"/>
      <c r="E1498" s="396" t="s">
        <v>184</v>
      </c>
      <c r="F1498" s="403">
        <v>2</v>
      </c>
      <c r="G1498" s="397">
        <v>6</v>
      </c>
      <c r="H1498" s="398">
        <v>5</v>
      </c>
      <c r="I1498" s="399">
        <v>0.74</v>
      </c>
      <c r="J1498" s="400">
        <f t="shared" si="206"/>
        <v>4.4399999999999995</v>
      </c>
      <c r="K1498" s="401">
        <f t="shared" si="209"/>
        <v>0.68375999999999992</v>
      </c>
      <c r="L1498" s="196">
        <f t="shared" si="210"/>
        <v>0</v>
      </c>
      <c r="M1498" s="196">
        <f t="shared" si="211"/>
        <v>0</v>
      </c>
      <c r="N1498" s="196">
        <f t="shared" si="212"/>
        <v>0</v>
      </c>
      <c r="O1498" s="196">
        <f t="shared" si="213"/>
        <v>0</v>
      </c>
      <c r="P1498" s="196">
        <f t="shared" si="214"/>
        <v>0</v>
      </c>
      <c r="Q1498" s="566">
        <f t="shared" si="191"/>
        <v>0</v>
      </c>
      <c r="R1498" s="538"/>
      <c r="T1498" s="82"/>
      <c r="U1498" s="82"/>
      <c r="V1498" s="82"/>
      <c r="W1498" s="82"/>
      <c r="X1498" s="82"/>
      <c r="Y1498" s="82"/>
      <c r="Z1498" s="82"/>
      <c r="AA1498" s="82"/>
      <c r="AB1498" s="82"/>
    </row>
    <row r="1499" spans="1:28" s="85" customFormat="1" x14ac:dyDescent="0.25">
      <c r="A1499" s="82"/>
      <c r="B1499" s="82"/>
      <c r="C1499" s="82"/>
      <c r="D1499" s="729"/>
      <c r="E1499" s="371" t="s">
        <v>184</v>
      </c>
      <c r="F1499" s="372">
        <v>3</v>
      </c>
      <c r="G1499" s="373">
        <v>6</v>
      </c>
      <c r="H1499" s="374">
        <v>5</v>
      </c>
      <c r="I1499" s="375">
        <v>0.28999999999999998</v>
      </c>
      <c r="J1499" s="376">
        <f t="shared" si="206"/>
        <v>1.7399999999999998</v>
      </c>
      <c r="K1499" s="66">
        <f t="shared" si="209"/>
        <v>0.26795999999999998</v>
      </c>
      <c r="L1499" s="63">
        <f t="shared" si="210"/>
        <v>0</v>
      </c>
      <c r="M1499" s="63">
        <f t="shared" si="211"/>
        <v>0</v>
      </c>
      <c r="N1499" s="63">
        <f t="shared" si="212"/>
        <v>0</v>
      </c>
      <c r="O1499" s="63">
        <f t="shared" si="213"/>
        <v>0</v>
      </c>
      <c r="P1499" s="63">
        <f t="shared" si="214"/>
        <v>0</v>
      </c>
      <c r="Q1499" s="562">
        <f t="shared" si="191"/>
        <v>0</v>
      </c>
      <c r="R1499" s="377"/>
      <c r="T1499" s="82"/>
      <c r="U1499" s="82"/>
      <c r="V1499" s="82"/>
      <c r="W1499" s="82"/>
      <c r="X1499" s="82"/>
      <c r="Y1499" s="82"/>
      <c r="Z1499" s="82"/>
      <c r="AA1499" s="82"/>
      <c r="AB1499" s="82"/>
    </row>
    <row r="1500" spans="1:28" s="85" customFormat="1" x14ac:dyDescent="0.25">
      <c r="A1500" s="82"/>
      <c r="B1500" s="82"/>
      <c r="C1500" s="82"/>
      <c r="D1500" s="729"/>
      <c r="E1500" s="371" t="s">
        <v>184</v>
      </c>
      <c r="F1500" s="372">
        <v>10</v>
      </c>
      <c r="G1500" s="373">
        <v>8</v>
      </c>
      <c r="H1500" s="374">
        <v>12.5</v>
      </c>
      <c r="I1500" s="375">
        <v>0.32</v>
      </c>
      <c r="J1500" s="376">
        <f t="shared" si="206"/>
        <v>2.56</v>
      </c>
      <c r="K1500" s="66">
        <f t="shared" si="209"/>
        <v>0</v>
      </c>
      <c r="L1500" s="63">
        <f t="shared" si="210"/>
        <v>0</v>
      </c>
      <c r="M1500" s="63">
        <f t="shared" si="211"/>
        <v>0</v>
      </c>
      <c r="N1500" s="63">
        <f t="shared" si="212"/>
        <v>0</v>
      </c>
      <c r="O1500" s="63">
        <f t="shared" si="213"/>
        <v>2.4652799999999999</v>
      </c>
      <c r="P1500" s="63">
        <f t="shared" si="214"/>
        <v>0</v>
      </c>
      <c r="Q1500" s="562">
        <f t="shared" si="191"/>
        <v>0</v>
      </c>
      <c r="R1500" s="377"/>
      <c r="T1500" s="82"/>
      <c r="U1500" s="82"/>
      <c r="V1500" s="82"/>
      <c r="W1500" s="82"/>
      <c r="X1500" s="82"/>
      <c r="Y1500" s="82"/>
      <c r="Z1500" s="82"/>
      <c r="AA1500" s="82"/>
      <c r="AB1500" s="82"/>
    </row>
    <row r="1501" spans="1:28" s="85" customFormat="1" ht="13.8" thickBot="1" x14ac:dyDescent="0.3">
      <c r="A1501" s="82"/>
      <c r="B1501" s="82"/>
      <c r="C1501" s="82"/>
      <c r="D1501" s="731"/>
      <c r="E1501" s="390" t="s">
        <v>184</v>
      </c>
      <c r="F1501" s="391"/>
      <c r="G1501" s="392"/>
      <c r="H1501" s="393"/>
      <c r="I1501" s="394"/>
      <c r="J1501" s="395">
        <f t="shared" si="206"/>
        <v>0</v>
      </c>
      <c r="K1501" s="221">
        <f t="shared" si="209"/>
        <v>0</v>
      </c>
      <c r="L1501" s="222">
        <f t="shared" si="210"/>
        <v>0</v>
      </c>
      <c r="M1501" s="222">
        <f t="shared" si="211"/>
        <v>0</v>
      </c>
      <c r="N1501" s="222">
        <f t="shared" si="212"/>
        <v>0</v>
      </c>
      <c r="O1501" s="222">
        <f t="shared" si="213"/>
        <v>0</v>
      </c>
      <c r="P1501" s="222">
        <f t="shared" si="214"/>
        <v>0</v>
      </c>
      <c r="Q1501" s="564">
        <f t="shared" si="191"/>
        <v>0</v>
      </c>
      <c r="R1501" s="539"/>
      <c r="T1501" s="82"/>
      <c r="U1501" s="82"/>
      <c r="V1501" s="82"/>
      <c r="W1501" s="82"/>
      <c r="X1501" s="82"/>
      <c r="Y1501" s="82"/>
      <c r="Z1501" s="82"/>
      <c r="AA1501" s="82"/>
      <c r="AB1501" s="82"/>
    </row>
    <row r="1502" spans="1:28" s="85" customFormat="1" ht="13.8" thickTop="1" x14ac:dyDescent="0.25">
      <c r="A1502" s="82"/>
      <c r="B1502" s="82"/>
      <c r="C1502" s="82"/>
      <c r="D1502" s="728" t="s">
        <v>1813</v>
      </c>
      <c r="E1502" s="384" t="s">
        <v>49</v>
      </c>
      <c r="F1502" s="385">
        <v>9</v>
      </c>
      <c r="G1502" s="386">
        <v>18</v>
      </c>
      <c r="H1502" s="387">
        <v>5</v>
      </c>
      <c r="I1502" s="388">
        <v>0.39</v>
      </c>
      <c r="J1502" s="389">
        <f t="shared" si="206"/>
        <v>7.0200000000000005</v>
      </c>
      <c r="K1502" s="218">
        <f t="shared" si="209"/>
        <v>1.08108</v>
      </c>
      <c r="L1502" s="219">
        <f t="shared" si="210"/>
        <v>0</v>
      </c>
      <c r="M1502" s="219">
        <f t="shared" si="211"/>
        <v>0</v>
      </c>
      <c r="N1502" s="219">
        <f t="shared" si="212"/>
        <v>0</v>
      </c>
      <c r="O1502" s="219">
        <f t="shared" si="213"/>
        <v>0</v>
      </c>
      <c r="P1502" s="219">
        <f t="shared" si="214"/>
        <v>0</v>
      </c>
      <c r="Q1502" s="563">
        <f t="shared" si="191"/>
        <v>0</v>
      </c>
      <c r="R1502" s="220"/>
      <c r="T1502" s="82"/>
      <c r="U1502" s="82"/>
      <c r="V1502" s="82"/>
      <c r="W1502" s="82"/>
      <c r="X1502" s="82"/>
      <c r="Y1502" s="82"/>
      <c r="Z1502" s="82"/>
      <c r="AA1502" s="82"/>
      <c r="AB1502" s="82"/>
    </row>
    <row r="1503" spans="1:28" s="85" customFormat="1" x14ac:dyDescent="0.25">
      <c r="A1503" s="82"/>
      <c r="B1503" s="82"/>
      <c r="C1503" s="82"/>
      <c r="D1503" s="729"/>
      <c r="E1503" s="371" t="s">
        <v>49</v>
      </c>
      <c r="F1503" s="372">
        <v>10</v>
      </c>
      <c r="G1503" s="373">
        <v>5</v>
      </c>
      <c r="H1503" s="374">
        <v>5</v>
      </c>
      <c r="I1503" s="375">
        <v>1.27</v>
      </c>
      <c r="J1503" s="376">
        <f t="shared" ref="J1503:J1504" si="218">G1503*I1503</f>
        <v>6.35</v>
      </c>
      <c r="K1503" s="66">
        <f t="shared" si="209"/>
        <v>0.97789999999999988</v>
      </c>
      <c r="L1503" s="63">
        <f t="shared" si="210"/>
        <v>0</v>
      </c>
      <c r="M1503" s="63">
        <f t="shared" si="211"/>
        <v>0</v>
      </c>
      <c r="N1503" s="63">
        <f t="shared" si="212"/>
        <v>0</v>
      </c>
      <c r="O1503" s="63">
        <f t="shared" si="213"/>
        <v>0</v>
      </c>
      <c r="P1503" s="63">
        <f t="shared" si="214"/>
        <v>0</v>
      </c>
      <c r="Q1503" s="561">
        <f t="shared" si="191"/>
        <v>0</v>
      </c>
      <c r="R1503" s="174"/>
      <c r="T1503" s="82"/>
      <c r="U1503" s="82"/>
      <c r="V1503" s="82"/>
      <c r="W1503" s="82"/>
      <c r="X1503" s="82"/>
      <c r="Y1503" s="82"/>
      <c r="Z1503" s="82"/>
      <c r="AA1503" s="82"/>
      <c r="AB1503" s="82"/>
    </row>
    <row r="1504" spans="1:28" s="85" customFormat="1" x14ac:dyDescent="0.25">
      <c r="A1504" s="82"/>
      <c r="B1504" s="82"/>
      <c r="C1504" s="82"/>
      <c r="D1504" s="729"/>
      <c r="E1504" s="371" t="s">
        <v>49</v>
      </c>
      <c r="F1504" s="372">
        <v>11</v>
      </c>
      <c r="G1504" s="373">
        <v>8</v>
      </c>
      <c r="H1504" s="374">
        <v>5</v>
      </c>
      <c r="I1504" s="375">
        <v>0.94</v>
      </c>
      <c r="J1504" s="376">
        <f t="shared" si="218"/>
        <v>7.52</v>
      </c>
      <c r="K1504" s="66">
        <f t="shared" si="209"/>
        <v>1.15808</v>
      </c>
      <c r="L1504" s="63">
        <f t="shared" si="210"/>
        <v>0</v>
      </c>
      <c r="M1504" s="63">
        <f t="shared" si="211"/>
        <v>0</v>
      </c>
      <c r="N1504" s="63">
        <f t="shared" si="212"/>
        <v>0</v>
      </c>
      <c r="O1504" s="63">
        <f t="shared" si="213"/>
        <v>0</v>
      </c>
      <c r="P1504" s="63">
        <f t="shared" si="214"/>
        <v>0</v>
      </c>
      <c r="Q1504" s="561">
        <f t="shared" si="191"/>
        <v>0</v>
      </c>
      <c r="R1504" s="174"/>
      <c r="T1504" s="82"/>
      <c r="U1504" s="82"/>
      <c r="V1504" s="82"/>
      <c r="W1504" s="82"/>
      <c r="X1504" s="82"/>
      <c r="Y1504" s="82"/>
      <c r="Z1504" s="82"/>
      <c r="AA1504" s="82"/>
      <c r="AB1504" s="82"/>
    </row>
    <row r="1505" spans="1:28" s="85" customFormat="1" x14ac:dyDescent="0.25">
      <c r="A1505" s="82"/>
      <c r="B1505" s="82"/>
      <c r="C1505" s="82"/>
      <c r="D1505" s="729"/>
      <c r="E1505" s="371" t="s">
        <v>49</v>
      </c>
      <c r="F1505" s="372">
        <v>32</v>
      </c>
      <c r="G1505" s="373">
        <v>4</v>
      </c>
      <c r="H1505" s="374">
        <v>10</v>
      </c>
      <c r="I1505" s="375">
        <v>1</v>
      </c>
      <c r="J1505" s="376">
        <f t="shared" si="206"/>
        <v>4</v>
      </c>
      <c r="K1505" s="66">
        <f t="shared" si="209"/>
        <v>0</v>
      </c>
      <c r="L1505" s="63">
        <f t="shared" si="210"/>
        <v>0</v>
      </c>
      <c r="M1505" s="63">
        <f t="shared" si="211"/>
        <v>0</v>
      </c>
      <c r="N1505" s="63">
        <f t="shared" si="212"/>
        <v>2.468</v>
      </c>
      <c r="O1505" s="63">
        <f t="shared" si="213"/>
        <v>0</v>
      </c>
      <c r="P1505" s="63">
        <f t="shared" si="214"/>
        <v>0</v>
      </c>
      <c r="Q1505" s="561">
        <f t="shared" si="191"/>
        <v>0</v>
      </c>
      <c r="R1505" s="174"/>
      <c r="T1505" s="82"/>
      <c r="U1505" s="82"/>
      <c r="V1505" s="82"/>
      <c r="W1505" s="82"/>
      <c r="X1505" s="82"/>
      <c r="Y1505" s="82"/>
      <c r="Z1505" s="82"/>
      <c r="AA1505" s="82"/>
      <c r="AB1505" s="82"/>
    </row>
    <row r="1506" spans="1:28" s="85" customFormat="1" x14ac:dyDescent="0.25">
      <c r="A1506" s="82"/>
      <c r="B1506" s="82"/>
      <c r="C1506" s="82"/>
      <c r="D1506" s="729"/>
      <c r="E1506" s="371" t="s">
        <v>49</v>
      </c>
      <c r="F1506" s="372">
        <v>33</v>
      </c>
      <c r="G1506" s="373">
        <v>4</v>
      </c>
      <c r="H1506" s="374">
        <v>10</v>
      </c>
      <c r="I1506" s="375">
        <v>0.67</v>
      </c>
      <c r="J1506" s="376">
        <f t="shared" si="206"/>
        <v>2.68</v>
      </c>
      <c r="K1506" s="66">
        <f t="shared" si="209"/>
        <v>0</v>
      </c>
      <c r="L1506" s="63">
        <f t="shared" si="210"/>
        <v>0</v>
      </c>
      <c r="M1506" s="63">
        <f t="shared" si="211"/>
        <v>0</v>
      </c>
      <c r="N1506" s="63">
        <f t="shared" si="212"/>
        <v>1.6535600000000001</v>
      </c>
      <c r="O1506" s="63">
        <f t="shared" si="213"/>
        <v>0</v>
      </c>
      <c r="P1506" s="63">
        <f t="shared" si="214"/>
        <v>0</v>
      </c>
      <c r="Q1506" s="561">
        <f t="shared" si="191"/>
        <v>0</v>
      </c>
      <c r="R1506" s="174"/>
      <c r="T1506" s="82"/>
      <c r="U1506" s="82"/>
      <c r="V1506" s="82"/>
      <c r="W1506" s="82"/>
      <c r="X1506" s="82"/>
      <c r="Y1506" s="82"/>
      <c r="Z1506" s="82"/>
      <c r="AA1506" s="82"/>
      <c r="AB1506" s="82"/>
    </row>
    <row r="1507" spans="1:28" s="85" customFormat="1" x14ac:dyDescent="0.25">
      <c r="A1507" s="82"/>
      <c r="B1507" s="82"/>
      <c r="C1507" s="82"/>
      <c r="D1507" s="729"/>
      <c r="E1507" s="371" t="s">
        <v>49</v>
      </c>
      <c r="F1507" s="372">
        <v>34</v>
      </c>
      <c r="G1507" s="373">
        <v>4</v>
      </c>
      <c r="H1507" s="374">
        <v>10</v>
      </c>
      <c r="I1507" s="375">
        <v>1.37</v>
      </c>
      <c r="J1507" s="376">
        <f t="shared" si="206"/>
        <v>5.48</v>
      </c>
      <c r="K1507" s="66">
        <f t="shared" si="209"/>
        <v>0</v>
      </c>
      <c r="L1507" s="63">
        <f t="shared" si="210"/>
        <v>0</v>
      </c>
      <c r="M1507" s="63">
        <f t="shared" si="211"/>
        <v>0</v>
      </c>
      <c r="N1507" s="63">
        <f t="shared" si="212"/>
        <v>3.3811600000000004</v>
      </c>
      <c r="O1507" s="63">
        <f t="shared" si="213"/>
        <v>0</v>
      </c>
      <c r="P1507" s="63">
        <f t="shared" si="214"/>
        <v>0</v>
      </c>
      <c r="Q1507" s="561">
        <f t="shared" si="191"/>
        <v>0</v>
      </c>
      <c r="R1507" s="174"/>
      <c r="T1507" s="82"/>
      <c r="U1507" s="82"/>
      <c r="V1507" s="82"/>
      <c r="W1507" s="82"/>
      <c r="X1507" s="82"/>
      <c r="Y1507" s="82"/>
      <c r="Z1507" s="82"/>
      <c r="AA1507" s="82"/>
      <c r="AB1507" s="82"/>
    </row>
    <row r="1508" spans="1:28" s="85" customFormat="1" x14ac:dyDescent="0.25">
      <c r="A1508" s="82"/>
      <c r="B1508" s="82"/>
      <c r="C1508" s="82"/>
      <c r="D1508" s="729"/>
      <c r="E1508" s="371" t="s">
        <v>113</v>
      </c>
      <c r="F1508" s="372">
        <v>2</v>
      </c>
      <c r="G1508" s="373">
        <v>21</v>
      </c>
      <c r="H1508" s="374">
        <v>5</v>
      </c>
      <c r="I1508" s="375">
        <v>1.07</v>
      </c>
      <c r="J1508" s="376">
        <f t="shared" si="206"/>
        <v>22.470000000000002</v>
      </c>
      <c r="K1508" s="66">
        <f t="shared" si="209"/>
        <v>3.4603800000000002</v>
      </c>
      <c r="L1508" s="63">
        <f t="shared" si="210"/>
        <v>0</v>
      </c>
      <c r="M1508" s="63">
        <f t="shared" si="211"/>
        <v>0</v>
      </c>
      <c r="N1508" s="63">
        <f t="shared" si="212"/>
        <v>0</v>
      </c>
      <c r="O1508" s="63">
        <f t="shared" si="213"/>
        <v>0</v>
      </c>
      <c r="P1508" s="63">
        <f t="shared" si="214"/>
        <v>0</v>
      </c>
      <c r="Q1508" s="561">
        <f t="shared" si="191"/>
        <v>0</v>
      </c>
      <c r="R1508" s="174"/>
      <c r="T1508" s="82"/>
      <c r="U1508" s="82"/>
      <c r="V1508" s="82"/>
      <c r="W1508" s="82"/>
      <c r="X1508" s="82"/>
      <c r="Y1508" s="82"/>
      <c r="Z1508" s="82"/>
      <c r="AA1508" s="82"/>
      <c r="AB1508" s="82"/>
    </row>
    <row r="1509" spans="1:28" s="85" customFormat="1" x14ac:dyDescent="0.25">
      <c r="A1509" s="82"/>
      <c r="B1509" s="82"/>
      <c r="C1509" s="82"/>
      <c r="D1509" s="729"/>
      <c r="E1509" s="371" t="s">
        <v>113</v>
      </c>
      <c r="F1509" s="372">
        <v>3</v>
      </c>
      <c r="G1509" s="373">
        <v>10</v>
      </c>
      <c r="H1509" s="374">
        <v>5</v>
      </c>
      <c r="I1509" s="375">
        <v>0.74</v>
      </c>
      <c r="J1509" s="376">
        <f t="shared" si="206"/>
        <v>7.4</v>
      </c>
      <c r="K1509" s="66">
        <f t="shared" si="209"/>
        <v>1.1395999999999999</v>
      </c>
      <c r="L1509" s="63">
        <f t="shared" si="210"/>
        <v>0</v>
      </c>
      <c r="M1509" s="63">
        <f t="shared" si="211"/>
        <v>0</v>
      </c>
      <c r="N1509" s="63">
        <f t="shared" si="212"/>
        <v>0</v>
      </c>
      <c r="O1509" s="63">
        <f t="shared" si="213"/>
        <v>0</v>
      </c>
      <c r="P1509" s="63">
        <f t="shared" si="214"/>
        <v>0</v>
      </c>
      <c r="Q1509" s="561">
        <f t="shared" si="191"/>
        <v>0</v>
      </c>
      <c r="R1509" s="174"/>
      <c r="T1509" s="82"/>
      <c r="U1509" s="82"/>
      <c r="V1509" s="82"/>
      <c r="W1509" s="82"/>
      <c r="X1509" s="82"/>
      <c r="Y1509" s="82"/>
      <c r="Z1509" s="82"/>
      <c r="AA1509" s="82"/>
      <c r="AB1509" s="82"/>
    </row>
    <row r="1510" spans="1:28" s="85" customFormat="1" x14ac:dyDescent="0.25">
      <c r="A1510" s="82"/>
      <c r="B1510" s="82"/>
      <c r="C1510" s="82"/>
      <c r="D1510" s="729"/>
      <c r="E1510" s="371" t="s">
        <v>113</v>
      </c>
      <c r="F1510" s="372">
        <v>5</v>
      </c>
      <c r="G1510" s="373">
        <v>52</v>
      </c>
      <c r="H1510" s="374">
        <v>5</v>
      </c>
      <c r="I1510" s="375">
        <v>0.28999999999999998</v>
      </c>
      <c r="J1510" s="376">
        <f t="shared" si="206"/>
        <v>15.079999999999998</v>
      </c>
      <c r="K1510" s="66">
        <f t="shared" si="209"/>
        <v>2.3223199999999995</v>
      </c>
      <c r="L1510" s="63">
        <f t="shared" si="210"/>
        <v>0</v>
      </c>
      <c r="M1510" s="63">
        <f t="shared" si="211"/>
        <v>0</v>
      </c>
      <c r="N1510" s="63">
        <f t="shared" si="212"/>
        <v>0</v>
      </c>
      <c r="O1510" s="63">
        <f t="shared" si="213"/>
        <v>0</v>
      </c>
      <c r="P1510" s="63">
        <f t="shared" si="214"/>
        <v>0</v>
      </c>
      <c r="Q1510" s="561">
        <f t="shared" si="191"/>
        <v>0</v>
      </c>
      <c r="R1510" s="174"/>
      <c r="T1510" s="82"/>
      <c r="U1510" s="82"/>
      <c r="V1510" s="82"/>
      <c r="W1510" s="82"/>
      <c r="X1510" s="82"/>
      <c r="Y1510" s="82"/>
      <c r="Z1510" s="82"/>
      <c r="AA1510" s="82"/>
      <c r="AB1510" s="82"/>
    </row>
    <row r="1511" spans="1:28" s="85" customFormat="1" x14ac:dyDescent="0.25">
      <c r="A1511" s="82"/>
      <c r="B1511" s="82"/>
      <c r="C1511" s="82"/>
      <c r="D1511" s="729"/>
      <c r="E1511" s="371" t="s">
        <v>113</v>
      </c>
      <c r="F1511" s="372">
        <v>15</v>
      </c>
      <c r="G1511" s="373">
        <v>8</v>
      </c>
      <c r="H1511" s="374">
        <v>10</v>
      </c>
      <c r="I1511" s="375">
        <v>3.33</v>
      </c>
      <c r="J1511" s="376">
        <f t="shared" si="206"/>
        <v>26.64</v>
      </c>
      <c r="K1511" s="66">
        <f t="shared" si="209"/>
        <v>0</v>
      </c>
      <c r="L1511" s="63">
        <f t="shared" si="210"/>
        <v>0</v>
      </c>
      <c r="M1511" s="63">
        <f t="shared" si="211"/>
        <v>0</v>
      </c>
      <c r="N1511" s="63">
        <f t="shared" si="212"/>
        <v>16.436879999999999</v>
      </c>
      <c r="O1511" s="63">
        <f t="shared" si="213"/>
        <v>0</v>
      </c>
      <c r="P1511" s="63">
        <f t="shared" si="214"/>
        <v>0</v>
      </c>
      <c r="Q1511" s="561">
        <f t="shared" si="191"/>
        <v>0</v>
      </c>
      <c r="R1511" s="174"/>
      <c r="T1511" s="82"/>
      <c r="U1511" s="82"/>
      <c r="V1511" s="82"/>
      <c r="W1511" s="82"/>
      <c r="X1511" s="82"/>
      <c r="Y1511" s="82"/>
      <c r="Z1511" s="82"/>
      <c r="AA1511" s="82"/>
      <c r="AB1511" s="82"/>
    </row>
    <row r="1512" spans="1:28" s="85" customFormat="1" x14ac:dyDescent="0.25">
      <c r="A1512" s="82"/>
      <c r="B1512" s="82"/>
      <c r="C1512" s="82"/>
      <c r="D1512" s="729"/>
      <c r="E1512" s="371" t="s">
        <v>113</v>
      </c>
      <c r="F1512" s="372">
        <v>2</v>
      </c>
      <c r="G1512" s="373">
        <v>4</v>
      </c>
      <c r="H1512" s="374">
        <v>5</v>
      </c>
      <c r="I1512" s="375">
        <v>1.07</v>
      </c>
      <c r="J1512" s="376">
        <f t="shared" si="206"/>
        <v>4.28</v>
      </c>
      <c r="K1512" s="66">
        <f t="shared" si="209"/>
        <v>0.65912000000000004</v>
      </c>
      <c r="L1512" s="63">
        <f t="shared" si="210"/>
        <v>0</v>
      </c>
      <c r="M1512" s="63">
        <f t="shared" si="211"/>
        <v>0</v>
      </c>
      <c r="N1512" s="63">
        <f t="shared" si="212"/>
        <v>0</v>
      </c>
      <c r="O1512" s="63">
        <f t="shared" si="213"/>
        <v>0</v>
      </c>
      <c r="P1512" s="63">
        <f t="shared" si="214"/>
        <v>0</v>
      </c>
      <c r="Q1512" s="561">
        <f t="shared" si="191"/>
        <v>0</v>
      </c>
      <c r="R1512" s="174"/>
      <c r="T1512" s="82"/>
      <c r="U1512" s="82"/>
      <c r="V1512" s="82"/>
      <c r="W1512" s="82"/>
      <c r="X1512" s="82"/>
      <c r="Y1512" s="82"/>
      <c r="Z1512" s="82"/>
      <c r="AA1512" s="82"/>
      <c r="AB1512" s="82"/>
    </row>
    <row r="1513" spans="1:28" s="85" customFormat="1" x14ac:dyDescent="0.25">
      <c r="A1513" s="82"/>
      <c r="B1513" s="82"/>
      <c r="C1513" s="82"/>
      <c r="D1513" s="729"/>
      <c r="E1513" s="371" t="s">
        <v>113</v>
      </c>
      <c r="F1513" s="372">
        <v>4</v>
      </c>
      <c r="G1513" s="373">
        <v>8</v>
      </c>
      <c r="H1513" s="374">
        <v>5</v>
      </c>
      <c r="I1513" s="375">
        <v>0.28999999999999998</v>
      </c>
      <c r="J1513" s="376">
        <f t="shared" ref="J1513:J1514" si="219">G1513*I1513</f>
        <v>2.3199999999999998</v>
      </c>
      <c r="K1513" s="66">
        <f t="shared" si="209"/>
        <v>0.35727999999999999</v>
      </c>
      <c r="L1513" s="63">
        <f t="shared" si="210"/>
        <v>0</v>
      </c>
      <c r="M1513" s="63">
        <f t="shared" si="211"/>
        <v>0</v>
      </c>
      <c r="N1513" s="63">
        <f t="shared" si="212"/>
        <v>0</v>
      </c>
      <c r="O1513" s="63">
        <f t="shared" si="213"/>
        <v>0</v>
      </c>
      <c r="P1513" s="63">
        <f t="shared" si="214"/>
        <v>0</v>
      </c>
      <c r="Q1513" s="561">
        <f t="shared" si="191"/>
        <v>0</v>
      </c>
      <c r="R1513" s="174"/>
      <c r="T1513" s="82"/>
      <c r="U1513" s="82"/>
      <c r="V1513" s="82"/>
      <c r="W1513" s="82"/>
      <c r="X1513" s="82"/>
      <c r="Y1513" s="82"/>
      <c r="Z1513" s="82"/>
      <c r="AA1513" s="82"/>
      <c r="AB1513" s="82"/>
    </row>
    <row r="1514" spans="1:28" s="85" customFormat="1" x14ac:dyDescent="0.25">
      <c r="A1514" s="82"/>
      <c r="B1514" s="82"/>
      <c r="C1514" s="82"/>
      <c r="D1514" s="729"/>
      <c r="E1514" s="371" t="s">
        <v>113</v>
      </c>
      <c r="F1514" s="372">
        <v>5</v>
      </c>
      <c r="G1514" s="373">
        <v>8</v>
      </c>
      <c r="H1514" s="374">
        <v>10</v>
      </c>
      <c r="I1514" s="375">
        <v>0.87</v>
      </c>
      <c r="J1514" s="376">
        <f t="shared" si="219"/>
        <v>6.96</v>
      </c>
      <c r="K1514" s="66">
        <f t="shared" si="209"/>
        <v>0</v>
      </c>
      <c r="L1514" s="63">
        <f t="shared" si="210"/>
        <v>0</v>
      </c>
      <c r="M1514" s="63">
        <f t="shared" si="211"/>
        <v>0</v>
      </c>
      <c r="N1514" s="63">
        <f t="shared" si="212"/>
        <v>4.2943199999999999</v>
      </c>
      <c r="O1514" s="63">
        <f t="shared" si="213"/>
        <v>0</v>
      </c>
      <c r="P1514" s="63">
        <f t="shared" si="214"/>
        <v>0</v>
      </c>
      <c r="Q1514" s="561">
        <f t="shared" si="191"/>
        <v>0</v>
      </c>
      <c r="R1514" s="174"/>
      <c r="T1514" s="82"/>
      <c r="U1514" s="82"/>
      <c r="V1514" s="82"/>
      <c r="W1514" s="82"/>
      <c r="X1514" s="82"/>
      <c r="Y1514" s="82"/>
      <c r="Z1514" s="82"/>
      <c r="AA1514" s="82"/>
      <c r="AB1514" s="82"/>
    </row>
    <row r="1515" spans="1:28" s="85" customFormat="1" x14ac:dyDescent="0.25">
      <c r="A1515" s="82"/>
      <c r="B1515" s="82"/>
      <c r="C1515" s="82"/>
      <c r="D1515" s="729"/>
      <c r="E1515" s="396" t="s">
        <v>184</v>
      </c>
      <c r="F1515" s="403">
        <v>2</v>
      </c>
      <c r="G1515" s="397">
        <v>6</v>
      </c>
      <c r="H1515" s="398">
        <v>5</v>
      </c>
      <c r="I1515" s="399">
        <v>0.74</v>
      </c>
      <c r="J1515" s="400">
        <f t="shared" si="206"/>
        <v>4.4399999999999995</v>
      </c>
      <c r="K1515" s="401">
        <f t="shared" si="209"/>
        <v>0.68375999999999992</v>
      </c>
      <c r="L1515" s="196">
        <f t="shared" si="210"/>
        <v>0</v>
      </c>
      <c r="M1515" s="196">
        <f t="shared" si="211"/>
        <v>0</v>
      </c>
      <c r="N1515" s="196">
        <f t="shared" si="212"/>
        <v>0</v>
      </c>
      <c r="O1515" s="196">
        <f t="shared" si="213"/>
        <v>0</v>
      </c>
      <c r="P1515" s="196">
        <f t="shared" si="214"/>
        <v>0</v>
      </c>
      <c r="Q1515" s="566">
        <f t="shared" si="191"/>
        <v>0</v>
      </c>
      <c r="R1515" s="538"/>
      <c r="T1515" s="82"/>
      <c r="U1515" s="82"/>
      <c r="V1515" s="82"/>
      <c r="W1515" s="82"/>
      <c r="X1515" s="82"/>
      <c r="Y1515" s="82"/>
      <c r="Z1515" s="82"/>
      <c r="AA1515" s="82"/>
      <c r="AB1515" s="82"/>
    </row>
    <row r="1516" spans="1:28" s="85" customFormat="1" x14ac:dyDescent="0.25">
      <c r="A1516" s="82"/>
      <c r="B1516" s="82"/>
      <c r="C1516" s="82"/>
      <c r="D1516" s="729"/>
      <c r="E1516" s="371" t="s">
        <v>184</v>
      </c>
      <c r="F1516" s="372">
        <v>4</v>
      </c>
      <c r="G1516" s="373">
        <v>6</v>
      </c>
      <c r="H1516" s="374">
        <v>5</v>
      </c>
      <c r="I1516" s="375">
        <v>0.28999999999999998</v>
      </c>
      <c r="J1516" s="376">
        <f t="shared" si="206"/>
        <v>1.7399999999999998</v>
      </c>
      <c r="K1516" s="66">
        <f t="shared" si="209"/>
        <v>0.26795999999999998</v>
      </c>
      <c r="L1516" s="63">
        <f t="shared" si="210"/>
        <v>0</v>
      </c>
      <c r="M1516" s="63">
        <f t="shared" si="211"/>
        <v>0</v>
      </c>
      <c r="N1516" s="63">
        <f t="shared" si="212"/>
        <v>0</v>
      </c>
      <c r="O1516" s="63">
        <f t="shared" si="213"/>
        <v>0</v>
      </c>
      <c r="P1516" s="63">
        <f t="shared" si="214"/>
        <v>0</v>
      </c>
      <c r="Q1516" s="562">
        <f t="shared" si="191"/>
        <v>0</v>
      </c>
      <c r="R1516" s="377"/>
      <c r="T1516" s="82"/>
      <c r="U1516" s="82"/>
      <c r="V1516" s="82"/>
      <c r="W1516" s="82"/>
      <c r="X1516" s="82"/>
      <c r="Y1516" s="82"/>
      <c r="Z1516" s="82"/>
      <c r="AA1516" s="82"/>
      <c r="AB1516" s="82"/>
    </row>
    <row r="1517" spans="1:28" s="85" customFormat="1" x14ac:dyDescent="0.25">
      <c r="A1517" s="82"/>
      <c r="B1517" s="82"/>
      <c r="C1517" s="82"/>
      <c r="D1517" s="729"/>
      <c r="E1517" s="371" t="s">
        <v>184</v>
      </c>
      <c r="F1517" s="372">
        <v>8</v>
      </c>
      <c r="G1517" s="373">
        <v>8</v>
      </c>
      <c r="H1517" s="374">
        <v>10</v>
      </c>
      <c r="I1517" s="375">
        <v>0.32</v>
      </c>
      <c r="J1517" s="376">
        <f t="shared" si="206"/>
        <v>2.56</v>
      </c>
      <c r="K1517" s="66">
        <f t="shared" si="209"/>
        <v>0</v>
      </c>
      <c r="L1517" s="63">
        <f t="shared" si="210"/>
        <v>0</v>
      </c>
      <c r="M1517" s="63">
        <f t="shared" si="211"/>
        <v>0</v>
      </c>
      <c r="N1517" s="63">
        <f t="shared" si="212"/>
        <v>1.57952</v>
      </c>
      <c r="O1517" s="63">
        <f t="shared" si="213"/>
        <v>0</v>
      </c>
      <c r="P1517" s="63">
        <f t="shared" si="214"/>
        <v>0</v>
      </c>
      <c r="Q1517" s="562">
        <f t="shared" si="191"/>
        <v>0</v>
      </c>
      <c r="R1517" s="377"/>
      <c r="T1517" s="82"/>
      <c r="U1517" s="82"/>
      <c r="V1517" s="82"/>
      <c r="W1517" s="82"/>
      <c r="X1517" s="82"/>
      <c r="Y1517" s="82"/>
      <c r="Z1517" s="82"/>
      <c r="AA1517" s="82"/>
      <c r="AB1517" s="82"/>
    </row>
    <row r="1518" spans="1:28" s="85" customFormat="1" ht="13.8" thickBot="1" x14ac:dyDescent="0.3">
      <c r="A1518" s="82"/>
      <c r="B1518" s="82"/>
      <c r="C1518" s="82"/>
      <c r="D1518" s="731"/>
      <c r="E1518" s="390" t="s">
        <v>184</v>
      </c>
      <c r="F1518" s="391"/>
      <c r="G1518" s="392"/>
      <c r="H1518" s="393"/>
      <c r="I1518" s="394"/>
      <c r="J1518" s="395">
        <f t="shared" si="206"/>
        <v>0</v>
      </c>
      <c r="K1518" s="221">
        <f t="shared" si="209"/>
        <v>0</v>
      </c>
      <c r="L1518" s="222">
        <f t="shared" si="210"/>
        <v>0</v>
      </c>
      <c r="M1518" s="222">
        <f t="shared" si="211"/>
        <v>0</v>
      </c>
      <c r="N1518" s="222">
        <f t="shared" si="212"/>
        <v>0</v>
      </c>
      <c r="O1518" s="222">
        <f t="shared" si="213"/>
        <v>0</v>
      </c>
      <c r="P1518" s="222">
        <f t="shared" si="214"/>
        <v>0</v>
      </c>
      <c r="Q1518" s="564">
        <f t="shared" si="191"/>
        <v>0</v>
      </c>
      <c r="R1518" s="539"/>
      <c r="T1518" s="82"/>
      <c r="U1518" s="82"/>
      <c r="V1518" s="82"/>
      <c r="W1518" s="82"/>
      <c r="X1518" s="82"/>
      <c r="Y1518" s="82"/>
      <c r="Z1518" s="82"/>
      <c r="AA1518" s="82"/>
      <c r="AB1518" s="82"/>
    </row>
    <row r="1519" spans="1:28" s="85" customFormat="1" ht="13.8" thickTop="1" x14ac:dyDescent="0.25">
      <c r="A1519" s="82"/>
      <c r="B1519" s="82"/>
      <c r="C1519" s="82"/>
      <c r="D1519" s="728" t="s">
        <v>1814</v>
      </c>
      <c r="E1519" s="384" t="s">
        <v>49</v>
      </c>
      <c r="F1519" s="385">
        <v>3</v>
      </c>
      <c r="G1519" s="386">
        <v>14</v>
      </c>
      <c r="H1519" s="387">
        <v>5</v>
      </c>
      <c r="I1519" s="388">
        <v>0.26</v>
      </c>
      <c r="J1519" s="389">
        <f t="shared" si="206"/>
        <v>3.64</v>
      </c>
      <c r="K1519" s="218">
        <f t="shared" si="209"/>
        <v>0.56056000000000006</v>
      </c>
      <c r="L1519" s="219">
        <f t="shared" si="210"/>
        <v>0</v>
      </c>
      <c r="M1519" s="219">
        <f t="shared" si="211"/>
        <v>0</v>
      </c>
      <c r="N1519" s="219">
        <f t="shared" si="212"/>
        <v>0</v>
      </c>
      <c r="O1519" s="219">
        <f t="shared" si="213"/>
        <v>0</v>
      </c>
      <c r="P1519" s="219">
        <f t="shared" si="214"/>
        <v>0</v>
      </c>
      <c r="Q1519" s="563">
        <f t="shared" si="191"/>
        <v>0</v>
      </c>
      <c r="R1519" s="220"/>
      <c r="T1519" s="82"/>
      <c r="U1519" s="82"/>
      <c r="V1519" s="82"/>
      <c r="W1519" s="82"/>
      <c r="X1519" s="82"/>
      <c r="Y1519" s="82"/>
      <c r="Z1519" s="82"/>
      <c r="AA1519" s="82"/>
      <c r="AB1519" s="82"/>
    </row>
    <row r="1520" spans="1:28" s="85" customFormat="1" x14ac:dyDescent="0.25">
      <c r="A1520" s="82"/>
      <c r="B1520" s="82"/>
      <c r="C1520" s="82"/>
      <c r="D1520" s="729"/>
      <c r="E1520" s="371" t="s">
        <v>49</v>
      </c>
      <c r="F1520" s="372">
        <v>4</v>
      </c>
      <c r="G1520" s="373">
        <v>4</v>
      </c>
      <c r="H1520" s="374">
        <v>5</v>
      </c>
      <c r="I1520" s="375">
        <v>0.95</v>
      </c>
      <c r="J1520" s="376">
        <f t="shared" si="206"/>
        <v>3.8</v>
      </c>
      <c r="K1520" s="66">
        <f t="shared" si="209"/>
        <v>0.58519999999999994</v>
      </c>
      <c r="L1520" s="63">
        <f t="shared" si="210"/>
        <v>0</v>
      </c>
      <c r="M1520" s="63">
        <f t="shared" si="211"/>
        <v>0</v>
      </c>
      <c r="N1520" s="63">
        <f t="shared" si="212"/>
        <v>0</v>
      </c>
      <c r="O1520" s="63">
        <f t="shared" si="213"/>
        <v>0</v>
      </c>
      <c r="P1520" s="63">
        <f t="shared" si="214"/>
        <v>0</v>
      </c>
      <c r="Q1520" s="561">
        <f t="shared" si="191"/>
        <v>0</v>
      </c>
      <c r="R1520" s="174"/>
      <c r="T1520" s="82"/>
      <c r="U1520" s="82"/>
      <c r="V1520" s="82"/>
      <c r="W1520" s="82"/>
      <c r="X1520" s="82"/>
      <c r="Y1520" s="82"/>
      <c r="Z1520" s="82"/>
      <c r="AA1520" s="82"/>
      <c r="AB1520" s="82"/>
    </row>
    <row r="1521" spans="1:28" s="85" customFormat="1" x14ac:dyDescent="0.25">
      <c r="A1521" s="82"/>
      <c r="B1521" s="82"/>
      <c r="C1521" s="82"/>
      <c r="D1521" s="729"/>
      <c r="E1521" s="371" t="s">
        <v>49</v>
      </c>
      <c r="F1521" s="372">
        <v>5</v>
      </c>
      <c r="G1521" s="373">
        <v>6</v>
      </c>
      <c r="H1521" s="374">
        <v>5</v>
      </c>
      <c r="I1521" s="375">
        <v>0.65</v>
      </c>
      <c r="J1521" s="376">
        <f t="shared" si="206"/>
        <v>3.9000000000000004</v>
      </c>
      <c r="K1521" s="66">
        <f t="shared" si="209"/>
        <v>0.60060000000000002</v>
      </c>
      <c r="L1521" s="63">
        <f t="shared" si="210"/>
        <v>0</v>
      </c>
      <c r="M1521" s="63">
        <f t="shared" si="211"/>
        <v>0</v>
      </c>
      <c r="N1521" s="63">
        <f t="shared" si="212"/>
        <v>0</v>
      </c>
      <c r="O1521" s="63">
        <f t="shared" si="213"/>
        <v>0</v>
      </c>
      <c r="P1521" s="63">
        <f t="shared" si="214"/>
        <v>0</v>
      </c>
      <c r="Q1521" s="561">
        <f t="shared" si="191"/>
        <v>0</v>
      </c>
      <c r="R1521" s="174"/>
      <c r="T1521" s="82"/>
      <c r="U1521" s="82"/>
      <c r="V1521" s="82"/>
      <c r="W1521" s="82"/>
      <c r="X1521" s="82"/>
      <c r="Y1521" s="82"/>
      <c r="Z1521" s="82"/>
      <c r="AA1521" s="82"/>
      <c r="AB1521" s="82"/>
    </row>
    <row r="1522" spans="1:28" s="85" customFormat="1" x14ac:dyDescent="0.25">
      <c r="A1522" s="82"/>
      <c r="B1522" s="82"/>
      <c r="C1522" s="82"/>
      <c r="D1522" s="729"/>
      <c r="E1522" s="371" t="s">
        <v>49</v>
      </c>
      <c r="F1522" s="372">
        <v>39</v>
      </c>
      <c r="G1522" s="373">
        <v>12</v>
      </c>
      <c r="H1522" s="374">
        <v>16</v>
      </c>
      <c r="I1522" s="375">
        <v>1.55</v>
      </c>
      <c r="J1522" s="376">
        <f t="shared" si="206"/>
        <v>18.600000000000001</v>
      </c>
      <c r="K1522" s="66">
        <f t="shared" si="209"/>
        <v>0</v>
      </c>
      <c r="L1522" s="63">
        <f t="shared" si="210"/>
        <v>0</v>
      </c>
      <c r="M1522" s="63">
        <f t="shared" si="211"/>
        <v>0</v>
      </c>
      <c r="N1522" s="63">
        <f t="shared" si="212"/>
        <v>0</v>
      </c>
      <c r="O1522" s="63">
        <f t="shared" si="213"/>
        <v>0</v>
      </c>
      <c r="P1522" s="63">
        <f t="shared" si="214"/>
        <v>29.350800000000003</v>
      </c>
      <c r="Q1522" s="561">
        <f t="shared" si="191"/>
        <v>0</v>
      </c>
      <c r="R1522" s="174"/>
      <c r="T1522" s="82"/>
      <c r="U1522" s="82"/>
      <c r="V1522" s="82"/>
      <c r="W1522" s="82"/>
      <c r="X1522" s="82"/>
      <c r="Y1522" s="82"/>
      <c r="Z1522" s="82"/>
      <c r="AA1522" s="82"/>
      <c r="AB1522" s="82"/>
    </row>
    <row r="1523" spans="1:28" s="85" customFormat="1" x14ac:dyDescent="0.25">
      <c r="A1523" s="82"/>
      <c r="B1523" s="82"/>
      <c r="C1523" s="82"/>
      <c r="D1523" s="729"/>
      <c r="E1523" s="371" t="s">
        <v>113</v>
      </c>
      <c r="F1523" s="372">
        <v>1</v>
      </c>
      <c r="G1523" s="373">
        <v>40</v>
      </c>
      <c r="H1523" s="374">
        <v>5</v>
      </c>
      <c r="I1523" s="375">
        <v>0.28999999999999998</v>
      </c>
      <c r="J1523" s="376">
        <f t="shared" si="206"/>
        <v>11.6</v>
      </c>
      <c r="K1523" s="66">
        <f t="shared" si="209"/>
        <v>1.7864</v>
      </c>
      <c r="L1523" s="63">
        <f t="shared" si="210"/>
        <v>0</v>
      </c>
      <c r="M1523" s="63">
        <f t="shared" si="211"/>
        <v>0</v>
      </c>
      <c r="N1523" s="63">
        <f t="shared" si="212"/>
        <v>0</v>
      </c>
      <c r="O1523" s="63">
        <f t="shared" si="213"/>
        <v>0</v>
      </c>
      <c r="P1523" s="63">
        <f t="shared" si="214"/>
        <v>0</v>
      </c>
      <c r="Q1523" s="561">
        <f t="shared" si="191"/>
        <v>0</v>
      </c>
      <c r="R1523" s="174"/>
      <c r="T1523" s="82"/>
      <c r="U1523" s="82"/>
      <c r="V1523" s="82"/>
      <c r="W1523" s="82"/>
      <c r="X1523" s="82"/>
      <c r="Y1523" s="82"/>
      <c r="Z1523" s="82"/>
      <c r="AA1523" s="82"/>
      <c r="AB1523" s="82"/>
    </row>
    <row r="1524" spans="1:28" s="85" customFormat="1" x14ac:dyDescent="0.25">
      <c r="A1524" s="82"/>
      <c r="B1524" s="82"/>
      <c r="C1524" s="82"/>
      <c r="D1524" s="729"/>
      <c r="E1524" s="371" t="s">
        <v>113</v>
      </c>
      <c r="F1524" s="372">
        <v>2</v>
      </c>
      <c r="G1524" s="373">
        <v>17</v>
      </c>
      <c r="H1524" s="374">
        <v>5</v>
      </c>
      <c r="I1524" s="375">
        <v>1.07</v>
      </c>
      <c r="J1524" s="376">
        <f t="shared" si="206"/>
        <v>18.190000000000001</v>
      </c>
      <c r="K1524" s="66">
        <f t="shared" si="209"/>
        <v>2.8012600000000001</v>
      </c>
      <c r="L1524" s="63">
        <f t="shared" si="210"/>
        <v>0</v>
      </c>
      <c r="M1524" s="63">
        <f t="shared" si="211"/>
        <v>0</v>
      </c>
      <c r="N1524" s="63">
        <f t="shared" si="212"/>
        <v>0</v>
      </c>
      <c r="O1524" s="63">
        <f t="shared" si="213"/>
        <v>0</v>
      </c>
      <c r="P1524" s="63">
        <f t="shared" si="214"/>
        <v>0</v>
      </c>
      <c r="Q1524" s="561">
        <f t="shared" si="191"/>
        <v>0</v>
      </c>
      <c r="R1524" s="174"/>
      <c r="T1524" s="82"/>
      <c r="U1524" s="82"/>
      <c r="V1524" s="82"/>
      <c r="W1524" s="82"/>
      <c r="X1524" s="82"/>
      <c r="Y1524" s="82"/>
      <c r="Z1524" s="82"/>
      <c r="AA1524" s="82"/>
      <c r="AB1524" s="82"/>
    </row>
    <row r="1525" spans="1:28" s="85" customFormat="1" x14ac:dyDescent="0.25">
      <c r="A1525" s="82"/>
      <c r="B1525" s="82"/>
      <c r="C1525" s="82"/>
      <c r="D1525" s="729"/>
      <c r="E1525" s="371" t="s">
        <v>113</v>
      </c>
      <c r="F1525" s="372">
        <v>3</v>
      </c>
      <c r="G1525" s="373">
        <v>6</v>
      </c>
      <c r="H1525" s="374">
        <v>5</v>
      </c>
      <c r="I1525" s="375">
        <v>0.74</v>
      </c>
      <c r="J1525" s="376">
        <f t="shared" si="206"/>
        <v>4.4399999999999995</v>
      </c>
      <c r="K1525" s="66">
        <f t="shared" si="209"/>
        <v>0.68375999999999992</v>
      </c>
      <c r="L1525" s="63">
        <f t="shared" si="210"/>
        <v>0</v>
      </c>
      <c r="M1525" s="63">
        <f t="shared" si="211"/>
        <v>0</v>
      </c>
      <c r="N1525" s="63">
        <f t="shared" si="212"/>
        <v>0</v>
      </c>
      <c r="O1525" s="63">
        <f t="shared" si="213"/>
        <v>0</v>
      </c>
      <c r="P1525" s="63">
        <f t="shared" si="214"/>
        <v>0</v>
      </c>
      <c r="Q1525" s="561">
        <f t="shared" si="191"/>
        <v>0</v>
      </c>
      <c r="R1525" s="174"/>
      <c r="T1525" s="82"/>
      <c r="U1525" s="82"/>
      <c r="V1525" s="82"/>
      <c r="W1525" s="82"/>
      <c r="X1525" s="82"/>
      <c r="Y1525" s="82"/>
      <c r="Z1525" s="82"/>
      <c r="AA1525" s="82"/>
      <c r="AB1525" s="82"/>
    </row>
    <row r="1526" spans="1:28" s="85" customFormat="1" ht="13.8" thickBot="1" x14ac:dyDescent="0.3">
      <c r="A1526" s="82"/>
      <c r="B1526" s="82"/>
      <c r="C1526" s="82"/>
      <c r="D1526" s="729"/>
      <c r="E1526" s="378" t="s">
        <v>113</v>
      </c>
      <c r="F1526" s="379">
        <v>20</v>
      </c>
      <c r="G1526" s="380">
        <v>12</v>
      </c>
      <c r="H1526" s="381">
        <v>16</v>
      </c>
      <c r="I1526" s="382">
        <v>2.97</v>
      </c>
      <c r="J1526" s="383">
        <f t="shared" si="206"/>
        <v>35.64</v>
      </c>
      <c r="K1526" s="194">
        <f t="shared" si="209"/>
        <v>0</v>
      </c>
      <c r="L1526" s="195">
        <f t="shared" si="210"/>
        <v>0</v>
      </c>
      <c r="M1526" s="195">
        <f t="shared" si="211"/>
        <v>0</v>
      </c>
      <c r="N1526" s="195">
        <f t="shared" si="212"/>
        <v>0</v>
      </c>
      <c r="O1526" s="195">
        <f t="shared" si="213"/>
        <v>0</v>
      </c>
      <c r="P1526" s="195">
        <f t="shared" si="214"/>
        <v>56.239920000000005</v>
      </c>
      <c r="Q1526" s="562">
        <f t="shared" si="191"/>
        <v>0</v>
      </c>
      <c r="R1526" s="174"/>
      <c r="T1526" s="82"/>
      <c r="U1526" s="82"/>
      <c r="V1526" s="82"/>
      <c r="W1526" s="82"/>
      <c r="X1526" s="82"/>
      <c r="Y1526" s="82"/>
      <c r="Z1526" s="82"/>
      <c r="AA1526" s="82"/>
      <c r="AB1526" s="82"/>
    </row>
    <row r="1527" spans="1:28" s="85" customFormat="1" ht="25.5" customHeight="1" thickTop="1" x14ac:dyDescent="0.25">
      <c r="A1527" s="82"/>
      <c r="B1527" s="82"/>
      <c r="C1527" s="82"/>
      <c r="D1527" s="728" t="s">
        <v>1837</v>
      </c>
      <c r="E1527" s="384" t="s">
        <v>113</v>
      </c>
      <c r="F1527" s="385">
        <v>4</v>
      </c>
      <c r="G1527" s="386">
        <f>2*4</f>
        <v>8</v>
      </c>
      <c r="H1527" s="387">
        <v>5</v>
      </c>
      <c r="I1527" s="388">
        <v>0.76</v>
      </c>
      <c r="J1527" s="587">
        <f t="shared" si="206"/>
        <v>6.08</v>
      </c>
      <c r="K1527" s="218">
        <f t="shared" si="209"/>
        <v>0.93632000000000004</v>
      </c>
      <c r="L1527" s="219">
        <f t="shared" si="210"/>
        <v>0</v>
      </c>
      <c r="M1527" s="219">
        <f t="shared" si="211"/>
        <v>0</v>
      </c>
      <c r="N1527" s="219">
        <f t="shared" si="212"/>
        <v>0</v>
      </c>
      <c r="O1527" s="219">
        <f t="shared" si="213"/>
        <v>0</v>
      </c>
      <c r="P1527" s="219">
        <f t="shared" si="214"/>
        <v>0</v>
      </c>
      <c r="Q1527" s="219">
        <f t="shared" si="191"/>
        <v>0</v>
      </c>
      <c r="R1527" s="174"/>
      <c r="T1527" s="82"/>
      <c r="U1527" s="82"/>
      <c r="V1527" s="82"/>
      <c r="W1527" s="82"/>
      <c r="X1527" s="82"/>
      <c r="Y1527" s="82"/>
      <c r="Z1527" s="82"/>
      <c r="AA1527" s="82"/>
      <c r="AB1527" s="82"/>
    </row>
    <row r="1528" spans="1:28" s="85" customFormat="1" ht="15" customHeight="1" x14ac:dyDescent="0.25">
      <c r="A1528" s="82"/>
      <c r="B1528" s="82"/>
      <c r="C1528" s="82"/>
      <c r="D1528" s="729"/>
      <c r="E1528" s="371" t="s">
        <v>113</v>
      </c>
      <c r="F1528" s="372">
        <v>13</v>
      </c>
      <c r="G1528" s="373">
        <f>2*6</f>
        <v>12</v>
      </c>
      <c r="H1528" s="374">
        <v>10</v>
      </c>
      <c r="I1528" s="375">
        <v>1.01</v>
      </c>
      <c r="J1528" s="588">
        <f t="shared" si="206"/>
        <v>12.120000000000001</v>
      </c>
      <c r="K1528" s="66">
        <f t="shared" si="209"/>
        <v>0</v>
      </c>
      <c r="L1528" s="63">
        <f t="shared" si="210"/>
        <v>0</v>
      </c>
      <c r="M1528" s="63">
        <f t="shared" si="211"/>
        <v>0</v>
      </c>
      <c r="N1528" s="63">
        <f t="shared" si="212"/>
        <v>7.4780400000000009</v>
      </c>
      <c r="O1528" s="63">
        <f t="shared" si="213"/>
        <v>0</v>
      </c>
      <c r="P1528" s="63">
        <f t="shared" si="214"/>
        <v>0</v>
      </c>
      <c r="Q1528" s="561">
        <f t="shared" si="191"/>
        <v>0</v>
      </c>
      <c r="R1528" s="174"/>
      <c r="T1528" s="82"/>
      <c r="U1528" s="82"/>
      <c r="V1528" s="82"/>
      <c r="W1528" s="82"/>
      <c r="X1528" s="82"/>
      <c r="Y1528" s="82"/>
      <c r="Z1528" s="82"/>
      <c r="AA1528" s="82"/>
      <c r="AB1528" s="82"/>
    </row>
    <row r="1529" spans="1:28" s="85" customFormat="1" ht="15" customHeight="1" x14ac:dyDescent="0.25">
      <c r="A1529" s="82"/>
      <c r="B1529" s="82"/>
      <c r="C1529" s="82"/>
      <c r="D1529" s="729"/>
      <c r="E1529" s="396" t="s">
        <v>184</v>
      </c>
      <c r="F1529" s="403">
        <v>4</v>
      </c>
      <c r="G1529" s="397">
        <f>2*3</f>
        <v>6</v>
      </c>
      <c r="H1529" s="398">
        <v>5</v>
      </c>
      <c r="I1529" s="399">
        <v>0.77</v>
      </c>
      <c r="J1529" s="589">
        <f t="shared" si="206"/>
        <v>4.62</v>
      </c>
      <c r="K1529" s="401">
        <f t="shared" si="209"/>
        <v>0.71148</v>
      </c>
      <c r="L1529" s="196">
        <f t="shared" si="210"/>
        <v>0</v>
      </c>
      <c r="M1529" s="196">
        <f t="shared" si="211"/>
        <v>0</v>
      </c>
      <c r="N1529" s="196">
        <f t="shared" si="212"/>
        <v>0</v>
      </c>
      <c r="O1529" s="196">
        <f t="shared" si="213"/>
        <v>0</v>
      </c>
      <c r="P1529" s="196">
        <f t="shared" si="214"/>
        <v>0</v>
      </c>
      <c r="Q1529" s="566">
        <f t="shared" si="191"/>
        <v>0</v>
      </c>
      <c r="R1529" s="538"/>
      <c r="T1529" s="82"/>
      <c r="U1529" s="82"/>
      <c r="V1529" s="82"/>
      <c r="W1529" s="82"/>
      <c r="X1529" s="82"/>
      <c r="Y1529" s="82"/>
      <c r="Z1529" s="82"/>
      <c r="AA1529" s="82"/>
      <c r="AB1529" s="82"/>
    </row>
    <row r="1530" spans="1:28" s="85" customFormat="1" ht="15" customHeight="1" x14ac:dyDescent="0.25">
      <c r="A1530" s="82"/>
      <c r="B1530" s="82"/>
      <c r="C1530" s="82"/>
      <c r="D1530" s="729"/>
      <c r="E1530" s="371" t="s">
        <v>184</v>
      </c>
      <c r="F1530" s="372">
        <v>16</v>
      </c>
      <c r="G1530" s="373">
        <f>2*6</f>
        <v>12</v>
      </c>
      <c r="H1530" s="374">
        <v>10</v>
      </c>
      <c r="I1530" s="375">
        <v>0.68</v>
      </c>
      <c r="J1530" s="588">
        <f t="shared" si="206"/>
        <v>8.16</v>
      </c>
      <c r="K1530" s="66">
        <f t="shared" si="209"/>
        <v>0</v>
      </c>
      <c r="L1530" s="63">
        <f t="shared" si="210"/>
        <v>0</v>
      </c>
      <c r="M1530" s="63">
        <f t="shared" si="211"/>
        <v>0</v>
      </c>
      <c r="N1530" s="63">
        <f t="shared" si="212"/>
        <v>5.0347200000000001</v>
      </c>
      <c r="O1530" s="63">
        <f t="shared" si="213"/>
        <v>0</v>
      </c>
      <c r="P1530" s="63">
        <f t="shared" si="214"/>
        <v>0</v>
      </c>
      <c r="Q1530" s="562">
        <f t="shared" si="191"/>
        <v>0</v>
      </c>
      <c r="R1530" s="377"/>
      <c r="T1530" s="82"/>
      <c r="U1530" s="82"/>
      <c r="V1530" s="82"/>
      <c r="W1530" s="82"/>
      <c r="X1530" s="82"/>
      <c r="Y1530" s="82"/>
      <c r="Z1530" s="82"/>
      <c r="AA1530" s="82"/>
      <c r="AB1530" s="82"/>
    </row>
    <row r="1531" spans="1:28" s="85" customFormat="1" ht="15" customHeight="1" x14ac:dyDescent="0.25">
      <c r="A1531" s="82"/>
      <c r="B1531" s="82"/>
      <c r="C1531" s="82"/>
      <c r="D1531" s="729"/>
      <c r="E1531" s="371" t="s">
        <v>184</v>
      </c>
      <c r="F1531" s="372">
        <v>10</v>
      </c>
      <c r="G1531" s="373">
        <f>2*5</f>
        <v>10</v>
      </c>
      <c r="H1531" s="374">
        <v>5</v>
      </c>
      <c r="I1531" s="375">
        <v>0.77</v>
      </c>
      <c r="J1531" s="588">
        <f t="shared" ref="J1531" si="220">G1531*I1531</f>
        <v>7.7</v>
      </c>
      <c r="K1531" s="66">
        <f t="shared" si="209"/>
        <v>1.1858</v>
      </c>
      <c r="L1531" s="63">
        <f t="shared" si="210"/>
        <v>0</v>
      </c>
      <c r="M1531" s="63">
        <f t="shared" si="211"/>
        <v>0</v>
      </c>
      <c r="N1531" s="63">
        <f t="shared" si="212"/>
        <v>0</v>
      </c>
      <c r="O1531" s="63">
        <f t="shared" si="213"/>
        <v>0</v>
      </c>
      <c r="P1531" s="63">
        <f t="shared" si="214"/>
        <v>0</v>
      </c>
      <c r="Q1531" s="562">
        <f t="shared" si="191"/>
        <v>0</v>
      </c>
      <c r="R1531" s="377"/>
      <c r="T1531" s="82"/>
      <c r="U1531" s="82"/>
      <c r="V1531" s="82"/>
      <c r="W1531" s="82"/>
      <c r="X1531" s="82"/>
      <c r="Y1531" s="82"/>
      <c r="Z1531" s="82"/>
      <c r="AA1531" s="82"/>
      <c r="AB1531" s="82"/>
    </row>
    <row r="1532" spans="1:28" s="85" customFormat="1" ht="15" customHeight="1" x14ac:dyDescent="0.25">
      <c r="A1532" s="82"/>
      <c r="B1532" s="82"/>
      <c r="C1532" s="82"/>
      <c r="D1532" s="729"/>
      <c r="E1532" s="371" t="s">
        <v>184</v>
      </c>
      <c r="F1532" s="372">
        <v>11</v>
      </c>
      <c r="G1532" s="373">
        <f>2*4</f>
        <v>8</v>
      </c>
      <c r="H1532" s="374">
        <v>5</v>
      </c>
      <c r="I1532" s="375">
        <v>0.59</v>
      </c>
      <c r="J1532" s="588">
        <f t="shared" si="206"/>
        <v>4.72</v>
      </c>
      <c r="K1532" s="66">
        <f t="shared" si="209"/>
        <v>0.72687999999999997</v>
      </c>
      <c r="L1532" s="63">
        <f t="shared" si="210"/>
        <v>0</v>
      </c>
      <c r="M1532" s="63">
        <f t="shared" si="211"/>
        <v>0</v>
      </c>
      <c r="N1532" s="63">
        <f t="shared" si="212"/>
        <v>0</v>
      </c>
      <c r="O1532" s="63">
        <f t="shared" si="213"/>
        <v>0</v>
      </c>
      <c r="P1532" s="63">
        <f t="shared" si="214"/>
        <v>0</v>
      </c>
      <c r="Q1532" s="562">
        <f t="shared" si="191"/>
        <v>0</v>
      </c>
      <c r="R1532" s="377"/>
      <c r="T1532" s="82"/>
      <c r="U1532" s="82"/>
      <c r="V1532" s="82"/>
      <c r="W1532" s="82"/>
      <c r="X1532" s="82"/>
      <c r="Y1532" s="82"/>
      <c r="Z1532" s="82"/>
      <c r="AA1532" s="82"/>
      <c r="AB1532" s="82"/>
    </row>
    <row r="1533" spans="1:28" s="85" customFormat="1" ht="15.75" customHeight="1" thickBot="1" x14ac:dyDescent="0.3">
      <c r="A1533" s="82"/>
      <c r="B1533" s="82"/>
      <c r="C1533" s="82"/>
      <c r="D1533" s="731"/>
      <c r="E1533" s="390" t="s">
        <v>184</v>
      </c>
      <c r="F1533" s="391">
        <v>21</v>
      </c>
      <c r="G1533" s="392">
        <f>2*6</f>
        <v>12</v>
      </c>
      <c r="H1533" s="393">
        <v>10</v>
      </c>
      <c r="I1533" s="394">
        <v>0.67</v>
      </c>
      <c r="J1533" s="590">
        <f t="shared" si="206"/>
        <v>8.0400000000000009</v>
      </c>
      <c r="K1533" s="221">
        <f t="shared" si="209"/>
        <v>0</v>
      </c>
      <c r="L1533" s="222">
        <f t="shared" si="210"/>
        <v>0</v>
      </c>
      <c r="M1533" s="222">
        <f t="shared" si="211"/>
        <v>0</v>
      </c>
      <c r="N1533" s="222">
        <f t="shared" si="212"/>
        <v>4.9606800000000009</v>
      </c>
      <c r="O1533" s="222">
        <f t="shared" si="213"/>
        <v>0</v>
      </c>
      <c r="P1533" s="222">
        <f t="shared" si="214"/>
        <v>0</v>
      </c>
      <c r="Q1533" s="564">
        <f t="shared" si="191"/>
        <v>0</v>
      </c>
      <c r="R1533" s="539"/>
      <c r="T1533" s="82"/>
      <c r="U1533" s="82"/>
      <c r="V1533" s="82"/>
      <c r="W1533" s="82"/>
      <c r="X1533" s="82"/>
      <c r="Y1533" s="82"/>
      <c r="Z1533" s="82"/>
      <c r="AA1533" s="82"/>
      <c r="AB1533" s="82"/>
    </row>
    <row r="1534" spans="1:28" s="16" customFormat="1" ht="15" customHeight="1" thickTop="1" thickBot="1" x14ac:dyDescent="0.3">
      <c r="D1534" s="776" t="s">
        <v>1985</v>
      </c>
      <c r="E1534" s="777"/>
      <c r="F1534" s="777"/>
      <c r="G1534" s="777"/>
      <c r="H1534" s="777"/>
      <c r="I1534" s="777"/>
      <c r="J1534" s="777"/>
      <c r="K1534" s="777"/>
      <c r="L1534" s="777"/>
      <c r="M1534" s="777"/>
      <c r="N1534" s="777"/>
      <c r="O1534" s="777"/>
      <c r="P1534" s="777"/>
      <c r="Q1534" s="777"/>
      <c r="R1534" s="777"/>
      <c r="S1534" s="596"/>
    </row>
    <row r="1535" spans="1:28" s="85" customFormat="1" ht="13.8" thickTop="1" x14ac:dyDescent="0.25">
      <c r="A1535" s="82"/>
      <c r="B1535" s="82"/>
      <c r="C1535" s="82"/>
      <c r="D1535" s="728" t="s">
        <v>1987</v>
      </c>
      <c r="E1535" s="384" t="s">
        <v>49</v>
      </c>
      <c r="F1535" s="385">
        <v>1</v>
      </c>
      <c r="G1535" s="386">
        <v>7</v>
      </c>
      <c r="H1535" s="387">
        <v>5</v>
      </c>
      <c r="I1535" s="388">
        <v>0.34</v>
      </c>
      <c r="J1535" s="389">
        <f t="shared" si="206"/>
        <v>2.3800000000000003</v>
      </c>
      <c r="K1535" s="218">
        <f t="shared" si="209"/>
        <v>0.36652000000000007</v>
      </c>
      <c r="L1535" s="219">
        <f t="shared" si="210"/>
        <v>0</v>
      </c>
      <c r="M1535" s="219">
        <f t="shared" si="211"/>
        <v>0</v>
      </c>
      <c r="N1535" s="219">
        <f t="shared" si="212"/>
        <v>0</v>
      </c>
      <c r="O1535" s="219">
        <f t="shared" si="213"/>
        <v>0</v>
      </c>
      <c r="P1535" s="219">
        <f t="shared" si="214"/>
        <v>0</v>
      </c>
      <c r="Q1535" s="563">
        <f t="shared" si="191"/>
        <v>0</v>
      </c>
      <c r="R1535" s="220"/>
      <c r="T1535" s="82"/>
      <c r="U1535" s="82"/>
      <c r="V1535" s="82"/>
      <c r="W1535" s="82"/>
      <c r="X1535" s="82"/>
      <c r="Y1535" s="82"/>
      <c r="Z1535" s="82"/>
      <c r="AA1535" s="82"/>
      <c r="AB1535" s="82"/>
    </row>
    <row r="1536" spans="1:28" s="85" customFormat="1" x14ac:dyDescent="0.25">
      <c r="A1536" s="82"/>
      <c r="B1536" s="82"/>
      <c r="C1536" s="82"/>
      <c r="D1536" s="729"/>
      <c r="E1536" s="371" t="s">
        <v>49</v>
      </c>
      <c r="F1536" s="372">
        <v>2</v>
      </c>
      <c r="G1536" s="373">
        <v>7</v>
      </c>
      <c r="H1536" s="374">
        <v>5</v>
      </c>
      <c r="I1536" s="375">
        <v>1.37</v>
      </c>
      <c r="J1536" s="376">
        <f t="shared" si="206"/>
        <v>9.59</v>
      </c>
      <c r="K1536" s="66">
        <f t="shared" si="209"/>
        <v>1.4768600000000001</v>
      </c>
      <c r="L1536" s="63">
        <f t="shared" si="210"/>
        <v>0</v>
      </c>
      <c r="M1536" s="63">
        <f t="shared" si="211"/>
        <v>0</v>
      </c>
      <c r="N1536" s="63">
        <f t="shared" si="212"/>
        <v>0</v>
      </c>
      <c r="O1536" s="63">
        <f t="shared" si="213"/>
        <v>0</v>
      </c>
      <c r="P1536" s="63">
        <f t="shared" si="214"/>
        <v>0</v>
      </c>
      <c r="Q1536" s="561">
        <f t="shared" si="191"/>
        <v>0</v>
      </c>
      <c r="R1536" s="174"/>
      <c r="T1536" s="82"/>
      <c r="U1536" s="82"/>
      <c r="V1536" s="82"/>
      <c r="W1536" s="82"/>
      <c r="X1536" s="82"/>
      <c r="Y1536" s="82"/>
      <c r="Z1536" s="82"/>
      <c r="AA1536" s="82"/>
      <c r="AB1536" s="82"/>
    </row>
    <row r="1537" spans="1:28" s="85" customFormat="1" x14ac:dyDescent="0.25">
      <c r="A1537" s="82"/>
      <c r="B1537" s="82"/>
      <c r="C1537" s="82"/>
      <c r="D1537" s="729"/>
      <c r="E1537" s="371" t="s">
        <v>49</v>
      </c>
      <c r="F1537" s="372">
        <v>43</v>
      </c>
      <c r="G1537" s="373">
        <v>6</v>
      </c>
      <c r="H1537" s="374">
        <v>12.5</v>
      </c>
      <c r="I1537" s="375">
        <v>1.39</v>
      </c>
      <c r="J1537" s="376">
        <f t="shared" si="206"/>
        <v>8.34</v>
      </c>
      <c r="K1537" s="66">
        <f t="shared" si="209"/>
        <v>0</v>
      </c>
      <c r="L1537" s="63">
        <f t="shared" si="210"/>
        <v>0</v>
      </c>
      <c r="M1537" s="63">
        <f t="shared" si="211"/>
        <v>0</v>
      </c>
      <c r="N1537" s="63">
        <f t="shared" si="212"/>
        <v>0</v>
      </c>
      <c r="O1537" s="63">
        <f t="shared" si="213"/>
        <v>8.0314199999999989</v>
      </c>
      <c r="P1537" s="63">
        <f t="shared" si="214"/>
        <v>0</v>
      </c>
      <c r="Q1537" s="561">
        <f t="shared" si="191"/>
        <v>0</v>
      </c>
      <c r="R1537" s="174"/>
      <c r="T1537" s="82"/>
      <c r="U1537" s="82"/>
      <c r="V1537" s="82"/>
      <c r="W1537" s="82"/>
      <c r="X1537" s="82"/>
      <c r="Y1537" s="82"/>
      <c r="Z1537" s="82"/>
      <c r="AA1537" s="82"/>
      <c r="AB1537" s="82"/>
    </row>
    <row r="1538" spans="1:28" s="85" customFormat="1" x14ac:dyDescent="0.25">
      <c r="A1538" s="82"/>
      <c r="B1538" s="82"/>
      <c r="C1538" s="82"/>
      <c r="D1538" s="729"/>
      <c r="E1538" s="371" t="s">
        <v>113</v>
      </c>
      <c r="F1538" s="372">
        <v>1</v>
      </c>
      <c r="G1538" s="373">
        <v>29</v>
      </c>
      <c r="H1538" s="374">
        <v>5</v>
      </c>
      <c r="I1538" s="375">
        <v>0.34</v>
      </c>
      <c r="J1538" s="376">
        <f t="shared" si="206"/>
        <v>9.8600000000000012</v>
      </c>
      <c r="K1538" s="66">
        <f t="shared" si="209"/>
        <v>1.5184400000000002</v>
      </c>
      <c r="L1538" s="63">
        <f t="shared" si="210"/>
        <v>0</v>
      </c>
      <c r="M1538" s="63">
        <f t="shared" si="211"/>
        <v>0</v>
      </c>
      <c r="N1538" s="63">
        <f t="shared" si="212"/>
        <v>0</v>
      </c>
      <c r="O1538" s="63">
        <f t="shared" si="213"/>
        <v>0</v>
      </c>
      <c r="P1538" s="63">
        <f t="shared" si="214"/>
        <v>0</v>
      </c>
      <c r="Q1538" s="561">
        <f t="shared" si="191"/>
        <v>0</v>
      </c>
      <c r="R1538" s="174"/>
      <c r="T1538" s="82"/>
      <c r="U1538" s="82"/>
      <c r="V1538" s="82"/>
      <c r="W1538" s="82"/>
      <c r="X1538" s="82"/>
      <c r="Y1538" s="82"/>
      <c r="Z1538" s="82"/>
      <c r="AA1538" s="82"/>
      <c r="AB1538" s="82"/>
    </row>
    <row r="1539" spans="1:28" s="85" customFormat="1" x14ac:dyDescent="0.25">
      <c r="A1539" s="82"/>
      <c r="B1539" s="82"/>
      <c r="C1539" s="82"/>
      <c r="D1539" s="729"/>
      <c r="E1539" s="371" t="s">
        <v>113</v>
      </c>
      <c r="F1539" s="372">
        <v>2</v>
      </c>
      <c r="G1539" s="373">
        <v>20</v>
      </c>
      <c r="H1539" s="374">
        <v>5</v>
      </c>
      <c r="I1539" s="375">
        <v>1.37</v>
      </c>
      <c r="J1539" s="376">
        <f t="shared" si="206"/>
        <v>27.400000000000002</v>
      </c>
      <c r="K1539" s="66">
        <f t="shared" si="209"/>
        <v>4.2196000000000007</v>
      </c>
      <c r="L1539" s="63">
        <f t="shared" si="210"/>
        <v>0</v>
      </c>
      <c r="M1539" s="63">
        <f t="shared" si="211"/>
        <v>0</v>
      </c>
      <c r="N1539" s="63">
        <f t="shared" si="212"/>
        <v>0</v>
      </c>
      <c r="O1539" s="63">
        <f t="shared" si="213"/>
        <v>0</v>
      </c>
      <c r="P1539" s="63">
        <f t="shared" si="214"/>
        <v>0</v>
      </c>
      <c r="Q1539" s="561">
        <f t="shared" si="191"/>
        <v>0</v>
      </c>
      <c r="R1539" s="174"/>
      <c r="T1539" s="82"/>
      <c r="U1539" s="82"/>
      <c r="V1539" s="82"/>
      <c r="W1539" s="82"/>
      <c r="X1539" s="82"/>
      <c r="Y1539" s="82"/>
      <c r="Z1539" s="82"/>
      <c r="AA1539" s="82"/>
      <c r="AB1539" s="82"/>
    </row>
    <row r="1540" spans="1:28" s="85" customFormat="1" x14ac:dyDescent="0.25">
      <c r="A1540" s="82"/>
      <c r="B1540" s="82"/>
      <c r="C1540" s="82"/>
      <c r="D1540" s="729"/>
      <c r="E1540" s="371" t="s">
        <v>113</v>
      </c>
      <c r="F1540" s="372">
        <v>3</v>
      </c>
      <c r="G1540" s="373">
        <v>18</v>
      </c>
      <c r="H1540" s="374">
        <v>5</v>
      </c>
      <c r="I1540" s="375">
        <v>0.94</v>
      </c>
      <c r="J1540" s="376">
        <f t="shared" si="206"/>
        <v>16.919999999999998</v>
      </c>
      <c r="K1540" s="66">
        <f t="shared" si="209"/>
        <v>2.6056799999999996</v>
      </c>
      <c r="L1540" s="63">
        <f t="shared" si="210"/>
        <v>0</v>
      </c>
      <c r="M1540" s="63">
        <f t="shared" si="211"/>
        <v>0</v>
      </c>
      <c r="N1540" s="63">
        <f t="shared" si="212"/>
        <v>0</v>
      </c>
      <c r="O1540" s="63">
        <f t="shared" si="213"/>
        <v>0</v>
      </c>
      <c r="P1540" s="63">
        <f t="shared" si="214"/>
        <v>0</v>
      </c>
      <c r="Q1540" s="561">
        <f t="shared" si="191"/>
        <v>0</v>
      </c>
      <c r="R1540" s="174"/>
      <c r="T1540" s="82"/>
      <c r="U1540" s="82"/>
      <c r="V1540" s="82"/>
      <c r="W1540" s="82"/>
      <c r="X1540" s="82"/>
      <c r="Y1540" s="82"/>
      <c r="Z1540" s="82"/>
      <c r="AA1540" s="82"/>
      <c r="AB1540" s="82"/>
    </row>
    <row r="1541" spans="1:28" s="85" customFormat="1" x14ac:dyDescent="0.25">
      <c r="A1541" s="82"/>
      <c r="B1541" s="82"/>
      <c r="C1541" s="82"/>
      <c r="D1541" s="729"/>
      <c r="E1541" s="371" t="s">
        <v>113</v>
      </c>
      <c r="F1541" s="372">
        <v>20</v>
      </c>
      <c r="G1541" s="373">
        <v>6</v>
      </c>
      <c r="H1541" s="374">
        <v>12.5</v>
      </c>
      <c r="I1541" s="375">
        <v>4.0199999999999996</v>
      </c>
      <c r="J1541" s="376">
        <f t="shared" si="206"/>
        <v>24.119999999999997</v>
      </c>
      <c r="K1541" s="66">
        <f t="shared" si="209"/>
        <v>0</v>
      </c>
      <c r="L1541" s="63">
        <f t="shared" si="210"/>
        <v>0</v>
      </c>
      <c r="M1541" s="63">
        <f t="shared" si="211"/>
        <v>0</v>
      </c>
      <c r="N1541" s="63">
        <f t="shared" si="212"/>
        <v>0</v>
      </c>
      <c r="O1541" s="63">
        <f t="shared" si="213"/>
        <v>23.227559999999997</v>
      </c>
      <c r="P1541" s="63">
        <f t="shared" si="214"/>
        <v>0</v>
      </c>
      <c r="Q1541" s="561">
        <f t="shared" si="191"/>
        <v>0</v>
      </c>
      <c r="R1541" s="174"/>
      <c r="T1541" s="82"/>
      <c r="U1541" s="82"/>
      <c r="V1541" s="82"/>
      <c r="W1541" s="82"/>
      <c r="X1541" s="82"/>
      <c r="Y1541" s="82"/>
      <c r="Z1541" s="82"/>
      <c r="AA1541" s="82"/>
      <c r="AB1541" s="82"/>
    </row>
    <row r="1542" spans="1:28" s="85" customFormat="1" x14ac:dyDescent="0.25">
      <c r="A1542" s="82"/>
      <c r="B1542" s="82"/>
      <c r="C1542" s="82"/>
      <c r="D1542" s="729"/>
      <c r="E1542" s="396" t="s">
        <v>184</v>
      </c>
      <c r="F1542" s="403">
        <v>1</v>
      </c>
      <c r="G1542" s="397">
        <v>3</v>
      </c>
      <c r="H1542" s="398">
        <v>5</v>
      </c>
      <c r="I1542" s="399">
        <v>0.34</v>
      </c>
      <c r="J1542" s="400">
        <f t="shared" si="206"/>
        <v>1.02</v>
      </c>
      <c r="K1542" s="401">
        <f t="shared" si="209"/>
        <v>0.15708</v>
      </c>
      <c r="L1542" s="196">
        <f t="shared" si="210"/>
        <v>0</v>
      </c>
      <c r="M1542" s="196">
        <f t="shared" si="211"/>
        <v>0</v>
      </c>
      <c r="N1542" s="196">
        <f t="shared" si="212"/>
        <v>0</v>
      </c>
      <c r="O1542" s="196">
        <f t="shared" si="213"/>
        <v>0</v>
      </c>
      <c r="P1542" s="196">
        <f t="shared" si="214"/>
        <v>0</v>
      </c>
      <c r="Q1542" s="566">
        <f t="shared" si="191"/>
        <v>0</v>
      </c>
      <c r="R1542" s="538"/>
      <c r="T1542" s="82"/>
      <c r="U1542" s="82"/>
      <c r="V1542" s="82"/>
      <c r="W1542" s="82"/>
      <c r="X1542" s="82"/>
      <c r="Y1542" s="82"/>
      <c r="Z1542" s="82"/>
      <c r="AA1542" s="82"/>
      <c r="AB1542" s="82"/>
    </row>
    <row r="1543" spans="1:28" s="85" customFormat="1" x14ac:dyDescent="0.25">
      <c r="A1543" s="82"/>
      <c r="B1543" s="82"/>
      <c r="C1543" s="82"/>
      <c r="D1543" s="729"/>
      <c r="E1543" s="371" t="s">
        <v>184</v>
      </c>
      <c r="F1543" s="372">
        <v>2</v>
      </c>
      <c r="G1543" s="373">
        <v>6</v>
      </c>
      <c r="H1543" s="374">
        <v>5</v>
      </c>
      <c r="I1543" s="375">
        <v>0.94</v>
      </c>
      <c r="J1543" s="376">
        <f t="shared" si="206"/>
        <v>5.64</v>
      </c>
      <c r="K1543" s="66">
        <f t="shared" si="209"/>
        <v>0.86855999999999989</v>
      </c>
      <c r="L1543" s="63">
        <f t="shared" si="210"/>
        <v>0</v>
      </c>
      <c r="M1543" s="63">
        <f t="shared" si="211"/>
        <v>0</v>
      </c>
      <c r="N1543" s="63">
        <f t="shared" si="212"/>
        <v>0</v>
      </c>
      <c r="O1543" s="63">
        <f t="shared" si="213"/>
        <v>0</v>
      </c>
      <c r="P1543" s="63">
        <f t="shared" si="214"/>
        <v>0</v>
      </c>
      <c r="Q1543" s="562">
        <f t="shared" si="191"/>
        <v>0</v>
      </c>
      <c r="R1543" s="377"/>
      <c r="T1543" s="82"/>
      <c r="U1543" s="82"/>
      <c r="V1543" s="82"/>
      <c r="W1543" s="82"/>
      <c r="X1543" s="82"/>
      <c r="Y1543" s="82"/>
      <c r="Z1543" s="82"/>
      <c r="AA1543" s="82"/>
      <c r="AB1543" s="82"/>
    </row>
    <row r="1544" spans="1:28" s="85" customFormat="1" ht="13.8" thickBot="1" x14ac:dyDescent="0.3">
      <c r="A1544" s="82"/>
      <c r="B1544" s="82"/>
      <c r="C1544" s="82"/>
      <c r="D1544" s="729"/>
      <c r="E1544" s="371" t="s">
        <v>184</v>
      </c>
      <c r="F1544" s="372">
        <v>44</v>
      </c>
      <c r="G1544" s="373">
        <v>6</v>
      </c>
      <c r="H1544" s="374">
        <v>12.5</v>
      </c>
      <c r="I1544" s="375">
        <v>0.34</v>
      </c>
      <c r="J1544" s="376">
        <f t="shared" si="206"/>
        <v>2.04</v>
      </c>
      <c r="K1544" s="66">
        <f t="shared" si="209"/>
        <v>0</v>
      </c>
      <c r="L1544" s="63">
        <f t="shared" si="210"/>
        <v>0</v>
      </c>
      <c r="M1544" s="63">
        <f t="shared" si="211"/>
        <v>0</v>
      </c>
      <c r="N1544" s="63">
        <f t="shared" si="212"/>
        <v>0</v>
      </c>
      <c r="O1544" s="63">
        <f t="shared" si="213"/>
        <v>1.96452</v>
      </c>
      <c r="P1544" s="63">
        <f t="shared" si="214"/>
        <v>0</v>
      </c>
      <c r="Q1544" s="562">
        <f t="shared" si="191"/>
        <v>0</v>
      </c>
      <c r="R1544" s="377"/>
      <c r="T1544" s="82"/>
      <c r="U1544" s="82"/>
      <c r="V1544" s="82"/>
      <c r="W1544" s="82"/>
      <c r="X1544" s="82"/>
      <c r="Y1544" s="82"/>
      <c r="Z1544" s="82"/>
      <c r="AA1544" s="82"/>
      <c r="AB1544" s="82"/>
    </row>
    <row r="1545" spans="1:28" s="85" customFormat="1" ht="13.8" thickTop="1" x14ac:dyDescent="0.25">
      <c r="A1545" s="82"/>
      <c r="B1545" s="82"/>
      <c r="C1545" s="82"/>
      <c r="D1545" s="728" t="s">
        <v>2016</v>
      </c>
      <c r="E1545" s="384" t="s">
        <v>49</v>
      </c>
      <c r="F1545" s="385">
        <v>3</v>
      </c>
      <c r="G1545" s="386">
        <v>8</v>
      </c>
      <c r="H1545" s="387">
        <v>5</v>
      </c>
      <c r="I1545" s="388">
        <v>0.94</v>
      </c>
      <c r="J1545" s="389">
        <f t="shared" si="93"/>
        <v>7.52</v>
      </c>
      <c r="K1545" s="218">
        <f t="shared" ref="K1545:K1600" si="221">IF($H1545=5,$J1545*$B$21,0)</f>
        <v>1.15808</v>
      </c>
      <c r="L1545" s="219">
        <f t="shared" ref="L1545:L1600" si="222">IF($H1545=6.3,$J1545*$B$22,0)</f>
        <v>0</v>
      </c>
      <c r="M1545" s="219">
        <f t="shared" ref="M1545:M1600" si="223">IF($H1545=8,$J1545*$B$23,0)</f>
        <v>0</v>
      </c>
      <c r="N1545" s="219">
        <f t="shared" ref="N1545:N1600" si="224">IF($H1545=10,$J1545*$B$24,0)</f>
        <v>0</v>
      </c>
      <c r="O1545" s="219">
        <f t="shared" ref="O1545:O1600" si="225">IF($H1545=12.5,$J1545*$B$26,0)</f>
        <v>0</v>
      </c>
      <c r="P1545" s="219">
        <f t="shared" ref="P1545:P1600" si="226">IF($H1545=16,$J1545*$B$27,0)</f>
        <v>0</v>
      </c>
      <c r="Q1545" s="563">
        <f t="shared" ref="Q1545:Q1744" si="227">IF($H1545=20,$J1545*$B$28,0)</f>
        <v>0</v>
      </c>
      <c r="R1545" s="220"/>
      <c r="T1545" s="82"/>
      <c r="U1545" s="82"/>
      <c r="V1545" s="82"/>
      <c r="W1545" s="82"/>
      <c r="X1545" s="82"/>
      <c r="Y1545" s="82"/>
      <c r="Z1545" s="82"/>
      <c r="AA1545" s="82"/>
      <c r="AB1545" s="82"/>
    </row>
    <row r="1546" spans="1:28" s="85" customFormat="1" x14ac:dyDescent="0.25">
      <c r="A1546" s="82"/>
      <c r="B1546" s="82"/>
      <c r="C1546" s="82"/>
      <c r="D1546" s="729"/>
      <c r="E1546" s="371" t="s">
        <v>49</v>
      </c>
      <c r="F1546" s="372">
        <v>2</v>
      </c>
      <c r="G1546" s="373">
        <v>5</v>
      </c>
      <c r="H1546" s="374">
        <v>5</v>
      </c>
      <c r="I1546" s="375">
        <v>1.37</v>
      </c>
      <c r="J1546" s="376">
        <f t="shared" si="93"/>
        <v>6.8500000000000005</v>
      </c>
      <c r="K1546" s="66">
        <f t="shared" si="221"/>
        <v>1.0549000000000002</v>
      </c>
      <c r="L1546" s="63">
        <f t="shared" si="222"/>
        <v>0</v>
      </c>
      <c r="M1546" s="63">
        <f t="shared" si="223"/>
        <v>0</v>
      </c>
      <c r="N1546" s="63">
        <f t="shared" si="224"/>
        <v>0</v>
      </c>
      <c r="O1546" s="63">
        <f t="shared" si="225"/>
        <v>0</v>
      </c>
      <c r="P1546" s="63">
        <f t="shared" si="226"/>
        <v>0</v>
      </c>
      <c r="Q1546" s="561">
        <f t="shared" si="227"/>
        <v>0</v>
      </c>
      <c r="R1546" s="174"/>
      <c r="T1546" s="82"/>
      <c r="U1546" s="82"/>
      <c r="V1546" s="82"/>
      <c r="W1546" s="82"/>
      <c r="X1546" s="82"/>
      <c r="Y1546" s="82"/>
      <c r="Z1546" s="82"/>
      <c r="AA1546" s="82"/>
      <c r="AB1546" s="82"/>
    </row>
    <row r="1547" spans="1:28" s="85" customFormat="1" x14ac:dyDescent="0.25">
      <c r="A1547" s="82"/>
      <c r="B1547" s="82"/>
      <c r="C1547" s="82"/>
      <c r="D1547" s="729"/>
      <c r="E1547" s="371" t="s">
        <v>49</v>
      </c>
      <c r="F1547" s="372">
        <v>6</v>
      </c>
      <c r="G1547" s="373">
        <v>18</v>
      </c>
      <c r="H1547" s="374">
        <v>5</v>
      </c>
      <c r="I1547" s="375">
        <v>0.34</v>
      </c>
      <c r="J1547" s="376">
        <f t="shared" si="93"/>
        <v>6.12</v>
      </c>
      <c r="K1547" s="66">
        <f t="shared" si="221"/>
        <v>0.94247999999999998</v>
      </c>
      <c r="L1547" s="63">
        <f t="shared" si="222"/>
        <v>0</v>
      </c>
      <c r="M1547" s="63">
        <f t="shared" si="223"/>
        <v>0</v>
      </c>
      <c r="N1547" s="63">
        <f t="shared" si="224"/>
        <v>0</v>
      </c>
      <c r="O1547" s="63">
        <f t="shared" si="225"/>
        <v>0</v>
      </c>
      <c r="P1547" s="63">
        <f t="shared" si="226"/>
        <v>0</v>
      </c>
      <c r="Q1547" s="561">
        <f t="shared" si="227"/>
        <v>0</v>
      </c>
      <c r="R1547" s="174"/>
      <c r="T1547" s="82"/>
      <c r="U1547" s="82"/>
      <c r="V1547" s="82"/>
      <c r="W1547" s="82"/>
      <c r="X1547" s="82"/>
      <c r="Y1547" s="82"/>
      <c r="Z1547" s="82"/>
      <c r="AA1547" s="82"/>
      <c r="AB1547" s="82"/>
    </row>
    <row r="1548" spans="1:28" s="85" customFormat="1" x14ac:dyDescent="0.25">
      <c r="A1548" s="82"/>
      <c r="B1548" s="82"/>
      <c r="C1548" s="82"/>
      <c r="D1548" s="729"/>
      <c r="E1548" s="371" t="s">
        <v>49</v>
      </c>
      <c r="F1548" s="372">
        <v>23</v>
      </c>
      <c r="G1548" s="373">
        <v>8</v>
      </c>
      <c r="H1548" s="374">
        <v>10</v>
      </c>
      <c r="I1548" s="375">
        <v>1.37</v>
      </c>
      <c r="J1548" s="376">
        <f t="shared" si="93"/>
        <v>10.96</v>
      </c>
      <c r="K1548" s="66">
        <f t="shared" si="221"/>
        <v>0</v>
      </c>
      <c r="L1548" s="63">
        <f t="shared" si="222"/>
        <v>0</v>
      </c>
      <c r="M1548" s="63">
        <f t="shared" si="223"/>
        <v>0</v>
      </c>
      <c r="N1548" s="63">
        <f t="shared" si="224"/>
        <v>6.7623200000000008</v>
      </c>
      <c r="O1548" s="63">
        <f t="shared" si="225"/>
        <v>0</v>
      </c>
      <c r="P1548" s="63">
        <f t="shared" si="226"/>
        <v>0</v>
      </c>
      <c r="Q1548" s="561">
        <f t="shared" si="227"/>
        <v>0</v>
      </c>
      <c r="R1548" s="174"/>
      <c r="T1548" s="82"/>
      <c r="U1548" s="82"/>
      <c r="V1548" s="82"/>
      <c r="W1548" s="82"/>
      <c r="X1548" s="82"/>
      <c r="Y1548" s="82"/>
      <c r="Z1548" s="82"/>
      <c r="AA1548" s="82"/>
      <c r="AB1548" s="82"/>
    </row>
    <row r="1549" spans="1:28" s="85" customFormat="1" x14ac:dyDescent="0.25">
      <c r="A1549" s="82"/>
      <c r="B1549" s="82"/>
      <c r="C1549" s="82"/>
      <c r="D1549" s="729"/>
      <c r="E1549" s="371" t="s">
        <v>113</v>
      </c>
      <c r="F1549" s="372">
        <v>2</v>
      </c>
      <c r="G1549" s="373">
        <v>21</v>
      </c>
      <c r="H1549" s="374">
        <v>5</v>
      </c>
      <c r="I1549" s="375">
        <v>1.37</v>
      </c>
      <c r="J1549" s="376">
        <f t="shared" si="93"/>
        <v>28.770000000000003</v>
      </c>
      <c r="K1549" s="66">
        <f t="shared" si="221"/>
        <v>4.4305800000000009</v>
      </c>
      <c r="L1549" s="63">
        <f t="shared" si="222"/>
        <v>0</v>
      </c>
      <c r="M1549" s="63">
        <f t="shared" si="223"/>
        <v>0</v>
      </c>
      <c r="N1549" s="63">
        <f t="shared" si="224"/>
        <v>0</v>
      </c>
      <c r="O1549" s="63">
        <f t="shared" si="225"/>
        <v>0</v>
      </c>
      <c r="P1549" s="63">
        <f t="shared" si="226"/>
        <v>0</v>
      </c>
      <c r="Q1549" s="561">
        <f t="shared" si="227"/>
        <v>0</v>
      </c>
      <c r="R1549" s="174"/>
      <c r="T1549" s="82"/>
      <c r="U1549" s="82"/>
      <c r="V1549" s="82"/>
      <c r="W1549" s="82"/>
      <c r="X1549" s="82"/>
      <c r="Y1549" s="82"/>
      <c r="Z1549" s="82"/>
      <c r="AA1549" s="82"/>
      <c r="AB1549" s="82"/>
    </row>
    <row r="1550" spans="1:28" s="85" customFormat="1" x14ac:dyDescent="0.25">
      <c r="A1550" s="82"/>
      <c r="B1550" s="82"/>
      <c r="C1550" s="82"/>
      <c r="D1550" s="729"/>
      <c r="E1550" s="371" t="s">
        <v>113</v>
      </c>
      <c r="F1550" s="372">
        <v>3</v>
      </c>
      <c r="G1550" s="373">
        <v>20</v>
      </c>
      <c r="H1550" s="374">
        <v>5</v>
      </c>
      <c r="I1550" s="375">
        <v>0.94</v>
      </c>
      <c r="J1550" s="376">
        <f t="shared" si="93"/>
        <v>18.799999999999997</v>
      </c>
      <c r="K1550" s="66">
        <f t="shared" si="221"/>
        <v>2.8951999999999996</v>
      </c>
      <c r="L1550" s="63">
        <f t="shared" si="222"/>
        <v>0</v>
      </c>
      <c r="M1550" s="63">
        <f t="shared" si="223"/>
        <v>0</v>
      </c>
      <c r="N1550" s="63">
        <f t="shared" si="224"/>
        <v>0</v>
      </c>
      <c r="O1550" s="63">
        <f t="shared" si="225"/>
        <v>0</v>
      </c>
      <c r="P1550" s="63">
        <f t="shared" si="226"/>
        <v>0</v>
      </c>
      <c r="Q1550" s="561">
        <f t="shared" si="227"/>
        <v>0</v>
      </c>
      <c r="R1550" s="174"/>
      <c r="T1550" s="82"/>
      <c r="U1550" s="82"/>
      <c r="V1550" s="82"/>
      <c r="W1550" s="82"/>
      <c r="X1550" s="82"/>
      <c r="Y1550" s="82"/>
      <c r="Z1550" s="82"/>
      <c r="AA1550" s="82"/>
      <c r="AB1550" s="82"/>
    </row>
    <row r="1551" spans="1:28" s="85" customFormat="1" x14ac:dyDescent="0.25">
      <c r="A1551" s="82"/>
      <c r="B1551" s="82"/>
      <c r="C1551" s="82"/>
      <c r="D1551" s="729"/>
      <c r="E1551" s="371" t="s">
        <v>113</v>
      </c>
      <c r="F1551" s="372">
        <v>7</v>
      </c>
      <c r="G1551" s="373">
        <v>62</v>
      </c>
      <c r="H1551" s="374">
        <v>5</v>
      </c>
      <c r="I1551" s="375">
        <v>0.34</v>
      </c>
      <c r="J1551" s="376">
        <f t="shared" si="93"/>
        <v>21.080000000000002</v>
      </c>
      <c r="K1551" s="66">
        <f t="shared" si="221"/>
        <v>3.2463200000000003</v>
      </c>
      <c r="L1551" s="63">
        <f t="shared" si="222"/>
        <v>0</v>
      </c>
      <c r="M1551" s="63">
        <f t="shared" si="223"/>
        <v>0</v>
      </c>
      <c r="N1551" s="63">
        <f t="shared" si="224"/>
        <v>0</v>
      </c>
      <c r="O1551" s="63">
        <f t="shared" si="225"/>
        <v>0</v>
      </c>
      <c r="P1551" s="63">
        <f t="shared" si="226"/>
        <v>0</v>
      </c>
      <c r="Q1551" s="561">
        <f t="shared" si="227"/>
        <v>0</v>
      </c>
      <c r="R1551" s="174"/>
      <c r="T1551" s="82"/>
      <c r="U1551" s="82"/>
      <c r="V1551" s="82"/>
      <c r="W1551" s="82"/>
      <c r="X1551" s="82"/>
      <c r="Y1551" s="82"/>
      <c r="Z1551" s="82"/>
      <c r="AA1551" s="82"/>
      <c r="AB1551" s="82"/>
    </row>
    <row r="1552" spans="1:28" s="85" customFormat="1" x14ac:dyDescent="0.25">
      <c r="A1552" s="82"/>
      <c r="B1552" s="82"/>
      <c r="C1552" s="82"/>
      <c r="D1552" s="729"/>
      <c r="E1552" s="371" t="s">
        <v>113</v>
      </c>
      <c r="F1552" s="372">
        <v>18</v>
      </c>
      <c r="G1552" s="373">
        <v>8</v>
      </c>
      <c r="H1552" s="374">
        <v>10</v>
      </c>
      <c r="I1552" s="375">
        <v>3.93</v>
      </c>
      <c r="J1552" s="376">
        <f t="shared" si="93"/>
        <v>31.44</v>
      </c>
      <c r="K1552" s="66">
        <f t="shared" si="221"/>
        <v>0</v>
      </c>
      <c r="L1552" s="63">
        <f t="shared" si="222"/>
        <v>0</v>
      </c>
      <c r="M1552" s="63">
        <f t="shared" si="223"/>
        <v>0</v>
      </c>
      <c r="N1552" s="63">
        <f t="shared" si="224"/>
        <v>19.398479999999999</v>
      </c>
      <c r="O1552" s="63">
        <f t="shared" si="225"/>
        <v>0</v>
      </c>
      <c r="P1552" s="63">
        <f t="shared" si="226"/>
        <v>0</v>
      </c>
      <c r="Q1552" s="561">
        <f t="shared" si="227"/>
        <v>0</v>
      </c>
      <c r="R1552" s="174"/>
      <c r="T1552" s="82"/>
      <c r="U1552" s="82"/>
      <c r="V1552" s="82"/>
      <c r="W1552" s="82"/>
      <c r="X1552" s="82"/>
      <c r="Y1552" s="82"/>
      <c r="Z1552" s="82"/>
      <c r="AA1552" s="82"/>
      <c r="AB1552" s="82"/>
    </row>
    <row r="1553" spans="1:28" s="85" customFormat="1" x14ac:dyDescent="0.25">
      <c r="A1553" s="82"/>
      <c r="B1553" s="82"/>
      <c r="C1553" s="82"/>
      <c r="D1553" s="729"/>
      <c r="E1553" s="396" t="s">
        <v>184</v>
      </c>
      <c r="F1553" s="403">
        <v>2</v>
      </c>
      <c r="G1553" s="397">
        <v>8</v>
      </c>
      <c r="H1553" s="398">
        <v>5</v>
      </c>
      <c r="I1553" s="399">
        <v>0.94</v>
      </c>
      <c r="J1553" s="400">
        <f t="shared" si="93"/>
        <v>7.52</v>
      </c>
      <c r="K1553" s="401">
        <f t="shared" si="221"/>
        <v>1.15808</v>
      </c>
      <c r="L1553" s="196">
        <f t="shared" si="222"/>
        <v>0</v>
      </c>
      <c r="M1553" s="196">
        <f t="shared" si="223"/>
        <v>0</v>
      </c>
      <c r="N1553" s="196">
        <f t="shared" si="224"/>
        <v>0</v>
      </c>
      <c r="O1553" s="196">
        <f t="shared" si="225"/>
        <v>0</v>
      </c>
      <c r="P1553" s="196">
        <f t="shared" si="226"/>
        <v>0</v>
      </c>
      <c r="Q1553" s="566">
        <f t="shared" si="227"/>
        <v>0</v>
      </c>
      <c r="R1553" s="538"/>
      <c r="T1553" s="82"/>
      <c r="U1553" s="82"/>
      <c r="V1553" s="82"/>
      <c r="W1553" s="82"/>
      <c r="X1553" s="82"/>
      <c r="Y1553" s="82"/>
      <c r="Z1553" s="82"/>
      <c r="AA1553" s="82"/>
      <c r="AB1553" s="82"/>
    </row>
    <row r="1554" spans="1:28" s="85" customFormat="1" x14ac:dyDescent="0.25">
      <c r="A1554" s="82"/>
      <c r="B1554" s="82"/>
      <c r="C1554" s="82"/>
      <c r="D1554" s="729"/>
      <c r="E1554" s="371" t="s">
        <v>184</v>
      </c>
      <c r="F1554" s="372">
        <v>6</v>
      </c>
      <c r="G1554" s="373">
        <v>8</v>
      </c>
      <c r="H1554" s="374">
        <v>5</v>
      </c>
      <c r="I1554" s="375">
        <v>0.34</v>
      </c>
      <c r="J1554" s="376">
        <f t="shared" si="93"/>
        <v>2.72</v>
      </c>
      <c r="K1554" s="66">
        <f t="shared" si="221"/>
        <v>0.41888000000000003</v>
      </c>
      <c r="L1554" s="63">
        <f t="shared" si="222"/>
        <v>0</v>
      </c>
      <c r="M1554" s="63">
        <f t="shared" si="223"/>
        <v>0</v>
      </c>
      <c r="N1554" s="63">
        <f t="shared" si="224"/>
        <v>0</v>
      </c>
      <c r="O1554" s="63">
        <f t="shared" si="225"/>
        <v>0</v>
      </c>
      <c r="P1554" s="63">
        <f t="shared" si="226"/>
        <v>0</v>
      </c>
      <c r="Q1554" s="562">
        <f t="shared" si="227"/>
        <v>0</v>
      </c>
      <c r="R1554" s="377"/>
      <c r="T1554" s="82"/>
      <c r="U1554" s="82"/>
      <c r="V1554" s="82"/>
      <c r="W1554" s="82"/>
      <c r="X1554" s="82"/>
      <c r="Y1554" s="82"/>
      <c r="Z1554" s="82"/>
      <c r="AA1554" s="82"/>
      <c r="AB1554" s="82"/>
    </row>
    <row r="1555" spans="1:28" s="85" customFormat="1" x14ac:dyDescent="0.25">
      <c r="A1555" s="82"/>
      <c r="B1555" s="82"/>
      <c r="C1555" s="82"/>
      <c r="D1555" s="729"/>
      <c r="E1555" s="371" t="s">
        <v>184</v>
      </c>
      <c r="F1555" s="372">
        <v>39</v>
      </c>
      <c r="G1555" s="373">
        <v>8</v>
      </c>
      <c r="H1555" s="374">
        <v>10</v>
      </c>
      <c r="I1555" s="375">
        <v>0.34</v>
      </c>
      <c r="J1555" s="376">
        <f t="shared" si="93"/>
        <v>2.72</v>
      </c>
      <c r="K1555" s="66">
        <f t="shared" si="221"/>
        <v>0</v>
      </c>
      <c r="L1555" s="63">
        <f t="shared" si="222"/>
        <v>0</v>
      </c>
      <c r="M1555" s="63">
        <f t="shared" si="223"/>
        <v>0</v>
      </c>
      <c r="N1555" s="63">
        <f t="shared" si="224"/>
        <v>1.6782400000000002</v>
      </c>
      <c r="O1555" s="63">
        <f t="shared" si="225"/>
        <v>0</v>
      </c>
      <c r="P1555" s="63">
        <f t="shared" si="226"/>
        <v>0</v>
      </c>
      <c r="Q1555" s="562">
        <f t="shared" si="227"/>
        <v>0</v>
      </c>
      <c r="R1555" s="377"/>
      <c r="T1555" s="82"/>
      <c r="U1555" s="82"/>
      <c r="V1555" s="82"/>
      <c r="W1555" s="82"/>
      <c r="X1555" s="82"/>
      <c r="Y1555" s="82"/>
      <c r="Z1555" s="82"/>
      <c r="AA1555" s="82"/>
      <c r="AB1555" s="82"/>
    </row>
    <row r="1556" spans="1:28" s="85" customFormat="1" ht="13.8" thickBot="1" x14ac:dyDescent="0.3">
      <c r="A1556" s="82"/>
      <c r="B1556" s="82"/>
      <c r="C1556" s="82"/>
      <c r="D1556" s="731"/>
      <c r="E1556" s="390" t="s">
        <v>184</v>
      </c>
      <c r="F1556" s="391"/>
      <c r="G1556" s="392"/>
      <c r="H1556" s="393"/>
      <c r="I1556" s="394"/>
      <c r="J1556" s="395">
        <f t="shared" si="93"/>
        <v>0</v>
      </c>
      <c r="K1556" s="221">
        <f t="shared" si="221"/>
        <v>0</v>
      </c>
      <c r="L1556" s="222">
        <f t="shared" si="222"/>
        <v>0</v>
      </c>
      <c r="M1556" s="222">
        <f t="shared" si="223"/>
        <v>0</v>
      </c>
      <c r="N1556" s="222">
        <f t="shared" si="224"/>
        <v>0</v>
      </c>
      <c r="O1556" s="222">
        <f t="shared" si="225"/>
        <v>0</v>
      </c>
      <c r="P1556" s="222">
        <f t="shared" si="226"/>
        <v>0</v>
      </c>
      <c r="Q1556" s="564">
        <f t="shared" si="227"/>
        <v>0</v>
      </c>
      <c r="R1556" s="539"/>
      <c r="T1556" s="82"/>
      <c r="U1556" s="82"/>
      <c r="V1556" s="82"/>
      <c r="W1556" s="82"/>
      <c r="X1556" s="82"/>
      <c r="Y1556" s="82"/>
      <c r="Z1556" s="82"/>
      <c r="AA1556" s="82"/>
      <c r="AB1556" s="82"/>
    </row>
    <row r="1557" spans="1:28" s="85" customFormat="1" ht="13.8" thickTop="1" x14ac:dyDescent="0.25">
      <c r="A1557" s="82"/>
      <c r="B1557" s="82"/>
      <c r="C1557" s="82"/>
      <c r="D1557" s="728" t="s">
        <v>2017</v>
      </c>
      <c r="E1557" s="384" t="s">
        <v>49</v>
      </c>
      <c r="F1557" s="385">
        <v>12</v>
      </c>
      <c r="G1557" s="386">
        <f>2*9</f>
        <v>18</v>
      </c>
      <c r="H1557" s="387">
        <v>5</v>
      </c>
      <c r="I1557" s="388">
        <v>0.24</v>
      </c>
      <c r="J1557" s="389">
        <f t="shared" si="93"/>
        <v>4.32</v>
      </c>
      <c r="K1557" s="218">
        <f t="shared" si="221"/>
        <v>0.66527999999999998</v>
      </c>
      <c r="L1557" s="219">
        <f t="shared" si="222"/>
        <v>0</v>
      </c>
      <c r="M1557" s="219">
        <f t="shared" si="223"/>
        <v>0</v>
      </c>
      <c r="N1557" s="219">
        <f t="shared" si="224"/>
        <v>0</v>
      </c>
      <c r="O1557" s="219">
        <f t="shared" si="225"/>
        <v>0</v>
      </c>
      <c r="P1557" s="219">
        <f t="shared" si="226"/>
        <v>0</v>
      </c>
      <c r="Q1557" s="563">
        <f t="shared" si="227"/>
        <v>0</v>
      </c>
      <c r="R1557" s="220"/>
      <c r="T1557" s="82"/>
      <c r="U1557" s="82"/>
      <c r="V1557" s="82"/>
      <c r="W1557" s="82"/>
      <c r="X1557" s="82"/>
      <c r="Y1557" s="82"/>
      <c r="Z1557" s="82"/>
      <c r="AA1557" s="82"/>
      <c r="AB1557" s="82"/>
    </row>
    <row r="1558" spans="1:28" s="85" customFormat="1" x14ac:dyDescent="0.25">
      <c r="A1558" s="82"/>
      <c r="B1558" s="82"/>
      <c r="C1558" s="82"/>
      <c r="D1558" s="729"/>
      <c r="E1558" s="371" t="s">
        <v>49</v>
      </c>
      <c r="F1558" s="372">
        <v>13</v>
      </c>
      <c r="G1558" s="373">
        <f>2*5</f>
        <v>10</v>
      </c>
      <c r="H1558" s="374">
        <v>5</v>
      </c>
      <c r="I1558" s="375">
        <v>0.97</v>
      </c>
      <c r="J1558" s="376">
        <f t="shared" si="93"/>
        <v>9.6999999999999993</v>
      </c>
      <c r="K1558" s="66">
        <f t="shared" si="221"/>
        <v>1.4937999999999998</v>
      </c>
      <c r="L1558" s="63">
        <f t="shared" si="222"/>
        <v>0</v>
      </c>
      <c r="M1558" s="63">
        <f t="shared" si="223"/>
        <v>0</v>
      </c>
      <c r="N1558" s="63">
        <f t="shared" si="224"/>
        <v>0</v>
      </c>
      <c r="O1558" s="63">
        <f t="shared" si="225"/>
        <v>0</v>
      </c>
      <c r="P1558" s="63">
        <f t="shared" si="226"/>
        <v>0</v>
      </c>
      <c r="Q1558" s="561">
        <f t="shared" si="227"/>
        <v>0</v>
      </c>
      <c r="R1558" s="174"/>
      <c r="T1558" s="82"/>
      <c r="U1558" s="82"/>
      <c r="V1558" s="82"/>
      <c r="W1558" s="82"/>
      <c r="X1558" s="82"/>
      <c r="Y1558" s="82"/>
      <c r="Z1558" s="82"/>
      <c r="AA1558" s="82"/>
      <c r="AB1558" s="82"/>
    </row>
    <row r="1559" spans="1:28" s="85" customFormat="1" x14ac:dyDescent="0.25">
      <c r="A1559" s="82"/>
      <c r="B1559" s="82"/>
      <c r="C1559" s="82"/>
      <c r="D1559" s="729"/>
      <c r="E1559" s="371" t="s">
        <v>49</v>
      </c>
      <c r="F1559" s="372">
        <v>14</v>
      </c>
      <c r="G1559" s="373">
        <f>2*8</f>
        <v>16</v>
      </c>
      <c r="H1559" s="374">
        <v>5</v>
      </c>
      <c r="I1559" s="375">
        <v>0.64</v>
      </c>
      <c r="J1559" s="376">
        <f t="shared" si="93"/>
        <v>10.24</v>
      </c>
      <c r="K1559" s="66">
        <f t="shared" si="221"/>
        <v>1.5769599999999999</v>
      </c>
      <c r="L1559" s="63">
        <f t="shared" si="222"/>
        <v>0</v>
      </c>
      <c r="M1559" s="63">
        <f t="shared" si="223"/>
        <v>0</v>
      </c>
      <c r="N1559" s="63">
        <f t="shared" si="224"/>
        <v>0</v>
      </c>
      <c r="O1559" s="63">
        <f t="shared" si="225"/>
        <v>0</v>
      </c>
      <c r="P1559" s="63">
        <f t="shared" si="226"/>
        <v>0</v>
      </c>
      <c r="Q1559" s="561">
        <f t="shared" si="227"/>
        <v>0</v>
      </c>
      <c r="R1559" s="174"/>
      <c r="T1559" s="82"/>
      <c r="U1559" s="82"/>
      <c r="V1559" s="82"/>
      <c r="W1559" s="82"/>
      <c r="X1559" s="82"/>
      <c r="Y1559" s="82"/>
      <c r="Z1559" s="82"/>
      <c r="AA1559" s="82"/>
      <c r="AB1559" s="82"/>
    </row>
    <row r="1560" spans="1:28" s="85" customFormat="1" x14ac:dyDescent="0.25">
      <c r="A1560" s="82"/>
      <c r="B1560" s="82"/>
      <c r="C1560" s="82"/>
      <c r="D1560" s="729"/>
      <c r="E1560" s="371" t="s">
        <v>49</v>
      </c>
      <c r="F1560" s="372">
        <v>23</v>
      </c>
      <c r="G1560" s="373">
        <f>2*6</f>
        <v>12</v>
      </c>
      <c r="H1560" s="374">
        <v>10</v>
      </c>
      <c r="I1560" s="375">
        <v>1.37</v>
      </c>
      <c r="J1560" s="376">
        <f t="shared" si="93"/>
        <v>16.440000000000001</v>
      </c>
      <c r="K1560" s="66">
        <f t="shared" si="221"/>
        <v>0</v>
      </c>
      <c r="L1560" s="63">
        <f t="shared" si="222"/>
        <v>0</v>
      </c>
      <c r="M1560" s="63">
        <f t="shared" si="223"/>
        <v>0</v>
      </c>
      <c r="N1560" s="63">
        <f t="shared" si="224"/>
        <v>10.14348</v>
      </c>
      <c r="O1560" s="63">
        <f t="shared" si="225"/>
        <v>0</v>
      </c>
      <c r="P1560" s="63">
        <f t="shared" si="226"/>
        <v>0</v>
      </c>
      <c r="Q1560" s="561">
        <f t="shared" si="227"/>
        <v>0</v>
      </c>
      <c r="R1560" s="174"/>
      <c r="T1560" s="82"/>
      <c r="U1560" s="82"/>
      <c r="V1560" s="82"/>
      <c r="W1560" s="82"/>
      <c r="X1560" s="82"/>
      <c r="Y1560" s="82"/>
      <c r="Z1560" s="82"/>
      <c r="AA1560" s="82"/>
      <c r="AB1560" s="82"/>
    </row>
    <row r="1561" spans="1:28" s="85" customFormat="1" x14ac:dyDescent="0.25">
      <c r="A1561" s="82"/>
      <c r="B1561" s="82"/>
      <c r="C1561" s="82"/>
      <c r="D1561" s="729"/>
      <c r="E1561" s="371" t="s">
        <v>113</v>
      </c>
      <c r="F1561" s="372">
        <v>8</v>
      </c>
      <c r="G1561" s="373">
        <f>2*30</f>
        <v>60</v>
      </c>
      <c r="H1561" s="374">
        <v>5</v>
      </c>
      <c r="I1561" s="375">
        <v>0.24</v>
      </c>
      <c r="J1561" s="376">
        <f t="shared" si="93"/>
        <v>14.399999999999999</v>
      </c>
      <c r="K1561" s="66">
        <f t="shared" si="221"/>
        <v>2.2175999999999996</v>
      </c>
      <c r="L1561" s="63">
        <f t="shared" si="222"/>
        <v>0</v>
      </c>
      <c r="M1561" s="63">
        <f t="shared" si="223"/>
        <v>0</v>
      </c>
      <c r="N1561" s="63">
        <f t="shared" si="224"/>
        <v>0</v>
      </c>
      <c r="O1561" s="63">
        <f t="shared" si="225"/>
        <v>0</v>
      </c>
      <c r="P1561" s="63">
        <f t="shared" si="226"/>
        <v>0</v>
      </c>
      <c r="Q1561" s="561">
        <f t="shared" si="227"/>
        <v>0</v>
      </c>
      <c r="R1561" s="174"/>
      <c r="T1561" s="82"/>
      <c r="U1561" s="82"/>
      <c r="V1561" s="82"/>
      <c r="W1561" s="82"/>
      <c r="X1561" s="82"/>
      <c r="Y1561" s="82"/>
      <c r="Z1561" s="82"/>
      <c r="AA1561" s="82"/>
      <c r="AB1561" s="82"/>
    </row>
    <row r="1562" spans="1:28" s="85" customFormat="1" x14ac:dyDescent="0.25">
      <c r="A1562" s="82"/>
      <c r="B1562" s="82"/>
      <c r="C1562" s="82"/>
      <c r="D1562" s="729"/>
      <c r="E1562" s="371" t="s">
        <v>113</v>
      </c>
      <c r="F1562" s="372">
        <v>11</v>
      </c>
      <c r="G1562" s="373">
        <f>2*26</f>
        <v>52</v>
      </c>
      <c r="H1562" s="374">
        <v>5</v>
      </c>
      <c r="I1562" s="375">
        <v>0.97</v>
      </c>
      <c r="J1562" s="376">
        <f t="shared" si="93"/>
        <v>50.44</v>
      </c>
      <c r="K1562" s="66">
        <f t="shared" si="221"/>
        <v>7.7677599999999991</v>
      </c>
      <c r="L1562" s="63">
        <f t="shared" si="222"/>
        <v>0</v>
      </c>
      <c r="M1562" s="63">
        <f t="shared" si="223"/>
        <v>0</v>
      </c>
      <c r="N1562" s="63">
        <f t="shared" si="224"/>
        <v>0</v>
      </c>
      <c r="O1562" s="63">
        <f t="shared" si="225"/>
        <v>0</v>
      </c>
      <c r="P1562" s="63">
        <f t="shared" si="226"/>
        <v>0</v>
      </c>
      <c r="Q1562" s="561">
        <f t="shared" si="227"/>
        <v>0</v>
      </c>
      <c r="R1562" s="174"/>
      <c r="T1562" s="82"/>
      <c r="U1562" s="82"/>
      <c r="V1562" s="82"/>
      <c r="W1562" s="82"/>
      <c r="X1562" s="82"/>
      <c r="Y1562" s="82"/>
      <c r="Z1562" s="82"/>
      <c r="AA1562" s="82"/>
      <c r="AB1562" s="82"/>
    </row>
    <row r="1563" spans="1:28" s="85" customFormat="1" x14ac:dyDescent="0.25">
      <c r="A1563" s="82"/>
      <c r="B1563" s="82"/>
      <c r="C1563" s="82"/>
      <c r="D1563" s="729"/>
      <c r="E1563" s="371" t="s">
        <v>113</v>
      </c>
      <c r="F1563" s="372">
        <v>12</v>
      </c>
      <c r="G1563" s="373">
        <f>2*8</f>
        <v>16</v>
      </c>
      <c r="H1563" s="374">
        <v>5</v>
      </c>
      <c r="I1563" s="375">
        <v>0.64</v>
      </c>
      <c r="J1563" s="376">
        <f t="shared" si="93"/>
        <v>10.24</v>
      </c>
      <c r="K1563" s="66">
        <f t="shared" si="221"/>
        <v>1.5769599999999999</v>
      </c>
      <c r="L1563" s="63">
        <f t="shared" si="222"/>
        <v>0</v>
      </c>
      <c r="M1563" s="63">
        <f t="shared" si="223"/>
        <v>0</v>
      </c>
      <c r="N1563" s="63">
        <f t="shared" si="224"/>
        <v>0</v>
      </c>
      <c r="O1563" s="63">
        <f t="shared" si="225"/>
        <v>0</v>
      </c>
      <c r="P1563" s="63">
        <f t="shared" si="226"/>
        <v>0</v>
      </c>
      <c r="Q1563" s="561">
        <f t="shared" si="227"/>
        <v>0</v>
      </c>
      <c r="R1563" s="174"/>
      <c r="T1563" s="82"/>
      <c r="U1563" s="82"/>
      <c r="V1563" s="82"/>
      <c r="W1563" s="82"/>
      <c r="X1563" s="82"/>
      <c r="Y1563" s="82"/>
      <c r="Z1563" s="82"/>
      <c r="AA1563" s="82"/>
      <c r="AB1563" s="82"/>
    </row>
    <row r="1564" spans="1:28" s="85" customFormat="1" ht="13.8" thickBot="1" x14ac:dyDescent="0.3">
      <c r="A1564" s="82"/>
      <c r="B1564" s="82"/>
      <c r="C1564" s="82"/>
      <c r="D1564" s="729"/>
      <c r="E1564" s="371" t="s">
        <v>113</v>
      </c>
      <c r="F1564" s="372">
        <v>19</v>
      </c>
      <c r="G1564" s="373">
        <f>2*6</f>
        <v>12</v>
      </c>
      <c r="H1564" s="374">
        <v>10</v>
      </c>
      <c r="I1564" s="375">
        <v>3.42</v>
      </c>
      <c r="J1564" s="376">
        <f t="shared" si="93"/>
        <v>41.04</v>
      </c>
      <c r="K1564" s="66">
        <f t="shared" si="221"/>
        <v>0</v>
      </c>
      <c r="L1564" s="63">
        <f t="shared" si="222"/>
        <v>0</v>
      </c>
      <c r="M1564" s="63">
        <f t="shared" si="223"/>
        <v>0</v>
      </c>
      <c r="N1564" s="63">
        <f t="shared" si="224"/>
        <v>25.321680000000001</v>
      </c>
      <c r="O1564" s="63">
        <f t="shared" si="225"/>
        <v>0</v>
      </c>
      <c r="P1564" s="63">
        <f t="shared" si="226"/>
        <v>0</v>
      </c>
      <c r="Q1564" s="561">
        <f t="shared" si="227"/>
        <v>0</v>
      </c>
      <c r="R1564" s="174"/>
      <c r="T1564" s="82"/>
      <c r="U1564" s="82"/>
      <c r="V1564" s="82"/>
      <c r="W1564" s="82"/>
      <c r="X1564" s="82"/>
      <c r="Y1564" s="82"/>
      <c r="Z1564" s="82"/>
      <c r="AA1564" s="82"/>
      <c r="AB1564" s="82"/>
    </row>
    <row r="1565" spans="1:28" s="85" customFormat="1" ht="13.8" thickTop="1" x14ac:dyDescent="0.25">
      <c r="A1565" s="82"/>
      <c r="B1565" s="82"/>
      <c r="C1565" s="82"/>
      <c r="D1565" s="728" t="s">
        <v>2018</v>
      </c>
      <c r="E1565" s="384" t="s">
        <v>49</v>
      </c>
      <c r="F1565" s="385">
        <v>12</v>
      </c>
      <c r="G1565" s="386">
        <v>9</v>
      </c>
      <c r="H1565" s="387">
        <v>5</v>
      </c>
      <c r="I1565" s="388">
        <v>0.24</v>
      </c>
      <c r="J1565" s="389">
        <f t="shared" si="93"/>
        <v>2.16</v>
      </c>
      <c r="K1565" s="218">
        <f t="shared" si="221"/>
        <v>0.33263999999999999</v>
      </c>
      <c r="L1565" s="219">
        <f t="shared" si="222"/>
        <v>0</v>
      </c>
      <c r="M1565" s="219">
        <f t="shared" si="223"/>
        <v>0</v>
      </c>
      <c r="N1565" s="219">
        <f t="shared" si="224"/>
        <v>0</v>
      </c>
      <c r="O1565" s="219">
        <f t="shared" si="225"/>
        <v>0</v>
      </c>
      <c r="P1565" s="219">
        <f t="shared" si="226"/>
        <v>0</v>
      </c>
      <c r="Q1565" s="563">
        <f t="shared" si="227"/>
        <v>0</v>
      </c>
      <c r="R1565" s="220"/>
      <c r="T1565" s="82"/>
      <c r="U1565" s="82"/>
      <c r="V1565" s="82"/>
      <c r="W1565" s="82"/>
      <c r="X1565" s="82"/>
      <c r="Y1565" s="82"/>
      <c r="Z1565" s="82"/>
      <c r="AA1565" s="82"/>
      <c r="AB1565" s="82"/>
    </row>
    <row r="1566" spans="1:28" s="85" customFormat="1" x14ac:dyDescent="0.25">
      <c r="A1566" s="82"/>
      <c r="B1566" s="82"/>
      <c r="C1566" s="82"/>
      <c r="D1566" s="729"/>
      <c r="E1566" s="371" t="s">
        <v>49</v>
      </c>
      <c r="F1566" s="372">
        <v>13</v>
      </c>
      <c r="G1566" s="373">
        <v>5</v>
      </c>
      <c r="H1566" s="374">
        <v>5</v>
      </c>
      <c r="I1566" s="375">
        <v>0.97</v>
      </c>
      <c r="J1566" s="376">
        <f t="shared" si="93"/>
        <v>4.8499999999999996</v>
      </c>
      <c r="K1566" s="66">
        <f t="shared" si="221"/>
        <v>0.7468999999999999</v>
      </c>
      <c r="L1566" s="63">
        <f t="shared" si="222"/>
        <v>0</v>
      </c>
      <c r="M1566" s="63">
        <f t="shared" si="223"/>
        <v>0</v>
      </c>
      <c r="N1566" s="63">
        <f t="shared" si="224"/>
        <v>0</v>
      </c>
      <c r="O1566" s="63">
        <f t="shared" si="225"/>
        <v>0</v>
      </c>
      <c r="P1566" s="63">
        <f t="shared" si="226"/>
        <v>0</v>
      </c>
      <c r="Q1566" s="561">
        <f t="shared" si="227"/>
        <v>0</v>
      </c>
      <c r="R1566" s="174"/>
      <c r="T1566" s="82"/>
      <c r="U1566" s="82"/>
      <c r="V1566" s="82"/>
      <c r="W1566" s="82"/>
      <c r="X1566" s="82"/>
      <c r="Y1566" s="82"/>
      <c r="Z1566" s="82"/>
      <c r="AA1566" s="82"/>
      <c r="AB1566" s="82"/>
    </row>
    <row r="1567" spans="1:28" s="85" customFormat="1" x14ac:dyDescent="0.25">
      <c r="A1567" s="82"/>
      <c r="B1567" s="82"/>
      <c r="C1567" s="82"/>
      <c r="D1567" s="729"/>
      <c r="E1567" s="371" t="s">
        <v>49</v>
      </c>
      <c r="F1567" s="372">
        <v>14</v>
      </c>
      <c r="G1567" s="373">
        <v>8</v>
      </c>
      <c r="H1567" s="374">
        <v>5</v>
      </c>
      <c r="I1567" s="375">
        <v>0.64</v>
      </c>
      <c r="J1567" s="376">
        <f t="shared" si="93"/>
        <v>5.12</v>
      </c>
      <c r="K1567" s="66">
        <f t="shared" si="221"/>
        <v>0.78847999999999996</v>
      </c>
      <c r="L1567" s="63">
        <f t="shared" si="222"/>
        <v>0</v>
      </c>
      <c r="M1567" s="63">
        <f t="shared" si="223"/>
        <v>0</v>
      </c>
      <c r="N1567" s="63">
        <f t="shared" si="224"/>
        <v>0</v>
      </c>
      <c r="O1567" s="63">
        <f t="shared" si="225"/>
        <v>0</v>
      </c>
      <c r="P1567" s="63">
        <f t="shared" si="226"/>
        <v>0</v>
      </c>
      <c r="Q1567" s="561">
        <f t="shared" si="227"/>
        <v>0</v>
      </c>
      <c r="R1567" s="174"/>
      <c r="T1567" s="82"/>
      <c r="U1567" s="82"/>
      <c r="V1567" s="82"/>
      <c r="W1567" s="82"/>
      <c r="X1567" s="82"/>
      <c r="Y1567" s="82"/>
      <c r="Z1567" s="82"/>
      <c r="AA1567" s="82"/>
      <c r="AB1567" s="82"/>
    </row>
    <row r="1568" spans="1:28" s="85" customFormat="1" x14ac:dyDescent="0.25">
      <c r="A1568" s="82"/>
      <c r="B1568" s="82"/>
      <c r="C1568" s="82"/>
      <c r="D1568" s="729"/>
      <c r="E1568" s="371" t="s">
        <v>49</v>
      </c>
      <c r="F1568" s="372">
        <v>23</v>
      </c>
      <c r="G1568" s="373">
        <v>6</v>
      </c>
      <c r="H1568" s="374">
        <v>10</v>
      </c>
      <c r="I1568" s="375">
        <v>1.37</v>
      </c>
      <c r="J1568" s="376">
        <f t="shared" si="93"/>
        <v>8.2200000000000006</v>
      </c>
      <c r="K1568" s="66">
        <f t="shared" si="221"/>
        <v>0</v>
      </c>
      <c r="L1568" s="63">
        <f t="shared" si="222"/>
        <v>0</v>
      </c>
      <c r="M1568" s="63">
        <f t="shared" si="223"/>
        <v>0</v>
      </c>
      <c r="N1568" s="63">
        <f t="shared" si="224"/>
        <v>5.0717400000000001</v>
      </c>
      <c r="O1568" s="63">
        <f t="shared" si="225"/>
        <v>0</v>
      </c>
      <c r="P1568" s="63">
        <f t="shared" si="226"/>
        <v>0</v>
      </c>
      <c r="Q1568" s="561">
        <f t="shared" si="227"/>
        <v>0</v>
      </c>
      <c r="R1568" s="174"/>
      <c r="T1568" s="82"/>
      <c r="U1568" s="82"/>
      <c r="V1568" s="82"/>
      <c r="W1568" s="82"/>
      <c r="X1568" s="82"/>
      <c r="Y1568" s="82"/>
      <c r="Z1568" s="82"/>
      <c r="AA1568" s="82"/>
      <c r="AB1568" s="82"/>
    </row>
    <row r="1569" spans="1:28" s="85" customFormat="1" x14ac:dyDescent="0.25">
      <c r="A1569" s="82"/>
      <c r="B1569" s="82"/>
      <c r="C1569" s="82"/>
      <c r="D1569" s="729"/>
      <c r="E1569" s="371" t="s">
        <v>113</v>
      </c>
      <c r="F1569" s="372">
        <v>8</v>
      </c>
      <c r="G1569" s="373">
        <v>30</v>
      </c>
      <c r="H1569" s="374">
        <v>5</v>
      </c>
      <c r="I1569" s="375">
        <v>0.24</v>
      </c>
      <c r="J1569" s="376">
        <f t="shared" si="93"/>
        <v>7.1999999999999993</v>
      </c>
      <c r="K1569" s="66">
        <f t="shared" si="221"/>
        <v>1.1087999999999998</v>
      </c>
      <c r="L1569" s="63">
        <f t="shared" si="222"/>
        <v>0</v>
      </c>
      <c r="M1569" s="63">
        <f t="shared" si="223"/>
        <v>0</v>
      </c>
      <c r="N1569" s="63">
        <f t="shared" si="224"/>
        <v>0</v>
      </c>
      <c r="O1569" s="63">
        <f t="shared" si="225"/>
        <v>0</v>
      </c>
      <c r="P1569" s="63">
        <f t="shared" si="226"/>
        <v>0</v>
      </c>
      <c r="Q1569" s="561">
        <f t="shared" si="227"/>
        <v>0</v>
      </c>
      <c r="R1569" s="174"/>
      <c r="T1569" s="82"/>
      <c r="U1569" s="82"/>
      <c r="V1569" s="82"/>
      <c r="W1569" s="82"/>
      <c r="X1569" s="82"/>
      <c r="Y1569" s="82"/>
      <c r="Z1569" s="82"/>
      <c r="AA1569" s="82"/>
      <c r="AB1569" s="82"/>
    </row>
    <row r="1570" spans="1:28" s="85" customFormat="1" x14ac:dyDescent="0.25">
      <c r="A1570" s="82"/>
      <c r="B1570" s="82"/>
      <c r="C1570" s="82"/>
      <c r="D1570" s="729"/>
      <c r="E1570" s="371" t="s">
        <v>113</v>
      </c>
      <c r="F1570" s="372">
        <v>11</v>
      </c>
      <c r="G1570" s="373">
        <v>25</v>
      </c>
      <c r="H1570" s="374">
        <v>5</v>
      </c>
      <c r="I1570" s="375">
        <v>0.97</v>
      </c>
      <c r="J1570" s="376">
        <f t="shared" si="93"/>
        <v>24.25</v>
      </c>
      <c r="K1570" s="66">
        <f t="shared" si="221"/>
        <v>3.7345000000000002</v>
      </c>
      <c r="L1570" s="63">
        <f t="shared" si="222"/>
        <v>0</v>
      </c>
      <c r="M1570" s="63">
        <f t="shared" si="223"/>
        <v>0</v>
      </c>
      <c r="N1570" s="63">
        <f t="shared" si="224"/>
        <v>0</v>
      </c>
      <c r="O1570" s="63">
        <f t="shared" si="225"/>
        <v>0</v>
      </c>
      <c r="P1570" s="63">
        <f t="shared" si="226"/>
        <v>0</v>
      </c>
      <c r="Q1570" s="561">
        <f t="shared" si="227"/>
        <v>0</v>
      </c>
      <c r="R1570" s="174"/>
      <c r="T1570" s="82"/>
      <c r="U1570" s="82"/>
      <c r="V1570" s="82"/>
      <c r="W1570" s="82"/>
      <c r="X1570" s="82"/>
      <c r="Y1570" s="82"/>
      <c r="Z1570" s="82"/>
      <c r="AA1570" s="82"/>
      <c r="AB1570" s="82"/>
    </row>
    <row r="1571" spans="1:28" s="85" customFormat="1" x14ac:dyDescent="0.25">
      <c r="A1571" s="82"/>
      <c r="B1571" s="82"/>
      <c r="C1571" s="82"/>
      <c r="D1571" s="729"/>
      <c r="E1571" s="371" t="s">
        <v>113</v>
      </c>
      <c r="F1571" s="372">
        <v>12</v>
      </c>
      <c r="G1571" s="373">
        <v>10</v>
      </c>
      <c r="H1571" s="374">
        <v>5</v>
      </c>
      <c r="I1571" s="375">
        <v>0.64</v>
      </c>
      <c r="J1571" s="376">
        <f t="shared" si="93"/>
        <v>6.4</v>
      </c>
      <c r="K1571" s="66">
        <f t="shared" si="221"/>
        <v>0.98560000000000003</v>
      </c>
      <c r="L1571" s="63">
        <f t="shared" si="222"/>
        <v>0</v>
      </c>
      <c r="M1571" s="63">
        <f t="shared" si="223"/>
        <v>0</v>
      </c>
      <c r="N1571" s="63">
        <f t="shared" si="224"/>
        <v>0</v>
      </c>
      <c r="O1571" s="63">
        <f t="shared" si="225"/>
        <v>0</v>
      </c>
      <c r="P1571" s="63">
        <f t="shared" si="226"/>
        <v>0</v>
      </c>
      <c r="Q1571" s="561">
        <f t="shared" si="227"/>
        <v>0</v>
      </c>
      <c r="R1571" s="174"/>
      <c r="T1571" s="82"/>
      <c r="U1571" s="82"/>
      <c r="V1571" s="82"/>
      <c r="W1571" s="82"/>
      <c r="X1571" s="82"/>
      <c r="Y1571" s="82"/>
      <c r="Z1571" s="82"/>
      <c r="AA1571" s="82"/>
      <c r="AB1571" s="82"/>
    </row>
    <row r="1572" spans="1:28" s="85" customFormat="1" x14ac:dyDescent="0.25">
      <c r="A1572" s="82"/>
      <c r="B1572" s="82"/>
      <c r="C1572" s="82"/>
      <c r="D1572" s="729"/>
      <c r="E1572" s="371" t="s">
        <v>113</v>
      </c>
      <c r="F1572" s="372">
        <v>17</v>
      </c>
      <c r="G1572" s="373">
        <v>6</v>
      </c>
      <c r="H1572" s="374">
        <v>10</v>
      </c>
      <c r="I1572" s="375">
        <v>3.78</v>
      </c>
      <c r="J1572" s="376">
        <f t="shared" si="93"/>
        <v>22.68</v>
      </c>
      <c r="K1572" s="66">
        <f t="shared" si="221"/>
        <v>0</v>
      </c>
      <c r="L1572" s="63">
        <f t="shared" si="222"/>
        <v>0</v>
      </c>
      <c r="M1572" s="63">
        <f t="shared" si="223"/>
        <v>0</v>
      </c>
      <c r="N1572" s="63">
        <f t="shared" si="224"/>
        <v>13.99356</v>
      </c>
      <c r="O1572" s="63">
        <f t="shared" si="225"/>
        <v>0</v>
      </c>
      <c r="P1572" s="63">
        <f t="shared" si="226"/>
        <v>0</v>
      </c>
      <c r="Q1572" s="561">
        <f t="shared" si="227"/>
        <v>0</v>
      </c>
      <c r="R1572" s="174"/>
      <c r="T1572" s="82"/>
      <c r="U1572" s="82"/>
      <c r="V1572" s="82"/>
      <c r="W1572" s="82"/>
      <c r="X1572" s="82"/>
      <c r="Y1572" s="82"/>
      <c r="Z1572" s="82"/>
      <c r="AA1572" s="82"/>
      <c r="AB1572" s="82"/>
    </row>
    <row r="1573" spans="1:28" s="85" customFormat="1" x14ac:dyDescent="0.25">
      <c r="A1573" s="82"/>
      <c r="B1573" s="82"/>
      <c r="C1573" s="82"/>
      <c r="D1573" s="729"/>
      <c r="E1573" s="396" t="s">
        <v>184</v>
      </c>
      <c r="F1573" s="403">
        <v>9</v>
      </c>
      <c r="G1573" s="397">
        <v>10</v>
      </c>
      <c r="H1573" s="398">
        <v>5</v>
      </c>
      <c r="I1573" s="399">
        <v>0.24</v>
      </c>
      <c r="J1573" s="400">
        <f t="shared" si="93"/>
        <v>2.4</v>
      </c>
      <c r="K1573" s="401">
        <f t="shared" si="221"/>
        <v>0.36959999999999998</v>
      </c>
      <c r="L1573" s="196">
        <f t="shared" si="222"/>
        <v>0</v>
      </c>
      <c r="M1573" s="196">
        <f t="shared" si="223"/>
        <v>0</v>
      </c>
      <c r="N1573" s="196">
        <f t="shared" si="224"/>
        <v>0</v>
      </c>
      <c r="O1573" s="196">
        <f t="shared" si="225"/>
        <v>0</v>
      </c>
      <c r="P1573" s="196">
        <f t="shared" si="226"/>
        <v>0</v>
      </c>
      <c r="Q1573" s="566">
        <f t="shared" si="227"/>
        <v>0</v>
      </c>
      <c r="R1573" s="538"/>
      <c r="T1573" s="82"/>
      <c r="U1573" s="82"/>
      <c r="V1573" s="82"/>
      <c r="W1573" s="82"/>
      <c r="X1573" s="82"/>
      <c r="Y1573" s="82"/>
      <c r="Z1573" s="82"/>
      <c r="AA1573" s="82"/>
      <c r="AB1573" s="82"/>
    </row>
    <row r="1574" spans="1:28" s="85" customFormat="1" x14ac:dyDescent="0.25">
      <c r="A1574" s="82"/>
      <c r="B1574" s="82"/>
      <c r="C1574" s="82"/>
      <c r="D1574" s="729"/>
      <c r="E1574" s="371" t="s">
        <v>184</v>
      </c>
      <c r="F1574" s="372">
        <v>10</v>
      </c>
      <c r="G1574" s="373">
        <v>8</v>
      </c>
      <c r="H1574" s="374">
        <v>5</v>
      </c>
      <c r="I1574" s="375">
        <v>0.97</v>
      </c>
      <c r="J1574" s="376">
        <f t="shared" si="93"/>
        <v>7.76</v>
      </c>
      <c r="K1574" s="66">
        <f t="shared" si="221"/>
        <v>1.1950399999999999</v>
      </c>
      <c r="L1574" s="63">
        <f t="shared" si="222"/>
        <v>0</v>
      </c>
      <c r="M1574" s="63">
        <f t="shared" si="223"/>
        <v>0</v>
      </c>
      <c r="N1574" s="63">
        <f t="shared" si="224"/>
        <v>0</v>
      </c>
      <c r="O1574" s="63">
        <f t="shared" si="225"/>
        <v>0</v>
      </c>
      <c r="P1574" s="63">
        <f t="shared" si="226"/>
        <v>0</v>
      </c>
      <c r="Q1574" s="562">
        <f t="shared" si="227"/>
        <v>0</v>
      </c>
      <c r="R1574" s="377"/>
      <c r="T1574" s="82"/>
      <c r="U1574" s="82"/>
      <c r="V1574" s="82"/>
      <c r="W1574" s="82"/>
      <c r="X1574" s="82"/>
      <c r="Y1574" s="82"/>
      <c r="Z1574" s="82"/>
      <c r="AA1574" s="82"/>
      <c r="AB1574" s="82"/>
    </row>
    <row r="1575" spans="1:28" s="85" customFormat="1" x14ac:dyDescent="0.25">
      <c r="A1575" s="82"/>
      <c r="B1575" s="82"/>
      <c r="C1575" s="82"/>
      <c r="D1575" s="729"/>
      <c r="E1575" s="371" t="s">
        <v>184</v>
      </c>
      <c r="F1575" s="372">
        <v>11</v>
      </c>
      <c r="G1575" s="373">
        <v>4</v>
      </c>
      <c r="H1575" s="374">
        <v>5</v>
      </c>
      <c r="I1575" s="375">
        <v>0.64</v>
      </c>
      <c r="J1575" s="376">
        <f t="shared" si="93"/>
        <v>2.56</v>
      </c>
      <c r="K1575" s="66">
        <f t="shared" si="221"/>
        <v>0.39423999999999998</v>
      </c>
      <c r="L1575" s="63">
        <f t="shared" si="222"/>
        <v>0</v>
      </c>
      <c r="M1575" s="63">
        <f t="shared" si="223"/>
        <v>0</v>
      </c>
      <c r="N1575" s="63">
        <f t="shared" si="224"/>
        <v>0</v>
      </c>
      <c r="O1575" s="63">
        <f t="shared" si="225"/>
        <v>0</v>
      </c>
      <c r="P1575" s="63">
        <f t="shared" si="226"/>
        <v>0</v>
      </c>
      <c r="Q1575" s="562">
        <f t="shared" si="227"/>
        <v>0</v>
      </c>
      <c r="R1575" s="377"/>
      <c r="T1575" s="82"/>
      <c r="U1575" s="82"/>
      <c r="V1575" s="82"/>
      <c r="W1575" s="82"/>
      <c r="X1575" s="82"/>
      <c r="Y1575" s="82"/>
      <c r="Z1575" s="82"/>
      <c r="AA1575" s="82"/>
      <c r="AB1575" s="82"/>
    </row>
    <row r="1576" spans="1:28" s="85" customFormat="1" ht="13.8" thickBot="1" x14ac:dyDescent="0.3">
      <c r="A1576" s="82"/>
      <c r="B1576" s="82"/>
      <c r="C1576" s="82"/>
      <c r="D1576" s="731"/>
      <c r="E1576" s="390" t="s">
        <v>184</v>
      </c>
      <c r="F1576" s="391">
        <v>38</v>
      </c>
      <c r="G1576" s="392">
        <v>6</v>
      </c>
      <c r="H1576" s="393">
        <v>10</v>
      </c>
      <c r="I1576" s="394">
        <v>1.02</v>
      </c>
      <c r="J1576" s="395">
        <f t="shared" si="93"/>
        <v>6.12</v>
      </c>
      <c r="K1576" s="221">
        <f t="shared" si="221"/>
        <v>0</v>
      </c>
      <c r="L1576" s="222">
        <f t="shared" si="222"/>
        <v>0</v>
      </c>
      <c r="M1576" s="222">
        <f t="shared" si="223"/>
        <v>0</v>
      </c>
      <c r="N1576" s="222">
        <f t="shared" si="224"/>
        <v>3.7760400000000001</v>
      </c>
      <c r="O1576" s="222">
        <f t="shared" si="225"/>
        <v>0</v>
      </c>
      <c r="P1576" s="222">
        <f t="shared" si="226"/>
        <v>0</v>
      </c>
      <c r="Q1576" s="564">
        <f t="shared" si="227"/>
        <v>0</v>
      </c>
      <c r="R1576" s="539"/>
      <c r="T1576" s="82"/>
      <c r="U1576" s="82"/>
      <c r="V1576" s="82"/>
      <c r="W1576" s="82"/>
      <c r="X1576" s="82"/>
      <c r="Y1576" s="82"/>
      <c r="Z1576" s="82"/>
      <c r="AA1576" s="82"/>
      <c r="AB1576" s="82"/>
    </row>
    <row r="1577" spans="1:28" s="85" customFormat="1" ht="13.8" thickTop="1" x14ac:dyDescent="0.25">
      <c r="A1577" s="82"/>
      <c r="B1577" s="82"/>
      <c r="C1577" s="82"/>
      <c r="D1577" s="728" t="s">
        <v>2019</v>
      </c>
      <c r="E1577" s="384" t="s">
        <v>49</v>
      </c>
      <c r="F1577" s="385">
        <v>5</v>
      </c>
      <c r="G1577" s="386">
        <f>6*8</f>
        <v>48</v>
      </c>
      <c r="H1577" s="387">
        <v>5</v>
      </c>
      <c r="I1577" s="388">
        <v>0.65</v>
      </c>
      <c r="J1577" s="389">
        <f t="shared" si="93"/>
        <v>31.200000000000003</v>
      </c>
      <c r="K1577" s="218">
        <f t="shared" si="221"/>
        <v>4.8048000000000002</v>
      </c>
      <c r="L1577" s="219">
        <f t="shared" si="222"/>
        <v>0</v>
      </c>
      <c r="M1577" s="219">
        <f t="shared" si="223"/>
        <v>0</v>
      </c>
      <c r="N1577" s="219">
        <f t="shared" si="224"/>
        <v>0</v>
      </c>
      <c r="O1577" s="219">
        <f t="shared" si="225"/>
        <v>0</v>
      </c>
      <c r="P1577" s="219">
        <f t="shared" si="226"/>
        <v>0</v>
      </c>
      <c r="Q1577" s="563">
        <f t="shared" si="227"/>
        <v>0</v>
      </c>
      <c r="R1577" s="220"/>
      <c r="T1577" s="82"/>
      <c r="U1577" s="82"/>
      <c r="V1577" s="82"/>
      <c r="W1577" s="82"/>
      <c r="X1577" s="82"/>
      <c r="Y1577" s="82"/>
      <c r="Z1577" s="82"/>
      <c r="AA1577" s="82"/>
      <c r="AB1577" s="82"/>
    </row>
    <row r="1578" spans="1:28" s="85" customFormat="1" x14ac:dyDescent="0.25">
      <c r="A1578" s="82"/>
      <c r="B1578" s="82"/>
      <c r="C1578" s="82"/>
      <c r="D1578" s="729"/>
      <c r="E1578" s="371" t="s">
        <v>49</v>
      </c>
      <c r="F1578" s="372">
        <v>7</v>
      </c>
      <c r="G1578" s="373">
        <f>6*9</f>
        <v>54</v>
      </c>
      <c r="H1578" s="374">
        <v>5</v>
      </c>
      <c r="I1578" s="375">
        <v>0.26</v>
      </c>
      <c r="J1578" s="376">
        <f t="shared" si="93"/>
        <v>14.040000000000001</v>
      </c>
      <c r="K1578" s="66">
        <f t="shared" si="221"/>
        <v>2.1621600000000001</v>
      </c>
      <c r="L1578" s="63">
        <f t="shared" si="222"/>
        <v>0</v>
      </c>
      <c r="M1578" s="63">
        <f t="shared" si="223"/>
        <v>0</v>
      </c>
      <c r="N1578" s="63">
        <f t="shared" si="224"/>
        <v>0</v>
      </c>
      <c r="O1578" s="63">
        <f t="shared" si="225"/>
        <v>0</v>
      </c>
      <c r="P1578" s="63">
        <f t="shared" si="226"/>
        <v>0</v>
      </c>
      <c r="Q1578" s="561">
        <f t="shared" si="227"/>
        <v>0</v>
      </c>
      <c r="R1578" s="174"/>
      <c r="T1578" s="82"/>
      <c r="U1578" s="82"/>
      <c r="V1578" s="82"/>
      <c r="W1578" s="82"/>
      <c r="X1578" s="82"/>
      <c r="Y1578" s="82"/>
      <c r="Z1578" s="82"/>
      <c r="AA1578" s="82"/>
      <c r="AB1578" s="82"/>
    </row>
    <row r="1579" spans="1:28" s="85" customFormat="1" x14ac:dyDescent="0.25">
      <c r="A1579" s="82"/>
      <c r="B1579" s="82"/>
      <c r="C1579" s="82"/>
      <c r="D1579" s="729"/>
      <c r="E1579" s="371" t="s">
        <v>49</v>
      </c>
      <c r="F1579" s="372">
        <v>8</v>
      </c>
      <c r="G1579" s="373">
        <f>6*5</f>
        <v>30</v>
      </c>
      <c r="H1579" s="374">
        <v>5</v>
      </c>
      <c r="I1579" s="375">
        <v>0.95</v>
      </c>
      <c r="J1579" s="376">
        <f t="shared" si="93"/>
        <v>28.5</v>
      </c>
      <c r="K1579" s="66">
        <f t="shared" si="221"/>
        <v>4.3890000000000002</v>
      </c>
      <c r="L1579" s="63">
        <f t="shared" si="222"/>
        <v>0</v>
      </c>
      <c r="M1579" s="63">
        <f t="shared" si="223"/>
        <v>0</v>
      </c>
      <c r="N1579" s="63">
        <f t="shared" si="224"/>
        <v>0</v>
      </c>
      <c r="O1579" s="63">
        <f t="shared" si="225"/>
        <v>0</v>
      </c>
      <c r="P1579" s="63">
        <f t="shared" si="226"/>
        <v>0</v>
      </c>
      <c r="Q1579" s="561">
        <f t="shared" si="227"/>
        <v>0</v>
      </c>
      <c r="R1579" s="174"/>
      <c r="T1579" s="82"/>
      <c r="U1579" s="82"/>
      <c r="V1579" s="82"/>
      <c r="W1579" s="82"/>
      <c r="X1579" s="82"/>
      <c r="Y1579" s="82"/>
      <c r="Z1579" s="82"/>
      <c r="AA1579" s="82"/>
      <c r="AB1579" s="82"/>
    </row>
    <row r="1580" spans="1:28" s="85" customFormat="1" x14ac:dyDescent="0.25">
      <c r="A1580" s="82"/>
      <c r="B1580" s="82"/>
      <c r="C1580" s="82"/>
      <c r="D1580" s="729"/>
      <c r="E1580" s="371" t="s">
        <v>49</v>
      </c>
      <c r="F1580" s="372">
        <v>23</v>
      </c>
      <c r="G1580" s="373">
        <f>6*6</f>
        <v>36</v>
      </c>
      <c r="H1580" s="374">
        <v>10</v>
      </c>
      <c r="I1580" s="375">
        <v>1.37</v>
      </c>
      <c r="J1580" s="376">
        <f t="shared" si="93"/>
        <v>49.320000000000007</v>
      </c>
      <c r="K1580" s="66">
        <f t="shared" si="221"/>
        <v>0</v>
      </c>
      <c r="L1580" s="63">
        <f t="shared" si="222"/>
        <v>0</v>
      </c>
      <c r="M1580" s="63">
        <f t="shared" si="223"/>
        <v>0</v>
      </c>
      <c r="N1580" s="63">
        <f t="shared" si="224"/>
        <v>30.430440000000004</v>
      </c>
      <c r="O1580" s="63">
        <f t="shared" si="225"/>
        <v>0</v>
      </c>
      <c r="P1580" s="63">
        <f t="shared" si="226"/>
        <v>0</v>
      </c>
      <c r="Q1580" s="561">
        <f t="shared" si="227"/>
        <v>0</v>
      </c>
      <c r="R1580" s="174"/>
      <c r="T1580" s="82"/>
      <c r="U1580" s="82"/>
      <c r="V1580" s="82"/>
      <c r="W1580" s="82"/>
      <c r="X1580" s="82"/>
      <c r="Y1580" s="82"/>
      <c r="Z1580" s="82"/>
      <c r="AA1580" s="82"/>
      <c r="AB1580" s="82"/>
    </row>
    <row r="1581" spans="1:28" s="85" customFormat="1" x14ac:dyDescent="0.25">
      <c r="A1581" s="82"/>
      <c r="B1581" s="82"/>
      <c r="C1581" s="82"/>
      <c r="D1581" s="729"/>
      <c r="E1581" s="371" t="s">
        <v>113</v>
      </c>
      <c r="F1581" s="372">
        <v>4</v>
      </c>
      <c r="G1581" s="373">
        <f>6*125</f>
        <v>750</v>
      </c>
      <c r="H1581" s="374">
        <v>5</v>
      </c>
      <c r="I1581" s="375">
        <v>0.28999999999999998</v>
      </c>
      <c r="J1581" s="376">
        <f t="shared" si="93"/>
        <v>217.49999999999997</v>
      </c>
      <c r="K1581" s="66">
        <f t="shared" si="221"/>
        <v>33.494999999999997</v>
      </c>
      <c r="L1581" s="63">
        <f t="shared" si="222"/>
        <v>0</v>
      </c>
      <c r="M1581" s="63">
        <f t="shared" si="223"/>
        <v>0</v>
      </c>
      <c r="N1581" s="63">
        <f t="shared" si="224"/>
        <v>0</v>
      </c>
      <c r="O1581" s="63">
        <f t="shared" si="225"/>
        <v>0</v>
      </c>
      <c r="P1581" s="63">
        <f t="shared" si="226"/>
        <v>0</v>
      </c>
      <c r="Q1581" s="561">
        <f t="shared" si="227"/>
        <v>0</v>
      </c>
      <c r="R1581" s="174"/>
      <c r="T1581" s="82"/>
      <c r="U1581" s="82"/>
      <c r="V1581" s="82"/>
      <c r="W1581" s="82"/>
      <c r="X1581" s="82"/>
      <c r="Y1581" s="82"/>
      <c r="Z1581" s="82"/>
      <c r="AA1581" s="82"/>
      <c r="AB1581" s="82"/>
    </row>
    <row r="1582" spans="1:28" s="85" customFormat="1" x14ac:dyDescent="0.25">
      <c r="A1582" s="82"/>
      <c r="B1582" s="82"/>
      <c r="C1582" s="82"/>
      <c r="D1582" s="729"/>
      <c r="E1582" s="371" t="s">
        <v>113</v>
      </c>
      <c r="F1582" s="372">
        <v>5</v>
      </c>
      <c r="G1582" s="373">
        <f>6*25</f>
        <v>150</v>
      </c>
      <c r="H1582" s="374">
        <v>5</v>
      </c>
      <c r="I1582" s="375">
        <v>1.07</v>
      </c>
      <c r="J1582" s="376">
        <f t="shared" si="93"/>
        <v>160.5</v>
      </c>
      <c r="K1582" s="66">
        <f t="shared" si="221"/>
        <v>24.716999999999999</v>
      </c>
      <c r="L1582" s="63">
        <f t="shared" si="222"/>
        <v>0</v>
      </c>
      <c r="M1582" s="63">
        <f t="shared" si="223"/>
        <v>0</v>
      </c>
      <c r="N1582" s="63">
        <f t="shared" si="224"/>
        <v>0</v>
      </c>
      <c r="O1582" s="63">
        <f t="shared" si="225"/>
        <v>0</v>
      </c>
      <c r="P1582" s="63">
        <f t="shared" si="226"/>
        <v>0</v>
      </c>
      <c r="Q1582" s="561">
        <f t="shared" si="227"/>
        <v>0</v>
      </c>
      <c r="R1582" s="174"/>
      <c r="T1582" s="82"/>
      <c r="U1582" s="82"/>
      <c r="V1582" s="82"/>
      <c r="W1582" s="82"/>
      <c r="X1582" s="82"/>
      <c r="Y1582" s="82"/>
      <c r="Z1582" s="82"/>
      <c r="AA1582" s="82"/>
      <c r="AB1582" s="82"/>
    </row>
    <row r="1583" spans="1:28" s="85" customFormat="1" x14ac:dyDescent="0.25">
      <c r="A1583" s="82"/>
      <c r="B1583" s="82"/>
      <c r="C1583" s="82"/>
      <c r="D1583" s="729"/>
      <c r="E1583" s="371" t="s">
        <v>113</v>
      </c>
      <c r="F1583" s="372">
        <v>6</v>
      </c>
      <c r="G1583" s="373">
        <f>6*10</f>
        <v>60</v>
      </c>
      <c r="H1583" s="374">
        <v>5</v>
      </c>
      <c r="I1583" s="375">
        <v>0.74</v>
      </c>
      <c r="J1583" s="376">
        <f t="shared" si="93"/>
        <v>44.4</v>
      </c>
      <c r="K1583" s="66">
        <f t="shared" si="221"/>
        <v>6.8376000000000001</v>
      </c>
      <c r="L1583" s="63">
        <f t="shared" si="222"/>
        <v>0</v>
      </c>
      <c r="M1583" s="63">
        <f t="shared" si="223"/>
        <v>0</v>
      </c>
      <c r="N1583" s="63">
        <f t="shared" si="224"/>
        <v>0</v>
      </c>
      <c r="O1583" s="63">
        <f t="shared" si="225"/>
        <v>0</v>
      </c>
      <c r="P1583" s="63">
        <f t="shared" si="226"/>
        <v>0</v>
      </c>
      <c r="Q1583" s="561">
        <f t="shared" si="227"/>
        <v>0</v>
      </c>
      <c r="R1583" s="174"/>
      <c r="T1583" s="82"/>
      <c r="U1583" s="82"/>
      <c r="V1583" s="82"/>
      <c r="W1583" s="82"/>
      <c r="X1583" s="82"/>
      <c r="Y1583" s="82"/>
      <c r="Z1583" s="82"/>
      <c r="AA1583" s="82"/>
      <c r="AB1583" s="82"/>
    </row>
    <row r="1584" spans="1:28" s="85" customFormat="1" x14ac:dyDescent="0.25">
      <c r="A1584" s="82"/>
      <c r="B1584" s="82"/>
      <c r="C1584" s="82"/>
      <c r="D1584" s="729"/>
      <c r="E1584" s="371" t="s">
        <v>113</v>
      </c>
      <c r="F1584" s="372">
        <v>17</v>
      </c>
      <c r="G1584" s="373">
        <f>6*6</f>
        <v>36</v>
      </c>
      <c r="H1584" s="374">
        <v>10</v>
      </c>
      <c r="I1584" s="375">
        <v>3.78</v>
      </c>
      <c r="J1584" s="376">
        <f t="shared" si="93"/>
        <v>136.07999999999998</v>
      </c>
      <c r="K1584" s="66">
        <f t="shared" si="221"/>
        <v>0</v>
      </c>
      <c r="L1584" s="63">
        <f t="shared" si="222"/>
        <v>0</v>
      </c>
      <c r="M1584" s="63">
        <f t="shared" si="223"/>
        <v>0</v>
      </c>
      <c r="N1584" s="63">
        <f t="shared" si="224"/>
        <v>83.961359999999985</v>
      </c>
      <c r="O1584" s="63">
        <f t="shared" si="225"/>
        <v>0</v>
      </c>
      <c r="P1584" s="63">
        <f t="shared" si="226"/>
        <v>0</v>
      </c>
      <c r="Q1584" s="561">
        <f t="shared" si="227"/>
        <v>0</v>
      </c>
      <c r="R1584" s="174"/>
      <c r="T1584" s="82"/>
      <c r="U1584" s="82"/>
      <c r="V1584" s="82"/>
      <c r="W1584" s="82"/>
      <c r="X1584" s="82"/>
      <c r="Y1584" s="82"/>
      <c r="Z1584" s="82"/>
      <c r="AA1584" s="82"/>
      <c r="AB1584" s="82"/>
    </row>
    <row r="1585" spans="1:28" s="85" customFormat="1" x14ac:dyDescent="0.25">
      <c r="A1585" s="82"/>
      <c r="B1585" s="82"/>
      <c r="C1585" s="82"/>
      <c r="D1585" s="729"/>
      <c r="E1585" s="396" t="s">
        <v>184</v>
      </c>
      <c r="F1585" s="403">
        <v>3</v>
      </c>
      <c r="G1585" s="397">
        <f>6*10</f>
        <v>60</v>
      </c>
      <c r="H1585" s="398">
        <v>5</v>
      </c>
      <c r="I1585" s="399">
        <v>0.28999999999999998</v>
      </c>
      <c r="J1585" s="400">
        <f t="shared" si="93"/>
        <v>17.399999999999999</v>
      </c>
      <c r="K1585" s="401">
        <f t="shared" si="221"/>
        <v>2.6795999999999998</v>
      </c>
      <c r="L1585" s="196">
        <f t="shared" si="222"/>
        <v>0</v>
      </c>
      <c r="M1585" s="196">
        <f t="shared" si="223"/>
        <v>0</v>
      </c>
      <c r="N1585" s="196">
        <f t="shared" si="224"/>
        <v>0</v>
      </c>
      <c r="O1585" s="196">
        <f t="shared" si="225"/>
        <v>0</v>
      </c>
      <c r="P1585" s="196">
        <f t="shared" si="226"/>
        <v>0</v>
      </c>
      <c r="Q1585" s="566">
        <f t="shared" si="227"/>
        <v>0</v>
      </c>
      <c r="R1585" s="538"/>
      <c r="T1585" s="82"/>
      <c r="U1585" s="82"/>
      <c r="V1585" s="82"/>
      <c r="W1585" s="82"/>
      <c r="X1585" s="82"/>
      <c r="Y1585" s="82"/>
      <c r="Z1585" s="82"/>
      <c r="AA1585" s="82"/>
      <c r="AB1585" s="82"/>
    </row>
    <row r="1586" spans="1:28" s="85" customFormat="1" x14ac:dyDescent="0.25">
      <c r="A1586" s="82"/>
      <c r="B1586" s="82"/>
      <c r="C1586" s="82"/>
      <c r="D1586" s="729"/>
      <c r="E1586" s="371" t="s">
        <v>184</v>
      </c>
      <c r="F1586" s="372">
        <v>4</v>
      </c>
      <c r="G1586" s="373">
        <f>6*8</f>
        <v>48</v>
      </c>
      <c r="H1586" s="374">
        <v>5</v>
      </c>
      <c r="I1586" s="375">
        <v>1.07</v>
      </c>
      <c r="J1586" s="376">
        <f t="shared" si="93"/>
        <v>51.36</v>
      </c>
      <c r="K1586" s="66">
        <f t="shared" si="221"/>
        <v>7.90944</v>
      </c>
      <c r="L1586" s="63">
        <f t="shared" si="222"/>
        <v>0</v>
      </c>
      <c r="M1586" s="63">
        <f t="shared" si="223"/>
        <v>0</v>
      </c>
      <c r="N1586" s="63">
        <f t="shared" si="224"/>
        <v>0</v>
      </c>
      <c r="O1586" s="63">
        <f t="shared" si="225"/>
        <v>0</v>
      </c>
      <c r="P1586" s="63">
        <f t="shared" si="226"/>
        <v>0</v>
      </c>
      <c r="Q1586" s="562">
        <f t="shared" si="227"/>
        <v>0</v>
      </c>
      <c r="R1586" s="377"/>
      <c r="T1586" s="82"/>
      <c r="U1586" s="82"/>
      <c r="V1586" s="82"/>
      <c r="W1586" s="82"/>
      <c r="X1586" s="82"/>
      <c r="Y1586" s="82"/>
      <c r="Z1586" s="82"/>
      <c r="AA1586" s="82"/>
      <c r="AB1586" s="82"/>
    </row>
    <row r="1587" spans="1:28" s="85" customFormat="1" x14ac:dyDescent="0.25">
      <c r="A1587" s="82"/>
      <c r="B1587" s="82"/>
      <c r="C1587" s="82"/>
      <c r="D1587" s="729"/>
      <c r="E1587" s="371" t="s">
        <v>184</v>
      </c>
      <c r="F1587" s="372">
        <v>5</v>
      </c>
      <c r="G1587" s="373">
        <f>6*4</f>
        <v>24</v>
      </c>
      <c r="H1587" s="374">
        <v>5</v>
      </c>
      <c r="I1587" s="375">
        <v>0.74</v>
      </c>
      <c r="J1587" s="376">
        <f t="shared" si="93"/>
        <v>17.759999999999998</v>
      </c>
      <c r="K1587" s="66">
        <f t="shared" si="221"/>
        <v>2.7350399999999997</v>
      </c>
      <c r="L1587" s="63">
        <f t="shared" si="222"/>
        <v>0</v>
      </c>
      <c r="M1587" s="63">
        <f t="shared" si="223"/>
        <v>0</v>
      </c>
      <c r="N1587" s="63">
        <f t="shared" si="224"/>
        <v>0</v>
      </c>
      <c r="O1587" s="63">
        <f t="shared" si="225"/>
        <v>0</v>
      </c>
      <c r="P1587" s="63">
        <f t="shared" si="226"/>
        <v>0</v>
      </c>
      <c r="Q1587" s="562">
        <f t="shared" si="227"/>
        <v>0</v>
      </c>
      <c r="R1587" s="377"/>
      <c r="T1587" s="82"/>
      <c r="U1587" s="82"/>
      <c r="V1587" s="82"/>
      <c r="W1587" s="82"/>
      <c r="X1587" s="82"/>
      <c r="Y1587" s="82"/>
      <c r="Z1587" s="82"/>
      <c r="AA1587" s="82"/>
      <c r="AB1587" s="82"/>
    </row>
    <row r="1588" spans="1:28" s="85" customFormat="1" ht="13.8" thickBot="1" x14ac:dyDescent="0.3">
      <c r="A1588" s="82"/>
      <c r="B1588" s="82"/>
      <c r="C1588" s="82"/>
      <c r="D1588" s="731"/>
      <c r="E1588" s="390" t="s">
        <v>184</v>
      </c>
      <c r="F1588" s="391">
        <v>38</v>
      </c>
      <c r="G1588" s="392">
        <f>6*6</f>
        <v>36</v>
      </c>
      <c r="H1588" s="393">
        <v>10</v>
      </c>
      <c r="I1588" s="394">
        <v>1.02</v>
      </c>
      <c r="J1588" s="395">
        <f t="shared" si="93"/>
        <v>36.72</v>
      </c>
      <c r="K1588" s="221">
        <f t="shared" si="221"/>
        <v>0</v>
      </c>
      <c r="L1588" s="222">
        <f t="shared" si="222"/>
        <v>0</v>
      </c>
      <c r="M1588" s="222">
        <f t="shared" si="223"/>
        <v>0</v>
      </c>
      <c r="N1588" s="222">
        <f t="shared" si="224"/>
        <v>22.65624</v>
      </c>
      <c r="O1588" s="222">
        <f t="shared" si="225"/>
        <v>0</v>
      </c>
      <c r="P1588" s="222">
        <f t="shared" si="226"/>
        <v>0</v>
      </c>
      <c r="Q1588" s="564">
        <f t="shared" si="227"/>
        <v>0</v>
      </c>
      <c r="R1588" s="539"/>
      <c r="T1588" s="82"/>
      <c r="U1588" s="82"/>
      <c r="V1588" s="82"/>
      <c r="W1588" s="82"/>
      <c r="X1588" s="82"/>
      <c r="Y1588" s="82"/>
      <c r="Z1588" s="82"/>
      <c r="AA1588" s="82"/>
      <c r="AB1588" s="82"/>
    </row>
    <row r="1589" spans="1:28" s="85" customFormat="1" ht="13.8" thickTop="1" x14ac:dyDescent="0.25">
      <c r="A1589" s="82"/>
      <c r="B1589" s="82"/>
      <c r="C1589" s="82"/>
      <c r="D1589" s="728" t="s">
        <v>2020</v>
      </c>
      <c r="E1589" s="384" t="s">
        <v>49</v>
      </c>
      <c r="F1589" s="385">
        <v>5</v>
      </c>
      <c r="G1589" s="386">
        <f>2*8</f>
        <v>16</v>
      </c>
      <c r="H1589" s="387">
        <v>5</v>
      </c>
      <c r="I1589" s="388">
        <v>0.65</v>
      </c>
      <c r="J1589" s="389">
        <f t="shared" si="93"/>
        <v>10.4</v>
      </c>
      <c r="K1589" s="218">
        <f t="shared" si="221"/>
        <v>1.6016000000000001</v>
      </c>
      <c r="L1589" s="219">
        <f t="shared" si="222"/>
        <v>0</v>
      </c>
      <c r="M1589" s="219">
        <f t="shared" si="223"/>
        <v>0</v>
      </c>
      <c r="N1589" s="219">
        <f t="shared" si="224"/>
        <v>0</v>
      </c>
      <c r="O1589" s="219">
        <f t="shared" si="225"/>
        <v>0</v>
      </c>
      <c r="P1589" s="219">
        <f t="shared" si="226"/>
        <v>0</v>
      </c>
      <c r="Q1589" s="563">
        <f t="shared" si="227"/>
        <v>0</v>
      </c>
      <c r="R1589" s="220"/>
      <c r="T1589" s="82"/>
      <c r="U1589" s="82"/>
      <c r="V1589" s="82"/>
      <c r="W1589" s="82"/>
      <c r="X1589" s="82"/>
      <c r="Y1589" s="82"/>
      <c r="Z1589" s="82"/>
      <c r="AA1589" s="82"/>
      <c r="AB1589" s="82"/>
    </row>
    <row r="1590" spans="1:28" s="85" customFormat="1" x14ac:dyDescent="0.25">
      <c r="A1590" s="82"/>
      <c r="B1590" s="82"/>
      <c r="C1590" s="82"/>
      <c r="D1590" s="729"/>
      <c r="E1590" s="371" t="s">
        <v>49</v>
      </c>
      <c r="F1590" s="372">
        <v>7</v>
      </c>
      <c r="G1590" s="373">
        <f>2*9</f>
        <v>18</v>
      </c>
      <c r="H1590" s="374">
        <v>5</v>
      </c>
      <c r="I1590" s="375">
        <v>0.26</v>
      </c>
      <c r="J1590" s="376">
        <f t="shared" si="93"/>
        <v>4.68</v>
      </c>
      <c r="K1590" s="66">
        <f t="shared" si="221"/>
        <v>0.72071999999999992</v>
      </c>
      <c r="L1590" s="63">
        <f t="shared" si="222"/>
        <v>0</v>
      </c>
      <c r="M1590" s="63">
        <f t="shared" si="223"/>
        <v>0</v>
      </c>
      <c r="N1590" s="63">
        <f t="shared" si="224"/>
        <v>0</v>
      </c>
      <c r="O1590" s="63">
        <f t="shared" si="225"/>
        <v>0</v>
      </c>
      <c r="P1590" s="63">
        <f t="shared" si="226"/>
        <v>0</v>
      </c>
      <c r="Q1590" s="561">
        <f t="shared" si="227"/>
        <v>0</v>
      </c>
      <c r="R1590" s="174"/>
      <c r="T1590" s="82"/>
      <c r="U1590" s="82"/>
      <c r="V1590" s="82"/>
      <c r="W1590" s="82"/>
      <c r="X1590" s="82"/>
      <c r="Y1590" s="82"/>
      <c r="Z1590" s="82"/>
      <c r="AA1590" s="82"/>
      <c r="AB1590" s="82"/>
    </row>
    <row r="1591" spans="1:28" s="85" customFormat="1" x14ac:dyDescent="0.25">
      <c r="A1591" s="82"/>
      <c r="B1591" s="82"/>
      <c r="C1591" s="82"/>
      <c r="D1591" s="729"/>
      <c r="E1591" s="371" t="s">
        <v>49</v>
      </c>
      <c r="F1591" s="372">
        <v>8</v>
      </c>
      <c r="G1591" s="373">
        <f>2*5</f>
        <v>10</v>
      </c>
      <c r="H1591" s="374">
        <v>5</v>
      </c>
      <c r="I1591" s="375">
        <v>0.95</v>
      </c>
      <c r="J1591" s="376">
        <f t="shared" si="93"/>
        <v>9.5</v>
      </c>
      <c r="K1591" s="66">
        <f t="shared" si="221"/>
        <v>1.4630000000000001</v>
      </c>
      <c r="L1591" s="63">
        <f t="shared" si="222"/>
        <v>0</v>
      </c>
      <c r="M1591" s="63">
        <f t="shared" si="223"/>
        <v>0</v>
      </c>
      <c r="N1591" s="63">
        <f t="shared" si="224"/>
        <v>0</v>
      </c>
      <c r="O1591" s="63">
        <f t="shared" si="225"/>
        <v>0</v>
      </c>
      <c r="P1591" s="63">
        <f t="shared" si="226"/>
        <v>0</v>
      </c>
      <c r="Q1591" s="561">
        <f t="shared" si="227"/>
        <v>0</v>
      </c>
      <c r="R1591" s="174"/>
      <c r="T1591" s="82"/>
      <c r="U1591" s="82"/>
      <c r="V1591" s="82"/>
      <c r="W1591" s="82"/>
      <c r="X1591" s="82"/>
      <c r="Y1591" s="82"/>
      <c r="Z1591" s="82"/>
      <c r="AA1591" s="82"/>
      <c r="AB1591" s="82"/>
    </row>
    <row r="1592" spans="1:28" s="85" customFormat="1" x14ac:dyDescent="0.25">
      <c r="A1592" s="82"/>
      <c r="B1592" s="82"/>
      <c r="C1592" s="82"/>
      <c r="D1592" s="729"/>
      <c r="E1592" s="371" t="s">
        <v>49</v>
      </c>
      <c r="F1592" s="372">
        <v>23</v>
      </c>
      <c r="G1592" s="373">
        <f>2*6</f>
        <v>12</v>
      </c>
      <c r="H1592" s="374">
        <v>10</v>
      </c>
      <c r="I1592" s="375">
        <v>1.37</v>
      </c>
      <c r="J1592" s="376">
        <f t="shared" si="93"/>
        <v>16.440000000000001</v>
      </c>
      <c r="K1592" s="66">
        <f t="shared" si="221"/>
        <v>0</v>
      </c>
      <c r="L1592" s="63">
        <f t="shared" si="222"/>
        <v>0</v>
      </c>
      <c r="M1592" s="63">
        <f t="shared" si="223"/>
        <v>0</v>
      </c>
      <c r="N1592" s="63">
        <f t="shared" si="224"/>
        <v>10.14348</v>
      </c>
      <c r="O1592" s="63">
        <f t="shared" si="225"/>
        <v>0</v>
      </c>
      <c r="P1592" s="63">
        <f t="shared" si="226"/>
        <v>0</v>
      </c>
      <c r="Q1592" s="561">
        <f t="shared" si="227"/>
        <v>0</v>
      </c>
      <c r="R1592" s="174"/>
      <c r="T1592" s="82"/>
      <c r="U1592" s="82"/>
      <c r="V1592" s="82"/>
      <c r="W1592" s="82"/>
      <c r="X1592" s="82"/>
      <c r="Y1592" s="82"/>
      <c r="Z1592" s="82"/>
      <c r="AA1592" s="82"/>
      <c r="AB1592" s="82"/>
    </row>
    <row r="1593" spans="1:28" s="85" customFormat="1" x14ac:dyDescent="0.25">
      <c r="A1593" s="82"/>
      <c r="B1593" s="82"/>
      <c r="C1593" s="82"/>
      <c r="D1593" s="729"/>
      <c r="E1593" s="371" t="s">
        <v>113</v>
      </c>
      <c r="F1593" s="372">
        <v>4</v>
      </c>
      <c r="G1593" s="373">
        <f>2*30</f>
        <v>60</v>
      </c>
      <c r="H1593" s="374">
        <v>5</v>
      </c>
      <c r="I1593" s="375">
        <v>0.28999999999999998</v>
      </c>
      <c r="J1593" s="376">
        <f t="shared" si="93"/>
        <v>17.399999999999999</v>
      </c>
      <c r="K1593" s="66">
        <f t="shared" si="221"/>
        <v>2.6795999999999998</v>
      </c>
      <c r="L1593" s="63">
        <f t="shared" si="222"/>
        <v>0</v>
      </c>
      <c r="M1593" s="63">
        <f t="shared" si="223"/>
        <v>0</v>
      </c>
      <c r="N1593" s="63">
        <f t="shared" si="224"/>
        <v>0</v>
      </c>
      <c r="O1593" s="63">
        <f t="shared" si="225"/>
        <v>0</v>
      </c>
      <c r="P1593" s="63">
        <f t="shared" si="226"/>
        <v>0</v>
      </c>
      <c r="Q1593" s="561">
        <f t="shared" si="227"/>
        <v>0</v>
      </c>
      <c r="R1593" s="174"/>
      <c r="T1593" s="82"/>
      <c r="U1593" s="82"/>
      <c r="V1593" s="82"/>
      <c r="W1593" s="82"/>
      <c r="X1593" s="82"/>
      <c r="Y1593" s="82"/>
      <c r="Z1593" s="82"/>
      <c r="AA1593" s="82"/>
      <c r="AB1593" s="82"/>
    </row>
    <row r="1594" spans="1:28" s="85" customFormat="1" x14ac:dyDescent="0.25">
      <c r="A1594" s="82"/>
      <c r="B1594" s="82"/>
      <c r="C1594" s="82"/>
      <c r="D1594" s="729"/>
      <c r="E1594" s="371" t="s">
        <v>113</v>
      </c>
      <c r="F1594" s="372">
        <v>5</v>
      </c>
      <c r="G1594" s="373">
        <f>2*25</f>
        <v>50</v>
      </c>
      <c r="H1594" s="374">
        <v>5</v>
      </c>
      <c r="I1594" s="375">
        <v>1.07</v>
      </c>
      <c r="J1594" s="376">
        <f t="shared" si="93"/>
        <v>53.5</v>
      </c>
      <c r="K1594" s="66">
        <f t="shared" si="221"/>
        <v>8.2390000000000008</v>
      </c>
      <c r="L1594" s="63">
        <f t="shared" si="222"/>
        <v>0</v>
      </c>
      <c r="M1594" s="63">
        <f t="shared" si="223"/>
        <v>0</v>
      </c>
      <c r="N1594" s="63">
        <f t="shared" si="224"/>
        <v>0</v>
      </c>
      <c r="O1594" s="63">
        <f t="shared" si="225"/>
        <v>0</v>
      </c>
      <c r="P1594" s="63">
        <f t="shared" si="226"/>
        <v>0</v>
      </c>
      <c r="Q1594" s="561">
        <f t="shared" si="227"/>
        <v>0</v>
      </c>
      <c r="R1594" s="174"/>
      <c r="T1594" s="82"/>
      <c r="U1594" s="82"/>
      <c r="V1594" s="82"/>
      <c r="W1594" s="82"/>
      <c r="X1594" s="82"/>
      <c r="Y1594" s="82"/>
      <c r="Z1594" s="82"/>
      <c r="AA1594" s="82"/>
      <c r="AB1594" s="82"/>
    </row>
    <row r="1595" spans="1:28" s="85" customFormat="1" x14ac:dyDescent="0.25">
      <c r="A1595" s="82"/>
      <c r="B1595" s="82"/>
      <c r="C1595" s="82"/>
      <c r="D1595" s="729"/>
      <c r="E1595" s="371" t="s">
        <v>113</v>
      </c>
      <c r="F1595" s="372">
        <v>6</v>
      </c>
      <c r="G1595" s="373">
        <f>2*10</f>
        <v>20</v>
      </c>
      <c r="H1595" s="374">
        <v>5</v>
      </c>
      <c r="I1595" s="375">
        <v>0.74</v>
      </c>
      <c r="J1595" s="376">
        <f t="shared" si="93"/>
        <v>14.8</v>
      </c>
      <c r="K1595" s="66">
        <f t="shared" si="221"/>
        <v>2.2791999999999999</v>
      </c>
      <c r="L1595" s="63">
        <f t="shared" si="222"/>
        <v>0</v>
      </c>
      <c r="M1595" s="63">
        <f t="shared" si="223"/>
        <v>0</v>
      </c>
      <c r="N1595" s="63">
        <f t="shared" si="224"/>
        <v>0</v>
      </c>
      <c r="O1595" s="63">
        <f t="shared" si="225"/>
        <v>0</v>
      </c>
      <c r="P1595" s="63">
        <f t="shared" si="226"/>
        <v>0</v>
      </c>
      <c r="Q1595" s="561">
        <f t="shared" si="227"/>
        <v>0</v>
      </c>
      <c r="R1595" s="174"/>
      <c r="T1595" s="82"/>
      <c r="U1595" s="82"/>
      <c r="V1595" s="82"/>
      <c r="W1595" s="82"/>
      <c r="X1595" s="82"/>
      <c r="Y1595" s="82"/>
      <c r="Z1595" s="82"/>
      <c r="AA1595" s="82"/>
      <c r="AB1595" s="82"/>
    </row>
    <row r="1596" spans="1:28" s="85" customFormat="1" ht="13.8" thickBot="1" x14ac:dyDescent="0.3">
      <c r="A1596" s="82"/>
      <c r="B1596" s="82"/>
      <c r="C1596" s="82"/>
      <c r="D1596" s="729"/>
      <c r="E1596" s="371" t="s">
        <v>113</v>
      </c>
      <c r="F1596" s="372">
        <v>19</v>
      </c>
      <c r="G1596" s="373">
        <f>2*6</f>
        <v>12</v>
      </c>
      <c r="H1596" s="374">
        <v>10</v>
      </c>
      <c r="I1596" s="375">
        <v>3.42</v>
      </c>
      <c r="J1596" s="376">
        <f t="shared" si="93"/>
        <v>41.04</v>
      </c>
      <c r="K1596" s="66">
        <f t="shared" si="221"/>
        <v>0</v>
      </c>
      <c r="L1596" s="63">
        <f t="shared" si="222"/>
        <v>0</v>
      </c>
      <c r="M1596" s="63">
        <f t="shared" si="223"/>
        <v>0</v>
      </c>
      <c r="N1596" s="63">
        <f t="shared" si="224"/>
        <v>25.321680000000001</v>
      </c>
      <c r="O1596" s="63">
        <f t="shared" si="225"/>
        <v>0</v>
      </c>
      <c r="P1596" s="63">
        <f t="shared" si="226"/>
        <v>0</v>
      </c>
      <c r="Q1596" s="561">
        <f t="shared" si="227"/>
        <v>0</v>
      </c>
      <c r="R1596" s="174"/>
      <c r="T1596" s="82"/>
      <c r="U1596" s="82"/>
      <c r="V1596" s="82"/>
      <c r="W1596" s="82"/>
      <c r="X1596" s="82"/>
      <c r="Y1596" s="82"/>
      <c r="Z1596" s="82"/>
      <c r="AA1596" s="82"/>
      <c r="AB1596" s="82"/>
    </row>
    <row r="1597" spans="1:28" s="85" customFormat="1" ht="13.8" thickTop="1" x14ac:dyDescent="0.25">
      <c r="A1597" s="82"/>
      <c r="B1597" s="82"/>
      <c r="C1597" s="82"/>
      <c r="D1597" s="728" t="s">
        <v>2021</v>
      </c>
      <c r="E1597" s="384" t="s">
        <v>49</v>
      </c>
      <c r="F1597" s="385">
        <v>7</v>
      </c>
      <c r="G1597" s="386">
        <v>9</v>
      </c>
      <c r="H1597" s="387">
        <v>5</v>
      </c>
      <c r="I1597" s="388">
        <v>0.26</v>
      </c>
      <c r="J1597" s="389">
        <f t="shared" si="93"/>
        <v>2.34</v>
      </c>
      <c r="K1597" s="218">
        <f t="shared" si="221"/>
        <v>0.36035999999999996</v>
      </c>
      <c r="L1597" s="219">
        <f t="shared" si="222"/>
        <v>0</v>
      </c>
      <c r="M1597" s="219">
        <f t="shared" si="223"/>
        <v>0</v>
      </c>
      <c r="N1597" s="219">
        <f t="shared" si="224"/>
        <v>0</v>
      </c>
      <c r="O1597" s="219">
        <f t="shared" si="225"/>
        <v>0</v>
      </c>
      <c r="P1597" s="219">
        <f t="shared" si="226"/>
        <v>0</v>
      </c>
      <c r="Q1597" s="563">
        <f t="shared" si="227"/>
        <v>0</v>
      </c>
      <c r="R1597" s="220"/>
      <c r="T1597" s="82"/>
      <c r="U1597" s="82"/>
      <c r="V1597" s="82"/>
      <c r="W1597" s="82"/>
      <c r="X1597" s="82"/>
      <c r="Y1597" s="82"/>
      <c r="Z1597" s="82"/>
      <c r="AA1597" s="82"/>
      <c r="AB1597" s="82"/>
    </row>
    <row r="1598" spans="1:28" s="85" customFormat="1" x14ac:dyDescent="0.25">
      <c r="A1598" s="82"/>
      <c r="B1598" s="82"/>
      <c r="C1598" s="82"/>
      <c r="D1598" s="729"/>
      <c r="E1598" s="371" t="s">
        <v>49</v>
      </c>
      <c r="F1598" s="372">
        <v>15</v>
      </c>
      <c r="G1598" s="373">
        <v>5</v>
      </c>
      <c r="H1598" s="374">
        <v>5</v>
      </c>
      <c r="I1598" s="375">
        <v>1.1499999999999999</v>
      </c>
      <c r="J1598" s="376">
        <f t="shared" si="93"/>
        <v>5.75</v>
      </c>
      <c r="K1598" s="66">
        <f t="shared" si="221"/>
        <v>0.88549999999999995</v>
      </c>
      <c r="L1598" s="63">
        <f t="shared" si="222"/>
        <v>0</v>
      </c>
      <c r="M1598" s="63">
        <f t="shared" si="223"/>
        <v>0</v>
      </c>
      <c r="N1598" s="63">
        <f t="shared" si="224"/>
        <v>0</v>
      </c>
      <c r="O1598" s="63">
        <f t="shared" si="225"/>
        <v>0</v>
      </c>
      <c r="P1598" s="63">
        <f t="shared" si="226"/>
        <v>0</v>
      </c>
      <c r="Q1598" s="561">
        <f t="shared" si="227"/>
        <v>0</v>
      </c>
      <c r="R1598" s="174"/>
      <c r="T1598" s="82"/>
      <c r="U1598" s="82"/>
      <c r="V1598" s="82"/>
      <c r="W1598" s="82"/>
      <c r="X1598" s="82"/>
      <c r="Y1598" s="82"/>
      <c r="Z1598" s="82"/>
      <c r="AA1598" s="82"/>
      <c r="AB1598" s="82"/>
    </row>
    <row r="1599" spans="1:28" s="85" customFormat="1" x14ac:dyDescent="0.25">
      <c r="A1599" s="82"/>
      <c r="B1599" s="82"/>
      <c r="C1599" s="82"/>
      <c r="D1599" s="729"/>
      <c r="E1599" s="371" t="s">
        <v>49</v>
      </c>
      <c r="F1599" s="372">
        <v>16</v>
      </c>
      <c r="G1599" s="373">
        <v>8</v>
      </c>
      <c r="H1599" s="374">
        <v>5</v>
      </c>
      <c r="I1599" s="375">
        <v>0.75</v>
      </c>
      <c r="J1599" s="376">
        <f t="shared" si="93"/>
        <v>6</v>
      </c>
      <c r="K1599" s="66">
        <f t="shared" si="221"/>
        <v>0.92399999999999993</v>
      </c>
      <c r="L1599" s="63">
        <f t="shared" si="222"/>
        <v>0</v>
      </c>
      <c r="M1599" s="63">
        <f t="shared" si="223"/>
        <v>0</v>
      </c>
      <c r="N1599" s="63">
        <f t="shared" si="224"/>
        <v>0</v>
      </c>
      <c r="O1599" s="63">
        <f t="shared" si="225"/>
        <v>0</v>
      </c>
      <c r="P1599" s="63">
        <f t="shared" si="226"/>
        <v>0</v>
      </c>
      <c r="Q1599" s="561">
        <f t="shared" si="227"/>
        <v>0</v>
      </c>
      <c r="R1599" s="174"/>
      <c r="T1599" s="82"/>
      <c r="U1599" s="82"/>
      <c r="V1599" s="82"/>
      <c r="W1599" s="82"/>
      <c r="X1599" s="82"/>
      <c r="Y1599" s="82"/>
      <c r="Z1599" s="82"/>
      <c r="AA1599" s="82"/>
      <c r="AB1599" s="82"/>
    </row>
    <row r="1600" spans="1:28" s="85" customFormat="1" x14ac:dyDescent="0.25">
      <c r="A1600" s="82"/>
      <c r="B1600" s="82"/>
      <c r="C1600" s="82"/>
      <c r="D1600" s="729"/>
      <c r="E1600" s="371" t="s">
        <v>49</v>
      </c>
      <c r="F1600" s="372">
        <v>23</v>
      </c>
      <c r="G1600" s="373">
        <v>6</v>
      </c>
      <c r="H1600" s="374">
        <v>10</v>
      </c>
      <c r="I1600" s="375">
        <v>1.37</v>
      </c>
      <c r="J1600" s="376">
        <f t="shared" si="93"/>
        <v>8.2200000000000006</v>
      </c>
      <c r="K1600" s="66">
        <f t="shared" si="221"/>
        <v>0</v>
      </c>
      <c r="L1600" s="63">
        <f t="shared" si="222"/>
        <v>0</v>
      </c>
      <c r="M1600" s="63">
        <f t="shared" si="223"/>
        <v>0</v>
      </c>
      <c r="N1600" s="63">
        <f t="shared" si="224"/>
        <v>5.0717400000000001</v>
      </c>
      <c r="O1600" s="63">
        <f t="shared" si="225"/>
        <v>0</v>
      </c>
      <c r="P1600" s="63">
        <f t="shared" si="226"/>
        <v>0</v>
      </c>
      <c r="Q1600" s="561">
        <f t="shared" si="227"/>
        <v>0</v>
      </c>
      <c r="R1600" s="174"/>
      <c r="T1600" s="82"/>
      <c r="U1600" s="82"/>
      <c r="V1600" s="82"/>
      <c r="W1600" s="82"/>
      <c r="X1600" s="82"/>
      <c r="Y1600" s="82"/>
      <c r="Z1600" s="82"/>
      <c r="AA1600" s="82"/>
      <c r="AB1600" s="82"/>
    </row>
    <row r="1601" spans="1:28" s="85" customFormat="1" x14ac:dyDescent="0.25">
      <c r="A1601" s="82"/>
      <c r="B1601" s="82"/>
      <c r="C1601" s="82"/>
      <c r="D1601" s="729"/>
      <c r="E1601" s="371" t="s">
        <v>113</v>
      </c>
      <c r="F1601" s="372">
        <v>4</v>
      </c>
      <c r="G1601" s="373">
        <v>30</v>
      </c>
      <c r="H1601" s="374">
        <v>5</v>
      </c>
      <c r="I1601" s="375">
        <v>0.28999999999999998</v>
      </c>
      <c r="J1601" s="376">
        <f t="shared" si="93"/>
        <v>8.6999999999999993</v>
      </c>
      <c r="K1601" s="66">
        <f t="shared" ref="K1601:K1650" si="228">IF($H1601=5,$J1601*$B$21,0)</f>
        <v>1.3397999999999999</v>
      </c>
      <c r="L1601" s="63">
        <f t="shared" ref="L1601:L1650" si="229">IF($H1601=6.3,$J1601*$B$22,0)</f>
        <v>0</v>
      </c>
      <c r="M1601" s="63">
        <f t="shared" ref="M1601:M1650" si="230">IF($H1601=8,$J1601*$B$23,0)</f>
        <v>0</v>
      </c>
      <c r="N1601" s="63">
        <f t="shared" ref="N1601:N1650" si="231">IF($H1601=10,$J1601*$B$24,0)</f>
        <v>0</v>
      </c>
      <c r="O1601" s="63">
        <f t="shared" ref="O1601:O1650" si="232">IF($H1601=12.5,$J1601*$B$26,0)</f>
        <v>0</v>
      </c>
      <c r="P1601" s="63">
        <f t="shared" ref="P1601:P1650" si="233">IF($H1601=16,$J1601*$B$27,0)</f>
        <v>0</v>
      </c>
      <c r="Q1601" s="561">
        <f t="shared" si="227"/>
        <v>0</v>
      </c>
      <c r="R1601" s="174"/>
      <c r="T1601" s="82"/>
      <c r="U1601" s="82"/>
      <c r="V1601" s="82"/>
      <c r="W1601" s="82"/>
      <c r="X1601" s="82"/>
      <c r="Y1601" s="82"/>
      <c r="Z1601" s="82"/>
      <c r="AA1601" s="82"/>
      <c r="AB1601" s="82"/>
    </row>
    <row r="1602" spans="1:28" s="85" customFormat="1" x14ac:dyDescent="0.25">
      <c r="A1602" s="82"/>
      <c r="B1602" s="82"/>
      <c r="C1602" s="82"/>
      <c r="D1602" s="729"/>
      <c r="E1602" s="371" t="s">
        <v>113</v>
      </c>
      <c r="F1602" s="372">
        <v>13</v>
      </c>
      <c r="G1602" s="373">
        <v>25</v>
      </c>
      <c r="H1602" s="374">
        <v>5</v>
      </c>
      <c r="I1602" s="375">
        <v>1.27</v>
      </c>
      <c r="J1602" s="376">
        <f t="shared" si="93"/>
        <v>31.75</v>
      </c>
      <c r="K1602" s="66">
        <f t="shared" si="228"/>
        <v>4.8895</v>
      </c>
      <c r="L1602" s="63">
        <f t="shared" si="229"/>
        <v>0</v>
      </c>
      <c r="M1602" s="63">
        <f t="shared" si="230"/>
        <v>0</v>
      </c>
      <c r="N1602" s="63">
        <f t="shared" si="231"/>
        <v>0</v>
      </c>
      <c r="O1602" s="63">
        <f t="shared" si="232"/>
        <v>0</v>
      </c>
      <c r="P1602" s="63">
        <f t="shared" si="233"/>
        <v>0</v>
      </c>
      <c r="Q1602" s="561">
        <f t="shared" si="227"/>
        <v>0</v>
      </c>
      <c r="R1602" s="174"/>
      <c r="T1602" s="82"/>
      <c r="U1602" s="82"/>
      <c r="V1602" s="82"/>
      <c r="W1602" s="82"/>
      <c r="X1602" s="82"/>
      <c r="Y1602" s="82"/>
      <c r="Z1602" s="82"/>
      <c r="AA1602" s="82"/>
      <c r="AB1602" s="82"/>
    </row>
    <row r="1603" spans="1:28" s="85" customFormat="1" x14ac:dyDescent="0.25">
      <c r="A1603" s="82"/>
      <c r="B1603" s="82"/>
      <c r="C1603" s="82"/>
      <c r="D1603" s="729"/>
      <c r="E1603" s="371" t="s">
        <v>113</v>
      </c>
      <c r="F1603" s="372">
        <v>14</v>
      </c>
      <c r="G1603" s="373">
        <v>10</v>
      </c>
      <c r="H1603" s="374">
        <v>5</v>
      </c>
      <c r="I1603" s="375">
        <v>0.84</v>
      </c>
      <c r="J1603" s="376">
        <f t="shared" si="93"/>
        <v>8.4</v>
      </c>
      <c r="K1603" s="66">
        <f t="shared" si="228"/>
        <v>1.2936000000000001</v>
      </c>
      <c r="L1603" s="63">
        <f t="shared" si="229"/>
        <v>0</v>
      </c>
      <c r="M1603" s="63">
        <f t="shared" si="230"/>
        <v>0</v>
      </c>
      <c r="N1603" s="63">
        <f t="shared" si="231"/>
        <v>0</v>
      </c>
      <c r="O1603" s="63">
        <f t="shared" si="232"/>
        <v>0</v>
      </c>
      <c r="P1603" s="63">
        <f t="shared" si="233"/>
        <v>0</v>
      </c>
      <c r="Q1603" s="561">
        <f t="shared" si="227"/>
        <v>0</v>
      </c>
      <c r="R1603" s="174"/>
      <c r="T1603" s="82"/>
      <c r="U1603" s="82"/>
      <c r="V1603" s="82"/>
      <c r="W1603" s="82"/>
      <c r="X1603" s="82"/>
      <c r="Y1603" s="82"/>
      <c r="Z1603" s="82"/>
      <c r="AA1603" s="82"/>
      <c r="AB1603" s="82"/>
    </row>
    <row r="1604" spans="1:28" s="85" customFormat="1" x14ac:dyDescent="0.25">
      <c r="A1604" s="82"/>
      <c r="B1604" s="82"/>
      <c r="C1604" s="82"/>
      <c r="D1604" s="729"/>
      <c r="E1604" s="371" t="s">
        <v>113</v>
      </c>
      <c r="F1604" s="372">
        <v>17</v>
      </c>
      <c r="G1604" s="373">
        <v>6</v>
      </c>
      <c r="H1604" s="374">
        <v>10</v>
      </c>
      <c r="I1604" s="375">
        <v>3.78</v>
      </c>
      <c r="J1604" s="376">
        <f t="shared" si="93"/>
        <v>22.68</v>
      </c>
      <c r="K1604" s="66">
        <f t="shared" si="228"/>
        <v>0</v>
      </c>
      <c r="L1604" s="63">
        <f t="shared" si="229"/>
        <v>0</v>
      </c>
      <c r="M1604" s="63">
        <f t="shared" si="230"/>
        <v>0</v>
      </c>
      <c r="N1604" s="63">
        <f t="shared" si="231"/>
        <v>13.99356</v>
      </c>
      <c r="O1604" s="63">
        <f t="shared" si="232"/>
        <v>0</v>
      </c>
      <c r="P1604" s="63">
        <f t="shared" si="233"/>
        <v>0</v>
      </c>
      <c r="Q1604" s="561">
        <f t="shared" si="227"/>
        <v>0</v>
      </c>
      <c r="R1604" s="174"/>
      <c r="T1604" s="82"/>
      <c r="U1604" s="82"/>
      <c r="V1604" s="82"/>
      <c r="W1604" s="82"/>
      <c r="X1604" s="82"/>
      <c r="Y1604" s="82"/>
      <c r="Z1604" s="82"/>
      <c r="AA1604" s="82"/>
      <c r="AB1604" s="82"/>
    </row>
    <row r="1605" spans="1:28" s="85" customFormat="1" x14ac:dyDescent="0.25">
      <c r="A1605" s="82"/>
      <c r="B1605" s="82"/>
      <c r="C1605" s="82"/>
      <c r="D1605" s="729"/>
      <c r="E1605" s="396" t="s">
        <v>184</v>
      </c>
      <c r="F1605" s="403">
        <v>3</v>
      </c>
      <c r="G1605" s="397">
        <v>10</v>
      </c>
      <c r="H1605" s="398">
        <v>5</v>
      </c>
      <c r="I1605" s="399">
        <v>0.28999999999999998</v>
      </c>
      <c r="J1605" s="400">
        <f t="shared" si="93"/>
        <v>2.9</v>
      </c>
      <c r="K1605" s="401">
        <f t="shared" si="228"/>
        <v>0.4466</v>
      </c>
      <c r="L1605" s="196">
        <f t="shared" si="229"/>
        <v>0</v>
      </c>
      <c r="M1605" s="196">
        <f t="shared" si="230"/>
        <v>0</v>
      </c>
      <c r="N1605" s="196">
        <f t="shared" si="231"/>
        <v>0</v>
      </c>
      <c r="O1605" s="196">
        <f t="shared" si="232"/>
        <v>0</v>
      </c>
      <c r="P1605" s="196">
        <f t="shared" si="233"/>
        <v>0</v>
      </c>
      <c r="Q1605" s="566">
        <f t="shared" si="227"/>
        <v>0</v>
      </c>
      <c r="R1605" s="538"/>
      <c r="T1605" s="82"/>
      <c r="U1605" s="82"/>
      <c r="V1605" s="82"/>
      <c r="W1605" s="82"/>
      <c r="X1605" s="82"/>
      <c r="Y1605" s="82"/>
      <c r="Z1605" s="82"/>
      <c r="AA1605" s="82"/>
      <c r="AB1605" s="82"/>
    </row>
    <row r="1606" spans="1:28" s="85" customFormat="1" x14ac:dyDescent="0.25">
      <c r="A1606" s="82"/>
      <c r="B1606" s="82"/>
      <c r="C1606" s="82"/>
      <c r="D1606" s="729"/>
      <c r="E1606" s="371" t="s">
        <v>184</v>
      </c>
      <c r="F1606" s="372">
        <v>7</v>
      </c>
      <c r="G1606" s="373">
        <v>8</v>
      </c>
      <c r="H1606" s="374">
        <v>5</v>
      </c>
      <c r="I1606" s="375">
        <v>1.27</v>
      </c>
      <c r="J1606" s="376">
        <f t="shared" si="93"/>
        <v>10.16</v>
      </c>
      <c r="K1606" s="66">
        <f t="shared" si="228"/>
        <v>1.56464</v>
      </c>
      <c r="L1606" s="63">
        <f t="shared" si="229"/>
        <v>0</v>
      </c>
      <c r="M1606" s="63">
        <f t="shared" si="230"/>
        <v>0</v>
      </c>
      <c r="N1606" s="63">
        <f t="shared" si="231"/>
        <v>0</v>
      </c>
      <c r="O1606" s="63">
        <f t="shared" si="232"/>
        <v>0</v>
      </c>
      <c r="P1606" s="63">
        <f t="shared" si="233"/>
        <v>0</v>
      </c>
      <c r="Q1606" s="562">
        <f t="shared" si="227"/>
        <v>0</v>
      </c>
      <c r="R1606" s="377"/>
      <c r="T1606" s="82"/>
      <c r="U1606" s="82"/>
      <c r="V1606" s="82"/>
      <c r="W1606" s="82"/>
      <c r="X1606" s="82"/>
      <c r="Y1606" s="82"/>
      <c r="Z1606" s="82"/>
      <c r="AA1606" s="82"/>
      <c r="AB1606" s="82"/>
    </row>
    <row r="1607" spans="1:28" s="85" customFormat="1" x14ac:dyDescent="0.25">
      <c r="A1607" s="82"/>
      <c r="B1607" s="82"/>
      <c r="C1607" s="82"/>
      <c r="D1607" s="729"/>
      <c r="E1607" s="371" t="s">
        <v>184</v>
      </c>
      <c r="F1607" s="372">
        <v>8</v>
      </c>
      <c r="G1607" s="373">
        <v>4</v>
      </c>
      <c r="H1607" s="374">
        <v>5</v>
      </c>
      <c r="I1607" s="375">
        <v>0.84</v>
      </c>
      <c r="J1607" s="376">
        <f t="shared" si="93"/>
        <v>3.36</v>
      </c>
      <c r="K1607" s="66">
        <f t="shared" si="228"/>
        <v>0.51744000000000001</v>
      </c>
      <c r="L1607" s="63">
        <f t="shared" si="229"/>
        <v>0</v>
      </c>
      <c r="M1607" s="63">
        <f t="shared" si="230"/>
        <v>0</v>
      </c>
      <c r="N1607" s="63">
        <f t="shared" si="231"/>
        <v>0</v>
      </c>
      <c r="O1607" s="63">
        <f t="shared" si="232"/>
        <v>0</v>
      </c>
      <c r="P1607" s="63">
        <f t="shared" si="233"/>
        <v>0</v>
      </c>
      <c r="Q1607" s="562">
        <f t="shared" si="227"/>
        <v>0</v>
      </c>
      <c r="R1607" s="377"/>
      <c r="T1607" s="82"/>
      <c r="U1607" s="82"/>
      <c r="V1607" s="82"/>
      <c r="W1607" s="82"/>
      <c r="X1607" s="82"/>
      <c r="Y1607" s="82"/>
      <c r="Z1607" s="82"/>
      <c r="AA1607" s="82"/>
      <c r="AB1607" s="82"/>
    </row>
    <row r="1608" spans="1:28" s="85" customFormat="1" ht="13.8" thickBot="1" x14ac:dyDescent="0.3">
      <c r="A1608" s="82"/>
      <c r="B1608" s="82"/>
      <c r="C1608" s="82"/>
      <c r="D1608" s="731"/>
      <c r="E1608" s="390" t="s">
        <v>184</v>
      </c>
      <c r="F1608" s="391">
        <v>38</v>
      </c>
      <c r="G1608" s="392">
        <v>6</v>
      </c>
      <c r="H1608" s="393">
        <v>10</v>
      </c>
      <c r="I1608" s="394">
        <v>1.02</v>
      </c>
      <c r="J1608" s="395">
        <f t="shared" si="93"/>
        <v>6.12</v>
      </c>
      <c r="K1608" s="221">
        <f t="shared" si="228"/>
        <v>0</v>
      </c>
      <c r="L1608" s="222">
        <f t="shared" si="229"/>
        <v>0</v>
      </c>
      <c r="M1608" s="222">
        <f t="shared" si="230"/>
        <v>0</v>
      </c>
      <c r="N1608" s="222">
        <f t="shared" si="231"/>
        <v>3.7760400000000001</v>
      </c>
      <c r="O1608" s="222">
        <f t="shared" si="232"/>
        <v>0</v>
      </c>
      <c r="P1608" s="222">
        <f t="shared" si="233"/>
        <v>0</v>
      </c>
      <c r="Q1608" s="564">
        <f t="shared" si="227"/>
        <v>0</v>
      </c>
      <c r="R1608" s="539"/>
      <c r="T1608" s="82"/>
      <c r="U1608" s="82"/>
      <c r="V1608" s="82"/>
      <c r="W1608" s="82"/>
      <c r="X1608" s="82"/>
      <c r="Y1608" s="82"/>
      <c r="Z1608" s="82"/>
      <c r="AA1608" s="82"/>
      <c r="AB1608" s="82"/>
    </row>
    <row r="1609" spans="1:28" s="85" customFormat="1" ht="13.8" thickTop="1" x14ac:dyDescent="0.25">
      <c r="A1609" s="82"/>
      <c r="B1609" s="82"/>
      <c r="C1609" s="82"/>
      <c r="D1609" s="728" t="s">
        <v>2022</v>
      </c>
      <c r="E1609" s="384" t="s">
        <v>49</v>
      </c>
      <c r="F1609" s="385">
        <v>9</v>
      </c>
      <c r="G1609" s="386">
        <v>9</v>
      </c>
      <c r="H1609" s="387">
        <v>5</v>
      </c>
      <c r="I1609" s="388">
        <v>0.21</v>
      </c>
      <c r="J1609" s="389">
        <f t="shared" si="93"/>
        <v>1.89</v>
      </c>
      <c r="K1609" s="218">
        <f t="shared" si="228"/>
        <v>0.29105999999999999</v>
      </c>
      <c r="L1609" s="219">
        <f t="shared" si="229"/>
        <v>0</v>
      </c>
      <c r="M1609" s="219">
        <f t="shared" si="230"/>
        <v>0</v>
      </c>
      <c r="N1609" s="219">
        <f t="shared" si="231"/>
        <v>0</v>
      </c>
      <c r="O1609" s="219">
        <f t="shared" si="232"/>
        <v>0</v>
      </c>
      <c r="P1609" s="219">
        <f t="shared" si="233"/>
        <v>0</v>
      </c>
      <c r="Q1609" s="563">
        <f t="shared" si="227"/>
        <v>0</v>
      </c>
      <c r="R1609" s="220"/>
      <c r="T1609" s="82"/>
      <c r="U1609" s="82"/>
      <c r="V1609" s="82"/>
      <c r="W1609" s="82"/>
      <c r="X1609" s="82"/>
      <c r="Y1609" s="82"/>
      <c r="Z1609" s="82"/>
      <c r="AA1609" s="82"/>
      <c r="AB1609" s="82"/>
    </row>
    <row r="1610" spans="1:28" s="85" customFormat="1" x14ac:dyDescent="0.25">
      <c r="A1610" s="82"/>
      <c r="B1610" s="82"/>
      <c r="C1610" s="82"/>
      <c r="D1610" s="729"/>
      <c r="E1610" s="371" t="s">
        <v>49</v>
      </c>
      <c r="F1610" s="372">
        <v>10</v>
      </c>
      <c r="G1610" s="373">
        <v>5</v>
      </c>
      <c r="H1610" s="374">
        <v>5</v>
      </c>
      <c r="I1610" s="375">
        <v>1.05</v>
      </c>
      <c r="J1610" s="376">
        <f t="shared" si="93"/>
        <v>5.25</v>
      </c>
      <c r="K1610" s="66">
        <f t="shared" si="228"/>
        <v>0.8085</v>
      </c>
      <c r="L1610" s="63">
        <f t="shared" si="229"/>
        <v>0</v>
      </c>
      <c r="M1610" s="63">
        <f t="shared" si="230"/>
        <v>0</v>
      </c>
      <c r="N1610" s="63">
        <f t="shared" si="231"/>
        <v>0</v>
      </c>
      <c r="O1610" s="63">
        <f t="shared" si="232"/>
        <v>0</v>
      </c>
      <c r="P1610" s="63">
        <f t="shared" si="233"/>
        <v>0</v>
      </c>
      <c r="Q1610" s="561">
        <f t="shared" si="227"/>
        <v>0</v>
      </c>
      <c r="R1610" s="174"/>
      <c r="T1610" s="82"/>
      <c r="U1610" s="82"/>
      <c r="V1610" s="82"/>
      <c r="W1610" s="82"/>
      <c r="X1610" s="82"/>
      <c r="Y1610" s="82"/>
      <c r="Z1610" s="82"/>
      <c r="AA1610" s="82"/>
      <c r="AB1610" s="82"/>
    </row>
    <row r="1611" spans="1:28" s="85" customFormat="1" x14ac:dyDescent="0.25">
      <c r="A1611" s="82"/>
      <c r="B1611" s="82"/>
      <c r="C1611" s="82"/>
      <c r="D1611" s="729"/>
      <c r="E1611" s="371" t="s">
        <v>49</v>
      </c>
      <c r="F1611" s="372">
        <v>11</v>
      </c>
      <c r="G1611" s="373">
        <v>8</v>
      </c>
      <c r="H1611" s="374">
        <v>5</v>
      </c>
      <c r="I1611" s="375">
        <v>0.65</v>
      </c>
      <c r="J1611" s="376">
        <f t="shared" si="93"/>
        <v>5.2</v>
      </c>
      <c r="K1611" s="66">
        <f t="shared" si="228"/>
        <v>0.80080000000000007</v>
      </c>
      <c r="L1611" s="63">
        <f t="shared" si="229"/>
        <v>0</v>
      </c>
      <c r="M1611" s="63">
        <f t="shared" si="230"/>
        <v>0</v>
      </c>
      <c r="N1611" s="63">
        <f t="shared" si="231"/>
        <v>0</v>
      </c>
      <c r="O1611" s="63">
        <f t="shared" si="232"/>
        <v>0</v>
      </c>
      <c r="P1611" s="63">
        <f t="shared" si="233"/>
        <v>0</v>
      </c>
      <c r="Q1611" s="561">
        <f t="shared" si="227"/>
        <v>0</v>
      </c>
      <c r="R1611" s="174"/>
      <c r="T1611" s="82"/>
      <c r="U1611" s="82"/>
      <c r="V1611" s="82"/>
      <c r="W1611" s="82"/>
      <c r="X1611" s="82"/>
      <c r="Y1611" s="82"/>
      <c r="Z1611" s="82"/>
      <c r="AA1611" s="82"/>
      <c r="AB1611" s="82"/>
    </row>
    <row r="1612" spans="1:28" s="85" customFormat="1" x14ac:dyDescent="0.25">
      <c r="A1612" s="82"/>
      <c r="B1612" s="82"/>
      <c r="C1612" s="82"/>
      <c r="D1612" s="729"/>
      <c r="E1612" s="371" t="s">
        <v>49</v>
      </c>
      <c r="F1612" s="372">
        <v>23</v>
      </c>
      <c r="G1612" s="373">
        <v>6</v>
      </c>
      <c r="H1612" s="374">
        <v>10</v>
      </c>
      <c r="I1612" s="375">
        <v>1.37</v>
      </c>
      <c r="J1612" s="376">
        <f t="shared" si="93"/>
        <v>8.2200000000000006</v>
      </c>
      <c r="K1612" s="66">
        <f t="shared" si="228"/>
        <v>0</v>
      </c>
      <c r="L1612" s="63">
        <f t="shared" si="229"/>
        <v>0</v>
      </c>
      <c r="M1612" s="63">
        <f t="shared" si="230"/>
        <v>0</v>
      </c>
      <c r="N1612" s="63">
        <f t="shared" si="231"/>
        <v>5.0717400000000001</v>
      </c>
      <c r="O1612" s="63">
        <f t="shared" si="232"/>
        <v>0</v>
      </c>
      <c r="P1612" s="63">
        <f t="shared" si="233"/>
        <v>0</v>
      </c>
      <c r="Q1612" s="561">
        <f t="shared" si="227"/>
        <v>0</v>
      </c>
      <c r="R1612" s="174"/>
      <c r="T1612" s="82"/>
      <c r="U1612" s="82"/>
      <c r="V1612" s="82"/>
      <c r="W1612" s="82"/>
      <c r="X1612" s="82"/>
      <c r="Y1612" s="82"/>
      <c r="Z1612" s="82"/>
      <c r="AA1612" s="82"/>
      <c r="AB1612" s="82"/>
    </row>
    <row r="1613" spans="1:28" s="85" customFormat="1" x14ac:dyDescent="0.25">
      <c r="A1613" s="82"/>
      <c r="B1613" s="82"/>
      <c r="C1613" s="82"/>
      <c r="D1613" s="729"/>
      <c r="E1613" s="371" t="s">
        <v>113</v>
      </c>
      <c r="F1613" s="372">
        <v>8</v>
      </c>
      <c r="G1613" s="373">
        <v>30</v>
      </c>
      <c r="H1613" s="374">
        <v>5</v>
      </c>
      <c r="I1613" s="375">
        <v>0.24</v>
      </c>
      <c r="J1613" s="376">
        <f t="shared" si="93"/>
        <v>7.1999999999999993</v>
      </c>
      <c r="K1613" s="66">
        <f t="shared" si="228"/>
        <v>1.1087999999999998</v>
      </c>
      <c r="L1613" s="63">
        <f t="shared" si="229"/>
        <v>0</v>
      </c>
      <c r="M1613" s="63">
        <f t="shared" si="230"/>
        <v>0</v>
      </c>
      <c r="N1613" s="63">
        <f t="shared" si="231"/>
        <v>0</v>
      </c>
      <c r="O1613" s="63">
        <f t="shared" si="232"/>
        <v>0</v>
      </c>
      <c r="P1613" s="63">
        <f t="shared" si="233"/>
        <v>0</v>
      </c>
      <c r="Q1613" s="561">
        <f t="shared" si="227"/>
        <v>0</v>
      </c>
      <c r="R1613" s="174"/>
      <c r="T1613" s="82"/>
      <c r="U1613" s="82"/>
      <c r="V1613" s="82"/>
      <c r="W1613" s="82"/>
      <c r="X1613" s="82"/>
      <c r="Y1613" s="82"/>
      <c r="Z1613" s="82"/>
      <c r="AA1613" s="82"/>
      <c r="AB1613" s="82"/>
    </row>
    <row r="1614" spans="1:28" s="85" customFormat="1" x14ac:dyDescent="0.25">
      <c r="A1614" s="82"/>
      <c r="B1614" s="82"/>
      <c r="C1614" s="82"/>
      <c r="D1614" s="729"/>
      <c r="E1614" s="371" t="s">
        <v>113</v>
      </c>
      <c r="F1614" s="372">
        <v>9</v>
      </c>
      <c r="G1614" s="373">
        <v>25</v>
      </c>
      <c r="H1614" s="374">
        <v>5</v>
      </c>
      <c r="I1614" s="375">
        <v>1.17</v>
      </c>
      <c r="J1614" s="376">
        <f t="shared" si="93"/>
        <v>29.25</v>
      </c>
      <c r="K1614" s="66">
        <f t="shared" si="228"/>
        <v>4.5045000000000002</v>
      </c>
      <c r="L1614" s="63">
        <f t="shared" si="229"/>
        <v>0</v>
      </c>
      <c r="M1614" s="63">
        <f t="shared" si="230"/>
        <v>0</v>
      </c>
      <c r="N1614" s="63">
        <f t="shared" si="231"/>
        <v>0</v>
      </c>
      <c r="O1614" s="63">
        <f t="shared" si="232"/>
        <v>0</v>
      </c>
      <c r="P1614" s="63">
        <f t="shared" si="233"/>
        <v>0</v>
      </c>
      <c r="Q1614" s="561">
        <f t="shared" si="227"/>
        <v>0</v>
      </c>
      <c r="R1614" s="174"/>
      <c r="T1614" s="82"/>
      <c r="U1614" s="82"/>
      <c r="V1614" s="82"/>
      <c r="W1614" s="82"/>
      <c r="X1614" s="82"/>
      <c r="Y1614" s="82"/>
      <c r="Z1614" s="82"/>
      <c r="AA1614" s="82"/>
      <c r="AB1614" s="82"/>
    </row>
    <row r="1615" spans="1:28" s="85" customFormat="1" x14ac:dyDescent="0.25">
      <c r="A1615" s="82"/>
      <c r="B1615" s="82"/>
      <c r="C1615" s="82"/>
      <c r="D1615" s="729"/>
      <c r="E1615" s="371" t="s">
        <v>113</v>
      </c>
      <c r="F1615" s="372">
        <v>10</v>
      </c>
      <c r="G1615" s="373">
        <v>10</v>
      </c>
      <c r="H1615" s="374">
        <v>5</v>
      </c>
      <c r="I1615" s="375">
        <v>0.74</v>
      </c>
      <c r="J1615" s="376">
        <f t="shared" si="93"/>
        <v>7.4</v>
      </c>
      <c r="K1615" s="66">
        <f t="shared" si="228"/>
        <v>1.1395999999999999</v>
      </c>
      <c r="L1615" s="63">
        <f t="shared" si="229"/>
        <v>0</v>
      </c>
      <c r="M1615" s="63">
        <f t="shared" si="230"/>
        <v>0</v>
      </c>
      <c r="N1615" s="63">
        <f t="shared" si="231"/>
        <v>0</v>
      </c>
      <c r="O1615" s="63">
        <f t="shared" si="232"/>
        <v>0</v>
      </c>
      <c r="P1615" s="63">
        <f t="shared" si="233"/>
        <v>0</v>
      </c>
      <c r="Q1615" s="561">
        <f t="shared" si="227"/>
        <v>0</v>
      </c>
      <c r="R1615" s="174"/>
      <c r="T1615" s="82"/>
      <c r="U1615" s="82"/>
      <c r="V1615" s="82"/>
      <c r="W1615" s="82"/>
      <c r="X1615" s="82"/>
      <c r="Y1615" s="82"/>
      <c r="Z1615" s="82"/>
      <c r="AA1615" s="82"/>
      <c r="AB1615" s="82"/>
    </row>
    <row r="1616" spans="1:28" s="85" customFormat="1" ht="13.8" thickBot="1" x14ac:dyDescent="0.3">
      <c r="A1616" s="82"/>
      <c r="B1616" s="82"/>
      <c r="C1616" s="82"/>
      <c r="D1616" s="729"/>
      <c r="E1616" s="371" t="s">
        <v>113</v>
      </c>
      <c r="F1616" s="372">
        <v>19</v>
      </c>
      <c r="G1616" s="373">
        <v>6</v>
      </c>
      <c r="H1616" s="374">
        <v>10</v>
      </c>
      <c r="I1616" s="375">
        <v>3.42</v>
      </c>
      <c r="J1616" s="376">
        <f t="shared" si="93"/>
        <v>20.52</v>
      </c>
      <c r="K1616" s="66">
        <f t="shared" si="228"/>
        <v>0</v>
      </c>
      <c r="L1616" s="63">
        <f t="shared" si="229"/>
        <v>0</v>
      </c>
      <c r="M1616" s="63">
        <f t="shared" si="230"/>
        <v>0</v>
      </c>
      <c r="N1616" s="63">
        <f t="shared" si="231"/>
        <v>12.66084</v>
      </c>
      <c r="O1616" s="63">
        <f t="shared" si="232"/>
        <v>0</v>
      </c>
      <c r="P1616" s="63">
        <f t="shared" si="233"/>
        <v>0</v>
      </c>
      <c r="Q1616" s="561">
        <f t="shared" si="227"/>
        <v>0</v>
      </c>
      <c r="R1616" s="174"/>
      <c r="T1616" s="82"/>
      <c r="U1616" s="82"/>
      <c r="V1616" s="82"/>
      <c r="W1616" s="82"/>
      <c r="X1616" s="82"/>
      <c r="Y1616" s="82"/>
      <c r="Z1616" s="82"/>
      <c r="AA1616" s="82"/>
      <c r="AB1616" s="82"/>
    </row>
    <row r="1617" spans="1:28" s="85" customFormat="1" ht="13.8" thickTop="1" x14ac:dyDescent="0.25">
      <c r="A1617" s="82"/>
      <c r="B1617" s="82"/>
      <c r="C1617" s="82"/>
      <c r="D1617" s="728" t="s">
        <v>2023</v>
      </c>
      <c r="E1617" s="384" t="s">
        <v>49</v>
      </c>
      <c r="F1617" s="385">
        <v>9</v>
      </c>
      <c r="G1617" s="386">
        <v>9</v>
      </c>
      <c r="H1617" s="387">
        <v>5</v>
      </c>
      <c r="I1617" s="388">
        <v>0.21</v>
      </c>
      <c r="J1617" s="389">
        <f t="shared" si="93"/>
        <v>1.89</v>
      </c>
      <c r="K1617" s="218">
        <f t="shared" si="228"/>
        <v>0.29105999999999999</v>
      </c>
      <c r="L1617" s="219">
        <f t="shared" si="229"/>
        <v>0</v>
      </c>
      <c r="M1617" s="219">
        <f t="shared" si="230"/>
        <v>0</v>
      </c>
      <c r="N1617" s="219">
        <f t="shared" si="231"/>
        <v>0</v>
      </c>
      <c r="O1617" s="219">
        <f t="shared" si="232"/>
        <v>0</v>
      </c>
      <c r="P1617" s="219">
        <f t="shared" si="233"/>
        <v>0</v>
      </c>
      <c r="Q1617" s="563">
        <f t="shared" si="227"/>
        <v>0</v>
      </c>
      <c r="R1617" s="220"/>
      <c r="T1617" s="82"/>
      <c r="U1617" s="82"/>
      <c r="V1617" s="82"/>
      <c r="W1617" s="82"/>
      <c r="X1617" s="82"/>
      <c r="Y1617" s="82"/>
      <c r="Z1617" s="82"/>
      <c r="AA1617" s="82"/>
      <c r="AB1617" s="82"/>
    </row>
    <row r="1618" spans="1:28" s="85" customFormat="1" x14ac:dyDescent="0.25">
      <c r="A1618" s="82"/>
      <c r="B1618" s="82"/>
      <c r="C1618" s="82"/>
      <c r="D1618" s="729"/>
      <c r="E1618" s="371" t="s">
        <v>49</v>
      </c>
      <c r="F1618" s="372">
        <v>10</v>
      </c>
      <c r="G1618" s="373">
        <v>5</v>
      </c>
      <c r="H1618" s="374">
        <v>5</v>
      </c>
      <c r="I1618" s="375">
        <v>1.05</v>
      </c>
      <c r="J1618" s="376">
        <f t="shared" si="93"/>
        <v>5.25</v>
      </c>
      <c r="K1618" s="66">
        <f t="shared" si="228"/>
        <v>0.8085</v>
      </c>
      <c r="L1618" s="63">
        <f t="shared" si="229"/>
        <v>0</v>
      </c>
      <c r="M1618" s="63">
        <f t="shared" si="230"/>
        <v>0</v>
      </c>
      <c r="N1618" s="63">
        <f t="shared" si="231"/>
        <v>0</v>
      </c>
      <c r="O1618" s="63">
        <f t="shared" si="232"/>
        <v>0</v>
      </c>
      <c r="P1618" s="63">
        <f t="shared" si="233"/>
        <v>0</v>
      </c>
      <c r="Q1618" s="561">
        <f t="shared" si="227"/>
        <v>0</v>
      </c>
      <c r="R1618" s="174"/>
      <c r="T1618" s="82"/>
      <c r="U1618" s="82"/>
      <c r="V1618" s="82"/>
      <c r="W1618" s="82"/>
      <c r="X1618" s="82"/>
      <c r="Y1618" s="82"/>
      <c r="Z1618" s="82"/>
      <c r="AA1618" s="82"/>
      <c r="AB1618" s="82"/>
    </row>
    <row r="1619" spans="1:28" s="85" customFormat="1" x14ac:dyDescent="0.25">
      <c r="A1619" s="82"/>
      <c r="B1619" s="82"/>
      <c r="C1619" s="82"/>
      <c r="D1619" s="729"/>
      <c r="E1619" s="371" t="s">
        <v>49</v>
      </c>
      <c r="F1619" s="372">
        <v>11</v>
      </c>
      <c r="G1619" s="373">
        <v>8</v>
      </c>
      <c r="H1619" s="374">
        <v>5</v>
      </c>
      <c r="I1619" s="375">
        <v>0.65</v>
      </c>
      <c r="J1619" s="376">
        <f t="shared" si="93"/>
        <v>5.2</v>
      </c>
      <c r="K1619" s="66">
        <f t="shared" si="228"/>
        <v>0.80080000000000007</v>
      </c>
      <c r="L1619" s="63">
        <f t="shared" si="229"/>
        <v>0</v>
      </c>
      <c r="M1619" s="63">
        <f t="shared" si="230"/>
        <v>0</v>
      </c>
      <c r="N1619" s="63">
        <f t="shared" si="231"/>
        <v>0</v>
      </c>
      <c r="O1619" s="63">
        <f t="shared" si="232"/>
        <v>0</v>
      </c>
      <c r="P1619" s="63">
        <f t="shared" si="233"/>
        <v>0</v>
      </c>
      <c r="Q1619" s="561">
        <f t="shared" si="227"/>
        <v>0</v>
      </c>
      <c r="R1619" s="174"/>
      <c r="T1619" s="82"/>
      <c r="U1619" s="82"/>
      <c r="V1619" s="82"/>
      <c r="W1619" s="82"/>
      <c r="X1619" s="82"/>
      <c r="Y1619" s="82"/>
      <c r="Z1619" s="82"/>
      <c r="AA1619" s="82"/>
      <c r="AB1619" s="82"/>
    </row>
    <row r="1620" spans="1:28" s="85" customFormat="1" x14ac:dyDescent="0.25">
      <c r="A1620" s="82"/>
      <c r="B1620" s="82"/>
      <c r="C1620" s="82"/>
      <c r="D1620" s="729"/>
      <c r="E1620" s="371" t="s">
        <v>49</v>
      </c>
      <c r="F1620" s="372">
        <v>23</v>
      </c>
      <c r="G1620" s="373">
        <v>6</v>
      </c>
      <c r="H1620" s="374">
        <v>10</v>
      </c>
      <c r="I1620" s="375">
        <v>1.37</v>
      </c>
      <c r="J1620" s="376">
        <f t="shared" si="93"/>
        <v>8.2200000000000006</v>
      </c>
      <c r="K1620" s="66">
        <f t="shared" si="228"/>
        <v>0</v>
      </c>
      <c r="L1620" s="63">
        <f t="shared" si="229"/>
        <v>0</v>
      </c>
      <c r="M1620" s="63">
        <f t="shared" si="230"/>
        <v>0</v>
      </c>
      <c r="N1620" s="63">
        <f t="shared" si="231"/>
        <v>5.0717400000000001</v>
      </c>
      <c r="O1620" s="63">
        <f t="shared" si="232"/>
        <v>0</v>
      </c>
      <c r="P1620" s="63">
        <f t="shared" si="233"/>
        <v>0</v>
      </c>
      <c r="Q1620" s="561">
        <f t="shared" si="227"/>
        <v>0</v>
      </c>
      <c r="R1620" s="174"/>
      <c r="T1620" s="82"/>
      <c r="U1620" s="82"/>
      <c r="V1620" s="82"/>
      <c r="W1620" s="82"/>
      <c r="X1620" s="82"/>
      <c r="Y1620" s="82"/>
      <c r="Z1620" s="82"/>
      <c r="AA1620" s="82"/>
      <c r="AB1620" s="82"/>
    </row>
    <row r="1621" spans="1:28" s="85" customFormat="1" x14ac:dyDescent="0.25">
      <c r="A1621" s="82"/>
      <c r="B1621" s="82"/>
      <c r="C1621" s="82"/>
      <c r="D1621" s="729"/>
      <c r="E1621" s="371" t="s">
        <v>113</v>
      </c>
      <c r="F1621" s="372">
        <v>8</v>
      </c>
      <c r="G1621" s="373">
        <v>30</v>
      </c>
      <c r="H1621" s="374">
        <v>5</v>
      </c>
      <c r="I1621" s="375">
        <v>0.24</v>
      </c>
      <c r="J1621" s="376">
        <f t="shared" si="93"/>
        <v>7.1999999999999993</v>
      </c>
      <c r="K1621" s="66">
        <f t="shared" si="228"/>
        <v>1.1087999999999998</v>
      </c>
      <c r="L1621" s="63">
        <f t="shared" si="229"/>
        <v>0</v>
      </c>
      <c r="M1621" s="63">
        <f t="shared" si="230"/>
        <v>0</v>
      </c>
      <c r="N1621" s="63">
        <f t="shared" si="231"/>
        <v>0</v>
      </c>
      <c r="O1621" s="63">
        <f t="shared" si="232"/>
        <v>0</v>
      </c>
      <c r="P1621" s="63">
        <f t="shared" si="233"/>
        <v>0</v>
      </c>
      <c r="Q1621" s="561">
        <f t="shared" si="227"/>
        <v>0</v>
      </c>
      <c r="R1621" s="174"/>
      <c r="T1621" s="82"/>
      <c r="U1621" s="82"/>
      <c r="V1621" s="82"/>
      <c r="W1621" s="82"/>
      <c r="X1621" s="82"/>
      <c r="Y1621" s="82"/>
      <c r="Z1621" s="82"/>
      <c r="AA1621" s="82"/>
      <c r="AB1621" s="82"/>
    </row>
    <row r="1622" spans="1:28" s="85" customFormat="1" x14ac:dyDescent="0.25">
      <c r="A1622" s="82"/>
      <c r="B1622" s="82"/>
      <c r="C1622" s="82"/>
      <c r="D1622" s="729"/>
      <c r="E1622" s="371" t="s">
        <v>113</v>
      </c>
      <c r="F1622" s="372">
        <v>9</v>
      </c>
      <c r="G1622" s="373">
        <v>25</v>
      </c>
      <c r="H1622" s="374">
        <v>5</v>
      </c>
      <c r="I1622" s="375">
        <v>1.17</v>
      </c>
      <c r="J1622" s="376">
        <f t="shared" si="93"/>
        <v>29.25</v>
      </c>
      <c r="K1622" s="66">
        <f t="shared" si="228"/>
        <v>4.5045000000000002</v>
      </c>
      <c r="L1622" s="63">
        <f t="shared" si="229"/>
        <v>0</v>
      </c>
      <c r="M1622" s="63">
        <f t="shared" si="230"/>
        <v>0</v>
      </c>
      <c r="N1622" s="63">
        <f t="shared" si="231"/>
        <v>0</v>
      </c>
      <c r="O1622" s="63">
        <f t="shared" si="232"/>
        <v>0</v>
      </c>
      <c r="P1622" s="63">
        <f t="shared" si="233"/>
        <v>0</v>
      </c>
      <c r="Q1622" s="561">
        <f t="shared" si="227"/>
        <v>0</v>
      </c>
      <c r="R1622" s="174"/>
      <c r="T1622" s="82"/>
      <c r="U1622" s="82"/>
      <c r="V1622" s="82"/>
      <c r="W1622" s="82"/>
      <c r="X1622" s="82"/>
      <c r="Y1622" s="82"/>
      <c r="Z1622" s="82"/>
      <c r="AA1622" s="82"/>
      <c r="AB1622" s="82"/>
    </row>
    <row r="1623" spans="1:28" s="85" customFormat="1" x14ac:dyDescent="0.25">
      <c r="A1623" s="82"/>
      <c r="B1623" s="82"/>
      <c r="C1623" s="82"/>
      <c r="D1623" s="729"/>
      <c r="E1623" s="371" t="s">
        <v>113</v>
      </c>
      <c r="F1623" s="372">
        <v>10</v>
      </c>
      <c r="G1623" s="373">
        <v>10</v>
      </c>
      <c r="H1623" s="374">
        <v>5</v>
      </c>
      <c r="I1623" s="375">
        <v>0.74</v>
      </c>
      <c r="J1623" s="376">
        <f t="shared" si="93"/>
        <v>7.4</v>
      </c>
      <c r="K1623" s="66">
        <f t="shared" si="228"/>
        <v>1.1395999999999999</v>
      </c>
      <c r="L1623" s="63">
        <f t="shared" si="229"/>
        <v>0</v>
      </c>
      <c r="M1623" s="63">
        <f t="shared" si="230"/>
        <v>0</v>
      </c>
      <c r="N1623" s="63">
        <f t="shared" si="231"/>
        <v>0</v>
      </c>
      <c r="O1623" s="63">
        <f t="shared" si="232"/>
        <v>0</v>
      </c>
      <c r="P1623" s="63">
        <f t="shared" si="233"/>
        <v>0</v>
      </c>
      <c r="Q1623" s="561">
        <f t="shared" si="227"/>
        <v>0</v>
      </c>
      <c r="R1623" s="174"/>
      <c r="T1623" s="82"/>
      <c r="U1623" s="82"/>
      <c r="V1623" s="82"/>
      <c r="W1623" s="82"/>
      <c r="X1623" s="82"/>
      <c r="Y1623" s="82"/>
      <c r="Z1623" s="82"/>
      <c r="AA1623" s="82"/>
      <c r="AB1623" s="82"/>
    </row>
    <row r="1624" spans="1:28" s="85" customFormat="1" x14ac:dyDescent="0.25">
      <c r="A1624" s="82"/>
      <c r="B1624" s="82"/>
      <c r="C1624" s="82"/>
      <c r="D1624" s="729"/>
      <c r="E1624" s="371" t="s">
        <v>113</v>
      </c>
      <c r="F1624" s="372">
        <v>17</v>
      </c>
      <c r="G1624" s="373">
        <v>6</v>
      </c>
      <c r="H1624" s="374">
        <v>10</v>
      </c>
      <c r="I1624" s="375">
        <v>3.78</v>
      </c>
      <c r="J1624" s="376">
        <f t="shared" si="93"/>
        <v>22.68</v>
      </c>
      <c r="K1624" s="66">
        <f t="shared" si="228"/>
        <v>0</v>
      </c>
      <c r="L1624" s="63">
        <f t="shared" si="229"/>
        <v>0</v>
      </c>
      <c r="M1624" s="63">
        <f t="shared" si="230"/>
        <v>0</v>
      </c>
      <c r="N1624" s="63">
        <f t="shared" si="231"/>
        <v>13.99356</v>
      </c>
      <c r="O1624" s="63">
        <f t="shared" si="232"/>
        <v>0</v>
      </c>
      <c r="P1624" s="63">
        <f t="shared" si="233"/>
        <v>0</v>
      </c>
      <c r="Q1624" s="561">
        <f t="shared" si="227"/>
        <v>0</v>
      </c>
      <c r="R1624" s="174"/>
      <c r="T1624" s="82"/>
      <c r="U1624" s="82"/>
      <c r="V1624" s="82"/>
      <c r="W1624" s="82"/>
      <c r="X1624" s="82"/>
      <c r="Y1624" s="82"/>
      <c r="Z1624" s="82"/>
      <c r="AA1624" s="82"/>
      <c r="AB1624" s="82"/>
    </row>
    <row r="1625" spans="1:28" s="85" customFormat="1" x14ac:dyDescent="0.25">
      <c r="A1625" s="82"/>
      <c r="B1625" s="82"/>
      <c r="C1625" s="82"/>
      <c r="D1625" s="729"/>
      <c r="E1625" s="396" t="s">
        <v>184</v>
      </c>
      <c r="F1625" s="403">
        <v>9</v>
      </c>
      <c r="G1625" s="397">
        <v>10</v>
      </c>
      <c r="H1625" s="398">
        <v>5</v>
      </c>
      <c r="I1625" s="399">
        <v>0.24</v>
      </c>
      <c r="J1625" s="400">
        <f t="shared" si="93"/>
        <v>2.4</v>
      </c>
      <c r="K1625" s="401">
        <f t="shared" si="228"/>
        <v>0.36959999999999998</v>
      </c>
      <c r="L1625" s="196">
        <f t="shared" si="229"/>
        <v>0</v>
      </c>
      <c r="M1625" s="196">
        <f t="shared" si="230"/>
        <v>0</v>
      </c>
      <c r="N1625" s="196">
        <f t="shared" si="231"/>
        <v>0</v>
      </c>
      <c r="O1625" s="196">
        <f t="shared" si="232"/>
        <v>0</v>
      </c>
      <c r="P1625" s="196">
        <f t="shared" si="233"/>
        <v>0</v>
      </c>
      <c r="Q1625" s="566">
        <f t="shared" si="227"/>
        <v>0</v>
      </c>
      <c r="R1625" s="538"/>
      <c r="T1625" s="82"/>
      <c r="U1625" s="82"/>
      <c r="V1625" s="82"/>
      <c r="W1625" s="82"/>
      <c r="X1625" s="82"/>
      <c r="Y1625" s="82"/>
      <c r="Z1625" s="82"/>
      <c r="AA1625" s="82"/>
      <c r="AB1625" s="82"/>
    </row>
    <row r="1626" spans="1:28" s="85" customFormat="1" x14ac:dyDescent="0.25">
      <c r="A1626" s="82"/>
      <c r="B1626" s="82"/>
      <c r="C1626" s="82"/>
      <c r="D1626" s="729"/>
      <c r="E1626" s="371" t="s">
        <v>184</v>
      </c>
      <c r="F1626" s="372">
        <v>12</v>
      </c>
      <c r="G1626" s="373">
        <v>8</v>
      </c>
      <c r="H1626" s="374">
        <v>5</v>
      </c>
      <c r="I1626" s="375">
        <v>1.17</v>
      </c>
      <c r="J1626" s="376">
        <f t="shared" si="93"/>
        <v>9.36</v>
      </c>
      <c r="K1626" s="66">
        <f t="shared" si="228"/>
        <v>1.4414399999999998</v>
      </c>
      <c r="L1626" s="63">
        <f t="shared" si="229"/>
        <v>0</v>
      </c>
      <c r="M1626" s="63">
        <f t="shared" si="230"/>
        <v>0</v>
      </c>
      <c r="N1626" s="63">
        <f t="shared" si="231"/>
        <v>0</v>
      </c>
      <c r="O1626" s="63">
        <f t="shared" si="232"/>
        <v>0</v>
      </c>
      <c r="P1626" s="63">
        <f t="shared" si="233"/>
        <v>0</v>
      </c>
      <c r="Q1626" s="562">
        <f t="shared" si="227"/>
        <v>0</v>
      </c>
      <c r="R1626" s="377"/>
      <c r="T1626" s="82"/>
      <c r="U1626" s="82"/>
      <c r="V1626" s="82"/>
      <c r="W1626" s="82"/>
      <c r="X1626" s="82"/>
      <c r="Y1626" s="82"/>
      <c r="Z1626" s="82"/>
      <c r="AA1626" s="82"/>
      <c r="AB1626" s="82"/>
    </row>
    <row r="1627" spans="1:28" s="85" customFormat="1" x14ac:dyDescent="0.25">
      <c r="A1627" s="82"/>
      <c r="B1627" s="82"/>
      <c r="C1627" s="82"/>
      <c r="D1627" s="729"/>
      <c r="E1627" s="371" t="s">
        <v>184</v>
      </c>
      <c r="F1627" s="372">
        <v>13</v>
      </c>
      <c r="G1627" s="373">
        <v>4</v>
      </c>
      <c r="H1627" s="374">
        <v>5</v>
      </c>
      <c r="I1627" s="375">
        <v>0.74</v>
      </c>
      <c r="J1627" s="376">
        <f t="shared" si="93"/>
        <v>2.96</v>
      </c>
      <c r="K1627" s="66">
        <f t="shared" si="228"/>
        <v>0.45583999999999997</v>
      </c>
      <c r="L1627" s="63">
        <f t="shared" si="229"/>
        <v>0</v>
      </c>
      <c r="M1627" s="63">
        <f t="shared" si="230"/>
        <v>0</v>
      </c>
      <c r="N1627" s="63">
        <f t="shared" si="231"/>
        <v>0</v>
      </c>
      <c r="O1627" s="63">
        <f t="shared" si="232"/>
        <v>0</v>
      </c>
      <c r="P1627" s="63">
        <f t="shared" si="233"/>
        <v>0</v>
      </c>
      <c r="Q1627" s="562">
        <f t="shared" si="227"/>
        <v>0</v>
      </c>
      <c r="R1627" s="377"/>
      <c r="T1627" s="82"/>
      <c r="U1627" s="82"/>
      <c r="V1627" s="82"/>
      <c r="W1627" s="82"/>
      <c r="X1627" s="82"/>
      <c r="Y1627" s="82"/>
      <c r="Z1627" s="82"/>
      <c r="AA1627" s="82"/>
      <c r="AB1627" s="82"/>
    </row>
    <row r="1628" spans="1:28" s="85" customFormat="1" ht="13.8" thickBot="1" x14ac:dyDescent="0.3">
      <c r="A1628" s="82"/>
      <c r="B1628" s="82"/>
      <c r="C1628" s="82"/>
      <c r="D1628" s="731"/>
      <c r="E1628" s="390" t="s">
        <v>184</v>
      </c>
      <c r="F1628" s="391">
        <v>38</v>
      </c>
      <c r="G1628" s="392">
        <v>6</v>
      </c>
      <c r="H1628" s="393">
        <v>10</v>
      </c>
      <c r="I1628" s="394">
        <v>1.02</v>
      </c>
      <c r="J1628" s="395">
        <f t="shared" si="93"/>
        <v>6.12</v>
      </c>
      <c r="K1628" s="221">
        <f t="shared" si="228"/>
        <v>0</v>
      </c>
      <c r="L1628" s="222">
        <f t="shared" si="229"/>
        <v>0</v>
      </c>
      <c r="M1628" s="222">
        <f t="shared" si="230"/>
        <v>0</v>
      </c>
      <c r="N1628" s="222">
        <f t="shared" si="231"/>
        <v>3.7760400000000001</v>
      </c>
      <c r="O1628" s="222">
        <f t="shared" si="232"/>
        <v>0</v>
      </c>
      <c r="P1628" s="222">
        <f t="shared" si="233"/>
        <v>0</v>
      </c>
      <c r="Q1628" s="564">
        <f t="shared" si="227"/>
        <v>0</v>
      </c>
      <c r="R1628" s="539"/>
      <c r="T1628" s="82"/>
      <c r="U1628" s="82"/>
      <c r="V1628" s="82"/>
      <c r="W1628" s="82"/>
      <c r="X1628" s="82"/>
      <c r="Y1628" s="82"/>
      <c r="Z1628" s="82"/>
      <c r="AA1628" s="82"/>
      <c r="AB1628" s="82"/>
    </row>
    <row r="1629" spans="1:28" s="85" customFormat="1" ht="13.8" thickTop="1" x14ac:dyDescent="0.25">
      <c r="A1629" s="82"/>
      <c r="B1629" s="82"/>
      <c r="C1629" s="82"/>
      <c r="D1629" s="728" t="s">
        <v>2024</v>
      </c>
      <c r="E1629" s="384" t="s">
        <v>49</v>
      </c>
      <c r="F1629" s="385">
        <v>4</v>
      </c>
      <c r="G1629" s="386">
        <v>14</v>
      </c>
      <c r="H1629" s="387">
        <v>5</v>
      </c>
      <c r="I1629" s="388">
        <v>0.69</v>
      </c>
      <c r="J1629" s="389">
        <f t="shared" si="93"/>
        <v>9.66</v>
      </c>
      <c r="K1629" s="218">
        <f t="shared" si="228"/>
        <v>1.4876400000000001</v>
      </c>
      <c r="L1629" s="219">
        <f t="shared" si="229"/>
        <v>0</v>
      </c>
      <c r="M1629" s="219">
        <f t="shared" si="230"/>
        <v>0</v>
      </c>
      <c r="N1629" s="219">
        <f t="shared" si="231"/>
        <v>0</v>
      </c>
      <c r="O1629" s="219">
        <f t="shared" si="232"/>
        <v>0</v>
      </c>
      <c r="P1629" s="219">
        <f t="shared" si="233"/>
        <v>0</v>
      </c>
      <c r="Q1629" s="563">
        <f t="shared" si="227"/>
        <v>0</v>
      </c>
      <c r="R1629" s="220"/>
      <c r="T1629" s="82"/>
      <c r="U1629" s="82"/>
      <c r="V1629" s="82"/>
      <c r="W1629" s="82"/>
      <c r="X1629" s="82"/>
      <c r="Y1629" s="82"/>
      <c r="Z1629" s="82"/>
      <c r="AA1629" s="82"/>
      <c r="AB1629" s="82"/>
    </row>
    <row r="1630" spans="1:28" s="85" customFormat="1" ht="13.8" thickBot="1" x14ac:dyDescent="0.3">
      <c r="A1630" s="82"/>
      <c r="B1630" s="82"/>
      <c r="C1630" s="82"/>
      <c r="D1630" s="729"/>
      <c r="E1630" s="371" t="s">
        <v>49</v>
      </c>
      <c r="F1630" s="372">
        <v>25</v>
      </c>
      <c r="G1630" s="373">
        <v>4</v>
      </c>
      <c r="H1630" s="374">
        <v>12.5</v>
      </c>
      <c r="I1630" s="375">
        <v>0.99</v>
      </c>
      <c r="J1630" s="376">
        <f t="shared" si="93"/>
        <v>3.96</v>
      </c>
      <c r="K1630" s="66">
        <f t="shared" si="228"/>
        <v>0</v>
      </c>
      <c r="L1630" s="63">
        <f t="shared" si="229"/>
        <v>0</v>
      </c>
      <c r="M1630" s="63">
        <f t="shared" si="230"/>
        <v>0</v>
      </c>
      <c r="N1630" s="63">
        <f t="shared" si="231"/>
        <v>0</v>
      </c>
      <c r="O1630" s="63">
        <f t="shared" si="232"/>
        <v>3.8134799999999998</v>
      </c>
      <c r="P1630" s="63">
        <f t="shared" si="233"/>
        <v>0</v>
      </c>
      <c r="Q1630" s="561">
        <f t="shared" si="227"/>
        <v>0</v>
      </c>
      <c r="R1630" s="174"/>
      <c r="T1630" s="82"/>
      <c r="U1630" s="82"/>
      <c r="V1630" s="82"/>
      <c r="W1630" s="82"/>
      <c r="X1630" s="82"/>
      <c r="Y1630" s="82"/>
      <c r="Z1630" s="82"/>
      <c r="AA1630" s="82"/>
      <c r="AB1630" s="82"/>
    </row>
    <row r="1631" spans="1:28" s="85" customFormat="1" ht="13.8" thickTop="1" x14ac:dyDescent="0.25">
      <c r="A1631" s="82"/>
      <c r="B1631" s="82"/>
      <c r="C1631" s="82"/>
      <c r="D1631" s="728" t="s">
        <v>2025</v>
      </c>
      <c r="E1631" s="384" t="s">
        <v>49</v>
      </c>
      <c r="F1631" s="385">
        <v>17</v>
      </c>
      <c r="G1631" s="386">
        <f>2*9</f>
        <v>18</v>
      </c>
      <c r="H1631" s="387">
        <v>5</v>
      </c>
      <c r="I1631" s="388">
        <v>0.28999999999999998</v>
      </c>
      <c r="J1631" s="389">
        <f t="shared" si="93"/>
        <v>5.22</v>
      </c>
      <c r="K1631" s="218">
        <f t="shared" si="228"/>
        <v>0.80387999999999993</v>
      </c>
      <c r="L1631" s="219">
        <f t="shared" si="229"/>
        <v>0</v>
      </c>
      <c r="M1631" s="219">
        <f t="shared" si="230"/>
        <v>0</v>
      </c>
      <c r="N1631" s="219">
        <f t="shared" si="231"/>
        <v>0</v>
      </c>
      <c r="O1631" s="219">
        <f t="shared" si="232"/>
        <v>0</v>
      </c>
      <c r="P1631" s="219">
        <f t="shared" si="233"/>
        <v>0</v>
      </c>
      <c r="Q1631" s="563">
        <f t="shared" si="227"/>
        <v>0</v>
      </c>
      <c r="R1631" s="220"/>
      <c r="T1631" s="82"/>
      <c r="U1631" s="82"/>
      <c r="V1631" s="82"/>
      <c r="W1631" s="82"/>
      <c r="X1631" s="82"/>
      <c r="Y1631" s="82"/>
      <c r="Z1631" s="82"/>
      <c r="AA1631" s="82"/>
      <c r="AB1631" s="82"/>
    </row>
    <row r="1632" spans="1:28" s="85" customFormat="1" x14ac:dyDescent="0.25">
      <c r="A1632" s="82"/>
      <c r="B1632" s="82"/>
      <c r="C1632" s="82"/>
      <c r="D1632" s="729"/>
      <c r="E1632" s="371" t="s">
        <v>49</v>
      </c>
      <c r="F1632" s="372">
        <v>18</v>
      </c>
      <c r="G1632" s="373">
        <f>2*5</f>
        <v>10</v>
      </c>
      <c r="H1632" s="374">
        <v>5</v>
      </c>
      <c r="I1632" s="375">
        <v>1.07</v>
      </c>
      <c r="J1632" s="376">
        <f t="shared" si="93"/>
        <v>10.700000000000001</v>
      </c>
      <c r="K1632" s="66">
        <f t="shared" si="228"/>
        <v>1.6478000000000002</v>
      </c>
      <c r="L1632" s="63">
        <f t="shared" si="229"/>
        <v>0</v>
      </c>
      <c r="M1632" s="63">
        <f t="shared" si="230"/>
        <v>0</v>
      </c>
      <c r="N1632" s="63">
        <f t="shared" si="231"/>
        <v>0</v>
      </c>
      <c r="O1632" s="63">
        <f t="shared" si="232"/>
        <v>0</v>
      </c>
      <c r="P1632" s="63">
        <f t="shared" si="233"/>
        <v>0</v>
      </c>
      <c r="Q1632" s="561">
        <f t="shared" si="227"/>
        <v>0</v>
      </c>
      <c r="R1632" s="174"/>
      <c r="T1632" s="82"/>
      <c r="U1632" s="82"/>
      <c r="V1632" s="82"/>
      <c r="W1632" s="82"/>
      <c r="X1632" s="82"/>
      <c r="Y1632" s="82"/>
      <c r="Z1632" s="82"/>
      <c r="AA1632" s="82"/>
      <c r="AB1632" s="82"/>
    </row>
    <row r="1633" spans="1:28" s="85" customFormat="1" x14ac:dyDescent="0.25">
      <c r="A1633" s="82"/>
      <c r="B1633" s="82"/>
      <c r="C1633" s="82"/>
      <c r="D1633" s="729"/>
      <c r="E1633" s="371" t="s">
        <v>49</v>
      </c>
      <c r="F1633" s="372">
        <v>19</v>
      </c>
      <c r="G1633" s="373">
        <f>2*8</f>
        <v>16</v>
      </c>
      <c r="H1633" s="374">
        <v>5</v>
      </c>
      <c r="I1633" s="375">
        <v>0.74</v>
      </c>
      <c r="J1633" s="376">
        <f t="shared" si="93"/>
        <v>11.84</v>
      </c>
      <c r="K1633" s="66">
        <f t="shared" si="228"/>
        <v>1.8233599999999999</v>
      </c>
      <c r="L1633" s="63">
        <f t="shared" si="229"/>
        <v>0</v>
      </c>
      <c r="M1633" s="63">
        <f t="shared" si="230"/>
        <v>0</v>
      </c>
      <c r="N1633" s="63">
        <f t="shared" si="231"/>
        <v>0</v>
      </c>
      <c r="O1633" s="63">
        <f t="shared" si="232"/>
        <v>0</v>
      </c>
      <c r="P1633" s="63">
        <f t="shared" si="233"/>
        <v>0</v>
      </c>
      <c r="Q1633" s="561">
        <f t="shared" si="227"/>
        <v>0</v>
      </c>
      <c r="R1633" s="174"/>
      <c r="T1633" s="82"/>
      <c r="U1633" s="82"/>
      <c r="V1633" s="82"/>
      <c r="W1633" s="82"/>
      <c r="X1633" s="82"/>
      <c r="Y1633" s="82"/>
      <c r="Z1633" s="82"/>
      <c r="AA1633" s="82"/>
      <c r="AB1633" s="82"/>
    </row>
    <row r="1634" spans="1:28" s="85" customFormat="1" x14ac:dyDescent="0.25">
      <c r="A1634" s="82"/>
      <c r="B1634" s="82"/>
      <c r="C1634" s="82"/>
      <c r="D1634" s="729"/>
      <c r="E1634" s="371" t="s">
        <v>49</v>
      </c>
      <c r="F1634" s="372">
        <v>23</v>
      </c>
      <c r="G1634" s="373">
        <f>2*6</f>
        <v>12</v>
      </c>
      <c r="H1634" s="374">
        <v>10</v>
      </c>
      <c r="I1634" s="375">
        <v>1.37</v>
      </c>
      <c r="J1634" s="376">
        <f t="shared" si="93"/>
        <v>16.440000000000001</v>
      </c>
      <c r="K1634" s="66">
        <f t="shared" si="228"/>
        <v>0</v>
      </c>
      <c r="L1634" s="63">
        <f t="shared" si="229"/>
        <v>0</v>
      </c>
      <c r="M1634" s="63">
        <f t="shared" si="230"/>
        <v>0</v>
      </c>
      <c r="N1634" s="63">
        <f t="shared" si="231"/>
        <v>10.14348</v>
      </c>
      <c r="O1634" s="63">
        <f t="shared" si="232"/>
        <v>0</v>
      </c>
      <c r="P1634" s="63">
        <f t="shared" si="233"/>
        <v>0</v>
      </c>
      <c r="Q1634" s="561">
        <f t="shared" si="227"/>
        <v>0</v>
      </c>
      <c r="R1634" s="174"/>
      <c r="T1634" s="82"/>
      <c r="U1634" s="82"/>
      <c r="V1634" s="82"/>
      <c r="W1634" s="82"/>
      <c r="X1634" s="82"/>
      <c r="Y1634" s="82"/>
      <c r="Z1634" s="82"/>
      <c r="AA1634" s="82"/>
      <c r="AB1634" s="82"/>
    </row>
    <row r="1635" spans="1:28" s="85" customFormat="1" x14ac:dyDescent="0.25">
      <c r="A1635" s="82"/>
      <c r="B1635" s="82"/>
      <c r="C1635" s="82"/>
      <c r="D1635" s="729"/>
      <c r="E1635" s="371" t="s">
        <v>113</v>
      </c>
      <c r="F1635" s="372">
        <v>4</v>
      </c>
      <c r="G1635" s="373">
        <f>2*30</f>
        <v>60</v>
      </c>
      <c r="H1635" s="374">
        <v>5</v>
      </c>
      <c r="I1635" s="375">
        <v>0.28999999999999998</v>
      </c>
      <c r="J1635" s="376">
        <f t="shared" si="93"/>
        <v>17.399999999999999</v>
      </c>
      <c r="K1635" s="66">
        <f t="shared" si="228"/>
        <v>2.6795999999999998</v>
      </c>
      <c r="L1635" s="63">
        <f t="shared" si="229"/>
        <v>0</v>
      </c>
      <c r="M1635" s="63">
        <f t="shared" si="230"/>
        <v>0</v>
      </c>
      <c r="N1635" s="63">
        <f t="shared" si="231"/>
        <v>0</v>
      </c>
      <c r="O1635" s="63">
        <f t="shared" si="232"/>
        <v>0</v>
      </c>
      <c r="P1635" s="63">
        <f t="shared" si="233"/>
        <v>0</v>
      </c>
      <c r="Q1635" s="561">
        <f t="shared" si="227"/>
        <v>0</v>
      </c>
      <c r="R1635" s="174"/>
      <c r="T1635" s="82"/>
      <c r="U1635" s="82"/>
      <c r="V1635" s="82"/>
      <c r="W1635" s="82"/>
      <c r="X1635" s="82"/>
      <c r="Y1635" s="82"/>
      <c r="Z1635" s="82"/>
      <c r="AA1635" s="82"/>
      <c r="AB1635" s="82"/>
    </row>
    <row r="1636" spans="1:28" s="85" customFormat="1" x14ac:dyDescent="0.25">
      <c r="A1636" s="82"/>
      <c r="B1636" s="82"/>
      <c r="C1636" s="82"/>
      <c r="D1636" s="729"/>
      <c r="E1636" s="371" t="s">
        <v>113</v>
      </c>
      <c r="F1636" s="372">
        <v>5</v>
      </c>
      <c r="G1636" s="373">
        <f>2*25</f>
        <v>50</v>
      </c>
      <c r="H1636" s="374">
        <v>5</v>
      </c>
      <c r="I1636" s="375">
        <v>1.07</v>
      </c>
      <c r="J1636" s="376">
        <f t="shared" si="93"/>
        <v>53.5</v>
      </c>
      <c r="K1636" s="66">
        <f t="shared" si="228"/>
        <v>8.2390000000000008</v>
      </c>
      <c r="L1636" s="63">
        <f t="shared" si="229"/>
        <v>0</v>
      </c>
      <c r="M1636" s="63">
        <f t="shared" si="230"/>
        <v>0</v>
      </c>
      <c r="N1636" s="63">
        <f t="shared" si="231"/>
        <v>0</v>
      </c>
      <c r="O1636" s="63">
        <f t="shared" si="232"/>
        <v>0</v>
      </c>
      <c r="P1636" s="63">
        <f t="shared" si="233"/>
        <v>0</v>
      </c>
      <c r="Q1636" s="561">
        <f t="shared" si="227"/>
        <v>0</v>
      </c>
      <c r="R1636" s="174"/>
      <c r="T1636" s="82"/>
      <c r="U1636" s="82"/>
      <c r="V1636" s="82"/>
      <c r="W1636" s="82"/>
      <c r="X1636" s="82"/>
      <c r="Y1636" s="82"/>
      <c r="Z1636" s="82"/>
      <c r="AA1636" s="82"/>
      <c r="AB1636" s="82"/>
    </row>
    <row r="1637" spans="1:28" s="85" customFormat="1" x14ac:dyDescent="0.25">
      <c r="A1637" s="82"/>
      <c r="B1637" s="82"/>
      <c r="C1637" s="82"/>
      <c r="D1637" s="729"/>
      <c r="E1637" s="371" t="s">
        <v>113</v>
      </c>
      <c r="F1637" s="372">
        <v>6</v>
      </c>
      <c r="G1637" s="373">
        <f>2*10</f>
        <v>20</v>
      </c>
      <c r="H1637" s="374">
        <v>5</v>
      </c>
      <c r="I1637" s="375">
        <v>0.74</v>
      </c>
      <c r="J1637" s="376">
        <f t="shared" si="93"/>
        <v>14.8</v>
      </c>
      <c r="K1637" s="66">
        <f t="shared" si="228"/>
        <v>2.2791999999999999</v>
      </c>
      <c r="L1637" s="63">
        <f t="shared" si="229"/>
        <v>0</v>
      </c>
      <c r="M1637" s="63">
        <f t="shared" si="230"/>
        <v>0</v>
      </c>
      <c r="N1637" s="63">
        <f t="shared" si="231"/>
        <v>0</v>
      </c>
      <c r="O1637" s="63">
        <f t="shared" si="232"/>
        <v>0</v>
      </c>
      <c r="P1637" s="63">
        <f t="shared" si="233"/>
        <v>0</v>
      </c>
      <c r="Q1637" s="561">
        <f t="shared" si="227"/>
        <v>0</v>
      </c>
      <c r="R1637" s="174"/>
      <c r="T1637" s="82"/>
      <c r="U1637" s="82"/>
      <c r="V1637" s="82"/>
      <c r="W1637" s="82"/>
      <c r="X1637" s="82"/>
      <c r="Y1637" s="82"/>
      <c r="Z1637" s="82"/>
      <c r="AA1637" s="82"/>
      <c r="AB1637" s="82"/>
    </row>
    <row r="1638" spans="1:28" s="85" customFormat="1" x14ac:dyDescent="0.25">
      <c r="A1638" s="82"/>
      <c r="B1638" s="82"/>
      <c r="C1638" s="82"/>
      <c r="D1638" s="729"/>
      <c r="E1638" s="371" t="s">
        <v>113</v>
      </c>
      <c r="F1638" s="372">
        <v>17</v>
      </c>
      <c r="G1638" s="373">
        <f>2*6</f>
        <v>12</v>
      </c>
      <c r="H1638" s="374">
        <v>10</v>
      </c>
      <c r="I1638" s="375">
        <v>3.78</v>
      </c>
      <c r="J1638" s="376">
        <f t="shared" si="93"/>
        <v>45.36</v>
      </c>
      <c r="K1638" s="66">
        <f t="shared" si="228"/>
        <v>0</v>
      </c>
      <c r="L1638" s="63">
        <f t="shared" si="229"/>
        <v>0</v>
      </c>
      <c r="M1638" s="63">
        <f t="shared" si="230"/>
        <v>0</v>
      </c>
      <c r="N1638" s="63">
        <f t="shared" si="231"/>
        <v>27.987120000000001</v>
      </c>
      <c r="O1638" s="63">
        <f t="shared" si="232"/>
        <v>0</v>
      </c>
      <c r="P1638" s="63">
        <f t="shared" si="233"/>
        <v>0</v>
      </c>
      <c r="Q1638" s="561">
        <f t="shared" si="227"/>
        <v>0</v>
      </c>
      <c r="R1638" s="174"/>
      <c r="T1638" s="82"/>
      <c r="U1638" s="82"/>
      <c r="V1638" s="82"/>
      <c r="W1638" s="82"/>
      <c r="X1638" s="82"/>
      <c r="Y1638" s="82"/>
      <c r="Z1638" s="82"/>
      <c r="AA1638" s="82"/>
      <c r="AB1638" s="82"/>
    </row>
    <row r="1639" spans="1:28" s="85" customFormat="1" x14ac:dyDescent="0.25">
      <c r="A1639" s="82"/>
      <c r="B1639" s="82"/>
      <c r="C1639" s="82"/>
      <c r="D1639" s="729"/>
      <c r="E1639" s="396" t="s">
        <v>184</v>
      </c>
      <c r="F1639" s="403">
        <v>3</v>
      </c>
      <c r="G1639" s="397">
        <f>2*10</f>
        <v>20</v>
      </c>
      <c r="H1639" s="398">
        <v>5</v>
      </c>
      <c r="I1639" s="399">
        <v>0.28999999999999998</v>
      </c>
      <c r="J1639" s="400">
        <f t="shared" si="93"/>
        <v>5.8</v>
      </c>
      <c r="K1639" s="401">
        <f t="shared" si="228"/>
        <v>0.89319999999999999</v>
      </c>
      <c r="L1639" s="196">
        <f t="shared" si="229"/>
        <v>0</v>
      </c>
      <c r="M1639" s="196">
        <f t="shared" si="230"/>
        <v>0</v>
      </c>
      <c r="N1639" s="196">
        <f t="shared" si="231"/>
        <v>0</v>
      </c>
      <c r="O1639" s="196">
        <f t="shared" si="232"/>
        <v>0</v>
      </c>
      <c r="P1639" s="196">
        <f t="shared" si="233"/>
        <v>0</v>
      </c>
      <c r="Q1639" s="566">
        <f t="shared" si="227"/>
        <v>0</v>
      </c>
      <c r="R1639" s="538"/>
      <c r="T1639" s="82"/>
      <c r="U1639" s="82"/>
      <c r="V1639" s="82"/>
      <c r="W1639" s="82"/>
      <c r="X1639" s="82"/>
      <c r="Y1639" s="82"/>
      <c r="Z1639" s="82"/>
      <c r="AA1639" s="82"/>
      <c r="AB1639" s="82"/>
    </row>
    <row r="1640" spans="1:28" s="85" customFormat="1" x14ac:dyDescent="0.25">
      <c r="A1640" s="82"/>
      <c r="B1640" s="82"/>
      <c r="C1640" s="82"/>
      <c r="D1640" s="729"/>
      <c r="E1640" s="371" t="s">
        <v>184</v>
      </c>
      <c r="F1640" s="372">
        <v>4</v>
      </c>
      <c r="G1640" s="373">
        <f>2*8</f>
        <v>16</v>
      </c>
      <c r="H1640" s="374">
        <v>5</v>
      </c>
      <c r="I1640" s="375">
        <v>1.07</v>
      </c>
      <c r="J1640" s="376">
        <f t="shared" si="93"/>
        <v>17.12</v>
      </c>
      <c r="K1640" s="66">
        <f t="shared" si="228"/>
        <v>2.6364800000000002</v>
      </c>
      <c r="L1640" s="63">
        <f t="shared" si="229"/>
        <v>0</v>
      </c>
      <c r="M1640" s="63">
        <f t="shared" si="230"/>
        <v>0</v>
      </c>
      <c r="N1640" s="63">
        <f t="shared" si="231"/>
        <v>0</v>
      </c>
      <c r="O1640" s="63">
        <f t="shared" si="232"/>
        <v>0</v>
      </c>
      <c r="P1640" s="63">
        <f t="shared" si="233"/>
        <v>0</v>
      </c>
      <c r="Q1640" s="562">
        <f t="shared" si="227"/>
        <v>0</v>
      </c>
      <c r="R1640" s="377"/>
      <c r="T1640" s="82"/>
      <c r="U1640" s="82"/>
      <c r="V1640" s="82"/>
      <c r="W1640" s="82"/>
      <c r="X1640" s="82"/>
      <c r="Y1640" s="82"/>
      <c r="Z1640" s="82"/>
      <c r="AA1640" s="82"/>
      <c r="AB1640" s="82"/>
    </row>
    <row r="1641" spans="1:28" s="85" customFormat="1" x14ac:dyDescent="0.25">
      <c r="A1641" s="82"/>
      <c r="B1641" s="82"/>
      <c r="C1641" s="82"/>
      <c r="D1641" s="729"/>
      <c r="E1641" s="371" t="s">
        <v>184</v>
      </c>
      <c r="F1641" s="372">
        <v>5</v>
      </c>
      <c r="G1641" s="373">
        <f>2*4</f>
        <v>8</v>
      </c>
      <c r="H1641" s="374">
        <v>5</v>
      </c>
      <c r="I1641" s="375">
        <v>0.74</v>
      </c>
      <c r="J1641" s="376">
        <f t="shared" si="93"/>
        <v>5.92</v>
      </c>
      <c r="K1641" s="66">
        <f t="shared" si="228"/>
        <v>0.91167999999999993</v>
      </c>
      <c r="L1641" s="63">
        <f t="shared" si="229"/>
        <v>0</v>
      </c>
      <c r="M1641" s="63">
        <f t="shared" si="230"/>
        <v>0</v>
      </c>
      <c r="N1641" s="63">
        <f t="shared" si="231"/>
        <v>0</v>
      </c>
      <c r="O1641" s="63">
        <f t="shared" si="232"/>
        <v>0</v>
      </c>
      <c r="P1641" s="63">
        <f t="shared" si="233"/>
        <v>0</v>
      </c>
      <c r="Q1641" s="562">
        <f t="shared" si="227"/>
        <v>0</v>
      </c>
      <c r="R1641" s="377"/>
      <c r="T1641" s="82"/>
      <c r="U1641" s="82"/>
      <c r="V1641" s="82"/>
      <c r="W1641" s="82"/>
      <c r="X1641" s="82"/>
      <c r="Y1641" s="82"/>
      <c r="Z1641" s="82"/>
      <c r="AA1641" s="82"/>
      <c r="AB1641" s="82"/>
    </row>
    <row r="1642" spans="1:28" s="85" customFormat="1" ht="13.8" thickBot="1" x14ac:dyDescent="0.3">
      <c r="A1642" s="82"/>
      <c r="B1642" s="82"/>
      <c r="C1642" s="82"/>
      <c r="D1642" s="731"/>
      <c r="E1642" s="390" t="s">
        <v>184</v>
      </c>
      <c r="F1642" s="391">
        <v>38</v>
      </c>
      <c r="G1642" s="392">
        <f>2*6</f>
        <v>12</v>
      </c>
      <c r="H1642" s="393">
        <v>10</v>
      </c>
      <c r="I1642" s="394">
        <v>1.02</v>
      </c>
      <c r="J1642" s="395">
        <f t="shared" si="93"/>
        <v>12.24</v>
      </c>
      <c r="K1642" s="221">
        <f t="shared" si="228"/>
        <v>0</v>
      </c>
      <c r="L1642" s="222">
        <f t="shared" si="229"/>
        <v>0</v>
      </c>
      <c r="M1642" s="222">
        <f t="shared" si="230"/>
        <v>0</v>
      </c>
      <c r="N1642" s="222">
        <f t="shared" si="231"/>
        <v>7.5520800000000001</v>
      </c>
      <c r="O1642" s="222">
        <f t="shared" si="232"/>
        <v>0</v>
      </c>
      <c r="P1642" s="222">
        <f t="shared" si="233"/>
        <v>0</v>
      </c>
      <c r="Q1642" s="564">
        <f t="shared" si="227"/>
        <v>0</v>
      </c>
      <c r="R1642" s="539"/>
      <c r="T1642" s="82"/>
      <c r="U1642" s="82"/>
      <c r="V1642" s="82"/>
      <c r="W1642" s="82"/>
      <c r="X1642" s="82"/>
      <c r="Y1642" s="82"/>
      <c r="Z1642" s="82"/>
      <c r="AA1642" s="82"/>
      <c r="AB1642" s="82"/>
    </row>
    <row r="1643" spans="1:28" s="85" customFormat="1" ht="13.8" thickTop="1" x14ac:dyDescent="0.25">
      <c r="A1643" s="82"/>
      <c r="B1643" s="82"/>
      <c r="C1643" s="82"/>
      <c r="D1643" s="728" t="s">
        <v>2026</v>
      </c>
      <c r="E1643" s="384" t="s">
        <v>49</v>
      </c>
      <c r="F1643" s="385">
        <v>17</v>
      </c>
      <c r="G1643" s="386">
        <f>2*9</f>
        <v>18</v>
      </c>
      <c r="H1643" s="387">
        <v>5</v>
      </c>
      <c r="I1643" s="388">
        <v>0.28999999999999998</v>
      </c>
      <c r="J1643" s="389">
        <f t="shared" si="93"/>
        <v>5.22</v>
      </c>
      <c r="K1643" s="218">
        <f t="shared" si="228"/>
        <v>0.80387999999999993</v>
      </c>
      <c r="L1643" s="219">
        <f t="shared" si="229"/>
        <v>0</v>
      </c>
      <c r="M1643" s="219">
        <f t="shared" si="230"/>
        <v>0</v>
      </c>
      <c r="N1643" s="219">
        <f t="shared" si="231"/>
        <v>0</v>
      </c>
      <c r="O1643" s="219">
        <f t="shared" si="232"/>
        <v>0</v>
      </c>
      <c r="P1643" s="219">
        <f t="shared" si="233"/>
        <v>0</v>
      </c>
      <c r="Q1643" s="563">
        <f t="shared" si="227"/>
        <v>0</v>
      </c>
      <c r="R1643" s="220"/>
      <c r="T1643" s="82"/>
      <c r="U1643" s="82"/>
      <c r="V1643" s="82"/>
      <c r="W1643" s="82"/>
      <c r="X1643" s="82"/>
      <c r="Y1643" s="82"/>
      <c r="Z1643" s="82"/>
      <c r="AA1643" s="82"/>
      <c r="AB1643" s="82"/>
    </row>
    <row r="1644" spans="1:28" s="85" customFormat="1" x14ac:dyDescent="0.25">
      <c r="A1644" s="82"/>
      <c r="B1644" s="82"/>
      <c r="C1644" s="82"/>
      <c r="D1644" s="729"/>
      <c r="E1644" s="371" t="s">
        <v>49</v>
      </c>
      <c r="F1644" s="372">
        <v>18</v>
      </c>
      <c r="G1644" s="373">
        <f>2*5</f>
        <v>10</v>
      </c>
      <c r="H1644" s="374">
        <v>5</v>
      </c>
      <c r="I1644" s="375">
        <v>1.07</v>
      </c>
      <c r="J1644" s="376">
        <f t="shared" si="93"/>
        <v>10.700000000000001</v>
      </c>
      <c r="K1644" s="66">
        <f t="shared" si="228"/>
        <v>1.6478000000000002</v>
      </c>
      <c r="L1644" s="63">
        <f t="shared" si="229"/>
        <v>0</v>
      </c>
      <c r="M1644" s="63">
        <f t="shared" si="230"/>
        <v>0</v>
      </c>
      <c r="N1644" s="63">
        <f t="shared" si="231"/>
        <v>0</v>
      </c>
      <c r="O1644" s="63">
        <f t="shared" si="232"/>
        <v>0</v>
      </c>
      <c r="P1644" s="63">
        <f t="shared" si="233"/>
        <v>0</v>
      </c>
      <c r="Q1644" s="561">
        <f t="shared" si="227"/>
        <v>0</v>
      </c>
      <c r="R1644" s="174"/>
      <c r="T1644" s="82"/>
      <c r="U1644" s="82"/>
      <c r="V1644" s="82"/>
      <c r="W1644" s="82"/>
      <c r="X1644" s="82"/>
      <c r="Y1644" s="82"/>
      <c r="Z1644" s="82"/>
      <c r="AA1644" s="82"/>
      <c r="AB1644" s="82"/>
    </row>
    <row r="1645" spans="1:28" s="85" customFormat="1" x14ac:dyDescent="0.25">
      <c r="A1645" s="82"/>
      <c r="B1645" s="82"/>
      <c r="C1645" s="82"/>
      <c r="D1645" s="729"/>
      <c r="E1645" s="371" t="s">
        <v>49</v>
      </c>
      <c r="F1645" s="372">
        <v>19</v>
      </c>
      <c r="G1645" s="373">
        <f>2*8</f>
        <v>16</v>
      </c>
      <c r="H1645" s="374">
        <v>5</v>
      </c>
      <c r="I1645" s="375">
        <v>0.74</v>
      </c>
      <c r="J1645" s="376">
        <f t="shared" si="93"/>
        <v>11.84</v>
      </c>
      <c r="K1645" s="66">
        <f t="shared" si="228"/>
        <v>1.8233599999999999</v>
      </c>
      <c r="L1645" s="63">
        <f t="shared" si="229"/>
        <v>0</v>
      </c>
      <c r="M1645" s="63">
        <f t="shared" si="230"/>
        <v>0</v>
      </c>
      <c r="N1645" s="63">
        <f t="shared" si="231"/>
        <v>0</v>
      </c>
      <c r="O1645" s="63">
        <f t="shared" si="232"/>
        <v>0</v>
      </c>
      <c r="P1645" s="63">
        <f t="shared" si="233"/>
        <v>0</v>
      </c>
      <c r="Q1645" s="561">
        <f t="shared" si="227"/>
        <v>0</v>
      </c>
      <c r="R1645" s="174"/>
      <c r="T1645" s="82"/>
      <c r="U1645" s="82"/>
      <c r="V1645" s="82"/>
      <c r="W1645" s="82"/>
      <c r="X1645" s="82"/>
      <c r="Y1645" s="82"/>
      <c r="Z1645" s="82"/>
      <c r="AA1645" s="82"/>
      <c r="AB1645" s="82"/>
    </row>
    <row r="1646" spans="1:28" s="85" customFormat="1" x14ac:dyDescent="0.25">
      <c r="A1646" s="82"/>
      <c r="B1646" s="82"/>
      <c r="C1646" s="82"/>
      <c r="D1646" s="729"/>
      <c r="E1646" s="371" t="s">
        <v>49</v>
      </c>
      <c r="F1646" s="372">
        <v>23</v>
      </c>
      <c r="G1646" s="373">
        <f>2*6</f>
        <v>12</v>
      </c>
      <c r="H1646" s="374">
        <v>10</v>
      </c>
      <c r="I1646" s="375">
        <v>1.37</v>
      </c>
      <c r="J1646" s="376">
        <f t="shared" si="93"/>
        <v>16.440000000000001</v>
      </c>
      <c r="K1646" s="66">
        <f t="shared" si="228"/>
        <v>0</v>
      </c>
      <c r="L1646" s="63">
        <f t="shared" si="229"/>
        <v>0</v>
      </c>
      <c r="M1646" s="63">
        <f t="shared" si="230"/>
        <v>0</v>
      </c>
      <c r="N1646" s="63">
        <f t="shared" si="231"/>
        <v>10.14348</v>
      </c>
      <c r="O1646" s="63">
        <f t="shared" si="232"/>
        <v>0</v>
      </c>
      <c r="P1646" s="63">
        <f t="shared" si="233"/>
        <v>0</v>
      </c>
      <c r="Q1646" s="561">
        <f t="shared" si="227"/>
        <v>0</v>
      </c>
      <c r="R1646" s="174"/>
      <c r="T1646" s="82"/>
      <c r="U1646" s="82"/>
      <c r="V1646" s="82"/>
      <c r="W1646" s="82"/>
      <c r="X1646" s="82"/>
      <c r="Y1646" s="82"/>
      <c r="Z1646" s="82"/>
      <c r="AA1646" s="82"/>
      <c r="AB1646" s="82"/>
    </row>
    <row r="1647" spans="1:28" s="85" customFormat="1" x14ac:dyDescent="0.25">
      <c r="A1647" s="82"/>
      <c r="B1647" s="82"/>
      <c r="C1647" s="82"/>
      <c r="D1647" s="729"/>
      <c r="E1647" s="371" t="s">
        <v>113</v>
      </c>
      <c r="F1647" s="372">
        <v>4</v>
      </c>
      <c r="G1647" s="373">
        <f>2*30</f>
        <v>60</v>
      </c>
      <c r="H1647" s="374">
        <v>5</v>
      </c>
      <c r="I1647" s="375">
        <v>0.28999999999999998</v>
      </c>
      <c r="J1647" s="376">
        <f t="shared" si="93"/>
        <v>17.399999999999999</v>
      </c>
      <c r="K1647" s="66">
        <f t="shared" si="228"/>
        <v>2.6795999999999998</v>
      </c>
      <c r="L1647" s="63">
        <f t="shared" si="229"/>
        <v>0</v>
      </c>
      <c r="M1647" s="63">
        <f t="shared" si="230"/>
        <v>0</v>
      </c>
      <c r="N1647" s="63">
        <f t="shared" si="231"/>
        <v>0</v>
      </c>
      <c r="O1647" s="63">
        <f t="shared" si="232"/>
        <v>0</v>
      </c>
      <c r="P1647" s="63">
        <f t="shared" si="233"/>
        <v>0</v>
      </c>
      <c r="Q1647" s="561">
        <f t="shared" si="227"/>
        <v>0</v>
      </c>
      <c r="R1647" s="174"/>
      <c r="T1647" s="82"/>
      <c r="U1647" s="82"/>
      <c r="V1647" s="82"/>
      <c r="W1647" s="82"/>
      <c r="X1647" s="82"/>
      <c r="Y1647" s="82"/>
      <c r="Z1647" s="82"/>
      <c r="AA1647" s="82"/>
      <c r="AB1647" s="82"/>
    </row>
    <row r="1648" spans="1:28" s="85" customFormat="1" x14ac:dyDescent="0.25">
      <c r="A1648" s="82"/>
      <c r="B1648" s="82"/>
      <c r="C1648" s="82"/>
      <c r="D1648" s="729"/>
      <c r="E1648" s="371" t="s">
        <v>113</v>
      </c>
      <c r="F1648" s="372">
        <v>5</v>
      </c>
      <c r="G1648" s="373">
        <f>2*25</f>
        <v>50</v>
      </c>
      <c r="H1648" s="374">
        <v>5</v>
      </c>
      <c r="I1648" s="375">
        <v>1.07</v>
      </c>
      <c r="J1648" s="376">
        <f t="shared" si="93"/>
        <v>53.5</v>
      </c>
      <c r="K1648" s="66">
        <f t="shared" si="228"/>
        <v>8.2390000000000008</v>
      </c>
      <c r="L1648" s="63">
        <f t="shared" si="229"/>
        <v>0</v>
      </c>
      <c r="M1648" s="63">
        <f t="shared" si="230"/>
        <v>0</v>
      </c>
      <c r="N1648" s="63">
        <f t="shared" si="231"/>
        <v>0</v>
      </c>
      <c r="O1648" s="63">
        <f t="shared" si="232"/>
        <v>0</v>
      </c>
      <c r="P1648" s="63">
        <f t="shared" si="233"/>
        <v>0</v>
      </c>
      <c r="Q1648" s="561">
        <f t="shared" si="227"/>
        <v>0</v>
      </c>
      <c r="R1648" s="174"/>
      <c r="T1648" s="82"/>
      <c r="U1648" s="82"/>
      <c r="V1648" s="82"/>
      <c r="W1648" s="82"/>
      <c r="X1648" s="82"/>
      <c r="Y1648" s="82"/>
      <c r="Z1648" s="82"/>
      <c r="AA1648" s="82"/>
      <c r="AB1648" s="82"/>
    </row>
    <row r="1649" spans="1:28" s="85" customFormat="1" x14ac:dyDescent="0.25">
      <c r="A1649" s="82"/>
      <c r="B1649" s="82"/>
      <c r="C1649" s="82"/>
      <c r="D1649" s="729"/>
      <c r="E1649" s="371" t="s">
        <v>113</v>
      </c>
      <c r="F1649" s="372">
        <v>6</v>
      </c>
      <c r="G1649" s="373">
        <f>2*10</f>
        <v>20</v>
      </c>
      <c r="H1649" s="374">
        <v>5</v>
      </c>
      <c r="I1649" s="375">
        <v>0.74</v>
      </c>
      <c r="J1649" s="376">
        <f t="shared" si="93"/>
        <v>14.8</v>
      </c>
      <c r="K1649" s="66">
        <f t="shared" si="228"/>
        <v>2.2791999999999999</v>
      </c>
      <c r="L1649" s="63">
        <f t="shared" si="229"/>
        <v>0</v>
      </c>
      <c r="M1649" s="63">
        <f t="shared" si="230"/>
        <v>0</v>
      </c>
      <c r="N1649" s="63">
        <f t="shared" si="231"/>
        <v>0</v>
      </c>
      <c r="O1649" s="63">
        <f t="shared" si="232"/>
        <v>0</v>
      </c>
      <c r="P1649" s="63">
        <f t="shared" si="233"/>
        <v>0</v>
      </c>
      <c r="Q1649" s="561">
        <f t="shared" si="227"/>
        <v>0</v>
      </c>
      <c r="R1649" s="174"/>
      <c r="T1649" s="82"/>
      <c r="U1649" s="82"/>
      <c r="V1649" s="82"/>
      <c r="W1649" s="82"/>
      <c r="X1649" s="82"/>
      <c r="Y1649" s="82"/>
      <c r="Z1649" s="82"/>
      <c r="AA1649" s="82"/>
      <c r="AB1649" s="82"/>
    </row>
    <row r="1650" spans="1:28" s="85" customFormat="1" ht="13.8" thickBot="1" x14ac:dyDescent="0.3">
      <c r="A1650" s="82"/>
      <c r="B1650" s="82"/>
      <c r="C1650" s="82"/>
      <c r="D1650" s="729"/>
      <c r="E1650" s="371" t="s">
        <v>113</v>
      </c>
      <c r="F1650" s="372">
        <v>19</v>
      </c>
      <c r="G1650" s="373">
        <f>2*6</f>
        <v>12</v>
      </c>
      <c r="H1650" s="374">
        <v>10</v>
      </c>
      <c r="I1650" s="375">
        <v>3.42</v>
      </c>
      <c r="J1650" s="376">
        <f t="shared" si="93"/>
        <v>41.04</v>
      </c>
      <c r="K1650" s="66">
        <f t="shared" si="228"/>
        <v>0</v>
      </c>
      <c r="L1650" s="63">
        <f t="shared" si="229"/>
        <v>0</v>
      </c>
      <c r="M1650" s="63">
        <f t="shared" si="230"/>
        <v>0</v>
      </c>
      <c r="N1650" s="63">
        <f t="shared" si="231"/>
        <v>25.321680000000001</v>
      </c>
      <c r="O1650" s="63">
        <f t="shared" si="232"/>
        <v>0</v>
      </c>
      <c r="P1650" s="63">
        <f t="shared" si="233"/>
        <v>0</v>
      </c>
      <c r="Q1650" s="561">
        <f t="shared" si="227"/>
        <v>0</v>
      </c>
      <c r="R1650" s="174"/>
      <c r="T1650" s="82"/>
      <c r="U1650" s="82"/>
      <c r="V1650" s="82"/>
      <c r="W1650" s="82"/>
      <c r="X1650" s="82"/>
      <c r="Y1650" s="82"/>
      <c r="Z1650" s="82"/>
      <c r="AA1650" s="82"/>
      <c r="AB1650" s="82"/>
    </row>
    <row r="1651" spans="1:28" s="85" customFormat="1" ht="13.8" thickTop="1" x14ac:dyDescent="0.25">
      <c r="A1651" s="82"/>
      <c r="B1651" s="82"/>
      <c r="C1651" s="82"/>
      <c r="D1651" s="728" t="s">
        <v>2027</v>
      </c>
      <c r="E1651" s="384" t="s">
        <v>49</v>
      </c>
      <c r="F1651" s="385">
        <v>7</v>
      </c>
      <c r="G1651" s="386">
        <f>2*18</f>
        <v>36</v>
      </c>
      <c r="H1651" s="387">
        <v>5</v>
      </c>
      <c r="I1651" s="388">
        <v>0.26</v>
      </c>
      <c r="J1651" s="389">
        <f t="shared" si="93"/>
        <v>9.36</v>
      </c>
      <c r="K1651" s="218">
        <f t="shared" ref="K1651:K1702" si="234">IF($H1651=5,$J1651*$B$21,0)</f>
        <v>1.4414399999999998</v>
      </c>
      <c r="L1651" s="219">
        <f t="shared" ref="L1651:L1702" si="235">IF($H1651=6.3,$J1651*$B$22,0)</f>
        <v>0</v>
      </c>
      <c r="M1651" s="219">
        <f t="shared" ref="M1651:M1702" si="236">IF($H1651=8,$J1651*$B$23,0)</f>
        <v>0</v>
      </c>
      <c r="N1651" s="219">
        <f t="shared" ref="N1651:N1702" si="237">IF($H1651=10,$J1651*$B$24,0)</f>
        <v>0</v>
      </c>
      <c r="O1651" s="219">
        <f t="shared" ref="O1651:O1702" si="238">IF($H1651=12.5,$J1651*$B$26,0)</f>
        <v>0</v>
      </c>
      <c r="P1651" s="219">
        <f t="shared" ref="P1651:P1702" si="239">IF($H1651=16,$J1651*$B$27,0)</f>
        <v>0</v>
      </c>
      <c r="Q1651" s="563">
        <f t="shared" si="227"/>
        <v>0</v>
      </c>
      <c r="R1651" s="220"/>
      <c r="T1651" s="82"/>
      <c r="U1651" s="82"/>
      <c r="V1651" s="82"/>
      <c r="W1651" s="82"/>
      <c r="X1651" s="82"/>
      <c r="Y1651" s="82"/>
      <c r="Z1651" s="82"/>
      <c r="AA1651" s="82"/>
      <c r="AB1651" s="82"/>
    </row>
    <row r="1652" spans="1:28" s="85" customFormat="1" x14ac:dyDescent="0.25">
      <c r="A1652" s="82"/>
      <c r="B1652" s="82"/>
      <c r="C1652" s="82"/>
      <c r="D1652" s="729"/>
      <c r="E1652" s="371" t="s">
        <v>49</v>
      </c>
      <c r="F1652" s="372">
        <v>15</v>
      </c>
      <c r="G1652" s="373">
        <f>2*5</f>
        <v>10</v>
      </c>
      <c r="H1652" s="374">
        <v>5</v>
      </c>
      <c r="I1652" s="375">
        <v>1.1499999999999999</v>
      </c>
      <c r="J1652" s="376">
        <f t="shared" si="93"/>
        <v>11.5</v>
      </c>
      <c r="K1652" s="66">
        <f t="shared" si="234"/>
        <v>1.7709999999999999</v>
      </c>
      <c r="L1652" s="63">
        <f t="shared" si="235"/>
        <v>0</v>
      </c>
      <c r="M1652" s="63">
        <f t="shared" si="236"/>
        <v>0</v>
      </c>
      <c r="N1652" s="63">
        <f t="shared" si="237"/>
        <v>0</v>
      </c>
      <c r="O1652" s="63">
        <f t="shared" si="238"/>
        <v>0</v>
      </c>
      <c r="P1652" s="63">
        <f t="shared" si="239"/>
        <v>0</v>
      </c>
      <c r="Q1652" s="561">
        <f t="shared" si="227"/>
        <v>0</v>
      </c>
      <c r="R1652" s="174"/>
      <c r="T1652" s="82"/>
      <c r="U1652" s="82"/>
      <c r="V1652" s="82"/>
      <c r="W1652" s="82"/>
      <c r="X1652" s="82"/>
      <c r="Y1652" s="82"/>
      <c r="Z1652" s="82"/>
      <c r="AA1652" s="82"/>
      <c r="AB1652" s="82"/>
    </row>
    <row r="1653" spans="1:28" s="85" customFormat="1" x14ac:dyDescent="0.25">
      <c r="A1653" s="82"/>
      <c r="B1653" s="82"/>
      <c r="C1653" s="82"/>
      <c r="D1653" s="729"/>
      <c r="E1653" s="371" t="s">
        <v>49</v>
      </c>
      <c r="F1653" s="372">
        <v>16</v>
      </c>
      <c r="G1653" s="373">
        <f>2*8</f>
        <v>16</v>
      </c>
      <c r="H1653" s="374">
        <v>5</v>
      </c>
      <c r="I1653" s="375">
        <v>0.75</v>
      </c>
      <c r="J1653" s="376">
        <f t="shared" si="93"/>
        <v>12</v>
      </c>
      <c r="K1653" s="66">
        <f t="shared" si="234"/>
        <v>1.8479999999999999</v>
      </c>
      <c r="L1653" s="63">
        <f t="shared" si="235"/>
        <v>0</v>
      </c>
      <c r="M1653" s="63">
        <f t="shared" si="236"/>
        <v>0</v>
      </c>
      <c r="N1653" s="63">
        <f t="shared" si="237"/>
        <v>0</v>
      </c>
      <c r="O1653" s="63">
        <f t="shared" si="238"/>
        <v>0</v>
      </c>
      <c r="P1653" s="63">
        <f t="shared" si="239"/>
        <v>0</v>
      </c>
      <c r="Q1653" s="561">
        <f t="shared" si="227"/>
        <v>0</v>
      </c>
      <c r="R1653" s="174"/>
      <c r="T1653" s="82"/>
      <c r="U1653" s="82"/>
      <c r="V1653" s="82"/>
      <c r="W1653" s="82"/>
      <c r="X1653" s="82"/>
      <c r="Y1653" s="82"/>
      <c r="Z1653" s="82"/>
      <c r="AA1653" s="82"/>
      <c r="AB1653" s="82"/>
    </row>
    <row r="1654" spans="1:28" s="85" customFormat="1" x14ac:dyDescent="0.25">
      <c r="A1654" s="82"/>
      <c r="B1654" s="82"/>
      <c r="C1654" s="82"/>
      <c r="D1654" s="729"/>
      <c r="E1654" s="371" t="s">
        <v>49</v>
      </c>
      <c r="F1654" s="372">
        <v>23</v>
      </c>
      <c r="G1654" s="373">
        <f>2*8</f>
        <v>16</v>
      </c>
      <c r="H1654" s="374">
        <v>10</v>
      </c>
      <c r="I1654" s="375">
        <v>1.37</v>
      </c>
      <c r="J1654" s="376">
        <f t="shared" si="93"/>
        <v>21.92</v>
      </c>
      <c r="K1654" s="66">
        <f t="shared" si="234"/>
        <v>0</v>
      </c>
      <c r="L1654" s="63">
        <f t="shared" si="235"/>
        <v>0</v>
      </c>
      <c r="M1654" s="63">
        <f t="shared" si="236"/>
        <v>0</v>
      </c>
      <c r="N1654" s="63">
        <f t="shared" si="237"/>
        <v>13.524640000000002</v>
      </c>
      <c r="O1654" s="63">
        <f t="shared" si="238"/>
        <v>0</v>
      </c>
      <c r="P1654" s="63">
        <f t="shared" si="239"/>
        <v>0</v>
      </c>
      <c r="Q1654" s="561">
        <f t="shared" si="227"/>
        <v>0</v>
      </c>
      <c r="R1654" s="174"/>
      <c r="T1654" s="82"/>
      <c r="U1654" s="82"/>
      <c r="V1654" s="82"/>
      <c r="W1654" s="82"/>
      <c r="X1654" s="82"/>
      <c r="Y1654" s="82"/>
      <c r="Z1654" s="82"/>
      <c r="AA1654" s="82"/>
      <c r="AB1654" s="82"/>
    </row>
    <row r="1655" spans="1:28" s="85" customFormat="1" x14ac:dyDescent="0.25">
      <c r="A1655" s="82"/>
      <c r="B1655" s="82"/>
      <c r="C1655" s="82"/>
      <c r="D1655" s="729"/>
      <c r="E1655" s="371" t="s">
        <v>113</v>
      </c>
      <c r="F1655" s="372">
        <v>4</v>
      </c>
      <c r="G1655" s="373">
        <f>2*60</f>
        <v>120</v>
      </c>
      <c r="H1655" s="374">
        <v>5</v>
      </c>
      <c r="I1655" s="375">
        <v>0.28999999999999998</v>
      </c>
      <c r="J1655" s="376">
        <f t="shared" si="93"/>
        <v>34.799999999999997</v>
      </c>
      <c r="K1655" s="66">
        <f t="shared" si="234"/>
        <v>5.3591999999999995</v>
      </c>
      <c r="L1655" s="63">
        <f t="shared" si="235"/>
        <v>0</v>
      </c>
      <c r="M1655" s="63">
        <f t="shared" si="236"/>
        <v>0</v>
      </c>
      <c r="N1655" s="63">
        <f t="shared" si="237"/>
        <v>0</v>
      </c>
      <c r="O1655" s="63">
        <f t="shared" si="238"/>
        <v>0</v>
      </c>
      <c r="P1655" s="63">
        <f t="shared" si="239"/>
        <v>0</v>
      </c>
      <c r="Q1655" s="561">
        <f t="shared" si="227"/>
        <v>0</v>
      </c>
      <c r="R1655" s="174"/>
      <c r="T1655" s="82"/>
      <c r="U1655" s="82"/>
      <c r="V1655" s="82"/>
      <c r="W1655" s="82"/>
      <c r="X1655" s="82"/>
      <c r="Y1655" s="82"/>
      <c r="Z1655" s="82"/>
      <c r="AA1655" s="82"/>
      <c r="AB1655" s="82"/>
    </row>
    <row r="1656" spans="1:28" s="85" customFormat="1" x14ac:dyDescent="0.25">
      <c r="A1656" s="82"/>
      <c r="B1656" s="82"/>
      <c r="C1656" s="82"/>
      <c r="D1656" s="729"/>
      <c r="E1656" s="371" t="s">
        <v>113</v>
      </c>
      <c r="F1656" s="372">
        <v>13</v>
      </c>
      <c r="G1656" s="373">
        <f>2*25</f>
        <v>50</v>
      </c>
      <c r="H1656" s="374">
        <v>5</v>
      </c>
      <c r="I1656" s="375">
        <v>1.27</v>
      </c>
      <c r="J1656" s="376">
        <f t="shared" si="93"/>
        <v>63.5</v>
      </c>
      <c r="K1656" s="66">
        <f t="shared" si="234"/>
        <v>9.7789999999999999</v>
      </c>
      <c r="L1656" s="63">
        <f t="shared" si="235"/>
        <v>0</v>
      </c>
      <c r="M1656" s="63">
        <f t="shared" si="236"/>
        <v>0</v>
      </c>
      <c r="N1656" s="63">
        <f t="shared" si="237"/>
        <v>0</v>
      </c>
      <c r="O1656" s="63">
        <f t="shared" si="238"/>
        <v>0</v>
      </c>
      <c r="P1656" s="63">
        <f t="shared" si="239"/>
        <v>0</v>
      </c>
      <c r="Q1656" s="561">
        <f t="shared" si="227"/>
        <v>0</v>
      </c>
      <c r="R1656" s="174"/>
      <c r="T1656" s="82"/>
      <c r="U1656" s="82"/>
      <c r="V1656" s="82"/>
      <c r="W1656" s="82"/>
      <c r="X1656" s="82"/>
      <c r="Y1656" s="82"/>
      <c r="Z1656" s="82"/>
      <c r="AA1656" s="82"/>
      <c r="AB1656" s="82"/>
    </row>
    <row r="1657" spans="1:28" s="85" customFormat="1" x14ac:dyDescent="0.25">
      <c r="A1657" s="82"/>
      <c r="B1657" s="82"/>
      <c r="C1657" s="82"/>
      <c r="D1657" s="729"/>
      <c r="E1657" s="371" t="s">
        <v>113</v>
      </c>
      <c r="F1657" s="372">
        <v>14</v>
      </c>
      <c r="G1657" s="373">
        <f>2*10</f>
        <v>20</v>
      </c>
      <c r="H1657" s="374">
        <v>5</v>
      </c>
      <c r="I1657" s="375">
        <v>0.84</v>
      </c>
      <c r="J1657" s="376">
        <f t="shared" si="93"/>
        <v>16.8</v>
      </c>
      <c r="K1657" s="66">
        <f t="shared" si="234"/>
        <v>2.5872000000000002</v>
      </c>
      <c r="L1657" s="63">
        <f t="shared" si="235"/>
        <v>0</v>
      </c>
      <c r="M1657" s="63">
        <f t="shared" si="236"/>
        <v>0</v>
      </c>
      <c r="N1657" s="63">
        <f t="shared" si="237"/>
        <v>0</v>
      </c>
      <c r="O1657" s="63">
        <f t="shared" si="238"/>
        <v>0</v>
      </c>
      <c r="P1657" s="63">
        <f t="shared" si="239"/>
        <v>0</v>
      </c>
      <c r="Q1657" s="561">
        <f t="shared" si="227"/>
        <v>0</v>
      </c>
      <c r="R1657" s="174"/>
      <c r="T1657" s="82"/>
      <c r="U1657" s="82"/>
      <c r="V1657" s="82"/>
      <c r="W1657" s="82"/>
      <c r="X1657" s="82"/>
      <c r="Y1657" s="82"/>
      <c r="Z1657" s="82"/>
      <c r="AA1657" s="82"/>
      <c r="AB1657" s="82"/>
    </row>
    <row r="1658" spans="1:28" s="85" customFormat="1" ht="13.8" thickBot="1" x14ac:dyDescent="0.3">
      <c r="A1658" s="82"/>
      <c r="B1658" s="82"/>
      <c r="C1658" s="82"/>
      <c r="D1658" s="729"/>
      <c r="E1658" s="371" t="s">
        <v>113</v>
      </c>
      <c r="F1658" s="372">
        <v>19</v>
      </c>
      <c r="G1658" s="373">
        <f>2*8</f>
        <v>16</v>
      </c>
      <c r="H1658" s="374">
        <v>10</v>
      </c>
      <c r="I1658" s="375">
        <v>3.42</v>
      </c>
      <c r="J1658" s="376">
        <f t="shared" si="93"/>
        <v>54.72</v>
      </c>
      <c r="K1658" s="66">
        <f t="shared" si="234"/>
        <v>0</v>
      </c>
      <c r="L1658" s="63">
        <f t="shared" si="235"/>
        <v>0</v>
      </c>
      <c r="M1658" s="63">
        <f t="shared" si="236"/>
        <v>0</v>
      </c>
      <c r="N1658" s="63">
        <f t="shared" si="237"/>
        <v>33.762239999999998</v>
      </c>
      <c r="O1658" s="63">
        <f t="shared" si="238"/>
        <v>0</v>
      </c>
      <c r="P1658" s="63">
        <f t="shared" si="239"/>
        <v>0</v>
      </c>
      <c r="Q1658" s="561">
        <f t="shared" si="227"/>
        <v>0</v>
      </c>
      <c r="R1658" s="174"/>
      <c r="T1658" s="82"/>
      <c r="U1658" s="82"/>
      <c r="V1658" s="82"/>
      <c r="W1658" s="82"/>
      <c r="X1658" s="82"/>
      <c r="Y1658" s="82"/>
      <c r="Z1658" s="82"/>
      <c r="AA1658" s="82"/>
      <c r="AB1658" s="82"/>
    </row>
    <row r="1659" spans="1:28" s="85" customFormat="1" ht="13.8" thickTop="1" x14ac:dyDescent="0.25">
      <c r="A1659" s="82"/>
      <c r="B1659" s="82"/>
      <c r="C1659" s="82"/>
      <c r="D1659" s="728" t="s">
        <v>2028</v>
      </c>
      <c r="E1659" s="384" t="s">
        <v>49</v>
      </c>
      <c r="F1659" s="385">
        <v>5</v>
      </c>
      <c r="G1659" s="386">
        <f>2*8</f>
        <v>16</v>
      </c>
      <c r="H1659" s="387">
        <v>5</v>
      </c>
      <c r="I1659" s="388">
        <v>0.65</v>
      </c>
      <c r="J1659" s="389">
        <f t="shared" si="93"/>
        <v>10.4</v>
      </c>
      <c r="K1659" s="218">
        <f t="shared" si="234"/>
        <v>1.6016000000000001</v>
      </c>
      <c r="L1659" s="219">
        <f t="shared" si="235"/>
        <v>0</v>
      </c>
      <c r="M1659" s="219">
        <f t="shared" si="236"/>
        <v>0</v>
      </c>
      <c r="N1659" s="219">
        <f t="shared" si="237"/>
        <v>0</v>
      </c>
      <c r="O1659" s="219">
        <f t="shared" si="238"/>
        <v>0</v>
      </c>
      <c r="P1659" s="219">
        <f t="shared" si="239"/>
        <v>0</v>
      </c>
      <c r="Q1659" s="563">
        <f t="shared" si="227"/>
        <v>0</v>
      </c>
      <c r="R1659" s="220"/>
      <c r="T1659" s="82"/>
      <c r="U1659" s="82"/>
      <c r="V1659" s="82"/>
      <c r="W1659" s="82"/>
      <c r="X1659" s="82"/>
      <c r="Y1659" s="82"/>
      <c r="Z1659" s="82"/>
      <c r="AA1659" s="82"/>
      <c r="AB1659" s="82"/>
    </row>
    <row r="1660" spans="1:28" s="85" customFormat="1" x14ac:dyDescent="0.25">
      <c r="A1660" s="82"/>
      <c r="B1660" s="82"/>
      <c r="C1660" s="82"/>
      <c r="D1660" s="729"/>
      <c r="E1660" s="371" t="s">
        <v>49</v>
      </c>
      <c r="F1660" s="372">
        <v>8</v>
      </c>
      <c r="G1660" s="373">
        <f>2*5</f>
        <v>10</v>
      </c>
      <c r="H1660" s="374">
        <v>5</v>
      </c>
      <c r="I1660" s="375">
        <v>0.95</v>
      </c>
      <c r="J1660" s="376">
        <f t="shared" si="93"/>
        <v>9.5</v>
      </c>
      <c r="K1660" s="66">
        <f t="shared" si="234"/>
        <v>1.4630000000000001</v>
      </c>
      <c r="L1660" s="63">
        <f t="shared" si="235"/>
        <v>0</v>
      </c>
      <c r="M1660" s="63">
        <f t="shared" si="236"/>
        <v>0</v>
      </c>
      <c r="N1660" s="63">
        <f t="shared" si="237"/>
        <v>0</v>
      </c>
      <c r="O1660" s="63">
        <f t="shared" si="238"/>
        <v>0</v>
      </c>
      <c r="P1660" s="63">
        <f t="shared" si="239"/>
        <v>0</v>
      </c>
      <c r="Q1660" s="561">
        <f t="shared" si="227"/>
        <v>0</v>
      </c>
      <c r="R1660" s="174"/>
      <c r="T1660" s="82"/>
      <c r="U1660" s="82"/>
      <c r="V1660" s="82"/>
      <c r="W1660" s="82"/>
      <c r="X1660" s="82"/>
      <c r="Y1660" s="82"/>
      <c r="Z1660" s="82"/>
      <c r="AA1660" s="82"/>
      <c r="AB1660" s="82"/>
    </row>
    <row r="1661" spans="1:28" s="85" customFormat="1" x14ac:dyDescent="0.25">
      <c r="A1661" s="82"/>
      <c r="B1661" s="82"/>
      <c r="C1661" s="82"/>
      <c r="D1661" s="729"/>
      <c r="E1661" s="371" t="s">
        <v>49</v>
      </c>
      <c r="F1661" s="372">
        <v>23</v>
      </c>
      <c r="G1661" s="373">
        <f>2*8</f>
        <v>16</v>
      </c>
      <c r="H1661" s="374">
        <v>10</v>
      </c>
      <c r="I1661" s="375">
        <v>1.37</v>
      </c>
      <c r="J1661" s="376">
        <f t="shared" si="93"/>
        <v>21.92</v>
      </c>
      <c r="K1661" s="66">
        <f t="shared" si="234"/>
        <v>0</v>
      </c>
      <c r="L1661" s="63">
        <f t="shared" si="235"/>
        <v>0</v>
      </c>
      <c r="M1661" s="63">
        <f t="shared" si="236"/>
        <v>0</v>
      </c>
      <c r="N1661" s="63">
        <f t="shared" si="237"/>
        <v>13.524640000000002</v>
      </c>
      <c r="O1661" s="63">
        <f t="shared" si="238"/>
        <v>0</v>
      </c>
      <c r="P1661" s="63">
        <f t="shared" si="239"/>
        <v>0</v>
      </c>
      <c r="Q1661" s="561">
        <f t="shared" si="227"/>
        <v>0</v>
      </c>
      <c r="R1661" s="174"/>
      <c r="T1661" s="82"/>
      <c r="U1661" s="82"/>
      <c r="V1661" s="82"/>
      <c r="W1661" s="82"/>
      <c r="X1661" s="82"/>
      <c r="Y1661" s="82"/>
      <c r="Z1661" s="82"/>
      <c r="AA1661" s="82"/>
      <c r="AB1661" s="82"/>
    </row>
    <row r="1662" spans="1:28" s="85" customFormat="1" x14ac:dyDescent="0.25">
      <c r="A1662" s="82"/>
      <c r="B1662" s="82"/>
      <c r="C1662" s="82"/>
      <c r="D1662" s="729"/>
      <c r="E1662" s="371" t="s">
        <v>49</v>
      </c>
      <c r="F1662" s="372"/>
      <c r="G1662" s="373"/>
      <c r="H1662" s="374"/>
      <c r="I1662" s="375"/>
      <c r="J1662" s="376">
        <f t="shared" si="93"/>
        <v>0</v>
      </c>
      <c r="K1662" s="66">
        <f t="shared" si="234"/>
        <v>0</v>
      </c>
      <c r="L1662" s="63">
        <f t="shared" si="235"/>
        <v>0</v>
      </c>
      <c r="M1662" s="63">
        <f t="shared" si="236"/>
        <v>0</v>
      </c>
      <c r="N1662" s="63">
        <f t="shared" si="237"/>
        <v>0</v>
      </c>
      <c r="O1662" s="63">
        <f t="shared" si="238"/>
        <v>0</v>
      </c>
      <c r="P1662" s="63">
        <f t="shared" si="239"/>
        <v>0</v>
      </c>
      <c r="Q1662" s="561">
        <f t="shared" si="227"/>
        <v>0</v>
      </c>
      <c r="R1662" s="174"/>
      <c r="T1662" s="82"/>
      <c r="U1662" s="82"/>
      <c r="V1662" s="82"/>
      <c r="W1662" s="82"/>
      <c r="X1662" s="82"/>
      <c r="Y1662" s="82"/>
      <c r="Z1662" s="82"/>
      <c r="AA1662" s="82"/>
      <c r="AB1662" s="82"/>
    </row>
    <row r="1663" spans="1:28" s="85" customFormat="1" x14ac:dyDescent="0.25">
      <c r="A1663" s="82"/>
      <c r="B1663" s="82"/>
      <c r="C1663" s="82"/>
      <c r="D1663" s="729"/>
      <c r="E1663" s="371" t="s">
        <v>113</v>
      </c>
      <c r="F1663" s="372">
        <v>4</v>
      </c>
      <c r="G1663" s="373">
        <f>2*60</f>
        <v>120</v>
      </c>
      <c r="H1663" s="374">
        <v>5</v>
      </c>
      <c r="I1663" s="375">
        <v>0.28999999999999998</v>
      </c>
      <c r="J1663" s="376">
        <f t="shared" si="93"/>
        <v>34.799999999999997</v>
      </c>
      <c r="K1663" s="66">
        <f t="shared" si="234"/>
        <v>5.3591999999999995</v>
      </c>
      <c r="L1663" s="63">
        <f t="shared" si="235"/>
        <v>0</v>
      </c>
      <c r="M1663" s="63">
        <f t="shared" si="236"/>
        <v>0</v>
      </c>
      <c r="N1663" s="63">
        <f t="shared" si="237"/>
        <v>0</v>
      </c>
      <c r="O1663" s="63">
        <f t="shared" si="238"/>
        <v>0</v>
      </c>
      <c r="P1663" s="63">
        <f t="shared" si="239"/>
        <v>0</v>
      </c>
      <c r="Q1663" s="561">
        <f t="shared" si="227"/>
        <v>0</v>
      </c>
      <c r="R1663" s="174"/>
      <c r="T1663" s="82"/>
      <c r="U1663" s="82"/>
      <c r="V1663" s="82"/>
      <c r="W1663" s="82"/>
      <c r="X1663" s="82"/>
      <c r="Y1663" s="82"/>
      <c r="Z1663" s="82"/>
      <c r="AA1663" s="82"/>
      <c r="AB1663" s="82"/>
    </row>
    <row r="1664" spans="1:28" s="85" customFormat="1" x14ac:dyDescent="0.25">
      <c r="A1664" s="82"/>
      <c r="B1664" s="82"/>
      <c r="C1664" s="82"/>
      <c r="D1664" s="729"/>
      <c r="E1664" s="371" t="s">
        <v>113</v>
      </c>
      <c r="F1664" s="372">
        <v>5</v>
      </c>
      <c r="G1664" s="373">
        <f>2*25</f>
        <v>50</v>
      </c>
      <c r="H1664" s="374">
        <v>5</v>
      </c>
      <c r="I1664" s="375">
        <v>1.07</v>
      </c>
      <c r="J1664" s="376">
        <f t="shared" si="93"/>
        <v>53.5</v>
      </c>
      <c r="K1664" s="66">
        <f t="shared" si="234"/>
        <v>8.2390000000000008</v>
      </c>
      <c r="L1664" s="63">
        <f t="shared" si="235"/>
        <v>0</v>
      </c>
      <c r="M1664" s="63">
        <f t="shared" si="236"/>
        <v>0</v>
      </c>
      <c r="N1664" s="63">
        <f t="shared" si="237"/>
        <v>0</v>
      </c>
      <c r="O1664" s="63">
        <f t="shared" si="238"/>
        <v>0</v>
      </c>
      <c r="P1664" s="63">
        <f t="shared" si="239"/>
        <v>0</v>
      </c>
      <c r="Q1664" s="561">
        <f t="shared" si="227"/>
        <v>0</v>
      </c>
      <c r="R1664" s="174"/>
      <c r="T1664" s="82"/>
      <c r="U1664" s="82"/>
      <c r="V1664" s="82"/>
      <c r="W1664" s="82"/>
      <c r="X1664" s="82"/>
      <c r="Y1664" s="82"/>
      <c r="Z1664" s="82"/>
      <c r="AA1664" s="82"/>
      <c r="AB1664" s="82"/>
    </row>
    <row r="1665" spans="1:28" s="85" customFormat="1" x14ac:dyDescent="0.25">
      <c r="A1665" s="82"/>
      <c r="B1665" s="82"/>
      <c r="C1665" s="82"/>
      <c r="D1665" s="729"/>
      <c r="E1665" s="371" t="s">
        <v>113</v>
      </c>
      <c r="F1665" s="372">
        <v>6</v>
      </c>
      <c r="G1665" s="373">
        <f>2*10</f>
        <v>20</v>
      </c>
      <c r="H1665" s="374">
        <v>5</v>
      </c>
      <c r="I1665" s="375">
        <v>0.74</v>
      </c>
      <c r="J1665" s="376">
        <f t="shared" si="93"/>
        <v>14.8</v>
      </c>
      <c r="K1665" s="66">
        <f t="shared" si="234"/>
        <v>2.2791999999999999</v>
      </c>
      <c r="L1665" s="63">
        <f t="shared" si="235"/>
        <v>0</v>
      </c>
      <c r="M1665" s="63">
        <f t="shared" si="236"/>
        <v>0</v>
      </c>
      <c r="N1665" s="63">
        <f t="shared" si="237"/>
        <v>0</v>
      </c>
      <c r="O1665" s="63">
        <f t="shared" si="238"/>
        <v>0</v>
      </c>
      <c r="P1665" s="63">
        <f t="shared" si="239"/>
        <v>0</v>
      </c>
      <c r="Q1665" s="561">
        <f t="shared" si="227"/>
        <v>0</v>
      </c>
      <c r="R1665" s="174"/>
      <c r="T1665" s="82"/>
      <c r="U1665" s="82"/>
      <c r="V1665" s="82"/>
      <c r="W1665" s="82"/>
      <c r="X1665" s="82"/>
      <c r="Y1665" s="82"/>
      <c r="Z1665" s="82"/>
      <c r="AA1665" s="82"/>
      <c r="AB1665" s="82"/>
    </row>
    <row r="1666" spans="1:28" s="85" customFormat="1" x14ac:dyDescent="0.25">
      <c r="A1666" s="82"/>
      <c r="B1666" s="82"/>
      <c r="C1666" s="82"/>
      <c r="D1666" s="729"/>
      <c r="E1666" s="371" t="s">
        <v>113</v>
      </c>
      <c r="F1666" s="372">
        <v>17</v>
      </c>
      <c r="G1666" s="373">
        <f>2*8</f>
        <v>16</v>
      </c>
      <c r="H1666" s="374">
        <v>10</v>
      </c>
      <c r="I1666" s="375">
        <v>3.78</v>
      </c>
      <c r="J1666" s="376">
        <f t="shared" si="93"/>
        <v>60.48</v>
      </c>
      <c r="K1666" s="66">
        <f t="shared" si="234"/>
        <v>0</v>
      </c>
      <c r="L1666" s="63">
        <f t="shared" si="235"/>
        <v>0</v>
      </c>
      <c r="M1666" s="63">
        <f t="shared" si="236"/>
        <v>0</v>
      </c>
      <c r="N1666" s="63">
        <f t="shared" si="237"/>
        <v>37.316159999999996</v>
      </c>
      <c r="O1666" s="63">
        <f t="shared" si="238"/>
        <v>0</v>
      </c>
      <c r="P1666" s="63">
        <f t="shared" si="239"/>
        <v>0</v>
      </c>
      <c r="Q1666" s="561">
        <f t="shared" si="227"/>
        <v>0</v>
      </c>
      <c r="R1666" s="174"/>
      <c r="T1666" s="82"/>
      <c r="U1666" s="82"/>
      <c r="V1666" s="82"/>
      <c r="W1666" s="82"/>
      <c r="X1666" s="82"/>
      <c r="Y1666" s="82"/>
      <c r="Z1666" s="82"/>
      <c r="AA1666" s="82"/>
      <c r="AB1666" s="82"/>
    </row>
    <row r="1667" spans="1:28" s="85" customFormat="1" x14ac:dyDescent="0.25">
      <c r="A1667" s="82"/>
      <c r="B1667" s="82"/>
      <c r="C1667" s="82"/>
      <c r="D1667" s="729"/>
      <c r="E1667" s="396" t="s">
        <v>184</v>
      </c>
      <c r="F1667" s="403">
        <v>3</v>
      </c>
      <c r="G1667" s="397">
        <f>2*20</f>
        <v>40</v>
      </c>
      <c r="H1667" s="398">
        <v>5</v>
      </c>
      <c r="I1667" s="399">
        <v>0.28999999999999998</v>
      </c>
      <c r="J1667" s="400">
        <f t="shared" si="93"/>
        <v>11.6</v>
      </c>
      <c r="K1667" s="401">
        <f t="shared" si="234"/>
        <v>1.7864</v>
      </c>
      <c r="L1667" s="196">
        <f t="shared" si="235"/>
        <v>0</v>
      </c>
      <c r="M1667" s="196">
        <f t="shared" si="236"/>
        <v>0</v>
      </c>
      <c r="N1667" s="196">
        <f t="shared" si="237"/>
        <v>0</v>
      </c>
      <c r="O1667" s="196">
        <f t="shared" si="238"/>
        <v>0</v>
      </c>
      <c r="P1667" s="196">
        <f t="shared" si="239"/>
        <v>0</v>
      </c>
      <c r="Q1667" s="566">
        <f t="shared" si="227"/>
        <v>0</v>
      </c>
      <c r="R1667" s="538"/>
      <c r="T1667" s="82"/>
      <c r="U1667" s="82"/>
      <c r="V1667" s="82"/>
      <c r="W1667" s="82"/>
      <c r="X1667" s="82"/>
      <c r="Y1667" s="82"/>
      <c r="Z1667" s="82"/>
      <c r="AA1667" s="82"/>
      <c r="AB1667" s="82"/>
    </row>
    <row r="1668" spans="1:28" s="85" customFormat="1" x14ac:dyDescent="0.25">
      <c r="A1668" s="82"/>
      <c r="B1668" s="82"/>
      <c r="C1668" s="82"/>
      <c r="D1668" s="729"/>
      <c r="E1668" s="371" t="s">
        <v>184</v>
      </c>
      <c r="F1668" s="372">
        <v>4</v>
      </c>
      <c r="G1668" s="373">
        <f>2*8</f>
        <v>16</v>
      </c>
      <c r="H1668" s="374">
        <v>5</v>
      </c>
      <c r="I1668" s="375">
        <v>1.07</v>
      </c>
      <c r="J1668" s="376">
        <f t="shared" si="93"/>
        <v>17.12</v>
      </c>
      <c r="K1668" s="66">
        <f t="shared" si="234"/>
        <v>2.6364800000000002</v>
      </c>
      <c r="L1668" s="63">
        <f t="shared" si="235"/>
        <v>0</v>
      </c>
      <c r="M1668" s="63">
        <f t="shared" si="236"/>
        <v>0</v>
      </c>
      <c r="N1668" s="63">
        <f t="shared" si="237"/>
        <v>0</v>
      </c>
      <c r="O1668" s="63">
        <f t="shared" si="238"/>
        <v>0</v>
      </c>
      <c r="P1668" s="63">
        <f t="shared" si="239"/>
        <v>0</v>
      </c>
      <c r="Q1668" s="562">
        <f t="shared" si="227"/>
        <v>0</v>
      </c>
      <c r="R1668" s="377"/>
      <c r="T1668" s="82"/>
      <c r="U1668" s="82"/>
      <c r="V1668" s="82"/>
      <c r="W1668" s="82"/>
      <c r="X1668" s="82"/>
      <c r="Y1668" s="82"/>
      <c r="Z1668" s="82"/>
      <c r="AA1668" s="82"/>
      <c r="AB1668" s="82"/>
    </row>
    <row r="1669" spans="1:28" s="85" customFormat="1" x14ac:dyDescent="0.25">
      <c r="A1669" s="82"/>
      <c r="B1669" s="82"/>
      <c r="C1669" s="82"/>
      <c r="D1669" s="729"/>
      <c r="E1669" s="371" t="s">
        <v>184</v>
      </c>
      <c r="F1669" s="372">
        <v>5</v>
      </c>
      <c r="G1669" s="373">
        <f>2*4</f>
        <v>8</v>
      </c>
      <c r="H1669" s="374">
        <v>5</v>
      </c>
      <c r="I1669" s="375">
        <v>0.74</v>
      </c>
      <c r="J1669" s="376">
        <f t="shared" si="93"/>
        <v>5.92</v>
      </c>
      <c r="K1669" s="66">
        <f t="shared" si="234"/>
        <v>0.91167999999999993</v>
      </c>
      <c r="L1669" s="63">
        <f t="shared" si="235"/>
        <v>0</v>
      </c>
      <c r="M1669" s="63">
        <f t="shared" si="236"/>
        <v>0</v>
      </c>
      <c r="N1669" s="63">
        <f t="shared" si="237"/>
        <v>0</v>
      </c>
      <c r="O1669" s="63">
        <f t="shared" si="238"/>
        <v>0</v>
      </c>
      <c r="P1669" s="63">
        <f t="shared" si="239"/>
        <v>0</v>
      </c>
      <c r="Q1669" s="562">
        <f t="shared" si="227"/>
        <v>0</v>
      </c>
      <c r="R1669" s="377"/>
      <c r="T1669" s="82"/>
      <c r="U1669" s="82"/>
      <c r="V1669" s="82"/>
      <c r="W1669" s="82"/>
      <c r="X1669" s="82"/>
      <c r="Y1669" s="82"/>
      <c r="Z1669" s="82"/>
      <c r="AA1669" s="82"/>
      <c r="AB1669" s="82"/>
    </row>
    <row r="1670" spans="1:28" s="85" customFormat="1" ht="13.8" thickBot="1" x14ac:dyDescent="0.3">
      <c r="A1670" s="82"/>
      <c r="B1670" s="82"/>
      <c r="C1670" s="82"/>
      <c r="D1670" s="731"/>
      <c r="E1670" s="390" t="s">
        <v>184</v>
      </c>
      <c r="F1670" s="391">
        <v>38</v>
      </c>
      <c r="G1670" s="392">
        <f>2*8</f>
        <v>16</v>
      </c>
      <c r="H1670" s="393">
        <v>10</v>
      </c>
      <c r="I1670" s="394">
        <v>1.02</v>
      </c>
      <c r="J1670" s="395">
        <f t="shared" si="93"/>
        <v>16.32</v>
      </c>
      <c r="K1670" s="221">
        <f t="shared" si="234"/>
        <v>0</v>
      </c>
      <c r="L1670" s="222">
        <f t="shared" si="235"/>
        <v>0</v>
      </c>
      <c r="M1670" s="222">
        <f t="shared" si="236"/>
        <v>0</v>
      </c>
      <c r="N1670" s="222">
        <f t="shared" si="237"/>
        <v>10.06944</v>
      </c>
      <c r="O1670" s="222">
        <f t="shared" si="238"/>
        <v>0</v>
      </c>
      <c r="P1670" s="222">
        <f t="shared" si="239"/>
        <v>0</v>
      </c>
      <c r="Q1670" s="564">
        <f t="shared" si="227"/>
        <v>0</v>
      </c>
      <c r="R1670" s="539"/>
      <c r="T1670" s="82"/>
      <c r="U1670" s="82"/>
      <c r="V1670" s="82"/>
      <c r="W1670" s="82"/>
      <c r="X1670" s="82"/>
      <c r="Y1670" s="82"/>
      <c r="Z1670" s="82"/>
      <c r="AA1670" s="82"/>
      <c r="AB1670" s="82"/>
    </row>
    <row r="1671" spans="1:28" s="85" customFormat="1" ht="13.8" thickTop="1" x14ac:dyDescent="0.25">
      <c r="A1671" s="82"/>
      <c r="B1671" s="82"/>
      <c r="C1671" s="82"/>
      <c r="D1671" s="728" t="s">
        <v>2029</v>
      </c>
      <c r="E1671" s="384" t="s">
        <v>49</v>
      </c>
      <c r="F1671" s="385">
        <v>5</v>
      </c>
      <c r="G1671" s="386">
        <f>4*16</f>
        <v>64</v>
      </c>
      <c r="H1671" s="387">
        <v>5</v>
      </c>
      <c r="I1671" s="388">
        <v>0.65</v>
      </c>
      <c r="J1671" s="389">
        <f t="shared" si="93"/>
        <v>41.6</v>
      </c>
      <c r="K1671" s="218">
        <f t="shared" si="234"/>
        <v>6.4064000000000005</v>
      </c>
      <c r="L1671" s="219">
        <f t="shared" si="235"/>
        <v>0</v>
      </c>
      <c r="M1671" s="219">
        <f t="shared" si="236"/>
        <v>0</v>
      </c>
      <c r="N1671" s="219">
        <f t="shared" si="237"/>
        <v>0</v>
      </c>
      <c r="O1671" s="219">
        <f t="shared" si="238"/>
        <v>0</v>
      </c>
      <c r="P1671" s="219">
        <f t="shared" si="239"/>
        <v>0</v>
      </c>
      <c r="Q1671" s="563">
        <f t="shared" si="227"/>
        <v>0</v>
      </c>
      <c r="R1671" s="220"/>
      <c r="T1671" s="82"/>
      <c r="U1671" s="82"/>
      <c r="V1671" s="82"/>
      <c r="W1671" s="82"/>
      <c r="X1671" s="82"/>
      <c r="Y1671" s="82"/>
      <c r="Z1671" s="82"/>
      <c r="AA1671" s="82"/>
      <c r="AB1671" s="82"/>
    </row>
    <row r="1672" spans="1:28" s="85" customFormat="1" x14ac:dyDescent="0.25">
      <c r="A1672" s="82"/>
      <c r="B1672" s="82"/>
      <c r="C1672" s="82"/>
      <c r="D1672" s="729"/>
      <c r="E1672" s="371" t="s">
        <v>49</v>
      </c>
      <c r="F1672" s="372">
        <v>23</v>
      </c>
      <c r="G1672" s="373">
        <f>4*8</f>
        <v>32</v>
      </c>
      <c r="H1672" s="374">
        <v>10</v>
      </c>
      <c r="I1672" s="375">
        <v>1.37</v>
      </c>
      <c r="J1672" s="376">
        <f t="shared" si="93"/>
        <v>43.84</v>
      </c>
      <c r="K1672" s="66">
        <f t="shared" si="234"/>
        <v>0</v>
      </c>
      <c r="L1672" s="63">
        <f t="shared" si="235"/>
        <v>0</v>
      </c>
      <c r="M1672" s="63">
        <f t="shared" si="236"/>
        <v>0</v>
      </c>
      <c r="N1672" s="63">
        <f t="shared" si="237"/>
        <v>27.049280000000003</v>
      </c>
      <c r="O1672" s="63">
        <f t="shared" si="238"/>
        <v>0</v>
      </c>
      <c r="P1672" s="63">
        <f t="shared" si="239"/>
        <v>0</v>
      </c>
      <c r="Q1672" s="561">
        <f t="shared" si="227"/>
        <v>0</v>
      </c>
      <c r="R1672" s="174"/>
      <c r="T1672" s="82"/>
      <c r="U1672" s="82"/>
      <c r="V1672" s="82"/>
      <c r="W1672" s="82"/>
      <c r="X1672" s="82"/>
      <c r="Y1672" s="82"/>
      <c r="Z1672" s="82"/>
      <c r="AA1672" s="82"/>
      <c r="AB1672" s="82"/>
    </row>
    <row r="1673" spans="1:28" s="85" customFormat="1" x14ac:dyDescent="0.25">
      <c r="A1673" s="82"/>
      <c r="B1673" s="82"/>
      <c r="C1673" s="82"/>
      <c r="D1673" s="729"/>
      <c r="E1673" s="371" t="s">
        <v>113</v>
      </c>
      <c r="F1673" s="372">
        <v>4</v>
      </c>
      <c r="G1673" s="373">
        <f>4*60</f>
        <v>240</v>
      </c>
      <c r="H1673" s="374">
        <v>5</v>
      </c>
      <c r="I1673" s="375">
        <v>0.28999999999999998</v>
      </c>
      <c r="J1673" s="376">
        <f t="shared" si="93"/>
        <v>69.599999999999994</v>
      </c>
      <c r="K1673" s="66">
        <f t="shared" si="234"/>
        <v>10.718399999999999</v>
      </c>
      <c r="L1673" s="63">
        <f t="shared" si="235"/>
        <v>0</v>
      </c>
      <c r="M1673" s="63">
        <f t="shared" si="236"/>
        <v>0</v>
      </c>
      <c r="N1673" s="63">
        <f t="shared" si="237"/>
        <v>0</v>
      </c>
      <c r="O1673" s="63">
        <f t="shared" si="238"/>
        <v>0</v>
      </c>
      <c r="P1673" s="63">
        <f t="shared" si="239"/>
        <v>0</v>
      </c>
      <c r="Q1673" s="561">
        <f t="shared" si="227"/>
        <v>0</v>
      </c>
      <c r="R1673" s="174"/>
      <c r="T1673" s="82"/>
      <c r="U1673" s="82"/>
      <c r="V1673" s="82"/>
      <c r="W1673" s="82"/>
      <c r="X1673" s="82"/>
      <c r="Y1673" s="82"/>
      <c r="Z1673" s="82"/>
      <c r="AA1673" s="82"/>
      <c r="AB1673" s="82"/>
    </row>
    <row r="1674" spans="1:28" s="85" customFormat="1" x14ac:dyDescent="0.25">
      <c r="A1674" s="82"/>
      <c r="B1674" s="82"/>
      <c r="C1674" s="82"/>
      <c r="D1674" s="729"/>
      <c r="E1674" s="371" t="s">
        <v>113</v>
      </c>
      <c r="F1674" s="372">
        <v>5</v>
      </c>
      <c r="G1674" s="373">
        <f>4*25</f>
        <v>100</v>
      </c>
      <c r="H1674" s="374">
        <v>5</v>
      </c>
      <c r="I1674" s="375">
        <v>1.07</v>
      </c>
      <c r="J1674" s="376">
        <f t="shared" si="93"/>
        <v>107</v>
      </c>
      <c r="K1674" s="66">
        <f t="shared" si="234"/>
        <v>16.478000000000002</v>
      </c>
      <c r="L1674" s="63">
        <f t="shared" si="235"/>
        <v>0</v>
      </c>
      <c r="M1674" s="63">
        <f t="shared" si="236"/>
        <v>0</v>
      </c>
      <c r="N1674" s="63">
        <f t="shared" si="237"/>
        <v>0</v>
      </c>
      <c r="O1674" s="63">
        <f t="shared" si="238"/>
        <v>0</v>
      </c>
      <c r="P1674" s="63">
        <f t="shared" si="239"/>
        <v>0</v>
      </c>
      <c r="Q1674" s="561">
        <f t="shared" si="227"/>
        <v>0</v>
      </c>
      <c r="R1674" s="174"/>
      <c r="T1674" s="82"/>
      <c r="U1674" s="82"/>
      <c r="V1674" s="82"/>
      <c r="W1674" s="82"/>
      <c r="X1674" s="82"/>
      <c r="Y1674" s="82"/>
      <c r="Z1674" s="82"/>
      <c r="AA1674" s="82"/>
      <c r="AB1674" s="82"/>
    </row>
    <row r="1675" spans="1:28" s="85" customFormat="1" x14ac:dyDescent="0.25">
      <c r="A1675" s="82"/>
      <c r="B1675" s="82"/>
      <c r="C1675" s="82"/>
      <c r="D1675" s="729"/>
      <c r="E1675" s="371" t="s">
        <v>113</v>
      </c>
      <c r="F1675" s="372">
        <v>6</v>
      </c>
      <c r="G1675" s="373">
        <f>4*10</f>
        <v>40</v>
      </c>
      <c r="H1675" s="374">
        <v>5</v>
      </c>
      <c r="I1675" s="375">
        <v>0.74</v>
      </c>
      <c r="J1675" s="376">
        <f t="shared" si="93"/>
        <v>29.6</v>
      </c>
      <c r="K1675" s="66">
        <f t="shared" si="234"/>
        <v>4.5583999999999998</v>
      </c>
      <c r="L1675" s="63">
        <f t="shared" si="235"/>
        <v>0</v>
      </c>
      <c r="M1675" s="63">
        <f t="shared" si="236"/>
        <v>0</v>
      </c>
      <c r="N1675" s="63">
        <f t="shared" si="237"/>
        <v>0</v>
      </c>
      <c r="O1675" s="63">
        <f t="shared" si="238"/>
        <v>0</v>
      </c>
      <c r="P1675" s="63">
        <f t="shared" si="239"/>
        <v>0</v>
      </c>
      <c r="Q1675" s="561">
        <f t="shared" si="227"/>
        <v>0</v>
      </c>
      <c r="R1675" s="174"/>
      <c r="T1675" s="82"/>
      <c r="U1675" s="82"/>
      <c r="V1675" s="82"/>
      <c r="W1675" s="82"/>
      <c r="X1675" s="82"/>
      <c r="Y1675" s="82"/>
      <c r="Z1675" s="82"/>
      <c r="AA1675" s="82"/>
      <c r="AB1675" s="82"/>
    </row>
    <row r="1676" spans="1:28" s="85" customFormat="1" x14ac:dyDescent="0.25">
      <c r="A1676" s="82"/>
      <c r="B1676" s="82"/>
      <c r="C1676" s="82"/>
      <c r="D1676" s="729"/>
      <c r="E1676" s="371" t="s">
        <v>113</v>
      </c>
      <c r="F1676" s="372">
        <v>17</v>
      </c>
      <c r="G1676" s="373">
        <f>4*8</f>
        <v>32</v>
      </c>
      <c r="H1676" s="374">
        <v>10</v>
      </c>
      <c r="I1676" s="375">
        <v>3.78</v>
      </c>
      <c r="J1676" s="376">
        <f t="shared" si="93"/>
        <v>120.96</v>
      </c>
      <c r="K1676" s="66">
        <f t="shared" si="234"/>
        <v>0</v>
      </c>
      <c r="L1676" s="63">
        <f t="shared" si="235"/>
        <v>0</v>
      </c>
      <c r="M1676" s="63">
        <f t="shared" si="236"/>
        <v>0</v>
      </c>
      <c r="N1676" s="63">
        <f t="shared" si="237"/>
        <v>74.632319999999993</v>
      </c>
      <c r="O1676" s="63">
        <f t="shared" si="238"/>
        <v>0</v>
      </c>
      <c r="P1676" s="63">
        <f t="shared" si="239"/>
        <v>0</v>
      </c>
      <c r="Q1676" s="561">
        <f t="shared" si="227"/>
        <v>0</v>
      </c>
      <c r="R1676" s="174"/>
      <c r="T1676" s="82"/>
      <c r="U1676" s="82"/>
      <c r="V1676" s="82"/>
      <c r="W1676" s="82"/>
      <c r="X1676" s="82"/>
      <c r="Y1676" s="82"/>
      <c r="Z1676" s="82"/>
      <c r="AA1676" s="82"/>
      <c r="AB1676" s="82"/>
    </row>
    <row r="1677" spans="1:28" s="85" customFormat="1" x14ac:dyDescent="0.25">
      <c r="A1677" s="82"/>
      <c r="B1677" s="82"/>
      <c r="C1677" s="82"/>
      <c r="D1677" s="729"/>
      <c r="E1677" s="396" t="s">
        <v>184</v>
      </c>
      <c r="F1677" s="403">
        <v>3</v>
      </c>
      <c r="G1677" s="397">
        <f>4*20</f>
        <v>80</v>
      </c>
      <c r="H1677" s="398">
        <v>5</v>
      </c>
      <c r="I1677" s="399">
        <v>0.28999999999999998</v>
      </c>
      <c r="J1677" s="400">
        <f t="shared" si="93"/>
        <v>23.2</v>
      </c>
      <c r="K1677" s="401">
        <f t="shared" si="234"/>
        <v>3.5728</v>
      </c>
      <c r="L1677" s="196">
        <f t="shared" si="235"/>
        <v>0</v>
      </c>
      <c r="M1677" s="196">
        <f t="shared" si="236"/>
        <v>0</v>
      </c>
      <c r="N1677" s="196">
        <f t="shared" si="237"/>
        <v>0</v>
      </c>
      <c r="O1677" s="196">
        <f t="shared" si="238"/>
        <v>0</v>
      </c>
      <c r="P1677" s="196">
        <f t="shared" si="239"/>
        <v>0</v>
      </c>
      <c r="Q1677" s="566">
        <f t="shared" si="227"/>
        <v>0</v>
      </c>
      <c r="R1677" s="538"/>
      <c r="T1677" s="82"/>
      <c r="U1677" s="82"/>
      <c r="V1677" s="82"/>
      <c r="W1677" s="82"/>
      <c r="X1677" s="82"/>
      <c r="Y1677" s="82"/>
      <c r="Z1677" s="82"/>
      <c r="AA1677" s="82"/>
      <c r="AB1677" s="82"/>
    </row>
    <row r="1678" spans="1:28" s="85" customFormat="1" x14ac:dyDescent="0.25">
      <c r="A1678" s="82"/>
      <c r="B1678" s="82"/>
      <c r="C1678" s="82"/>
      <c r="D1678" s="729"/>
      <c r="E1678" s="371" t="s">
        <v>184</v>
      </c>
      <c r="F1678" s="372">
        <v>4</v>
      </c>
      <c r="G1678" s="373">
        <f>4*8</f>
        <v>32</v>
      </c>
      <c r="H1678" s="374">
        <v>5</v>
      </c>
      <c r="I1678" s="375">
        <v>1.07</v>
      </c>
      <c r="J1678" s="376">
        <f t="shared" si="93"/>
        <v>34.24</v>
      </c>
      <c r="K1678" s="66">
        <f t="shared" si="234"/>
        <v>5.2729600000000003</v>
      </c>
      <c r="L1678" s="63">
        <f t="shared" si="235"/>
        <v>0</v>
      </c>
      <c r="M1678" s="63">
        <f t="shared" si="236"/>
        <v>0</v>
      </c>
      <c r="N1678" s="63">
        <f t="shared" si="237"/>
        <v>0</v>
      </c>
      <c r="O1678" s="63">
        <f t="shared" si="238"/>
        <v>0</v>
      </c>
      <c r="P1678" s="63">
        <f t="shared" si="239"/>
        <v>0</v>
      </c>
      <c r="Q1678" s="562">
        <f t="shared" si="227"/>
        <v>0</v>
      </c>
      <c r="R1678" s="377"/>
      <c r="T1678" s="82"/>
      <c r="U1678" s="82"/>
      <c r="V1678" s="82"/>
      <c r="W1678" s="82"/>
      <c r="X1678" s="82"/>
      <c r="Y1678" s="82"/>
      <c r="Z1678" s="82"/>
      <c r="AA1678" s="82"/>
      <c r="AB1678" s="82"/>
    </row>
    <row r="1679" spans="1:28" s="85" customFormat="1" x14ac:dyDescent="0.25">
      <c r="A1679" s="82"/>
      <c r="B1679" s="82"/>
      <c r="C1679" s="82"/>
      <c r="D1679" s="729"/>
      <c r="E1679" s="371" t="s">
        <v>184</v>
      </c>
      <c r="F1679" s="372">
        <v>5</v>
      </c>
      <c r="G1679" s="373">
        <f>4*4</f>
        <v>16</v>
      </c>
      <c r="H1679" s="374">
        <v>5</v>
      </c>
      <c r="I1679" s="375">
        <v>0.74</v>
      </c>
      <c r="J1679" s="376">
        <f t="shared" si="93"/>
        <v>11.84</v>
      </c>
      <c r="K1679" s="66">
        <f t="shared" si="234"/>
        <v>1.8233599999999999</v>
      </c>
      <c r="L1679" s="63">
        <f t="shared" si="235"/>
        <v>0</v>
      </c>
      <c r="M1679" s="63">
        <f t="shared" si="236"/>
        <v>0</v>
      </c>
      <c r="N1679" s="63">
        <f t="shared" si="237"/>
        <v>0</v>
      </c>
      <c r="O1679" s="63">
        <f t="shared" si="238"/>
        <v>0</v>
      </c>
      <c r="P1679" s="63">
        <f t="shared" si="239"/>
        <v>0</v>
      </c>
      <c r="Q1679" s="562">
        <f t="shared" si="227"/>
        <v>0</v>
      </c>
      <c r="R1679" s="377"/>
      <c r="T1679" s="82"/>
      <c r="U1679" s="82"/>
      <c r="V1679" s="82"/>
      <c r="W1679" s="82"/>
      <c r="X1679" s="82"/>
      <c r="Y1679" s="82"/>
      <c r="Z1679" s="82"/>
      <c r="AA1679" s="82"/>
      <c r="AB1679" s="82"/>
    </row>
    <row r="1680" spans="1:28" s="85" customFormat="1" ht="13.8" thickBot="1" x14ac:dyDescent="0.3">
      <c r="A1680" s="82"/>
      <c r="B1680" s="82"/>
      <c r="C1680" s="82"/>
      <c r="D1680" s="731"/>
      <c r="E1680" s="390" t="s">
        <v>184</v>
      </c>
      <c r="F1680" s="391">
        <v>38</v>
      </c>
      <c r="G1680" s="392">
        <f>4*8</f>
        <v>32</v>
      </c>
      <c r="H1680" s="393">
        <v>10</v>
      </c>
      <c r="I1680" s="394">
        <v>1.02</v>
      </c>
      <c r="J1680" s="395">
        <f t="shared" si="93"/>
        <v>32.64</v>
      </c>
      <c r="K1680" s="221">
        <f t="shared" si="234"/>
        <v>0</v>
      </c>
      <c r="L1680" s="222">
        <f t="shared" si="235"/>
        <v>0</v>
      </c>
      <c r="M1680" s="222">
        <f t="shared" si="236"/>
        <v>0</v>
      </c>
      <c r="N1680" s="222">
        <f t="shared" si="237"/>
        <v>20.13888</v>
      </c>
      <c r="O1680" s="222">
        <f t="shared" si="238"/>
        <v>0</v>
      </c>
      <c r="P1680" s="222">
        <f t="shared" si="239"/>
        <v>0</v>
      </c>
      <c r="Q1680" s="564">
        <f t="shared" si="227"/>
        <v>0</v>
      </c>
      <c r="R1680" s="539"/>
      <c r="T1680" s="82"/>
      <c r="U1680" s="82"/>
      <c r="V1680" s="82"/>
      <c r="W1680" s="82"/>
      <c r="X1680" s="82"/>
      <c r="Y1680" s="82"/>
      <c r="Z1680" s="82"/>
      <c r="AA1680" s="82"/>
      <c r="AB1680" s="82"/>
    </row>
    <row r="1681" spans="1:28" s="85" customFormat="1" ht="13.8" thickTop="1" x14ac:dyDescent="0.25">
      <c r="A1681" s="82"/>
      <c r="B1681" s="82"/>
      <c r="C1681" s="82"/>
      <c r="D1681" s="728" t="s">
        <v>2030</v>
      </c>
      <c r="E1681" s="384" t="s">
        <v>49</v>
      </c>
      <c r="F1681" s="385">
        <v>5</v>
      </c>
      <c r="G1681" s="386">
        <v>16</v>
      </c>
      <c r="H1681" s="387">
        <v>5</v>
      </c>
      <c r="I1681" s="388">
        <v>0.65</v>
      </c>
      <c r="J1681" s="389">
        <f t="shared" si="93"/>
        <v>10.4</v>
      </c>
      <c r="K1681" s="218">
        <f t="shared" si="234"/>
        <v>1.6016000000000001</v>
      </c>
      <c r="L1681" s="219">
        <f t="shared" si="235"/>
        <v>0</v>
      </c>
      <c r="M1681" s="219">
        <f t="shared" si="236"/>
        <v>0</v>
      </c>
      <c r="N1681" s="219">
        <f t="shared" si="237"/>
        <v>0</v>
      </c>
      <c r="O1681" s="219">
        <f t="shared" si="238"/>
        <v>0</v>
      </c>
      <c r="P1681" s="219">
        <f t="shared" si="239"/>
        <v>0</v>
      </c>
      <c r="Q1681" s="563">
        <f t="shared" si="227"/>
        <v>0</v>
      </c>
      <c r="R1681" s="220"/>
      <c r="T1681" s="82"/>
      <c r="U1681" s="82"/>
      <c r="V1681" s="82"/>
      <c r="W1681" s="82"/>
      <c r="X1681" s="82"/>
      <c r="Y1681" s="82"/>
      <c r="Z1681" s="82"/>
      <c r="AA1681" s="82"/>
      <c r="AB1681" s="82"/>
    </row>
    <row r="1682" spans="1:28" s="85" customFormat="1" x14ac:dyDescent="0.25">
      <c r="A1682" s="82"/>
      <c r="B1682" s="82"/>
      <c r="C1682" s="82"/>
      <c r="D1682" s="729"/>
      <c r="E1682" s="371" t="s">
        <v>49</v>
      </c>
      <c r="F1682" s="372">
        <v>23</v>
      </c>
      <c r="G1682" s="373">
        <v>8</v>
      </c>
      <c r="H1682" s="374">
        <v>10</v>
      </c>
      <c r="I1682" s="375">
        <v>1.37</v>
      </c>
      <c r="J1682" s="376">
        <f t="shared" si="93"/>
        <v>10.96</v>
      </c>
      <c r="K1682" s="66">
        <f t="shared" si="234"/>
        <v>0</v>
      </c>
      <c r="L1682" s="63">
        <f t="shared" si="235"/>
        <v>0</v>
      </c>
      <c r="M1682" s="63">
        <f t="shared" si="236"/>
        <v>0</v>
      </c>
      <c r="N1682" s="63">
        <f t="shared" si="237"/>
        <v>6.7623200000000008</v>
      </c>
      <c r="O1682" s="63">
        <f t="shared" si="238"/>
        <v>0</v>
      </c>
      <c r="P1682" s="63">
        <f t="shared" si="239"/>
        <v>0</v>
      </c>
      <c r="Q1682" s="561">
        <f t="shared" si="227"/>
        <v>0</v>
      </c>
      <c r="R1682" s="174"/>
      <c r="T1682" s="82"/>
      <c r="U1682" s="82"/>
      <c r="V1682" s="82"/>
      <c r="W1682" s="82"/>
      <c r="X1682" s="82"/>
      <c r="Y1682" s="82"/>
      <c r="Z1682" s="82"/>
      <c r="AA1682" s="82"/>
      <c r="AB1682" s="82"/>
    </row>
    <row r="1683" spans="1:28" s="85" customFormat="1" x14ac:dyDescent="0.25">
      <c r="A1683" s="82"/>
      <c r="B1683" s="82"/>
      <c r="C1683" s="82"/>
      <c r="D1683" s="729"/>
      <c r="E1683" s="371" t="s">
        <v>113</v>
      </c>
      <c r="F1683" s="372">
        <v>4</v>
      </c>
      <c r="G1683" s="373">
        <v>60</v>
      </c>
      <c r="H1683" s="374">
        <v>5</v>
      </c>
      <c r="I1683" s="375">
        <v>0.28999999999999998</v>
      </c>
      <c r="J1683" s="376">
        <f t="shared" ref="J1683:J1803" si="240">G1683*I1683</f>
        <v>17.399999999999999</v>
      </c>
      <c r="K1683" s="66">
        <f t="shared" si="234"/>
        <v>2.6795999999999998</v>
      </c>
      <c r="L1683" s="63">
        <f t="shared" si="235"/>
        <v>0</v>
      </c>
      <c r="M1683" s="63">
        <f t="shared" si="236"/>
        <v>0</v>
      </c>
      <c r="N1683" s="63">
        <f t="shared" si="237"/>
        <v>0</v>
      </c>
      <c r="O1683" s="63">
        <f t="shared" si="238"/>
        <v>0</v>
      </c>
      <c r="P1683" s="63">
        <f t="shared" si="239"/>
        <v>0</v>
      </c>
      <c r="Q1683" s="561">
        <f t="shared" si="227"/>
        <v>0</v>
      </c>
      <c r="R1683" s="174"/>
      <c r="T1683" s="82"/>
      <c r="U1683" s="82"/>
      <c r="V1683" s="82"/>
      <c r="W1683" s="82"/>
      <c r="X1683" s="82"/>
      <c r="Y1683" s="82"/>
      <c r="Z1683" s="82"/>
      <c r="AA1683" s="82"/>
      <c r="AB1683" s="82"/>
    </row>
    <row r="1684" spans="1:28" s="85" customFormat="1" x14ac:dyDescent="0.25">
      <c r="A1684" s="82"/>
      <c r="B1684" s="82"/>
      <c r="C1684" s="82"/>
      <c r="D1684" s="729"/>
      <c r="E1684" s="371" t="s">
        <v>113</v>
      </c>
      <c r="F1684" s="372">
        <v>5</v>
      </c>
      <c r="G1684" s="373">
        <v>20</v>
      </c>
      <c r="H1684" s="374">
        <v>5</v>
      </c>
      <c r="I1684" s="375">
        <v>1.07</v>
      </c>
      <c r="J1684" s="376">
        <f t="shared" si="240"/>
        <v>21.400000000000002</v>
      </c>
      <c r="K1684" s="66">
        <f t="shared" si="234"/>
        <v>3.2956000000000003</v>
      </c>
      <c r="L1684" s="63">
        <f t="shared" si="235"/>
        <v>0</v>
      </c>
      <c r="M1684" s="63">
        <f t="shared" si="236"/>
        <v>0</v>
      </c>
      <c r="N1684" s="63">
        <f t="shared" si="237"/>
        <v>0</v>
      </c>
      <c r="O1684" s="63">
        <f t="shared" si="238"/>
        <v>0</v>
      </c>
      <c r="P1684" s="63">
        <f t="shared" si="239"/>
        <v>0</v>
      </c>
      <c r="Q1684" s="561">
        <f t="shared" si="227"/>
        <v>0</v>
      </c>
      <c r="R1684" s="174"/>
      <c r="T1684" s="82"/>
      <c r="U1684" s="82"/>
      <c r="V1684" s="82"/>
      <c r="W1684" s="82"/>
      <c r="X1684" s="82"/>
      <c r="Y1684" s="82"/>
      <c r="Z1684" s="82"/>
      <c r="AA1684" s="82"/>
      <c r="AB1684" s="82"/>
    </row>
    <row r="1685" spans="1:28" s="85" customFormat="1" x14ac:dyDescent="0.25">
      <c r="A1685" s="82"/>
      <c r="B1685" s="82"/>
      <c r="C1685" s="82"/>
      <c r="D1685" s="729"/>
      <c r="E1685" s="371" t="s">
        <v>113</v>
      </c>
      <c r="F1685" s="372">
        <v>6</v>
      </c>
      <c r="G1685" s="373">
        <v>20</v>
      </c>
      <c r="H1685" s="374">
        <v>5</v>
      </c>
      <c r="I1685" s="375">
        <v>0.74</v>
      </c>
      <c r="J1685" s="376">
        <f t="shared" si="240"/>
        <v>14.8</v>
      </c>
      <c r="K1685" s="66">
        <f t="shared" si="234"/>
        <v>2.2791999999999999</v>
      </c>
      <c r="L1685" s="63">
        <f t="shared" si="235"/>
        <v>0</v>
      </c>
      <c r="M1685" s="63">
        <f t="shared" si="236"/>
        <v>0</v>
      </c>
      <c r="N1685" s="63">
        <f t="shared" si="237"/>
        <v>0</v>
      </c>
      <c r="O1685" s="63">
        <f t="shared" si="238"/>
        <v>0</v>
      </c>
      <c r="P1685" s="63">
        <f t="shared" si="239"/>
        <v>0</v>
      </c>
      <c r="Q1685" s="561">
        <f t="shared" si="227"/>
        <v>0</v>
      </c>
      <c r="R1685" s="174"/>
      <c r="T1685" s="82"/>
      <c r="U1685" s="82"/>
      <c r="V1685" s="82"/>
      <c r="W1685" s="82"/>
      <c r="X1685" s="82"/>
      <c r="Y1685" s="82"/>
      <c r="Z1685" s="82"/>
      <c r="AA1685" s="82"/>
      <c r="AB1685" s="82"/>
    </row>
    <row r="1686" spans="1:28" s="85" customFormat="1" x14ac:dyDescent="0.25">
      <c r="A1686" s="82"/>
      <c r="B1686" s="82"/>
      <c r="C1686" s="82"/>
      <c r="D1686" s="729"/>
      <c r="E1686" s="371" t="s">
        <v>113</v>
      </c>
      <c r="F1686" s="372">
        <v>17</v>
      </c>
      <c r="G1686" s="373">
        <v>8</v>
      </c>
      <c r="H1686" s="374">
        <v>10</v>
      </c>
      <c r="I1686" s="375">
        <v>3.78</v>
      </c>
      <c r="J1686" s="376">
        <f t="shared" si="240"/>
        <v>30.24</v>
      </c>
      <c r="K1686" s="66">
        <f t="shared" si="234"/>
        <v>0</v>
      </c>
      <c r="L1686" s="63">
        <f t="shared" si="235"/>
        <v>0</v>
      </c>
      <c r="M1686" s="63">
        <f t="shared" si="236"/>
        <v>0</v>
      </c>
      <c r="N1686" s="63">
        <f t="shared" si="237"/>
        <v>18.658079999999998</v>
      </c>
      <c r="O1686" s="63">
        <f t="shared" si="238"/>
        <v>0</v>
      </c>
      <c r="P1686" s="63">
        <f t="shared" si="239"/>
        <v>0</v>
      </c>
      <c r="Q1686" s="561">
        <f t="shared" si="227"/>
        <v>0</v>
      </c>
      <c r="R1686" s="174"/>
      <c r="T1686" s="82"/>
      <c r="U1686" s="82"/>
      <c r="V1686" s="82"/>
      <c r="W1686" s="82"/>
      <c r="X1686" s="82"/>
      <c r="Y1686" s="82"/>
      <c r="Z1686" s="82"/>
      <c r="AA1686" s="82"/>
      <c r="AB1686" s="82"/>
    </row>
    <row r="1687" spans="1:28" s="85" customFormat="1" x14ac:dyDescent="0.25">
      <c r="A1687" s="82"/>
      <c r="B1687" s="82"/>
      <c r="C1687" s="82"/>
      <c r="D1687" s="729"/>
      <c r="E1687" s="396" t="s">
        <v>184</v>
      </c>
      <c r="F1687" s="403">
        <v>3</v>
      </c>
      <c r="G1687" s="397">
        <v>18</v>
      </c>
      <c r="H1687" s="398">
        <v>5</v>
      </c>
      <c r="I1687" s="399">
        <v>0.28999999999999998</v>
      </c>
      <c r="J1687" s="400">
        <f t="shared" si="240"/>
        <v>5.22</v>
      </c>
      <c r="K1687" s="401">
        <f t="shared" si="234"/>
        <v>0.80387999999999993</v>
      </c>
      <c r="L1687" s="196">
        <f t="shared" si="235"/>
        <v>0</v>
      </c>
      <c r="M1687" s="196">
        <f t="shared" si="236"/>
        <v>0</v>
      </c>
      <c r="N1687" s="196">
        <f t="shared" si="237"/>
        <v>0</v>
      </c>
      <c r="O1687" s="196">
        <f t="shared" si="238"/>
        <v>0</v>
      </c>
      <c r="P1687" s="196">
        <f t="shared" si="239"/>
        <v>0</v>
      </c>
      <c r="Q1687" s="566">
        <f t="shared" si="227"/>
        <v>0</v>
      </c>
      <c r="R1687" s="538"/>
      <c r="T1687" s="82"/>
      <c r="U1687" s="82"/>
      <c r="V1687" s="82"/>
      <c r="W1687" s="82"/>
      <c r="X1687" s="82"/>
      <c r="Y1687" s="82"/>
      <c r="Z1687" s="82"/>
      <c r="AA1687" s="82"/>
      <c r="AB1687" s="82"/>
    </row>
    <row r="1688" spans="1:28" s="85" customFormat="1" x14ac:dyDescent="0.25">
      <c r="A1688" s="82"/>
      <c r="B1688" s="82"/>
      <c r="C1688" s="82"/>
      <c r="D1688" s="729"/>
      <c r="E1688" s="371" t="s">
        <v>184</v>
      </c>
      <c r="F1688" s="372">
        <v>5</v>
      </c>
      <c r="G1688" s="373">
        <v>18</v>
      </c>
      <c r="H1688" s="374">
        <v>5</v>
      </c>
      <c r="I1688" s="375">
        <v>0.74</v>
      </c>
      <c r="J1688" s="376">
        <f t="shared" si="240"/>
        <v>13.32</v>
      </c>
      <c r="K1688" s="66">
        <f t="shared" si="234"/>
        <v>2.0512800000000002</v>
      </c>
      <c r="L1688" s="63">
        <f t="shared" si="235"/>
        <v>0</v>
      </c>
      <c r="M1688" s="63">
        <f t="shared" si="236"/>
        <v>0</v>
      </c>
      <c r="N1688" s="63">
        <f t="shared" si="237"/>
        <v>0</v>
      </c>
      <c r="O1688" s="63">
        <f t="shared" si="238"/>
        <v>0</v>
      </c>
      <c r="P1688" s="63">
        <f t="shared" si="239"/>
        <v>0</v>
      </c>
      <c r="Q1688" s="562">
        <f t="shared" si="227"/>
        <v>0</v>
      </c>
      <c r="R1688" s="377"/>
      <c r="T1688" s="82"/>
      <c r="U1688" s="82"/>
      <c r="V1688" s="82"/>
      <c r="W1688" s="82"/>
      <c r="X1688" s="82"/>
      <c r="Y1688" s="82"/>
      <c r="Z1688" s="82"/>
      <c r="AA1688" s="82"/>
      <c r="AB1688" s="82"/>
    </row>
    <row r="1689" spans="1:28" s="85" customFormat="1" x14ac:dyDescent="0.25">
      <c r="A1689" s="82"/>
      <c r="B1689" s="82"/>
      <c r="C1689" s="82"/>
      <c r="D1689" s="729"/>
      <c r="E1689" s="371" t="s">
        <v>184</v>
      </c>
      <c r="F1689" s="372">
        <v>38</v>
      </c>
      <c r="G1689" s="373">
        <v>8</v>
      </c>
      <c r="H1689" s="374">
        <v>10</v>
      </c>
      <c r="I1689" s="375">
        <v>1.02</v>
      </c>
      <c r="J1689" s="376">
        <f t="shared" si="240"/>
        <v>8.16</v>
      </c>
      <c r="K1689" s="66">
        <f t="shared" si="234"/>
        <v>0</v>
      </c>
      <c r="L1689" s="63">
        <f t="shared" si="235"/>
        <v>0</v>
      </c>
      <c r="M1689" s="63">
        <f t="shared" si="236"/>
        <v>0</v>
      </c>
      <c r="N1689" s="63">
        <f t="shared" si="237"/>
        <v>5.0347200000000001</v>
      </c>
      <c r="O1689" s="63">
        <f t="shared" si="238"/>
        <v>0</v>
      </c>
      <c r="P1689" s="63">
        <f t="shared" si="239"/>
        <v>0</v>
      </c>
      <c r="Q1689" s="562">
        <f t="shared" si="227"/>
        <v>0</v>
      </c>
      <c r="R1689" s="377"/>
      <c r="T1689" s="82"/>
      <c r="U1689" s="82"/>
      <c r="V1689" s="82"/>
      <c r="W1689" s="82"/>
      <c r="X1689" s="82"/>
      <c r="Y1689" s="82"/>
      <c r="Z1689" s="82"/>
      <c r="AA1689" s="82"/>
      <c r="AB1689" s="82"/>
    </row>
    <row r="1690" spans="1:28" s="85" customFormat="1" ht="13.8" thickBot="1" x14ac:dyDescent="0.3">
      <c r="A1690" s="82"/>
      <c r="B1690" s="82"/>
      <c r="C1690" s="82"/>
      <c r="D1690" s="731"/>
      <c r="E1690" s="390" t="s">
        <v>184</v>
      </c>
      <c r="F1690" s="391"/>
      <c r="G1690" s="392"/>
      <c r="H1690" s="393"/>
      <c r="I1690" s="394"/>
      <c r="J1690" s="395">
        <f t="shared" si="240"/>
        <v>0</v>
      </c>
      <c r="K1690" s="221">
        <f t="shared" si="234"/>
        <v>0</v>
      </c>
      <c r="L1690" s="222">
        <f t="shared" si="235"/>
        <v>0</v>
      </c>
      <c r="M1690" s="222">
        <f t="shared" si="236"/>
        <v>0</v>
      </c>
      <c r="N1690" s="222">
        <f t="shared" si="237"/>
        <v>0</v>
      </c>
      <c r="O1690" s="222">
        <f t="shared" si="238"/>
        <v>0</v>
      </c>
      <c r="P1690" s="222">
        <f t="shared" si="239"/>
        <v>0</v>
      </c>
      <c r="Q1690" s="564">
        <f t="shared" si="227"/>
        <v>0</v>
      </c>
      <c r="R1690" s="539"/>
      <c r="T1690" s="82"/>
      <c r="U1690" s="82"/>
      <c r="V1690" s="82"/>
      <c r="W1690" s="82"/>
      <c r="X1690" s="82"/>
      <c r="Y1690" s="82"/>
      <c r="Z1690" s="82"/>
      <c r="AA1690" s="82"/>
      <c r="AB1690" s="82"/>
    </row>
    <row r="1691" spans="1:28" s="85" customFormat="1" ht="13.8" thickTop="1" x14ac:dyDescent="0.25">
      <c r="A1691" s="82"/>
      <c r="B1691" s="82"/>
      <c r="C1691" s="82"/>
      <c r="D1691" s="728" t="s">
        <v>2031</v>
      </c>
      <c r="E1691" s="384" t="s">
        <v>49</v>
      </c>
      <c r="F1691" s="385">
        <v>1</v>
      </c>
      <c r="G1691" s="386">
        <v>7</v>
      </c>
      <c r="H1691" s="387">
        <v>5</v>
      </c>
      <c r="I1691" s="388">
        <v>0.34</v>
      </c>
      <c r="J1691" s="389">
        <f t="shared" si="240"/>
        <v>2.3800000000000003</v>
      </c>
      <c r="K1691" s="218">
        <f t="shared" si="234"/>
        <v>0.36652000000000007</v>
      </c>
      <c r="L1691" s="219">
        <f t="shared" si="235"/>
        <v>0</v>
      </c>
      <c r="M1691" s="219">
        <f t="shared" si="236"/>
        <v>0</v>
      </c>
      <c r="N1691" s="219">
        <f t="shared" si="237"/>
        <v>0</v>
      </c>
      <c r="O1691" s="219">
        <f t="shared" si="238"/>
        <v>0</v>
      </c>
      <c r="P1691" s="219">
        <f t="shared" si="239"/>
        <v>0</v>
      </c>
      <c r="Q1691" s="563">
        <f t="shared" si="227"/>
        <v>0</v>
      </c>
      <c r="R1691" s="220"/>
      <c r="T1691" s="82"/>
      <c r="U1691" s="82"/>
      <c r="V1691" s="82"/>
      <c r="W1691" s="82"/>
      <c r="X1691" s="82"/>
      <c r="Y1691" s="82"/>
      <c r="Z1691" s="82"/>
      <c r="AA1691" s="82"/>
      <c r="AB1691" s="82"/>
    </row>
    <row r="1692" spans="1:28" s="85" customFormat="1" x14ac:dyDescent="0.25">
      <c r="A1692" s="82"/>
      <c r="B1692" s="82"/>
      <c r="C1692" s="82"/>
      <c r="D1692" s="729"/>
      <c r="E1692" s="371" t="s">
        <v>49</v>
      </c>
      <c r="F1692" s="372">
        <v>2</v>
      </c>
      <c r="G1692" s="373">
        <v>4</v>
      </c>
      <c r="H1692" s="374">
        <v>5</v>
      </c>
      <c r="I1692" s="375">
        <v>1.37</v>
      </c>
      <c r="J1692" s="376">
        <f t="shared" si="240"/>
        <v>5.48</v>
      </c>
      <c r="K1692" s="66">
        <f t="shared" si="234"/>
        <v>0.84392</v>
      </c>
      <c r="L1692" s="63">
        <f t="shared" si="235"/>
        <v>0</v>
      </c>
      <c r="M1692" s="63">
        <f t="shared" si="236"/>
        <v>0</v>
      </c>
      <c r="N1692" s="63">
        <f t="shared" si="237"/>
        <v>0</v>
      </c>
      <c r="O1692" s="63">
        <f t="shared" si="238"/>
        <v>0</v>
      </c>
      <c r="P1692" s="63">
        <f t="shared" si="239"/>
        <v>0</v>
      </c>
      <c r="Q1692" s="561">
        <f t="shared" si="227"/>
        <v>0</v>
      </c>
      <c r="R1692" s="174"/>
      <c r="T1692" s="82"/>
      <c r="U1692" s="82"/>
      <c r="V1692" s="82"/>
      <c r="W1692" s="82"/>
      <c r="X1692" s="82"/>
      <c r="Y1692" s="82"/>
      <c r="Z1692" s="82"/>
      <c r="AA1692" s="82"/>
      <c r="AB1692" s="82"/>
    </row>
    <row r="1693" spans="1:28" s="85" customFormat="1" x14ac:dyDescent="0.25">
      <c r="A1693" s="82"/>
      <c r="B1693" s="82"/>
      <c r="C1693" s="82"/>
      <c r="D1693" s="729"/>
      <c r="E1693" s="371" t="s">
        <v>49</v>
      </c>
      <c r="F1693" s="372">
        <v>3</v>
      </c>
      <c r="G1693" s="373">
        <v>6</v>
      </c>
      <c r="H1693" s="374">
        <v>5</v>
      </c>
      <c r="I1693" s="375">
        <v>0.94</v>
      </c>
      <c r="J1693" s="376">
        <f t="shared" si="240"/>
        <v>5.64</v>
      </c>
      <c r="K1693" s="66">
        <f t="shared" si="234"/>
        <v>0.86855999999999989</v>
      </c>
      <c r="L1693" s="63">
        <f t="shared" si="235"/>
        <v>0</v>
      </c>
      <c r="M1693" s="63">
        <f t="shared" si="236"/>
        <v>0</v>
      </c>
      <c r="N1693" s="63">
        <f t="shared" si="237"/>
        <v>0</v>
      </c>
      <c r="O1693" s="63">
        <f t="shared" si="238"/>
        <v>0</v>
      </c>
      <c r="P1693" s="63">
        <f t="shared" si="239"/>
        <v>0</v>
      </c>
      <c r="Q1693" s="561">
        <f t="shared" si="227"/>
        <v>0</v>
      </c>
      <c r="R1693" s="174"/>
      <c r="T1693" s="82"/>
      <c r="U1693" s="82"/>
      <c r="V1693" s="82"/>
      <c r="W1693" s="82"/>
      <c r="X1693" s="82"/>
      <c r="Y1693" s="82"/>
      <c r="Z1693" s="82"/>
      <c r="AA1693" s="82"/>
      <c r="AB1693" s="82"/>
    </row>
    <row r="1694" spans="1:28" s="85" customFormat="1" x14ac:dyDescent="0.25">
      <c r="A1694" s="82"/>
      <c r="B1694" s="82"/>
      <c r="C1694" s="82"/>
      <c r="D1694" s="729"/>
      <c r="E1694" s="371" t="s">
        <v>49</v>
      </c>
      <c r="F1694" s="372">
        <v>24</v>
      </c>
      <c r="G1694" s="373">
        <v>6</v>
      </c>
      <c r="H1694" s="374">
        <v>12.5</v>
      </c>
      <c r="I1694" s="375">
        <v>1.45</v>
      </c>
      <c r="J1694" s="376">
        <f t="shared" si="240"/>
        <v>8.6999999999999993</v>
      </c>
      <c r="K1694" s="66">
        <f t="shared" si="234"/>
        <v>0</v>
      </c>
      <c r="L1694" s="63">
        <f t="shared" si="235"/>
        <v>0</v>
      </c>
      <c r="M1694" s="63">
        <f t="shared" si="236"/>
        <v>0</v>
      </c>
      <c r="N1694" s="63">
        <f t="shared" si="237"/>
        <v>0</v>
      </c>
      <c r="O1694" s="63">
        <f t="shared" si="238"/>
        <v>8.3780999999999999</v>
      </c>
      <c r="P1694" s="63">
        <f t="shared" si="239"/>
        <v>0</v>
      </c>
      <c r="Q1694" s="561">
        <f t="shared" si="227"/>
        <v>0</v>
      </c>
      <c r="R1694" s="174"/>
      <c r="T1694" s="82"/>
      <c r="U1694" s="82"/>
      <c r="V1694" s="82"/>
      <c r="W1694" s="82"/>
      <c r="X1694" s="82"/>
      <c r="Y1694" s="82"/>
      <c r="Z1694" s="82"/>
      <c r="AA1694" s="82"/>
      <c r="AB1694" s="82"/>
    </row>
    <row r="1695" spans="1:28" s="85" customFormat="1" x14ac:dyDescent="0.25">
      <c r="A1695" s="82"/>
      <c r="B1695" s="82"/>
      <c r="C1695" s="82"/>
      <c r="D1695" s="729"/>
      <c r="E1695" s="371" t="s">
        <v>113</v>
      </c>
      <c r="F1695" s="372">
        <v>1</v>
      </c>
      <c r="G1695" s="373">
        <v>29</v>
      </c>
      <c r="H1695" s="374">
        <v>5</v>
      </c>
      <c r="I1695" s="375">
        <v>0.34</v>
      </c>
      <c r="J1695" s="376">
        <f t="shared" si="240"/>
        <v>9.8600000000000012</v>
      </c>
      <c r="K1695" s="66">
        <f t="shared" si="234"/>
        <v>1.5184400000000002</v>
      </c>
      <c r="L1695" s="63">
        <f t="shared" si="235"/>
        <v>0</v>
      </c>
      <c r="M1695" s="63">
        <f t="shared" si="236"/>
        <v>0</v>
      </c>
      <c r="N1695" s="63">
        <f t="shared" si="237"/>
        <v>0</v>
      </c>
      <c r="O1695" s="63">
        <f t="shared" si="238"/>
        <v>0</v>
      </c>
      <c r="P1695" s="63">
        <f t="shared" si="239"/>
        <v>0</v>
      </c>
      <c r="Q1695" s="561">
        <f t="shared" si="227"/>
        <v>0</v>
      </c>
      <c r="R1695" s="174"/>
      <c r="T1695" s="82"/>
      <c r="U1695" s="82"/>
      <c r="V1695" s="82"/>
      <c r="W1695" s="82"/>
      <c r="X1695" s="82"/>
      <c r="Y1695" s="82"/>
      <c r="Z1695" s="82"/>
      <c r="AA1695" s="82"/>
      <c r="AB1695" s="82"/>
    </row>
    <row r="1696" spans="1:28" s="85" customFormat="1" x14ac:dyDescent="0.25">
      <c r="A1696" s="82"/>
      <c r="B1696" s="82"/>
      <c r="C1696" s="82"/>
      <c r="D1696" s="729"/>
      <c r="E1696" s="371" t="s">
        <v>113</v>
      </c>
      <c r="F1696" s="372">
        <v>2</v>
      </c>
      <c r="G1696" s="373">
        <v>20</v>
      </c>
      <c r="H1696" s="374">
        <v>5</v>
      </c>
      <c r="I1696" s="375">
        <v>1.37</v>
      </c>
      <c r="J1696" s="376">
        <f t="shared" si="240"/>
        <v>27.400000000000002</v>
      </c>
      <c r="K1696" s="66">
        <f t="shared" si="234"/>
        <v>4.2196000000000007</v>
      </c>
      <c r="L1696" s="63">
        <f t="shared" si="235"/>
        <v>0</v>
      </c>
      <c r="M1696" s="63">
        <f t="shared" si="236"/>
        <v>0</v>
      </c>
      <c r="N1696" s="63">
        <f t="shared" si="237"/>
        <v>0</v>
      </c>
      <c r="O1696" s="63">
        <f t="shared" si="238"/>
        <v>0</v>
      </c>
      <c r="P1696" s="63">
        <f t="shared" si="239"/>
        <v>0</v>
      </c>
      <c r="Q1696" s="561">
        <f t="shared" si="227"/>
        <v>0</v>
      </c>
      <c r="R1696" s="174"/>
      <c r="T1696" s="82"/>
      <c r="U1696" s="82"/>
      <c r="V1696" s="82"/>
      <c r="W1696" s="82"/>
      <c r="X1696" s="82"/>
      <c r="Y1696" s="82"/>
      <c r="Z1696" s="82"/>
      <c r="AA1696" s="82"/>
      <c r="AB1696" s="82"/>
    </row>
    <row r="1697" spans="1:28" s="85" customFormat="1" x14ac:dyDescent="0.25">
      <c r="A1697" s="82"/>
      <c r="B1697" s="82"/>
      <c r="C1697" s="82"/>
      <c r="D1697" s="729"/>
      <c r="E1697" s="371" t="s">
        <v>113</v>
      </c>
      <c r="F1697" s="372">
        <v>3</v>
      </c>
      <c r="G1697" s="373">
        <v>18</v>
      </c>
      <c r="H1697" s="374">
        <v>5</v>
      </c>
      <c r="I1697" s="375">
        <v>0.94</v>
      </c>
      <c r="J1697" s="376">
        <f t="shared" si="240"/>
        <v>16.919999999999998</v>
      </c>
      <c r="K1697" s="66">
        <f t="shared" si="234"/>
        <v>2.6056799999999996</v>
      </c>
      <c r="L1697" s="63">
        <f t="shared" si="235"/>
        <v>0</v>
      </c>
      <c r="M1697" s="63">
        <f t="shared" si="236"/>
        <v>0</v>
      </c>
      <c r="N1697" s="63">
        <f t="shared" si="237"/>
        <v>0</v>
      </c>
      <c r="O1697" s="63">
        <f t="shared" si="238"/>
        <v>0</v>
      </c>
      <c r="P1697" s="63">
        <f t="shared" si="239"/>
        <v>0</v>
      </c>
      <c r="Q1697" s="561">
        <f t="shared" si="227"/>
        <v>0</v>
      </c>
      <c r="R1697" s="174"/>
      <c r="T1697" s="82"/>
      <c r="U1697" s="82"/>
      <c r="V1697" s="82"/>
      <c r="W1697" s="82"/>
      <c r="X1697" s="82"/>
      <c r="Y1697" s="82"/>
      <c r="Z1697" s="82"/>
      <c r="AA1697" s="82"/>
      <c r="AB1697" s="82"/>
    </row>
    <row r="1698" spans="1:28" s="85" customFormat="1" x14ac:dyDescent="0.25">
      <c r="A1698" s="82"/>
      <c r="B1698" s="82"/>
      <c r="C1698" s="82"/>
      <c r="D1698" s="729"/>
      <c r="E1698" s="371" t="s">
        <v>113</v>
      </c>
      <c r="F1698" s="372">
        <v>20</v>
      </c>
      <c r="G1698" s="373">
        <v>6</v>
      </c>
      <c r="H1698" s="374">
        <v>12.5</v>
      </c>
      <c r="I1698" s="375">
        <v>4.0199999999999996</v>
      </c>
      <c r="J1698" s="376">
        <f t="shared" si="240"/>
        <v>24.119999999999997</v>
      </c>
      <c r="K1698" s="66">
        <f t="shared" si="234"/>
        <v>0</v>
      </c>
      <c r="L1698" s="63">
        <f t="shared" si="235"/>
        <v>0</v>
      </c>
      <c r="M1698" s="63">
        <f t="shared" si="236"/>
        <v>0</v>
      </c>
      <c r="N1698" s="63">
        <f t="shared" si="237"/>
        <v>0</v>
      </c>
      <c r="O1698" s="63">
        <f t="shared" si="238"/>
        <v>23.227559999999997</v>
      </c>
      <c r="P1698" s="63">
        <f t="shared" si="239"/>
        <v>0</v>
      </c>
      <c r="Q1698" s="561">
        <f t="shared" si="227"/>
        <v>0</v>
      </c>
      <c r="R1698" s="174"/>
      <c r="T1698" s="82"/>
      <c r="U1698" s="82"/>
      <c r="V1698" s="82"/>
      <c r="W1698" s="82"/>
      <c r="X1698" s="82"/>
      <c r="Y1698" s="82"/>
      <c r="Z1698" s="82"/>
      <c r="AA1698" s="82"/>
      <c r="AB1698" s="82"/>
    </row>
    <row r="1699" spans="1:28" s="85" customFormat="1" x14ac:dyDescent="0.25">
      <c r="A1699" s="82"/>
      <c r="B1699" s="82"/>
      <c r="C1699" s="82"/>
      <c r="D1699" s="729"/>
      <c r="E1699" s="396" t="s">
        <v>184</v>
      </c>
      <c r="F1699" s="403">
        <v>1</v>
      </c>
      <c r="G1699" s="397">
        <v>3</v>
      </c>
      <c r="H1699" s="398">
        <v>5</v>
      </c>
      <c r="I1699" s="399">
        <v>0.34</v>
      </c>
      <c r="J1699" s="400">
        <f t="shared" si="240"/>
        <v>1.02</v>
      </c>
      <c r="K1699" s="401">
        <f t="shared" si="234"/>
        <v>0.15708</v>
      </c>
      <c r="L1699" s="196">
        <f t="shared" si="235"/>
        <v>0</v>
      </c>
      <c r="M1699" s="196">
        <f t="shared" si="236"/>
        <v>0</v>
      </c>
      <c r="N1699" s="196">
        <f t="shared" si="237"/>
        <v>0</v>
      </c>
      <c r="O1699" s="196">
        <f t="shared" si="238"/>
        <v>0</v>
      </c>
      <c r="P1699" s="196">
        <f t="shared" si="239"/>
        <v>0</v>
      </c>
      <c r="Q1699" s="566">
        <f t="shared" si="227"/>
        <v>0</v>
      </c>
      <c r="R1699" s="538"/>
      <c r="T1699" s="82"/>
      <c r="U1699" s="82"/>
      <c r="V1699" s="82"/>
      <c r="W1699" s="82"/>
      <c r="X1699" s="82"/>
      <c r="Y1699" s="82"/>
      <c r="Z1699" s="82"/>
      <c r="AA1699" s="82"/>
      <c r="AB1699" s="82"/>
    </row>
    <row r="1700" spans="1:28" s="85" customFormat="1" x14ac:dyDescent="0.25">
      <c r="A1700" s="82"/>
      <c r="B1700" s="82"/>
      <c r="C1700" s="82"/>
      <c r="D1700" s="729"/>
      <c r="E1700" s="371" t="s">
        <v>184</v>
      </c>
      <c r="F1700" s="372">
        <v>2</v>
      </c>
      <c r="G1700" s="373">
        <v>6</v>
      </c>
      <c r="H1700" s="374">
        <v>5</v>
      </c>
      <c r="I1700" s="375">
        <v>0.94</v>
      </c>
      <c r="J1700" s="376">
        <f t="shared" si="240"/>
        <v>5.64</v>
      </c>
      <c r="K1700" s="66">
        <f t="shared" si="234"/>
        <v>0.86855999999999989</v>
      </c>
      <c r="L1700" s="63">
        <f t="shared" si="235"/>
        <v>0</v>
      </c>
      <c r="M1700" s="63">
        <f t="shared" si="236"/>
        <v>0</v>
      </c>
      <c r="N1700" s="63">
        <f t="shared" si="237"/>
        <v>0</v>
      </c>
      <c r="O1700" s="63">
        <f t="shared" si="238"/>
        <v>0</v>
      </c>
      <c r="P1700" s="63">
        <f t="shared" si="239"/>
        <v>0</v>
      </c>
      <c r="Q1700" s="562">
        <f t="shared" si="227"/>
        <v>0</v>
      </c>
      <c r="R1700" s="377"/>
      <c r="T1700" s="82"/>
      <c r="U1700" s="82"/>
      <c r="V1700" s="82"/>
      <c r="W1700" s="82"/>
      <c r="X1700" s="82"/>
      <c r="Y1700" s="82"/>
      <c r="Z1700" s="82"/>
      <c r="AA1700" s="82"/>
      <c r="AB1700" s="82"/>
    </row>
    <row r="1701" spans="1:28" s="85" customFormat="1" x14ac:dyDescent="0.25">
      <c r="A1701" s="82"/>
      <c r="B1701" s="82"/>
      <c r="C1701" s="82"/>
      <c r="D1701" s="729"/>
      <c r="E1701" s="371" t="s">
        <v>184</v>
      </c>
      <c r="F1701" s="372">
        <v>44</v>
      </c>
      <c r="G1701" s="373">
        <v>6</v>
      </c>
      <c r="H1701" s="374">
        <v>12.5</v>
      </c>
      <c r="I1701" s="375">
        <v>0.34</v>
      </c>
      <c r="J1701" s="376">
        <f t="shared" si="240"/>
        <v>2.04</v>
      </c>
      <c r="K1701" s="66">
        <f t="shared" si="234"/>
        <v>0</v>
      </c>
      <c r="L1701" s="63">
        <f t="shared" si="235"/>
        <v>0</v>
      </c>
      <c r="M1701" s="63">
        <f t="shared" si="236"/>
        <v>0</v>
      </c>
      <c r="N1701" s="63">
        <f t="shared" si="237"/>
        <v>0</v>
      </c>
      <c r="O1701" s="63">
        <f t="shared" si="238"/>
        <v>1.96452</v>
      </c>
      <c r="P1701" s="63">
        <f t="shared" si="239"/>
        <v>0</v>
      </c>
      <c r="Q1701" s="562">
        <f t="shared" si="227"/>
        <v>0</v>
      </c>
      <c r="R1701" s="377"/>
      <c r="T1701" s="82"/>
      <c r="U1701" s="82"/>
      <c r="V1701" s="82"/>
      <c r="W1701" s="82"/>
      <c r="X1701" s="82"/>
      <c r="Y1701" s="82"/>
      <c r="Z1701" s="82"/>
      <c r="AA1701" s="82"/>
      <c r="AB1701" s="82"/>
    </row>
    <row r="1702" spans="1:28" s="85" customFormat="1" ht="13.8" thickBot="1" x14ac:dyDescent="0.3">
      <c r="A1702" s="82"/>
      <c r="B1702" s="82"/>
      <c r="C1702" s="82"/>
      <c r="D1702" s="731"/>
      <c r="E1702" s="390" t="s">
        <v>184</v>
      </c>
      <c r="F1702" s="391"/>
      <c r="G1702" s="392"/>
      <c r="H1702" s="393"/>
      <c r="I1702" s="394"/>
      <c r="J1702" s="395">
        <f t="shared" si="240"/>
        <v>0</v>
      </c>
      <c r="K1702" s="221">
        <f t="shared" si="234"/>
        <v>0</v>
      </c>
      <c r="L1702" s="222">
        <f t="shared" si="235"/>
        <v>0</v>
      </c>
      <c r="M1702" s="222">
        <f t="shared" si="236"/>
        <v>0</v>
      </c>
      <c r="N1702" s="222">
        <f t="shared" si="237"/>
        <v>0</v>
      </c>
      <c r="O1702" s="222">
        <f t="shared" si="238"/>
        <v>0</v>
      </c>
      <c r="P1702" s="222">
        <f t="shared" si="239"/>
        <v>0</v>
      </c>
      <c r="Q1702" s="564">
        <f t="shared" si="227"/>
        <v>0</v>
      </c>
      <c r="R1702" s="539"/>
      <c r="T1702" s="82"/>
      <c r="U1702" s="82"/>
      <c r="V1702" s="82"/>
      <c r="W1702" s="82"/>
      <c r="X1702" s="82"/>
      <c r="Y1702" s="82"/>
      <c r="Z1702" s="82"/>
      <c r="AA1702" s="82"/>
      <c r="AB1702" s="82"/>
    </row>
    <row r="1703" spans="1:28" s="85" customFormat="1" ht="13.8" thickTop="1" x14ac:dyDescent="0.25">
      <c r="A1703" s="82"/>
      <c r="B1703" s="82"/>
      <c r="C1703" s="82"/>
      <c r="D1703" s="728" t="s">
        <v>2032</v>
      </c>
      <c r="E1703" s="384" t="s">
        <v>49</v>
      </c>
      <c r="F1703" s="385">
        <v>1</v>
      </c>
      <c r="G1703" s="386">
        <v>7</v>
      </c>
      <c r="H1703" s="387">
        <v>5</v>
      </c>
      <c r="I1703" s="388">
        <v>0.34</v>
      </c>
      <c r="J1703" s="389">
        <f t="shared" si="240"/>
        <v>2.3800000000000003</v>
      </c>
      <c r="K1703" s="218">
        <f t="shared" ref="K1703:K1744" si="241">IF($H1703=5,$J1703*$B$21,0)</f>
        <v>0.36652000000000007</v>
      </c>
      <c r="L1703" s="219">
        <f t="shared" ref="L1703:L1744" si="242">IF($H1703=6.3,$J1703*$B$22,0)</f>
        <v>0</v>
      </c>
      <c r="M1703" s="219">
        <f t="shared" ref="M1703:M1744" si="243">IF($H1703=8,$J1703*$B$23,0)</f>
        <v>0</v>
      </c>
      <c r="N1703" s="219">
        <f t="shared" ref="N1703:N1744" si="244">IF($H1703=10,$J1703*$B$24,0)</f>
        <v>0</v>
      </c>
      <c r="O1703" s="219">
        <f t="shared" ref="O1703:O1744" si="245">IF($H1703=12.5,$J1703*$B$26,0)</f>
        <v>0</v>
      </c>
      <c r="P1703" s="219">
        <f t="shared" ref="P1703:P1744" si="246">IF($H1703=16,$J1703*$B$27,0)</f>
        <v>0</v>
      </c>
      <c r="Q1703" s="563">
        <f t="shared" si="227"/>
        <v>0</v>
      </c>
      <c r="R1703" s="220"/>
      <c r="T1703" s="82"/>
      <c r="U1703" s="82"/>
      <c r="V1703" s="82"/>
      <c r="W1703" s="82"/>
      <c r="X1703" s="82"/>
      <c r="Y1703" s="82"/>
      <c r="Z1703" s="82"/>
      <c r="AA1703" s="82"/>
      <c r="AB1703" s="82"/>
    </row>
    <row r="1704" spans="1:28" s="85" customFormat="1" x14ac:dyDescent="0.25">
      <c r="A1704" s="82"/>
      <c r="B1704" s="82"/>
      <c r="C1704" s="82"/>
      <c r="D1704" s="729"/>
      <c r="E1704" s="371" t="s">
        <v>49</v>
      </c>
      <c r="F1704" s="372">
        <v>2</v>
      </c>
      <c r="G1704" s="373">
        <v>4</v>
      </c>
      <c r="H1704" s="374">
        <v>5</v>
      </c>
      <c r="I1704" s="375">
        <v>1.37</v>
      </c>
      <c r="J1704" s="376">
        <f t="shared" si="240"/>
        <v>5.48</v>
      </c>
      <c r="K1704" s="66">
        <f t="shared" si="241"/>
        <v>0.84392</v>
      </c>
      <c r="L1704" s="63">
        <f t="shared" si="242"/>
        <v>0</v>
      </c>
      <c r="M1704" s="63">
        <f t="shared" si="243"/>
        <v>0</v>
      </c>
      <c r="N1704" s="63">
        <f t="shared" si="244"/>
        <v>0</v>
      </c>
      <c r="O1704" s="63">
        <f t="shared" si="245"/>
        <v>0</v>
      </c>
      <c r="P1704" s="63">
        <f t="shared" si="246"/>
        <v>0</v>
      </c>
      <c r="Q1704" s="561">
        <f t="shared" si="227"/>
        <v>0</v>
      </c>
      <c r="R1704" s="174"/>
      <c r="T1704" s="82"/>
      <c r="U1704" s="82"/>
      <c r="V1704" s="82"/>
      <c r="W1704" s="82"/>
      <c r="X1704" s="82"/>
      <c r="Y1704" s="82"/>
      <c r="Z1704" s="82"/>
      <c r="AA1704" s="82"/>
      <c r="AB1704" s="82"/>
    </row>
    <row r="1705" spans="1:28" s="85" customFormat="1" x14ac:dyDescent="0.25">
      <c r="A1705" s="82"/>
      <c r="B1705" s="82"/>
      <c r="C1705" s="82"/>
      <c r="D1705" s="729"/>
      <c r="E1705" s="371" t="s">
        <v>49</v>
      </c>
      <c r="F1705" s="372">
        <v>3</v>
      </c>
      <c r="G1705" s="373">
        <v>6</v>
      </c>
      <c r="H1705" s="374">
        <v>5</v>
      </c>
      <c r="I1705" s="375">
        <v>0.94</v>
      </c>
      <c r="J1705" s="376">
        <f t="shared" si="240"/>
        <v>5.64</v>
      </c>
      <c r="K1705" s="66">
        <f t="shared" si="241"/>
        <v>0.86855999999999989</v>
      </c>
      <c r="L1705" s="63">
        <f t="shared" si="242"/>
        <v>0</v>
      </c>
      <c r="M1705" s="63">
        <f t="shared" si="243"/>
        <v>0</v>
      </c>
      <c r="N1705" s="63">
        <f t="shared" si="244"/>
        <v>0</v>
      </c>
      <c r="O1705" s="63">
        <f t="shared" si="245"/>
        <v>0</v>
      </c>
      <c r="P1705" s="63">
        <f t="shared" si="246"/>
        <v>0</v>
      </c>
      <c r="Q1705" s="561">
        <f t="shared" si="227"/>
        <v>0</v>
      </c>
      <c r="R1705" s="174"/>
      <c r="T1705" s="82"/>
      <c r="U1705" s="82"/>
      <c r="V1705" s="82"/>
      <c r="W1705" s="82"/>
      <c r="X1705" s="82"/>
      <c r="Y1705" s="82"/>
      <c r="Z1705" s="82"/>
      <c r="AA1705" s="82"/>
      <c r="AB1705" s="82"/>
    </row>
    <row r="1706" spans="1:28" s="85" customFormat="1" x14ac:dyDescent="0.25">
      <c r="A1706" s="82"/>
      <c r="B1706" s="82"/>
      <c r="C1706" s="82"/>
      <c r="D1706" s="729"/>
      <c r="E1706" s="371" t="s">
        <v>49</v>
      </c>
      <c r="F1706" s="372">
        <v>24</v>
      </c>
      <c r="G1706" s="373">
        <v>6</v>
      </c>
      <c r="H1706" s="374">
        <v>12.5</v>
      </c>
      <c r="I1706" s="375">
        <v>1.45</v>
      </c>
      <c r="J1706" s="376">
        <f t="shared" si="240"/>
        <v>8.6999999999999993</v>
      </c>
      <c r="K1706" s="66">
        <f t="shared" si="241"/>
        <v>0</v>
      </c>
      <c r="L1706" s="63">
        <f t="shared" si="242"/>
        <v>0</v>
      </c>
      <c r="M1706" s="63">
        <f t="shared" si="243"/>
        <v>0</v>
      </c>
      <c r="N1706" s="63">
        <f t="shared" si="244"/>
        <v>0</v>
      </c>
      <c r="O1706" s="63">
        <f t="shared" si="245"/>
        <v>8.3780999999999999</v>
      </c>
      <c r="P1706" s="63">
        <f t="shared" si="246"/>
        <v>0</v>
      </c>
      <c r="Q1706" s="561">
        <f t="shared" si="227"/>
        <v>0</v>
      </c>
      <c r="R1706" s="174"/>
      <c r="T1706" s="82"/>
      <c r="U1706" s="82"/>
      <c r="V1706" s="82"/>
      <c r="W1706" s="82"/>
      <c r="X1706" s="82"/>
      <c r="Y1706" s="82"/>
      <c r="Z1706" s="82"/>
      <c r="AA1706" s="82"/>
      <c r="AB1706" s="82"/>
    </row>
    <row r="1707" spans="1:28" s="85" customFormat="1" x14ac:dyDescent="0.25">
      <c r="A1707" s="82"/>
      <c r="B1707" s="82"/>
      <c r="C1707" s="82"/>
      <c r="D1707" s="729"/>
      <c r="E1707" s="371" t="s">
        <v>113</v>
      </c>
      <c r="F1707" s="372">
        <v>1</v>
      </c>
      <c r="G1707" s="373">
        <v>25</v>
      </c>
      <c r="H1707" s="374">
        <v>5</v>
      </c>
      <c r="I1707" s="375">
        <v>0.34</v>
      </c>
      <c r="J1707" s="376">
        <f t="shared" si="240"/>
        <v>8.5</v>
      </c>
      <c r="K1707" s="66">
        <f t="shared" si="241"/>
        <v>1.3089999999999999</v>
      </c>
      <c r="L1707" s="63">
        <f t="shared" si="242"/>
        <v>0</v>
      </c>
      <c r="M1707" s="63">
        <f t="shared" si="243"/>
        <v>0</v>
      </c>
      <c r="N1707" s="63">
        <f t="shared" si="244"/>
        <v>0</v>
      </c>
      <c r="O1707" s="63">
        <f t="shared" si="245"/>
        <v>0</v>
      </c>
      <c r="P1707" s="63">
        <f t="shared" si="246"/>
        <v>0</v>
      </c>
      <c r="Q1707" s="561">
        <f t="shared" si="227"/>
        <v>0</v>
      </c>
      <c r="R1707" s="174"/>
      <c r="T1707" s="82"/>
      <c r="U1707" s="82"/>
      <c r="V1707" s="82"/>
      <c r="W1707" s="82"/>
      <c r="X1707" s="82"/>
      <c r="Y1707" s="82"/>
      <c r="Z1707" s="82"/>
      <c r="AA1707" s="82"/>
      <c r="AB1707" s="82"/>
    </row>
    <row r="1708" spans="1:28" s="85" customFormat="1" x14ac:dyDescent="0.25">
      <c r="A1708" s="82"/>
      <c r="B1708" s="82"/>
      <c r="C1708" s="82"/>
      <c r="D1708" s="729"/>
      <c r="E1708" s="371" t="s">
        <v>113</v>
      </c>
      <c r="F1708" s="372">
        <v>2</v>
      </c>
      <c r="G1708" s="373">
        <v>17</v>
      </c>
      <c r="H1708" s="374">
        <v>5</v>
      </c>
      <c r="I1708" s="375">
        <v>1.37</v>
      </c>
      <c r="J1708" s="376">
        <f t="shared" si="240"/>
        <v>23.290000000000003</v>
      </c>
      <c r="K1708" s="66">
        <f t="shared" si="241"/>
        <v>3.5866600000000002</v>
      </c>
      <c r="L1708" s="63">
        <f t="shared" si="242"/>
        <v>0</v>
      </c>
      <c r="M1708" s="63">
        <f t="shared" si="243"/>
        <v>0</v>
      </c>
      <c r="N1708" s="63">
        <f t="shared" si="244"/>
        <v>0</v>
      </c>
      <c r="O1708" s="63">
        <f t="shared" si="245"/>
        <v>0</v>
      </c>
      <c r="P1708" s="63">
        <f t="shared" si="246"/>
        <v>0</v>
      </c>
      <c r="Q1708" s="561">
        <f t="shared" si="227"/>
        <v>0</v>
      </c>
      <c r="R1708" s="174"/>
      <c r="T1708" s="82"/>
      <c r="U1708" s="82"/>
      <c r="V1708" s="82"/>
      <c r="W1708" s="82"/>
      <c r="X1708" s="82"/>
      <c r="Y1708" s="82"/>
      <c r="Z1708" s="82"/>
      <c r="AA1708" s="82"/>
      <c r="AB1708" s="82"/>
    </row>
    <row r="1709" spans="1:28" s="85" customFormat="1" x14ac:dyDescent="0.25">
      <c r="A1709" s="82"/>
      <c r="B1709" s="82"/>
      <c r="C1709" s="82"/>
      <c r="D1709" s="729"/>
      <c r="E1709" s="371" t="s">
        <v>113</v>
      </c>
      <c r="F1709" s="372">
        <v>3</v>
      </c>
      <c r="G1709" s="373">
        <v>16</v>
      </c>
      <c r="H1709" s="374">
        <v>5</v>
      </c>
      <c r="I1709" s="375">
        <v>0.94</v>
      </c>
      <c r="J1709" s="376">
        <f t="shared" si="240"/>
        <v>15.04</v>
      </c>
      <c r="K1709" s="66">
        <f t="shared" si="241"/>
        <v>2.31616</v>
      </c>
      <c r="L1709" s="63">
        <f t="shared" si="242"/>
        <v>0</v>
      </c>
      <c r="M1709" s="63">
        <f t="shared" si="243"/>
        <v>0</v>
      </c>
      <c r="N1709" s="63">
        <f t="shared" si="244"/>
        <v>0</v>
      </c>
      <c r="O1709" s="63">
        <f t="shared" si="245"/>
        <v>0</v>
      </c>
      <c r="P1709" s="63">
        <f t="shared" si="246"/>
        <v>0</v>
      </c>
      <c r="Q1709" s="561">
        <f t="shared" si="227"/>
        <v>0</v>
      </c>
      <c r="R1709" s="174"/>
      <c r="T1709" s="82"/>
      <c r="U1709" s="82"/>
      <c r="V1709" s="82"/>
      <c r="W1709" s="82"/>
      <c r="X1709" s="82"/>
      <c r="Y1709" s="82"/>
      <c r="Z1709" s="82"/>
      <c r="AA1709" s="82"/>
      <c r="AB1709" s="82"/>
    </row>
    <row r="1710" spans="1:28" s="85" customFormat="1" x14ac:dyDescent="0.25">
      <c r="A1710" s="82"/>
      <c r="B1710" s="82"/>
      <c r="C1710" s="82"/>
      <c r="D1710" s="729"/>
      <c r="E1710" s="371" t="s">
        <v>113</v>
      </c>
      <c r="F1710" s="372">
        <v>20</v>
      </c>
      <c r="G1710" s="373">
        <v>6</v>
      </c>
      <c r="H1710" s="374">
        <v>12.5</v>
      </c>
      <c r="I1710" s="375">
        <v>4.0199999999999996</v>
      </c>
      <c r="J1710" s="376">
        <f t="shared" si="240"/>
        <v>24.119999999999997</v>
      </c>
      <c r="K1710" s="66">
        <f t="shared" si="241"/>
        <v>0</v>
      </c>
      <c r="L1710" s="63">
        <f t="shared" si="242"/>
        <v>0</v>
      </c>
      <c r="M1710" s="63">
        <f t="shared" si="243"/>
        <v>0</v>
      </c>
      <c r="N1710" s="63">
        <f t="shared" si="244"/>
        <v>0</v>
      </c>
      <c r="O1710" s="63">
        <f t="shared" si="245"/>
        <v>23.227559999999997</v>
      </c>
      <c r="P1710" s="63">
        <f t="shared" si="246"/>
        <v>0</v>
      </c>
      <c r="Q1710" s="561">
        <f t="shared" si="227"/>
        <v>0</v>
      </c>
      <c r="R1710" s="174"/>
      <c r="T1710" s="82"/>
      <c r="U1710" s="82"/>
      <c r="V1710" s="82"/>
      <c r="W1710" s="82"/>
      <c r="X1710" s="82"/>
      <c r="Y1710" s="82"/>
      <c r="Z1710" s="82"/>
      <c r="AA1710" s="82"/>
      <c r="AB1710" s="82"/>
    </row>
    <row r="1711" spans="1:28" s="85" customFormat="1" x14ac:dyDescent="0.25">
      <c r="A1711" s="82"/>
      <c r="B1711" s="82"/>
      <c r="C1711" s="82"/>
      <c r="D1711" s="729"/>
      <c r="E1711" s="396" t="s">
        <v>184</v>
      </c>
      <c r="F1711" s="403">
        <v>1</v>
      </c>
      <c r="G1711" s="397">
        <v>3</v>
      </c>
      <c r="H1711" s="398">
        <v>5</v>
      </c>
      <c r="I1711" s="399">
        <v>0.34</v>
      </c>
      <c r="J1711" s="400">
        <f t="shared" si="240"/>
        <v>1.02</v>
      </c>
      <c r="K1711" s="401">
        <f t="shared" si="241"/>
        <v>0.15708</v>
      </c>
      <c r="L1711" s="196">
        <f t="shared" si="242"/>
        <v>0</v>
      </c>
      <c r="M1711" s="196">
        <f t="shared" si="243"/>
        <v>0</v>
      </c>
      <c r="N1711" s="196">
        <f t="shared" si="244"/>
        <v>0</v>
      </c>
      <c r="O1711" s="196">
        <f t="shared" si="245"/>
        <v>0</v>
      </c>
      <c r="P1711" s="196">
        <f t="shared" si="246"/>
        <v>0</v>
      </c>
      <c r="Q1711" s="566">
        <f t="shared" si="227"/>
        <v>0</v>
      </c>
      <c r="R1711" s="538"/>
      <c r="T1711" s="82"/>
      <c r="U1711" s="82"/>
      <c r="V1711" s="82"/>
      <c r="W1711" s="82"/>
      <c r="X1711" s="82"/>
      <c r="Y1711" s="82"/>
      <c r="Z1711" s="82"/>
      <c r="AA1711" s="82"/>
      <c r="AB1711" s="82"/>
    </row>
    <row r="1712" spans="1:28" s="85" customFormat="1" x14ac:dyDescent="0.25">
      <c r="A1712" s="82"/>
      <c r="B1712" s="82"/>
      <c r="C1712" s="82"/>
      <c r="D1712" s="729"/>
      <c r="E1712" s="371" t="s">
        <v>184</v>
      </c>
      <c r="F1712" s="372">
        <v>2</v>
      </c>
      <c r="G1712" s="373">
        <v>6</v>
      </c>
      <c r="H1712" s="374">
        <v>5</v>
      </c>
      <c r="I1712" s="375">
        <v>0.94</v>
      </c>
      <c r="J1712" s="376">
        <f t="shared" si="240"/>
        <v>5.64</v>
      </c>
      <c r="K1712" s="66">
        <f t="shared" si="241"/>
        <v>0.86855999999999989</v>
      </c>
      <c r="L1712" s="63">
        <f t="shared" si="242"/>
        <v>0</v>
      </c>
      <c r="M1712" s="63">
        <f t="shared" si="243"/>
        <v>0</v>
      </c>
      <c r="N1712" s="63">
        <f t="shared" si="244"/>
        <v>0</v>
      </c>
      <c r="O1712" s="63">
        <f t="shared" si="245"/>
        <v>0</v>
      </c>
      <c r="P1712" s="63">
        <f t="shared" si="246"/>
        <v>0</v>
      </c>
      <c r="Q1712" s="562">
        <f t="shared" si="227"/>
        <v>0</v>
      </c>
      <c r="R1712" s="377"/>
      <c r="T1712" s="82"/>
      <c r="U1712" s="82"/>
      <c r="V1712" s="82"/>
      <c r="W1712" s="82"/>
      <c r="X1712" s="82"/>
      <c r="Y1712" s="82"/>
      <c r="Z1712" s="82"/>
      <c r="AA1712" s="82"/>
      <c r="AB1712" s="82"/>
    </row>
    <row r="1713" spans="1:28" s="85" customFormat="1" x14ac:dyDescent="0.25">
      <c r="A1713" s="82"/>
      <c r="B1713" s="82"/>
      <c r="C1713" s="82"/>
      <c r="D1713" s="729"/>
      <c r="E1713" s="371" t="s">
        <v>184</v>
      </c>
      <c r="F1713" s="372">
        <v>44</v>
      </c>
      <c r="G1713" s="373">
        <v>6</v>
      </c>
      <c r="H1713" s="374">
        <v>12.5</v>
      </c>
      <c r="I1713" s="375">
        <v>0.34</v>
      </c>
      <c r="J1713" s="376">
        <f t="shared" si="240"/>
        <v>2.04</v>
      </c>
      <c r="K1713" s="66">
        <f t="shared" si="241"/>
        <v>0</v>
      </c>
      <c r="L1713" s="63">
        <f t="shared" si="242"/>
        <v>0</v>
      </c>
      <c r="M1713" s="63">
        <f t="shared" si="243"/>
        <v>0</v>
      </c>
      <c r="N1713" s="63">
        <f t="shared" si="244"/>
        <v>0</v>
      </c>
      <c r="O1713" s="63">
        <f t="shared" si="245"/>
        <v>1.96452</v>
      </c>
      <c r="P1713" s="63">
        <f t="shared" si="246"/>
        <v>0</v>
      </c>
      <c r="Q1713" s="562">
        <f t="shared" si="227"/>
        <v>0</v>
      </c>
      <c r="R1713" s="377"/>
      <c r="T1713" s="82"/>
      <c r="U1713" s="82"/>
      <c r="V1713" s="82"/>
      <c r="W1713" s="82"/>
      <c r="X1713" s="82"/>
      <c r="Y1713" s="82"/>
      <c r="Z1713" s="82"/>
      <c r="AA1713" s="82"/>
      <c r="AB1713" s="82"/>
    </row>
    <row r="1714" spans="1:28" s="85" customFormat="1" ht="13.8" thickBot="1" x14ac:dyDescent="0.3">
      <c r="A1714" s="82"/>
      <c r="B1714" s="82"/>
      <c r="C1714" s="82"/>
      <c r="D1714" s="731"/>
      <c r="E1714" s="390" t="s">
        <v>184</v>
      </c>
      <c r="F1714" s="391"/>
      <c r="G1714" s="392"/>
      <c r="H1714" s="393"/>
      <c r="I1714" s="394"/>
      <c r="J1714" s="395">
        <f t="shared" si="240"/>
        <v>0</v>
      </c>
      <c r="K1714" s="221">
        <f t="shared" si="241"/>
        <v>0</v>
      </c>
      <c r="L1714" s="222">
        <f t="shared" si="242"/>
        <v>0</v>
      </c>
      <c r="M1714" s="222">
        <f t="shared" si="243"/>
        <v>0</v>
      </c>
      <c r="N1714" s="222">
        <f t="shared" si="244"/>
        <v>0</v>
      </c>
      <c r="O1714" s="222">
        <f t="shared" si="245"/>
        <v>0</v>
      </c>
      <c r="P1714" s="222">
        <f t="shared" si="246"/>
        <v>0</v>
      </c>
      <c r="Q1714" s="564">
        <f t="shared" si="227"/>
        <v>0</v>
      </c>
      <c r="R1714" s="539"/>
      <c r="T1714" s="82"/>
      <c r="U1714" s="82"/>
      <c r="V1714" s="82"/>
      <c r="W1714" s="82"/>
      <c r="X1714" s="82"/>
      <c r="Y1714" s="82"/>
      <c r="Z1714" s="82"/>
      <c r="AA1714" s="82"/>
      <c r="AB1714" s="82"/>
    </row>
    <row r="1715" spans="1:28" s="85" customFormat="1" ht="13.8" thickTop="1" x14ac:dyDescent="0.25">
      <c r="A1715" s="82"/>
      <c r="B1715" s="82"/>
      <c r="C1715" s="82"/>
      <c r="D1715" s="728" t="s">
        <v>2033</v>
      </c>
      <c r="E1715" s="384" t="s">
        <v>49</v>
      </c>
      <c r="F1715" s="385">
        <v>1</v>
      </c>
      <c r="G1715" s="386">
        <v>7</v>
      </c>
      <c r="H1715" s="387">
        <v>5</v>
      </c>
      <c r="I1715" s="388">
        <v>0.34</v>
      </c>
      <c r="J1715" s="389">
        <f t="shared" si="240"/>
        <v>2.3800000000000003</v>
      </c>
      <c r="K1715" s="218">
        <f t="shared" si="241"/>
        <v>0.36652000000000007</v>
      </c>
      <c r="L1715" s="219">
        <f t="shared" si="242"/>
        <v>0</v>
      </c>
      <c r="M1715" s="219">
        <f t="shared" si="243"/>
        <v>0</v>
      </c>
      <c r="N1715" s="219">
        <f t="shared" si="244"/>
        <v>0</v>
      </c>
      <c r="O1715" s="219">
        <f t="shared" si="245"/>
        <v>0</v>
      </c>
      <c r="P1715" s="219">
        <f t="shared" si="246"/>
        <v>0</v>
      </c>
      <c r="Q1715" s="563">
        <f t="shared" si="227"/>
        <v>0</v>
      </c>
      <c r="R1715" s="220"/>
      <c r="T1715" s="82"/>
      <c r="U1715" s="82"/>
      <c r="V1715" s="82"/>
      <c r="W1715" s="82"/>
      <c r="X1715" s="82"/>
      <c r="Y1715" s="82"/>
      <c r="Z1715" s="82"/>
      <c r="AA1715" s="82"/>
      <c r="AB1715" s="82"/>
    </row>
    <row r="1716" spans="1:28" s="85" customFormat="1" x14ac:dyDescent="0.25">
      <c r="A1716" s="82"/>
      <c r="B1716" s="82"/>
      <c r="C1716" s="82"/>
      <c r="D1716" s="729"/>
      <c r="E1716" s="371" t="s">
        <v>49</v>
      </c>
      <c r="F1716" s="372">
        <v>2</v>
      </c>
      <c r="G1716" s="373">
        <v>4</v>
      </c>
      <c r="H1716" s="374">
        <v>5</v>
      </c>
      <c r="I1716" s="375">
        <v>1.37</v>
      </c>
      <c r="J1716" s="376">
        <f t="shared" si="240"/>
        <v>5.48</v>
      </c>
      <c r="K1716" s="66">
        <f t="shared" si="241"/>
        <v>0.84392</v>
      </c>
      <c r="L1716" s="63">
        <f t="shared" si="242"/>
        <v>0</v>
      </c>
      <c r="M1716" s="63">
        <f t="shared" si="243"/>
        <v>0</v>
      </c>
      <c r="N1716" s="63">
        <f t="shared" si="244"/>
        <v>0</v>
      </c>
      <c r="O1716" s="63">
        <f t="shared" si="245"/>
        <v>0</v>
      </c>
      <c r="P1716" s="63">
        <f t="shared" si="246"/>
        <v>0</v>
      </c>
      <c r="Q1716" s="561">
        <f t="shared" si="227"/>
        <v>0</v>
      </c>
      <c r="R1716" s="174"/>
      <c r="T1716" s="82"/>
      <c r="U1716" s="82"/>
      <c r="V1716" s="82"/>
      <c r="W1716" s="82"/>
      <c r="X1716" s="82"/>
      <c r="Y1716" s="82"/>
      <c r="Z1716" s="82"/>
      <c r="AA1716" s="82"/>
      <c r="AB1716" s="82"/>
    </row>
    <row r="1717" spans="1:28" s="85" customFormat="1" x14ac:dyDescent="0.25">
      <c r="A1717" s="82"/>
      <c r="B1717" s="82"/>
      <c r="C1717" s="82"/>
      <c r="D1717" s="729"/>
      <c r="E1717" s="371" t="s">
        <v>49</v>
      </c>
      <c r="F1717" s="372">
        <v>3</v>
      </c>
      <c r="G1717" s="373">
        <v>6</v>
      </c>
      <c r="H1717" s="374">
        <v>5</v>
      </c>
      <c r="I1717" s="375">
        <v>0.94</v>
      </c>
      <c r="J1717" s="376">
        <f t="shared" si="240"/>
        <v>5.64</v>
      </c>
      <c r="K1717" s="66">
        <f t="shared" si="241"/>
        <v>0.86855999999999989</v>
      </c>
      <c r="L1717" s="63">
        <f t="shared" si="242"/>
        <v>0</v>
      </c>
      <c r="M1717" s="63">
        <f t="shared" si="243"/>
        <v>0</v>
      </c>
      <c r="N1717" s="63">
        <f t="shared" si="244"/>
        <v>0</v>
      </c>
      <c r="O1717" s="63">
        <f t="shared" si="245"/>
        <v>0</v>
      </c>
      <c r="P1717" s="63">
        <f t="shared" si="246"/>
        <v>0</v>
      </c>
      <c r="Q1717" s="561">
        <f t="shared" si="227"/>
        <v>0</v>
      </c>
      <c r="R1717" s="174"/>
      <c r="T1717" s="82"/>
      <c r="U1717" s="82"/>
      <c r="V1717" s="82"/>
      <c r="W1717" s="82"/>
      <c r="X1717" s="82"/>
      <c r="Y1717" s="82"/>
      <c r="Z1717" s="82"/>
      <c r="AA1717" s="82"/>
      <c r="AB1717" s="82"/>
    </row>
    <row r="1718" spans="1:28" s="85" customFormat="1" x14ac:dyDescent="0.25">
      <c r="A1718" s="82"/>
      <c r="B1718" s="82"/>
      <c r="C1718" s="82"/>
      <c r="D1718" s="729"/>
      <c r="E1718" s="371" t="s">
        <v>49</v>
      </c>
      <c r="F1718" s="372">
        <v>24</v>
      </c>
      <c r="G1718" s="373">
        <v>6</v>
      </c>
      <c r="H1718" s="374">
        <v>12.5</v>
      </c>
      <c r="I1718" s="375">
        <v>1.45</v>
      </c>
      <c r="J1718" s="376">
        <f t="shared" si="240"/>
        <v>8.6999999999999993</v>
      </c>
      <c r="K1718" s="66">
        <f t="shared" si="241"/>
        <v>0</v>
      </c>
      <c r="L1718" s="63">
        <f t="shared" si="242"/>
        <v>0</v>
      </c>
      <c r="M1718" s="63">
        <f t="shared" si="243"/>
        <v>0</v>
      </c>
      <c r="N1718" s="63">
        <f t="shared" si="244"/>
        <v>0</v>
      </c>
      <c r="O1718" s="63">
        <f t="shared" si="245"/>
        <v>8.3780999999999999</v>
      </c>
      <c r="P1718" s="63">
        <f t="shared" si="246"/>
        <v>0</v>
      </c>
      <c r="Q1718" s="561">
        <f t="shared" si="227"/>
        <v>0</v>
      </c>
      <c r="R1718" s="174"/>
      <c r="T1718" s="82"/>
      <c r="U1718" s="82"/>
      <c r="V1718" s="82"/>
      <c r="W1718" s="82"/>
      <c r="X1718" s="82"/>
      <c r="Y1718" s="82"/>
      <c r="Z1718" s="82"/>
      <c r="AA1718" s="82"/>
      <c r="AB1718" s="82"/>
    </row>
    <row r="1719" spans="1:28" s="85" customFormat="1" x14ac:dyDescent="0.25">
      <c r="A1719" s="82"/>
      <c r="B1719" s="82"/>
      <c r="C1719" s="82"/>
      <c r="D1719" s="729"/>
      <c r="E1719" s="371" t="s">
        <v>113</v>
      </c>
      <c r="F1719" s="372">
        <v>1</v>
      </c>
      <c r="G1719" s="373">
        <v>29</v>
      </c>
      <c r="H1719" s="374">
        <v>5</v>
      </c>
      <c r="I1719" s="375">
        <v>0.34</v>
      </c>
      <c r="J1719" s="376">
        <f t="shared" si="240"/>
        <v>9.8600000000000012</v>
      </c>
      <c r="K1719" s="66">
        <f t="shared" si="241"/>
        <v>1.5184400000000002</v>
      </c>
      <c r="L1719" s="63">
        <f t="shared" si="242"/>
        <v>0</v>
      </c>
      <c r="M1719" s="63">
        <f t="shared" si="243"/>
        <v>0</v>
      </c>
      <c r="N1719" s="63">
        <f t="shared" si="244"/>
        <v>0</v>
      </c>
      <c r="O1719" s="63">
        <f t="shared" si="245"/>
        <v>0</v>
      </c>
      <c r="P1719" s="63">
        <f t="shared" si="246"/>
        <v>0</v>
      </c>
      <c r="Q1719" s="561">
        <f t="shared" si="227"/>
        <v>0</v>
      </c>
      <c r="R1719" s="174"/>
      <c r="T1719" s="82"/>
      <c r="U1719" s="82"/>
      <c r="V1719" s="82"/>
      <c r="W1719" s="82"/>
      <c r="X1719" s="82"/>
      <c r="Y1719" s="82"/>
      <c r="Z1719" s="82"/>
      <c r="AA1719" s="82"/>
      <c r="AB1719" s="82"/>
    </row>
    <row r="1720" spans="1:28" s="85" customFormat="1" x14ac:dyDescent="0.25">
      <c r="A1720" s="82"/>
      <c r="B1720" s="82"/>
      <c r="C1720" s="82"/>
      <c r="D1720" s="729"/>
      <c r="E1720" s="371" t="s">
        <v>113</v>
      </c>
      <c r="F1720" s="372">
        <v>2</v>
      </c>
      <c r="G1720" s="373">
        <v>20</v>
      </c>
      <c r="H1720" s="374">
        <v>5</v>
      </c>
      <c r="I1720" s="375">
        <v>1.37</v>
      </c>
      <c r="J1720" s="376">
        <f t="shared" si="240"/>
        <v>27.400000000000002</v>
      </c>
      <c r="K1720" s="66">
        <f t="shared" si="241"/>
        <v>4.2196000000000007</v>
      </c>
      <c r="L1720" s="63">
        <f t="shared" si="242"/>
        <v>0</v>
      </c>
      <c r="M1720" s="63">
        <f t="shared" si="243"/>
        <v>0</v>
      </c>
      <c r="N1720" s="63">
        <f t="shared" si="244"/>
        <v>0</v>
      </c>
      <c r="O1720" s="63">
        <f t="shared" si="245"/>
        <v>0</v>
      </c>
      <c r="P1720" s="63">
        <f t="shared" si="246"/>
        <v>0</v>
      </c>
      <c r="Q1720" s="561">
        <f t="shared" si="227"/>
        <v>0</v>
      </c>
      <c r="R1720" s="174"/>
      <c r="T1720" s="82"/>
      <c r="U1720" s="82"/>
      <c r="V1720" s="82"/>
      <c r="W1720" s="82"/>
      <c r="X1720" s="82"/>
      <c r="Y1720" s="82"/>
      <c r="Z1720" s="82"/>
      <c r="AA1720" s="82"/>
      <c r="AB1720" s="82"/>
    </row>
    <row r="1721" spans="1:28" s="85" customFormat="1" x14ac:dyDescent="0.25">
      <c r="A1721" s="82"/>
      <c r="B1721" s="82"/>
      <c r="C1721" s="82"/>
      <c r="D1721" s="729"/>
      <c r="E1721" s="371" t="s">
        <v>113</v>
      </c>
      <c r="F1721" s="372">
        <v>3</v>
      </c>
      <c r="G1721" s="373">
        <v>18</v>
      </c>
      <c r="H1721" s="374">
        <v>5</v>
      </c>
      <c r="I1721" s="375">
        <v>0.94</v>
      </c>
      <c r="J1721" s="376">
        <f t="shared" si="240"/>
        <v>16.919999999999998</v>
      </c>
      <c r="K1721" s="66">
        <f t="shared" si="241"/>
        <v>2.6056799999999996</v>
      </c>
      <c r="L1721" s="63">
        <f t="shared" si="242"/>
        <v>0</v>
      </c>
      <c r="M1721" s="63">
        <f t="shared" si="243"/>
        <v>0</v>
      </c>
      <c r="N1721" s="63">
        <f t="shared" si="244"/>
        <v>0</v>
      </c>
      <c r="O1721" s="63">
        <f t="shared" si="245"/>
        <v>0</v>
      </c>
      <c r="P1721" s="63">
        <f t="shared" si="246"/>
        <v>0</v>
      </c>
      <c r="Q1721" s="561">
        <f t="shared" si="227"/>
        <v>0</v>
      </c>
      <c r="R1721" s="174"/>
      <c r="T1721" s="82"/>
      <c r="U1721" s="82"/>
      <c r="V1721" s="82"/>
      <c r="W1721" s="82"/>
      <c r="X1721" s="82"/>
      <c r="Y1721" s="82"/>
      <c r="Z1721" s="82"/>
      <c r="AA1721" s="82"/>
      <c r="AB1721" s="82"/>
    </row>
    <row r="1722" spans="1:28" s="85" customFormat="1" x14ac:dyDescent="0.25">
      <c r="A1722" s="82"/>
      <c r="B1722" s="82"/>
      <c r="C1722" s="82"/>
      <c r="D1722" s="729"/>
      <c r="E1722" s="371" t="s">
        <v>113</v>
      </c>
      <c r="F1722" s="372">
        <v>20</v>
      </c>
      <c r="G1722" s="373">
        <v>6</v>
      </c>
      <c r="H1722" s="374">
        <v>12.5</v>
      </c>
      <c r="I1722" s="375">
        <v>4.0199999999999996</v>
      </c>
      <c r="J1722" s="376">
        <f t="shared" si="240"/>
        <v>24.119999999999997</v>
      </c>
      <c r="K1722" s="66">
        <f t="shared" si="241"/>
        <v>0</v>
      </c>
      <c r="L1722" s="63">
        <f t="shared" si="242"/>
        <v>0</v>
      </c>
      <c r="M1722" s="63">
        <f t="shared" si="243"/>
        <v>0</v>
      </c>
      <c r="N1722" s="63">
        <f t="shared" si="244"/>
        <v>0</v>
      </c>
      <c r="O1722" s="63">
        <f t="shared" si="245"/>
        <v>23.227559999999997</v>
      </c>
      <c r="P1722" s="63">
        <f t="shared" si="246"/>
        <v>0</v>
      </c>
      <c r="Q1722" s="561">
        <f t="shared" si="227"/>
        <v>0</v>
      </c>
      <c r="R1722" s="174"/>
      <c r="T1722" s="82"/>
      <c r="U1722" s="82"/>
      <c r="V1722" s="82"/>
      <c r="W1722" s="82"/>
      <c r="X1722" s="82"/>
      <c r="Y1722" s="82"/>
      <c r="Z1722" s="82"/>
      <c r="AA1722" s="82"/>
      <c r="AB1722" s="82"/>
    </row>
    <row r="1723" spans="1:28" s="85" customFormat="1" x14ac:dyDescent="0.25">
      <c r="A1723" s="82"/>
      <c r="B1723" s="82"/>
      <c r="C1723" s="82"/>
      <c r="D1723" s="729"/>
      <c r="E1723" s="396" t="s">
        <v>184</v>
      </c>
      <c r="F1723" s="403">
        <v>1</v>
      </c>
      <c r="G1723" s="397">
        <v>3</v>
      </c>
      <c r="H1723" s="398">
        <v>5</v>
      </c>
      <c r="I1723" s="399">
        <v>0.34</v>
      </c>
      <c r="J1723" s="400">
        <f t="shared" si="240"/>
        <v>1.02</v>
      </c>
      <c r="K1723" s="401">
        <f t="shared" si="241"/>
        <v>0.15708</v>
      </c>
      <c r="L1723" s="196">
        <f t="shared" si="242"/>
        <v>0</v>
      </c>
      <c r="M1723" s="196">
        <f t="shared" si="243"/>
        <v>0</v>
      </c>
      <c r="N1723" s="196">
        <f t="shared" si="244"/>
        <v>0</v>
      </c>
      <c r="O1723" s="196">
        <f t="shared" si="245"/>
        <v>0</v>
      </c>
      <c r="P1723" s="196">
        <f t="shared" si="246"/>
        <v>0</v>
      </c>
      <c r="Q1723" s="566">
        <f t="shared" si="227"/>
        <v>0</v>
      </c>
      <c r="R1723" s="538"/>
      <c r="T1723" s="82"/>
      <c r="U1723" s="82"/>
      <c r="V1723" s="82"/>
      <c r="W1723" s="82"/>
      <c r="X1723" s="82"/>
      <c r="Y1723" s="82"/>
      <c r="Z1723" s="82"/>
      <c r="AA1723" s="82"/>
      <c r="AB1723" s="82"/>
    </row>
    <row r="1724" spans="1:28" s="85" customFormat="1" x14ac:dyDescent="0.25">
      <c r="A1724" s="82"/>
      <c r="B1724" s="82"/>
      <c r="C1724" s="82"/>
      <c r="D1724" s="729"/>
      <c r="E1724" s="371" t="s">
        <v>184</v>
      </c>
      <c r="F1724" s="372">
        <v>2</v>
      </c>
      <c r="G1724" s="373">
        <v>6</v>
      </c>
      <c r="H1724" s="374">
        <v>5</v>
      </c>
      <c r="I1724" s="375">
        <v>0.94</v>
      </c>
      <c r="J1724" s="376">
        <f t="shared" si="240"/>
        <v>5.64</v>
      </c>
      <c r="K1724" s="66">
        <f t="shared" si="241"/>
        <v>0.86855999999999989</v>
      </c>
      <c r="L1724" s="63">
        <f t="shared" si="242"/>
        <v>0</v>
      </c>
      <c r="M1724" s="63">
        <f t="shared" si="243"/>
        <v>0</v>
      </c>
      <c r="N1724" s="63">
        <f t="shared" si="244"/>
        <v>0</v>
      </c>
      <c r="O1724" s="63">
        <f t="shared" si="245"/>
        <v>0</v>
      </c>
      <c r="P1724" s="63">
        <f t="shared" si="246"/>
        <v>0</v>
      </c>
      <c r="Q1724" s="562">
        <f t="shared" si="227"/>
        <v>0</v>
      </c>
      <c r="R1724" s="377"/>
      <c r="T1724" s="82"/>
      <c r="U1724" s="82"/>
      <c r="V1724" s="82"/>
      <c r="W1724" s="82"/>
      <c r="X1724" s="82"/>
      <c r="Y1724" s="82"/>
      <c r="Z1724" s="82"/>
      <c r="AA1724" s="82"/>
      <c r="AB1724" s="82"/>
    </row>
    <row r="1725" spans="1:28" s="85" customFormat="1" x14ac:dyDescent="0.25">
      <c r="A1725" s="82"/>
      <c r="B1725" s="82"/>
      <c r="C1725" s="82"/>
      <c r="D1725" s="729"/>
      <c r="E1725" s="371" t="s">
        <v>184</v>
      </c>
      <c r="F1725" s="372">
        <v>44</v>
      </c>
      <c r="G1725" s="373">
        <v>6</v>
      </c>
      <c r="H1725" s="374">
        <v>12.5</v>
      </c>
      <c r="I1725" s="375">
        <v>0.34</v>
      </c>
      <c r="J1725" s="376">
        <f t="shared" si="240"/>
        <v>2.04</v>
      </c>
      <c r="K1725" s="66">
        <f t="shared" si="241"/>
        <v>0</v>
      </c>
      <c r="L1725" s="63">
        <f t="shared" si="242"/>
        <v>0</v>
      </c>
      <c r="M1725" s="63">
        <f t="shared" si="243"/>
        <v>0</v>
      </c>
      <c r="N1725" s="63">
        <f t="shared" si="244"/>
        <v>0</v>
      </c>
      <c r="O1725" s="63">
        <f t="shared" si="245"/>
        <v>1.96452</v>
      </c>
      <c r="P1725" s="63">
        <f t="shared" si="246"/>
        <v>0</v>
      </c>
      <c r="Q1725" s="562">
        <f t="shared" si="227"/>
        <v>0</v>
      </c>
      <c r="R1725" s="377"/>
      <c r="T1725" s="82"/>
      <c r="U1725" s="82"/>
      <c r="V1725" s="82"/>
      <c r="W1725" s="82"/>
      <c r="X1725" s="82"/>
      <c r="Y1725" s="82"/>
      <c r="Z1725" s="82"/>
      <c r="AA1725" s="82"/>
      <c r="AB1725" s="82"/>
    </row>
    <row r="1726" spans="1:28" s="85" customFormat="1" ht="13.8" thickBot="1" x14ac:dyDescent="0.3">
      <c r="A1726" s="82"/>
      <c r="B1726" s="82"/>
      <c r="C1726" s="82"/>
      <c r="D1726" s="731"/>
      <c r="E1726" s="390" t="s">
        <v>184</v>
      </c>
      <c r="F1726" s="391"/>
      <c r="G1726" s="392"/>
      <c r="H1726" s="393"/>
      <c r="I1726" s="394"/>
      <c r="J1726" s="395">
        <f t="shared" si="240"/>
        <v>0</v>
      </c>
      <c r="K1726" s="221">
        <f t="shared" si="241"/>
        <v>0</v>
      </c>
      <c r="L1726" s="222">
        <f t="shared" si="242"/>
        <v>0</v>
      </c>
      <c r="M1726" s="222">
        <f t="shared" si="243"/>
        <v>0</v>
      </c>
      <c r="N1726" s="222">
        <f t="shared" si="244"/>
        <v>0</v>
      </c>
      <c r="O1726" s="222">
        <f t="shared" si="245"/>
        <v>0</v>
      </c>
      <c r="P1726" s="222">
        <f t="shared" si="246"/>
        <v>0</v>
      </c>
      <c r="Q1726" s="564">
        <f t="shared" si="227"/>
        <v>0</v>
      </c>
      <c r="R1726" s="539"/>
      <c r="T1726" s="82"/>
      <c r="U1726" s="82"/>
      <c r="V1726" s="82"/>
      <c r="W1726" s="82"/>
      <c r="X1726" s="82"/>
      <c r="Y1726" s="82"/>
      <c r="Z1726" s="82"/>
      <c r="AA1726" s="82"/>
      <c r="AB1726" s="82"/>
    </row>
    <row r="1727" spans="1:28" s="85" customFormat="1" ht="27" customHeight="1" thickTop="1" x14ac:dyDescent="0.25">
      <c r="A1727" s="82"/>
      <c r="B1727" s="82"/>
      <c r="C1727" s="82"/>
      <c r="D1727" s="728" t="s">
        <v>2049</v>
      </c>
      <c r="E1727" s="396" t="s">
        <v>184</v>
      </c>
      <c r="F1727" s="403">
        <v>2</v>
      </c>
      <c r="G1727" s="397">
        <f>2*4</f>
        <v>8</v>
      </c>
      <c r="H1727" s="398">
        <v>5</v>
      </c>
      <c r="I1727" s="399">
        <v>0.66</v>
      </c>
      <c r="J1727" s="400">
        <f t="shared" ref="J1727:J1729" si="247">G1727*I1727</f>
        <v>5.28</v>
      </c>
      <c r="K1727" s="401">
        <f t="shared" si="241"/>
        <v>0.81312000000000006</v>
      </c>
      <c r="L1727" s="196">
        <f t="shared" si="242"/>
        <v>0</v>
      </c>
      <c r="M1727" s="196">
        <f t="shared" si="243"/>
        <v>0</v>
      </c>
      <c r="N1727" s="196">
        <f t="shared" si="244"/>
        <v>0</v>
      </c>
      <c r="O1727" s="196">
        <f t="shared" si="245"/>
        <v>0</v>
      </c>
      <c r="P1727" s="196">
        <f t="shared" si="246"/>
        <v>0</v>
      </c>
      <c r="Q1727" s="566">
        <f t="shared" si="227"/>
        <v>0</v>
      </c>
      <c r="R1727" s="538"/>
      <c r="T1727" s="82"/>
      <c r="U1727" s="82"/>
      <c r="V1727" s="82"/>
      <c r="W1727" s="82"/>
      <c r="X1727" s="82"/>
      <c r="Y1727" s="82"/>
      <c r="Z1727" s="82"/>
      <c r="AA1727" s="82"/>
      <c r="AB1727" s="82"/>
    </row>
    <row r="1728" spans="1:28" s="85" customFormat="1" ht="14.4" customHeight="1" x14ac:dyDescent="0.25">
      <c r="A1728" s="82"/>
      <c r="B1728" s="82"/>
      <c r="C1728" s="82"/>
      <c r="D1728" s="729"/>
      <c r="E1728" s="371" t="s">
        <v>184</v>
      </c>
      <c r="F1728" s="372">
        <v>28</v>
      </c>
      <c r="G1728" s="373">
        <f>2*4</f>
        <v>8</v>
      </c>
      <c r="H1728" s="374">
        <v>12.5</v>
      </c>
      <c r="I1728" s="375">
        <v>1.0900000000000001</v>
      </c>
      <c r="J1728" s="376">
        <f t="shared" si="247"/>
        <v>8.7200000000000006</v>
      </c>
      <c r="K1728" s="66">
        <f t="shared" si="241"/>
        <v>0</v>
      </c>
      <c r="L1728" s="63">
        <f t="shared" si="242"/>
        <v>0</v>
      </c>
      <c r="M1728" s="63">
        <f t="shared" si="243"/>
        <v>0</v>
      </c>
      <c r="N1728" s="63">
        <f t="shared" si="244"/>
        <v>0</v>
      </c>
      <c r="O1728" s="63">
        <f t="shared" si="245"/>
        <v>8.3973600000000008</v>
      </c>
      <c r="P1728" s="63">
        <f t="shared" si="246"/>
        <v>0</v>
      </c>
      <c r="Q1728" s="562">
        <f t="shared" si="227"/>
        <v>0</v>
      </c>
      <c r="R1728" s="377"/>
      <c r="T1728" s="82"/>
      <c r="U1728" s="82"/>
      <c r="V1728" s="82"/>
      <c r="W1728" s="82"/>
      <c r="X1728" s="82"/>
      <c r="Y1728" s="82"/>
      <c r="Z1728" s="82"/>
      <c r="AA1728" s="82"/>
      <c r="AB1728" s="82"/>
    </row>
    <row r="1729" spans="1:28" s="85" customFormat="1" ht="27" customHeight="1" x14ac:dyDescent="0.25">
      <c r="A1729" s="82"/>
      <c r="B1729" s="82"/>
      <c r="C1729" s="82"/>
      <c r="D1729" s="729"/>
      <c r="E1729" s="396" t="s">
        <v>184</v>
      </c>
      <c r="F1729" s="403">
        <v>16</v>
      </c>
      <c r="G1729" s="397">
        <f>2*6</f>
        <v>12</v>
      </c>
      <c r="H1729" s="398">
        <v>5</v>
      </c>
      <c r="I1729" s="399">
        <v>0.67</v>
      </c>
      <c r="J1729" s="400">
        <f t="shared" si="247"/>
        <v>8.0400000000000009</v>
      </c>
      <c r="K1729" s="401">
        <f t="shared" si="241"/>
        <v>1.2381600000000001</v>
      </c>
      <c r="L1729" s="196">
        <f t="shared" si="242"/>
        <v>0</v>
      </c>
      <c r="M1729" s="196">
        <f t="shared" si="243"/>
        <v>0</v>
      </c>
      <c r="N1729" s="196">
        <f t="shared" si="244"/>
        <v>0</v>
      </c>
      <c r="O1729" s="196">
        <f t="shared" si="245"/>
        <v>0</v>
      </c>
      <c r="P1729" s="196">
        <f t="shared" si="246"/>
        <v>0</v>
      </c>
      <c r="Q1729" s="566">
        <f t="shared" si="227"/>
        <v>0</v>
      </c>
      <c r="R1729" s="538"/>
      <c r="T1729" s="82"/>
      <c r="U1729" s="82"/>
      <c r="V1729" s="82"/>
      <c r="W1729" s="82"/>
      <c r="X1729" s="82"/>
      <c r="Y1729" s="82"/>
      <c r="Z1729" s="82"/>
      <c r="AA1729" s="82"/>
      <c r="AB1729" s="82"/>
    </row>
    <row r="1730" spans="1:28" s="85" customFormat="1" ht="27" customHeight="1" x14ac:dyDescent="0.25">
      <c r="A1730" s="82"/>
      <c r="B1730" s="82"/>
      <c r="C1730" s="82"/>
      <c r="D1730" s="729"/>
      <c r="E1730" s="396" t="s">
        <v>184</v>
      </c>
      <c r="F1730" s="403">
        <v>17</v>
      </c>
      <c r="G1730" s="397">
        <f>2*2</f>
        <v>4</v>
      </c>
      <c r="H1730" s="398">
        <v>5</v>
      </c>
      <c r="I1730" s="399">
        <v>0.49</v>
      </c>
      <c r="J1730" s="400">
        <f t="shared" si="240"/>
        <v>1.96</v>
      </c>
      <c r="K1730" s="401">
        <f t="shared" si="241"/>
        <v>0.30184</v>
      </c>
      <c r="L1730" s="196">
        <f t="shared" si="242"/>
        <v>0</v>
      </c>
      <c r="M1730" s="196">
        <f t="shared" si="243"/>
        <v>0</v>
      </c>
      <c r="N1730" s="196">
        <f t="shared" si="244"/>
        <v>0</v>
      </c>
      <c r="O1730" s="196">
        <f t="shared" si="245"/>
        <v>0</v>
      </c>
      <c r="P1730" s="196">
        <f t="shared" si="246"/>
        <v>0</v>
      </c>
      <c r="Q1730" s="566">
        <f t="shared" si="227"/>
        <v>0</v>
      </c>
      <c r="R1730" s="538"/>
      <c r="T1730" s="82"/>
      <c r="U1730" s="82"/>
      <c r="V1730" s="82"/>
      <c r="W1730" s="82"/>
      <c r="X1730" s="82"/>
      <c r="Y1730" s="82"/>
      <c r="Z1730" s="82"/>
      <c r="AA1730" s="82"/>
      <c r="AB1730" s="82"/>
    </row>
    <row r="1731" spans="1:28" s="85" customFormat="1" ht="14.4" customHeight="1" thickBot="1" x14ac:dyDescent="0.3">
      <c r="A1731" s="82"/>
      <c r="B1731" s="82"/>
      <c r="C1731" s="82"/>
      <c r="D1731" s="731"/>
      <c r="E1731" s="371" t="s">
        <v>184</v>
      </c>
      <c r="F1731" s="372">
        <v>45</v>
      </c>
      <c r="G1731" s="373">
        <f>2*4</f>
        <v>8</v>
      </c>
      <c r="H1731" s="374">
        <v>12.5</v>
      </c>
      <c r="I1731" s="375">
        <v>1.02</v>
      </c>
      <c r="J1731" s="376">
        <f t="shared" si="240"/>
        <v>8.16</v>
      </c>
      <c r="K1731" s="66">
        <f t="shared" si="241"/>
        <v>0</v>
      </c>
      <c r="L1731" s="63">
        <f t="shared" si="242"/>
        <v>0</v>
      </c>
      <c r="M1731" s="63">
        <f t="shared" si="243"/>
        <v>0</v>
      </c>
      <c r="N1731" s="63">
        <f t="shared" si="244"/>
        <v>0</v>
      </c>
      <c r="O1731" s="63">
        <f t="shared" si="245"/>
        <v>7.8580800000000002</v>
      </c>
      <c r="P1731" s="63">
        <f t="shared" si="246"/>
        <v>0</v>
      </c>
      <c r="Q1731" s="562">
        <f t="shared" si="227"/>
        <v>0</v>
      </c>
      <c r="R1731" s="377"/>
      <c r="T1731" s="82"/>
      <c r="U1731" s="82"/>
      <c r="V1731" s="82"/>
      <c r="W1731" s="82"/>
      <c r="X1731" s="82"/>
      <c r="Y1731" s="82"/>
      <c r="Z1731" s="82"/>
      <c r="AA1731" s="82"/>
      <c r="AB1731" s="82"/>
    </row>
    <row r="1732" spans="1:28" s="85" customFormat="1" ht="13.8" thickTop="1" x14ac:dyDescent="0.25">
      <c r="A1732" s="82"/>
      <c r="B1732" s="82"/>
      <c r="C1732" s="82"/>
      <c r="D1732" s="728" t="s">
        <v>2052</v>
      </c>
      <c r="E1732" s="384" t="s">
        <v>184</v>
      </c>
      <c r="F1732" s="385">
        <v>4</v>
      </c>
      <c r="G1732" s="386">
        <v>4</v>
      </c>
      <c r="H1732" s="387">
        <v>5</v>
      </c>
      <c r="I1732" s="388">
        <v>0.76</v>
      </c>
      <c r="J1732" s="389">
        <f t="shared" ref="J1732:J1733" si="248">G1732*I1732</f>
        <v>3.04</v>
      </c>
      <c r="K1732" s="218">
        <f t="shared" si="241"/>
        <v>0.46816000000000002</v>
      </c>
      <c r="L1732" s="219">
        <f t="shared" si="242"/>
        <v>0</v>
      </c>
      <c r="M1732" s="219">
        <f t="shared" si="243"/>
        <v>0</v>
      </c>
      <c r="N1732" s="219">
        <f t="shared" si="244"/>
        <v>0</v>
      </c>
      <c r="O1732" s="219">
        <f t="shared" si="245"/>
        <v>0</v>
      </c>
      <c r="P1732" s="219">
        <f t="shared" si="246"/>
        <v>0</v>
      </c>
      <c r="Q1732" s="563">
        <f t="shared" si="227"/>
        <v>0</v>
      </c>
      <c r="R1732" s="220"/>
      <c r="T1732" s="82"/>
      <c r="U1732" s="82"/>
      <c r="V1732" s="82"/>
      <c r="W1732" s="82"/>
      <c r="X1732" s="82"/>
      <c r="Y1732" s="82"/>
      <c r="Z1732" s="82"/>
      <c r="AA1732" s="82"/>
      <c r="AB1732" s="82"/>
    </row>
    <row r="1733" spans="1:28" s="85" customFormat="1" ht="15.75" customHeight="1" x14ac:dyDescent="0.25">
      <c r="A1733" s="82"/>
      <c r="B1733" s="82"/>
      <c r="C1733" s="82"/>
      <c r="D1733" s="729"/>
      <c r="E1733" s="378" t="s">
        <v>184</v>
      </c>
      <c r="F1733" s="379">
        <v>28</v>
      </c>
      <c r="G1733" s="380">
        <v>4</v>
      </c>
      <c r="H1733" s="381">
        <v>12.5</v>
      </c>
      <c r="I1733" s="382">
        <v>1.0900000000000001</v>
      </c>
      <c r="J1733" s="383">
        <f t="shared" si="248"/>
        <v>4.3600000000000003</v>
      </c>
      <c r="K1733" s="66">
        <f t="shared" si="241"/>
        <v>0</v>
      </c>
      <c r="L1733" s="63">
        <f t="shared" si="242"/>
        <v>0</v>
      </c>
      <c r="M1733" s="63">
        <f t="shared" si="243"/>
        <v>0</v>
      </c>
      <c r="N1733" s="63">
        <f t="shared" si="244"/>
        <v>0</v>
      </c>
      <c r="O1733" s="63">
        <f t="shared" si="245"/>
        <v>4.1986800000000004</v>
      </c>
      <c r="P1733" s="63">
        <f t="shared" si="246"/>
        <v>0</v>
      </c>
      <c r="Q1733" s="561">
        <f t="shared" si="227"/>
        <v>0</v>
      </c>
      <c r="R1733" s="173"/>
      <c r="T1733" s="82"/>
      <c r="U1733" s="82"/>
      <c r="V1733" s="82"/>
      <c r="W1733" s="82"/>
      <c r="X1733" s="82"/>
      <c r="Y1733" s="82"/>
      <c r="Z1733" s="82"/>
      <c r="AA1733" s="82"/>
      <c r="AB1733" s="82"/>
    </row>
    <row r="1734" spans="1:28" s="85" customFormat="1" ht="15.75" customHeight="1" x14ac:dyDescent="0.25">
      <c r="A1734" s="82"/>
      <c r="B1734" s="82"/>
      <c r="C1734" s="82"/>
      <c r="D1734" s="729"/>
      <c r="E1734" s="371" t="s">
        <v>184</v>
      </c>
      <c r="F1734" s="372">
        <v>14</v>
      </c>
      <c r="G1734" s="373">
        <v>6</v>
      </c>
      <c r="H1734" s="374">
        <v>5</v>
      </c>
      <c r="I1734" s="375">
        <v>0.77</v>
      </c>
      <c r="J1734" s="588">
        <f t="shared" si="240"/>
        <v>4.62</v>
      </c>
      <c r="K1734" s="401">
        <f t="shared" si="241"/>
        <v>0.71148</v>
      </c>
      <c r="L1734" s="196">
        <f t="shared" si="242"/>
        <v>0</v>
      </c>
      <c r="M1734" s="196">
        <f t="shared" si="243"/>
        <v>0</v>
      </c>
      <c r="N1734" s="196">
        <f t="shared" si="244"/>
        <v>0</v>
      </c>
      <c r="O1734" s="196">
        <f t="shared" si="245"/>
        <v>0</v>
      </c>
      <c r="P1734" s="196">
        <f t="shared" si="246"/>
        <v>0</v>
      </c>
      <c r="Q1734" s="565">
        <f t="shared" si="227"/>
        <v>0</v>
      </c>
      <c r="R1734" s="197"/>
      <c r="T1734" s="82"/>
      <c r="U1734" s="82"/>
      <c r="V1734" s="82"/>
      <c r="W1734" s="82"/>
      <c r="X1734" s="82"/>
      <c r="Y1734" s="82"/>
      <c r="Z1734" s="82"/>
      <c r="AA1734" s="82"/>
      <c r="AB1734" s="82"/>
    </row>
    <row r="1735" spans="1:28" s="85" customFormat="1" ht="15.75" customHeight="1" x14ac:dyDescent="0.25">
      <c r="A1735" s="82"/>
      <c r="B1735" s="82"/>
      <c r="C1735" s="82"/>
      <c r="D1735" s="729"/>
      <c r="E1735" s="371" t="s">
        <v>184</v>
      </c>
      <c r="F1735" s="372">
        <v>15</v>
      </c>
      <c r="G1735" s="373">
        <v>2</v>
      </c>
      <c r="H1735" s="374">
        <v>5</v>
      </c>
      <c r="I1735" s="375">
        <v>0.54</v>
      </c>
      <c r="J1735" s="588">
        <f t="shared" ref="J1735" si="249">G1735*I1735</f>
        <v>1.08</v>
      </c>
      <c r="K1735" s="401">
        <f t="shared" si="241"/>
        <v>0.16632</v>
      </c>
      <c r="L1735" s="196">
        <f t="shared" si="242"/>
        <v>0</v>
      </c>
      <c r="M1735" s="196">
        <f t="shared" si="243"/>
        <v>0</v>
      </c>
      <c r="N1735" s="196">
        <f t="shared" si="244"/>
        <v>0</v>
      </c>
      <c r="O1735" s="196">
        <f t="shared" si="245"/>
        <v>0</v>
      </c>
      <c r="P1735" s="196">
        <f t="shared" si="246"/>
        <v>0</v>
      </c>
      <c r="Q1735" s="565">
        <f t="shared" si="227"/>
        <v>0</v>
      </c>
      <c r="R1735" s="197"/>
      <c r="T1735" s="82"/>
      <c r="U1735" s="82"/>
      <c r="V1735" s="82"/>
      <c r="W1735" s="82"/>
      <c r="X1735" s="82"/>
      <c r="Y1735" s="82"/>
      <c r="Z1735" s="82"/>
      <c r="AA1735" s="82"/>
      <c r="AB1735" s="82"/>
    </row>
    <row r="1736" spans="1:28" s="85" customFormat="1" ht="15.75" customHeight="1" thickBot="1" x14ac:dyDescent="0.3">
      <c r="A1736" s="82"/>
      <c r="B1736" s="82"/>
      <c r="C1736" s="82"/>
      <c r="D1736" s="731"/>
      <c r="E1736" s="390" t="s">
        <v>184</v>
      </c>
      <c r="F1736" s="391">
        <v>45</v>
      </c>
      <c r="G1736" s="392">
        <v>4</v>
      </c>
      <c r="H1736" s="393">
        <v>12.5</v>
      </c>
      <c r="I1736" s="394">
        <v>1.02</v>
      </c>
      <c r="J1736" s="590">
        <f t="shared" si="240"/>
        <v>4.08</v>
      </c>
      <c r="K1736" s="66">
        <f t="shared" si="241"/>
        <v>0</v>
      </c>
      <c r="L1736" s="63">
        <f t="shared" si="242"/>
        <v>0</v>
      </c>
      <c r="M1736" s="63">
        <f t="shared" si="243"/>
        <v>0</v>
      </c>
      <c r="N1736" s="63">
        <f t="shared" si="244"/>
        <v>0</v>
      </c>
      <c r="O1736" s="63">
        <f t="shared" si="245"/>
        <v>3.9290400000000001</v>
      </c>
      <c r="P1736" s="63">
        <f t="shared" si="246"/>
        <v>0</v>
      </c>
      <c r="Q1736" s="561">
        <f t="shared" si="227"/>
        <v>0</v>
      </c>
      <c r="R1736" s="539"/>
      <c r="T1736" s="82"/>
      <c r="U1736" s="82"/>
      <c r="V1736" s="82"/>
      <c r="W1736" s="82"/>
      <c r="X1736" s="82"/>
      <c r="Y1736" s="82"/>
      <c r="Z1736" s="82"/>
      <c r="AA1736" s="82"/>
      <c r="AB1736" s="82"/>
    </row>
    <row r="1737" spans="1:28" s="16" customFormat="1" ht="15" customHeight="1" thickTop="1" thickBot="1" x14ac:dyDescent="0.3">
      <c r="D1737" s="776" t="s">
        <v>2115</v>
      </c>
      <c r="E1737" s="777"/>
      <c r="F1737" s="777"/>
      <c r="G1737" s="777"/>
      <c r="H1737" s="777"/>
      <c r="I1737" s="777"/>
      <c r="J1737" s="777"/>
      <c r="K1737" s="777"/>
      <c r="L1737" s="777"/>
      <c r="M1737" s="777"/>
      <c r="N1737" s="777"/>
      <c r="O1737" s="777"/>
      <c r="P1737" s="777"/>
      <c r="Q1737" s="777"/>
      <c r="R1737" s="777"/>
      <c r="S1737" s="649"/>
    </row>
    <row r="1738" spans="1:28" s="85" customFormat="1" ht="13.8" thickTop="1" x14ac:dyDescent="0.25">
      <c r="A1738" s="82"/>
      <c r="B1738" s="82"/>
      <c r="C1738" s="82"/>
      <c r="D1738" s="728" t="s">
        <v>2212</v>
      </c>
      <c r="E1738" s="384" t="s">
        <v>49</v>
      </c>
      <c r="F1738" s="385">
        <v>1</v>
      </c>
      <c r="G1738" s="386">
        <v>8</v>
      </c>
      <c r="H1738" s="387">
        <v>5</v>
      </c>
      <c r="I1738" s="388">
        <v>0.67</v>
      </c>
      <c r="J1738" s="389">
        <f t="shared" si="240"/>
        <v>5.36</v>
      </c>
      <c r="K1738" s="218">
        <f t="shared" si="241"/>
        <v>0.82544000000000006</v>
      </c>
      <c r="L1738" s="219">
        <f t="shared" si="242"/>
        <v>0</v>
      </c>
      <c r="M1738" s="219">
        <f t="shared" si="243"/>
        <v>0</v>
      </c>
      <c r="N1738" s="219">
        <f t="shared" si="244"/>
        <v>0</v>
      </c>
      <c r="O1738" s="219">
        <f t="shared" si="245"/>
        <v>0</v>
      </c>
      <c r="P1738" s="219">
        <f t="shared" si="246"/>
        <v>0</v>
      </c>
      <c r="Q1738" s="563">
        <f t="shared" si="227"/>
        <v>0</v>
      </c>
      <c r="R1738" s="220"/>
      <c r="T1738" s="82"/>
      <c r="U1738" s="82"/>
      <c r="V1738" s="82"/>
      <c r="W1738" s="82"/>
      <c r="X1738" s="82"/>
      <c r="Y1738" s="82"/>
      <c r="Z1738" s="82"/>
      <c r="AA1738" s="82"/>
      <c r="AB1738" s="82"/>
    </row>
    <row r="1739" spans="1:28" s="85" customFormat="1" x14ac:dyDescent="0.25">
      <c r="A1739" s="82"/>
      <c r="B1739" s="82"/>
      <c r="C1739" s="82"/>
      <c r="D1739" s="729"/>
      <c r="E1739" s="371" t="s">
        <v>49</v>
      </c>
      <c r="F1739" s="372">
        <v>21</v>
      </c>
      <c r="G1739" s="373">
        <v>4</v>
      </c>
      <c r="H1739" s="374">
        <v>10</v>
      </c>
      <c r="I1739" s="375">
        <v>1.31</v>
      </c>
      <c r="J1739" s="376">
        <f t="shared" si="240"/>
        <v>5.24</v>
      </c>
      <c r="K1739" s="66">
        <f t="shared" si="241"/>
        <v>0</v>
      </c>
      <c r="L1739" s="63">
        <f t="shared" si="242"/>
        <v>0</v>
      </c>
      <c r="M1739" s="63">
        <f t="shared" si="243"/>
        <v>0</v>
      </c>
      <c r="N1739" s="63">
        <f t="shared" si="244"/>
        <v>3.2330800000000002</v>
      </c>
      <c r="O1739" s="63">
        <f t="shared" si="245"/>
        <v>0</v>
      </c>
      <c r="P1739" s="63">
        <f t="shared" si="246"/>
        <v>0</v>
      </c>
      <c r="Q1739" s="561">
        <f t="shared" si="227"/>
        <v>0</v>
      </c>
      <c r="R1739" s="174"/>
      <c r="T1739" s="82"/>
      <c r="U1739" s="82"/>
      <c r="V1739" s="82"/>
      <c r="W1739" s="82"/>
      <c r="X1739" s="82"/>
      <c r="Y1739" s="82"/>
      <c r="Z1739" s="82"/>
      <c r="AA1739" s="82"/>
      <c r="AB1739" s="82"/>
    </row>
    <row r="1740" spans="1:28" s="85" customFormat="1" x14ac:dyDescent="0.25">
      <c r="A1740" s="82"/>
      <c r="B1740" s="82"/>
      <c r="C1740" s="82"/>
      <c r="D1740" s="729"/>
      <c r="E1740" s="371" t="s">
        <v>113</v>
      </c>
      <c r="F1740" s="372">
        <v>8</v>
      </c>
      <c r="G1740" s="373">
        <v>15</v>
      </c>
      <c r="H1740" s="374">
        <v>5</v>
      </c>
      <c r="I1740" s="375">
        <v>0.67</v>
      </c>
      <c r="J1740" s="376">
        <f t="shared" si="240"/>
        <v>10.050000000000001</v>
      </c>
      <c r="K1740" s="66">
        <f t="shared" si="241"/>
        <v>1.5477000000000001</v>
      </c>
      <c r="L1740" s="63">
        <f t="shared" si="242"/>
        <v>0</v>
      </c>
      <c r="M1740" s="63">
        <f t="shared" si="243"/>
        <v>0</v>
      </c>
      <c r="N1740" s="63">
        <f t="shared" si="244"/>
        <v>0</v>
      </c>
      <c r="O1740" s="63">
        <f t="shared" si="245"/>
        <v>0</v>
      </c>
      <c r="P1740" s="63">
        <f t="shared" si="246"/>
        <v>0</v>
      </c>
      <c r="Q1740" s="561">
        <f t="shared" si="227"/>
        <v>0</v>
      </c>
      <c r="R1740" s="174"/>
      <c r="T1740" s="82"/>
      <c r="U1740" s="82"/>
      <c r="V1740" s="82"/>
      <c r="W1740" s="82"/>
      <c r="X1740" s="82"/>
      <c r="Y1740" s="82"/>
      <c r="Z1740" s="82"/>
      <c r="AA1740" s="82"/>
      <c r="AB1740" s="82"/>
    </row>
    <row r="1741" spans="1:28" s="85" customFormat="1" x14ac:dyDescent="0.25">
      <c r="A1741" s="82"/>
      <c r="B1741" s="82"/>
      <c r="C1741" s="82"/>
      <c r="D1741" s="729"/>
      <c r="E1741" s="371" t="s">
        <v>113</v>
      </c>
      <c r="F1741" s="372">
        <v>9</v>
      </c>
      <c r="G1741" s="373">
        <v>6</v>
      </c>
      <c r="H1741" s="374">
        <v>5</v>
      </c>
      <c r="I1741" s="375">
        <v>0.54</v>
      </c>
      <c r="J1741" s="376">
        <f t="shared" si="240"/>
        <v>3.24</v>
      </c>
      <c r="K1741" s="66">
        <f t="shared" si="241"/>
        <v>0.49896000000000001</v>
      </c>
      <c r="L1741" s="63">
        <f t="shared" si="242"/>
        <v>0</v>
      </c>
      <c r="M1741" s="63">
        <f t="shared" si="243"/>
        <v>0</v>
      </c>
      <c r="N1741" s="63">
        <f t="shared" si="244"/>
        <v>0</v>
      </c>
      <c r="O1741" s="63">
        <f t="shared" si="245"/>
        <v>0</v>
      </c>
      <c r="P1741" s="63">
        <f t="shared" si="246"/>
        <v>0</v>
      </c>
      <c r="Q1741" s="561">
        <f t="shared" si="227"/>
        <v>0</v>
      </c>
      <c r="R1741" s="174"/>
      <c r="T1741" s="82"/>
      <c r="U1741" s="82"/>
      <c r="V1741" s="82"/>
      <c r="W1741" s="82"/>
      <c r="X1741" s="82"/>
      <c r="Y1741" s="82"/>
      <c r="Z1741" s="82"/>
      <c r="AA1741" s="82"/>
      <c r="AB1741" s="82"/>
    </row>
    <row r="1742" spans="1:28" s="85" customFormat="1" ht="13.8" thickBot="1" x14ac:dyDescent="0.3">
      <c r="A1742" s="82"/>
      <c r="B1742" s="82"/>
      <c r="C1742" s="82"/>
      <c r="D1742" s="729"/>
      <c r="E1742" s="371" t="s">
        <v>113</v>
      </c>
      <c r="F1742" s="372">
        <v>26</v>
      </c>
      <c r="G1742" s="373">
        <v>4</v>
      </c>
      <c r="H1742" s="374">
        <v>10</v>
      </c>
      <c r="I1742" s="375">
        <v>2.0699999999999998</v>
      </c>
      <c r="J1742" s="376">
        <f t="shared" si="240"/>
        <v>8.2799999999999994</v>
      </c>
      <c r="K1742" s="66">
        <f t="shared" si="241"/>
        <v>0</v>
      </c>
      <c r="L1742" s="63">
        <f t="shared" si="242"/>
        <v>0</v>
      </c>
      <c r="M1742" s="63">
        <f t="shared" si="243"/>
        <v>0</v>
      </c>
      <c r="N1742" s="63">
        <f t="shared" si="244"/>
        <v>5.1087599999999993</v>
      </c>
      <c r="O1742" s="63">
        <f t="shared" si="245"/>
        <v>0</v>
      </c>
      <c r="P1742" s="63">
        <f t="shared" si="246"/>
        <v>0</v>
      </c>
      <c r="Q1742" s="561">
        <f t="shared" si="227"/>
        <v>0</v>
      </c>
      <c r="R1742" s="174"/>
      <c r="T1742" s="82"/>
      <c r="U1742" s="82"/>
      <c r="V1742" s="82"/>
      <c r="W1742" s="82"/>
      <c r="X1742" s="82"/>
      <c r="Y1742" s="82"/>
      <c r="Z1742" s="82"/>
      <c r="AA1742" s="82"/>
      <c r="AB1742" s="82"/>
    </row>
    <row r="1743" spans="1:28" s="85" customFormat="1" ht="13.8" thickTop="1" x14ac:dyDescent="0.25">
      <c r="A1743" s="82"/>
      <c r="B1743" s="82"/>
      <c r="C1743" s="82"/>
      <c r="D1743" s="728" t="s">
        <v>2213</v>
      </c>
      <c r="E1743" s="384" t="s">
        <v>49</v>
      </c>
      <c r="F1743" s="385">
        <v>2</v>
      </c>
      <c r="G1743" s="386">
        <v>8</v>
      </c>
      <c r="H1743" s="387">
        <v>5</v>
      </c>
      <c r="I1743" s="388">
        <v>0.67</v>
      </c>
      <c r="J1743" s="389">
        <f t="shared" si="240"/>
        <v>5.36</v>
      </c>
      <c r="K1743" s="218">
        <f t="shared" si="241"/>
        <v>0.82544000000000006</v>
      </c>
      <c r="L1743" s="219">
        <f t="shared" si="242"/>
        <v>0</v>
      </c>
      <c r="M1743" s="219">
        <f t="shared" si="243"/>
        <v>0</v>
      </c>
      <c r="N1743" s="219">
        <f t="shared" si="244"/>
        <v>0</v>
      </c>
      <c r="O1743" s="219">
        <f t="shared" si="245"/>
        <v>0</v>
      </c>
      <c r="P1743" s="219">
        <f t="shared" si="246"/>
        <v>0</v>
      </c>
      <c r="Q1743" s="563">
        <f t="shared" si="227"/>
        <v>0</v>
      </c>
      <c r="R1743" s="220"/>
      <c r="T1743" s="82"/>
      <c r="U1743" s="82"/>
      <c r="V1743" s="82"/>
      <c r="W1743" s="82"/>
      <c r="X1743" s="82"/>
      <c r="Y1743" s="82"/>
      <c r="Z1743" s="82"/>
      <c r="AA1743" s="82"/>
      <c r="AB1743" s="82"/>
    </row>
    <row r="1744" spans="1:28" s="85" customFormat="1" x14ac:dyDescent="0.25">
      <c r="A1744" s="82"/>
      <c r="B1744" s="82"/>
      <c r="C1744" s="82"/>
      <c r="D1744" s="729"/>
      <c r="E1744" s="371" t="s">
        <v>49</v>
      </c>
      <c r="F1744" s="372">
        <v>21</v>
      </c>
      <c r="G1744" s="373">
        <v>4</v>
      </c>
      <c r="H1744" s="374">
        <v>10</v>
      </c>
      <c r="I1744" s="375">
        <v>1.31</v>
      </c>
      <c r="J1744" s="376">
        <f t="shared" si="240"/>
        <v>5.24</v>
      </c>
      <c r="K1744" s="66">
        <f t="shared" si="241"/>
        <v>0</v>
      </c>
      <c r="L1744" s="63">
        <f t="shared" si="242"/>
        <v>0</v>
      </c>
      <c r="M1744" s="63">
        <f t="shared" si="243"/>
        <v>0</v>
      </c>
      <c r="N1744" s="63">
        <f t="shared" si="244"/>
        <v>3.2330800000000002</v>
      </c>
      <c r="O1744" s="63">
        <f t="shared" si="245"/>
        <v>0</v>
      </c>
      <c r="P1744" s="63">
        <f t="shared" si="246"/>
        <v>0</v>
      </c>
      <c r="Q1744" s="561">
        <f t="shared" si="227"/>
        <v>0</v>
      </c>
      <c r="R1744" s="174"/>
      <c r="T1744" s="82"/>
      <c r="U1744" s="82"/>
      <c r="V1744" s="82"/>
      <c r="W1744" s="82"/>
      <c r="X1744" s="82"/>
      <c r="Y1744" s="82"/>
      <c r="Z1744" s="82"/>
      <c r="AA1744" s="82"/>
      <c r="AB1744" s="82"/>
    </row>
    <row r="1745" spans="1:28" s="85" customFormat="1" x14ac:dyDescent="0.25">
      <c r="A1745" s="82"/>
      <c r="B1745" s="82"/>
      <c r="C1745" s="82"/>
      <c r="D1745" s="729"/>
      <c r="E1745" s="371" t="s">
        <v>113</v>
      </c>
      <c r="F1745" s="372">
        <v>4</v>
      </c>
      <c r="G1745" s="373">
        <v>5</v>
      </c>
      <c r="H1745" s="374">
        <v>5</v>
      </c>
      <c r="I1745" s="375">
        <v>0.67</v>
      </c>
      <c r="J1745" s="376">
        <f t="shared" si="240"/>
        <v>3.35</v>
      </c>
      <c r="K1745" s="66">
        <f t="shared" ref="K1745:K1782" si="250">IF($H1745=5,$J1745*$B$21,0)</f>
        <v>0.51590000000000003</v>
      </c>
      <c r="L1745" s="63">
        <f t="shared" ref="L1745:L1782" si="251">IF($H1745=6.3,$J1745*$B$22,0)</f>
        <v>0</v>
      </c>
      <c r="M1745" s="63">
        <f t="shared" ref="M1745:M1782" si="252">IF($H1745=8,$J1745*$B$23,0)</f>
        <v>0</v>
      </c>
      <c r="N1745" s="63">
        <f t="shared" ref="N1745:N1782" si="253">IF($H1745=10,$J1745*$B$24,0)</f>
        <v>0</v>
      </c>
      <c r="O1745" s="63">
        <f t="shared" ref="O1745:O1782" si="254">IF($H1745=12.5,$J1745*$B$26,0)</f>
        <v>0</v>
      </c>
      <c r="P1745" s="63">
        <f t="shared" ref="P1745:P1782" si="255">IF($H1745=16,$J1745*$B$27,0)</f>
        <v>0</v>
      </c>
      <c r="Q1745" s="561">
        <f t="shared" ref="Q1745:Q1811" si="256">IF($H1745=20,$J1745*$B$28,0)</f>
        <v>0</v>
      </c>
      <c r="R1745" s="174"/>
      <c r="T1745" s="82"/>
      <c r="U1745" s="82"/>
      <c r="V1745" s="82"/>
      <c r="W1745" s="82"/>
      <c r="X1745" s="82"/>
      <c r="Y1745" s="82"/>
      <c r="Z1745" s="82"/>
      <c r="AA1745" s="82"/>
      <c r="AB1745" s="82"/>
    </row>
    <row r="1746" spans="1:28" s="85" customFormat="1" x14ac:dyDescent="0.25">
      <c r="A1746" s="82"/>
      <c r="B1746" s="82"/>
      <c r="C1746" s="82"/>
      <c r="D1746" s="729"/>
      <c r="E1746" s="371" t="s">
        <v>113</v>
      </c>
      <c r="F1746" s="372">
        <v>5</v>
      </c>
      <c r="G1746" s="373">
        <v>6</v>
      </c>
      <c r="H1746" s="374">
        <v>5</v>
      </c>
      <c r="I1746" s="375">
        <v>0.49</v>
      </c>
      <c r="J1746" s="376">
        <f t="shared" si="240"/>
        <v>2.94</v>
      </c>
      <c r="K1746" s="66">
        <f t="shared" si="250"/>
        <v>0.45276</v>
      </c>
      <c r="L1746" s="63">
        <f t="shared" si="251"/>
        <v>0</v>
      </c>
      <c r="M1746" s="63">
        <f t="shared" si="252"/>
        <v>0</v>
      </c>
      <c r="N1746" s="63">
        <f t="shared" si="253"/>
        <v>0</v>
      </c>
      <c r="O1746" s="63">
        <f t="shared" si="254"/>
        <v>0</v>
      </c>
      <c r="P1746" s="63">
        <f t="shared" si="255"/>
        <v>0</v>
      </c>
      <c r="Q1746" s="561">
        <f t="shared" si="256"/>
        <v>0</v>
      </c>
      <c r="R1746" s="174"/>
      <c r="T1746" s="82"/>
      <c r="U1746" s="82"/>
      <c r="V1746" s="82"/>
      <c r="W1746" s="82"/>
      <c r="X1746" s="82"/>
      <c r="Y1746" s="82"/>
      <c r="Z1746" s="82"/>
      <c r="AA1746" s="82"/>
      <c r="AB1746" s="82"/>
    </row>
    <row r="1747" spans="1:28" s="85" customFormat="1" ht="13.8" thickBot="1" x14ac:dyDescent="0.3">
      <c r="A1747" s="82"/>
      <c r="B1747" s="82"/>
      <c r="C1747" s="82"/>
      <c r="D1747" s="729"/>
      <c r="E1747" s="371" t="s">
        <v>113</v>
      </c>
      <c r="F1747" s="372">
        <v>27</v>
      </c>
      <c r="G1747" s="373">
        <v>4</v>
      </c>
      <c r="H1747" s="374">
        <v>10</v>
      </c>
      <c r="I1747" s="375">
        <v>0.82</v>
      </c>
      <c r="J1747" s="376">
        <f t="shared" si="240"/>
        <v>3.28</v>
      </c>
      <c r="K1747" s="66">
        <f t="shared" si="250"/>
        <v>0</v>
      </c>
      <c r="L1747" s="63">
        <f t="shared" si="251"/>
        <v>0</v>
      </c>
      <c r="M1747" s="63">
        <f t="shared" si="252"/>
        <v>0</v>
      </c>
      <c r="N1747" s="63">
        <f t="shared" si="253"/>
        <v>2.0237599999999998</v>
      </c>
      <c r="O1747" s="63">
        <f t="shared" si="254"/>
        <v>0</v>
      </c>
      <c r="P1747" s="63">
        <f t="shared" si="255"/>
        <v>0</v>
      </c>
      <c r="Q1747" s="561">
        <f t="shared" si="256"/>
        <v>0</v>
      </c>
      <c r="R1747" s="174"/>
      <c r="T1747" s="82"/>
      <c r="U1747" s="82"/>
      <c r="V1747" s="82"/>
      <c r="W1747" s="82"/>
      <c r="X1747" s="82"/>
      <c r="Y1747" s="82"/>
      <c r="Z1747" s="82"/>
      <c r="AA1747" s="82"/>
      <c r="AB1747" s="82"/>
    </row>
    <row r="1748" spans="1:28" s="85" customFormat="1" ht="13.8" thickTop="1" x14ac:dyDescent="0.25">
      <c r="A1748" s="82"/>
      <c r="B1748" s="82"/>
      <c r="C1748" s="82"/>
      <c r="D1748" s="728" t="s">
        <v>2214</v>
      </c>
      <c r="E1748" s="384" t="s">
        <v>49</v>
      </c>
      <c r="F1748" s="385">
        <v>3</v>
      </c>
      <c r="G1748" s="386">
        <v>16</v>
      </c>
      <c r="H1748" s="387">
        <v>5</v>
      </c>
      <c r="I1748" s="388">
        <v>0.21</v>
      </c>
      <c r="J1748" s="389">
        <f t="shared" si="240"/>
        <v>3.36</v>
      </c>
      <c r="K1748" s="218">
        <f t="shared" si="250"/>
        <v>0.51744000000000001</v>
      </c>
      <c r="L1748" s="219">
        <f t="shared" si="251"/>
        <v>0</v>
      </c>
      <c r="M1748" s="219">
        <f t="shared" si="252"/>
        <v>0</v>
      </c>
      <c r="N1748" s="219">
        <f t="shared" si="253"/>
        <v>0</v>
      </c>
      <c r="O1748" s="219">
        <f t="shared" si="254"/>
        <v>0</v>
      </c>
      <c r="P1748" s="219">
        <f t="shared" si="255"/>
        <v>0</v>
      </c>
      <c r="Q1748" s="563">
        <f t="shared" si="256"/>
        <v>0</v>
      </c>
      <c r="R1748" s="220"/>
      <c r="T1748" s="82"/>
      <c r="U1748" s="82"/>
      <c r="V1748" s="82"/>
      <c r="W1748" s="82"/>
      <c r="X1748" s="82"/>
      <c r="Y1748" s="82"/>
      <c r="Z1748" s="82"/>
      <c r="AA1748" s="82"/>
      <c r="AB1748" s="82"/>
    </row>
    <row r="1749" spans="1:28" s="85" customFormat="1" x14ac:dyDescent="0.25">
      <c r="A1749" s="82"/>
      <c r="B1749" s="82"/>
      <c r="C1749" s="82"/>
      <c r="D1749" s="729"/>
      <c r="E1749" s="371" t="s">
        <v>49</v>
      </c>
      <c r="F1749" s="372">
        <v>4</v>
      </c>
      <c r="G1749" s="373">
        <v>8</v>
      </c>
      <c r="H1749" s="374">
        <v>5</v>
      </c>
      <c r="I1749" s="375">
        <v>1.05</v>
      </c>
      <c r="J1749" s="376">
        <f t="shared" si="240"/>
        <v>8.4</v>
      </c>
      <c r="K1749" s="66">
        <f t="shared" si="250"/>
        <v>1.2936000000000001</v>
      </c>
      <c r="L1749" s="63">
        <f t="shared" si="251"/>
        <v>0</v>
      </c>
      <c r="M1749" s="63">
        <f t="shared" si="252"/>
        <v>0</v>
      </c>
      <c r="N1749" s="63">
        <f t="shared" si="253"/>
        <v>0</v>
      </c>
      <c r="O1749" s="63">
        <f t="shared" si="254"/>
        <v>0</v>
      </c>
      <c r="P1749" s="63">
        <f t="shared" si="255"/>
        <v>0</v>
      </c>
      <c r="Q1749" s="561">
        <f t="shared" si="256"/>
        <v>0</v>
      </c>
      <c r="R1749" s="174"/>
      <c r="T1749" s="82"/>
      <c r="U1749" s="82"/>
      <c r="V1749" s="82"/>
      <c r="W1749" s="82"/>
      <c r="X1749" s="82"/>
      <c r="Y1749" s="82"/>
      <c r="Z1749" s="82"/>
      <c r="AA1749" s="82"/>
      <c r="AB1749" s="82"/>
    </row>
    <row r="1750" spans="1:28" s="85" customFormat="1" x14ac:dyDescent="0.25">
      <c r="A1750" s="82"/>
      <c r="B1750" s="82"/>
      <c r="C1750" s="82"/>
      <c r="D1750" s="729"/>
      <c r="E1750" s="371" t="s">
        <v>49</v>
      </c>
      <c r="F1750" s="372">
        <v>21</v>
      </c>
      <c r="G1750" s="373">
        <v>8</v>
      </c>
      <c r="H1750" s="374">
        <v>10</v>
      </c>
      <c r="I1750" s="375">
        <v>1.31</v>
      </c>
      <c r="J1750" s="376">
        <f t="shared" si="240"/>
        <v>10.48</v>
      </c>
      <c r="K1750" s="66">
        <f t="shared" si="250"/>
        <v>0</v>
      </c>
      <c r="L1750" s="63">
        <f t="shared" si="251"/>
        <v>0</v>
      </c>
      <c r="M1750" s="63">
        <f t="shared" si="252"/>
        <v>0</v>
      </c>
      <c r="N1750" s="63">
        <f t="shared" si="253"/>
        <v>6.4661600000000004</v>
      </c>
      <c r="O1750" s="63">
        <f t="shared" si="254"/>
        <v>0</v>
      </c>
      <c r="P1750" s="63">
        <f t="shared" si="255"/>
        <v>0</v>
      </c>
      <c r="Q1750" s="561">
        <f t="shared" si="256"/>
        <v>0</v>
      </c>
      <c r="R1750" s="174"/>
      <c r="T1750" s="82"/>
      <c r="U1750" s="82"/>
      <c r="V1750" s="82"/>
      <c r="W1750" s="82"/>
      <c r="X1750" s="82"/>
      <c r="Y1750" s="82"/>
      <c r="Z1750" s="82"/>
      <c r="AA1750" s="82"/>
      <c r="AB1750" s="82"/>
    </row>
    <row r="1751" spans="1:28" s="85" customFormat="1" x14ac:dyDescent="0.25">
      <c r="A1751" s="82"/>
      <c r="B1751" s="82"/>
      <c r="C1751" s="82"/>
      <c r="D1751" s="729"/>
      <c r="E1751" s="371" t="s">
        <v>49</v>
      </c>
      <c r="F1751" s="372"/>
      <c r="G1751" s="373"/>
      <c r="H1751" s="374"/>
      <c r="I1751" s="375"/>
      <c r="J1751" s="376">
        <f t="shared" si="240"/>
        <v>0</v>
      </c>
      <c r="K1751" s="66">
        <f t="shared" si="250"/>
        <v>0</v>
      </c>
      <c r="L1751" s="63">
        <f t="shared" si="251"/>
        <v>0</v>
      </c>
      <c r="M1751" s="63">
        <f t="shared" si="252"/>
        <v>0</v>
      </c>
      <c r="N1751" s="63">
        <f t="shared" si="253"/>
        <v>0</v>
      </c>
      <c r="O1751" s="63">
        <f t="shared" si="254"/>
        <v>0</v>
      </c>
      <c r="P1751" s="63">
        <f t="shared" si="255"/>
        <v>0</v>
      </c>
      <c r="Q1751" s="561">
        <f t="shared" si="256"/>
        <v>0</v>
      </c>
      <c r="R1751" s="174"/>
      <c r="T1751" s="82"/>
      <c r="U1751" s="82"/>
      <c r="V1751" s="82"/>
      <c r="W1751" s="82"/>
      <c r="X1751" s="82"/>
      <c r="Y1751" s="82"/>
      <c r="Z1751" s="82"/>
      <c r="AA1751" s="82"/>
      <c r="AB1751" s="82"/>
    </row>
    <row r="1752" spans="1:28" s="85" customFormat="1" x14ac:dyDescent="0.25">
      <c r="A1752" s="82"/>
      <c r="B1752" s="82"/>
      <c r="C1752" s="82"/>
      <c r="D1752" s="729"/>
      <c r="E1752" s="371" t="s">
        <v>113</v>
      </c>
      <c r="F1752" s="372">
        <v>10</v>
      </c>
      <c r="G1752" s="373">
        <v>42</v>
      </c>
      <c r="H1752" s="374">
        <v>5</v>
      </c>
      <c r="I1752" s="375">
        <v>0.21</v>
      </c>
      <c r="J1752" s="376">
        <f t="shared" si="240"/>
        <v>8.82</v>
      </c>
      <c r="K1752" s="66">
        <f t="shared" si="250"/>
        <v>1.3582799999999999</v>
      </c>
      <c r="L1752" s="63">
        <f t="shared" si="251"/>
        <v>0</v>
      </c>
      <c r="M1752" s="63">
        <f t="shared" si="252"/>
        <v>0</v>
      </c>
      <c r="N1752" s="63">
        <f t="shared" si="253"/>
        <v>0</v>
      </c>
      <c r="O1752" s="63">
        <f t="shared" si="254"/>
        <v>0</v>
      </c>
      <c r="P1752" s="63">
        <f t="shared" si="255"/>
        <v>0</v>
      </c>
      <c r="Q1752" s="561">
        <f t="shared" si="256"/>
        <v>0</v>
      </c>
      <c r="R1752" s="174"/>
      <c r="T1752" s="82"/>
      <c r="U1752" s="82"/>
      <c r="V1752" s="82"/>
      <c r="W1752" s="82"/>
      <c r="X1752" s="82"/>
      <c r="Y1752" s="82"/>
      <c r="Z1752" s="82"/>
      <c r="AA1752" s="82"/>
      <c r="AB1752" s="82"/>
    </row>
    <row r="1753" spans="1:28" s="85" customFormat="1" x14ac:dyDescent="0.25">
      <c r="A1753" s="82"/>
      <c r="B1753" s="82"/>
      <c r="C1753" s="82"/>
      <c r="D1753" s="729"/>
      <c r="E1753" s="371" t="s">
        <v>113</v>
      </c>
      <c r="F1753" s="372">
        <v>11</v>
      </c>
      <c r="G1753" s="373">
        <v>18</v>
      </c>
      <c r="H1753" s="374">
        <v>5</v>
      </c>
      <c r="I1753" s="375">
        <v>1.05</v>
      </c>
      <c r="J1753" s="376">
        <f t="shared" si="240"/>
        <v>18.900000000000002</v>
      </c>
      <c r="K1753" s="66">
        <f t="shared" si="250"/>
        <v>2.9106000000000001</v>
      </c>
      <c r="L1753" s="63">
        <f t="shared" si="251"/>
        <v>0</v>
      </c>
      <c r="M1753" s="63">
        <f t="shared" si="252"/>
        <v>0</v>
      </c>
      <c r="N1753" s="63">
        <f t="shared" si="253"/>
        <v>0</v>
      </c>
      <c r="O1753" s="63">
        <f t="shared" si="254"/>
        <v>0</v>
      </c>
      <c r="P1753" s="63">
        <f t="shared" si="255"/>
        <v>0</v>
      </c>
      <c r="Q1753" s="561">
        <f t="shared" si="256"/>
        <v>0</v>
      </c>
      <c r="R1753" s="174"/>
      <c r="T1753" s="82"/>
      <c r="U1753" s="82"/>
      <c r="V1753" s="82"/>
      <c r="W1753" s="82"/>
      <c r="X1753" s="82"/>
      <c r="Y1753" s="82"/>
      <c r="Z1753" s="82"/>
      <c r="AA1753" s="82"/>
      <c r="AB1753" s="82"/>
    </row>
    <row r="1754" spans="1:28" s="85" customFormat="1" x14ac:dyDescent="0.25">
      <c r="A1754" s="82"/>
      <c r="B1754" s="82"/>
      <c r="C1754" s="82"/>
      <c r="D1754" s="729"/>
      <c r="E1754" s="371" t="s">
        <v>113</v>
      </c>
      <c r="F1754" s="372">
        <v>12</v>
      </c>
      <c r="G1754" s="373">
        <v>6</v>
      </c>
      <c r="H1754" s="374">
        <v>5</v>
      </c>
      <c r="I1754" s="375">
        <v>0.65</v>
      </c>
      <c r="J1754" s="376">
        <f t="shared" si="240"/>
        <v>3.9000000000000004</v>
      </c>
      <c r="K1754" s="66">
        <f t="shared" si="250"/>
        <v>0.60060000000000002</v>
      </c>
      <c r="L1754" s="63">
        <f t="shared" si="251"/>
        <v>0</v>
      </c>
      <c r="M1754" s="63">
        <f t="shared" si="252"/>
        <v>0</v>
      </c>
      <c r="N1754" s="63">
        <f t="shared" si="253"/>
        <v>0</v>
      </c>
      <c r="O1754" s="63">
        <f t="shared" si="254"/>
        <v>0</v>
      </c>
      <c r="P1754" s="63">
        <f t="shared" si="255"/>
        <v>0</v>
      </c>
      <c r="Q1754" s="561">
        <f t="shared" si="256"/>
        <v>0</v>
      </c>
      <c r="R1754" s="174"/>
      <c r="T1754" s="82"/>
      <c r="U1754" s="82"/>
      <c r="V1754" s="82"/>
      <c r="W1754" s="82"/>
      <c r="X1754" s="82"/>
      <c r="Y1754" s="82"/>
      <c r="Z1754" s="82"/>
      <c r="AA1754" s="82"/>
      <c r="AB1754" s="82"/>
    </row>
    <row r="1755" spans="1:28" s="85" customFormat="1" ht="13.8" thickBot="1" x14ac:dyDescent="0.3">
      <c r="A1755" s="82"/>
      <c r="B1755" s="82"/>
      <c r="C1755" s="82"/>
      <c r="D1755" s="729"/>
      <c r="E1755" s="371" t="s">
        <v>113</v>
      </c>
      <c r="F1755" s="372">
        <v>28</v>
      </c>
      <c r="G1755" s="373">
        <v>8</v>
      </c>
      <c r="H1755" s="374">
        <v>10</v>
      </c>
      <c r="I1755" s="375">
        <v>2.2999999999999998</v>
      </c>
      <c r="J1755" s="376">
        <f t="shared" si="240"/>
        <v>18.399999999999999</v>
      </c>
      <c r="K1755" s="66">
        <f t="shared" si="250"/>
        <v>0</v>
      </c>
      <c r="L1755" s="63">
        <f t="shared" si="251"/>
        <v>0</v>
      </c>
      <c r="M1755" s="63">
        <f t="shared" si="252"/>
        <v>0</v>
      </c>
      <c r="N1755" s="63">
        <f t="shared" si="253"/>
        <v>11.352799999999998</v>
      </c>
      <c r="O1755" s="63">
        <f t="shared" si="254"/>
        <v>0</v>
      </c>
      <c r="P1755" s="63">
        <f t="shared" si="255"/>
        <v>0</v>
      </c>
      <c r="Q1755" s="561">
        <f t="shared" si="256"/>
        <v>0</v>
      </c>
      <c r="R1755" s="174"/>
      <c r="T1755" s="82"/>
      <c r="U1755" s="82"/>
      <c r="V1755" s="82"/>
      <c r="W1755" s="82"/>
      <c r="X1755" s="82"/>
      <c r="Y1755" s="82"/>
      <c r="Z1755" s="82"/>
      <c r="AA1755" s="82"/>
      <c r="AB1755" s="82"/>
    </row>
    <row r="1756" spans="1:28" s="85" customFormat="1" ht="13.8" thickTop="1" x14ac:dyDescent="0.25">
      <c r="A1756" s="82"/>
      <c r="B1756" s="82"/>
      <c r="C1756" s="82"/>
      <c r="D1756" s="728" t="s">
        <v>2215</v>
      </c>
      <c r="E1756" s="384" t="s">
        <v>49</v>
      </c>
      <c r="F1756" s="385">
        <v>1</v>
      </c>
      <c r="G1756" s="386">
        <v>8</v>
      </c>
      <c r="H1756" s="387">
        <v>5</v>
      </c>
      <c r="I1756" s="388">
        <v>0.24</v>
      </c>
      <c r="J1756" s="389">
        <f t="shared" si="240"/>
        <v>1.92</v>
      </c>
      <c r="K1756" s="218">
        <f t="shared" si="250"/>
        <v>0.29568</v>
      </c>
      <c r="L1756" s="219">
        <f t="shared" si="251"/>
        <v>0</v>
      </c>
      <c r="M1756" s="219">
        <f t="shared" si="252"/>
        <v>0</v>
      </c>
      <c r="N1756" s="219">
        <f t="shared" si="253"/>
        <v>0</v>
      </c>
      <c r="O1756" s="219">
        <f t="shared" si="254"/>
        <v>0</v>
      </c>
      <c r="P1756" s="219">
        <f t="shared" si="255"/>
        <v>0</v>
      </c>
      <c r="Q1756" s="563">
        <f t="shared" si="256"/>
        <v>0</v>
      </c>
      <c r="R1756" s="220"/>
      <c r="T1756" s="82"/>
      <c r="U1756" s="82"/>
      <c r="V1756" s="82"/>
      <c r="W1756" s="82"/>
      <c r="X1756" s="82"/>
      <c r="Y1756" s="82"/>
      <c r="Z1756" s="82"/>
      <c r="AA1756" s="82"/>
      <c r="AB1756" s="82"/>
    </row>
    <row r="1757" spans="1:28" s="85" customFormat="1" x14ac:dyDescent="0.25">
      <c r="A1757" s="82"/>
      <c r="B1757" s="82"/>
      <c r="C1757" s="82"/>
      <c r="D1757" s="729"/>
      <c r="E1757" s="371" t="s">
        <v>49</v>
      </c>
      <c r="F1757" s="372">
        <v>2</v>
      </c>
      <c r="G1757" s="373">
        <v>5</v>
      </c>
      <c r="H1757" s="374">
        <v>5</v>
      </c>
      <c r="I1757" s="375">
        <v>0.97</v>
      </c>
      <c r="J1757" s="376">
        <f t="shared" si="240"/>
        <v>4.8499999999999996</v>
      </c>
      <c r="K1757" s="66">
        <f t="shared" si="250"/>
        <v>0.7468999999999999</v>
      </c>
      <c r="L1757" s="63">
        <f t="shared" si="251"/>
        <v>0</v>
      </c>
      <c r="M1757" s="63">
        <f t="shared" si="252"/>
        <v>0</v>
      </c>
      <c r="N1757" s="63">
        <f t="shared" si="253"/>
        <v>0</v>
      </c>
      <c r="O1757" s="63">
        <f t="shared" si="254"/>
        <v>0</v>
      </c>
      <c r="P1757" s="63">
        <f t="shared" si="255"/>
        <v>0</v>
      </c>
      <c r="Q1757" s="561">
        <f t="shared" si="256"/>
        <v>0</v>
      </c>
      <c r="R1757" s="174"/>
      <c r="T1757" s="82"/>
      <c r="U1757" s="82"/>
      <c r="V1757" s="82"/>
      <c r="W1757" s="82"/>
      <c r="X1757" s="82"/>
      <c r="Y1757" s="82"/>
      <c r="Z1757" s="82"/>
      <c r="AA1757" s="82"/>
      <c r="AB1757" s="82"/>
    </row>
    <row r="1758" spans="1:28" s="85" customFormat="1" x14ac:dyDescent="0.25">
      <c r="A1758" s="82"/>
      <c r="B1758" s="82"/>
      <c r="C1758" s="82"/>
      <c r="D1758" s="729"/>
      <c r="E1758" s="371" t="s">
        <v>49</v>
      </c>
      <c r="F1758" s="372">
        <v>3</v>
      </c>
      <c r="G1758" s="373">
        <v>6</v>
      </c>
      <c r="H1758" s="374">
        <v>5</v>
      </c>
      <c r="I1758" s="375">
        <v>0.64</v>
      </c>
      <c r="J1758" s="376">
        <f t="shared" si="240"/>
        <v>3.84</v>
      </c>
      <c r="K1758" s="66">
        <f t="shared" si="250"/>
        <v>0.59136</v>
      </c>
      <c r="L1758" s="63">
        <f t="shared" si="251"/>
        <v>0</v>
      </c>
      <c r="M1758" s="63">
        <f t="shared" si="252"/>
        <v>0</v>
      </c>
      <c r="N1758" s="63">
        <f t="shared" si="253"/>
        <v>0</v>
      </c>
      <c r="O1758" s="63">
        <f t="shared" si="254"/>
        <v>0</v>
      </c>
      <c r="P1758" s="63">
        <f t="shared" si="255"/>
        <v>0</v>
      </c>
      <c r="Q1758" s="561">
        <f t="shared" si="256"/>
        <v>0</v>
      </c>
      <c r="R1758" s="174"/>
      <c r="T1758" s="82"/>
      <c r="U1758" s="82"/>
      <c r="V1758" s="82"/>
      <c r="W1758" s="82"/>
      <c r="X1758" s="82"/>
      <c r="Y1758" s="82"/>
      <c r="Z1758" s="82"/>
      <c r="AA1758" s="82"/>
      <c r="AB1758" s="82"/>
    </row>
    <row r="1759" spans="1:28" s="85" customFormat="1" x14ac:dyDescent="0.25">
      <c r="A1759" s="82"/>
      <c r="B1759" s="82"/>
      <c r="C1759" s="82"/>
      <c r="D1759" s="729"/>
      <c r="E1759" s="371" t="s">
        <v>49</v>
      </c>
      <c r="F1759" s="372">
        <v>12</v>
      </c>
      <c r="G1759" s="373">
        <v>10</v>
      </c>
      <c r="H1759" s="374">
        <v>10</v>
      </c>
      <c r="I1759" s="375">
        <v>1.27</v>
      </c>
      <c r="J1759" s="376">
        <f t="shared" si="240"/>
        <v>12.7</v>
      </c>
      <c r="K1759" s="66">
        <f t="shared" si="250"/>
        <v>0</v>
      </c>
      <c r="L1759" s="63">
        <f t="shared" si="251"/>
        <v>0</v>
      </c>
      <c r="M1759" s="63">
        <f t="shared" si="252"/>
        <v>0</v>
      </c>
      <c r="N1759" s="63">
        <f t="shared" si="253"/>
        <v>7.8358999999999996</v>
      </c>
      <c r="O1759" s="63">
        <f t="shared" si="254"/>
        <v>0</v>
      </c>
      <c r="P1759" s="63">
        <f t="shared" si="255"/>
        <v>0</v>
      </c>
      <c r="Q1759" s="561">
        <f t="shared" si="256"/>
        <v>0</v>
      </c>
      <c r="R1759" s="174"/>
      <c r="T1759" s="82"/>
      <c r="U1759" s="82"/>
      <c r="V1759" s="82"/>
      <c r="W1759" s="82"/>
      <c r="X1759" s="82"/>
      <c r="Y1759" s="82"/>
      <c r="Z1759" s="82"/>
      <c r="AA1759" s="82"/>
      <c r="AB1759" s="82"/>
    </row>
    <row r="1760" spans="1:28" s="85" customFormat="1" x14ac:dyDescent="0.25">
      <c r="A1760" s="82"/>
      <c r="B1760" s="82"/>
      <c r="C1760" s="82"/>
      <c r="D1760" s="729"/>
      <c r="E1760" s="371" t="s">
        <v>113</v>
      </c>
      <c r="F1760" s="372">
        <v>1</v>
      </c>
      <c r="G1760" s="373">
        <v>21</v>
      </c>
      <c r="H1760" s="374">
        <v>5</v>
      </c>
      <c r="I1760" s="375">
        <v>0.24</v>
      </c>
      <c r="J1760" s="376">
        <f t="shared" si="240"/>
        <v>5.04</v>
      </c>
      <c r="K1760" s="66">
        <f t="shared" si="250"/>
        <v>0.77615999999999996</v>
      </c>
      <c r="L1760" s="63">
        <f t="shared" si="251"/>
        <v>0</v>
      </c>
      <c r="M1760" s="63">
        <f t="shared" si="252"/>
        <v>0</v>
      </c>
      <c r="N1760" s="63">
        <f t="shared" si="253"/>
        <v>0</v>
      </c>
      <c r="O1760" s="63">
        <f t="shared" si="254"/>
        <v>0</v>
      </c>
      <c r="P1760" s="63">
        <f t="shared" si="255"/>
        <v>0</v>
      </c>
      <c r="Q1760" s="561">
        <f t="shared" si="256"/>
        <v>0</v>
      </c>
      <c r="R1760" s="174"/>
      <c r="T1760" s="82"/>
      <c r="U1760" s="82"/>
      <c r="V1760" s="82"/>
      <c r="W1760" s="82"/>
      <c r="X1760" s="82"/>
      <c r="Y1760" s="82"/>
      <c r="Z1760" s="82"/>
      <c r="AA1760" s="82"/>
      <c r="AB1760" s="82"/>
    </row>
    <row r="1761" spans="1:28" s="85" customFormat="1" x14ac:dyDescent="0.25">
      <c r="A1761" s="82"/>
      <c r="B1761" s="82"/>
      <c r="C1761" s="82"/>
      <c r="D1761" s="729"/>
      <c r="E1761" s="371" t="s">
        <v>113</v>
      </c>
      <c r="F1761" s="372">
        <v>2</v>
      </c>
      <c r="G1761" s="373">
        <v>18</v>
      </c>
      <c r="H1761" s="374">
        <v>5</v>
      </c>
      <c r="I1761" s="375">
        <v>0.97</v>
      </c>
      <c r="J1761" s="376">
        <f t="shared" si="240"/>
        <v>17.46</v>
      </c>
      <c r="K1761" s="66">
        <f t="shared" si="250"/>
        <v>2.6888399999999999</v>
      </c>
      <c r="L1761" s="63">
        <f t="shared" si="251"/>
        <v>0</v>
      </c>
      <c r="M1761" s="63">
        <f t="shared" si="252"/>
        <v>0</v>
      </c>
      <c r="N1761" s="63">
        <f t="shared" si="253"/>
        <v>0</v>
      </c>
      <c r="O1761" s="63">
        <f t="shared" si="254"/>
        <v>0</v>
      </c>
      <c r="P1761" s="63">
        <f t="shared" si="255"/>
        <v>0</v>
      </c>
      <c r="Q1761" s="561">
        <f t="shared" si="256"/>
        <v>0</v>
      </c>
      <c r="R1761" s="174"/>
      <c r="T1761" s="82"/>
      <c r="U1761" s="82"/>
      <c r="V1761" s="82"/>
      <c r="W1761" s="82"/>
      <c r="X1761" s="82"/>
      <c r="Y1761" s="82"/>
      <c r="Z1761" s="82"/>
      <c r="AA1761" s="82"/>
      <c r="AB1761" s="82"/>
    </row>
    <row r="1762" spans="1:28" s="85" customFormat="1" x14ac:dyDescent="0.25">
      <c r="A1762" s="82"/>
      <c r="B1762" s="82"/>
      <c r="C1762" s="82"/>
      <c r="D1762" s="729"/>
      <c r="E1762" s="371" t="s">
        <v>113</v>
      </c>
      <c r="F1762" s="372">
        <v>3</v>
      </c>
      <c r="G1762" s="373">
        <v>6</v>
      </c>
      <c r="H1762" s="374">
        <v>5</v>
      </c>
      <c r="I1762" s="375">
        <v>0.64</v>
      </c>
      <c r="J1762" s="376">
        <f t="shared" si="240"/>
        <v>3.84</v>
      </c>
      <c r="K1762" s="66">
        <f t="shared" si="250"/>
        <v>0.59136</v>
      </c>
      <c r="L1762" s="63">
        <f t="shared" si="251"/>
        <v>0</v>
      </c>
      <c r="M1762" s="63">
        <f t="shared" si="252"/>
        <v>0</v>
      </c>
      <c r="N1762" s="63">
        <f t="shared" si="253"/>
        <v>0</v>
      </c>
      <c r="O1762" s="63">
        <f t="shared" si="254"/>
        <v>0</v>
      </c>
      <c r="P1762" s="63">
        <f t="shared" si="255"/>
        <v>0</v>
      </c>
      <c r="Q1762" s="561">
        <f t="shared" si="256"/>
        <v>0</v>
      </c>
      <c r="R1762" s="174"/>
      <c r="T1762" s="82"/>
      <c r="U1762" s="82"/>
      <c r="V1762" s="82"/>
      <c r="W1762" s="82"/>
      <c r="X1762" s="82"/>
      <c r="Y1762" s="82"/>
      <c r="Z1762" s="82"/>
      <c r="AA1762" s="82"/>
      <c r="AB1762" s="82"/>
    </row>
    <row r="1763" spans="1:28" s="85" customFormat="1" ht="13.8" thickBot="1" x14ac:dyDescent="0.3">
      <c r="A1763" s="82"/>
      <c r="B1763" s="82"/>
      <c r="C1763" s="82"/>
      <c r="D1763" s="729"/>
      <c r="E1763" s="371" t="s">
        <v>113</v>
      </c>
      <c r="F1763" s="372">
        <v>24</v>
      </c>
      <c r="G1763" s="373">
        <v>10</v>
      </c>
      <c r="H1763" s="374">
        <v>10</v>
      </c>
      <c r="I1763" s="375">
        <v>2.3199999999999998</v>
      </c>
      <c r="J1763" s="376">
        <f t="shared" si="240"/>
        <v>23.2</v>
      </c>
      <c r="K1763" s="66">
        <f t="shared" si="250"/>
        <v>0</v>
      </c>
      <c r="L1763" s="63">
        <f t="shared" si="251"/>
        <v>0</v>
      </c>
      <c r="M1763" s="63">
        <f t="shared" si="252"/>
        <v>0</v>
      </c>
      <c r="N1763" s="63">
        <f t="shared" si="253"/>
        <v>14.314399999999999</v>
      </c>
      <c r="O1763" s="63">
        <f t="shared" si="254"/>
        <v>0</v>
      </c>
      <c r="P1763" s="63">
        <f t="shared" si="255"/>
        <v>0</v>
      </c>
      <c r="Q1763" s="561">
        <f t="shared" si="256"/>
        <v>0</v>
      </c>
      <c r="R1763" s="174"/>
      <c r="T1763" s="82"/>
      <c r="U1763" s="82"/>
      <c r="V1763" s="82"/>
      <c r="W1763" s="82"/>
      <c r="X1763" s="82"/>
      <c r="Y1763" s="82"/>
      <c r="Z1763" s="82"/>
      <c r="AA1763" s="82"/>
      <c r="AB1763" s="82"/>
    </row>
    <row r="1764" spans="1:28" s="85" customFormat="1" ht="13.8" thickTop="1" x14ac:dyDescent="0.25">
      <c r="A1764" s="82"/>
      <c r="B1764" s="82"/>
      <c r="C1764" s="82"/>
      <c r="D1764" s="728" t="s">
        <v>2216</v>
      </c>
      <c r="E1764" s="384" t="s">
        <v>49</v>
      </c>
      <c r="F1764" s="385">
        <v>1</v>
      </c>
      <c r="G1764" s="386">
        <f>3*14</f>
        <v>42</v>
      </c>
      <c r="H1764" s="387">
        <v>5</v>
      </c>
      <c r="I1764" s="388">
        <v>0.24</v>
      </c>
      <c r="J1764" s="389">
        <f t="shared" si="240"/>
        <v>10.08</v>
      </c>
      <c r="K1764" s="218">
        <f t="shared" si="250"/>
        <v>1.5523199999999999</v>
      </c>
      <c r="L1764" s="219">
        <f t="shared" si="251"/>
        <v>0</v>
      </c>
      <c r="M1764" s="219">
        <f t="shared" si="252"/>
        <v>0</v>
      </c>
      <c r="N1764" s="219">
        <f t="shared" si="253"/>
        <v>0</v>
      </c>
      <c r="O1764" s="219">
        <f t="shared" si="254"/>
        <v>0</v>
      </c>
      <c r="P1764" s="219">
        <f t="shared" si="255"/>
        <v>0</v>
      </c>
      <c r="Q1764" s="563">
        <f t="shared" si="256"/>
        <v>0</v>
      </c>
      <c r="R1764" s="220"/>
      <c r="T1764" s="82"/>
      <c r="U1764" s="82"/>
      <c r="V1764" s="82"/>
      <c r="W1764" s="82"/>
      <c r="X1764" s="82"/>
      <c r="Y1764" s="82"/>
      <c r="Z1764" s="82"/>
      <c r="AA1764" s="82"/>
      <c r="AB1764" s="82"/>
    </row>
    <row r="1765" spans="1:28" s="85" customFormat="1" x14ac:dyDescent="0.25">
      <c r="A1765" s="82"/>
      <c r="B1765" s="82"/>
      <c r="C1765" s="82"/>
      <c r="D1765" s="729"/>
      <c r="E1765" s="371" t="s">
        <v>49</v>
      </c>
      <c r="F1765" s="372">
        <v>3</v>
      </c>
      <c r="G1765" s="373">
        <f>3*14</f>
        <v>42</v>
      </c>
      <c r="H1765" s="374">
        <v>5</v>
      </c>
      <c r="I1765" s="375">
        <v>0.64</v>
      </c>
      <c r="J1765" s="376">
        <f t="shared" si="240"/>
        <v>26.88</v>
      </c>
      <c r="K1765" s="66">
        <f t="shared" si="250"/>
        <v>4.1395200000000001</v>
      </c>
      <c r="L1765" s="63">
        <f t="shared" si="251"/>
        <v>0</v>
      </c>
      <c r="M1765" s="63">
        <f t="shared" si="252"/>
        <v>0</v>
      </c>
      <c r="N1765" s="63">
        <f t="shared" si="253"/>
        <v>0</v>
      </c>
      <c r="O1765" s="63">
        <f t="shared" si="254"/>
        <v>0</v>
      </c>
      <c r="P1765" s="63">
        <f t="shared" si="255"/>
        <v>0</v>
      </c>
      <c r="Q1765" s="561">
        <f t="shared" si="256"/>
        <v>0</v>
      </c>
      <c r="R1765" s="174"/>
      <c r="T1765" s="82"/>
      <c r="U1765" s="82"/>
      <c r="V1765" s="82"/>
      <c r="W1765" s="82"/>
      <c r="X1765" s="82"/>
      <c r="Y1765" s="82"/>
      <c r="Z1765" s="82"/>
      <c r="AA1765" s="82"/>
      <c r="AB1765" s="82"/>
    </row>
    <row r="1766" spans="1:28" s="85" customFormat="1" x14ac:dyDescent="0.25">
      <c r="A1766" s="82"/>
      <c r="B1766" s="82"/>
      <c r="C1766" s="82"/>
      <c r="D1766" s="729"/>
      <c r="E1766" s="371" t="s">
        <v>49</v>
      </c>
      <c r="F1766" s="372">
        <v>12</v>
      </c>
      <c r="G1766" s="373">
        <f>3*8</f>
        <v>24</v>
      </c>
      <c r="H1766" s="374">
        <v>10</v>
      </c>
      <c r="I1766" s="375">
        <v>1.27</v>
      </c>
      <c r="J1766" s="376">
        <f t="shared" si="240"/>
        <v>30.48</v>
      </c>
      <c r="K1766" s="66">
        <f t="shared" si="250"/>
        <v>0</v>
      </c>
      <c r="L1766" s="63">
        <f t="shared" si="251"/>
        <v>0</v>
      </c>
      <c r="M1766" s="63">
        <f t="shared" si="252"/>
        <v>0</v>
      </c>
      <c r="N1766" s="63">
        <f t="shared" si="253"/>
        <v>18.806159999999998</v>
      </c>
      <c r="O1766" s="63">
        <f t="shared" si="254"/>
        <v>0</v>
      </c>
      <c r="P1766" s="63">
        <f t="shared" si="255"/>
        <v>0</v>
      </c>
      <c r="Q1766" s="561">
        <f t="shared" si="256"/>
        <v>0</v>
      </c>
      <c r="R1766" s="174"/>
      <c r="T1766" s="82"/>
      <c r="U1766" s="82"/>
      <c r="V1766" s="82"/>
      <c r="W1766" s="82"/>
      <c r="X1766" s="82"/>
      <c r="Y1766" s="82"/>
      <c r="Z1766" s="82"/>
      <c r="AA1766" s="82"/>
      <c r="AB1766" s="82"/>
    </row>
    <row r="1767" spans="1:28" s="85" customFormat="1" x14ac:dyDescent="0.25">
      <c r="A1767" s="82"/>
      <c r="B1767" s="82"/>
      <c r="C1767" s="82"/>
      <c r="D1767" s="729"/>
      <c r="E1767" s="371" t="s">
        <v>113</v>
      </c>
      <c r="F1767" s="372">
        <v>1</v>
      </c>
      <c r="G1767" s="373">
        <f>3*42</f>
        <v>126</v>
      </c>
      <c r="H1767" s="374">
        <v>5</v>
      </c>
      <c r="I1767" s="375">
        <v>0.24</v>
      </c>
      <c r="J1767" s="376">
        <f t="shared" si="240"/>
        <v>30.24</v>
      </c>
      <c r="K1767" s="66">
        <f t="shared" si="250"/>
        <v>4.6569599999999998</v>
      </c>
      <c r="L1767" s="63">
        <f t="shared" si="251"/>
        <v>0</v>
      </c>
      <c r="M1767" s="63">
        <f t="shared" si="252"/>
        <v>0</v>
      </c>
      <c r="N1767" s="63">
        <f t="shared" si="253"/>
        <v>0</v>
      </c>
      <c r="O1767" s="63">
        <f t="shared" si="254"/>
        <v>0</v>
      </c>
      <c r="P1767" s="63">
        <f t="shared" si="255"/>
        <v>0</v>
      </c>
      <c r="Q1767" s="561">
        <f t="shared" si="256"/>
        <v>0</v>
      </c>
      <c r="R1767" s="174"/>
      <c r="T1767" s="82"/>
      <c r="U1767" s="82"/>
      <c r="V1767" s="82"/>
      <c r="W1767" s="82"/>
      <c r="X1767" s="82"/>
      <c r="Y1767" s="82"/>
      <c r="Z1767" s="82"/>
      <c r="AA1767" s="82"/>
      <c r="AB1767" s="82"/>
    </row>
    <row r="1768" spans="1:28" s="85" customFormat="1" x14ac:dyDescent="0.25">
      <c r="A1768" s="82"/>
      <c r="B1768" s="82"/>
      <c r="C1768" s="82"/>
      <c r="D1768" s="729"/>
      <c r="E1768" s="371" t="s">
        <v>113</v>
      </c>
      <c r="F1768" s="372">
        <v>2</v>
      </c>
      <c r="G1768" s="373">
        <f>3*18</f>
        <v>54</v>
      </c>
      <c r="H1768" s="374">
        <v>5</v>
      </c>
      <c r="I1768" s="375">
        <v>0.97</v>
      </c>
      <c r="J1768" s="376">
        <f t="shared" si="240"/>
        <v>52.379999999999995</v>
      </c>
      <c r="K1768" s="66">
        <f t="shared" si="250"/>
        <v>8.0665199999999988</v>
      </c>
      <c r="L1768" s="63">
        <f t="shared" si="251"/>
        <v>0</v>
      </c>
      <c r="M1768" s="63">
        <f t="shared" si="252"/>
        <v>0</v>
      </c>
      <c r="N1768" s="63">
        <f t="shared" si="253"/>
        <v>0</v>
      </c>
      <c r="O1768" s="63">
        <f t="shared" si="254"/>
        <v>0</v>
      </c>
      <c r="P1768" s="63">
        <f t="shared" si="255"/>
        <v>0</v>
      </c>
      <c r="Q1768" s="561">
        <f t="shared" si="256"/>
        <v>0</v>
      </c>
      <c r="R1768" s="174"/>
      <c r="T1768" s="82"/>
      <c r="U1768" s="82"/>
      <c r="V1768" s="82"/>
      <c r="W1768" s="82"/>
      <c r="X1768" s="82"/>
      <c r="Y1768" s="82"/>
      <c r="Z1768" s="82"/>
      <c r="AA1768" s="82"/>
      <c r="AB1768" s="82"/>
    </row>
    <row r="1769" spans="1:28" s="85" customFormat="1" x14ac:dyDescent="0.25">
      <c r="A1769" s="82"/>
      <c r="B1769" s="82"/>
      <c r="C1769" s="82"/>
      <c r="D1769" s="729"/>
      <c r="E1769" s="371" t="s">
        <v>113</v>
      </c>
      <c r="F1769" s="372">
        <v>3</v>
      </c>
      <c r="G1769" s="373">
        <f>3*6</f>
        <v>18</v>
      </c>
      <c r="H1769" s="374">
        <v>5</v>
      </c>
      <c r="I1769" s="375">
        <v>0.64</v>
      </c>
      <c r="J1769" s="376">
        <f t="shared" si="240"/>
        <v>11.52</v>
      </c>
      <c r="K1769" s="66">
        <f t="shared" si="250"/>
        <v>1.7740799999999999</v>
      </c>
      <c r="L1769" s="63">
        <f t="shared" si="251"/>
        <v>0</v>
      </c>
      <c r="M1769" s="63">
        <f t="shared" si="252"/>
        <v>0</v>
      </c>
      <c r="N1769" s="63">
        <f t="shared" si="253"/>
        <v>0</v>
      </c>
      <c r="O1769" s="63">
        <f t="shared" si="254"/>
        <v>0</v>
      </c>
      <c r="P1769" s="63">
        <f t="shared" si="255"/>
        <v>0</v>
      </c>
      <c r="Q1769" s="561">
        <f t="shared" si="256"/>
        <v>0</v>
      </c>
      <c r="R1769" s="174"/>
      <c r="T1769" s="82"/>
      <c r="U1769" s="82"/>
      <c r="V1769" s="82"/>
      <c r="W1769" s="82"/>
      <c r="X1769" s="82"/>
      <c r="Y1769" s="82"/>
      <c r="Z1769" s="82"/>
      <c r="AA1769" s="82"/>
      <c r="AB1769" s="82"/>
    </row>
    <row r="1770" spans="1:28" s="85" customFormat="1" ht="13.8" thickBot="1" x14ac:dyDescent="0.3">
      <c r="A1770" s="82"/>
      <c r="B1770" s="82"/>
      <c r="C1770" s="82"/>
      <c r="D1770" s="729"/>
      <c r="E1770" s="371" t="s">
        <v>113</v>
      </c>
      <c r="F1770" s="372">
        <v>24</v>
      </c>
      <c r="G1770" s="373">
        <f>3*8</f>
        <v>24</v>
      </c>
      <c r="H1770" s="374">
        <v>10</v>
      </c>
      <c r="I1770" s="375">
        <v>2.3199999999999998</v>
      </c>
      <c r="J1770" s="376">
        <f t="shared" si="240"/>
        <v>55.679999999999993</v>
      </c>
      <c r="K1770" s="66">
        <f t="shared" si="250"/>
        <v>0</v>
      </c>
      <c r="L1770" s="63">
        <f t="shared" si="251"/>
        <v>0</v>
      </c>
      <c r="M1770" s="63">
        <f t="shared" si="252"/>
        <v>0</v>
      </c>
      <c r="N1770" s="63">
        <f t="shared" si="253"/>
        <v>34.354559999999992</v>
      </c>
      <c r="O1770" s="63">
        <f t="shared" si="254"/>
        <v>0</v>
      </c>
      <c r="P1770" s="63">
        <f t="shared" si="255"/>
        <v>0</v>
      </c>
      <c r="Q1770" s="561">
        <f t="shared" si="256"/>
        <v>0</v>
      </c>
      <c r="R1770" s="174"/>
      <c r="T1770" s="82"/>
      <c r="U1770" s="82"/>
      <c r="V1770" s="82"/>
      <c r="W1770" s="82"/>
      <c r="X1770" s="82"/>
      <c r="Y1770" s="82"/>
      <c r="Z1770" s="82"/>
      <c r="AA1770" s="82"/>
      <c r="AB1770" s="82"/>
    </row>
    <row r="1771" spans="1:28" s="85" customFormat="1" ht="13.8" thickTop="1" x14ac:dyDescent="0.25">
      <c r="A1771" s="82"/>
      <c r="B1771" s="82"/>
      <c r="C1771" s="82"/>
      <c r="D1771" s="728" t="s">
        <v>2217</v>
      </c>
      <c r="E1771" s="384" t="s">
        <v>49</v>
      </c>
      <c r="F1771" s="385">
        <v>8</v>
      </c>
      <c r="G1771" s="386">
        <v>5</v>
      </c>
      <c r="H1771" s="387">
        <v>5</v>
      </c>
      <c r="I1771" s="388">
        <v>0.67</v>
      </c>
      <c r="J1771" s="389">
        <f t="shared" si="240"/>
        <v>3.35</v>
      </c>
      <c r="K1771" s="218">
        <f t="shared" si="250"/>
        <v>0.51590000000000003</v>
      </c>
      <c r="L1771" s="219">
        <f t="shared" si="251"/>
        <v>0</v>
      </c>
      <c r="M1771" s="219">
        <f t="shared" si="252"/>
        <v>0</v>
      </c>
      <c r="N1771" s="219">
        <f t="shared" si="253"/>
        <v>0</v>
      </c>
      <c r="O1771" s="219">
        <f t="shared" si="254"/>
        <v>0</v>
      </c>
      <c r="P1771" s="219">
        <f t="shared" si="255"/>
        <v>0</v>
      </c>
      <c r="Q1771" s="563">
        <f t="shared" si="256"/>
        <v>0</v>
      </c>
      <c r="R1771" s="220"/>
      <c r="T1771" s="82"/>
      <c r="U1771" s="82"/>
      <c r="V1771" s="82"/>
      <c r="W1771" s="82"/>
      <c r="X1771" s="82"/>
      <c r="Y1771" s="82"/>
      <c r="Z1771" s="82"/>
      <c r="AA1771" s="82"/>
      <c r="AB1771" s="82"/>
    </row>
    <row r="1772" spans="1:28" s="85" customFormat="1" x14ac:dyDescent="0.25">
      <c r="A1772" s="82"/>
      <c r="B1772" s="82"/>
      <c r="C1772" s="82"/>
      <c r="D1772" s="729"/>
      <c r="E1772" s="371" t="s">
        <v>49</v>
      </c>
      <c r="F1772" s="372">
        <v>9</v>
      </c>
      <c r="G1772" s="373">
        <v>6</v>
      </c>
      <c r="H1772" s="374">
        <v>5</v>
      </c>
      <c r="I1772" s="375">
        <v>0.54</v>
      </c>
      <c r="J1772" s="376">
        <f t="shared" si="240"/>
        <v>3.24</v>
      </c>
      <c r="K1772" s="66">
        <f t="shared" si="250"/>
        <v>0.49896000000000001</v>
      </c>
      <c r="L1772" s="63">
        <f t="shared" si="251"/>
        <v>0</v>
      </c>
      <c r="M1772" s="63">
        <f t="shared" si="252"/>
        <v>0</v>
      </c>
      <c r="N1772" s="63">
        <f t="shared" si="253"/>
        <v>0</v>
      </c>
      <c r="O1772" s="63">
        <f t="shared" si="254"/>
        <v>0</v>
      </c>
      <c r="P1772" s="63">
        <f t="shared" si="255"/>
        <v>0</v>
      </c>
      <c r="Q1772" s="561">
        <f t="shared" si="256"/>
        <v>0</v>
      </c>
      <c r="R1772" s="174"/>
      <c r="T1772" s="82"/>
      <c r="U1772" s="82"/>
      <c r="V1772" s="82"/>
      <c r="W1772" s="82"/>
      <c r="X1772" s="82"/>
      <c r="Y1772" s="82"/>
      <c r="Z1772" s="82"/>
      <c r="AA1772" s="82"/>
      <c r="AB1772" s="82"/>
    </row>
    <row r="1773" spans="1:28" s="85" customFormat="1" x14ac:dyDescent="0.25">
      <c r="A1773" s="82"/>
      <c r="B1773" s="82"/>
      <c r="C1773" s="82"/>
      <c r="D1773" s="729"/>
      <c r="E1773" s="371" t="s">
        <v>49</v>
      </c>
      <c r="F1773" s="372">
        <v>12</v>
      </c>
      <c r="G1773" s="373">
        <v>4</v>
      </c>
      <c r="H1773" s="374">
        <v>10</v>
      </c>
      <c r="I1773" s="375">
        <v>1.27</v>
      </c>
      <c r="J1773" s="376">
        <f t="shared" si="240"/>
        <v>5.08</v>
      </c>
      <c r="K1773" s="66">
        <f t="shared" si="250"/>
        <v>0</v>
      </c>
      <c r="L1773" s="63">
        <f t="shared" si="251"/>
        <v>0</v>
      </c>
      <c r="M1773" s="63">
        <f t="shared" si="252"/>
        <v>0</v>
      </c>
      <c r="N1773" s="63">
        <f t="shared" si="253"/>
        <v>3.13436</v>
      </c>
      <c r="O1773" s="63">
        <f t="shared" si="254"/>
        <v>0</v>
      </c>
      <c r="P1773" s="63">
        <f t="shared" si="255"/>
        <v>0</v>
      </c>
      <c r="Q1773" s="561">
        <f t="shared" si="256"/>
        <v>0</v>
      </c>
      <c r="R1773" s="174"/>
      <c r="T1773" s="82"/>
      <c r="U1773" s="82"/>
      <c r="V1773" s="82"/>
      <c r="W1773" s="82"/>
      <c r="X1773" s="82"/>
      <c r="Y1773" s="82"/>
      <c r="Z1773" s="82"/>
      <c r="AA1773" s="82"/>
      <c r="AB1773" s="82"/>
    </row>
    <row r="1774" spans="1:28" s="85" customFormat="1" x14ac:dyDescent="0.25">
      <c r="A1774" s="82"/>
      <c r="B1774" s="82"/>
      <c r="C1774" s="82"/>
      <c r="D1774" s="729"/>
      <c r="E1774" s="371" t="s">
        <v>49</v>
      </c>
      <c r="F1774" s="372"/>
      <c r="G1774" s="373"/>
      <c r="H1774" s="374"/>
      <c r="I1774" s="375"/>
      <c r="J1774" s="376">
        <f t="shared" si="240"/>
        <v>0</v>
      </c>
      <c r="K1774" s="66">
        <f t="shared" si="250"/>
        <v>0</v>
      </c>
      <c r="L1774" s="63">
        <f t="shared" si="251"/>
        <v>0</v>
      </c>
      <c r="M1774" s="63">
        <f t="shared" si="252"/>
        <v>0</v>
      </c>
      <c r="N1774" s="63">
        <f t="shared" si="253"/>
        <v>0</v>
      </c>
      <c r="O1774" s="63">
        <f t="shared" si="254"/>
        <v>0</v>
      </c>
      <c r="P1774" s="63">
        <f t="shared" si="255"/>
        <v>0</v>
      </c>
      <c r="Q1774" s="561">
        <f t="shared" si="256"/>
        <v>0</v>
      </c>
      <c r="R1774" s="174"/>
      <c r="T1774" s="82"/>
      <c r="U1774" s="82"/>
      <c r="V1774" s="82"/>
      <c r="W1774" s="82"/>
      <c r="X1774" s="82"/>
      <c r="Y1774" s="82"/>
      <c r="Z1774" s="82"/>
      <c r="AA1774" s="82"/>
      <c r="AB1774" s="82"/>
    </row>
    <row r="1775" spans="1:28" s="85" customFormat="1" x14ac:dyDescent="0.25">
      <c r="A1775" s="82"/>
      <c r="B1775" s="82"/>
      <c r="C1775" s="82"/>
      <c r="D1775" s="729"/>
      <c r="E1775" s="371" t="s">
        <v>113</v>
      </c>
      <c r="F1775" s="372">
        <v>8</v>
      </c>
      <c r="G1775" s="373">
        <v>14</v>
      </c>
      <c r="H1775" s="374">
        <v>5</v>
      </c>
      <c r="I1775" s="375">
        <v>0.67</v>
      </c>
      <c r="J1775" s="376">
        <f t="shared" si="240"/>
        <v>9.3800000000000008</v>
      </c>
      <c r="K1775" s="66">
        <f t="shared" si="250"/>
        <v>1.44452</v>
      </c>
      <c r="L1775" s="63">
        <f t="shared" si="251"/>
        <v>0</v>
      </c>
      <c r="M1775" s="63">
        <f t="shared" si="252"/>
        <v>0</v>
      </c>
      <c r="N1775" s="63">
        <f t="shared" si="253"/>
        <v>0</v>
      </c>
      <c r="O1775" s="63">
        <f t="shared" si="254"/>
        <v>0</v>
      </c>
      <c r="P1775" s="63">
        <f t="shared" si="255"/>
        <v>0</v>
      </c>
      <c r="Q1775" s="561">
        <f t="shared" si="256"/>
        <v>0</v>
      </c>
      <c r="R1775" s="174"/>
      <c r="T1775" s="82"/>
      <c r="U1775" s="82"/>
      <c r="V1775" s="82"/>
      <c r="W1775" s="82"/>
      <c r="X1775" s="82"/>
      <c r="Y1775" s="82"/>
      <c r="Z1775" s="82"/>
      <c r="AA1775" s="82"/>
      <c r="AB1775" s="82"/>
    </row>
    <row r="1776" spans="1:28" s="85" customFormat="1" x14ac:dyDescent="0.25">
      <c r="A1776" s="82"/>
      <c r="B1776" s="82"/>
      <c r="C1776" s="82"/>
      <c r="D1776" s="729"/>
      <c r="E1776" s="371" t="s">
        <v>113</v>
      </c>
      <c r="F1776" s="372">
        <v>9</v>
      </c>
      <c r="G1776" s="373">
        <v>6</v>
      </c>
      <c r="H1776" s="374">
        <v>5</v>
      </c>
      <c r="I1776" s="375">
        <v>0.54</v>
      </c>
      <c r="J1776" s="376">
        <f t="shared" si="240"/>
        <v>3.24</v>
      </c>
      <c r="K1776" s="66">
        <f t="shared" si="250"/>
        <v>0.49896000000000001</v>
      </c>
      <c r="L1776" s="63">
        <f t="shared" si="251"/>
        <v>0</v>
      </c>
      <c r="M1776" s="63">
        <f t="shared" si="252"/>
        <v>0</v>
      </c>
      <c r="N1776" s="63">
        <f t="shared" si="253"/>
        <v>0</v>
      </c>
      <c r="O1776" s="63">
        <f t="shared" si="254"/>
        <v>0</v>
      </c>
      <c r="P1776" s="63">
        <f t="shared" si="255"/>
        <v>0</v>
      </c>
      <c r="Q1776" s="561">
        <f t="shared" si="256"/>
        <v>0</v>
      </c>
      <c r="R1776" s="174"/>
      <c r="T1776" s="82"/>
      <c r="U1776" s="82"/>
      <c r="V1776" s="82"/>
      <c r="W1776" s="82"/>
      <c r="X1776" s="82"/>
      <c r="Y1776" s="82"/>
      <c r="Z1776" s="82"/>
      <c r="AA1776" s="82"/>
      <c r="AB1776" s="82"/>
    </row>
    <row r="1777" spans="1:28" s="85" customFormat="1" ht="13.8" thickBot="1" x14ac:dyDescent="0.3">
      <c r="A1777" s="82"/>
      <c r="B1777" s="82"/>
      <c r="C1777" s="82"/>
      <c r="D1777" s="729"/>
      <c r="E1777" s="371" t="s">
        <v>113</v>
      </c>
      <c r="F1777" s="372">
        <v>25</v>
      </c>
      <c r="G1777" s="373">
        <v>4</v>
      </c>
      <c r="H1777" s="374">
        <v>10</v>
      </c>
      <c r="I1777" s="375">
        <v>1.87</v>
      </c>
      <c r="J1777" s="376">
        <f t="shared" si="240"/>
        <v>7.48</v>
      </c>
      <c r="K1777" s="66">
        <f t="shared" si="250"/>
        <v>0</v>
      </c>
      <c r="L1777" s="63">
        <f t="shared" si="251"/>
        <v>0</v>
      </c>
      <c r="M1777" s="63">
        <f t="shared" si="252"/>
        <v>0</v>
      </c>
      <c r="N1777" s="63">
        <f t="shared" si="253"/>
        <v>4.6151600000000004</v>
      </c>
      <c r="O1777" s="63">
        <f t="shared" si="254"/>
        <v>0</v>
      </c>
      <c r="P1777" s="63">
        <f t="shared" si="255"/>
        <v>0</v>
      </c>
      <c r="Q1777" s="561">
        <f t="shared" si="256"/>
        <v>0</v>
      </c>
      <c r="R1777" s="174"/>
      <c r="T1777" s="82"/>
      <c r="U1777" s="82"/>
      <c r="V1777" s="82"/>
      <c r="W1777" s="82"/>
      <c r="X1777" s="82"/>
      <c r="Y1777" s="82"/>
      <c r="Z1777" s="82"/>
      <c r="AA1777" s="82"/>
      <c r="AB1777" s="82"/>
    </row>
    <row r="1778" spans="1:28" s="85" customFormat="1" ht="13.8" thickTop="1" x14ac:dyDescent="0.25">
      <c r="A1778" s="82"/>
      <c r="B1778" s="82"/>
      <c r="C1778" s="82"/>
      <c r="D1778" s="728" t="s">
        <v>2218</v>
      </c>
      <c r="E1778" s="384" t="s">
        <v>49</v>
      </c>
      <c r="F1778" s="385">
        <v>4</v>
      </c>
      <c r="G1778" s="386">
        <v>14</v>
      </c>
      <c r="H1778" s="387">
        <v>5</v>
      </c>
      <c r="I1778" s="388">
        <v>0.49</v>
      </c>
      <c r="J1778" s="389">
        <f t="shared" si="240"/>
        <v>6.8599999999999994</v>
      </c>
      <c r="K1778" s="218">
        <f t="shared" si="250"/>
        <v>1.0564399999999998</v>
      </c>
      <c r="L1778" s="219">
        <f t="shared" si="251"/>
        <v>0</v>
      </c>
      <c r="M1778" s="219">
        <f t="shared" si="252"/>
        <v>0</v>
      </c>
      <c r="N1778" s="219">
        <f t="shared" si="253"/>
        <v>0</v>
      </c>
      <c r="O1778" s="219">
        <f t="shared" si="254"/>
        <v>0</v>
      </c>
      <c r="P1778" s="219">
        <f t="shared" si="255"/>
        <v>0</v>
      </c>
      <c r="Q1778" s="563">
        <f t="shared" si="256"/>
        <v>0</v>
      </c>
      <c r="R1778" s="220"/>
      <c r="T1778" s="82"/>
      <c r="U1778" s="82"/>
      <c r="V1778" s="82"/>
      <c r="W1778" s="82"/>
      <c r="X1778" s="82"/>
      <c r="Y1778" s="82"/>
      <c r="Z1778" s="82"/>
      <c r="AA1778" s="82"/>
      <c r="AB1778" s="82"/>
    </row>
    <row r="1779" spans="1:28" s="85" customFormat="1" x14ac:dyDescent="0.25">
      <c r="A1779" s="82"/>
      <c r="B1779" s="82"/>
      <c r="C1779" s="82"/>
      <c r="D1779" s="729"/>
      <c r="E1779" s="371" t="s">
        <v>49</v>
      </c>
      <c r="F1779" s="372">
        <v>12</v>
      </c>
      <c r="G1779" s="373">
        <v>10</v>
      </c>
      <c r="H1779" s="374">
        <v>10</v>
      </c>
      <c r="I1779" s="375">
        <v>1.27</v>
      </c>
      <c r="J1779" s="376">
        <f t="shared" si="240"/>
        <v>12.7</v>
      </c>
      <c r="K1779" s="66">
        <f t="shared" si="250"/>
        <v>0</v>
      </c>
      <c r="L1779" s="63">
        <f t="shared" si="251"/>
        <v>0</v>
      </c>
      <c r="M1779" s="63">
        <f t="shared" si="252"/>
        <v>0</v>
      </c>
      <c r="N1779" s="63">
        <f t="shared" si="253"/>
        <v>7.8358999999999996</v>
      </c>
      <c r="O1779" s="63">
        <f t="shared" si="254"/>
        <v>0</v>
      </c>
      <c r="P1779" s="63">
        <f t="shared" si="255"/>
        <v>0</v>
      </c>
      <c r="Q1779" s="561">
        <f t="shared" si="256"/>
        <v>0</v>
      </c>
      <c r="R1779" s="174"/>
      <c r="T1779" s="82"/>
      <c r="U1779" s="82"/>
      <c r="V1779" s="82"/>
      <c r="W1779" s="82"/>
      <c r="X1779" s="82"/>
      <c r="Y1779" s="82"/>
      <c r="Z1779" s="82"/>
      <c r="AA1779" s="82"/>
      <c r="AB1779" s="82"/>
    </row>
    <row r="1780" spans="1:28" s="85" customFormat="1" x14ac:dyDescent="0.25">
      <c r="A1780" s="82"/>
      <c r="B1780" s="82"/>
      <c r="C1780" s="82"/>
      <c r="D1780" s="729"/>
      <c r="E1780" s="371" t="s">
        <v>113</v>
      </c>
      <c r="F1780" s="372">
        <v>4</v>
      </c>
      <c r="G1780" s="373">
        <v>18</v>
      </c>
      <c r="H1780" s="374">
        <v>5</v>
      </c>
      <c r="I1780" s="375">
        <v>0.67</v>
      </c>
      <c r="J1780" s="376">
        <f t="shared" si="240"/>
        <v>12.06</v>
      </c>
      <c r="K1780" s="66">
        <f t="shared" si="250"/>
        <v>1.85724</v>
      </c>
      <c r="L1780" s="63">
        <f t="shared" si="251"/>
        <v>0</v>
      </c>
      <c r="M1780" s="63">
        <f t="shared" si="252"/>
        <v>0</v>
      </c>
      <c r="N1780" s="63">
        <f t="shared" si="253"/>
        <v>0</v>
      </c>
      <c r="O1780" s="63">
        <f t="shared" si="254"/>
        <v>0</v>
      </c>
      <c r="P1780" s="63">
        <f t="shared" si="255"/>
        <v>0</v>
      </c>
      <c r="Q1780" s="561">
        <f t="shared" si="256"/>
        <v>0</v>
      </c>
      <c r="R1780" s="174"/>
      <c r="T1780" s="82"/>
      <c r="U1780" s="82"/>
      <c r="V1780" s="82"/>
      <c r="W1780" s="82"/>
      <c r="X1780" s="82"/>
      <c r="Y1780" s="82"/>
      <c r="Z1780" s="82"/>
      <c r="AA1780" s="82"/>
      <c r="AB1780" s="82"/>
    </row>
    <row r="1781" spans="1:28" s="85" customFormat="1" x14ac:dyDescent="0.25">
      <c r="A1781" s="82"/>
      <c r="B1781" s="82"/>
      <c r="C1781" s="82"/>
      <c r="D1781" s="729"/>
      <c r="E1781" s="371" t="s">
        <v>113</v>
      </c>
      <c r="F1781" s="372">
        <v>5</v>
      </c>
      <c r="G1781" s="373">
        <v>6</v>
      </c>
      <c r="H1781" s="374">
        <v>5</v>
      </c>
      <c r="I1781" s="375">
        <v>0.49</v>
      </c>
      <c r="J1781" s="376">
        <f t="shared" si="240"/>
        <v>2.94</v>
      </c>
      <c r="K1781" s="66">
        <f t="shared" si="250"/>
        <v>0.45276</v>
      </c>
      <c r="L1781" s="63">
        <f t="shared" si="251"/>
        <v>0</v>
      </c>
      <c r="M1781" s="63">
        <f t="shared" si="252"/>
        <v>0</v>
      </c>
      <c r="N1781" s="63">
        <f t="shared" si="253"/>
        <v>0</v>
      </c>
      <c r="O1781" s="63">
        <f t="shared" si="254"/>
        <v>0</v>
      </c>
      <c r="P1781" s="63">
        <f t="shared" si="255"/>
        <v>0</v>
      </c>
      <c r="Q1781" s="561">
        <f t="shared" si="256"/>
        <v>0</v>
      </c>
      <c r="R1781" s="174"/>
      <c r="T1781" s="82"/>
      <c r="U1781" s="82"/>
      <c r="V1781" s="82"/>
      <c r="W1781" s="82"/>
      <c r="X1781" s="82"/>
      <c r="Y1781" s="82"/>
      <c r="Z1781" s="82"/>
      <c r="AA1781" s="82"/>
      <c r="AB1781" s="82"/>
    </row>
    <row r="1782" spans="1:28" s="85" customFormat="1" ht="13.8" thickBot="1" x14ac:dyDescent="0.3">
      <c r="A1782" s="82"/>
      <c r="B1782" s="82"/>
      <c r="C1782" s="82"/>
      <c r="D1782" s="729"/>
      <c r="E1782" s="371" t="s">
        <v>113</v>
      </c>
      <c r="F1782" s="372">
        <v>24</v>
      </c>
      <c r="G1782" s="373">
        <v>10</v>
      </c>
      <c r="H1782" s="374">
        <v>10</v>
      </c>
      <c r="I1782" s="375">
        <v>2.3199999999999998</v>
      </c>
      <c r="J1782" s="376">
        <f t="shared" si="240"/>
        <v>23.2</v>
      </c>
      <c r="K1782" s="66">
        <f t="shared" si="250"/>
        <v>0</v>
      </c>
      <c r="L1782" s="63">
        <f t="shared" si="251"/>
        <v>0</v>
      </c>
      <c r="M1782" s="63">
        <f t="shared" si="252"/>
        <v>0</v>
      </c>
      <c r="N1782" s="63">
        <f t="shared" si="253"/>
        <v>14.314399999999999</v>
      </c>
      <c r="O1782" s="63">
        <f t="shared" si="254"/>
        <v>0</v>
      </c>
      <c r="P1782" s="63">
        <f t="shared" si="255"/>
        <v>0</v>
      </c>
      <c r="Q1782" s="561">
        <f t="shared" si="256"/>
        <v>0</v>
      </c>
      <c r="R1782" s="174"/>
      <c r="T1782" s="82"/>
      <c r="U1782" s="82"/>
      <c r="V1782" s="82"/>
      <c r="W1782" s="82"/>
      <c r="X1782" s="82"/>
      <c r="Y1782" s="82"/>
      <c r="Z1782" s="82"/>
      <c r="AA1782" s="82"/>
      <c r="AB1782" s="82"/>
    </row>
    <row r="1783" spans="1:28" s="85" customFormat="1" ht="13.8" thickTop="1" x14ac:dyDescent="0.25">
      <c r="A1783" s="82"/>
      <c r="B1783" s="82"/>
      <c r="C1783" s="82"/>
      <c r="D1783" s="728" t="s">
        <v>2219</v>
      </c>
      <c r="E1783" s="384" t="s">
        <v>49</v>
      </c>
      <c r="F1783" s="385">
        <v>4</v>
      </c>
      <c r="G1783" s="386">
        <v>6</v>
      </c>
      <c r="H1783" s="387">
        <v>5</v>
      </c>
      <c r="I1783" s="388">
        <v>0.49</v>
      </c>
      <c r="J1783" s="389">
        <f t="shared" si="240"/>
        <v>2.94</v>
      </c>
      <c r="K1783" s="218">
        <f t="shared" ref="K1783:K1811" si="257">IF($H1783=5,$J1783*$B$21,0)</f>
        <v>0.45276</v>
      </c>
      <c r="L1783" s="219">
        <f t="shared" ref="L1783:L1811" si="258">IF($H1783=6.3,$J1783*$B$22,0)</f>
        <v>0</v>
      </c>
      <c r="M1783" s="219">
        <f t="shared" ref="M1783:M1811" si="259">IF($H1783=8,$J1783*$B$23,0)</f>
        <v>0</v>
      </c>
      <c r="N1783" s="219">
        <f t="shared" ref="N1783:N1811" si="260">IF($H1783=10,$J1783*$B$24,0)</f>
        <v>0</v>
      </c>
      <c r="O1783" s="219">
        <f t="shared" ref="O1783:O1811" si="261">IF($H1783=12.5,$J1783*$B$26,0)</f>
        <v>0</v>
      </c>
      <c r="P1783" s="219">
        <f t="shared" ref="P1783:P1811" si="262">IF($H1783=16,$J1783*$B$27,0)</f>
        <v>0</v>
      </c>
      <c r="Q1783" s="563">
        <f t="shared" si="256"/>
        <v>0</v>
      </c>
      <c r="R1783" s="220"/>
      <c r="T1783" s="82"/>
      <c r="U1783" s="82"/>
      <c r="V1783" s="82"/>
      <c r="W1783" s="82"/>
      <c r="X1783" s="82"/>
      <c r="Y1783" s="82"/>
      <c r="Z1783" s="82"/>
      <c r="AA1783" s="82"/>
      <c r="AB1783" s="82"/>
    </row>
    <row r="1784" spans="1:28" s="85" customFormat="1" x14ac:dyDescent="0.25">
      <c r="A1784" s="82"/>
      <c r="B1784" s="82"/>
      <c r="C1784" s="82"/>
      <c r="D1784" s="729"/>
      <c r="E1784" s="371" t="s">
        <v>49</v>
      </c>
      <c r="F1784" s="372">
        <v>5</v>
      </c>
      <c r="G1784" s="373">
        <v>5</v>
      </c>
      <c r="H1784" s="374">
        <v>5</v>
      </c>
      <c r="I1784" s="375">
        <v>0.67</v>
      </c>
      <c r="J1784" s="376">
        <f t="shared" si="240"/>
        <v>3.35</v>
      </c>
      <c r="K1784" s="66">
        <f t="shared" si="257"/>
        <v>0.51590000000000003</v>
      </c>
      <c r="L1784" s="63">
        <f t="shared" si="258"/>
        <v>0</v>
      </c>
      <c r="M1784" s="63">
        <f t="shared" si="259"/>
        <v>0</v>
      </c>
      <c r="N1784" s="63">
        <f t="shared" si="260"/>
        <v>0</v>
      </c>
      <c r="O1784" s="63">
        <f t="shared" si="261"/>
        <v>0</v>
      </c>
      <c r="P1784" s="63">
        <f t="shared" si="262"/>
        <v>0</v>
      </c>
      <c r="Q1784" s="561">
        <f t="shared" si="256"/>
        <v>0</v>
      </c>
      <c r="R1784" s="174"/>
      <c r="T1784" s="82"/>
      <c r="U1784" s="82"/>
      <c r="V1784" s="82"/>
      <c r="W1784" s="82"/>
      <c r="X1784" s="82"/>
      <c r="Y1784" s="82"/>
      <c r="Z1784" s="82"/>
      <c r="AA1784" s="82"/>
      <c r="AB1784" s="82"/>
    </row>
    <row r="1785" spans="1:28" s="85" customFormat="1" x14ac:dyDescent="0.25">
      <c r="A1785" s="82"/>
      <c r="B1785" s="82"/>
      <c r="C1785" s="82"/>
      <c r="D1785" s="729"/>
      <c r="E1785" s="371" t="s">
        <v>49</v>
      </c>
      <c r="F1785" s="372">
        <v>12</v>
      </c>
      <c r="G1785" s="373">
        <v>10</v>
      </c>
      <c r="H1785" s="374">
        <v>10</v>
      </c>
      <c r="I1785" s="375">
        <v>1.27</v>
      </c>
      <c r="J1785" s="376">
        <f t="shared" si="240"/>
        <v>12.7</v>
      </c>
      <c r="K1785" s="66">
        <f t="shared" si="257"/>
        <v>0</v>
      </c>
      <c r="L1785" s="63">
        <f t="shared" si="258"/>
        <v>0</v>
      </c>
      <c r="M1785" s="63">
        <f t="shared" si="259"/>
        <v>0</v>
      </c>
      <c r="N1785" s="63">
        <f t="shared" si="260"/>
        <v>7.8358999999999996</v>
      </c>
      <c r="O1785" s="63">
        <f t="shared" si="261"/>
        <v>0</v>
      </c>
      <c r="P1785" s="63">
        <f t="shared" si="262"/>
        <v>0</v>
      </c>
      <c r="Q1785" s="561">
        <f t="shared" si="256"/>
        <v>0</v>
      </c>
      <c r="R1785" s="174"/>
      <c r="T1785" s="82"/>
      <c r="U1785" s="82"/>
      <c r="V1785" s="82"/>
      <c r="W1785" s="82"/>
      <c r="X1785" s="82"/>
      <c r="Y1785" s="82"/>
      <c r="Z1785" s="82"/>
      <c r="AA1785" s="82"/>
      <c r="AB1785" s="82"/>
    </row>
    <row r="1786" spans="1:28" s="85" customFormat="1" x14ac:dyDescent="0.25">
      <c r="A1786" s="82"/>
      <c r="B1786" s="82"/>
      <c r="C1786" s="82"/>
      <c r="D1786" s="729"/>
      <c r="E1786" s="371" t="s">
        <v>49</v>
      </c>
      <c r="F1786" s="372"/>
      <c r="G1786" s="373"/>
      <c r="H1786" s="374"/>
      <c r="I1786" s="375"/>
      <c r="J1786" s="376">
        <f t="shared" si="240"/>
        <v>0</v>
      </c>
      <c r="K1786" s="66">
        <f t="shared" si="257"/>
        <v>0</v>
      </c>
      <c r="L1786" s="63">
        <f t="shared" si="258"/>
        <v>0</v>
      </c>
      <c r="M1786" s="63">
        <f t="shared" si="259"/>
        <v>0</v>
      </c>
      <c r="N1786" s="63">
        <f t="shared" si="260"/>
        <v>0</v>
      </c>
      <c r="O1786" s="63">
        <f t="shared" si="261"/>
        <v>0</v>
      </c>
      <c r="P1786" s="63">
        <f t="shared" si="262"/>
        <v>0</v>
      </c>
      <c r="Q1786" s="561">
        <f t="shared" si="256"/>
        <v>0</v>
      </c>
      <c r="R1786" s="174"/>
      <c r="T1786" s="82"/>
      <c r="U1786" s="82"/>
      <c r="V1786" s="82"/>
      <c r="W1786" s="82"/>
      <c r="X1786" s="82"/>
      <c r="Y1786" s="82"/>
      <c r="Z1786" s="82"/>
      <c r="AA1786" s="82"/>
      <c r="AB1786" s="82"/>
    </row>
    <row r="1787" spans="1:28" s="85" customFormat="1" x14ac:dyDescent="0.25">
      <c r="A1787" s="82"/>
      <c r="B1787" s="82"/>
      <c r="C1787" s="82"/>
      <c r="D1787" s="729"/>
      <c r="E1787" s="371" t="s">
        <v>113</v>
      </c>
      <c r="F1787" s="372">
        <v>4</v>
      </c>
      <c r="G1787" s="373">
        <v>5</v>
      </c>
      <c r="H1787" s="374">
        <v>5</v>
      </c>
      <c r="I1787" s="375">
        <v>0.67</v>
      </c>
      <c r="J1787" s="376">
        <f t="shared" si="240"/>
        <v>3.35</v>
      </c>
      <c r="K1787" s="66">
        <f t="shared" si="257"/>
        <v>0.51590000000000003</v>
      </c>
      <c r="L1787" s="63">
        <f t="shared" si="258"/>
        <v>0</v>
      </c>
      <c r="M1787" s="63">
        <f t="shared" si="259"/>
        <v>0</v>
      </c>
      <c r="N1787" s="63">
        <f t="shared" si="260"/>
        <v>0</v>
      </c>
      <c r="O1787" s="63">
        <f t="shared" si="261"/>
        <v>0</v>
      </c>
      <c r="P1787" s="63">
        <f t="shared" si="262"/>
        <v>0</v>
      </c>
      <c r="Q1787" s="561">
        <f t="shared" si="256"/>
        <v>0</v>
      </c>
      <c r="R1787" s="174"/>
      <c r="T1787" s="82"/>
      <c r="U1787" s="82"/>
      <c r="V1787" s="82"/>
      <c r="W1787" s="82"/>
      <c r="X1787" s="82"/>
      <c r="Y1787" s="82"/>
      <c r="Z1787" s="82"/>
      <c r="AA1787" s="82"/>
      <c r="AB1787" s="82"/>
    </row>
    <row r="1788" spans="1:28" s="85" customFormat="1" x14ac:dyDescent="0.25">
      <c r="A1788" s="82"/>
      <c r="B1788" s="82"/>
      <c r="C1788" s="82"/>
      <c r="D1788" s="729"/>
      <c r="E1788" s="371" t="s">
        <v>113</v>
      </c>
      <c r="F1788" s="372">
        <v>5</v>
      </c>
      <c r="G1788" s="373">
        <v>26</v>
      </c>
      <c r="H1788" s="374">
        <v>5</v>
      </c>
      <c r="I1788" s="375">
        <v>0.49</v>
      </c>
      <c r="J1788" s="376">
        <f t="shared" si="240"/>
        <v>12.74</v>
      </c>
      <c r="K1788" s="66">
        <f t="shared" si="257"/>
        <v>1.9619599999999999</v>
      </c>
      <c r="L1788" s="63">
        <f t="shared" si="258"/>
        <v>0</v>
      </c>
      <c r="M1788" s="63">
        <f t="shared" si="259"/>
        <v>0</v>
      </c>
      <c r="N1788" s="63">
        <f t="shared" si="260"/>
        <v>0</v>
      </c>
      <c r="O1788" s="63">
        <f t="shared" si="261"/>
        <v>0</v>
      </c>
      <c r="P1788" s="63">
        <f t="shared" si="262"/>
        <v>0</v>
      </c>
      <c r="Q1788" s="561">
        <f t="shared" si="256"/>
        <v>0</v>
      </c>
      <c r="R1788" s="174"/>
      <c r="T1788" s="82"/>
      <c r="U1788" s="82"/>
      <c r="V1788" s="82"/>
      <c r="W1788" s="82"/>
      <c r="X1788" s="82"/>
      <c r="Y1788" s="82"/>
      <c r="Z1788" s="82"/>
      <c r="AA1788" s="82"/>
      <c r="AB1788" s="82"/>
    </row>
    <row r="1789" spans="1:28" s="85" customFormat="1" ht="13.8" thickBot="1" x14ac:dyDescent="0.3">
      <c r="A1789" s="82"/>
      <c r="B1789" s="82"/>
      <c r="C1789" s="82"/>
      <c r="D1789" s="729"/>
      <c r="E1789" s="371" t="s">
        <v>113</v>
      </c>
      <c r="F1789" s="372">
        <v>26</v>
      </c>
      <c r="G1789" s="373">
        <v>10</v>
      </c>
      <c r="H1789" s="374">
        <v>10</v>
      </c>
      <c r="I1789" s="375">
        <v>2.0699999999999998</v>
      </c>
      <c r="J1789" s="376">
        <f t="shared" si="240"/>
        <v>20.7</v>
      </c>
      <c r="K1789" s="66">
        <f t="shared" si="257"/>
        <v>0</v>
      </c>
      <c r="L1789" s="63">
        <f t="shared" si="258"/>
        <v>0</v>
      </c>
      <c r="M1789" s="63">
        <f t="shared" si="259"/>
        <v>0</v>
      </c>
      <c r="N1789" s="63">
        <f t="shared" si="260"/>
        <v>12.771899999999999</v>
      </c>
      <c r="O1789" s="63">
        <f t="shared" si="261"/>
        <v>0</v>
      </c>
      <c r="P1789" s="63">
        <f t="shared" si="262"/>
        <v>0</v>
      </c>
      <c r="Q1789" s="561">
        <f t="shared" si="256"/>
        <v>0</v>
      </c>
      <c r="R1789" s="174"/>
      <c r="T1789" s="82"/>
      <c r="U1789" s="82"/>
      <c r="V1789" s="82"/>
      <c r="W1789" s="82"/>
      <c r="X1789" s="82"/>
      <c r="Y1789" s="82"/>
      <c r="Z1789" s="82"/>
      <c r="AA1789" s="82"/>
      <c r="AB1789" s="82"/>
    </row>
    <row r="1790" spans="1:28" s="85" customFormat="1" ht="13.8" thickTop="1" x14ac:dyDescent="0.25">
      <c r="A1790" s="82"/>
      <c r="B1790" s="82"/>
      <c r="C1790" s="82"/>
      <c r="D1790" s="728" t="s">
        <v>2220</v>
      </c>
      <c r="E1790" s="384" t="s">
        <v>49</v>
      </c>
      <c r="F1790" s="385">
        <v>9</v>
      </c>
      <c r="G1790" s="386">
        <f>4*14</f>
        <v>56</v>
      </c>
      <c r="H1790" s="387">
        <v>5</v>
      </c>
      <c r="I1790" s="388">
        <v>0.54</v>
      </c>
      <c r="J1790" s="389">
        <f t="shared" si="240"/>
        <v>30.240000000000002</v>
      </c>
      <c r="K1790" s="218">
        <f t="shared" si="257"/>
        <v>4.6569600000000007</v>
      </c>
      <c r="L1790" s="219">
        <f t="shared" si="258"/>
        <v>0</v>
      </c>
      <c r="M1790" s="219">
        <f t="shared" si="259"/>
        <v>0</v>
      </c>
      <c r="N1790" s="219">
        <f t="shared" si="260"/>
        <v>0</v>
      </c>
      <c r="O1790" s="219">
        <f t="shared" si="261"/>
        <v>0</v>
      </c>
      <c r="P1790" s="219">
        <f t="shared" si="262"/>
        <v>0</v>
      </c>
      <c r="Q1790" s="563">
        <f t="shared" si="256"/>
        <v>0</v>
      </c>
      <c r="R1790" s="220"/>
      <c r="T1790" s="82"/>
      <c r="U1790" s="82"/>
      <c r="V1790" s="82"/>
      <c r="W1790" s="82"/>
      <c r="X1790" s="82"/>
      <c r="Y1790" s="82"/>
      <c r="Z1790" s="82"/>
      <c r="AA1790" s="82"/>
      <c r="AB1790" s="82"/>
    </row>
    <row r="1791" spans="1:28" s="85" customFormat="1" x14ac:dyDescent="0.25">
      <c r="A1791" s="82"/>
      <c r="B1791" s="82"/>
      <c r="C1791" s="82"/>
      <c r="D1791" s="729"/>
      <c r="E1791" s="371" t="s">
        <v>49</v>
      </c>
      <c r="F1791" s="372">
        <v>12</v>
      </c>
      <c r="G1791" s="373">
        <f>4*4</f>
        <v>16</v>
      </c>
      <c r="H1791" s="374">
        <v>10</v>
      </c>
      <c r="I1791" s="375">
        <v>1.27</v>
      </c>
      <c r="J1791" s="376">
        <f t="shared" si="240"/>
        <v>20.32</v>
      </c>
      <c r="K1791" s="66">
        <f t="shared" si="257"/>
        <v>0</v>
      </c>
      <c r="L1791" s="63">
        <f t="shared" si="258"/>
        <v>0</v>
      </c>
      <c r="M1791" s="63">
        <f t="shared" si="259"/>
        <v>0</v>
      </c>
      <c r="N1791" s="63">
        <f t="shared" si="260"/>
        <v>12.53744</v>
      </c>
      <c r="O1791" s="63">
        <f t="shared" si="261"/>
        <v>0</v>
      </c>
      <c r="P1791" s="63">
        <f t="shared" si="262"/>
        <v>0</v>
      </c>
      <c r="Q1791" s="561">
        <f t="shared" si="256"/>
        <v>0</v>
      </c>
      <c r="R1791" s="174"/>
      <c r="T1791" s="82"/>
      <c r="U1791" s="82"/>
      <c r="V1791" s="82"/>
      <c r="W1791" s="82"/>
      <c r="X1791" s="82"/>
      <c r="Y1791" s="82"/>
      <c r="Z1791" s="82"/>
      <c r="AA1791" s="82"/>
      <c r="AB1791" s="82"/>
    </row>
    <row r="1792" spans="1:28" s="85" customFormat="1" x14ac:dyDescent="0.25">
      <c r="A1792" s="82"/>
      <c r="B1792" s="82"/>
      <c r="C1792" s="82"/>
      <c r="D1792" s="729"/>
      <c r="E1792" s="371" t="s">
        <v>113</v>
      </c>
      <c r="F1792" s="372">
        <v>8</v>
      </c>
      <c r="G1792" s="373">
        <f>4*14</f>
        <v>56</v>
      </c>
      <c r="H1792" s="374">
        <v>5</v>
      </c>
      <c r="I1792" s="375">
        <v>0.67</v>
      </c>
      <c r="J1792" s="376">
        <f t="shared" si="240"/>
        <v>37.520000000000003</v>
      </c>
      <c r="K1792" s="66">
        <f t="shared" si="257"/>
        <v>5.7780800000000001</v>
      </c>
      <c r="L1792" s="63">
        <f t="shared" si="258"/>
        <v>0</v>
      </c>
      <c r="M1792" s="63">
        <f t="shared" si="259"/>
        <v>0</v>
      </c>
      <c r="N1792" s="63">
        <f t="shared" si="260"/>
        <v>0</v>
      </c>
      <c r="O1792" s="63">
        <f t="shared" si="261"/>
        <v>0</v>
      </c>
      <c r="P1792" s="63">
        <f t="shared" si="262"/>
        <v>0</v>
      </c>
      <c r="Q1792" s="561">
        <f t="shared" si="256"/>
        <v>0</v>
      </c>
      <c r="R1792" s="174"/>
      <c r="T1792" s="82"/>
      <c r="U1792" s="82"/>
      <c r="V1792" s="82"/>
      <c r="W1792" s="82"/>
      <c r="X1792" s="82"/>
      <c r="Y1792" s="82"/>
      <c r="Z1792" s="82"/>
      <c r="AA1792" s="82"/>
      <c r="AB1792" s="82"/>
    </row>
    <row r="1793" spans="1:28" s="85" customFormat="1" x14ac:dyDescent="0.25">
      <c r="A1793" s="82"/>
      <c r="B1793" s="82"/>
      <c r="C1793" s="82"/>
      <c r="D1793" s="729"/>
      <c r="E1793" s="371" t="s">
        <v>113</v>
      </c>
      <c r="F1793" s="372">
        <v>9</v>
      </c>
      <c r="G1793" s="373">
        <f>4*6</f>
        <v>24</v>
      </c>
      <c r="H1793" s="374">
        <v>5</v>
      </c>
      <c r="I1793" s="375">
        <v>0.54</v>
      </c>
      <c r="J1793" s="376">
        <f t="shared" si="240"/>
        <v>12.96</v>
      </c>
      <c r="K1793" s="66">
        <f t="shared" si="257"/>
        <v>1.9958400000000001</v>
      </c>
      <c r="L1793" s="63">
        <f t="shared" si="258"/>
        <v>0</v>
      </c>
      <c r="M1793" s="63">
        <f t="shared" si="259"/>
        <v>0</v>
      </c>
      <c r="N1793" s="63">
        <f t="shared" si="260"/>
        <v>0</v>
      </c>
      <c r="O1793" s="63">
        <f t="shared" si="261"/>
        <v>0</v>
      </c>
      <c r="P1793" s="63">
        <f t="shared" si="262"/>
        <v>0</v>
      </c>
      <c r="Q1793" s="561">
        <f t="shared" si="256"/>
        <v>0</v>
      </c>
      <c r="R1793" s="174"/>
      <c r="T1793" s="82"/>
      <c r="U1793" s="82"/>
      <c r="V1793" s="82"/>
      <c r="W1793" s="82"/>
      <c r="X1793" s="82"/>
      <c r="Y1793" s="82"/>
      <c r="Z1793" s="82"/>
      <c r="AA1793" s="82"/>
      <c r="AB1793" s="82"/>
    </row>
    <row r="1794" spans="1:28" s="85" customFormat="1" ht="13.8" thickBot="1" x14ac:dyDescent="0.3">
      <c r="A1794" s="82"/>
      <c r="B1794" s="82"/>
      <c r="C1794" s="82"/>
      <c r="D1794" s="729"/>
      <c r="E1794" s="371" t="s">
        <v>113</v>
      </c>
      <c r="F1794" s="372">
        <v>25</v>
      </c>
      <c r="G1794" s="373">
        <f>4*4</f>
        <v>16</v>
      </c>
      <c r="H1794" s="374">
        <v>10</v>
      </c>
      <c r="I1794" s="375">
        <v>1.87</v>
      </c>
      <c r="J1794" s="376">
        <f t="shared" si="240"/>
        <v>29.92</v>
      </c>
      <c r="K1794" s="66">
        <f t="shared" si="257"/>
        <v>0</v>
      </c>
      <c r="L1794" s="63">
        <f t="shared" si="258"/>
        <v>0</v>
      </c>
      <c r="M1794" s="63">
        <f t="shared" si="259"/>
        <v>0</v>
      </c>
      <c r="N1794" s="63">
        <f t="shared" si="260"/>
        <v>18.460640000000001</v>
      </c>
      <c r="O1794" s="63">
        <f t="shared" si="261"/>
        <v>0</v>
      </c>
      <c r="P1794" s="63">
        <f t="shared" si="262"/>
        <v>0</v>
      </c>
      <c r="Q1794" s="561">
        <f t="shared" si="256"/>
        <v>0</v>
      </c>
      <c r="R1794" s="174"/>
      <c r="T1794" s="82"/>
      <c r="U1794" s="82"/>
      <c r="V1794" s="82"/>
      <c r="W1794" s="82"/>
      <c r="X1794" s="82"/>
      <c r="Y1794" s="82"/>
      <c r="Z1794" s="82"/>
      <c r="AA1794" s="82"/>
      <c r="AB1794" s="82"/>
    </row>
    <row r="1795" spans="1:28" s="85" customFormat="1" ht="13.8" thickTop="1" x14ac:dyDescent="0.25">
      <c r="A1795" s="82"/>
      <c r="B1795" s="82"/>
      <c r="C1795" s="82"/>
      <c r="D1795" s="728" t="s">
        <v>2221</v>
      </c>
      <c r="E1795" s="384" t="s">
        <v>49</v>
      </c>
      <c r="F1795" s="385">
        <v>4</v>
      </c>
      <c r="G1795" s="386">
        <f>3*6</f>
        <v>18</v>
      </c>
      <c r="H1795" s="387">
        <v>5</v>
      </c>
      <c r="I1795" s="388">
        <v>0.49</v>
      </c>
      <c r="J1795" s="389">
        <f t="shared" si="240"/>
        <v>8.82</v>
      </c>
      <c r="K1795" s="218">
        <f t="shared" si="257"/>
        <v>1.3582799999999999</v>
      </c>
      <c r="L1795" s="219">
        <f t="shared" si="258"/>
        <v>0</v>
      </c>
      <c r="M1795" s="219">
        <f t="shared" si="259"/>
        <v>0</v>
      </c>
      <c r="N1795" s="219">
        <f t="shared" si="260"/>
        <v>0</v>
      </c>
      <c r="O1795" s="219">
        <f t="shared" si="261"/>
        <v>0</v>
      </c>
      <c r="P1795" s="219">
        <f t="shared" si="262"/>
        <v>0</v>
      </c>
      <c r="Q1795" s="563">
        <f t="shared" si="256"/>
        <v>0</v>
      </c>
      <c r="R1795" s="220"/>
      <c r="T1795" s="82"/>
      <c r="U1795" s="82"/>
      <c r="V1795" s="82"/>
      <c r="W1795" s="82"/>
      <c r="X1795" s="82"/>
      <c r="Y1795" s="82"/>
      <c r="Z1795" s="82"/>
      <c r="AA1795" s="82"/>
      <c r="AB1795" s="82"/>
    </row>
    <row r="1796" spans="1:28" s="85" customFormat="1" x14ac:dyDescent="0.25">
      <c r="A1796" s="82"/>
      <c r="B1796" s="82"/>
      <c r="C1796" s="82"/>
      <c r="D1796" s="729"/>
      <c r="E1796" s="371" t="s">
        <v>49</v>
      </c>
      <c r="F1796" s="372">
        <v>5</v>
      </c>
      <c r="G1796" s="373">
        <f>3*5</f>
        <v>15</v>
      </c>
      <c r="H1796" s="374">
        <v>5</v>
      </c>
      <c r="I1796" s="375">
        <v>0.67</v>
      </c>
      <c r="J1796" s="376">
        <f t="shared" si="240"/>
        <v>10.050000000000001</v>
      </c>
      <c r="K1796" s="66">
        <f t="shared" si="257"/>
        <v>1.5477000000000001</v>
      </c>
      <c r="L1796" s="63">
        <f t="shared" si="258"/>
        <v>0</v>
      </c>
      <c r="M1796" s="63">
        <f t="shared" si="259"/>
        <v>0</v>
      </c>
      <c r="N1796" s="63">
        <f t="shared" si="260"/>
        <v>0</v>
      </c>
      <c r="O1796" s="63">
        <f t="shared" si="261"/>
        <v>0</v>
      </c>
      <c r="P1796" s="63">
        <f t="shared" si="262"/>
        <v>0</v>
      </c>
      <c r="Q1796" s="561">
        <f t="shared" si="256"/>
        <v>0</v>
      </c>
      <c r="R1796" s="174"/>
      <c r="T1796" s="82"/>
      <c r="U1796" s="82"/>
      <c r="V1796" s="82"/>
      <c r="W1796" s="82"/>
      <c r="X1796" s="82"/>
      <c r="Y1796" s="82"/>
      <c r="Z1796" s="82"/>
      <c r="AA1796" s="82"/>
      <c r="AB1796" s="82"/>
    </row>
    <row r="1797" spans="1:28" s="85" customFormat="1" x14ac:dyDescent="0.25">
      <c r="A1797" s="82"/>
      <c r="B1797" s="82"/>
      <c r="C1797" s="82"/>
      <c r="D1797" s="729"/>
      <c r="E1797" s="371" t="s">
        <v>49</v>
      </c>
      <c r="F1797" s="372">
        <v>12</v>
      </c>
      <c r="G1797" s="373">
        <f>3*8</f>
        <v>24</v>
      </c>
      <c r="H1797" s="374">
        <v>10</v>
      </c>
      <c r="I1797" s="375">
        <v>1.27</v>
      </c>
      <c r="J1797" s="376">
        <f t="shared" si="240"/>
        <v>30.48</v>
      </c>
      <c r="K1797" s="66">
        <f t="shared" si="257"/>
        <v>0</v>
      </c>
      <c r="L1797" s="63">
        <f t="shared" si="258"/>
        <v>0</v>
      </c>
      <c r="M1797" s="63">
        <f t="shared" si="259"/>
        <v>0</v>
      </c>
      <c r="N1797" s="63">
        <f t="shared" si="260"/>
        <v>18.806159999999998</v>
      </c>
      <c r="O1797" s="63">
        <f t="shared" si="261"/>
        <v>0</v>
      </c>
      <c r="P1797" s="63">
        <f t="shared" si="262"/>
        <v>0</v>
      </c>
      <c r="Q1797" s="561">
        <f t="shared" si="256"/>
        <v>0</v>
      </c>
      <c r="R1797" s="174"/>
      <c r="T1797" s="82"/>
      <c r="U1797" s="82"/>
      <c r="V1797" s="82"/>
      <c r="W1797" s="82"/>
      <c r="X1797" s="82"/>
      <c r="Y1797" s="82"/>
      <c r="Z1797" s="82"/>
      <c r="AA1797" s="82"/>
      <c r="AB1797" s="82"/>
    </row>
    <row r="1798" spans="1:28" s="85" customFormat="1" x14ac:dyDescent="0.25">
      <c r="A1798" s="82"/>
      <c r="B1798" s="82"/>
      <c r="C1798" s="82"/>
      <c r="D1798" s="729"/>
      <c r="E1798" s="371" t="s">
        <v>113</v>
      </c>
      <c r="F1798" s="372">
        <v>4</v>
      </c>
      <c r="G1798" s="373">
        <f>3*5</f>
        <v>15</v>
      </c>
      <c r="H1798" s="374">
        <v>5</v>
      </c>
      <c r="I1798" s="375">
        <v>0.67</v>
      </c>
      <c r="J1798" s="376">
        <f t="shared" si="240"/>
        <v>10.050000000000001</v>
      </c>
      <c r="K1798" s="66">
        <f t="shared" si="257"/>
        <v>1.5477000000000001</v>
      </c>
      <c r="L1798" s="63">
        <f t="shared" si="258"/>
        <v>0</v>
      </c>
      <c r="M1798" s="63">
        <f t="shared" si="259"/>
        <v>0</v>
      </c>
      <c r="N1798" s="63">
        <f t="shared" si="260"/>
        <v>0</v>
      </c>
      <c r="O1798" s="63">
        <f t="shared" si="261"/>
        <v>0</v>
      </c>
      <c r="P1798" s="63">
        <f t="shared" si="262"/>
        <v>0</v>
      </c>
      <c r="Q1798" s="561">
        <f t="shared" si="256"/>
        <v>0</v>
      </c>
      <c r="R1798" s="174"/>
      <c r="T1798" s="82"/>
      <c r="U1798" s="82"/>
      <c r="V1798" s="82"/>
      <c r="W1798" s="82"/>
      <c r="X1798" s="82"/>
      <c r="Y1798" s="82"/>
      <c r="Z1798" s="82"/>
      <c r="AA1798" s="82"/>
      <c r="AB1798" s="82"/>
    </row>
    <row r="1799" spans="1:28" s="85" customFormat="1" x14ac:dyDescent="0.25">
      <c r="A1799" s="82"/>
      <c r="B1799" s="82"/>
      <c r="C1799" s="82"/>
      <c r="D1799" s="729"/>
      <c r="E1799" s="371" t="s">
        <v>113</v>
      </c>
      <c r="F1799" s="372">
        <v>5</v>
      </c>
      <c r="G1799" s="373">
        <f>3*6</f>
        <v>18</v>
      </c>
      <c r="H1799" s="374">
        <v>5</v>
      </c>
      <c r="I1799" s="375">
        <v>0.49</v>
      </c>
      <c r="J1799" s="376">
        <f t="shared" si="240"/>
        <v>8.82</v>
      </c>
      <c r="K1799" s="66">
        <f t="shared" si="257"/>
        <v>1.3582799999999999</v>
      </c>
      <c r="L1799" s="63">
        <f t="shared" si="258"/>
        <v>0</v>
      </c>
      <c r="M1799" s="63">
        <f t="shared" si="259"/>
        <v>0</v>
      </c>
      <c r="N1799" s="63">
        <f t="shared" si="260"/>
        <v>0</v>
      </c>
      <c r="O1799" s="63">
        <f t="shared" si="261"/>
        <v>0</v>
      </c>
      <c r="P1799" s="63">
        <f t="shared" si="262"/>
        <v>0</v>
      </c>
      <c r="Q1799" s="561">
        <f t="shared" si="256"/>
        <v>0</v>
      </c>
      <c r="R1799" s="174"/>
      <c r="T1799" s="82"/>
      <c r="U1799" s="82"/>
      <c r="V1799" s="82"/>
      <c r="W1799" s="82"/>
      <c r="X1799" s="82"/>
      <c r="Y1799" s="82"/>
      <c r="Z1799" s="82"/>
      <c r="AA1799" s="82"/>
      <c r="AB1799" s="82"/>
    </row>
    <row r="1800" spans="1:28" s="85" customFormat="1" ht="13.8" thickBot="1" x14ac:dyDescent="0.3">
      <c r="A1800" s="82"/>
      <c r="B1800" s="82"/>
      <c r="C1800" s="82"/>
      <c r="D1800" s="729"/>
      <c r="E1800" s="371" t="s">
        <v>113</v>
      </c>
      <c r="F1800" s="372">
        <v>27</v>
      </c>
      <c r="G1800" s="373">
        <f>3*8</f>
        <v>24</v>
      </c>
      <c r="H1800" s="374">
        <v>10</v>
      </c>
      <c r="I1800" s="375">
        <v>0.82</v>
      </c>
      <c r="J1800" s="376">
        <f t="shared" si="240"/>
        <v>19.68</v>
      </c>
      <c r="K1800" s="66">
        <f t="shared" si="257"/>
        <v>0</v>
      </c>
      <c r="L1800" s="63">
        <f t="shared" si="258"/>
        <v>0</v>
      </c>
      <c r="M1800" s="63">
        <f t="shared" si="259"/>
        <v>0</v>
      </c>
      <c r="N1800" s="63">
        <f t="shared" si="260"/>
        <v>12.14256</v>
      </c>
      <c r="O1800" s="63">
        <f t="shared" si="261"/>
        <v>0</v>
      </c>
      <c r="P1800" s="63">
        <f t="shared" si="262"/>
        <v>0</v>
      </c>
      <c r="Q1800" s="561">
        <f t="shared" si="256"/>
        <v>0</v>
      </c>
      <c r="R1800" s="174"/>
      <c r="T1800" s="82"/>
      <c r="U1800" s="82"/>
      <c r="V1800" s="82"/>
      <c r="W1800" s="82"/>
      <c r="X1800" s="82"/>
      <c r="Y1800" s="82"/>
      <c r="Z1800" s="82"/>
      <c r="AA1800" s="82"/>
      <c r="AB1800" s="82"/>
    </row>
    <row r="1801" spans="1:28" s="85" customFormat="1" ht="13.8" thickTop="1" x14ac:dyDescent="0.25">
      <c r="A1801" s="82"/>
      <c r="B1801" s="82"/>
      <c r="C1801" s="82"/>
      <c r="D1801" s="728" t="s">
        <v>2222</v>
      </c>
      <c r="E1801" s="384" t="s">
        <v>49</v>
      </c>
      <c r="F1801" s="385">
        <v>4</v>
      </c>
      <c r="G1801" s="386">
        <f>2*6</f>
        <v>12</v>
      </c>
      <c r="H1801" s="387">
        <v>5</v>
      </c>
      <c r="I1801" s="388">
        <v>0.49</v>
      </c>
      <c r="J1801" s="389">
        <f t="shared" si="240"/>
        <v>5.88</v>
      </c>
      <c r="K1801" s="218">
        <f t="shared" si="257"/>
        <v>0.90551999999999999</v>
      </c>
      <c r="L1801" s="219">
        <f t="shared" si="258"/>
        <v>0</v>
      </c>
      <c r="M1801" s="219">
        <f t="shared" si="259"/>
        <v>0</v>
      </c>
      <c r="N1801" s="219">
        <f t="shared" si="260"/>
        <v>0</v>
      </c>
      <c r="O1801" s="219">
        <f t="shared" si="261"/>
        <v>0</v>
      </c>
      <c r="P1801" s="219">
        <f t="shared" si="262"/>
        <v>0</v>
      </c>
      <c r="Q1801" s="563">
        <f t="shared" si="256"/>
        <v>0</v>
      </c>
      <c r="R1801" s="220"/>
      <c r="T1801" s="82"/>
      <c r="U1801" s="82"/>
      <c r="V1801" s="82"/>
      <c r="W1801" s="82"/>
      <c r="X1801" s="82"/>
      <c r="Y1801" s="82"/>
      <c r="Z1801" s="82"/>
      <c r="AA1801" s="82"/>
      <c r="AB1801" s="82"/>
    </row>
    <row r="1802" spans="1:28" s="85" customFormat="1" x14ac:dyDescent="0.25">
      <c r="A1802" s="82"/>
      <c r="B1802" s="82"/>
      <c r="C1802" s="82"/>
      <c r="D1802" s="729"/>
      <c r="E1802" s="371" t="s">
        <v>49</v>
      </c>
      <c r="F1802" s="372">
        <v>5</v>
      </c>
      <c r="G1802" s="373">
        <f>2*5</f>
        <v>10</v>
      </c>
      <c r="H1802" s="374">
        <v>5</v>
      </c>
      <c r="I1802" s="375">
        <v>0.67</v>
      </c>
      <c r="J1802" s="376">
        <f t="shared" si="240"/>
        <v>6.7</v>
      </c>
      <c r="K1802" s="66">
        <f t="shared" si="257"/>
        <v>1.0318000000000001</v>
      </c>
      <c r="L1802" s="63">
        <f t="shared" si="258"/>
        <v>0</v>
      </c>
      <c r="M1802" s="63">
        <f t="shared" si="259"/>
        <v>0</v>
      </c>
      <c r="N1802" s="63">
        <f t="shared" si="260"/>
        <v>0</v>
      </c>
      <c r="O1802" s="63">
        <f t="shared" si="261"/>
        <v>0</v>
      </c>
      <c r="P1802" s="63">
        <f t="shared" si="262"/>
        <v>0</v>
      </c>
      <c r="Q1802" s="561">
        <f t="shared" si="256"/>
        <v>0</v>
      </c>
      <c r="R1802" s="174"/>
      <c r="T1802" s="82"/>
      <c r="U1802" s="82"/>
      <c r="V1802" s="82"/>
      <c r="W1802" s="82"/>
      <c r="X1802" s="82"/>
      <c r="Y1802" s="82"/>
      <c r="Z1802" s="82"/>
      <c r="AA1802" s="82"/>
      <c r="AB1802" s="82"/>
    </row>
    <row r="1803" spans="1:28" s="85" customFormat="1" x14ac:dyDescent="0.25">
      <c r="A1803" s="82"/>
      <c r="B1803" s="82"/>
      <c r="C1803" s="82"/>
      <c r="D1803" s="729"/>
      <c r="E1803" s="371" t="s">
        <v>49</v>
      </c>
      <c r="F1803" s="372">
        <v>12</v>
      </c>
      <c r="G1803" s="373">
        <f>2*8</f>
        <v>16</v>
      </c>
      <c r="H1803" s="374">
        <v>10</v>
      </c>
      <c r="I1803" s="375">
        <v>1.27</v>
      </c>
      <c r="J1803" s="376">
        <f t="shared" si="240"/>
        <v>20.32</v>
      </c>
      <c r="K1803" s="66">
        <f t="shared" si="257"/>
        <v>0</v>
      </c>
      <c r="L1803" s="63">
        <f t="shared" si="258"/>
        <v>0</v>
      </c>
      <c r="M1803" s="63">
        <f t="shared" si="259"/>
        <v>0</v>
      </c>
      <c r="N1803" s="63">
        <f t="shared" si="260"/>
        <v>12.53744</v>
      </c>
      <c r="O1803" s="63">
        <f t="shared" si="261"/>
        <v>0</v>
      </c>
      <c r="P1803" s="63">
        <f t="shared" si="262"/>
        <v>0</v>
      </c>
      <c r="Q1803" s="561">
        <f t="shared" si="256"/>
        <v>0</v>
      </c>
      <c r="R1803" s="174"/>
      <c r="T1803" s="82"/>
      <c r="U1803" s="82"/>
      <c r="V1803" s="82"/>
      <c r="W1803" s="82"/>
      <c r="X1803" s="82"/>
      <c r="Y1803" s="82"/>
      <c r="Z1803" s="82"/>
      <c r="AA1803" s="82"/>
      <c r="AB1803" s="82"/>
    </row>
    <row r="1804" spans="1:28" s="85" customFormat="1" x14ac:dyDescent="0.25">
      <c r="A1804" s="82"/>
      <c r="B1804" s="82"/>
      <c r="C1804" s="82"/>
      <c r="D1804" s="729"/>
      <c r="E1804" s="371" t="s">
        <v>113</v>
      </c>
      <c r="F1804" s="372">
        <v>4</v>
      </c>
      <c r="G1804" s="373">
        <f>2*18</f>
        <v>36</v>
      </c>
      <c r="H1804" s="374">
        <v>5</v>
      </c>
      <c r="I1804" s="375">
        <v>0.67</v>
      </c>
      <c r="J1804" s="376">
        <f t="shared" ref="J1804:J1811" si="263">G1804*I1804</f>
        <v>24.12</v>
      </c>
      <c r="K1804" s="66">
        <f t="shared" si="257"/>
        <v>3.71448</v>
      </c>
      <c r="L1804" s="63">
        <f t="shared" si="258"/>
        <v>0</v>
      </c>
      <c r="M1804" s="63">
        <f t="shared" si="259"/>
        <v>0</v>
      </c>
      <c r="N1804" s="63">
        <f t="shared" si="260"/>
        <v>0</v>
      </c>
      <c r="O1804" s="63">
        <f t="shared" si="261"/>
        <v>0</v>
      </c>
      <c r="P1804" s="63">
        <f t="shared" si="262"/>
        <v>0</v>
      </c>
      <c r="Q1804" s="561">
        <f t="shared" si="256"/>
        <v>0</v>
      </c>
      <c r="R1804" s="174"/>
      <c r="T1804" s="82"/>
      <c r="U1804" s="82"/>
      <c r="V1804" s="82"/>
      <c r="W1804" s="82"/>
      <c r="X1804" s="82"/>
      <c r="Y1804" s="82"/>
      <c r="Z1804" s="82"/>
      <c r="AA1804" s="82"/>
      <c r="AB1804" s="82"/>
    </row>
    <row r="1805" spans="1:28" s="85" customFormat="1" x14ac:dyDescent="0.25">
      <c r="A1805" s="82"/>
      <c r="B1805" s="82"/>
      <c r="C1805" s="82"/>
      <c r="D1805" s="729"/>
      <c r="E1805" s="371" t="s">
        <v>113</v>
      </c>
      <c r="F1805" s="372">
        <v>5</v>
      </c>
      <c r="G1805" s="373">
        <f>2*6</f>
        <v>12</v>
      </c>
      <c r="H1805" s="374">
        <v>5</v>
      </c>
      <c r="I1805" s="375">
        <v>0.49</v>
      </c>
      <c r="J1805" s="376">
        <f t="shared" si="263"/>
        <v>5.88</v>
      </c>
      <c r="K1805" s="66">
        <f t="shared" si="257"/>
        <v>0.90551999999999999</v>
      </c>
      <c r="L1805" s="63">
        <f t="shared" si="258"/>
        <v>0</v>
      </c>
      <c r="M1805" s="63">
        <f t="shared" si="259"/>
        <v>0</v>
      </c>
      <c r="N1805" s="63">
        <f t="shared" si="260"/>
        <v>0</v>
      </c>
      <c r="O1805" s="63">
        <f t="shared" si="261"/>
        <v>0</v>
      </c>
      <c r="P1805" s="63">
        <f t="shared" si="262"/>
        <v>0</v>
      </c>
      <c r="Q1805" s="561">
        <f t="shared" si="256"/>
        <v>0</v>
      </c>
      <c r="R1805" s="174"/>
      <c r="T1805" s="82"/>
      <c r="U1805" s="82"/>
      <c r="V1805" s="82"/>
      <c r="W1805" s="82"/>
      <c r="X1805" s="82"/>
      <c r="Y1805" s="82"/>
      <c r="Z1805" s="82"/>
      <c r="AA1805" s="82"/>
      <c r="AB1805" s="82"/>
    </row>
    <row r="1806" spans="1:28" s="85" customFormat="1" ht="13.8" thickBot="1" x14ac:dyDescent="0.3">
      <c r="A1806" s="82"/>
      <c r="B1806" s="82"/>
      <c r="C1806" s="82"/>
      <c r="D1806" s="729"/>
      <c r="E1806" s="371" t="s">
        <v>113</v>
      </c>
      <c r="F1806" s="372">
        <v>24</v>
      </c>
      <c r="G1806" s="373">
        <f>2*8</f>
        <v>16</v>
      </c>
      <c r="H1806" s="374">
        <v>10</v>
      </c>
      <c r="I1806" s="375">
        <v>2.3199999999999998</v>
      </c>
      <c r="J1806" s="376">
        <f t="shared" si="263"/>
        <v>37.119999999999997</v>
      </c>
      <c r="K1806" s="66">
        <f t="shared" si="257"/>
        <v>0</v>
      </c>
      <c r="L1806" s="63">
        <f t="shared" si="258"/>
        <v>0</v>
      </c>
      <c r="M1806" s="63">
        <f t="shared" si="259"/>
        <v>0</v>
      </c>
      <c r="N1806" s="63">
        <f t="shared" si="260"/>
        <v>22.903039999999997</v>
      </c>
      <c r="O1806" s="63">
        <f t="shared" si="261"/>
        <v>0</v>
      </c>
      <c r="P1806" s="63">
        <f t="shared" si="262"/>
        <v>0</v>
      </c>
      <c r="Q1806" s="561">
        <f t="shared" si="256"/>
        <v>0</v>
      </c>
      <c r="R1806" s="174"/>
      <c r="T1806" s="82"/>
      <c r="U1806" s="82"/>
      <c r="V1806" s="82"/>
      <c r="W1806" s="82"/>
      <c r="X1806" s="82"/>
      <c r="Y1806" s="82"/>
      <c r="Z1806" s="82"/>
      <c r="AA1806" s="82"/>
      <c r="AB1806" s="82"/>
    </row>
    <row r="1807" spans="1:28" s="85" customFormat="1" ht="13.8" thickTop="1" x14ac:dyDescent="0.25">
      <c r="A1807" s="82"/>
      <c r="B1807" s="82"/>
      <c r="C1807" s="82"/>
      <c r="D1807" s="728" t="s">
        <v>2223</v>
      </c>
      <c r="E1807" s="384" t="s">
        <v>49</v>
      </c>
      <c r="F1807" s="385">
        <v>4</v>
      </c>
      <c r="G1807" s="386">
        <f>2*14</f>
        <v>28</v>
      </c>
      <c r="H1807" s="387">
        <v>5</v>
      </c>
      <c r="I1807" s="388">
        <v>0.49</v>
      </c>
      <c r="J1807" s="389">
        <f t="shared" si="263"/>
        <v>13.719999999999999</v>
      </c>
      <c r="K1807" s="218">
        <f t="shared" si="257"/>
        <v>2.1128799999999996</v>
      </c>
      <c r="L1807" s="219">
        <f t="shared" si="258"/>
        <v>0</v>
      </c>
      <c r="M1807" s="219">
        <f t="shared" si="259"/>
        <v>0</v>
      </c>
      <c r="N1807" s="219">
        <f t="shared" si="260"/>
        <v>0</v>
      </c>
      <c r="O1807" s="219">
        <f t="shared" si="261"/>
        <v>0</v>
      </c>
      <c r="P1807" s="219">
        <f t="shared" si="262"/>
        <v>0</v>
      </c>
      <c r="Q1807" s="563">
        <f t="shared" si="256"/>
        <v>0</v>
      </c>
      <c r="R1807" s="220"/>
      <c r="T1807" s="82"/>
      <c r="U1807" s="82"/>
      <c r="V1807" s="82"/>
      <c r="W1807" s="82"/>
      <c r="X1807" s="82"/>
      <c r="Y1807" s="82"/>
      <c r="Z1807" s="82"/>
      <c r="AA1807" s="82"/>
      <c r="AB1807" s="82"/>
    </row>
    <row r="1808" spans="1:28" s="85" customFormat="1" x14ac:dyDescent="0.25">
      <c r="A1808" s="82"/>
      <c r="B1808" s="82"/>
      <c r="C1808" s="82"/>
      <c r="D1808" s="729"/>
      <c r="E1808" s="371" t="s">
        <v>49</v>
      </c>
      <c r="F1808" s="372">
        <v>12</v>
      </c>
      <c r="G1808" s="373">
        <f>2*8</f>
        <v>16</v>
      </c>
      <c r="H1808" s="374">
        <v>10</v>
      </c>
      <c r="I1808" s="375">
        <v>1.27</v>
      </c>
      <c r="J1808" s="376">
        <f t="shared" si="263"/>
        <v>20.32</v>
      </c>
      <c r="K1808" s="66">
        <f t="shared" si="257"/>
        <v>0</v>
      </c>
      <c r="L1808" s="63">
        <f t="shared" si="258"/>
        <v>0</v>
      </c>
      <c r="M1808" s="63">
        <f t="shared" si="259"/>
        <v>0</v>
      </c>
      <c r="N1808" s="63">
        <f t="shared" si="260"/>
        <v>12.53744</v>
      </c>
      <c r="O1808" s="63">
        <f t="shared" si="261"/>
        <v>0</v>
      </c>
      <c r="P1808" s="63">
        <f t="shared" si="262"/>
        <v>0</v>
      </c>
      <c r="Q1808" s="561">
        <f t="shared" si="256"/>
        <v>0</v>
      </c>
      <c r="R1808" s="174"/>
      <c r="T1808" s="82"/>
      <c r="U1808" s="82"/>
      <c r="V1808" s="82"/>
      <c r="W1808" s="82"/>
      <c r="X1808" s="82"/>
      <c r="Y1808" s="82"/>
      <c r="Z1808" s="82"/>
      <c r="AA1808" s="82"/>
      <c r="AB1808" s="82"/>
    </row>
    <row r="1809" spans="1:28" s="85" customFormat="1" x14ac:dyDescent="0.25">
      <c r="A1809" s="82"/>
      <c r="B1809" s="82"/>
      <c r="C1809" s="82"/>
      <c r="D1809" s="729"/>
      <c r="E1809" s="371" t="s">
        <v>113</v>
      </c>
      <c r="F1809" s="372">
        <v>4</v>
      </c>
      <c r="G1809" s="373">
        <f>2*18</f>
        <v>36</v>
      </c>
      <c r="H1809" s="374">
        <v>5</v>
      </c>
      <c r="I1809" s="375">
        <v>0.67</v>
      </c>
      <c r="J1809" s="376">
        <f t="shared" si="263"/>
        <v>24.12</v>
      </c>
      <c r="K1809" s="66">
        <f t="shared" si="257"/>
        <v>3.71448</v>
      </c>
      <c r="L1809" s="63">
        <f t="shared" si="258"/>
        <v>0</v>
      </c>
      <c r="M1809" s="63">
        <f t="shared" si="259"/>
        <v>0</v>
      </c>
      <c r="N1809" s="63">
        <f t="shared" si="260"/>
        <v>0</v>
      </c>
      <c r="O1809" s="63">
        <f t="shared" si="261"/>
        <v>0</v>
      </c>
      <c r="P1809" s="63">
        <f t="shared" si="262"/>
        <v>0</v>
      </c>
      <c r="Q1809" s="561">
        <f t="shared" si="256"/>
        <v>0</v>
      </c>
      <c r="R1809" s="174"/>
      <c r="T1809" s="82"/>
      <c r="U1809" s="82"/>
      <c r="V1809" s="82"/>
      <c r="W1809" s="82"/>
      <c r="X1809" s="82"/>
      <c r="Y1809" s="82"/>
      <c r="Z1809" s="82"/>
      <c r="AA1809" s="82"/>
      <c r="AB1809" s="82"/>
    </row>
    <row r="1810" spans="1:28" s="85" customFormat="1" x14ac:dyDescent="0.25">
      <c r="A1810" s="82"/>
      <c r="B1810" s="82"/>
      <c r="C1810" s="82"/>
      <c r="D1810" s="729"/>
      <c r="E1810" s="371" t="s">
        <v>113</v>
      </c>
      <c r="F1810" s="372">
        <v>5</v>
      </c>
      <c r="G1810" s="373">
        <f>2*6</f>
        <v>12</v>
      </c>
      <c r="H1810" s="374">
        <v>5</v>
      </c>
      <c r="I1810" s="375">
        <v>0.49</v>
      </c>
      <c r="J1810" s="376">
        <f t="shared" si="263"/>
        <v>5.88</v>
      </c>
      <c r="K1810" s="66">
        <f t="shared" si="257"/>
        <v>0.90551999999999999</v>
      </c>
      <c r="L1810" s="63">
        <f t="shared" si="258"/>
        <v>0</v>
      </c>
      <c r="M1810" s="63">
        <f t="shared" si="259"/>
        <v>0</v>
      </c>
      <c r="N1810" s="63">
        <f t="shared" si="260"/>
        <v>0</v>
      </c>
      <c r="O1810" s="63">
        <f t="shared" si="261"/>
        <v>0</v>
      </c>
      <c r="P1810" s="63">
        <f t="shared" si="262"/>
        <v>0</v>
      </c>
      <c r="Q1810" s="561">
        <f t="shared" si="256"/>
        <v>0</v>
      </c>
      <c r="R1810" s="174"/>
      <c r="T1810" s="82"/>
      <c r="U1810" s="82"/>
      <c r="V1810" s="82"/>
      <c r="W1810" s="82"/>
      <c r="X1810" s="82"/>
      <c r="Y1810" s="82"/>
      <c r="Z1810" s="82"/>
      <c r="AA1810" s="82"/>
      <c r="AB1810" s="82"/>
    </row>
    <row r="1811" spans="1:28" s="85" customFormat="1" ht="13.8" thickBot="1" x14ac:dyDescent="0.3">
      <c r="A1811" s="82"/>
      <c r="B1811" s="82"/>
      <c r="C1811" s="82"/>
      <c r="D1811" s="729"/>
      <c r="E1811" s="371" t="s">
        <v>113</v>
      </c>
      <c r="F1811" s="372">
        <v>24</v>
      </c>
      <c r="G1811" s="373">
        <f>2*8</f>
        <v>16</v>
      </c>
      <c r="H1811" s="374">
        <v>10</v>
      </c>
      <c r="I1811" s="375">
        <v>2.3199999999999998</v>
      </c>
      <c r="J1811" s="376">
        <f t="shared" si="263"/>
        <v>37.119999999999997</v>
      </c>
      <c r="K1811" s="66">
        <f t="shared" si="257"/>
        <v>0</v>
      </c>
      <c r="L1811" s="63">
        <f t="shared" si="258"/>
        <v>0</v>
      </c>
      <c r="M1811" s="63">
        <f t="shared" si="259"/>
        <v>0</v>
      </c>
      <c r="N1811" s="63">
        <f t="shared" si="260"/>
        <v>22.903039999999997</v>
      </c>
      <c r="O1811" s="63">
        <f t="shared" si="261"/>
        <v>0</v>
      </c>
      <c r="P1811" s="63">
        <f t="shared" si="262"/>
        <v>0</v>
      </c>
      <c r="Q1811" s="561">
        <f t="shared" si="256"/>
        <v>0</v>
      </c>
      <c r="R1811" s="174"/>
      <c r="T1811" s="82"/>
      <c r="U1811" s="82"/>
      <c r="V1811" s="82"/>
      <c r="W1811" s="82"/>
      <c r="X1811" s="82"/>
      <c r="Y1811" s="82"/>
      <c r="Z1811" s="82"/>
      <c r="AA1811" s="82"/>
      <c r="AB1811" s="82"/>
    </row>
    <row r="1812" spans="1:28" s="85" customFormat="1" ht="13.8" thickTop="1" x14ac:dyDescent="0.25">
      <c r="A1812" s="82"/>
      <c r="B1812" s="82"/>
      <c r="C1812" s="82"/>
      <c r="D1812" s="728" t="s">
        <v>2224</v>
      </c>
      <c r="E1812" s="384" t="s">
        <v>49</v>
      </c>
      <c r="F1812" s="385">
        <v>4</v>
      </c>
      <c r="G1812" s="386">
        <v>14</v>
      </c>
      <c r="H1812" s="387">
        <v>5</v>
      </c>
      <c r="I1812" s="388">
        <v>0.49</v>
      </c>
      <c r="J1812" s="389">
        <f t="shared" ref="J1812:J1992" si="264">G1812*I1812</f>
        <v>6.8599999999999994</v>
      </c>
      <c r="K1812" s="218">
        <f t="shared" ref="K1812:K1864" si="265">IF($H1812=5,$J1812*$B$21,0)</f>
        <v>1.0564399999999998</v>
      </c>
      <c r="L1812" s="219">
        <f t="shared" ref="L1812:L1864" si="266">IF($H1812=6.3,$J1812*$B$22,0)</f>
        <v>0</v>
      </c>
      <c r="M1812" s="219">
        <f t="shared" ref="M1812:M1864" si="267">IF($H1812=8,$J1812*$B$23,0)</f>
        <v>0</v>
      </c>
      <c r="N1812" s="219">
        <f t="shared" ref="N1812:N1864" si="268">IF($H1812=10,$J1812*$B$24,0)</f>
        <v>0</v>
      </c>
      <c r="O1812" s="219">
        <f t="shared" ref="O1812:O1864" si="269">IF($H1812=12.5,$J1812*$B$26,0)</f>
        <v>0</v>
      </c>
      <c r="P1812" s="219">
        <f t="shared" ref="P1812:P1864" si="270">IF($H1812=16,$J1812*$B$27,0)</f>
        <v>0</v>
      </c>
      <c r="Q1812" s="563">
        <f t="shared" si="92"/>
        <v>0</v>
      </c>
      <c r="R1812" s="220"/>
      <c r="T1812" s="82"/>
      <c r="U1812" s="82"/>
      <c r="V1812" s="82"/>
      <c r="W1812" s="82"/>
      <c r="X1812" s="82"/>
      <c r="Y1812" s="82"/>
      <c r="Z1812" s="82"/>
      <c r="AA1812" s="82"/>
      <c r="AB1812" s="82"/>
    </row>
    <row r="1813" spans="1:28" s="85" customFormat="1" x14ac:dyDescent="0.25">
      <c r="A1813" s="82"/>
      <c r="B1813" s="82"/>
      <c r="C1813" s="82"/>
      <c r="D1813" s="729"/>
      <c r="E1813" s="371" t="s">
        <v>49</v>
      </c>
      <c r="F1813" s="372">
        <v>12</v>
      </c>
      <c r="G1813" s="373">
        <v>8</v>
      </c>
      <c r="H1813" s="374">
        <v>10</v>
      </c>
      <c r="I1813" s="375">
        <v>1.27</v>
      </c>
      <c r="J1813" s="376">
        <f t="shared" si="264"/>
        <v>10.16</v>
      </c>
      <c r="K1813" s="66">
        <f t="shared" si="265"/>
        <v>0</v>
      </c>
      <c r="L1813" s="63">
        <f t="shared" si="266"/>
        <v>0</v>
      </c>
      <c r="M1813" s="63">
        <f t="shared" si="267"/>
        <v>0</v>
      </c>
      <c r="N1813" s="63">
        <f t="shared" si="268"/>
        <v>6.2687200000000001</v>
      </c>
      <c r="O1813" s="63">
        <f t="shared" si="269"/>
        <v>0</v>
      </c>
      <c r="P1813" s="63">
        <f t="shared" si="270"/>
        <v>0</v>
      </c>
      <c r="Q1813" s="561">
        <f t="shared" si="92"/>
        <v>0</v>
      </c>
      <c r="R1813" s="174"/>
      <c r="T1813" s="82"/>
      <c r="U1813" s="82"/>
      <c r="V1813" s="82"/>
      <c r="W1813" s="82"/>
      <c r="X1813" s="82"/>
      <c r="Y1813" s="82"/>
      <c r="Z1813" s="82"/>
      <c r="AA1813" s="82"/>
      <c r="AB1813" s="82"/>
    </row>
    <row r="1814" spans="1:28" s="85" customFormat="1" x14ac:dyDescent="0.25">
      <c r="A1814" s="82"/>
      <c r="B1814" s="82"/>
      <c r="C1814" s="82"/>
      <c r="D1814" s="729"/>
      <c r="E1814" s="371" t="s">
        <v>113</v>
      </c>
      <c r="F1814" s="372">
        <v>4</v>
      </c>
      <c r="G1814" s="373">
        <v>14</v>
      </c>
      <c r="H1814" s="374">
        <v>5</v>
      </c>
      <c r="I1814" s="375">
        <v>0.67</v>
      </c>
      <c r="J1814" s="376">
        <f t="shared" si="264"/>
        <v>9.3800000000000008</v>
      </c>
      <c r="K1814" s="66">
        <f t="shared" si="265"/>
        <v>1.44452</v>
      </c>
      <c r="L1814" s="63">
        <f t="shared" si="266"/>
        <v>0</v>
      </c>
      <c r="M1814" s="63">
        <f t="shared" si="267"/>
        <v>0</v>
      </c>
      <c r="N1814" s="63">
        <f t="shared" si="268"/>
        <v>0</v>
      </c>
      <c r="O1814" s="63">
        <f t="shared" si="269"/>
        <v>0</v>
      </c>
      <c r="P1814" s="63">
        <f t="shared" si="270"/>
        <v>0</v>
      </c>
      <c r="Q1814" s="561">
        <f t="shared" si="92"/>
        <v>0</v>
      </c>
      <c r="R1814" s="174"/>
      <c r="T1814" s="82"/>
      <c r="U1814" s="82"/>
      <c r="V1814" s="82"/>
      <c r="W1814" s="82"/>
      <c r="X1814" s="82"/>
      <c r="Y1814" s="82"/>
      <c r="Z1814" s="82"/>
      <c r="AA1814" s="82"/>
      <c r="AB1814" s="82"/>
    </row>
    <row r="1815" spans="1:28" s="85" customFormat="1" x14ac:dyDescent="0.25">
      <c r="A1815" s="82"/>
      <c r="B1815" s="82"/>
      <c r="C1815" s="82"/>
      <c r="D1815" s="729"/>
      <c r="E1815" s="371" t="s">
        <v>113</v>
      </c>
      <c r="F1815" s="372">
        <v>5</v>
      </c>
      <c r="G1815" s="373">
        <v>14</v>
      </c>
      <c r="H1815" s="374">
        <v>5</v>
      </c>
      <c r="I1815" s="375">
        <v>0.49</v>
      </c>
      <c r="J1815" s="376">
        <f t="shared" si="264"/>
        <v>6.8599999999999994</v>
      </c>
      <c r="K1815" s="66">
        <f t="shared" si="265"/>
        <v>1.0564399999999998</v>
      </c>
      <c r="L1815" s="63">
        <f t="shared" si="266"/>
        <v>0</v>
      </c>
      <c r="M1815" s="63">
        <f t="shared" si="267"/>
        <v>0</v>
      </c>
      <c r="N1815" s="63">
        <f t="shared" si="268"/>
        <v>0</v>
      </c>
      <c r="O1815" s="63">
        <f t="shared" si="269"/>
        <v>0</v>
      </c>
      <c r="P1815" s="63">
        <f t="shared" si="270"/>
        <v>0</v>
      </c>
      <c r="Q1815" s="561">
        <f t="shared" si="92"/>
        <v>0</v>
      </c>
      <c r="R1815" s="174"/>
      <c r="T1815" s="82"/>
      <c r="U1815" s="82"/>
      <c r="V1815" s="82"/>
      <c r="W1815" s="82"/>
      <c r="X1815" s="82"/>
      <c r="Y1815" s="82"/>
      <c r="Z1815" s="82"/>
      <c r="AA1815" s="82"/>
      <c r="AB1815" s="82"/>
    </row>
    <row r="1816" spans="1:28" s="85" customFormat="1" ht="13.8" thickBot="1" x14ac:dyDescent="0.3">
      <c r="A1816" s="82"/>
      <c r="B1816" s="82"/>
      <c r="C1816" s="82"/>
      <c r="D1816" s="729"/>
      <c r="E1816" s="371" t="s">
        <v>113</v>
      </c>
      <c r="F1816" s="372">
        <v>24</v>
      </c>
      <c r="G1816" s="373">
        <v>8</v>
      </c>
      <c r="H1816" s="374">
        <v>10</v>
      </c>
      <c r="I1816" s="375">
        <v>2.3199999999999998</v>
      </c>
      <c r="J1816" s="376">
        <f t="shared" si="264"/>
        <v>18.559999999999999</v>
      </c>
      <c r="K1816" s="66">
        <f t="shared" si="265"/>
        <v>0</v>
      </c>
      <c r="L1816" s="63">
        <f t="shared" si="266"/>
        <v>0</v>
      </c>
      <c r="M1816" s="63">
        <f t="shared" si="267"/>
        <v>0</v>
      </c>
      <c r="N1816" s="63">
        <f t="shared" si="268"/>
        <v>11.451519999999999</v>
      </c>
      <c r="O1816" s="63">
        <f t="shared" si="269"/>
        <v>0</v>
      </c>
      <c r="P1816" s="63">
        <f t="shared" si="270"/>
        <v>0</v>
      </c>
      <c r="Q1816" s="561">
        <f t="shared" si="92"/>
        <v>0</v>
      </c>
      <c r="R1816" s="174"/>
      <c r="T1816" s="82"/>
      <c r="U1816" s="82"/>
      <c r="V1816" s="82"/>
      <c r="W1816" s="82"/>
      <c r="X1816" s="82"/>
      <c r="Y1816" s="82"/>
      <c r="Z1816" s="82"/>
      <c r="AA1816" s="82"/>
      <c r="AB1816" s="82"/>
    </row>
    <row r="1817" spans="1:28" s="85" customFormat="1" ht="13.8" thickTop="1" x14ac:dyDescent="0.25">
      <c r="A1817" s="82"/>
      <c r="B1817" s="82"/>
      <c r="C1817" s="82"/>
      <c r="D1817" s="728" t="s">
        <v>2225</v>
      </c>
      <c r="E1817" s="384" t="s">
        <v>49</v>
      </c>
      <c r="F1817" s="385">
        <v>1</v>
      </c>
      <c r="G1817" s="386">
        <f>2*24</f>
        <v>48</v>
      </c>
      <c r="H1817" s="387">
        <v>5</v>
      </c>
      <c r="I1817" s="388">
        <v>0.24</v>
      </c>
      <c r="J1817" s="389">
        <f t="shared" si="264"/>
        <v>11.52</v>
      </c>
      <c r="K1817" s="218">
        <f t="shared" si="265"/>
        <v>1.7740799999999999</v>
      </c>
      <c r="L1817" s="219">
        <f t="shared" si="266"/>
        <v>0</v>
      </c>
      <c r="M1817" s="219">
        <f t="shared" si="267"/>
        <v>0</v>
      </c>
      <c r="N1817" s="219">
        <f t="shared" si="268"/>
        <v>0</v>
      </c>
      <c r="O1817" s="219">
        <f t="shared" si="269"/>
        <v>0</v>
      </c>
      <c r="P1817" s="219">
        <f t="shared" si="270"/>
        <v>0</v>
      </c>
      <c r="Q1817" s="563">
        <f t="shared" si="92"/>
        <v>0</v>
      </c>
      <c r="R1817" s="220"/>
      <c r="T1817" s="82"/>
      <c r="U1817" s="82"/>
      <c r="V1817" s="82"/>
      <c r="W1817" s="82"/>
      <c r="X1817" s="82"/>
      <c r="Y1817" s="82"/>
      <c r="Z1817" s="82"/>
      <c r="AA1817" s="82"/>
      <c r="AB1817" s="82"/>
    </row>
    <row r="1818" spans="1:28" s="85" customFormat="1" x14ac:dyDescent="0.25">
      <c r="A1818" s="82"/>
      <c r="B1818" s="82"/>
      <c r="C1818" s="82"/>
      <c r="D1818" s="729"/>
      <c r="E1818" s="371" t="s">
        <v>49</v>
      </c>
      <c r="F1818" s="372">
        <v>6</v>
      </c>
      <c r="G1818" s="373">
        <f>2*5</f>
        <v>10</v>
      </c>
      <c r="H1818" s="374">
        <v>5</v>
      </c>
      <c r="I1818" s="375">
        <v>1.17</v>
      </c>
      <c r="J1818" s="376">
        <f t="shared" si="264"/>
        <v>11.7</v>
      </c>
      <c r="K1818" s="66">
        <f t="shared" si="265"/>
        <v>1.8017999999999998</v>
      </c>
      <c r="L1818" s="63">
        <f t="shared" si="266"/>
        <v>0</v>
      </c>
      <c r="M1818" s="63">
        <f t="shared" si="267"/>
        <v>0</v>
      </c>
      <c r="N1818" s="63">
        <f t="shared" si="268"/>
        <v>0</v>
      </c>
      <c r="O1818" s="63">
        <f t="shared" si="269"/>
        <v>0</v>
      </c>
      <c r="P1818" s="63">
        <f t="shared" si="270"/>
        <v>0</v>
      </c>
      <c r="Q1818" s="561">
        <f t="shared" si="92"/>
        <v>0</v>
      </c>
      <c r="R1818" s="174"/>
      <c r="T1818" s="82"/>
      <c r="U1818" s="82"/>
      <c r="V1818" s="82"/>
      <c r="W1818" s="82"/>
      <c r="X1818" s="82"/>
      <c r="Y1818" s="82"/>
      <c r="Z1818" s="82"/>
      <c r="AA1818" s="82"/>
      <c r="AB1818" s="82"/>
    </row>
    <row r="1819" spans="1:28" s="85" customFormat="1" x14ac:dyDescent="0.25">
      <c r="A1819" s="82"/>
      <c r="B1819" s="82"/>
      <c r="C1819" s="82"/>
      <c r="D1819" s="729"/>
      <c r="E1819" s="371" t="s">
        <v>49</v>
      </c>
      <c r="F1819" s="372">
        <v>7</v>
      </c>
      <c r="G1819" s="373">
        <f>2*6</f>
        <v>12</v>
      </c>
      <c r="H1819" s="374">
        <v>5</v>
      </c>
      <c r="I1819" s="375">
        <v>0.74</v>
      </c>
      <c r="J1819" s="376">
        <f t="shared" si="264"/>
        <v>8.879999999999999</v>
      </c>
      <c r="K1819" s="66">
        <f t="shared" si="265"/>
        <v>1.3675199999999998</v>
      </c>
      <c r="L1819" s="63">
        <f t="shared" si="266"/>
        <v>0</v>
      </c>
      <c r="M1819" s="63">
        <f t="shared" si="267"/>
        <v>0</v>
      </c>
      <c r="N1819" s="63">
        <f t="shared" si="268"/>
        <v>0</v>
      </c>
      <c r="O1819" s="63">
        <f t="shared" si="269"/>
        <v>0</v>
      </c>
      <c r="P1819" s="63">
        <f t="shared" si="270"/>
        <v>0</v>
      </c>
      <c r="Q1819" s="561">
        <f t="shared" si="92"/>
        <v>0</v>
      </c>
      <c r="R1819" s="174"/>
      <c r="T1819" s="82"/>
      <c r="U1819" s="82"/>
      <c r="V1819" s="82"/>
      <c r="W1819" s="82"/>
      <c r="X1819" s="82"/>
      <c r="Y1819" s="82"/>
      <c r="Z1819" s="82"/>
      <c r="AA1819" s="82"/>
      <c r="AB1819" s="82"/>
    </row>
    <row r="1820" spans="1:28" s="85" customFormat="1" x14ac:dyDescent="0.25">
      <c r="A1820" s="82"/>
      <c r="B1820" s="82"/>
      <c r="C1820" s="82"/>
      <c r="D1820" s="729"/>
      <c r="E1820" s="371" t="s">
        <v>49</v>
      </c>
      <c r="F1820" s="372">
        <v>12</v>
      </c>
      <c r="G1820" s="373">
        <f>2*10</f>
        <v>20</v>
      </c>
      <c r="H1820" s="374">
        <v>10</v>
      </c>
      <c r="I1820" s="375">
        <v>1.27</v>
      </c>
      <c r="J1820" s="376">
        <f t="shared" si="264"/>
        <v>25.4</v>
      </c>
      <c r="K1820" s="66">
        <f t="shared" si="265"/>
        <v>0</v>
      </c>
      <c r="L1820" s="63">
        <f t="shared" si="266"/>
        <v>0</v>
      </c>
      <c r="M1820" s="63">
        <f t="shared" si="267"/>
        <v>0</v>
      </c>
      <c r="N1820" s="63">
        <f t="shared" si="268"/>
        <v>15.671799999999999</v>
      </c>
      <c r="O1820" s="63">
        <f t="shared" si="269"/>
        <v>0</v>
      </c>
      <c r="P1820" s="63">
        <f t="shared" si="270"/>
        <v>0</v>
      </c>
      <c r="Q1820" s="561">
        <f t="shared" si="92"/>
        <v>0</v>
      </c>
      <c r="R1820" s="174"/>
      <c r="T1820" s="82"/>
      <c r="U1820" s="82"/>
      <c r="V1820" s="82"/>
      <c r="W1820" s="82"/>
      <c r="X1820" s="82"/>
      <c r="Y1820" s="82"/>
      <c r="Z1820" s="82"/>
      <c r="AA1820" s="82"/>
      <c r="AB1820" s="82"/>
    </row>
    <row r="1821" spans="1:28" s="85" customFormat="1" x14ac:dyDescent="0.25">
      <c r="A1821" s="82"/>
      <c r="B1821" s="82"/>
      <c r="C1821" s="82"/>
      <c r="D1821" s="729"/>
      <c r="E1821" s="371" t="s">
        <v>113</v>
      </c>
      <c r="F1821" s="372">
        <v>1</v>
      </c>
      <c r="G1821" s="373">
        <f>2*63</f>
        <v>126</v>
      </c>
      <c r="H1821" s="374">
        <v>5</v>
      </c>
      <c r="I1821" s="375">
        <v>0.24</v>
      </c>
      <c r="J1821" s="376">
        <f t="shared" si="264"/>
        <v>30.24</v>
      </c>
      <c r="K1821" s="66">
        <f t="shared" si="265"/>
        <v>4.6569599999999998</v>
      </c>
      <c r="L1821" s="63">
        <f t="shared" si="266"/>
        <v>0</v>
      </c>
      <c r="M1821" s="63">
        <f t="shared" si="267"/>
        <v>0</v>
      </c>
      <c r="N1821" s="63">
        <f t="shared" si="268"/>
        <v>0</v>
      </c>
      <c r="O1821" s="63">
        <f t="shared" si="269"/>
        <v>0</v>
      </c>
      <c r="P1821" s="63">
        <f t="shared" si="270"/>
        <v>0</v>
      </c>
      <c r="Q1821" s="561">
        <f t="shared" si="92"/>
        <v>0</v>
      </c>
      <c r="R1821" s="174"/>
      <c r="T1821" s="82"/>
      <c r="U1821" s="82"/>
      <c r="V1821" s="82"/>
      <c r="W1821" s="82"/>
      <c r="X1821" s="82"/>
      <c r="Y1821" s="82"/>
      <c r="Z1821" s="82"/>
      <c r="AA1821" s="82"/>
      <c r="AB1821" s="82"/>
    </row>
    <row r="1822" spans="1:28" s="85" customFormat="1" x14ac:dyDescent="0.25">
      <c r="A1822" s="82"/>
      <c r="B1822" s="82"/>
      <c r="C1822" s="82"/>
      <c r="D1822" s="729"/>
      <c r="E1822" s="371" t="s">
        <v>113</v>
      </c>
      <c r="F1822" s="372">
        <v>6</v>
      </c>
      <c r="G1822" s="373">
        <f>2*18</f>
        <v>36</v>
      </c>
      <c r="H1822" s="374">
        <v>5</v>
      </c>
      <c r="I1822" s="375">
        <v>1.17</v>
      </c>
      <c r="J1822" s="376">
        <f t="shared" si="264"/>
        <v>42.12</v>
      </c>
      <c r="K1822" s="66">
        <f t="shared" si="265"/>
        <v>6.4864799999999994</v>
      </c>
      <c r="L1822" s="63">
        <f t="shared" si="266"/>
        <v>0</v>
      </c>
      <c r="M1822" s="63">
        <f t="shared" si="267"/>
        <v>0</v>
      </c>
      <c r="N1822" s="63">
        <f t="shared" si="268"/>
        <v>0</v>
      </c>
      <c r="O1822" s="63">
        <f t="shared" si="269"/>
        <v>0</v>
      </c>
      <c r="P1822" s="63">
        <f t="shared" si="270"/>
        <v>0</v>
      </c>
      <c r="Q1822" s="561">
        <f t="shared" si="92"/>
        <v>0</v>
      </c>
      <c r="R1822" s="174"/>
      <c r="T1822" s="82"/>
      <c r="U1822" s="82"/>
      <c r="V1822" s="82"/>
      <c r="W1822" s="82"/>
      <c r="X1822" s="82"/>
      <c r="Y1822" s="82"/>
      <c r="Z1822" s="82"/>
      <c r="AA1822" s="82"/>
      <c r="AB1822" s="82"/>
    </row>
    <row r="1823" spans="1:28" s="85" customFormat="1" x14ac:dyDescent="0.25">
      <c r="A1823" s="82"/>
      <c r="B1823" s="82"/>
      <c r="C1823" s="82"/>
      <c r="D1823" s="729"/>
      <c r="E1823" s="371" t="s">
        <v>113</v>
      </c>
      <c r="F1823" s="372">
        <v>7</v>
      </c>
      <c r="G1823" s="373">
        <f>2*6</f>
        <v>12</v>
      </c>
      <c r="H1823" s="374">
        <v>5</v>
      </c>
      <c r="I1823" s="375">
        <v>0.74</v>
      </c>
      <c r="J1823" s="376">
        <f t="shared" si="264"/>
        <v>8.879999999999999</v>
      </c>
      <c r="K1823" s="66">
        <f t="shared" si="265"/>
        <v>1.3675199999999998</v>
      </c>
      <c r="L1823" s="63">
        <f t="shared" si="266"/>
        <v>0</v>
      </c>
      <c r="M1823" s="63">
        <f t="shared" si="267"/>
        <v>0</v>
      </c>
      <c r="N1823" s="63">
        <f t="shared" si="268"/>
        <v>0</v>
      </c>
      <c r="O1823" s="63">
        <f t="shared" si="269"/>
        <v>0</v>
      </c>
      <c r="P1823" s="63">
        <f t="shared" si="270"/>
        <v>0</v>
      </c>
      <c r="Q1823" s="561">
        <f t="shared" si="92"/>
        <v>0</v>
      </c>
      <c r="R1823" s="174"/>
      <c r="T1823" s="82"/>
      <c r="U1823" s="82"/>
      <c r="V1823" s="82"/>
      <c r="W1823" s="82"/>
      <c r="X1823" s="82"/>
      <c r="Y1823" s="82"/>
      <c r="Z1823" s="82"/>
      <c r="AA1823" s="82"/>
      <c r="AB1823" s="82"/>
    </row>
    <row r="1824" spans="1:28" s="85" customFormat="1" ht="13.8" thickBot="1" x14ac:dyDescent="0.3">
      <c r="A1824" s="82"/>
      <c r="B1824" s="82"/>
      <c r="C1824" s="82"/>
      <c r="D1824" s="729"/>
      <c r="E1824" s="371" t="s">
        <v>113</v>
      </c>
      <c r="F1824" s="372">
        <v>24</v>
      </c>
      <c r="G1824" s="373">
        <f>2*10</f>
        <v>20</v>
      </c>
      <c r="H1824" s="374">
        <v>10</v>
      </c>
      <c r="I1824" s="375">
        <v>2.3199999999999998</v>
      </c>
      <c r="J1824" s="376">
        <f t="shared" si="264"/>
        <v>46.4</v>
      </c>
      <c r="K1824" s="66">
        <f t="shared" si="265"/>
        <v>0</v>
      </c>
      <c r="L1824" s="63">
        <f t="shared" si="266"/>
        <v>0</v>
      </c>
      <c r="M1824" s="63">
        <f t="shared" si="267"/>
        <v>0</v>
      </c>
      <c r="N1824" s="63">
        <f t="shared" si="268"/>
        <v>28.628799999999998</v>
      </c>
      <c r="O1824" s="63">
        <f t="shared" si="269"/>
        <v>0</v>
      </c>
      <c r="P1824" s="63">
        <f t="shared" si="270"/>
        <v>0</v>
      </c>
      <c r="Q1824" s="561">
        <f t="shared" si="92"/>
        <v>0</v>
      </c>
      <c r="R1824" s="174"/>
      <c r="T1824" s="82"/>
      <c r="U1824" s="82"/>
      <c r="V1824" s="82"/>
      <c r="W1824" s="82"/>
      <c r="X1824" s="82"/>
      <c r="Y1824" s="82"/>
      <c r="Z1824" s="82"/>
      <c r="AA1824" s="82"/>
      <c r="AB1824" s="82"/>
    </row>
    <row r="1825" spans="1:28" s="85" customFormat="1" ht="13.8" thickTop="1" x14ac:dyDescent="0.25">
      <c r="A1825" s="82"/>
      <c r="B1825" s="82"/>
      <c r="C1825" s="82"/>
      <c r="D1825" s="728"/>
      <c r="E1825" s="384" t="s">
        <v>49</v>
      </c>
      <c r="F1825" s="385"/>
      <c r="G1825" s="386"/>
      <c r="H1825" s="387"/>
      <c r="I1825" s="388"/>
      <c r="J1825" s="389">
        <f t="shared" si="264"/>
        <v>0</v>
      </c>
      <c r="K1825" s="218">
        <f t="shared" si="265"/>
        <v>0</v>
      </c>
      <c r="L1825" s="219">
        <f t="shared" si="266"/>
        <v>0</v>
      </c>
      <c r="M1825" s="219">
        <f t="shared" si="267"/>
        <v>0</v>
      </c>
      <c r="N1825" s="219">
        <f t="shared" si="268"/>
        <v>0</v>
      </c>
      <c r="O1825" s="219">
        <f t="shared" si="269"/>
        <v>0</v>
      </c>
      <c r="P1825" s="219">
        <f t="shared" si="270"/>
        <v>0</v>
      </c>
      <c r="Q1825" s="563">
        <f t="shared" si="92"/>
        <v>0</v>
      </c>
      <c r="R1825" s="220"/>
      <c r="T1825" s="82"/>
      <c r="U1825" s="82"/>
      <c r="V1825" s="82"/>
      <c r="W1825" s="82"/>
      <c r="X1825" s="82"/>
      <c r="Y1825" s="82"/>
      <c r="Z1825" s="82"/>
      <c r="AA1825" s="82"/>
      <c r="AB1825" s="82"/>
    </row>
    <row r="1826" spans="1:28" s="85" customFormat="1" x14ac:dyDescent="0.25">
      <c r="A1826" s="82"/>
      <c r="B1826" s="82"/>
      <c r="C1826" s="82"/>
      <c r="D1826" s="729"/>
      <c r="E1826" s="371" t="s">
        <v>49</v>
      </c>
      <c r="F1826" s="372"/>
      <c r="G1826" s="373"/>
      <c r="H1826" s="374"/>
      <c r="I1826" s="375"/>
      <c r="J1826" s="376">
        <f t="shared" si="264"/>
        <v>0</v>
      </c>
      <c r="K1826" s="66">
        <f t="shared" si="265"/>
        <v>0</v>
      </c>
      <c r="L1826" s="63">
        <f t="shared" si="266"/>
        <v>0</v>
      </c>
      <c r="M1826" s="63">
        <f t="shared" si="267"/>
        <v>0</v>
      </c>
      <c r="N1826" s="63">
        <f t="shared" si="268"/>
        <v>0</v>
      </c>
      <c r="O1826" s="63">
        <f t="shared" si="269"/>
        <v>0</v>
      </c>
      <c r="P1826" s="63">
        <f t="shared" si="270"/>
        <v>0</v>
      </c>
      <c r="Q1826" s="561">
        <f t="shared" si="92"/>
        <v>0</v>
      </c>
      <c r="R1826" s="174"/>
      <c r="T1826" s="82"/>
      <c r="U1826" s="82"/>
      <c r="V1826" s="82"/>
      <c r="W1826" s="82"/>
      <c r="X1826" s="82"/>
      <c r="Y1826" s="82"/>
      <c r="Z1826" s="82"/>
      <c r="AA1826" s="82"/>
      <c r="AB1826" s="82"/>
    </row>
    <row r="1827" spans="1:28" s="85" customFormat="1" x14ac:dyDescent="0.25">
      <c r="A1827" s="82"/>
      <c r="B1827" s="82"/>
      <c r="C1827" s="82"/>
      <c r="D1827" s="729"/>
      <c r="E1827" s="371" t="s">
        <v>49</v>
      </c>
      <c r="F1827" s="372"/>
      <c r="G1827" s="373"/>
      <c r="H1827" s="374"/>
      <c r="I1827" s="375"/>
      <c r="J1827" s="376">
        <f t="shared" si="264"/>
        <v>0</v>
      </c>
      <c r="K1827" s="66">
        <f t="shared" si="265"/>
        <v>0</v>
      </c>
      <c r="L1827" s="63">
        <f t="shared" si="266"/>
        <v>0</v>
      </c>
      <c r="M1827" s="63">
        <f t="shared" si="267"/>
        <v>0</v>
      </c>
      <c r="N1827" s="63">
        <f t="shared" si="268"/>
        <v>0</v>
      </c>
      <c r="O1827" s="63">
        <f t="shared" si="269"/>
        <v>0</v>
      </c>
      <c r="P1827" s="63">
        <f t="shared" si="270"/>
        <v>0</v>
      </c>
      <c r="Q1827" s="561">
        <f t="shared" si="92"/>
        <v>0</v>
      </c>
      <c r="R1827" s="174"/>
      <c r="T1827" s="82"/>
      <c r="U1827" s="82"/>
      <c r="V1827" s="82"/>
      <c r="W1827" s="82"/>
      <c r="X1827" s="82"/>
      <c r="Y1827" s="82"/>
      <c r="Z1827" s="82"/>
      <c r="AA1827" s="82"/>
      <c r="AB1827" s="82"/>
    </row>
    <row r="1828" spans="1:28" s="85" customFormat="1" x14ac:dyDescent="0.25">
      <c r="A1828" s="82"/>
      <c r="B1828" s="82"/>
      <c r="C1828" s="82"/>
      <c r="D1828" s="729"/>
      <c r="E1828" s="371" t="s">
        <v>49</v>
      </c>
      <c r="F1828" s="372"/>
      <c r="G1828" s="373"/>
      <c r="H1828" s="374"/>
      <c r="I1828" s="375"/>
      <c r="J1828" s="376">
        <f t="shared" si="264"/>
        <v>0</v>
      </c>
      <c r="K1828" s="66">
        <f t="shared" si="265"/>
        <v>0</v>
      </c>
      <c r="L1828" s="63">
        <f t="shared" si="266"/>
        <v>0</v>
      </c>
      <c r="M1828" s="63">
        <f t="shared" si="267"/>
        <v>0</v>
      </c>
      <c r="N1828" s="63">
        <f t="shared" si="268"/>
        <v>0</v>
      </c>
      <c r="O1828" s="63">
        <f t="shared" si="269"/>
        <v>0</v>
      </c>
      <c r="P1828" s="63">
        <f t="shared" si="270"/>
        <v>0</v>
      </c>
      <c r="Q1828" s="561">
        <f t="shared" si="92"/>
        <v>0</v>
      </c>
      <c r="R1828" s="174"/>
      <c r="T1828" s="82"/>
      <c r="U1828" s="82"/>
      <c r="V1828" s="82"/>
      <c r="W1828" s="82"/>
      <c r="X1828" s="82"/>
      <c r="Y1828" s="82"/>
      <c r="Z1828" s="82"/>
      <c r="AA1828" s="82"/>
      <c r="AB1828" s="82"/>
    </row>
    <row r="1829" spans="1:28" s="85" customFormat="1" x14ac:dyDescent="0.25">
      <c r="A1829" s="82"/>
      <c r="B1829" s="82"/>
      <c r="C1829" s="82"/>
      <c r="D1829" s="729"/>
      <c r="E1829" s="371" t="s">
        <v>113</v>
      </c>
      <c r="F1829" s="372"/>
      <c r="G1829" s="373"/>
      <c r="H1829" s="374"/>
      <c r="I1829" s="375"/>
      <c r="J1829" s="376">
        <f t="shared" si="264"/>
        <v>0</v>
      </c>
      <c r="K1829" s="66">
        <f t="shared" si="265"/>
        <v>0</v>
      </c>
      <c r="L1829" s="63">
        <f t="shared" si="266"/>
        <v>0</v>
      </c>
      <c r="M1829" s="63">
        <f t="shared" si="267"/>
        <v>0</v>
      </c>
      <c r="N1829" s="63">
        <f t="shared" si="268"/>
        <v>0</v>
      </c>
      <c r="O1829" s="63">
        <f t="shared" si="269"/>
        <v>0</v>
      </c>
      <c r="P1829" s="63">
        <f t="shared" si="270"/>
        <v>0</v>
      </c>
      <c r="Q1829" s="561">
        <f t="shared" si="92"/>
        <v>0</v>
      </c>
      <c r="R1829" s="174"/>
      <c r="T1829" s="82"/>
      <c r="U1829" s="82"/>
      <c r="V1829" s="82"/>
      <c r="W1829" s="82"/>
      <c r="X1829" s="82"/>
      <c r="Y1829" s="82"/>
      <c r="Z1829" s="82"/>
      <c r="AA1829" s="82"/>
      <c r="AB1829" s="82"/>
    </row>
    <row r="1830" spans="1:28" s="85" customFormat="1" x14ac:dyDescent="0.25">
      <c r="A1830" s="82"/>
      <c r="B1830" s="82"/>
      <c r="C1830" s="82"/>
      <c r="D1830" s="729"/>
      <c r="E1830" s="371" t="s">
        <v>113</v>
      </c>
      <c r="F1830" s="372"/>
      <c r="G1830" s="373"/>
      <c r="H1830" s="374"/>
      <c r="I1830" s="375"/>
      <c r="J1830" s="376">
        <f t="shared" si="264"/>
        <v>0</v>
      </c>
      <c r="K1830" s="66">
        <f t="shared" si="265"/>
        <v>0</v>
      </c>
      <c r="L1830" s="63">
        <f t="shared" si="266"/>
        <v>0</v>
      </c>
      <c r="M1830" s="63">
        <f t="shared" si="267"/>
        <v>0</v>
      </c>
      <c r="N1830" s="63">
        <f t="shared" si="268"/>
        <v>0</v>
      </c>
      <c r="O1830" s="63">
        <f t="shared" si="269"/>
        <v>0</v>
      </c>
      <c r="P1830" s="63">
        <f t="shared" si="270"/>
        <v>0</v>
      </c>
      <c r="Q1830" s="561">
        <f t="shared" si="92"/>
        <v>0</v>
      </c>
      <c r="R1830" s="174"/>
      <c r="T1830" s="82"/>
      <c r="U1830" s="82"/>
      <c r="V1830" s="82"/>
      <c r="W1830" s="82"/>
      <c r="X1830" s="82"/>
      <c r="Y1830" s="82"/>
      <c r="Z1830" s="82"/>
      <c r="AA1830" s="82"/>
      <c r="AB1830" s="82"/>
    </row>
    <row r="1831" spans="1:28" s="85" customFormat="1" x14ac:dyDescent="0.25">
      <c r="A1831" s="82"/>
      <c r="B1831" s="82"/>
      <c r="C1831" s="82"/>
      <c r="D1831" s="729"/>
      <c r="E1831" s="371" t="s">
        <v>113</v>
      </c>
      <c r="F1831" s="372"/>
      <c r="G1831" s="373"/>
      <c r="H1831" s="374"/>
      <c r="I1831" s="375"/>
      <c r="J1831" s="376">
        <f t="shared" si="264"/>
        <v>0</v>
      </c>
      <c r="K1831" s="66">
        <f t="shared" si="265"/>
        <v>0</v>
      </c>
      <c r="L1831" s="63">
        <f t="shared" si="266"/>
        <v>0</v>
      </c>
      <c r="M1831" s="63">
        <f t="shared" si="267"/>
        <v>0</v>
      </c>
      <c r="N1831" s="63">
        <f t="shared" si="268"/>
        <v>0</v>
      </c>
      <c r="O1831" s="63">
        <f t="shared" si="269"/>
        <v>0</v>
      </c>
      <c r="P1831" s="63">
        <f t="shared" si="270"/>
        <v>0</v>
      </c>
      <c r="Q1831" s="561">
        <f t="shared" si="92"/>
        <v>0</v>
      </c>
      <c r="R1831" s="174"/>
      <c r="T1831" s="82"/>
      <c r="U1831" s="82"/>
      <c r="V1831" s="82"/>
      <c r="W1831" s="82"/>
      <c r="X1831" s="82"/>
      <c r="Y1831" s="82"/>
      <c r="Z1831" s="82"/>
      <c r="AA1831" s="82"/>
      <c r="AB1831" s="82"/>
    </row>
    <row r="1832" spans="1:28" s="85" customFormat="1" x14ac:dyDescent="0.25">
      <c r="A1832" s="82"/>
      <c r="B1832" s="82"/>
      <c r="C1832" s="82"/>
      <c r="D1832" s="729"/>
      <c r="E1832" s="371" t="s">
        <v>113</v>
      </c>
      <c r="F1832" s="372"/>
      <c r="G1832" s="373"/>
      <c r="H1832" s="374"/>
      <c r="I1832" s="375"/>
      <c r="J1832" s="376">
        <f t="shared" si="264"/>
        <v>0</v>
      </c>
      <c r="K1832" s="66">
        <f t="shared" si="265"/>
        <v>0</v>
      </c>
      <c r="L1832" s="63">
        <f t="shared" si="266"/>
        <v>0</v>
      </c>
      <c r="M1832" s="63">
        <f t="shared" si="267"/>
        <v>0</v>
      </c>
      <c r="N1832" s="63">
        <f t="shared" si="268"/>
        <v>0</v>
      </c>
      <c r="O1832" s="63">
        <f t="shared" si="269"/>
        <v>0</v>
      </c>
      <c r="P1832" s="63">
        <f t="shared" si="270"/>
        <v>0</v>
      </c>
      <c r="Q1832" s="561">
        <f t="shared" ref="Q1832:Q1992" si="271">IF($H1832=20,$J1832*$B$28,0)</f>
        <v>0</v>
      </c>
      <c r="R1832" s="174"/>
      <c r="T1832" s="82"/>
      <c r="U1832" s="82"/>
      <c r="V1832" s="82"/>
      <c r="W1832" s="82"/>
      <c r="X1832" s="82"/>
      <c r="Y1832" s="82"/>
      <c r="Z1832" s="82"/>
      <c r="AA1832" s="82"/>
      <c r="AB1832" s="82"/>
    </row>
    <row r="1833" spans="1:28" s="85" customFormat="1" x14ac:dyDescent="0.25">
      <c r="A1833" s="82"/>
      <c r="B1833" s="82"/>
      <c r="C1833" s="82"/>
      <c r="D1833" s="729"/>
      <c r="E1833" s="396" t="s">
        <v>184</v>
      </c>
      <c r="F1833" s="403"/>
      <c r="G1833" s="397"/>
      <c r="H1833" s="398"/>
      <c r="I1833" s="399"/>
      <c r="J1833" s="400">
        <f t="shared" si="264"/>
        <v>0</v>
      </c>
      <c r="K1833" s="401">
        <f t="shared" si="265"/>
        <v>0</v>
      </c>
      <c r="L1833" s="196">
        <f t="shared" si="266"/>
        <v>0</v>
      </c>
      <c r="M1833" s="196">
        <f t="shared" si="267"/>
        <v>0</v>
      </c>
      <c r="N1833" s="196">
        <f t="shared" si="268"/>
        <v>0</v>
      </c>
      <c r="O1833" s="196">
        <f t="shared" si="269"/>
        <v>0</v>
      </c>
      <c r="P1833" s="196">
        <f t="shared" si="270"/>
        <v>0</v>
      </c>
      <c r="Q1833" s="566">
        <f t="shared" si="271"/>
        <v>0</v>
      </c>
      <c r="R1833" s="538"/>
      <c r="T1833" s="82"/>
      <c r="U1833" s="82"/>
      <c r="V1833" s="82"/>
      <c r="W1833" s="82"/>
      <c r="X1833" s="82"/>
      <c r="Y1833" s="82"/>
      <c r="Z1833" s="82"/>
      <c r="AA1833" s="82"/>
      <c r="AB1833" s="82"/>
    </row>
    <row r="1834" spans="1:28" s="85" customFormat="1" x14ac:dyDescent="0.25">
      <c r="A1834" s="82"/>
      <c r="B1834" s="82"/>
      <c r="C1834" s="82"/>
      <c r="D1834" s="729"/>
      <c r="E1834" s="371" t="s">
        <v>184</v>
      </c>
      <c r="F1834" s="372"/>
      <c r="G1834" s="373"/>
      <c r="H1834" s="374"/>
      <c r="I1834" s="375"/>
      <c r="J1834" s="376">
        <f t="shared" si="264"/>
        <v>0</v>
      </c>
      <c r="K1834" s="66">
        <f t="shared" si="265"/>
        <v>0</v>
      </c>
      <c r="L1834" s="63">
        <f t="shared" si="266"/>
        <v>0</v>
      </c>
      <c r="M1834" s="63">
        <f t="shared" si="267"/>
        <v>0</v>
      </c>
      <c r="N1834" s="63">
        <f t="shared" si="268"/>
        <v>0</v>
      </c>
      <c r="O1834" s="63">
        <f t="shared" si="269"/>
        <v>0</v>
      </c>
      <c r="P1834" s="63">
        <f t="shared" si="270"/>
        <v>0</v>
      </c>
      <c r="Q1834" s="562">
        <f t="shared" si="271"/>
        <v>0</v>
      </c>
      <c r="R1834" s="377"/>
      <c r="T1834" s="82"/>
      <c r="U1834" s="82"/>
      <c r="V1834" s="82"/>
      <c r="W1834" s="82"/>
      <c r="X1834" s="82"/>
      <c r="Y1834" s="82"/>
      <c r="Z1834" s="82"/>
      <c r="AA1834" s="82"/>
      <c r="AB1834" s="82"/>
    </row>
    <row r="1835" spans="1:28" s="85" customFormat="1" x14ac:dyDescent="0.25">
      <c r="A1835" s="82"/>
      <c r="B1835" s="82"/>
      <c r="C1835" s="82"/>
      <c r="D1835" s="729"/>
      <c r="E1835" s="371" t="s">
        <v>184</v>
      </c>
      <c r="F1835" s="372"/>
      <c r="G1835" s="373"/>
      <c r="H1835" s="374"/>
      <c r="I1835" s="375"/>
      <c r="J1835" s="376">
        <f t="shared" si="264"/>
        <v>0</v>
      </c>
      <c r="K1835" s="66">
        <f t="shared" si="265"/>
        <v>0</v>
      </c>
      <c r="L1835" s="63">
        <f t="shared" si="266"/>
        <v>0</v>
      </c>
      <c r="M1835" s="63">
        <f t="shared" si="267"/>
        <v>0</v>
      </c>
      <c r="N1835" s="63">
        <f t="shared" si="268"/>
        <v>0</v>
      </c>
      <c r="O1835" s="63">
        <f t="shared" si="269"/>
        <v>0</v>
      </c>
      <c r="P1835" s="63">
        <f t="shared" si="270"/>
        <v>0</v>
      </c>
      <c r="Q1835" s="562">
        <f t="shared" si="271"/>
        <v>0</v>
      </c>
      <c r="R1835" s="377"/>
      <c r="T1835" s="82"/>
      <c r="U1835" s="82"/>
      <c r="V1835" s="82"/>
      <c r="W1835" s="82"/>
      <c r="X1835" s="82"/>
      <c r="Y1835" s="82"/>
      <c r="Z1835" s="82"/>
      <c r="AA1835" s="82"/>
      <c r="AB1835" s="82"/>
    </row>
    <row r="1836" spans="1:28" s="85" customFormat="1" ht="13.8" thickBot="1" x14ac:dyDescent="0.3">
      <c r="A1836" s="82"/>
      <c r="B1836" s="82"/>
      <c r="C1836" s="82"/>
      <c r="D1836" s="731"/>
      <c r="E1836" s="390" t="s">
        <v>184</v>
      </c>
      <c r="F1836" s="391"/>
      <c r="G1836" s="392"/>
      <c r="H1836" s="393"/>
      <c r="I1836" s="394"/>
      <c r="J1836" s="395">
        <f t="shared" si="264"/>
        <v>0</v>
      </c>
      <c r="K1836" s="221">
        <f t="shared" si="265"/>
        <v>0</v>
      </c>
      <c r="L1836" s="222">
        <f t="shared" si="266"/>
        <v>0</v>
      </c>
      <c r="M1836" s="222">
        <f t="shared" si="267"/>
        <v>0</v>
      </c>
      <c r="N1836" s="222">
        <f t="shared" si="268"/>
        <v>0</v>
      </c>
      <c r="O1836" s="222">
        <f t="shared" si="269"/>
        <v>0</v>
      </c>
      <c r="P1836" s="222">
        <f t="shared" si="270"/>
        <v>0</v>
      </c>
      <c r="Q1836" s="564">
        <f t="shared" si="271"/>
        <v>0</v>
      </c>
      <c r="R1836" s="539"/>
      <c r="T1836" s="82"/>
      <c r="U1836" s="82"/>
      <c r="V1836" s="82"/>
      <c r="W1836" s="82"/>
      <c r="X1836" s="82"/>
      <c r="Y1836" s="82"/>
      <c r="Z1836" s="82"/>
      <c r="AA1836" s="82"/>
      <c r="AB1836" s="82"/>
    </row>
    <row r="1837" spans="1:28" s="85" customFormat="1" ht="13.8" thickTop="1" x14ac:dyDescent="0.25">
      <c r="A1837" s="82"/>
      <c r="B1837" s="82"/>
      <c r="C1837" s="82"/>
      <c r="D1837" s="728"/>
      <c r="E1837" s="384" t="s">
        <v>49</v>
      </c>
      <c r="F1837" s="385"/>
      <c r="G1837" s="386"/>
      <c r="H1837" s="387"/>
      <c r="I1837" s="388"/>
      <c r="J1837" s="389">
        <f t="shared" si="264"/>
        <v>0</v>
      </c>
      <c r="K1837" s="218">
        <f t="shared" si="265"/>
        <v>0</v>
      </c>
      <c r="L1837" s="219">
        <f t="shared" si="266"/>
        <v>0</v>
      </c>
      <c r="M1837" s="219">
        <f t="shared" si="267"/>
        <v>0</v>
      </c>
      <c r="N1837" s="219">
        <f t="shared" si="268"/>
        <v>0</v>
      </c>
      <c r="O1837" s="219">
        <f t="shared" si="269"/>
        <v>0</v>
      </c>
      <c r="P1837" s="219">
        <f t="shared" si="270"/>
        <v>0</v>
      </c>
      <c r="Q1837" s="563">
        <f t="shared" si="271"/>
        <v>0</v>
      </c>
      <c r="R1837" s="220"/>
      <c r="T1837" s="82"/>
      <c r="U1837" s="82"/>
      <c r="V1837" s="82"/>
      <c r="W1837" s="82"/>
      <c r="X1837" s="82"/>
      <c r="Y1837" s="82"/>
      <c r="Z1837" s="82"/>
      <c r="AA1837" s="82"/>
      <c r="AB1837" s="82"/>
    </row>
    <row r="1838" spans="1:28" s="85" customFormat="1" x14ac:dyDescent="0.25">
      <c r="A1838" s="82"/>
      <c r="B1838" s="82"/>
      <c r="C1838" s="82"/>
      <c r="D1838" s="729"/>
      <c r="E1838" s="371" t="s">
        <v>49</v>
      </c>
      <c r="F1838" s="372"/>
      <c r="G1838" s="373"/>
      <c r="H1838" s="374"/>
      <c r="I1838" s="375"/>
      <c r="J1838" s="376">
        <f t="shared" si="264"/>
        <v>0</v>
      </c>
      <c r="K1838" s="66">
        <f t="shared" si="265"/>
        <v>0</v>
      </c>
      <c r="L1838" s="63">
        <f t="shared" si="266"/>
        <v>0</v>
      </c>
      <c r="M1838" s="63">
        <f t="shared" si="267"/>
        <v>0</v>
      </c>
      <c r="N1838" s="63">
        <f t="shared" si="268"/>
        <v>0</v>
      </c>
      <c r="O1838" s="63">
        <f t="shared" si="269"/>
        <v>0</v>
      </c>
      <c r="P1838" s="63">
        <f t="shared" si="270"/>
        <v>0</v>
      </c>
      <c r="Q1838" s="561">
        <f t="shared" si="271"/>
        <v>0</v>
      </c>
      <c r="R1838" s="174"/>
      <c r="T1838" s="82"/>
      <c r="U1838" s="82"/>
      <c r="V1838" s="82"/>
      <c r="W1838" s="82"/>
      <c r="X1838" s="82"/>
      <c r="Y1838" s="82"/>
      <c r="Z1838" s="82"/>
      <c r="AA1838" s="82"/>
      <c r="AB1838" s="82"/>
    </row>
    <row r="1839" spans="1:28" s="85" customFormat="1" x14ac:dyDescent="0.25">
      <c r="A1839" s="82"/>
      <c r="B1839" s="82"/>
      <c r="C1839" s="82"/>
      <c r="D1839" s="729"/>
      <c r="E1839" s="371" t="s">
        <v>49</v>
      </c>
      <c r="F1839" s="372"/>
      <c r="G1839" s="373"/>
      <c r="H1839" s="374"/>
      <c r="I1839" s="375"/>
      <c r="J1839" s="376">
        <f t="shared" si="264"/>
        <v>0</v>
      </c>
      <c r="K1839" s="66">
        <f t="shared" si="265"/>
        <v>0</v>
      </c>
      <c r="L1839" s="63">
        <f t="shared" si="266"/>
        <v>0</v>
      </c>
      <c r="M1839" s="63">
        <f t="shared" si="267"/>
        <v>0</v>
      </c>
      <c r="N1839" s="63">
        <f t="shared" si="268"/>
        <v>0</v>
      </c>
      <c r="O1839" s="63">
        <f t="shared" si="269"/>
        <v>0</v>
      </c>
      <c r="P1839" s="63">
        <f t="shared" si="270"/>
        <v>0</v>
      </c>
      <c r="Q1839" s="561">
        <f t="shared" si="271"/>
        <v>0</v>
      </c>
      <c r="R1839" s="174"/>
      <c r="T1839" s="82"/>
      <c r="U1839" s="82"/>
      <c r="V1839" s="82"/>
      <c r="W1839" s="82"/>
      <c r="X1839" s="82"/>
      <c r="Y1839" s="82"/>
      <c r="Z1839" s="82"/>
      <c r="AA1839" s="82"/>
      <c r="AB1839" s="82"/>
    </row>
    <row r="1840" spans="1:28" s="85" customFormat="1" x14ac:dyDescent="0.25">
      <c r="A1840" s="82"/>
      <c r="B1840" s="82"/>
      <c r="C1840" s="82"/>
      <c r="D1840" s="729"/>
      <c r="E1840" s="371" t="s">
        <v>49</v>
      </c>
      <c r="F1840" s="372"/>
      <c r="G1840" s="373"/>
      <c r="H1840" s="374"/>
      <c r="I1840" s="375"/>
      <c r="J1840" s="376">
        <f t="shared" si="264"/>
        <v>0</v>
      </c>
      <c r="K1840" s="66">
        <f t="shared" si="265"/>
        <v>0</v>
      </c>
      <c r="L1840" s="63">
        <f t="shared" si="266"/>
        <v>0</v>
      </c>
      <c r="M1840" s="63">
        <f t="shared" si="267"/>
        <v>0</v>
      </c>
      <c r="N1840" s="63">
        <f t="shared" si="268"/>
        <v>0</v>
      </c>
      <c r="O1840" s="63">
        <f t="shared" si="269"/>
        <v>0</v>
      </c>
      <c r="P1840" s="63">
        <f t="shared" si="270"/>
        <v>0</v>
      </c>
      <c r="Q1840" s="561">
        <f t="shared" si="271"/>
        <v>0</v>
      </c>
      <c r="R1840" s="174"/>
      <c r="T1840" s="82"/>
      <c r="U1840" s="82"/>
      <c r="V1840" s="82"/>
      <c r="W1840" s="82"/>
      <c r="X1840" s="82"/>
      <c r="Y1840" s="82"/>
      <c r="Z1840" s="82"/>
      <c r="AA1840" s="82"/>
      <c r="AB1840" s="82"/>
    </row>
    <row r="1841" spans="1:28" s="85" customFormat="1" x14ac:dyDescent="0.25">
      <c r="A1841" s="82"/>
      <c r="B1841" s="82"/>
      <c r="C1841" s="82"/>
      <c r="D1841" s="729"/>
      <c r="E1841" s="371" t="s">
        <v>113</v>
      </c>
      <c r="F1841" s="372"/>
      <c r="G1841" s="373"/>
      <c r="H1841" s="374"/>
      <c r="I1841" s="375"/>
      <c r="J1841" s="376">
        <f t="shared" si="264"/>
        <v>0</v>
      </c>
      <c r="K1841" s="66">
        <f t="shared" si="265"/>
        <v>0</v>
      </c>
      <c r="L1841" s="63">
        <f t="shared" si="266"/>
        <v>0</v>
      </c>
      <c r="M1841" s="63">
        <f t="shared" si="267"/>
        <v>0</v>
      </c>
      <c r="N1841" s="63">
        <f t="shared" si="268"/>
        <v>0</v>
      </c>
      <c r="O1841" s="63">
        <f t="shared" si="269"/>
        <v>0</v>
      </c>
      <c r="P1841" s="63">
        <f t="shared" si="270"/>
        <v>0</v>
      </c>
      <c r="Q1841" s="561">
        <f t="shared" si="271"/>
        <v>0</v>
      </c>
      <c r="R1841" s="174"/>
      <c r="T1841" s="82"/>
      <c r="U1841" s="82"/>
      <c r="V1841" s="82"/>
      <c r="W1841" s="82"/>
      <c r="X1841" s="82"/>
      <c r="Y1841" s="82"/>
      <c r="Z1841" s="82"/>
      <c r="AA1841" s="82"/>
      <c r="AB1841" s="82"/>
    </row>
    <row r="1842" spans="1:28" s="85" customFormat="1" x14ac:dyDescent="0.25">
      <c r="A1842" s="82"/>
      <c r="B1842" s="82"/>
      <c r="C1842" s="82"/>
      <c r="D1842" s="729"/>
      <c r="E1842" s="371" t="s">
        <v>113</v>
      </c>
      <c r="F1842" s="372"/>
      <c r="G1842" s="373"/>
      <c r="H1842" s="374"/>
      <c r="I1842" s="375"/>
      <c r="J1842" s="376">
        <f t="shared" si="264"/>
        <v>0</v>
      </c>
      <c r="K1842" s="66">
        <f t="shared" si="265"/>
        <v>0</v>
      </c>
      <c r="L1842" s="63">
        <f t="shared" si="266"/>
        <v>0</v>
      </c>
      <c r="M1842" s="63">
        <f t="shared" si="267"/>
        <v>0</v>
      </c>
      <c r="N1842" s="63">
        <f t="shared" si="268"/>
        <v>0</v>
      </c>
      <c r="O1842" s="63">
        <f t="shared" si="269"/>
        <v>0</v>
      </c>
      <c r="P1842" s="63">
        <f t="shared" si="270"/>
        <v>0</v>
      </c>
      <c r="Q1842" s="561">
        <f t="shared" si="271"/>
        <v>0</v>
      </c>
      <c r="R1842" s="174"/>
      <c r="T1842" s="82"/>
      <c r="U1842" s="82"/>
      <c r="V1842" s="82"/>
      <c r="W1842" s="82"/>
      <c r="X1842" s="82"/>
      <c r="Y1842" s="82"/>
      <c r="Z1842" s="82"/>
      <c r="AA1842" s="82"/>
      <c r="AB1842" s="82"/>
    </row>
    <row r="1843" spans="1:28" s="85" customFormat="1" x14ac:dyDescent="0.25">
      <c r="A1843" s="82"/>
      <c r="B1843" s="82"/>
      <c r="C1843" s="82"/>
      <c r="D1843" s="729"/>
      <c r="E1843" s="371" t="s">
        <v>113</v>
      </c>
      <c r="F1843" s="372"/>
      <c r="G1843" s="373"/>
      <c r="H1843" s="374"/>
      <c r="I1843" s="375"/>
      <c r="J1843" s="376">
        <f t="shared" si="264"/>
        <v>0</v>
      </c>
      <c r="K1843" s="66">
        <f t="shared" si="265"/>
        <v>0</v>
      </c>
      <c r="L1843" s="63">
        <f t="shared" si="266"/>
        <v>0</v>
      </c>
      <c r="M1843" s="63">
        <f t="shared" si="267"/>
        <v>0</v>
      </c>
      <c r="N1843" s="63">
        <f t="shared" si="268"/>
        <v>0</v>
      </c>
      <c r="O1843" s="63">
        <f t="shared" si="269"/>
        <v>0</v>
      </c>
      <c r="P1843" s="63">
        <f t="shared" si="270"/>
        <v>0</v>
      </c>
      <c r="Q1843" s="561">
        <f t="shared" si="271"/>
        <v>0</v>
      </c>
      <c r="R1843" s="174"/>
      <c r="T1843" s="82"/>
      <c r="U1843" s="82"/>
      <c r="V1843" s="82"/>
      <c r="W1843" s="82"/>
      <c r="X1843" s="82"/>
      <c r="Y1843" s="82"/>
      <c r="Z1843" s="82"/>
      <c r="AA1843" s="82"/>
      <c r="AB1843" s="82"/>
    </row>
    <row r="1844" spans="1:28" s="85" customFormat="1" x14ac:dyDescent="0.25">
      <c r="A1844" s="82"/>
      <c r="B1844" s="82"/>
      <c r="C1844" s="82"/>
      <c r="D1844" s="729"/>
      <c r="E1844" s="371" t="s">
        <v>113</v>
      </c>
      <c r="F1844" s="372"/>
      <c r="G1844" s="373"/>
      <c r="H1844" s="374"/>
      <c r="I1844" s="375"/>
      <c r="J1844" s="376">
        <f t="shared" si="264"/>
        <v>0</v>
      </c>
      <c r="K1844" s="66">
        <f t="shared" si="265"/>
        <v>0</v>
      </c>
      <c r="L1844" s="63">
        <f t="shared" si="266"/>
        <v>0</v>
      </c>
      <c r="M1844" s="63">
        <f t="shared" si="267"/>
        <v>0</v>
      </c>
      <c r="N1844" s="63">
        <f t="shared" si="268"/>
        <v>0</v>
      </c>
      <c r="O1844" s="63">
        <f t="shared" si="269"/>
        <v>0</v>
      </c>
      <c r="P1844" s="63">
        <f t="shared" si="270"/>
        <v>0</v>
      </c>
      <c r="Q1844" s="561">
        <f t="shared" si="271"/>
        <v>0</v>
      </c>
      <c r="R1844" s="174"/>
      <c r="T1844" s="82"/>
      <c r="U1844" s="82"/>
      <c r="V1844" s="82"/>
      <c r="W1844" s="82"/>
      <c r="X1844" s="82"/>
      <c r="Y1844" s="82"/>
      <c r="Z1844" s="82"/>
      <c r="AA1844" s="82"/>
      <c r="AB1844" s="82"/>
    </row>
    <row r="1845" spans="1:28" s="85" customFormat="1" x14ac:dyDescent="0.25">
      <c r="A1845" s="82"/>
      <c r="B1845" s="82"/>
      <c r="C1845" s="82"/>
      <c r="D1845" s="729"/>
      <c r="E1845" s="396" t="s">
        <v>184</v>
      </c>
      <c r="F1845" s="403"/>
      <c r="G1845" s="397"/>
      <c r="H1845" s="398"/>
      <c r="I1845" s="399"/>
      <c r="J1845" s="400">
        <f t="shared" si="264"/>
        <v>0</v>
      </c>
      <c r="K1845" s="401">
        <f t="shared" si="265"/>
        <v>0</v>
      </c>
      <c r="L1845" s="196">
        <f t="shared" si="266"/>
        <v>0</v>
      </c>
      <c r="M1845" s="196">
        <f t="shared" si="267"/>
        <v>0</v>
      </c>
      <c r="N1845" s="196">
        <f t="shared" si="268"/>
        <v>0</v>
      </c>
      <c r="O1845" s="196">
        <f t="shared" si="269"/>
        <v>0</v>
      </c>
      <c r="P1845" s="196">
        <f t="shared" si="270"/>
        <v>0</v>
      </c>
      <c r="Q1845" s="566">
        <f t="shared" si="271"/>
        <v>0</v>
      </c>
      <c r="R1845" s="538"/>
      <c r="T1845" s="82"/>
      <c r="U1845" s="82"/>
      <c r="V1845" s="82"/>
      <c r="W1845" s="82"/>
      <c r="X1845" s="82"/>
      <c r="Y1845" s="82"/>
      <c r="Z1845" s="82"/>
      <c r="AA1845" s="82"/>
      <c r="AB1845" s="82"/>
    </row>
    <row r="1846" spans="1:28" s="85" customFormat="1" x14ac:dyDescent="0.25">
      <c r="A1846" s="82"/>
      <c r="B1846" s="82"/>
      <c r="C1846" s="82"/>
      <c r="D1846" s="729"/>
      <c r="E1846" s="371" t="s">
        <v>184</v>
      </c>
      <c r="F1846" s="372"/>
      <c r="G1846" s="373"/>
      <c r="H1846" s="374"/>
      <c r="I1846" s="375"/>
      <c r="J1846" s="376">
        <f t="shared" si="264"/>
        <v>0</v>
      </c>
      <c r="K1846" s="66">
        <f t="shared" si="265"/>
        <v>0</v>
      </c>
      <c r="L1846" s="63">
        <f t="shared" si="266"/>
        <v>0</v>
      </c>
      <c r="M1846" s="63">
        <f t="shared" si="267"/>
        <v>0</v>
      </c>
      <c r="N1846" s="63">
        <f t="shared" si="268"/>
        <v>0</v>
      </c>
      <c r="O1846" s="63">
        <f t="shared" si="269"/>
        <v>0</v>
      </c>
      <c r="P1846" s="63">
        <f t="shared" si="270"/>
        <v>0</v>
      </c>
      <c r="Q1846" s="562">
        <f t="shared" si="271"/>
        <v>0</v>
      </c>
      <c r="R1846" s="377"/>
      <c r="T1846" s="82"/>
      <c r="U1846" s="82"/>
      <c r="V1846" s="82"/>
      <c r="W1846" s="82"/>
      <c r="X1846" s="82"/>
      <c r="Y1846" s="82"/>
      <c r="Z1846" s="82"/>
      <c r="AA1846" s="82"/>
      <c r="AB1846" s="82"/>
    </row>
    <row r="1847" spans="1:28" s="85" customFormat="1" x14ac:dyDescent="0.25">
      <c r="A1847" s="82"/>
      <c r="B1847" s="82"/>
      <c r="C1847" s="82"/>
      <c r="D1847" s="729"/>
      <c r="E1847" s="371" t="s">
        <v>184</v>
      </c>
      <c r="F1847" s="372"/>
      <c r="G1847" s="373"/>
      <c r="H1847" s="374"/>
      <c r="I1847" s="375"/>
      <c r="J1847" s="376">
        <f t="shared" si="264"/>
        <v>0</v>
      </c>
      <c r="K1847" s="66">
        <f t="shared" si="265"/>
        <v>0</v>
      </c>
      <c r="L1847" s="63">
        <f t="shared" si="266"/>
        <v>0</v>
      </c>
      <c r="M1847" s="63">
        <f t="shared" si="267"/>
        <v>0</v>
      </c>
      <c r="N1847" s="63">
        <f t="shared" si="268"/>
        <v>0</v>
      </c>
      <c r="O1847" s="63">
        <f t="shared" si="269"/>
        <v>0</v>
      </c>
      <c r="P1847" s="63">
        <f t="shared" si="270"/>
        <v>0</v>
      </c>
      <c r="Q1847" s="562">
        <f t="shared" si="271"/>
        <v>0</v>
      </c>
      <c r="R1847" s="377"/>
      <c r="T1847" s="82"/>
      <c r="U1847" s="82"/>
      <c r="V1847" s="82"/>
      <c r="W1847" s="82"/>
      <c r="X1847" s="82"/>
      <c r="Y1847" s="82"/>
      <c r="Z1847" s="82"/>
      <c r="AA1847" s="82"/>
      <c r="AB1847" s="82"/>
    </row>
    <row r="1848" spans="1:28" s="85" customFormat="1" ht="13.8" thickBot="1" x14ac:dyDescent="0.3">
      <c r="A1848" s="82"/>
      <c r="B1848" s="82"/>
      <c r="C1848" s="82"/>
      <c r="D1848" s="731"/>
      <c r="E1848" s="390" t="s">
        <v>184</v>
      </c>
      <c r="F1848" s="391"/>
      <c r="G1848" s="392"/>
      <c r="H1848" s="393"/>
      <c r="I1848" s="394"/>
      <c r="J1848" s="395">
        <f t="shared" si="264"/>
        <v>0</v>
      </c>
      <c r="K1848" s="221">
        <f t="shared" si="265"/>
        <v>0</v>
      </c>
      <c r="L1848" s="222">
        <f t="shared" si="266"/>
        <v>0</v>
      </c>
      <c r="M1848" s="222">
        <f t="shared" si="267"/>
        <v>0</v>
      </c>
      <c r="N1848" s="222">
        <f t="shared" si="268"/>
        <v>0</v>
      </c>
      <c r="O1848" s="222">
        <f t="shared" si="269"/>
        <v>0</v>
      </c>
      <c r="P1848" s="222">
        <f t="shared" si="270"/>
        <v>0</v>
      </c>
      <c r="Q1848" s="564">
        <f t="shared" si="271"/>
        <v>0</v>
      </c>
      <c r="R1848" s="539"/>
      <c r="T1848" s="82"/>
      <c r="U1848" s="82"/>
      <c r="V1848" s="82"/>
      <c r="W1848" s="82"/>
      <c r="X1848" s="82"/>
      <c r="Y1848" s="82"/>
      <c r="Z1848" s="82"/>
      <c r="AA1848" s="82"/>
      <c r="AB1848" s="82"/>
    </row>
    <row r="1849" spans="1:28" s="85" customFormat="1" ht="13.8" thickTop="1" x14ac:dyDescent="0.25">
      <c r="A1849" s="82"/>
      <c r="B1849" s="82"/>
      <c r="C1849" s="82"/>
      <c r="D1849" s="728"/>
      <c r="E1849" s="384" t="s">
        <v>49</v>
      </c>
      <c r="F1849" s="385"/>
      <c r="G1849" s="386"/>
      <c r="H1849" s="387"/>
      <c r="I1849" s="388"/>
      <c r="J1849" s="389">
        <f t="shared" si="264"/>
        <v>0</v>
      </c>
      <c r="K1849" s="218">
        <f t="shared" si="265"/>
        <v>0</v>
      </c>
      <c r="L1849" s="219">
        <f t="shared" si="266"/>
        <v>0</v>
      </c>
      <c r="M1849" s="219">
        <f t="shared" si="267"/>
        <v>0</v>
      </c>
      <c r="N1849" s="219">
        <f t="shared" si="268"/>
        <v>0</v>
      </c>
      <c r="O1849" s="219">
        <f t="shared" si="269"/>
        <v>0</v>
      </c>
      <c r="P1849" s="219">
        <f t="shared" si="270"/>
        <v>0</v>
      </c>
      <c r="Q1849" s="563">
        <f t="shared" si="271"/>
        <v>0</v>
      </c>
      <c r="R1849" s="220"/>
      <c r="T1849" s="82"/>
      <c r="U1849" s="82"/>
      <c r="V1849" s="82"/>
      <c r="W1849" s="82"/>
      <c r="X1849" s="82"/>
      <c r="Y1849" s="82"/>
      <c r="Z1849" s="82"/>
      <c r="AA1849" s="82"/>
      <c r="AB1849" s="82"/>
    </row>
    <row r="1850" spans="1:28" s="85" customFormat="1" x14ac:dyDescent="0.25">
      <c r="A1850" s="82"/>
      <c r="B1850" s="82"/>
      <c r="C1850" s="82"/>
      <c r="D1850" s="729"/>
      <c r="E1850" s="371" t="s">
        <v>49</v>
      </c>
      <c r="F1850" s="372"/>
      <c r="G1850" s="373"/>
      <c r="H1850" s="374"/>
      <c r="I1850" s="375"/>
      <c r="J1850" s="376">
        <f t="shared" si="264"/>
        <v>0</v>
      </c>
      <c r="K1850" s="66">
        <f t="shared" si="265"/>
        <v>0</v>
      </c>
      <c r="L1850" s="63">
        <f t="shared" si="266"/>
        <v>0</v>
      </c>
      <c r="M1850" s="63">
        <f t="shared" si="267"/>
        <v>0</v>
      </c>
      <c r="N1850" s="63">
        <f t="shared" si="268"/>
        <v>0</v>
      </c>
      <c r="O1850" s="63">
        <f t="shared" si="269"/>
        <v>0</v>
      </c>
      <c r="P1850" s="63">
        <f t="shared" si="270"/>
        <v>0</v>
      </c>
      <c r="Q1850" s="561">
        <f t="shared" si="271"/>
        <v>0</v>
      </c>
      <c r="R1850" s="174"/>
      <c r="T1850" s="82"/>
      <c r="U1850" s="82"/>
      <c r="V1850" s="82"/>
      <c r="W1850" s="82"/>
      <c r="X1850" s="82"/>
      <c r="Y1850" s="82"/>
      <c r="Z1850" s="82"/>
      <c r="AA1850" s="82"/>
      <c r="AB1850" s="82"/>
    </row>
    <row r="1851" spans="1:28" s="85" customFormat="1" x14ac:dyDescent="0.25">
      <c r="A1851" s="82"/>
      <c r="B1851" s="82"/>
      <c r="C1851" s="82"/>
      <c r="D1851" s="729"/>
      <c r="E1851" s="371" t="s">
        <v>49</v>
      </c>
      <c r="F1851" s="372"/>
      <c r="G1851" s="373"/>
      <c r="H1851" s="374"/>
      <c r="I1851" s="375"/>
      <c r="J1851" s="376">
        <f t="shared" si="264"/>
        <v>0</v>
      </c>
      <c r="K1851" s="66">
        <f t="shared" si="265"/>
        <v>0</v>
      </c>
      <c r="L1851" s="63">
        <f t="shared" si="266"/>
        <v>0</v>
      </c>
      <c r="M1851" s="63">
        <f t="shared" si="267"/>
        <v>0</v>
      </c>
      <c r="N1851" s="63">
        <f t="shared" si="268"/>
        <v>0</v>
      </c>
      <c r="O1851" s="63">
        <f t="shared" si="269"/>
        <v>0</v>
      </c>
      <c r="P1851" s="63">
        <f t="shared" si="270"/>
        <v>0</v>
      </c>
      <c r="Q1851" s="561">
        <f t="shared" si="271"/>
        <v>0</v>
      </c>
      <c r="R1851" s="174"/>
      <c r="T1851" s="82"/>
      <c r="U1851" s="82"/>
      <c r="V1851" s="82"/>
      <c r="W1851" s="82"/>
      <c r="X1851" s="82"/>
      <c r="Y1851" s="82"/>
      <c r="Z1851" s="82"/>
      <c r="AA1851" s="82"/>
      <c r="AB1851" s="82"/>
    </row>
    <row r="1852" spans="1:28" s="85" customFormat="1" x14ac:dyDescent="0.25">
      <c r="A1852" s="82"/>
      <c r="B1852" s="82"/>
      <c r="C1852" s="82"/>
      <c r="D1852" s="729"/>
      <c r="E1852" s="371" t="s">
        <v>49</v>
      </c>
      <c r="F1852" s="372"/>
      <c r="G1852" s="373"/>
      <c r="H1852" s="374"/>
      <c r="I1852" s="375"/>
      <c r="J1852" s="376">
        <f t="shared" si="264"/>
        <v>0</v>
      </c>
      <c r="K1852" s="66">
        <f t="shared" si="265"/>
        <v>0</v>
      </c>
      <c r="L1852" s="63">
        <f t="shared" si="266"/>
        <v>0</v>
      </c>
      <c r="M1852" s="63">
        <f t="shared" si="267"/>
        <v>0</v>
      </c>
      <c r="N1852" s="63">
        <f t="shared" si="268"/>
        <v>0</v>
      </c>
      <c r="O1852" s="63">
        <f t="shared" si="269"/>
        <v>0</v>
      </c>
      <c r="P1852" s="63">
        <f t="shared" si="270"/>
        <v>0</v>
      </c>
      <c r="Q1852" s="561">
        <f t="shared" si="271"/>
        <v>0</v>
      </c>
      <c r="R1852" s="174"/>
      <c r="T1852" s="82"/>
      <c r="U1852" s="82"/>
      <c r="V1852" s="82"/>
      <c r="W1852" s="82"/>
      <c r="X1852" s="82"/>
      <c r="Y1852" s="82"/>
      <c r="Z1852" s="82"/>
      <c r="AA1852" s="82"/>
      <c r="AB1852" s="82"/>
    </row>
    <row r="1853" spans="1:28" s="85" customFormat="1" x14ac:dyDescent="0.25">
      <c r="A1853" s="82"/>
      <c r="B1853" s="82"/>
      <c r="C1853" s="82"/>
      <c r="D1853" s="729"/>
      <c r="E1853" s="371" t="s">
        <v>113</v>
      </c>
      <c r="F1853" s="372"/>
      <c r="G1853" s="373"/>
      <c r="H1853" s="374"/>
      <c r="I1853" s="375"/>
      <c r="J1853" s="376">
        <f t="shared" si="264"/>
        <v>0</v>
      </c>
      <c r="K1853" s="66">
        <f t="shared" si="265"/>
        <v>0</v>
      </c>
      <c r="L1853" s="63">
        <f t="shared" si="266"/>
        <v>0</v>
      </c>
      <c r="M1853" s="63">
        <f t="shared" si="267"/>
        <v>0</v>
      </c>
      <c r="N1853" s="63">
        <f t="shared" si="268"/>
        <v>0</v>
      </c>
      <c r="O1853" s="63">
        <f t="shared" si="269"/>
        <v>0</v>
      </c>
      <c r="P1853" s="63">
        <f t="shared" si="270"/>
        <v>0</v>
      </c>
      <c r="Q1853" s="561">
        <f t="shared" si="271"/>
        <v>0</v>
      </c>
      <c r="R1853" s="174"/>
      <c r="T1853" s="82"/>
      <c r="U1853" s="82"/>
      <c r="V1853" s="82"/>
      <c r="W1853" s="82"/>
      <c r="X1853" s="82"/>
      <c r="Y1853" s="82"/>
      <c r="Z1853" s="82"/>
      <c r="AA1853" s="82"/>
      <c r="AB1853" s="82"/>
    </row>
    <row r="1854" spans="1:28" s="85" customFormat="1" x14ac:dyDescent="0.25">
      <c r="A1854" s="82"/>
      <c r="B1854" s="82"/>
      <c r="C1854" s="82"/>
      <c r="D1854" s="729"/>
      <c r="E1854" s="371" t="s">
        <v>113</v>
      </c>
      <c r="F1854" s="372"/>
      <c r="G1854" s="373"/>
      <c r="H1854" s="374"/>
      <c r="I1854" s="375"/>
      <c r="J1854" s="376">
        <f t="shared" si="264"/>
        <v>0</v>
      </c>
      <c r="K1854" s="66">
        <f t="shared" si="265"/>
        <v>0</v>
      </c>
      <c r="L1854" s="63">
        <f t="shared" si="266"/>
        <v>0</v>
      </c>
      <c r="M1854" s="63">
        <f t="shared" si="267"/>
        <v>0</v>
      </c>
      <c r="N1854" s="63">
        <f t="shared" si="268"/>
        <v>0</v>
      </c>
      <c r="O1854" s="63">
        <f t="shared" si="269"/>
        <v>0</v>
      </c>
      <c r="P1854" s="63">
        <f t="shared" si="270"/>
        <v>0</v>
      </c>
      <c r="Q1854" s="561">
        <f t="shared" si="271"/>
        <v>0</v>
      </c>
      <c r="R1854" s="174"/>
      <c r="T1854" s="82"/>
      <c r="U1854" s="82"/>
      <c r="V1854" s="82"/>
      <c r="W1854" s="82"/>
      <c r="X1854" s="82"/>
      <c r="Y1854" s="82"/>
      <c r="Z1854" s="82"/>
      <c r="AA1854" s="82"/>
      <c r="AB1854" s="82"/>
    </row>
    <row r="1855" spans="1:28" s="85" customFormat="1" x14ac:dyDescent="0.25">
      <c r="A1855" s="82"/>
      <c r="B1855" s="82"/>
      <c r="C1855" s="82"/>
      <c r="D1855" s="729"/>
      <c r="E1855" s="371" t="s">
        <v>113</v>
      </c>
      <c r="F1855" s="372"/>
      <c r="G1855" s="373"/>
      <c r="H1855" s="374"/>
      <c r="I1855" s="375"/>
      <c r="J1855" s="376">
        <f t="shared" si="264"/>
        <v>0</v>
      </c>
      <c r="K1855" s="66">
        <f t="shared" si="265"/>
        <v>0</v>
      </c>
      <c r="L1855" s="63">
        <f t="shared" si="266"/>
        <v>0</v>
      </c>
      <c r="M1855" s="63">
        <f t="shared" si="267"/>
        <v>0</v>
      </c>
      <c r="N1855" s="63">
        <f t="shared" si="268"/>
        <v>0</v>
      </c>
      <c r="O1855" s="63">
        <f t="shared" si="269"/>
        <v>0</v>
      </c>
      <c r="P1855" s="63">
        <f t="shared" si="270"/>
        <v>0</v>
      </c>
      <c r="Q1855" s="561">
        <f t="shared" si="271"/>
        <v>0</v>
      </c>
      <c r="R1855" s="174"/>
      <c r="T1855" s="82"/>
      <c r="U1855" s="82"/>
      <c r="V1855" s="82"/>
      <c r="W1855" s="82"/>
      <c r="X1855" s="82"/>
      <c r="Y1855" s="82"/>
      <c r="Z1855" s="82"/>
      <c r="AA1855" s="82"/>
      <c r="AB1855" s="82"/>
    </row>
    <row r="1856" spans="1:28" s="85" customFormat="1" x14ac:dyDescent="0.25">
      <c r="A1856" s="82"/>
      <c r="B1856" s="82"/>
      <c r="C1856" s="82"/>
      <c r="D1856" s="729"/>
      <c r="E1856" s="371" t="s">
        <v>113</v>
      </c>
      <c r="F1856" s="372"/>
      <c r="G1856" s="373"/>
      <c r="H1856" s="374"/>
      <c r="I1856" s="375"/>
      <c r="J1856" s="376">
        <f t="shared" si="264"/>
        <v>0</v>
      </c>
      <c r="K1856" s="66">
        <f t="shared" si="265"/>
        <v>0</v>
      </c>
      <c r="L1856" s="63">
        <f t="shared" si="266"/>
        <v>0</v>
      </c>
      <c r="M1856" s="63">
        <f t="shared" si="267"/>
        <v>0</v>
      </c>
      <c r="N1856" s="63">
        <f t="shared" si="268"/>
        <v>0</v>
      </c>
      <c r="O1856" s="63">
        <f t="shared" si="269"/>
        <v>0</v>
      </c>
      <c r="P1856" s="63">
        <f t="shared" si="270"/>
        <v>0</v>
      </c>
      <c r="Q1856" s="561">
        <f t="shared" si="271"/>
        <v>0</v>
      </c>
      <c r="R1856" s="174"/>
      <c r="T1856" s="82"/>
      <c r="U1856" s="82"/>
      <c r="V1856" s="82"/>
      <c r="W1856" s="82"/>
      <c r="X1856" s="82"/>
      <c r="Y1856" s="82"/>
      <c r="Z1856" s="82"/>
      <c r="AA1856" s="82"/>
      <c r="AB1856" s="82"/>
    </row>
    <row r="1857" spans="1:28" s="85" customFormat="1" x14ac:dyDescent="0.25">
      <c r="A1857" s="82"/>
      <c r="B1857" s="82"/>
      <c r="C1857" s="82"/>
      <c r="D1857" s="729"/>
      <c r="E1857" s="396" t="s">
        <v>184</v>
      </c>
      <c r="F1857" s="403"/>
      <c r="G1857" s="397"/>
      <c r="H1857" s="398"/>
      <c r="I1857" s="399"/>
      <c r="J1857" s="400">
        <f t="shared" si="264"/>
        <v>0</v>
      </c>
      <c r="K1857" s="401">
        <f t="shared" si="265"/>
        <v>0</v>
      </c>
      <c r="L1857" s="196">
        <f t="shared" si="266"/>
        <v>0</v>
      </c>
      <c r="M1857" s="196">
        <f t="shared" si="267"/>
        <v>0</v>
      </c>
      <c r="N1857" s="196">
        <f t="shared" si="268"/>
        <v>0</v>
      </c>
      <c r="O1857" s="196">
        <f t="shared" si="269"/>
        <v>0</v>
      </c>
      <c r="P1857" s="196">
        <f t="shared" si="270"/>
        <v>0</v>
      </c>
      <c r="Q1857" s="566">
        <f t="shared" si="271"/>
        <v>0</v>
      </c>
      <c r="R1857" s="538"/>
      <c r="T1857" s="82"/>
      <c r="U1857" s="82"/>
      <c r="V1857" s="82"/>
      <c r="W1857" s="82"/>
      <c r="X1857" s="82"/>
      <c r="Y1857" s="82"/>
      <c r="Z1857" s="82"/>
      <c r="AA1857" s="82"/>
      <c r="AB1857" s="82"/>
    </row>
    <row r="1858" spans="1:28" s="85" customFormat="1" x14ac:dyDescent="0.25">
      <c r="A1858" s="82"/>
      <c r="B1858" s="82"/>
      <c r="C1858" s="82"/>
      <c r="D1858" s="729"/>
      <c r="E1858" s="371" t="s">
        <v>184</v>
      </c>
      <c r="F1858" s="372"/>
      <c r="G1858" s="373"/>
      <c r="H1858" s="374"/>
      <c r="I1858" s="375"/>
      <c r="J1858" s="376">
        <f t="shared" si="264"/>
        <v>0</v>
      </c>
      <c r="K1858" s="66">
        <f t="shared" si="265"/>
        <v>0</v>
      </c>
      <c r="L1858" s="63">
        <f t="shared" si="266"/>
        <v>0</v>
      </c>
      <c r="M1858" s="63">
        <f t="shared" si="267"/>
        <v>0</v>
      </c>
      <c r="N1858" s="63">
        <f t="shared" si="268"/>
        <v>0</v>
      </c>
      <c r="O1858" s="63">
        <f t="shared" si="269"/>
        <v>0</v>
      </c>
      <c r="P1858" s="63">
        <f t="shared" si="270"/>
        <v>0</v>
      </c>
      <c r="Q1858" s="562">
        <f t="shared" si="271"/>
        <v>0</v>
      </c>
      <c r="R1858" s="377"/>
      <c r="T1858" s="82"/>
      <c r="U1858" s="82"/>
      <c r="V1858" s="82"/>
      <c r="W1858" s="82"/>
      <c r="X1858" s="82"/>
      <c r="Y1858" s="82"/>
      <c r="Z1858" s="82"/>
      <c r="AA1858" s="82"/>
      <c r="AB1858" s="82"/>
    </row>
    <row r="1859" spans="1:28" s="85" customFormat="1" x14ac:dyDescent="0.25">
      <c r="A1859" s="82"/>
      <c r="B1859" s="82"/>
      <c r="C1859" s="82"/>
      <c r="D1859" s="729"/>
      <c r="E1859" s="371" t="s">
        <v>184</v>
      </c>
      <c r="F1859" s="372"/>
      <c r="G1859" s="373"/>
      <c r="H1859" s="374"/>
      <c r="I1859" s="375"/>
      <c r="J1859" s="376">
        <f t="shared" si="264"/>
        <v>0</v>
      </c>
      <c r="K1859" s="66">
        <f t="shared" si="265"/>
        <v>0</v>
      </c>
      <c r="L1859" s="63">
        <f t="shared" si="266"/>
        <v>0</v>
      </c>
      <c r="M1859" s="63">
        <f t="shared" si="267"/>
        <v>0</v>
      </c>
      <c r="N1859" s="63">
        <f t="shared" si="268"/>
        <v>0</v>
      </c>
      <c r="O1859" s="63">
        <f t="shared" si="269"/>
        <v>0</v>
      </c>
      <c r="P1859" s="63">
        <f t="shared" si="270"/>
        <v>0</v>
      </c>
      <c r="Q1859" s="562">
        <f t="shared" si="271"/>
        <v>0</v>
      </c>
      <c r="R1859" s="377"/>
      <c r="T1859" s="82"/>
      <c r="U1859" s="82"/>
      <c r="V1859" s="82"/>
      <c r="W1859" s="82"/>
      <c r="X1859" s="82"/>
      <c r="Y1859" s="82"/>
      <c r="Z1859" s="82"/>
      <c r="AA1859" s="82"/>
      <c r="AB1859" s="82"/>
    </row>
    <row r="1860" spans="1:28" s="85" customFormat="1" ht="13.8" thickBot="1" x14ac:dyDescent="0.3">
      <c r="A1860" s="82"/>
      <c r="B1860" s="82"/>
      <c r="C1860" s="82"/>
      <c r="D1860" s="731"/>
      <c r="E1860" s="390" t="s">
        <v>184</v>
      </c>
      <c r="F1860" s="391"/>
      <c r="G1860" s="392"/>
      <c r="H1860" s="393"/>
      <c r="I1860" s="394"/>
      <c r="J1860" s="395">
        <f t="shared" si="264"/>
        <v>0</v>
      </c>
      <c r="K1860" s="221">
        <f t="shared" si="265"/>
        <v>0</v>
      </c>
      <c r="L1860" s="222">
        <f t="shared" si="266"/>
        <v>0</v>
      </c>
      <c r="M1860" s="222">
        <f t="shared" si="267"/>
        <v>0</v>
      </c>
      <c r="N1860" s="222">
        <f t="shared" si="268"/>
        <v>0</v>
      </c>
      <c r="O1860" s="222">
        <f t="shared" si="269"/>
        <v>0</v>
      </c>
      <c r="P1860" s="222">
        <f t="shared" si="270"/>
        <v>0</v>
      </c>
      <c r="Q1860" s="564">
        <f t="shared" si="271"/>
        <v>0</v>
      </c>
      <c r="R1860" s="539"/>
      <c r="T1860" s="82"/>
      <c r="U1860" s="82"/>
      <c r="V1860" s="82"/>
      <c r="W1860" s="82"/>
      <c r="X1860" s="82"/>
      <c r="Y1860" s="82"/>
      <c r="Z1860" s="82"/>
      <c r="AA1860" s="82"/>
      <c r="AB1860" s="82"/>
    </row>
    <row r="1861" spans="1:28" s="85" customFormat="1" ht="13.8" thickTop="1" x14ac:dyDescent="0.25">
      <c r="A1861" s="82"/>
      <c r="B1861" s="82"/>
      <c r="C1861" s="82"/>
      <c r="D1861" s="728"/>
      <c r="E1861" s="384" t="s">
        <v>49</v>
      </c>
      <c r="F1861" s="385"/>
      <c r="G1861" s="386"/>
      <c r="H1861" s="387"/>
      <c r="I1861" s="388"/>
      <c r="J1861" s="389">
        <f t="shared" si="264"/>
        <v>0</v>
      </c>
      <c r="K1861" s="218">
        <f t="shared" si="265"/>
        <v>0</v>
      </c>
      <c r="L1861" s="219">
        <f t="shared" si="266"/>
        <v>0</v>
      </c>
      <c r="M1861" s="219">
        <f t="shared" si="267"/>
        <v>0</v>
      </c>
      <c r="N1861" s="219">
        <f t="shared" si="268"/>
        <v>0</v>
      </c>
      <c r="O1861" s="219">
        <f t="shared" si="269"/>
        <v>0</v>
      </c>
      <c r="P1861" s="219">
        <f t="shared" si="270"/>
        <v>0</v>
      </c>
      <c r="Q1861" s="563">
        <f t="shared" si="271"/>
        <v>0</v>
      </c>
      <c r="R1861" s="220"/>
      <c r="T1861" s="82"/>
      <c r="U1861" s="82"/>
      <c r="V1861" s="82"/>
      <c r="W1861" s="82"/>
      <c r="X1861" s="82"/>
      <c r="Y1861" s="82"/>
      <c r="Z1861" s="82"/>
      <c r="AA1861" s="82"/>
      <c r="AB1861" s="82"/>
    </row>
    <row r="1862" spans="1:28" s="85" customFormat="1" x14ac:dyDescent="0.25">
      <c r="A1862" s="82"/>
      <c r="B1862" s="82"/>
      <c r="C1862" s="82"/>
      <c r="D1862" s="729"/>
      <c r="E1862" s="371" t="s">
        <v>49</v>
      </c>
      <c r="F1862" s="372"/>
      <c r="G1862" s="373"/>
      <c r="H1862" s="374"/>
      <c r="I1862" s="375"/>
      <c r="J1862" s="376">
        <f t="shared" si="264"/>
        <v>0</v>
      </c>
      <c r="K1862" s="66">
        <f t="shared" si="265"/>
        <v>0</v>
      </c>
      <c r="L1862" s="63">
        <f t="shared" si="266"/>
        <v>0</v>
      </c>
      <c r="M1862" s="63">
        <f t="shared" si="267"/>
        <v>0</v>
      </c>
      <c r="N1862" s="63">
        <f t="shared" si="268"/>
        <v>0</v>
      </c>
      <c r="O1862" s="63">
        <f t="shared" si="269"/>
        <v>0</v>
      </c>
      <c r="P1862" s="63">
        <f t="shared" si="270"/>
        <v>0</v>
      </c>
      <c r="Q1862" s="561">
        <f t="shared" si="271"/>
        <v>0</v>
      </c>
      <c r="R1862" s="174"/>
      <c r="T1862" s="82"/>
      <c r="U1862" s="82"/>
      <c r="V1862" s="82"/>
      <c r="W1862" s="82"/>
      <c r="X1862" s="82"/>
      <c r="Y1862" s="82"/>
      <c r="Z1862" s="82"/>
      <c r="AA1862" s="82"/>
      <c r="AB1862" s="82"/>
    </row>
    <row r="1863" spans="1:28" s="85" customFormat="1" x14ac:dyDescent="0.25">
      <c r="A1863" s="82"/>
      <c r="B1863" s="82"/>
      <c r="C1863" s="82"/>
      <c r="D1863" s="729"/>
      <c r="E1863" s="371" t="s">
        <v>49</v>
      </c>
      <c r="F1863" s="372"/>
      <c r="G1863" s="373"/>
      <c r="H1863" s="374"/>
      <c r="I1863" s="375"/>
      <c r="J1863" s="376">
        <f t="shared" si="264"/>
        <v>0</v>
      </c>
      <c r="K1863" s="66">
        <f t="shared" si="265"/>
        <v>0</v>
      </c>
      <c r="L1863" s="63">
        <f t="shared" si="266"/>
        <v>0</v>
      </c>
      <c r="M1863" s="63">
        <f t="shared" si="267"/>
        <v>0</v>
      </c>
      <c r="N1863" s="63">
        <f t="shared" si="268"/>
        <v>0</v>
      </c>
      <c r="O1863" s="63">
        <f t="shared" si="269"/>
        <v>0</v>
      </c>
      <c r="P1863" s="63">
        <f t="shared" si="270"/>
        <v>0</v>
      </c>
      <c r="Q1863" s="561">
        <f t="shared" si="271"/>
        <v>0</v>
      </c>
      <c r="R1863" s="174"/>
      <c r="T1863" s="82"/>
      <c r="U1863" s="82"/>
      <c r="V1863" s="82"/>
      <c r="W1863" s="82"/>
      <c r="X1863" s="82"/>
      <c r="Y1863" s="82"/>
      <c r="Z1863" s="82"/>
      <c r="AA1863" s="82"/>
      <c r="AB1863" s="82"/>
    </row>
    <row r="1864" spans="1:28" s="85" customFormat="1" x14ac:dyDescent="0.25">
      <c r="A1864" s="82"/>
      <c r="B1864" s="82"/>
      <c r="C1864" s="82"/>
      <c r="D1864" s="729"/>
      <c r="E1864" s="371" t="s">
        <v>49</v>
      </c>
      <c r="F1864" s="372"/>
      <c r="G1864" s="373"/>
      <c r="H1864" s="374"/>
      <c r="I1864" s="375"/>
      <c r="J1864" s="376">
        <f t="shared" si="264"/>
        <v>0</v>
      </c>
      <c r="K1864" s="66">
        <f t="shared" si="265"/>
        <v>0</v>
      </c>
      <c r="L1864" s="63">
        <f t="shared" si="266"/>
        <v>0</v>
      </c>
      <c r="M1864" s="63">
        <f t="shared" si="267"/>
        <v>0</v>
      </c>
      <c r="N1864" s="63">
        <f t="shared" si="268"/>
        <v>0</v>
      </c>
      <c r="O1864" s="63">
        <f t="shared" si="269"/>
        <v>0</v>
      </c>
      <c r="P1864" s="63">
        <f t="shared" si="270"/>
        <v>0</v>
      </c>
      <c r="Q1864" s="561">
        <f t="shared" si="271"/>
        <v>0</v>
      </c>
      <c r="R1864" s="174"/>
      <c r="T1864" s="82"/>
      <c r="U1864" s="82"/>
      <c r="V1864" s="82"/>
      <c r="W1864" s="82"/>
      <c r="X1864" s="82"/>
      <c r="Y1864" s="82"/>
      <c r="Z1864" s="82"/>
      <c r="AA1864" s="82"/>
      <c r="AB1864" s="82"/>
    </row>
    <row r="1865" spans="1:28" s="85" customFormat="1" x14ac:dyDescent="0.25">
      <c r="A1865" s="82"/>
      <c r="B1865" s="82"/>
      <c r="C1865" s="82"/>
      <c r="D1865" s="729"/>
      <c r="E1865" s="371" t="s">
        <v>113</v>
      </c>
      <c r="F1865" s="372"/>
      <c r="G1865" s="373"/>
      <c r="H1865" s="374"/>
      <c r="I1865" s="375"/>
      <c r="J1865" s="376">
        <f t="shared" si="264"/>
        <v>0</v>
      </c>
      <c r="K1865" s="66">
        <f t="shared" ref="K1865:K1928" si="272">IF($H1865=5,$J1865*$B$21,0)</f>
        <v>0</v>
      </c>
      <c r="L1865" s="63">
        <f t="shared" ref="L1865:L1928" si="273">IF($H1865=6.3,$J1865*$B$22,0)</f>
        <v>0</v>
      </c>
      <c r="M1865" s="63">
        <f t="shared" ref="M1865:M1928" si="274">IF($H1865=8,$J1865*$B$23,0)</f>
        <v>0</v>
      </c>
      <c r="N1865" s="63">
        <f t="shared" ref="N1865:N1928" si="275">IF($H1865=10,$J1865*$B$24,0)</f>
        <v>0</v>
      </c>
      <c r="O1865" s="63">
        <f t="shared" ref="O1865:O1928" si="276">IF($H1865=12.5,$J1865*$B$26,0)</f>
        <v>0</v>
      </c>
      <c r="P1865" s="63">
        <f t="shared" ref="P1865:P1928" si="277">IF($H1865=16,$J1865*$B$27,0)</f>
        <v>0</v>
      </c>
      <c r="Q1865" s="561">
        <f t="shared" si="271"/>
        <v>0</v>
      </c>
      <c r="R1865" s="174"/>
      <c r="T1865" s="82"/>
      <c r="U1865" s="82"/>
      <c r="V1865" s="82"/>
      <c r="W1865" s="82"/>
      <c r="X1865" s="82"/>
      <c r="Y1865" s="82"/>
      <c r="Z1865" s="82"/>
      <c r="AA1865" s="82"/>
      <c r="AB1865" s="82"/>
    </row>
    <row r="1866" spans="1:28" s="85" customFormat="1" x14ac:dyDescent="0.25">
      <c r="A1866" s="82"/>
      <c r="B1866" s="82"/>
      <c r="C1866" s="82"/>
      <c r="D1866" s="729"/>
      <c r="E1866" s="371" t="s">
        <v>113</v>
      </c>
      <c r="F1866" s="372"/>
      <c r="G1866" s="373"/>
      <c r="H1866" s="374"/>
      <c r="I1866" s="375"/>
      <c r="J1866" s="376">
        <f t="shared" si="264"/>
        <v>0</v>
      </c>
      <c r="K1866" s="66">
        <f t="shared" si="272"/>
        <v>0</v>
      </c>
      <c r="L1866" s="63">
        <f t="shared" si="273"/>
        <v>0</v>
      </c>
      <c r="M1866" s="63">
        <f t="shared" si="274"/>
        <v>0</v>
      </c>
      <c r="N1866" s="63">
        <f t="shared" si="275"/>
        <v>0</v>
      </c>
      <c r="O1866" s="63">
        <f t="shared" si="276"/>
        <v>0</v>
      </c>
      <c r="P1866" s="63">
        <f t="shared" si="277"/>
        <v>0</v>
      </c>
      <c r="Q1866" s="561">
        <f t="shared" si="271"/>
        <v>0</v>
      </c>
      <c r="R1866" s="174"/>
      <c r="T1866" s="82"/>
      <c r="U1866" s="82"/>
      <c r="V1866" s="82"/>
      <c r="W1866" s="82"/>
      <c r="X1866" s="82"/>
      <c r="Y1866" s="82"/>
      <c r="Z1866" s="82"/>
      <c r="AA1866" s="82"/>
      <c r="AB1866" s="82"/>
    </row>
    <row r="1867" spans="1:28" s="85" customFormat="1" x14ac:dyDescent="0.25">
      <c r="A1867" s="82"/>
      <c r="B1867" s="82"/>
      <c r="C1867" s="82"/>
      <c r="D1867" s="729"/>
      <c r="E1867" s="371" t="s">
        <v>113</v>
      </c>
      <c r="F1867" s="372"/>
      <c r="G1867" s="373"/>
      <c r="H1867" s="374"/>
      <c r="I1867" s="375"/>
      <c r="J1867" s="376">
        <f t="shared" si="264"/>
        <v>0</v>
      </c>
      <c r="K1867" s="66">
        <f t="shared" si="272"/>
        <v>0</v>
      </c>
      <c r="L1867" s="63">
        <f t="shared" si="273"/>
        <v>0</v>
      </c>
      <c r="M1867" s="63">
        <f t="shared" si="274"/>
        <v>0</v>
      </c>
      <c r="N1867" s="63">
        <f t="shared" si="275"/>
        <v>0</v>
      </c>
      <c r="O1867" s="63">
        <f t="shared" si="276"/>
        <v>0</v>
      </c>
      <c r="P1867" s="63">
        <f t="shared" si="277"/>
        <v>0</v>
      </c>
      <c r="Q1867" s="561">
        <f t="shared" si="271"/>
        <v>0</v>
      </c>
      <c r="R1867" s="174"/>
      <c r="T1867" s="82"/>
      <c r="U1867" s="82"/>
      <c r="V1867" s="82"/>
      <c r="W1867" s="82"/>
      <c r="X1867" s="82"/>
      <c r="Y1867" s="82"/>
      <c r="Z1867" s="82"/>
      <c r="AA1867" s="82"/>
      <c r="AB1867" s="82"/>
    </row>
    <row r="1868" spans="1:28" s="85" customFormat="1" x14ac:dyDescent="0.25">
      <c r="A1868" s="82"/>
      <c r="B1868" s="82"/>
      <c r="C1868" s="82"/>
      <c r="D1868" s="729"/>
      <c r="E1868" s="371" t="s">
        <v>113</v>
      </c>
      <c r="F1868" s="372"/>
      <c r="G1868" s="373"/>
      <c r="H1868" s="374"/>
      <c r="I1868" s="375"/>
      <c r="J1868" s="376">
        <f t="shared" si="264"/>
        <v>0</v>
      </c>
      <c r="K1868" s="66">
        <f t="shared" si="272"/>
        <v>0</v>
      </c>
      <c r="L1868" s="63">
        <f t="shared" si="273"/>
        <v>0</v>
      </c>
      <c r="M1868" s="63">
        <f t="shared" si="274"/>
        <v>0</v>
      </c>
      <c r="N1868" s="63">
        <f t="shared" si="275"/>
        <v>0</v>
      </c>
      <c r="O1868" s="63">
        <f t="shared" si="276"/>
        <v>0</v>
      </c>
      <c r="P1868" s="63">
        <f t="shared" si="277"/>
        <v>0</v>
      </c>
      <c r="Q1868" s="561">
        <f t="shared" si="271"/>
        <v>0</v>
      </c>
      <c r="R1868" s="174"/>
      <c r="T1868" s="82"/>
      <c r="U1868" s="82"/>
      <c r="V1868" s="82"/>
      <c r="W1868" s="82"/>
      <c r="X1868" s="82"/>
      <c r="Y1868" s="82"/>
      <c r="Z1868" s="82"/>
      <c r="AA1868" s="82"/>
      <c r="AB1868" s="82"/>
    </row>
    <row r="1869" spans="1:28" s="85" customFormat="1" x14ac:dyDescent="0.25">
      <c r="A1869" s="82"/>
      <c r="B1869" s="82"/>
      <c r="C1869" s="82"/>
      <c r="D1869" s="729"/>
      <c r="E1869" s="396" t="s">
        <v>184</v>
      </c>
      <c r="F1869" s="403"/>
      <c r="G1869" s="397"/>
      <c r="H1869" s="398"/>
      <c r="I1869" s="399"/>
      <c r="J1869" s="400">
        <f t="shared" si="264"/>
        <v>0</v>
      </c>
      <c r="K1869" s="401">
        <f t="shared" si="272"/>
        <v>0</v>
      </c>
      <c r="L1869" s="196">
        <f t="shared" si="273"/>
        <v>0</v>
      </c>
      <c r="M1869" s="196">
        <f t="shared" si="274"/>
        <v>0</v>
      </c>
      <c r="N1869" s="196">
        <f t="shared" si="275"/>
        <v>0</v>
      </c>
      <c r="O1869" s="196">
        <f t="shared" si="276"/>
        <v>0</v>
      </c>
      <c r="P1869" s="196">
        <f t="shared" si="277"/>
        <v>0</v>
      </c>
      <c r="Q1869" s="566">
        <f t="shared" si="271"/>
        <v>0</v>
      </c>
      <c r="R1869" s="538"/>
      <c r="T1869" s="82"/>
      <c r="U1869" s="82"/>
      <c r="V1869" s="82"/>
      <c r="W1869" s="82"/>
      <c r="X1869" s="82"/>
      <c r="Y1869" s="82"/>
      <c r="Z1869" s="82"/>
      <c r="AA1869" s="82"/>
      <c r="AB1869" s="82"/>
    </row>
    <row r="1870" spans="1:28" s="85" customFormat="1" x14ac:dyDescent="0.25">
      <c r="A1870" s="82"/>
      <c r="B1870" s="82"/>
      <c r="C1870" s="82"/>
      <c r="D1870" s="729"/>
      <c r="E1870" s="371" t="s">
        <v>184</v>
      </c>
      <c r="F1870" s="372"/>
      <c r="G1870" s="373"/>
      <c r="H1870" s="374"/>
      <c r="I1870" s="375"/>
      <c r="J1870" s="376">
        <f t="shared" si="264"/>
        <v>0</v>
      </c>
      <c r="K1870" s="66">
        <f t="shared" si="272"/>
        <v>0</v>
      </c>
      <c r="L1870" s="63">
        <f t="shared" si="273"/>
        <v>0</v>
      </c>
      <c r="M1870" s="63">
        <f t="shared" si="274"/>
        <v>0</v>
      </c>
      <c r="N1870" s="63">
        <f t="shared" si="275"/>
        <v>0</v>
      </c>
      <c r="O1870" s="63">
        <f t="shared" si="276"/>
        <v>0</v>
      </c>
      <c r="P1870" s="63">
        <f t="shared" si="277"/>
        <v>0</v>
      </c>
      <c r="Q1870" s="562">
        <f t="shared" si="271"/>
        <v>0</v>
      </c>
      <c r="R1870" s="377"/>
      <c r="T1870" s="82"/>
      <c r="U1870" s="82"/>
      <c r="V1870" s="82"/>
      <c r="W1870" s="82"/>
      <c r="X1870" s="82"/>
      <c r="Y1870" s="82"/>
      <c r="Z1870" s="82"/>
      <c r="AA1870" s="82"/>
      <c r="AB1870" s="82"/>
    </row>
    <row r="1871" spans="1:28" s="85" customFormat="1" x14ac:dyDescent="0.25">
      <c r="A1871" s="82"/>
      <c r="B1871" s="82"/>
      <c r="C1871" s="82"/>
      <c r="D1871" s="729"/>
      <c r="E1871" s="371" t="s">
        <v>184</v>
      </c>
      <c r="F1871" s="372"/>
      <c r="G1871" s="373"/>
      <c r="H1871" s="374"/>
      <c r="I1871" s="375"/>
      <c r="J1871" s="376">
        <f t="shared" si="264"/>
        <v>0</v>
      </c>
      <c r="K1871" s="66">
        <f t="shared" si="272"/>
        <v>0</v>
      </c>
      <c r="L1871" s="63">
        <f t="shared" si="273"/>
        <v>0</v>
      </c>
      <c r="M1871" s="63">
        <f t="shared" si="274"/>
        <v>0</v>
      </c>
      <c r="N1871" s="63">
        <f t="shared" si="275"/>
        <v>0</v>
      </c>
      <c r="O1871" s="63">
        <f t="shared" si="276"/>
        <v>0</v>
      </c>
      <c r="P1871" s="63">
        <f t="shared" si="277"/>
        <v>0</v>
      </c>
      <c r="Q1871" s="562">
        <f t="shared" si="271"/>
        <v>0</v>
      </c>
      <c r="R1871" s="377"/>
      <c r="T1871" s="82"/>
      <c r="U1871" s="82"/>
      <c r="V1871" s="82"/>
      <c r="W1871" s="82"/>
      <c r="X1871" s="82"/>
      <c r="Y1871" s="82"/>
      <c r="Z1871" s="82"/>
      <c r="AA1871" s="82"/>
      <c r="AB1871" s="82"/>
    </row>
    <row r="1872" spans="1:28" s="85" customFormat="1" ht="13.8" thickBot="1" x14ac:dyDescent="0.3">
      <c r="A1872" s="82"/>
      <c r="B1872" s="82"/>
      <c r="C1872" s="82"/>
      <c r="D1872" s="731"/>
      <c r="E1872" s="390" t="s">
        <v>184</v>
      </c>
      <c r="F1872" s="391"/>
      <c r="G1872" s="392"/>
      <c r="H1872" s="393"/>
      <c r="I1872" s="394"/>
      <c r="J1872" s="395">
        <f t="shared" si="264"/>
        <v>0</v>
      </c>
      <c r="K1872" s="221">
        <f t="shared" si="272"/>
        <v>0</v>
      </c>
      <c r="L1872" s="222">
        <f t="shared" si="273"/>
        <v>0</v>
      </c>
      <c r="M1872" s="222">
        <f t="shared" si="274"/>
        <v>0</v>
      </c>
      <c r="N1872" s="222">
        <f t="shared" si="275"/>
        <v>0</v>
      </c>
      <c r="O1872" s="222">
        <f t="shared" si="276"/>
        <v>0</v>
      </c>
      <c r="P1872" s="222">
        <f t="shared" si="277"/>
        <v>0</v>
      </c>
      <c r="Q1872" s="564">
        <f t="shared" si="271"/>
        <v>0</v>
      </c>
      <c r="R1872" s="539"/>
      <c r="T1872" s="82"/>
      <c r="U1872" s="82"/>
      <c r="V1872" s="82"/>
      <c r="W1872" s="82"/>
      <c r="X1872" s="82"/>
      <c r="Y1872" s="82"/>
      <c r="Z1872" s="82"/>
      <c r="AA1872" s="82"/>
      <c r="AB1872" s="82"/>
    </row>
    <row r="1873" spans="1:28" s="85" customFormat="1" ht="13.8" thickTop="1" x14ac:dyDescent="0.25">
      <c r="A1873" s="82"/>
      <c r="B1873" s="82"/>
      <c r="C1873" s="82"/>
      <c r="D1873" s="728"/>
      <c r="E1873" s="384" t="s">
        <v>49</v>
      </c>
      <c r="F1873" s="385"/>
      <c r="G1873" s="386"/>
      <c r="H1873" s="387"/>
      <c r="I1873" s="388"/>
      <c r="J1873" s="389">
        <f t="shared" si="264"/>
        <v>0</v>
      </c>
      <c r="K1873" s="218">
        <f t="shared" si="272"/>
        <v>0</v>
      </c>
      <c r="L1873" s="219">
        <f t="shared" si="273"/>
        <v>0</v>
      </c>
      <c r="M1873" s="219">
        <f t="shared" si="274"/>
        <v>0</v>
      </c>
      <c r="N1873" s="219">
        <f t="shared" si="275"/>
        <v>0</v>
      </c>
      <c r="O1873" s="219">
        <f t="shared" si="276"/>
        <v>0</v>
      </c>
      <c r="P1873" s="219">
        <f t="shared" si="277"/>
        <v>0</v>
      </c>
      <c r="Q1873" s="563">
        <f t="shared" si="271"/>
        <v>0</v>
      </c>
      <c r="R1873" s="220"/>
      <c r="T1873" s="82"/>
      <c r="U1873" s="82"/>
      <c r="V1873" s="82"/>
      <c r="W1873" s="82"/>
      <c r="X1873" s="82"/>
      <c r="Y1873" s="82"/>
      <c r="Z1873" s="82"/>
      <c r="AA1873" s="82"/>
      <c r="AB1873" s="82"/>
    </row>
    <row r="1874" spans="1:28" s="85" customFormat="1" x14ac:dyDescent="0.25">
      <c r="A1874" s="82"/>
      <c r="B1874" s="82"/>
      <c r="C1874" s="82"/>
      <c r="D1874" s="729"/>
      <c r="E1874" s="371" t="s">
        <v>49</v>
      </c>
      <c r="F1874" s="372"/>
      <c r="G1874" s="373"/>
      <c r="H1874" s="374"/>
      <c r="I1874" s="375"/>
      <c r="J1874" s="376">
        <f t="shared" si="264"/>
        <v>0</v>
      </c>
      <c r="K1874" s="66">
        <f t="shared" si="272"/>
        <v>0</v>
      </c>
      <c r="L1874" s="63">
        <f t="shared" si="273"/>
        <v>0</v>
      </c>
      <c r="M1874" s="63">
        <f t="shared" si="274"/>
        <v>0</v>
      </c>
      <c r="N1874" s="63">
        <f t="shared" si="275"/>
        <v>0</v>
      </c>
      <c r="O1874" s="63">
        <f t="shared" si="276"/>
        <v>0</v>
      </c>
      <c r="P1874" s="63">
        <f t="shared" si="277"/>
        <v>0</v>
      </c>
      <c r="Q1874" s="561">
        <f t="shared" si="271"/>
        <v>0</v>
      </c>
      <c r="R1874" s="174"/>
      <c r="T1874" s="82"/>
      <c r="U1874" s="82"/>
      <c r="V1874" s="82"/>
      <c r="W1874" s="82"/>
      <c r="X1874" s="82"/>
      <c r="Y1874" s="82"/>
      <c r="Z1874" s="82"/>
      <c r="AA1874" s="82"/>
      <c r="AB1874" s="82"/>
    </row>
    <row r="1875" spans="1:28" s="85" customFormat="1" x14ac:dyDescent="0.25">
      <c r="A1875" s="82"/>
      <c r="B1875" s="82"/>
      <c r="C1875" s="82"/>
      <c r="D1875" s="729"/>
      <c r="E1875" s="371" t="s">
        <v>49</v>
      </c>
      <c r="F1875" s="372"/>
      <c r="G1875" s="373"/>
      <c r="H1875" s="374"/>
      <c r="I1875" s="375"/>
      <c r="J1875" s="376">
        <f t="shared" si="264"/>
        <v>0</v>
      </c>
      <c r="K1875" s="66">
        <f t="shared" si="272"/>
        <v>0</v>
      </c>
      <c r="L1875" s="63">
        <f t="shared" si="273"/>
        <v>0</v>
      </c>
      <c r="M1875" s="63">
        <f t="shared" si="274"/>
        <v>0</v>
      </c>
      <c r="N1875" s="63">
        <f t="shared" si="275"/>
        <v>0</v>
      </c>
      <c r="O1875" s="63">
        <f t="shared" si="276"/>
        <v>0</v>
      </c>
      <c r="P1875" s="63">
        <f t="shared" si="277"/>
        <v>0</v>
      </c>
      <c r="Q1875" s="561">
        <f t="shared" si="271"/>
        <v>0</v>
      </c>
      <c r="R1875" s="174"/>
      <c r="T1875" s="82"/>
      <c r="U1875" s="82"/>
      <c r="V1875" s="82"/>
      <c r="W1875" s="82"/>
      <c r="X1875" s="82"/>
      <c r="Y1875" s="82"/>
      <c r="Z1875" s="82"/>
      <c r="AA1875" s="82"/>
      <c r="AB1875" s="82"/>
    </row>
    <row r="1876" spans="1:28" s="85" customFormat="1" x14ac:dyDescent="0.25">
      <c r="A1876" s="82"/>
      <c r="B1876" s="82"/>
      <c r="C1876" s="82"/>
      <c r="D1876" s="729"/>
      <c r="E1876" s="371" t="s">
        <v>49</v>
      </c>
      <c r="F1876" s="372"/>
      <c r="G1876" s="373"/>
      <c r="H1876" s="374"/>
      <c r="I1876" s="375"/>
      <c r="J1876" s="376">
        <f t="shared" si="264"/>
        <v>0</v>
      </c>
      <c r="K1876" s="66">
        <f t="shared" si="272"/>
        <v>0</v>
      </c>
      <c r="L1876" s="63">
        <f t="shared" si="273"/>
        <v>0</v>
      </c>
      <c r="M1876" s="63">
        <f t="shared" si="274"/>
        <v>0</v>
      </c>
      <c r="N1876" s="63">
        <f t="shared" si="275"/>
        <v>0</v>
      </c>
      <c r="O1876" s="63">
        <f t="shared" si="276"/>
        <v>0</v>
      </c>
      <c r="P1876" s="63">
        <f t="shared" si="277"/>
        <v>0</v>
      </c>
      <c r="Q1876" s="561">
        <f t="shared" si="271"/>
        <v>0</v>
      </c>
      <c r="R1876" s="174"/>
      <c r="T1876" s="82"/>
      <c r="U1876" s="82"/>
      <c r="V1876" s="82"/>
      <c r="W1876" s="82"/>
      <c r="X1876" s="82"/>
      <c r="Y1876" s="82"/>
      <c r="Z1876" s="82"/>
      <c r="AA1876" s="82"/>
      <c r="AB1876" s="82"/>
    </row>
    <row r="1877" spans="1:28" s="85" customFormat="1" x14ac:dyDescent="0.25">
      <c r="A1877" s="82"/>
      <c r="B1877" s="82"/>
      <c r="C1877" s="82"/>
      <c r="D1877" s="729"/>
      <c r="E1877" s="371" t="s">
        <v>113</v>
      </c>
      <c r="F1877" s="372"/>
      <c r="G1877" s="373"/>
      <c r="H1877" s="374"/>
      <c r="I1877" s="375"/>
      <c r="J1877" s="376">
        <f t="shared" si="264"/>
        <v>0</v>
      </c>
      <c r="K1877" s="66">
        <f t="shared" si="272"/>
        <v>0</v>
      </c>
      <c r="L1877" s="63">
        <f t="shared" si="273"/>
        <v>0</v>
      </c>
      <c r="M1877" s="63">
        <f t="shared" si="274"/>
        <v>0</v>
      </c>
      <c r="N1877" s="63">
        <f t="shared" si="275"/>
        <v>0</v>
      </c>
      <c r="O1877" s="63">
        <f t="shared" si="276"/>
        <v>0</v>
      </c>
      <c r="P1877" s="63">
        <f t="shared" si="277"/>
        <v>0</v>
      </c>
      <c r="Q1877" s="561">
        <f t="shared" si="271"/>
        <v>0</v>
      </c>
      <c r="R1877" s="174"/>
      <c r="T1877" s="82"/>
      <c r="U1877" s="82"/>
      <c r="V1877" s="82"/>
      <c r="W1877" s="82"/>
      <c r="X1877" s="82"/>
      <c r="Y1877" s="82"/>
      <c r="Z1877" s="82"/>
      <c r="AA1877" s="82"/>
      <c r="AB1877" s="82"/>
    </row>
    <row r="1878" spans="1:28" s="85" customFormat="1" x14ac:dyDescent="0.25">
      <c r="A1878" s="82"/>
      <c r="B1878" s="82"/>
      <c r="C1878" s="82"/>
      <c r="D1878" s="729"/>
      <c r="E1878" s="371" t="s">
        <v>113</v>
      </c>
      <c r="F1878" s="372"/>
      <c r="G1878" s="373"/>
      <c r="H1878" s="374"/>
      <c r="I1878" s="375"/>
      <c r="J1878" s="376">
        <f t="shared" si="264"/>
        <v>0</v>
      </c>
      <c r="K1878" s="66">
        <f t="shared" si="272"/>
        <v>0</v>
      </c>
      <c r="L1878" s="63">
        <f t="shared" si="273"/>
        <v>0</v>
      </c>
      <c r="M1878" s="63">
        <f t="shared" si="274"/>
        <v>0</v>
      </c>
      <c r="N1878" s="63">
        <f t="shared" si="275"/>
        <v>0</v>
      </c>
      <c r="O1878" s="63">
        <f t="shared" si="276"/>
        <v>0</v>
      </c>
      <c r="P1878" s="63">
        <f t="shared" si="277"/>
        <v>0</v>
      </c>
      <c r="Q1878" s="561">
        <f t="shared" si="271"/>
        <v>0</v>
      </c>
      <c r="R1878" s="174"/>
      <c r="T1878" s="82"/>
      <c r="U1878" s="82"/>
      <c r="V1878" s="82"/>
      <c r="W1878" s="82"/>
      <c r="X1878" s="82"/>
      <c r="Y1878" s="82"/>
      <c r="Z1878" s="82"/>
      <c r="AA1878" s="82"/>
      <c r="AB1878" s="82"/>
    </row>
    <row r="1879" spans="1:28" s="85" customFormat="1" x14ac:dyDescent="0.25">
      <c r="A1879" s="82"/>
      <c r="B1879" s="82"/>
      <c r="C1879" s="82"/>
      <c r="D1879" s="729"/>
      <c r="E1879" s="371" t="s">
        <v>113</v>
      </c>
      <c r="F1879" s="372"/>
      <c r="G1879" s="373"/>
      <c r="H1879" s="374"/>
      <c r="I1879" s="375"/>
      <c r="J1879" s="376">
        <f t="shared" si="264"/>
        <v>0</v>
      </c>
      <c r="K1879" s="66">
        <f t="shared" si="272"/>
        <v>0</v>
      </c>
      <c r="L1879" s="63">
        <f t="shared" si="273"/>
        <v>0</v>
      </c>
      <c r="M1879" s="63">
        <f t="shared" si="274"/>
        <v>0</v>
      </c>
      <c r="N1879" s="63">
        <f t="shared" si="275"/>
        <v>0</v>
      </c>
      <c r="O1879" s="63">
        <f t="shared" si="276"/>
        <v>0</v>
      </c>
      <c r="P1879" s="63">
        <f t="shared" si="277"/>
        <v>0</v>
      </c>
      <c r="Q1879" s="561">
        <f t="shared" si="271"/>
        <v>0</v>
      </c>
      <c r="R1879" s="174"/>
      <c r="T1879" s="82"/>
      <c r="U1879" s="82"/>
      <c r="V1879" s="82"/>
      <c r="W1879" s="82"/>
      <c r="X1879" s="82"/>
      <c r="Y1879" s="82"/>
      <c r="Z1879" s="82"/>
      <c r="AA1879" s="82"/>
      <c r="AB1879" s="82"/>
    </row>
    <row r="1880" spans="1:28" s="85" customFormat="1" x14ac:dyDescent="0.25">
      <c r="A1880" s="82"/>
      <c r="B1880" s="82"/>
      <c r="C1880" s="82"/>
      <c r="D1880" s="729"/>
      <c r="E1880" s="371" t="s">
        <v>113</v>
      </c>
      <c r="F1880" s="372"/>
      <c r="G1880" s="373"/>
      <c r="H1880" s="374"/>
      <c r="I1880" s="375"/>
      <c r="J1880" s="376">
        <f t="shared" si="264"/>
        <v>0</v>
      </c>
      <c r="K1880" s="66">
        <f t="shared" si="272"/>
        <v>0</v>
      </c>
      <c r="L1880" s="63">
        <f t="shared" si="273"/>
        <v>0</v>
      </c>
      <c r="M1880" s="63">
        <f t="shared" si="274"/>
        <v>0</v>
      </c>
      <c r="N1880" s="63">
        <f t="shared" si="275"/>
        <v>0</v>
      </c>
      <c r="O1880" s="63">
        <f t="shared" si="276"/>
        <v>0</v>
      </c>
      <c r="P1880" s="63">
        <f t="shared" si="277"/>
        <v>0</v>
      </c>
      <c r="Q1880" s="561">
        <f t="shared" si="271"/>
        <v>0</v>
      </c>
      <c r="R1880" s="174"/>
      <c r="T1880" s="82"/>
      <c r="U1880" s="82"/>
      <c r="V1880" s="82"/>
      <c r="W1880" s="82"/>
      <c r="X1880" s="82"/>
      <c r="Y1880" s="82"/>
      <c r="Z1880" s="82"/>
      <c r="AA1880" s="82"/>
      <c r="AB1880" s="82"/>
    </row>
    <row r="1881" spans="1:28" s="85" customFormat="1" x14ac:dyDescent="0.25">
      <c r="A1881" s="82"/>
      <c r="B1881" s="82"/>
      <c r="C1881" s="82"/>
      <c r="D1881" s="729"/>
      <c r="E1881" s="396" t="s">
        <v>184</v>
      </c>
      <c r="F1881" s="403"/>
      <c r="G1881" s="397"/>
      <c r="H1881" s="398"/>
      <c r="I1881" s="399"/>
      <c r="J1881" s="400">
        <f t="shared" si="264"/>
        <v>0</v>
      </c>
      <c r="K1881" s="401">
        <f t="shared" si="272"/>
        <v>0</v>
      </c>
      <c r="L1881" s="196">
        <f t="shared" si="273"/>
        <v>0</v>
      </c>
      <c r="M1881" s="196">
        <f t="shared" si="274"/>
        <v>0</v>
      </c>
      <c r="N1881" s="196">
        <f t="shared" si="275"/>
        <v>0</v>
      </c>
      <c r="O1881" s="196">
        <f t="shared" si="276"/>
        <v>0</v>
      </c>
      <c r="P1881" s="196">
        <f t="shared" si="277"/>
        <v>0</v>
      </c>
      <c r="Q1881" s="566">
        <f t="shared" si="271"/>
        <v>0</v>
      </c>
      <c r="R1881" s="538"/>
      <c r="T1881" s="82"/>
      <c r="U1881" s="82"/>
      <c r="V1881" s="82"/>
      <c r="W1881" s="82"/>
      <c r="X1881" s="82"/>
      <c r="Y1881" s="82"/>
      <c r="Z1881" s="82"/>
      <c r="AA1881" s="82"/>
      <c r="AB1881" s="82"/>
    </row>
    <row r="1882" spans="1:28" s="85" customFormat="1" x14ac:dyDescent="0.25">
      <c r="A1882" s="82"/>
      <c r="B1882" s="82"/>
      <c r="C1882" s="82"/>
      <c r="D1882" s="729"/>
      <c r="E1882" s="371" t="s">
        <v>184</v>
      </c>
      <c r="F1882" s="372"/>
      <c r="G1882" s="373"/>
      <c r="H1882" s="374"/>
      <c r="I1882" s="375"/>
      <c r="J1882" s="376">
        <f t="shared" si="264"/>
        <v>0</v>
      </c>
      <c r="K1882" s="66">
        <f t="shared" si="272"/>
        <v>0</v>
      </c>
      <c r="L1882" s="63">
        <f t="shared" si="273"/>
        <v>0</v>
      </c>
      <c r="M1882" s="63">
        <f t="shared" si="274"/>
        <v>0</v>
      </c>
      <c r="N1882" s="63">
        <f t="shared" si="275"/>
        <v>0</v>
      </c>
      <c r="O1882" s="63">
        <f t="shared" si="276"/>
        <v>0</v>
      </c>
      <c r="P1882" s="63">
        <f t="shared" si="277"/>
        <v>0</v>
      </c>
      <c r="Q1882" s="562">
        <f t="shared" si="271"/>
        <v>0</v>
      </c>
      <c r="R1882" s="377"/>
      <c r="T1882" s="82"/>
      <c r="U1882" s="82"/>
      <c r="V1882" s="82"/>
      <c r="W1882" s="82"/>
      <c r="X1882" s="82"/>
      <c r="Y1882" s="82"/>
      <c r="Z1882" s="82"/>
      <c r="AA1882" s="82"/>
      <c r="AB1882" s="82"/>
    </row>
    <row r="1883" spans="1:28" s="85" customFormat="1" x14ac:dyDescent="0.25">
      <c r="A1883" s="82"/>
      <c r="B1883" s="82"/>
      <c r="C1883" s="82"/>
      <c r="D1883" s="729"/>
      <c r="E1883" s="371" t="s">
        <v>184</v>
      </c>
      <c r="F1883" s="372"/>
      <c r="G1883" s="373"/>
      <c r="H1883" s="374"/>
      <c r="I1883" s="375"/>
      <c r="J1883" s="376">
        <f t="shared" si="264"/>
        <v>0</v>
      </c>
      <c r="K1883" s="66">
        <f t="shared" si="272"/>
        <v>0</v>
      </c>
      <c r="L1883" s="63">
        <f t="shared" si="273"/>
        <v>0</v>
      </c>
      <c r="M1883" s="63">
        <f t="shared" si="274"/>
        <v>0</v>
      </c>
      <c r="N1883" s="63">
        <f t="shared" si="275"/>
        <v>0</v>
      </c>
      <c r="O1883" s="63">
        <f t="shared" si="276"/>
        <v>0</v>
      </c>
      <c r="P1883" s="63">
        <f t="shared" si="277"/>
        <v>0</v>
      </c>
      <c r="Q1883" s="562">
        <f t="shared" si="271"/>
        <v>0</v>
      </c>
      <c r="R1883" s="377"/>
      <c r="T1883" s="82"/>
      <c r="U1883" s="82"/>
      <c r="V1883" s="82"/>
      <c r="W1883" s="82"/>
      <c r="X1883" s="82"/>
      <c r="Y1883" s="82"/>
      <c r="Z1883" s="82"/>
      <c r="AA1883" s="82"/>
      <c r="AB1883" s="82"/>
    </row>
    <row r="1884" spans="1:28" s="85" customFormat="1" ht="13.8" thickBot="1" x14ac:dyDescent="0.3">
      <c r="A1884" s="82"/>
      <c r="B1884" s="82"/>
      <c r="C1884" s="82"/>
      <c r="D1884" s="731"/>
      <c r="E1884" s="390" t="s">
        <v>184</v>
      </c>
      <c r="F1884" s="391"/>
      <c r="G1884" s="392"/>
      <c r="H1884" s="393"/>
      <c r="I1884" s="394"/>
      <c r="J1884" s="395">
        <f t="shared" si="264"/>
        <v>0</v>
      </c>
      <c r="K1884" s="221">
        <f t="shared" si="272"/>
        <v>0</v>
      </c>
      <c r="L1884" s="222">
        <f t="shared" si="273"/>
        <v>0</v>
      </c>
      <c r="M1884" s="222">
        <f t="shared" si="274"/>
        <v>0</v>
      </c>
      <c r="N1884" s="222">
        <f t="shared" si="275"/>
        <v>0</v>
      </c>
      <c r="O1884" s="222">
        <f t="shared" si="276"/>
        <v>0</v>
      </c>
      <c r="P1884" s="222">
        <f t="shared" si="277"/>
        <v>0</v>
      </c>
      <c r="Q1884" s="564">
        <f t="shared" si="271"/>
        <v>0</v>
      </c>
      <c r="R1884" s="539"/>
      <c r="T1884" s="82"/>
      <c r="U1884" s="82"/>
      <c r="V1884" s="82"/>
      <c r="W1884" s="82"/>
      <c r="X1884" s="82"/>
      <c r="Y1884" s="82"/>
      <c r="Z1884" s="82"/>
      <c r="AA1884" s="82"/>
      <c r="AB1884" s="82"/>
    </row>
    <row r="1885" spans="1:28" s="85" customFormat="1" ht="13.8" thickTop="1" x14ac:dyDescent="0.25">
      <c r="A1885" s="82"/>
      <c r="B1885" s="82"/>
      <c r="C1885" s="82"/>
      <c r="D1885" s="728"/>
      <c r="E1885" s="384" t="s">
        <v>49</v>
      </c>
      <c r="F1885" s="385"/>
      <c r="G1885" s="386"/>
      <c r="H1885" s="387"/>
      <c r="I1885" s="388"/>
      <c r="J1885" s="389">
        <f t="shared" si="264"/>
        <v>0</v>
      </c>
      <c r="K1885" s="218">
        <f t="shared" si="272"/>
        <v>0</v>
      </c>
      <c r="L1885" s="219">
        <f t="shared" si="273"/>
        <v>0</v>
      </c>
      <c r="M1885" s="219">
        <f t="shared" si="274"/>
        <v>0</v>
      </c>
      <c r="N1885" s="219">
        <f t="shared" si="275"/>
        <v>0</v>
      </c>
      <c r="O1885" s="219">
        <f t="shared" si="276"/>
        <v>0</v>
      </c>
      <c r="P1885" s="219">
        <f t="shared" si="277"/>
        <v>0</v>
      </c>
      <c r="Q1885" s="563">
        <f t="shared" si="271"/>
        <v>0</v>
      </c>
      <c r="R1885" s="220"/>
      <c r="T1885" s="82"/>
      <c r="U1885" s="82"/>
      <c r="V1885" s="82"/>
      <c r="W1885" s="82"/>
      <c r="X1885" s="82"/>
      <c r="Y1885" s="82"/>
      <c r="Z1885" s="82"/>
      <c r="AA1885" s="82"/>
      <c r="AB1885" s="82"/>
    </row>
    <row r="1886" spans="1:28" s="85" customFormat="1" x14ac:dyDescent="0.25">
      <c r="A1886" s="82"/>
      <c r="B1886" s="82"/>
      <c r="C1886" s="82"/>
      <c r="D1886" s="729"/>
      <c r="E1886" s="371" t="s">
        <v>49</v>
      </c>
      <c r="F1886" s="372"/>
      <c r="G1886" s="373"/>
      <c r="H1886" s="374"/>
      <c r="I1886" s="375"/>
      <c r="J1886" s="376">
        <f t="shared" si="264"/>
        <v>0</v>
      </c>
      <c r="K1886" s="66">
        <f t="shared" si="272"/>
        <v>0</v>
      </c>
      <c r="L1886" s="63">
        <f t="shared" si="273"/>
        <v>0</v>
      </c>
      <c r="M1886" s="63">
        <f t="shared" si="274"/>
        <v>0</v>
      </c>
      <c r="N1886" s="63">
        <f t="shared" si="275"/>
        <v>0</v>
      </c>
      <c r="O1886" s="63">
        <f t="shared" si="276"/>
        <v>0</v>
      </c>
      <c r="P1886" s="63">
        <f t="shared" si="277"/>
        <v>0</v>
      </c>
      <c r="Q1886" s="561">
        <f t="shared" si="271"/>
        <v>0</v>
      </c>
      <c r="R1886" s="174"/>
      <c r="T1886" s="82"/>
      <c r="U1886" s="82"/>
      <c r="V1886" s="82"/>
      <c r="W1886" s="82"/>
      <c r="X1886" s="82"/>
      <c r="Y1886" s="82"/>
      <c r="Z1886" s="82"/>
      <c r="AA1886" s="82"/>
      <c r="AB1886" s="82"/>
    </row>
    <row r="1887" spans="1:28" s="85" customFormat="1" x14ac:dyDescent="0.25">
      <c r="A1887" s="82"/>
      <c r="B1887" s="82"/>
      <c r="C1887" s="82"/>
      <c r="D1887" s="729"/>
      <c r="E1887" s="371" t="s">
        <v>49</v>
      </c>
      <c r="F1887" s="372"/>
      <c r="G1887" s="373"/>
      <c r="H1887" s="374"/>
      <c r="I1887" s="375"/>
      <c r="J1887" s="376">
        <f t="shared" si="264"/>
        <v>0</v>
      </c>
      <c r="K1887" s="66">
        <f t="shared" si="272"/>
        <v>0</v>
      </c>
      <c r="L1887" s="63">
        <f t="shared" si="273"/>
        <v>0</v>
      </c>
      <c r="M1887" s="63">
        <f t="shared" si="274"/>
        <v>0</v>
      </c>
      <c r="N1887" s="63">
        <f t="shared" si="275"/>
        <v>0</v>
      </c>
      <c r="O1887" s="63">
        <f t="shared" si="276"/>
        <v>0</v>
      </c>
      <c r="P1887" s="63">
        <f t="shared" si="277"/>
        <v>0</v>
      </c>
      <c r="Q1887" s="561">
        <f t="shared" si="271"/>
        <v>0</v>
      </c>
      <c r="R1887" s="174"/>
      <c r="T1887" s="82"/>
      <c r="U1887" s="82"/>
      <c r="V1887" s="82"/>
      <c r="W1887" s="82"/>
      <c r="X1887" s="82"/>
      <c r="Y1887" s="82"/>
      <c r="Z1887" s="82"/>
      <c r="AA1887" s="82"/>
      <c r="AB1887" s="82"/>
    </row>
    <row r="1888" spans="1:28" s="85" customFormat="1" x14ac:dyDescent="0.25">
      <c r="A1888" s="82"/>
      <c r="B1888" s="82"/>
      <c r="C1888" s="82"/>
      <c r="D1888" s="729"/>
      <c r="E1888" s="371" t="s">
        <v>49</v>
      </c>
      <c r="F1888" s="372"/>
      <c r="G1888" s="373"/>
      <c r="H1888" s="374"/>
      <c r="I1888" s="375"/>
      <c r="J1888" s="376">
        <f t="shared" si="264"/>
        <v>0</v>
      </c>
      <c r="K1888" s="66">
        <f t="shared" si="272"/>
        <v>0</v>
      </c>
      <c r="L1888" s="63">
        <f t="shared" si="273"/>
        <v>0</v>
      </c>
      <c r="M1888" s="63">
        <f t="shared" si="274"/>
        <v>0</v>
      </c>
      <c r="N1888" s="63">
        <f t="shared" si="275"/>
        <v>0</v>
      </c>
      <c r="O1888" s="63">
        <f t="shared" si="276"/>
        <v>0</v>
      </c>
      <c r="P1888" s="63">
        <f t="shared" si="277"/>
        <v>0</v>
      </c>
      <c r="Q1888" s="561">
        <f t="shared" si="271"/>
        <v>0</v>
      </c>
      <c r="R1888" s="174"/>
      <c r="T1888" s="82"/>
      <c r="U1888" s="82"/>
      <c r="V1888" s="82"/>
      <c r="W1888" s="82"/>
      <c r="X1888" s="82"/>
      <c r="Y1888" s="82"/>
      <c r="Z1888" s="82"/>
      <c r="AA1888" s="82"/>
      <c r="AB1888" s="82"/>
    </row>
    <row r="1889" spans="1:28" s="85" customFormat="1" x14ac:dyDescent="0.25">
      <c r="A1889" s="82"/>
      <c r="B1889" s="82"/>
      <c r="C1889" s="82"/>
      <c r="D1889" s="729"/>
      <c r="E1889" s="371" t="s">
        <v>113</v>
      </c>
      <c r="F1889" s="372"/>
      <c r="G1889" s="373"/>
      <c r="H1889" s="374"/>
      <c r="I1889" s="375"/>
      <c r="J1889" s="376">
        <f t="shared" si="264"/>
        <v>0</v>
      </c>
      <c r="K1889" s="66">
        <f t="shared" si="272"/>
        <v>0</v>
      </c>
      <c r="L1889" s="63">
        <f t="shared" si="273"/>
        <v>0</v>
      </c>
      <c r="M1889" s="63">
        <f t="shared" si="274"/>
        <v>0</v>
      </c>
      <c r="N1889" s="63">
        <f t="shared" si="275"/>
        <v>0</v>
      </c>
      <c r="O1889" s="63">
        <f t="shared" si="276"/>
        <v>0</v>
      </c>
      <c r="P1889" s="63">
        <f t="shared" si="277"/>
        <v>0</v>
      </c>
      <c r="Q1889" s="561">
        <f t="shared" si="271"/>
        <v>0</v>
      </c>
      <c r="R1889" s="174"/>
      <c r="T1889" s="82"/>
      <c r="U1889" s="82"/>
      <c r="V1889" s="82"/>
      <c r="W1889" s="82"/>
      <c r="X1889" s="82"/>
      <c r="Y1889" s="82"/>
      <c r="Z1889" s="82"/>
      <c r="AA1889" s="82"/>
      <c r="AB1889" s="82"/>
    </row>
    <row r="1890" spans="1:28" s="85" customFormat="1" x14ac:dyDescent="0.25">
      <c r="A1890" s="82"/>
      <c r="B1890" s="82"/>
      <c r="C1890" s="82"/>
      <c r="D1890" s="729"/>
      <c r="E1890" s="371" t="s">
        <v>113</v>
      </c>
      <c r="F1890" s="372"/>
      <c r="G1890" s="373"/>
      <c r="H1890" s="374"/>
      <c r="I1890" s="375"/>
      <c r="J1890" s="376">
        <f t="shared" si="264"/>
        <v>0</v>
      </c>
      <c r="K1890" s="66">
        <f t="shared" si="272"/>
        <v>0</v>
      </c>
      <c r="L1890" s="63">
        <f t="shared" si="273"/>
        <v>0</v>
      </c>
      <c r="M1890" s="63">
        <f t="shared" si="274"/>
        <v>0</v>
      </c>
      <c r="N1890" s="63">
        <f t="shared" si="275"/>
        <v>0</v>
      </c>
      <c r="O1890" s="63">
        <f t="shared" si="276"/>
        <v>0</v>
      </c>
      <c r="P1890" s="63">
        <f t="shared" si="277"/>
        <v>0</v>
      </c>
      <c r="Q1890" s="561">
        <f t="shared" si="271"/>
        <v>0</v>
      </c>
      <c r="R1890" s="174"/>
      <c r="T1890" s="82"/>
      <c r="U1890" s="82"/>
      <c r="V1890" s="82"/>
      <c r="W1890" s="82"/>
      <c r="X1890" s="82"/>
      <c r="Y1890" s="82"/>
      <c r="Z1890" s="82"/>
      <c r="AA1890" s="82"/>
      <c r="AB1890" s="82"/>
    </row>
    <row r="1891" spans="1:28" s="85" customFormat="1" x14ac:dyDescent="0.25">
      <c r="A1891" s="82"/>
      <c r="B1891" s="82"/>
      <c r="C1891" s="82"/>
      <c r="D1891" s="729"/>
      <c r="E1891" s="371" t="s">
        <v>113</v>
      </c>
      <c r="F1891" s="372"/>
      <c r="G1891" s="373"/>
      <c r="H1891" s="374"/>
      <c r="I1891" s="375"/>
      <c r="J1891" s="376">
        <f t="shared" si="264"/>
        <v>0</v>
      </c>
      <c r="K1891" s="66">
        <f t="shared" si="272"/>
        <v>0</v>
      </c>
      <c r="L1891" s="63">
        <f t="shared" si="273"/>
        <v>0</v>
      </c>
      <c r="M1891" s="63">
        <f t="shared" si="274"/>
        <v>0</v>
      </c>
      <c r="N1891" s="63">
        <f t="shared" si="275"/>
        <v>0</v>
      </c>
      <c r="O1891" s="63">
        <f t="shared" si="276"/>
        <v>0</v>
      </c>
      <c r="P1891" s="63">
        <f t="shared" si="277"/>
        <v>0</v>
      </c>
      <c r="Q1891" s="561">
        <f t="shared" si="271"/>
        <v>0</v>
      </c>
      <c r="R1891" s="174"/>
      <c r="T1891" s="82"/>
      <c r="U1891" s="82"/>
      <c r="V1891" s="82"/>
      <c r="W1891" s="82"/>
      <c r="X1891" s="82"/>
      <c r="Y1891" s="82"/>
      <c r="Z1891" s="82"/>
      <c r="AA1891" s="82"/>
      <c r="AB1891" s="82"/>
    </row>
    <row r="1892" spans="1:28" s="85" customFormat="1" x14ac:dyDescent="0.25">
      <c r="A1892" s="82"/>
      <c r="B1892" s="82"/>
      <c r="C1892" s="82"/>
      <c r="D1892" s="729"/>
      <c r="E1892" s="371" t="s">
        <v>113</v>
      </c>
      <c r="F1892" s="372"/>
      <c r="G1892" s="373"/>
      <c r="H1892" s="374"/>
      <c r="I1892" s="375"/>
      <c r="J1892" s="376">
        <f t="shared" si="264"/>
        <v>0</v>
      </c>
      <c r="K1892" s="66">
        <f t="shared" si="272"/>
        <v>0</v>
      </c>
      <c r="L1892" s="63">
        <f t="shared" si="273"/>
        <v>0</v>
      </c>
      <c r="M1892" s="63">
        <f t="shared" si="274"/>
        <v>0</v>
      </c>
      <c r="N1892" s="63">
        <f t="shared" si="275"/>
        <v>0</v>
      </c>
      <c r="O1892" s="63">
        <f t="shared" si="276"/>
        <v>0</v>
      </c>
      <c r="P1892" s="63">
        <f t="shared" si="277"/>
        <v>0</v>
      </c>
      <c r="Q1892" s="561">
        <f t="shared" si="271"/>
        <v>0</v>
      </c>
      <c r="R1892" s="174"/>
      <c r="T1892" s="82"/>
      <c r="U1892" s="82"/>
      <c r="V1892" s="82"/>
      <c r="W1892" s="82"/>
      <c r="X1892" s="82"/>
      <c r="Y1892" s="82"/>
      <c r="Z1892" s="82"/>
      <c r="AA1892" s="82"/>
      <c r="AB1892" s="82"/>
    </row>
    <row r="1893" spans="1:28" s="85" customFormat="1" x14ac:dyDescent="0.25">
      <c r="A1893" s="82"/>
      <c r="B1893" s="82"/>
      <c r="C1893" s="82"/>
      <c r="D1893" s="729"/>
      <c r="E1893" s="396" t="s">
        <v>184</v>
      </c>
      <c r="F1893" s="403"/>
      <c r="G1893" s="397"/>
      <c r="H1893" s="398"/>
      <c r="I1893" s="399"/>
      <c r="J1893" s="400">
        <f t="shared" si="264"/>
        <v>0</v>
      </c>
      <c r="K1893" s="401">
        <f t="shared" si="272"/>
        <v>0</v>
      </c>
      <c r="L1893" s="196">
        <f t="shared" si="273"/>
        <v>0</v>
      </c>
      <c r="M1893" s="196">
        <f t="shared" si="274"/>
        <v>0</v>
      </c>
      <c r="N1893" s="196">
        <f t="shared" si="275"/>
        <v>0</v>
      </c>
      <c r="O1893" s="196">
        <f t="shared" si="276"/>
        <v>0</v>
      </c>
      <c r="P1893" s="196">
        <f t="shared" si="277"/>
        <v>0</v>
      </c>
      <c r="Q1893" s="566">
        <f t="shared" si="271"/>
        <v>0</v>
      </c>
      <c r="R1893" s="538"/>
      <c r="T1893" s="82"/>
      <c r="U1893" s="82"/>
      <c r="V1893" s="82"/>
      <c r="W1893" s="82"/>
      <c r="X1893" s="82"/>
      <c r="Y1893" s="82"/>
      <c r="Z1893" s="82"/>
      <c r="AA1893" s="82"/>
      <c r="AB1893" s="82"/>
    </row>
    <row r="1894" spans="1:28" s="85" customFormat="1" x14ac:dyDescent="0.25">
      <c r="A1894" s="82"/>
      <c r="B1894" s="82"/>
      <c r="C1894" s="82"/>
      <c r="D1894" s="729"/>
      <c r="E1894" s="371" t="s">
        <v>184</v>
      </c>
      <c r="F1894" s="372"/>
      <c r="G1894" s="373"/>
      <c r="H1894" s="374"/>
      <c r="I1894" s="375"/>
      <c r="J1894" s="376">
        <f t="shared" si="264"/>
        <v>0</v>
      </c>
      <c r="K1894" s="66">
        <f t="shared" si="272"/>
        <v>0</v>
      </c>
      <c r="L1894" s="63">
        <f t="shared" si="273"/>
        <v>0</v>
      </c>
      <c r="M1894" s="63">
        <f t="shared" si="274"/>
        <v>0</v>
      </c>
      <c r="N1894" s="63">
        <f t="shared" si="275"/>
        <v>0</v>
      </c>
      <c r="O1894" s="63">
        <f t="shared" si="276"/>
        <v>0</v>
      </c>
      <c r="P1894" s="63">
        <f t="shared" si="277"/>
        <v>0</v>
      </c>
      <c r="Q1894" s="562">
        <f t="shared" si="271"/>
        <v>0</v>
      </c>
      <c r="R1894" s="377"/>
      <c r="T1894" s="82"/>
      <c r="U1894" s="82"/>
      <c r="V1894" s="82"/>
      <c r="W1894" s="82"/>
      <c r="X1894" s="82"/>
      <c r="Y1894" s="82"/>
      <c r="Z1894" s="82"/>
      <c r="AA1894" s="82"/>
      <c r="AB1894" s="82"/>
    </row>
    <row r="1895" spans="1:28" s="85" customFormat="1" x14ac:dyDescent="0.25">
      <c r="A1895" s="82"/>
      <c r="B1895" s="82"/>
      <c r="C1895" s="82"/>
      <c r="D1895" s="729"/>
      <c r="E1895" s="371" t="s">
        <v>184</v>
      </c>
      <c r="F1895" s="372"/>
      <c r="G1895" s="373"/>
      <c r="H1895" s="374"/>
      <c r="I1895" s="375"/>
      <c r="J1895" s="376">
        <f t="shared" si="264"/>
        <v>0</v>
      </c>
      <c r="K1895" s="66">
        <f t="shared" si="272"/>
        <v>0</v>
      </c>
      <c r="L1895" s="63">
        <f t="shared" si="273"/>
        <v>0</v>
      </c>
      <c r="M1895" s="63">
        <f t="shared" si="274"/>
        <v>0</v>
      </c>
      <c r="N1895" s="63">
        <f t="shared" si="275"/>
        <v>0</v>
      </c>
      <c r="O1895" s="63">
        <f t="shared" si="276"/>
        <v>0</v>
      </c>
      <c r="P1895" s="63">
        <f t="shared" si="277"/>
        <v>0</v>
      </c>
      <c r="Q1895" s="562">
        <f t="shared" si="271"/>
        <v>0</v>
      </c>
      <c r="R1895" s="377"/>
      <c r="T1895" s="82"/>
      <c r="U1895" s="82"/>
      <c r="V1895" s="82"/>
      <c r="W1895" s="82"/>
      <c r="X1895" s="82"/>
      <c r="Y1895" s="82"/>
      <c r="Z1895" s="82"/>
      <c r="AA1895" s="82"/>
      <c r="AB1895" s="82"/>
    </row>
    <row r="1896" spans="1:28" s="85" customFormat="1" ht="13.8" thickBot="1" x14ac:dyDescent="0.3">
      <c r="A1896" s="82"/>
      <c r="B1896" s="82"/>
      <c r="C1896" s="82"/>
      <c r="D1896" s="731"/>
      <c r="E1896" s="390" t="s">
        <v>184</v>
      </c>
      <c r="F1896" s="391"/>
      <c r="G1896" s="392"/>
      <c r="H1896" s="393"/>
      <c r="I1896" s="394"/>
      <c r="J1896" s="395">
        <f t="shared" si="264"/>
        <v>0</v>
      </c>
      <c r="K1896" s="221">
        <f t="shared" si="272"/>
        <v>0</v>
      </c>
      <c r="L1896" s="222">
        <f t="shared" si="273"/>
        <v>0</v>
      </c>
      <c r="M1896" s="222">
        <f t="shared" si="274"/>
        <v>0</v>
      </c>
      <c r="N1896" s="222">
        <f t="shared" si="275"/>
        <v>0</v>
      </c>
      <c r="O1896" s="222">
        <f t="shared" si="276"/>
        <v>0</v>
      </c>
      <c r="P1896" s="222">
        <f t="shared" si="277"/>
        <v>0</v>
      </c>
      <c r="Q1896" s="564">
        <f t="shared" si="271"/>
        <v>0</v>
      </c>
      <c r="R1896" s="539"/>
      <c r="T1896" s="82"/>
      <c r="U1896" s="82"/>
      <c r="V1896" s="82"/>
      <c r="W1896" s="82"/>
      <c r="X1896" s="82"/>
      <c r="Y1896" s="82"/>
      <c r="Z1896" s="82"/>
      <c r="AA1896" s="82"/>
      <c r="AB1896" s="82"/>
    </row>
    <row r="1897" spans="1:28" s="85" customFormat="1" ht="13.8" thickTop="1" x14ac:dyDescent="0.25">
      <c r="A1897" s="82"/>
      <c r="B1897" s="82"/>
      <c r="C1897" s="82"/>
      <c r="D1897" s="728"/>
      <c r="E1897" s="384" t="s">
        <v>49</v>
      </c>
      <c r="F1897" s="385"/>
      <c r="G1897" s="386"/>
      <c r="H1897" s="387"/>
      <c r="I1897" s="388"/>
      <c r="J1897" s="389">
        <f t="shared" si="264"/>
        <v>0</v>
      </c>
      <c r="K1897" s="218">
        <f t="shared" si="272"/>
        <v>0</v>
      </c>
      <c r="L1897" s="219">
        <f t="shared" si="273"/>
        <v>0</v>
      </c>
      <c r="M1897" s="219">
        <f t="shared" si="274"/>
        <v>0</v>
      </c>
      <c r="N1897" s="219">
        <f t="shared" si="275"/>
        <v>0</v>
      </c>
      <c r="O1897" s="219">
        <f t="shared" si="276"/>
        <v>0</v>
      </c>
      <c r="P1897" s="219">
        <f t="shared" si="277"/>
        <v>0</v>
      </c>
      <c r="Q1897" s="563">
        <f t="shared" si="271"/>
        <v>0</v>
      </c>
      <c r="R1897" s="220"/>
      <c r="T1897" s="82"/>
      <c r="U1897" s="82"/>
      <c r="V1897" s="82"/>
      <c r="W1897" s="82"/>
      <c r="X1897" s="82"/>
      <c r="Y1897" s="82"/>
      <c r="Z1897" s="82"/>
      <c r="AA1897" s="82"/>
      <c r="AB1897" s="82"/>
    </row>
    <row r="1898" spans="1:28" s="85" customFormat="1" x14ac:dyDescent="0.25">
      <c r="A1898" s="82"/>
      <c r="B1898" s="82"/>
      <c r="C1898" s="82"/>
      <c r="D1898" s="729"/>
      <c r="E1898" s="371" t="s">
        <v>49</v>
      </c>
      <c r="F1898" s="372"/>
      <c r="G1898" s="373"/>
      <c r="H1898" s="374"/>
      <c r="I1898" s="375"/>
      <c r="J1898" s="376">
        <f t="shared" si="264"/>
        <v>0</v>
      </c>
      <c r="K1898" s="66">
        <f t="shared" si="272"/>
        <v>0</v>
      </c>
      <c r="L1898" s="63">
        <f t="shared" si="273"/>
        <v>0</v>
      </c>
      <c r="M1898" s="63">
        <f t="shared" si="274"/>
        <v>0</v>
      </c>
      <c r="N1898" s="63">
        <f t="shared" si="275"/>
        <v>0</v>
      </c>
      <c r="O1898" s="63">
        <f t="shared" si="276"/>
        <v>0</v>
      </c>
      <c r="P1898" s="63">
        <f t="shared" si="277"/>
        <v>0</v>
      </c>
      <c r="Q1898" s="561">
        <f t="shared" si="271"/>
        <v>0</v>
      </c>
      <c r="R1898" s="174"/>
      <c r="T1898" s="82"/>
      <c r="U1898" s="82"/>
      <c r="V1898" s="82"/>
      <c r="W1898" s="82"/>
      <c r="X1898" s="82"/>
      <c r="Y1898" s="82"/>
      <c r="Z1898" s="82"/>
      <c r="AA1898" s="82"/>
      <c r="AB1898" s="82"/>
    </row>
    <row r="1899" spans="1:28" s="85" customFormat="1" x14ac:dyDescent="0.25">
      <c r="A1899" s="82"/>
      <c r="B1899" s="82"/>
      <c r="C1899" s="82"/>
      <c r="D1899" s="729"/>
      <c r="E1899" s="371" t="s">
        <v>49</v>
      </c>
      <c r="F1899" s="372"/>
      <c r="G1899" s="373"/>
      <c r="H1899" s="374"/>
      <c r="I1899" s="375"/>
      <c r="J1899" s="376">
        <f t="shared" si="264"/>
        <v>0</v>
      </c>
      <c r="K1899" s="66">
        <f t="shared" si="272"/>
        <v>0</v>
      </c>
      <c r="L1899" s="63">
        <f t="shared" si="273"/>
        <v>0</v>
      </c>
      <c r="M1899" s="63">
        <f t="shared" si="274"/>
        <v>0</v>
      </c>
      <c r="N1899" s="63">
        <f t="shared" si="275"/>
        <v>0</v>
      </c>
      <c r="O1899" s="63">
        <f t="shared" si="276"/>
        <v>0</v>
      </c>
      <c r="P1899" s="63">
        <f t="shared" si="277"/>
        <v>0</v>
      </c>
      <c r="Q1899" s="561">
        <f t="shared" si="271"/>
        <v>0</v>
      </c>
      <c r="R1899" s="174"/>
      <c r="T1899" s="82"/>
      <c r="U1899" s="82"/>
      <c r="V1899" s="82"/>
      <c r="W1899" s="82"/>
      <c r="X1899" s="82"/>
      <c r="Y1899" s="82"/>
      <c r="Z1899" s="82"/>
      <c r="AA1899" s="82"/>
      <c r="AB1899" s="82"/>
    </row>
    <row r="1900" spans="1:28" s="85" customFormat="1" x14ac:dyDescent="0.25">
      <c r="A1900" s="82"/>
      <c r="B1900" s="82"/>
      <c r="C1900" s="82"/>
      <c r="D1900" s="729"/>
      <c r="E1900" s="371" t="s">
        <v>49</v>
      </c>
      <c r="F1900" s="372"/>
      <c r="G1900" s="373"/>
      <c r="H1900" s="374"/>
      <c r="I1900" s="375"/>
      <c r="J1900" s="376">
        <f t="shared" si="264"/>
        <v>0</v>
      </c>
      <c r="K1900" s="66">
        <f t="shared" si="272"/>
        <v>0</v>
      </c>
      <c r="L1900" s="63">
        <f t="shared" si="273"/>
        <v>0</v>
      </c>
      <c r="M1900" s="63">
        <f t="shared" si="274"/>
        <v>0</v>
      </c>
      <c r="N1900" s="63">
        <f t="shared" si="275"/>
        <v>0</v>
      </c>
      <c r="O1900" s="63">
        <f t="shared" si="276"/>
        <v>0</v>
      </c>
      <c r="P1900" s="63">
        <f t="shared" si="277"/>
        <v>0</v>
      </c>
      <c r="Q1900" s="561">
        <f t="shared" si="271"/>
        <v>0</v>
      </c>
      <c r="R1900" s="174"/>
      <c r="T1900" s="82"/>
      <c r="U1900" s="82"/>
      <c r="V1900" s="82"/>
      <c r="W1900" s="82"/>
      <c r="X1900" s="82"/>
      <c r="Y1900" s="82"/>
      <c r="Z1900" s="82"/>
      <c r="AA1900" s="82"/>
      <c r="AB1900" s="82"/>
    </row>
    <row r="1901" spans="1:28" s="85" customFormat="1" x14ac:dyDescent="0.25">
      <c r="A1901" s="82"/>
      <c r="B1901" s="82"/>
      <c r="C1901" s="82"/>
      <c r="D1901" s="729"/>
      <c r="E1901" s="371" t="s">
        <v>113</v>
      </c>
      <c r="F1901" s="372"/>
      <c r="G1901" s="373"/>
      <c r="H1901" s="374"/>
      <c r="I1901" s="375"/>
      <c r="J1901" s="376">
        <f t="shared" si="264"/>
        <v>0</v>
      </c>
      <c r="K1901" s="66">
        <f t="shared" si="272"/>
        <v>0</v>
      </c>
      <c r="L1901" s="63">
        <f t="shared" si="273"/>
        <v>0</v>
      </c>
      <c r="M1901" s="63">
        <f t="shared" si="274"/>
        <v>0</v>
      </c>
      <c r="N1901" s="63">
        <f t="shared" si="275"/>
        <v>0</v>
      </c>
      <c r="O1901" s="63">
        <f t="shared" si="276"/>
        <v>0</v>
      </c>
      <c r="P1901" s="63">
        <f t="shared" si="277"/>
        <v>0</v>
      </c>
      <c r="Q1901" s="561">
        <f t="shared" si="271"/>
        <v>0</v>
      </c>
      <c r="R1901" s="174"/>
      <c r="T1901" s="82"/>
      <c r="U1901" s="82"/>
      <c r="V1901" s="82"/>
      <c r="W1901" s="82"/>
      <c r="X1901" s="82"/>
      <c r="Y1901" s="82"/>
      <c r="Z1901" s="82"/>
      <c r="AA1901" s="82"/>
      <c r="AB1901" s="82"/>
    </row>
    <row r="1902" spans="1:28" s="85" customFormat="1" x14ac:dyDescent="0.25">
      <c r="A1902" s="82"/>
      <c r="B1902" s="82"/>
      <c r="C1902" s="82"/>
      <c r="D1902" s="729"/>
      <c r="E1902" s="371" t="s">
        <v>113</v>
      </c>
      <c r="F1902" s="372"/>
      <c r="G1902" s="373"/>
      <c r="H1902" s="374"/>
      <c r="I1902" s="375"/>
      <c r="J1902" s="376">
        <f t="shared" si="264"/>
        <v>0</v>
      </c>
      <c r="K1902" s="66">
        <f t="shared" si="272"/>
        <v>0</v>
      </c>
      <c r="L1902" s="63">
        <f t="shared" si="273"/>
        <v>0</v>
      </c>
      <c r="M1902" s="63">
        <f t="shared" si="274"/>
        <v>0</v>
      </c>
      <c r="N1902" s="63">
        <f t="shared" si="275"/>
        <v>0</v>
      </c>
      <c r="O1902" s="63">
        <f t="shared" si="276"/>
        <v>0</v>
      </c>
      <c r="P1902" s="63">
        <f t="shared" si="277"/>
        <v>0</v>
      </c>
      <c r="Q1902" s="561">
        <f t="shared" si="271"/>
        <v>0</v>
      </c>
      <c r="R1902" s="174"/>
      <c r="T1902" s="82"/>
      <c r="U1902" s="82"/>
      <c r="V1902" s="82"/>
      <c r="W1902" s="82"/>
      <c r="X1902" s="82"/>
      <c r="Y1902" s="82"/>
      <c r="Z1902" s="82"/>
      <c r="AA1902" s="82"/>
      <c r="AB1902" s="82"/>
    </row>
    <row r="1903" spans="1:28" s="85" customFormat="1" x14ac:dyDescent="0.25">
      <c r="A1903" s="82"/>
      <c r="B1903" s="82"/>
      <c r="C1903" s="82"/>
      <c r="D1903" s="729"/>
      <c r="E1903" s="371" t="s">
        <v>113</v>
      </c>
      <c r="F1903" s="372"/>
      <c r="G1903" s="373"/>
      <c r="H1903" s="374"/>
      <c r="I1903" s="375"/>
      <c r="J1903" s="376">
        <f t="shared" si="264"/>
        <v>0</v>
      </c>
      <c r="K1903" s="66">
        <f t="shared" si="272"/>
        <v>0</v>
      </c>
      <c r="L1903" s="63">
        <f t="shared" si="273"/>
        <v>0</v>
      </c>
      <c r="M1903" s="63">
        <f t="shared" si="274"/>
        <v>0</v>
      </c>
      <c r="N1903" s="63">
        <f t="shared" si="275"/>
        <v>0</v>
      </c>
      <c r="O1903" s="63">
        <f t="shared" si="276"/>
        <v>0</v>
      </c>
      <c r="P1903" s="63">
        <f t="shared" si="277"/>
        <v>0</v>
      </c>
      <c r="Q1903" s="561">
        <f t="shared" si="271"/>
        <v>0</v>
      </c>
      <c r="R1903" s="174"/>
      <c r="T1903" s="82"/>
      <c r="U1903" s="82"/>
      <c r="V1903" s="82"/>
      <c r="W1903" s="82"/>
      <c r="X1903" s="82"/>
      <c r="Y1903" s="82"/>
      <c r="Z1903" s="82"/>
      <c r="AA1903" s="82"/>
      <c r="AB1903" s="82"/>
    </row>
    <row r="1904" spans="1:28" s="85" customFormat="1" x14ac:dyDescent="0.25">
      <c r="A1904" s="82"/>
      <c r="B1904" s="82"/>
      <c r="C1904" s="82"/>
      <c r="D1904" s="729"/>
      <c r="E1904" s="371" t="s">
        <v>113</v>
      </c>
      <c r="F1904" s="372"/>
      <c r="G1904" s="373"/>
      <c r="H1904" s="374"/>
      <c r="I1904" s="375"/>
      <c r="J1904" s="376">
        <f t="shared" si="264"/>
        <v>0</v>
      </c>
      <c r="K1904" s="66">
        <f t="shared" si="272"/>
        <v>0</v>
      </c>
      <c r="L1904" s="63">
        <f t="shared" si="273"/>
        <v>0</v>
      </c>
      <c r="M1904" s="63">
        <f t="shared" si="274"/>
        <v>0</v>
      </c>
      <c r="N1904" s="63">
        <f t="shared" si="275"/>
        <v>0</v>
      </c>
      <c r="O1904" s="63">
        <f t="shared" si="276"/>
        <v>0</v>
      </c>
      <c r="P1904" s="63">
        <f t="shared" si="277"/>
        <v>0</v>
      </c>
      <c r="Q1904" s="561">
        <f t="shared" si="271"/>
        <v>0</v>
      </c>
      <c r="R1904" s="174"/>
      <c r="T1904" s="82"/>
      <c r="U1904" s="82"/>
      <c r="V1904" s="82"/>
      <c r="W1904" s="82"/>
      <c r="X1904" s="82"/>
      <c r="Y1904" s="82"/>
      <c r="Z1904" s="82"/>
      <c r="AA1904" s="82"/>
      <c r="AB1904" s="82"/>
    </row>
    <row r="1905" spans="1:28" s="85" customFormat="1" x14ac:dyDescent="0.25">
      <c r="A1905" s="82"/>
      <c r="B1905" s="82"/>
      <c r="C1905" s="82"/>
      <c r="D1905" s="729"/>
      <c r="E1905" s="396" t="s">
        <v>184</v>
      </c>
      <c r="F1905" s="403"/>
      <c r="G1905" s="397"/>
      <c r="H1905" s="398"/>
      <c r="I1905" s="399"/>
      <c r="J1905" s="400">
        <f t="shared" si="264"/>
        <v>0</v>
      </c>
      <c r="K1905" s="401">
        <f t="shared" si="272"/>
        <v>0</v>
      </c>
      <c r="L1905" s="196">
        <f t="shared" si="273"/>
        <v>0</v>
      </c>
      <c r="M1905" s="196">
        <f t="shared" si="274"/>
        <v>0</v>
      </c>
      <c r="N1905" s="196">
        <f t="shared" si="275"/>
        <v>0</v>
      </c>
      <c r="O1905" s="196">
        <f t="shared" si="276"/>
        <v>0</v>
      </c>
      <c r="P1905" s="196">
        <f t="shared" si="277"/>
        <v>0</v>
      </c>
      <c r="Q1905" s="566">
        <f t="shared" si="271"/>
        <v>0</v>
      </c>
      <c r="R1905" s="538"/>
      <c r="T1905" s="82"/>
      <c r="U1905" s="82"/>
      <c r="V1905" s="82"/>
      <c r="W1905" s="82"/>
      <c r="X1905" s="82"/>
      <c r="Y1905" s="82"/>
      <c r="Z1905" s="82"/>
      <c r="AA1905" s="82"/>
      <c r="AB1905" s="82"/>
    </row>
    <row r="1906" spans="1:28" s="85" customFormat="1" x14ac:dyDescent="0.25">
      <c r="A1906" s="82"/>
      <c r="B1906" s="82"/>
      <c r="C1906" s="82"/>
      <c r="D1906" s="729"/>
      <c r="E1906" s="371" t="s">
        <v>184</v>
      </c>
      <c r="F1906" s="372"/>
      <c r="G1906" s="373"/>
      <c r="H1906" s="374"/>
      <c r="I1906" s="375"/>
      <c r="J1906" s="376">
        <f t="shared" si="264"/>
        <v>0</v>
      </c>
      <c r="K1906" s="66">
        <f t="shared" si="272"/>
        <v>0</v>
      </c>
      <c r="L1906" s="63">
        <f t="shared" si="273"/>
        <v>0</v>
      </c>
      <c r="M1906" s="63">
        <f t="shared" si="274"/>
        <v>0</v>
      </c>
      <c r="N1906" s="63">
        <f t="shared" si="275"/>
        <v>0</v>
      </c>
      <c r="O1906" s="63">
        <f t="shared" si="276"/>
        <v>0</v>
      </c>
      <c r="P1906" s="63">
        <f t="shared" si="277"/>
        <v>0</v>
      </c>
      <c r="Q1906" s="562">
        <f t="shared" si="271"/>
        <v>0</v>
      </c>
      <c r="R1906" s="377"/>
      <c r="T1906" s="82"/>
      <c r="U1906" s="82"/>
      <c r="V1906" s="82"/>
      <c r="W1906" s="82"/>
      <c r="X1906" s="82"/>
      <c r="Y1906" s="82"/>
      <c r="Z1906" s="82"/>
      <c r="AA1906" s="82"/>
      <c r="AB1906" s="82"/>
    </row>
    <row r="1907" spans="1:28" s="85" customFormat="1" x14ac:dyDescent="0.25">
      <c r="A1907" s="82"/>
      <c r="B1907" s="82"/>
      <c r="C1907" s="82"/>
      <c r="D1907" s="729"/>
      <c r="E1907" s="371" t="s">
        <v>184</v>
      </c>
      <c r="F1907" s="372"/>
      <c r="G1907" s="373"/>
      <c r="H1907" s="374"/>
      <c r="I1907" s="375"/>
      <c r="J1907" s="376">
        <f t="shared" si="264"/>
        <v>0</v>
      </c>
      <c r="K1907" s="66">
        <f t="shared" si="272"/>
        <v>0</v>
      </c>
      <c r="L1907" s="63">
        <f t="shared" si="273"/>
        <v>0</v>
      </c>
      <c r="M1907" s="63">
        <f t="shared" si="274"/>
        <v>0</v>
      </c>
      <c r="N1907" s="63">
        <f t="shared" si="275"/>
        <v>0</v>
      </c>
      <c r="O1907" s="63">
        <f t="shared" si="276"/>
        <v>0</v>
      </c>
      <c r="P1907" s="63">
        <f t="shared" si="277"/>
        <v>0</v>
      </c>
      <c r="Q1907" s="562">
        <f t="shared" si="271"/>
        <v>0</v>
      </c>
      <c r="R1907" s="377"/>
      <c r="T1907" s="82"/>
      <c r="U1907" s="82"/>
      <c r="V1907" s="82"/>
      <c r="W1907" s="82"/>
      <c r="X1907" s="82"/>
      <c r="Y1907" s="82"/>
      <c r="Z1907" s="82"/>
      <c r="AA1907" s="82"/>
      <c r="AB1907" s="82"/>
    </row>
    <row r="1908" spans="1:28" s="85" customFormat="1" ht="13.8" thickBot="1" x14ac:dyDescent="0.3">
      <c r="A1908" s="82"/>
      <c r="B1908" s="82"/>
      <c r="C1908" s="82"/>
      <c r="D1908" s="731"/>
      <c r="E1908" s="390" t="s">
        <v>184</v>
      </c>
      <c r="F1908" s="391"/>
      <c r="G1908" s="392"/>
      <c r="H1908" s="393"/>
      <c r="I1908" s="394"/>
      <c r="J1908" s="395">
        <f t="shared" si="264"/>
        <v>0</v>
      </c>
      <c r="K1908" s="221">
        <f t="shared" si="272"/>
        <v>0</v>
      </c>
      <c r="L1908" s="222">
        <f t="shared" si="273"/>
        <v>0</v>
      </c>
      <c r="M1908" s="222">
        <f t="shared" si="274"/>
        <v>0</v>
      </c>
      <c r="N1908" s="222">
        <f t="shared" si="275"/>
        <v>0</v>
      </c>
      <c r="O1908" s="222">
        <f t="shared" si="276"/>
        <v>0</v>
      </c>
      <c r="P1908" s="222">
        <f t="shared" si="277"/>
        <v>0</v>
      </c>
      <c r="Q1908" s="564">
        <f t="shared" si="271"/>
        <v>0</v>
      </c>
      <c r="R1908" s="539"/>
      <c r="T1908" s="82"/>
      <c r="U1908" s="82"/>
      <c r="V1908" s="82"/>
      <c r="W1908" s="82"/>
      <c r="X1908" s="82"/>
      <c r="Y1908" s="82"/>
      <c r="Z1908" s="82"/>
      <c r="AA1908" s="82"/>
      <c r="AB1908" s="82"/>
    </row>
    <row r="1909" spans="1:28" s="85" customFormat="1" ht="13.8" thickTop="1" x14ac:dyDescent="0.25">
      <c r="A1909" s="82"/>
      <c r="B1909" s="82"/>
      <c r="C1909" s="82"/>
      <c r="D1909" s="728"/>
      <c r="E1909" s="384" t="s">
        <v>49</v>
      </c>
      <c r="F1909" s="385"/>
      <c r="G1909" s="386"/>
      <c r="H1909" s="387"/>
      <c r="I1909" s="388"/>
      <c r="J1909" s="389">
        <f t="shared" si="264"/>
        <v>0</v>
      </c>
      <c r="K1909" s="218">
        <f t="shared" si="272"/>
        <v>0</v>
      </c>
      <c r="L1909" s="219">
        <f t="shared" si="273"/>
        <v>0</v>
      </c>
      <c r="M1909" s="219">
        <f t="shared" si="274"/>
        <v>0</v>
      </c>
      <c r="N1909" s="219">
        <f t="shared" si="275"/>
        <v>0</v>
      </c>
      <c r="O1909" s="219">
        <f t="shared" si="276"/>
        <v>0</v>
      </c>
      <c r="P1909" s="219">
        <f t="shared" si="277"/>
        <v>0</v>
      </c>
      <c r="Q1909" s="563">
        <f t="shared" si="271"/>
        <v>0</v>
      </c>
      <c r="R1909" s="220"/>
      <c r="T1909" s="82"/>
      <c r="U1909" s="82"/>
      <c r="V1909" s="82"/>
      <c r="W1909" s="82"/>
      <c r="X1909" s="82"/>
      <c r="Y1909" s="82"/>
      <c r="Z1909" s="82"/>
      <c r="AA1909" s="82"/>
      <c r="AB1909" s="82"/>
    </row>
    <row r="1910" spans="1:28" s="85" customFormat="1" x14ac:dyDescent="0.25">
      <c r="A1910" s="82"/>
      <c r="B1910" s="82"/>
      <c r="C1910" s="82"/>
      <c r="D1910" s="729"/>
      <c r="E1910" s="371" t="s">
        <v>49</v>
      </c>
      <c r="F1910" s="372"/>
      <c r="G1910" s="373"/>
      <c r="H1910" s="374"/>
      <c r="I1910" s="375"/>
      <c r="J1910" s="376">
        <f t="shared" si="264"/>
        <v>0</v>
      </c>
      <c r="K1910" s="66">
        <f t="shared" si="272"/>
        <v>0</v>
      </c>
      <c r="L1910" s="63">
        <f t="shared" si="273"/>
        <v>0</v>
      </c>
      <c r="M1910" s="63">
        <f t="shared" si="274"/>
        <v>0</v>
      </c>
      <c r="N1910" s="63">
        <f t="shared" si="275"/>
        <v>0</v>
      </c>
      <c r="O1910" s="63">
        <f t="shared" si="276"/>
        <v>0</v>
      </c>
      <c r="P1910" s="63">
        <f t="shared" si="277"/>
        <v>0</v>
      </c>
      <c r="Q1910" s="561">
        <f t="shared" si="271"/>
        <v>0</v>
      </c>
      <c r="R1910" s="174"/>
      <c r="T1910" s="82"/>
      <c r="U1910" s="82"/>
      <c r="V1910" s="82"/>
      <c r="W1910" s="82"/>
      <c r="X1910" s="82"/>
      <c r="Y1910" s="82"/>
      <c r="Z1910" s="82"/>
      <c r="AA1910" s="82"/>
      <c r="AB1910" s="82"/>
    </row>
    <row r="1911" spans="1:28" s="85" customFormat="1" x14ac:dyDescent="0.25">
      <c r="A1911" s="82"/>
      <c r="B1911" s="82"/>
      <c r="C1911" s="82"/>
      <c r="D1911" s="729"/>
      <c r="E1911" s="371" t="s">
        <v>49</v>
      </c>
      <c r="F1911" s="372"/>
      <c r="G1911" s="373"/>
      <c r="H1911" s="374"/>
      <c r="I1911" s="375"/>
      <c r="J1911" s="376">
        <f t="shared" si="264"/>
        <v>0</v>
      </c>
      <c r="K1911" s="66">
        <f t="shared" si="272"/>
        <v>0</v>
      </c>
      <c r="L1911" s="63">
        <f t="shared" si="273"/>
        <v>0</v>
      </c>
      <c r="M1911" s="63">
        <f t="shared" si="274"/>
        <v>0</v>
      </c>
      <c r="N1911" s="63">
        <f t="shared" si="275"/>
        <v>0</v>
      </c>
      <c r="O1911" s="63">
        <f t="shared" si="276"/>
        <v>0</v>
      </c>
      <c r="P1911" s="63">
        <f t="shared" si="277"/>
        <v>0</v>
      </c>
      <c r="Q1911" s="561">
        <f t="shared" si="271"/>
        <v>0</v>
      </c>
      <c r="R1911" s="174"/>
      <c r="T1911" s="82"/>
      <c r="U1911" s="82"/>
      <c r="V1911" s="82"/>
      <c r="W1911" s="82"/>
      <c r="X1911" s="82"/>
      <c r="Y1911" s="82"/>
      <c r="Z1911" s="82"/>
      <c r="AA1911" s="82"/>
      <c r="AB1911" s="82"/>
    </row>
    <row r="1912" spans="1:28" s="85" customFormat="1" x14ac:dyDescent="0.25">
      <c r="A1912" s="82"/>
      <c r="B1912" s="82"/>
      <c r="C1912" s="82"/>
      <c r="D1912" s="729"/>
      <c r="E1912" s="371" t="s">
        <v>49</v>
      </c>
      <c r="F1912" s="372"/>
      <c r="G1912" s="373"/>
      <c r="H1912" s="374"/>
      <c r="I1912" s="375"/>
      <c r="J1912" s="376">
        <f t="shared" si="264"/>
        <v>0</v>
      </c>
      <c r="K1912" s="66">
        <f t="shared" si="272"/>
        <v>0</v>
      </c>
      <c r="L1912" s="63">
        <f t="shared" si="273"/>
        <v>0</v>
      </c>
      <c r="M1912" s="63">
        <f t="shared" si="274"/>
        <v>0</v>
      </c>
      <c r="N1912" s="63">
        <f t="shared" si="275"/>
        <v>0</v>
      </c>
      <c r="O1912" s="63">
        <f t="shared" si="276"/>
        <v>0</v>
      </c>
      <c r="P1912" s="63">
        <f t="shared" si="277"/>
        <v>0</v>
      </c>
      <c r="Q1912" s="561">
        <f t="shared" si="271"/>
        <v>0</v>
      </c>
      <c r="R1912" s="174"/>
      <c r="T1912" s="82"/>
      <c r="U1912" s="82"/>
      <c r="V1912" s="82"/>
      <c r="W1912" s="82"/>
      <c r="X1912" s="82"/>
      <c r="Y1912" s="82"/>
      <c r="Z1912" s="82"/>
      <c r="AA1912" s="82"/>
      <c r="AB1912" s="82"/>
    </row>
    <row r="1913" spans="1:28" s="85" customFormat="1" x14ac:dyDescent="0.25">
      <c r="A1913" s="82"/>
      <c r="B1913" s="82"/>
      <c r="C1913" s="82"/>
      <c r="D1913" s="729"/>
      <c r="E1913" s="371" t="s">
        <v>113</v>
      </c>
      <c r="F1913" s="372"/>
      <c r="G1913" s="373"/>
      <c r="H1913" s="374"/>
      <c r="I1913" s="375"/>
      <c r="J1913" s="376">
        <f t="shared" si="264"/>
        <v>0</v>
      </c>
      <c r="K1913" s="66">
        <f t="shared" si="272"/>
        <v>0</v>
      </c>
      <c r="L1913" s="63">
        <f t="shared" si="273"/>
        <v>0</v>
      </c>
      <c r="M1913" s="63">
        <f t="shared" si="274"/>
        <v>0</v>
      </c>
      <c r="N1913" s="63">
        <f t="shared" si="275"/>
        <v>0</v>
      </c>
      <c r="O1913" s="63">
        <f t="shared" si="276"/>
        <v>0</v>
      </c>
      <c r="P1913" s="63">
        <f t="shared" si="277"/>
        <v>0</v>
      </c>
      <c r="Q1913" s="561">
        <f t="shared" si="271"/>
        <v>0</v>
      </c>
      <c r="R1913" s="174"/>
      <c r="T1913" s="82"/>
      <c r="U1913" s="82"/>
      <c r="V1913" s="82"/>
      <c r="W1913" s="82"/>
      <c r="X1913" s="82"/>
      <c r="Y1913" s="82"/>
      <c r="Z1913" s="82"/>
      <c r="AA1913" s="82"/>
      <c r="AB1913" s="82"/>
    </row>
    <row r="1914" spans="1:28" s="85" customFormat="1" x14ac:dyDescent="0.25">
      <c r="A1914" s="82"/>
      <c r="B1914" s="82"/>
      <c r="C1914" s="82"/>
      <c r="D1914" s="729"/>
      <c r="E1914" s="371" t="s">
        <v>113</v>
      </c>
      <c r="F1914" s="372"/>
      <c r="G1914" s="373"/>
      <c r="H1914" s="374"/>
      <c r="I1914" s="375"/>
      <c r="J1914" s="376">
        <f t="shared" si="264"/>
        <v>0</v>
      </c>
      <c r="K1914" s="66">
        <f t="shared" si="272"/>
        <v>0</v>
      </c>
      <c r="L1914" s="63">
        <f t="shared" si="273"/>
        <v>0</v>
      </c>
      <c r="M1914" s="63">
        <f t="shared" si="274"/>
        <v>0</v>
      </c>
      <c r="N1914" s="63">
        <f t="shared" si="275"/>
        <v>0</v>
      </c>
      <c r="O1914" s="63">
        <f t="shared" si="276"/>
        <v>0</v>
      </c>
      <c r="P1914" s="63">
        <f t="shared" si="277"/>
        <v>0</v>
      </c>
      <c r="Q1914" s="561">
        <f t="shared" si="271"/>
        <v>0</v>
      </c>
      <c r="R1914" s="174"/>
      <c r="T1914" s="82"/>
      <c r="U1914" s="82"/>
      <c r="V1914" s="82"/>
      <c r="W1914" s="82"/>
      <c r="X1914" s="82"/>
      <c r="Y1914" s="82"/>
      <c r="Z1914" s="82"/>
      <c r="AA1914" s="82"/>
      <c r="AB1914" s="82"/>
    </row>
    <row r="1915" spans="1:28" s="85" customFormat="1" x14ac:dyDescent="0.25">
      <c r="A1915" s="82"/>
      <c r="B1915" s="82"/>
      <c r="C1915" s="82"/>
      <c r="D1915" s="729"/>
      <c r="E1915" s="371" t="s">
        <v>113</v>
      </c>
      <c r="F1915" s="372"/>
      <c r="G1915" s="373"/>
      <c r="H1915" s="374"/>
      <c r="I1915" s="375"/>
      <c r="J1915" s="376">
        <f t="shared" si="264"/>
        <v>0</v>
      </c>
      <c r="K1915" s="66">
        <f t="shared" si="272"/>
        <v>0</v>
      </c>
      <c r="L1915" s="63">
        <f t="shared" si="273"/>
        <v>0</v>
      </c>
      <c r="M1915" s="63">
        <f t="shared" si="274"/>
        <v>0</v>
      </c>
      <c r="N1915" s="63">
        <f t="shared" si="275"/>
        <v>0</v>
      </c>
      <c r="O1915" s="63">
        <f t="shared" si="276"/>
        <v>0</v>
      </c>
      <c r="P1915" s="63">
        <f t="shared" si="277"/>
        <v>0</v>
      </c>
      <c r="Q1915" s="561">
        <f t="shared" si="271"/>
        <v>0</v>
      </c>
      <c r="R1915" s="174"/>
      <c r="T1915" s="82"/>
      <c r="U1915" s="82"/>
      <c r="V1915" s="82"/>
      <c r="W1915" s="82"/>
      <c r="X1915" s="82"/>
      <c r="Y1915" s="82"/>
      <c r="Z1915" s="82"/>
      <c r="AA1915" s="82"/>
      <c r="AB1915" s="82"/>
    </row>
    <row r="1916" spans="1:28" s="85" customFormat="1" x14ac:dyDescent="0.25">
      <c r="A1916" s="82"/>
      <c r="B1916" s="82"/>
      <c r="C1916" s="82"/>
      <c r="D1916" s="729"/>
      <c r="E1916" s="371" t="s">
        <v>113</v>
      </c>
      <c r="F1916" s="372"/>
      <c r="G1916" s="373"/>
      <c r="H1916" s="374"/>
      <c r="I1916" s="375"/>
      <c r="J1916" s="376">
        <f t="shared" si="264"/>
        <v>0</v>
      </c>
      <c r="K1916" s="66">
        <f t="shared" si="272"/>
        <v>0</v>
      </c>
      <c r="L1916" s="63">
        <f t="shared" si="273"/>
        <v>0</v>
      </c>
      <c r="M1916" s="63">
        <f t="shared" si="274"/>
        <v>0</v>
      </c>
      <c r="N1916" s="63">
        <f t="shared" si="275"/>
        <v>0</v>
      </c>
      <c r="O1916" s="63">
        <f t="shared" si="276"/>
        <v>0</v>
      </c>
      <c r="P1916" s="63">
        <f t="shared" si="277"/>
        <v>0</v>
      </c>
      <c r="Q1916" s="561">
        <f t="shared" si="271"/>
        <v>0</v>
      </c>
      <c r="R1916" s="174"/>
      <c r="T1916" s="82"/>
      <c r="U1916" s="82"/>
      <c r="V1916" s="82"/>
      <c r="W1916" s="82"/>
      <c r="X1916" s="82"/>
      <c r="Y1916" s="82"/>
      <c r="Z1916" s="82"/>
      <c r="AA1916" s="82"/>
      <c r="AB1916" s="82"/>
    </row>
    <row r="1917" spans="1:28" s="85" customFormat="1" x14ac:dyDescent="0.25">
      <c r="A1917" s="82"/>
      <c r="B1917" s="82"/>
      <c r="C1917" s="82"/>
      <c r="D1917" s="729"/>
      <c r="E1917" s="396" t="s">
        <v>184</v>
      </c>
      <c r="F1917" s="403"/>
      <c r="G1917" s="397"/>
      <c r="H1917" s="398"/>
      <c r="I1917" s="399"/>
      <c r="J1917" s="400">
        <f t="shared" si="264"/>
        <v>0</v>
      </c>
      <c r="K1917" s="401">
        <f t="shared" si="272"/>
        <v>0</v>
      </c>
      <c r="L1917" s="196">
        <f t="shared" si="273"/>
        <v>0</v>
      </c>
      <c r="M1917" s="196">
        <f t="shared" si="274"/>
        <v>0</v>
      </c>
      <c r="N1917" s="196">
        <f t="shared" si="275"/>
        <v>0</v>
      </c>
      <c r="O1917" s="196">
        <f t="shared" si="276"/>
        <v>0</v>
      </c>
      <c r="P1917" s="196">
        <f t="shared" si="277"/>
        <v>0</v>
      </c>
      <c r="Q1917" s="566">
        <f t="shared" si="271"/>
        <v>0</v>
      </c>
      <c r="R1917" s="538"/>
      <c r="T1917" s="82"/>
      <c r="U1917" s="82"/>
      <c r="V1917" s="82"/>
      <c r="W1917" s="82"/>
      <c r="X1917" s="82"/>
      <c r="Y1917" s="82"/>
      <c r="Z1917" s="82"/>
      <c r="AA1917" s="82"/>
      <c r="AB1917" s="82"/>
    </row>
    <row r="1918" spans="1:28" s="85" customFormat="1" x14ac:dyDescent="0.25">
      <c r="A1918" s="82"/>
      <c r="B1918" s="82"/>
      <c r="C1918" s="82"/>
      <c r="D1918" s="729"/>
      <c r="E1918" s="371" t="s">
        <v>184</v>
      </c>
      <c r="F1918" s="372"/>
      <c r="G1918" s="373"/>
      <c r="H1918" s="374"/>
      <c r="I1918" s="375"/>
      <c r="J1918" s="376">
        <f t="shared" si="264"/>
        <v>0</v>
      </c>
      <c r="K1918" s="66">
        <f t="shared" si="272"/>
        <v>0</v>
      </c>
      <c r="L1918" s="63">
        <f t="shared" si="273"/>
        <v>0</v>
      </c>
      <c r="M1918" s="63">
        <f t="shared" si="274"/>
        <v>0</v>
      </c>
      <c r="N1918" s="63">
        <f t="shared" si="275"/>
        <v>0</v>
      </c>
      <c r="O1918" s="63">
        <f t="shared" si="276"/>
        <v>0</v>
      </c>
      <c r="P1918" s="63">
        <f t="shared" si="277"/>
        <v>0</v>
      </c>
      <c r="Q1918" s="562">
        <f t="shared" si="271"/>
        <v>0</v>
      </c>
      <c r="R1918" s="377"/>
      <c r="T1918" s="82"/>
      <c r="U1918" s="82"/>
      <c r="V1918" s="82"/>
      <c r="W1918" s="82"/>
      <c r="X1918" s="82"/>
      <c r="Y1918" s="82"/>
      <c r="Z1918" s="82"/>
      <c r="AA1918" s="82"/>
      <c r="AB1918" s="82"/>
    </row>
    <row r="1919" spans="1:28" s="85" customFormat="1" x14ac:dyDescent="0.25">
      <c r="A1919" s="82"/>
      <c r="B1919" s="82"/>
      <c r="C1919" s="82"/>
      <c r="D1919" s="729"/>
      <c r="E1919" s="371" t="s">
        <v>184</v>
      </c>
      <c r="F1919" s="372"/>
      <c r="G1919" s="373"/>
      <c r="H1919" s="374"/>
      <c r="I1919" s="375"/>
      <c r="J1919" s="376">
        <f t="shared" si="264"/>
        <v>0</v>
      </c>
      <c r="K1919" s="66">
        <f t="shared" si="272"/>
        <v>0</v>
      </c>
      <c r="L1919" s="63">
        <f t="shared" si="273"/>
        <v>0</v>
      </c>
      <c r="M1919" s="63">
        <f t="shared" si="274"/>
        <v>0</v>
      </c>
      <c r="N1919" s="63">
        <f t="shared" si="275"/>
        <v>0</v>
      </c>
      <c r="O1919" s="63">
        <f t="shared" si="276"/>
        <v>0</v>
      </c>
      <c r="P1919" s="63">
        <f t="shared" si="277"/>
        <v>0</v>
      </c>
      <c r="Q1919" s="562">
        <f t="shared" si="271"/>
        <v>0</v>
      </c>
      <c r="R1919" s="377"/>
      <c r="T1919" s="82"/>
      <c r="U1919" s="82"/>
      <c r="V1919" s="82"/>
      <c r="W1919" s="82"/>
      <c r="X1919" s="82"/>
      <c r="Y1919" s="82"/>
      <c r="Z1919" s="82"/>
      <c r="AA1919" s="82"/>
      <c r="AB1919" s="82"/>
    </row>
    <row r="1920" spans="1:28" s="85" customFormat="1" ht="13.8" thickBot="1" x14ac:dyDescent="0.3">
      <c r="A1920" s="82"/>
      <c r="B1920" s="82"/>
      <c r="C1920" s="82"/>
      <c r="D1920" s="731"/>
      <c r="E1920" s="390" t="s">
        <v>184</v>
      </c>
      <c r="F1920" s="391"/>
      <c r="G1920" s="392"/>
      <c r="H1920" s="393"/>
      <c r="I1920" s="394"/>
      <c r="J1920" s="395">
        <f t="shared" si="264"/>
        <v>0</v>
      </c>
      <c r="K1920" s="221">
        <f t="shared" si="272"/>
        <v>0</v>
      </c>
      <c r="L1920" s="222">
        <f t="shared" si="273"/>
        <v>0</v>
      </c>
      <c r="M1920" s="222">
        <f t="shared" si="274"/>
        <v>0</v>
      </c>
      <c r="N1920" s="222">
        <f t="shared" si="275"/>
        <v>0</v>
      </c>
      <c r="O1920" s="222">
        <f t="shared" si="276"/>
        <v>0</v>
      </c>
      <c r="P1920" s="222">
        <f t="shared" si="277"/>
        <v>0</v>
      </c>
      <c r="Q1920" s="564">
        <f t="shared" si="271"/>
        <v>0</v>
      </c>
      <c r="R1920" s="539"/>
      <c r="T1920" s="82"/>
      <c r="U1920" s="82"/>
      <c r="V1920" s="82"/>
      <c r="W1920" s="82"/>
      <c r="X1920" s="82"/>
      <c r="Y1920" s="82"/>
      <c r="Z1920" s="82"/>
      <c r="AA1920" s="82"/>
      <c r="AB1920" s="82"/>
    </row>
    <row r="1921" spans="1:28" s="85" customFormat="1" ht="13.8" thickTop="1" x14ac:dyDescent="0.25">
      <c r="A1921" s="82"/>
      <c r="B1921" s="82"/>
      <c r="C1921" s="82"/>
      <c r="D1921" s="728"/>
      <c r="E1921" s="384" t="s">
        <v>49</v>
      </c>
      <c r="F1921" s="385"/>
      <c r="G1921" s="386"/>
      <c r="H1921" s="387"/>
      <c r="I1921" s="388"/>
      <c r="J1921" s="389">
        <f t="shared" si="264"/>
        <v>0</v>
      </c>
      <c r="K1921" s="218">
        <f t="shared" si="272"/>
        <v>0</v>
      </c>
      <c r="L1921" s="219">
        <f t="shared" si="273"/>
        <v>0</v>
      </c>
      <c r="M1921" s="219">
        <f t="shared" si="274"/>
        <v>0</v>
      </c>
      <c r="N1921" s="219">
        <f t="shared" si="275"/>
        <v>0</v>
      </c>
      <c r="O1921" s="219">
        <f t="shared" si="276"/>
        <v>0</v>
      </c>
      <c r="P1921" s="219">
        <f t="shared" si="277"/>
        <v>0</v>
      </c>
      <c r="Q1921" s="563">
        <f t="shared" si="271"/>
        <v>0</v>
      </c>
      <c r="R1921" s="220"/>
      <c r="T1921" s="82"/>
      <c r="U1921" s="82"/>
      <c r="V1921" s="82"/>
      <c r="W1921" s="82"/>
      <c r="X1921" s="82"/>
      <c r="Y1921" s="82"/>
      <c r="Z1921" s="82"/>
      <c r="AA1921" s="82"/>
      <c r="AB1921" s="82"/>
    </row>
    <row r="1922" spans="1:28" s="85" customFormat="1" x14ac:dyDescent="0.25">
      <c r="A1922" s="82"/>
      <c r="B1922" s="82"/>
      <c r="C1922" s="82"/>
      <c r="D1922" s="729"/>
      <c r="E1922" s="371" t="s">
        <v>49</v>
      </c>
      <c r="F1922" s="372"/>
      <c r="G1922" s="373"/>
      <c r="H1922" s="374"/>
      <c r="I1922" s="375"/>
      <c r="J1922" s="376">
        <f t="shared" si="264"/>
        <v>0</v>
      </c>
      <c r="K1922" s="66">
        <f t="shared" si="272"/>
        <v>0</v>
      </c>
      <c r="L1922" s="63">
        <f t="shared" si="273"/>
        <v>0</v>
      </c>
      <c r="M1922" s="63">
        <f t="shared" si="274"/>
        <v>0</v>
      </c>
      <c r="N1922" s="63">
        <f t="shared" si="275"/>
        <v>0</v>
      </c>
      <c r="O1922" s="63">
        <f t="shared" si="276"/>
        <v>0</v>
      </c>
      <c r="P1922" s="63">
        <f t="shared" si="277"/>
        <v>0</v>
      </c>
      <c r="Q1922" s="561">
        <f t="shared" si="271"/>
        <v>0</v>
      </c>
      <c r="R1922" s="174"/>
      <c r="T1922" s="82"/>
      <c r="U1922" s="82"/>
      <c r="V1922" s="82"/>
      <c r="W1922" s="82"/>
      <c r="X1922" s="82"/>
      <c r="Y1922" s="82"/>
      <c r="Z1922" s="82"/>
      <c r="AA1922" s="82"/>
      <c r="AB1922" s="82"/>
    </row>
    <row r="1923" spans="1:28" s="85" customFormat="1" x14ac:dyDescent="0.25">
      <c r="A1923" s="82"/>
      <c r="B1923" s="82"/>
      <c r="C1923" s="82"/>
      <c r="D1923" s="729"/>
      <c r="E1923" s="371" t="s">
        <v>49</v>
      </c>
      <c r="F1923" s="372"/>
      <c r="G1923" s="373"/>
      <c r="H1923" s="374"/>
      <c r="I1923" s="375"/>
      <c r="J1923" s="376">
        <f t="shared" si="264"/>
        <v>0</v>
      </c>
      <c r="K1923" s="66">
        <f t="shared" si="272"/>
        <v>0</v>
      </c>
      <c r="L1923" s="63">
        <f t="shared" si="273"/>
        <v>0</v>
      </c>
      <c r="M1923" s="63">
        <f t="shared" si="274"/>
        <v>0</v>
      </c>
      <c r="N1923" s="63">
        <f t="shared" si="275"/>
        <v>0</v>
      </c>
      <c r="O1923" s="63">
        <f t="shared" si="276"/>
        <v>0</v>
      </c>
      <c r="P1923" s="63">
        <f t="shared" si="277"/>
        <v>0</v>
      </c>
      <c r="Q1923" s="561">
        <f t="shared" si="271"/>
        <v>0</v>
      </c>
      <c r="R1923" s="174"/>
      <c r="T1923" s="82"/>
      <c r="U1923" s="82"/>
      <c r="V1923" s="82"/>
      <c r="W1923" s="82"/>
      <c r="X1923" s="82"/>
      <c r="Y1923" s="82"/>
      <c r="Z1923" s="82"/>
      <c r="AA1923" s="82"/>
      <c r="AB1923" s="82"/>
    </row>
    <row r="1924" spans="1:28" s="85" customFormat="1" x14ac:dyDescent="0.25">
      <c r="A1924" s="82"/>
      <c r="B1924" s="82"/>
      <c r="C1924" s="82"/>
      <c r="D1924" s="729"/>
      <c r="E1924" s="371" t="s">
        <v>49</v>
      </c>
      <c r="F1924" s="372"/>
      <c r="G1924" s="373"/>
      <c r="H1924" s="374"/>
      <c r="I1924" s="375"/>
      <c r="J1924" s="376">
        <f t="shared" si="264"/>
        <v>0</v>
      </c>
      <c r="K1924" s="66">
        <f t="shared" si="272"/>
        <v>0</v>
      </c>
      <c r="L1924" s="63">
        <f t="shared" si="273"/>
        <v>0</v>
      </c>
      <c r="M1924" s="63">
        <f t="shared" si="274"/>
        <v>0</v>
      </c>
      <c r="N1924" s="63">
        <f t="shared" si="275"/>
        <v>0</v>
      </c>
      <c r="O1924" s="63">
        <f t="shared" si="276"/>
        <v>0</v>
      </c>
      <c r="P1924" s="63">
        <f t="shared" si="277"/>
        <v>0</v>
      </c>
      <c r="Q1924" s="561">
        <f t="shared" si="271"/>
        <v>0</v>
      </c>
      <c r="R1924" s="174"/>
      <c r="T1924" s="82"/>
      <c r="U1924" s="82"/>
      <c r="V1924" s="82"/>
      <c r="W1924" s="82"/>
      <c r="X1924" s="82"/>
      <c r="Y1924" s="82"/>
      <c r="Z1924" s="82"/>
      <c r="AA1924" s="82"/>
      <c r="AB1924" s="82"/>
    </row>
    <row r="1925" spans="1:28" s="85" customFormat="1" x14ac:dyDescent="0.25">
      <c r="A1925" s="82"/>
      <c r="B1925" s="82"/>
      <c r="C1925" s="82"/>
      <c r="D1925" s="729"/>
      <c r="E1925" s="371" t="s">
        <v>113</v>
      </c>
      <c r="F1925" s="372"/>
      <c r="G1925" s="373"/>
      <c r="H1925" s="374"/>
      <c r="I1925" s="375"/>
      <c r="J1925" s="376">
        <f t="shared" si="264"/>
        <v>0</v>
      </c>
      <c r="K1925" s="66">
        <f t="shared" si="272"/>
        <v>0</v>
      </c>
      <c r="L1925" s="63">
        <f t="shared" si="273"/>
        <v>0</v>
      </c>
      <c r="M1925" s="63">
        <f t="shared" si="274"/>
        <v>0</v>
      </c>
      <c r="N1925" s="63">
        <f t="shared" si="275"/>
        <v>0</v>
      </c>
      <c r="O1925" s="63">
        <f t="shared" si="276"/>
        <v>0</v>
      </c>
      <c r="P1925" s="63">
        <f t="shared" si="277"/>
        <v>0</v>
      </c>
      <c r="Q1925" s="561">
        <f t="shared" si="271"/>
        <v>0</v>
      </c>
      <c r="R1925" s="174"/>
      <c r="T1925" s="82"/>
      <c r="U1925" s="82"/>
      <c r="V1925" s="82"/>
      <c r="W1925" s="82"/>
      <c r="X1925" s="82"/>
      <c r="Y1925" s="82"/>
      <c r="Z1925" s="82"/>
      <c r="AA1925" s="82"/>
      <c r="AB1925" s="82"/>
    </row>
    <row r="1926" spans="1:28" s="85" customFormat="1" x14ac:dyDescent="0.25">
      <c r="A1926" s="82"/>
      <c r="B1926" s="82"/>
      <c r="C1926" s="82"/>
      <c r="D1926" s="729"/>
      <c r="E1926" s="371" t="s">
        <v>113</v>
      </c>
      <c r="F1926" s="372"/>
      <c r="G1926" s="373"/>
      <c r="H1926" s="374"/>
      <c r="I1926" s="375"/>
      <c r="J1926" s="376">
        <f t="shared" si="264"/>
        <v>0</v>
      </c>
      <c r="K1926" s="66">
        <f t="shared" si="272"/>
        <v>0</v>
      </c>
      <c r="L1926" s="63">
        <f t="shared" si="273"/>
        <v>0</v>
      </c>
      <c r="M1926" s="63">
        <f t="shared" si="274"/>
        <v>0</v>
      </c>
      <c r="N1926" s="63">
        <f t="shared" si="275"/>
        <v>0</v>
      </c>
      <c r="O1926" s="63">
        <f t="shared" si="276"/>
        <v>0</v>
      </c>
      <c r="P1926" s="63">
        <f t="shared" si="277"/>
        <v>0</v>
      </c>
      <c r="Q1926" s="561">
        <f t="shared" si="271"/>
        <v>0</v>
      </c>
      <c r="R1926" s="174"/>
      <c r="T1926" s="82"/>
      <c r="U1926" s="82"/>
      <c r="V1926" s="82"/>
      <c r="W1926" s="82"/>
      <c r="X1926" s="82"/>
      <c r="Y1926" s="82"/>
      <c r="Z1926" s="82"/>
      <c r="AA1926" s="82"/>
      <c r="AB1926" s="82"/>
    </row>
    <row r="1927" spans="1:28" s="85" customFormat="1" x14ac:dyDescent="0.25">
      <c r="A1927" s="82"/>
      <c r="B1927" s="82"/>
      <c r="C1927" s="82"/>
      <c r="D1927" s="729"/>
      <c r="E1927" s="371" t="s">
        <v>113</v>
      </c>
      <c r="F1927" s="372"/>
      <c r="G1927" s="373"/>
      <c r="H1927" s="374"/>
      <c r="I1927" s="375"/>
      <c r="J1927" s="376">
        <f t="shared" si="264"/>
        <v>0</v>
      </c>
      <c r="K1927" s="66">
        <f t="shared" si="272"/>
        <v>0</v>
      </c>
      <c r="L1927" s="63">
        <f t="shared" si="273"/>
        <v>0</v>
      </c>
      <c r="M1927" s="63">
        <f t="shared" si="274"/>
        <v>0</v>
      </c>
      <c r="N1927" s="63">
        <f t="shared" si="275"/>
        <v>0</v>
      </c>
      <c r="O1927" s="63">
        <f t="shared" si="276"/>
        <v>0</v>
      </c>
      <c r="P1927" s="63">
        <f t="shared" si="277"/>
        <v>0</v>
      </c>
      <c r="Q1927" s="561">
        <f t="shared" si="271"/>
        <v>0</v>
      </c>
      <c r="R1927" s="174"/>
      <c r="T1927" s="82"/>
      <c r="U1927" s="82"/>
      <c r="V1927" s="82"/>
      <c r="W1927" s="82"/>
      <c r="X1927" s="82"/>
      <c r="Y1927" s="82"/>
      <c r="Z1927" s="82"/>
      <c r="AA1927" s="82"/>
      <c r="AB1927" s="82"/>
    </row>
    <row r="1928" spans="1:28" s="85" customFormat="1" x14ac:dyDescent="0.25">
      <c r="A1928" s="82"/>
      <c r="B1928" s="82"/>
      <c r="C1928" s="82"/>
      <c r="D1928" s="729"/>
      <c r="E1928" s="371" t="s">
        <v>113</v>
      </c>
      <c r="F1928" s="372"/>
      <c r="G1928" s="373"/>
      <c r="H1928" s="374"/>
      <c r="I1928" s="375"/>
      <c r="J1928" s="376">
        <f t="shared" si="264"/>
        <v>0</v>
      </c>
      <c r="K1928" s="66">
        <f t="shared" si="272"/>
        <v>0</v>
      </c>
      <c r="L1928" s="63">
        <f t="shared" si="273"/>
        <v>0</v>
      </c>
      <c r="M1928" s="63">
        <f t="shared" si="274"/>
        <v>0</v>
      </c>
      <c r="N1928" s="63">
        <f t="shared" si="275"/>
        <v>0</v>
      </c>
      <c r="O1928" s="63">
        <f t="shared" si="276"/>
        <v>0</v>
      </c>
      <c r="P1928" s="63">
        <f t="shared" si="277"/>
        <v>0</v>
      </c>
      <c r="Q1928" s="561">
        <f t="shared" si="271"/>
        <v>0</v>
      </c>
      <c r="R1928" s="174"/>
      <c r="T1928" s="82"/>
      <c r="U1928" s="82"/>
      <c r="V1928" s="82"/>
      <c r="W1928" s="82"/>
      <c r="X1928" s="82"/>
      <c r="Y1928" s="82"/>
      <c r="Z1928" s="82"/>
      <c r="AA1928" s="82"/>
      <c r="AB1928" s="82"/>
    </row>
    <row r="1929" spans="1:28" s="85" customFormat="1" x14ac:dyDescent="0.25">
      <c r="A1929" s="82"/>
      <c r="B1929" s="82"/>
      <c r="C1929" s="82"/>
      <c r="D1929" s="729"/>
      <c r="E1929" s="396" t="s">
        <v>184</v>
      </c>
      <c r="F1929" s="403"/>
      <c r="G1929" s="397"/>
      <c r="H1929" s="398"/>
      <c r="I1929" s="399"/>
      <c r="J1929" s="400">
        <f t="shared" si="264"/>
        <v>0</v>
      </c>
      <c r="K1929" s="401">
        <f t="shared" ref="K1929:K1992" si="278">IF($H1929=5,$J1929*$B$21,0)</f>
        <v>0</v>
      </c>
      <c r="L1929" s="196">
        <f t="shared" ref="L1929:L1992" si="279">IF($H1929=6.3,$J1929*$B$22,0)</f>
        <v>0</v>
      </c>
      <c r="M1929" s="196">
        <f t="shared" ref="M1929:M1992" si="280">IF($H1929=8,$J1929*$B$23,0)</f>
        <v>0</v>
      </c>
      <c r="N1929" s="196">
        <f t="shared" ref="N1929:N1992" si="281">IF($H1929=10,$J1929*$B$24,0)</f>
        <v>0</v>
      </c>
      <c r="O1929" s="196">
        <f t="shared" ref="O1929:O1992" si="282">IF($H1929=12.5,$J1929*$B$26,0)</f>
        <v>0</v>
      </c>
      <c r="P1929" s="196">
        <f t="shared" ref="P1929:P1992" si="283">IF($H1929=16,$J1929*$B$27,0)</f>
        <v>0</v>
      </c>
      <c r="Q1929" s="566">
        <f t="shared" si="271"/>
        <v>0</v>
      </c>
      <c r="R1929" s="538"/>
      <c r="T1929" s="82"/>
      <c r="U1929" s="82"/>
      <c r="V1929" s="82"/>
      <c r="W1929" s="82"/>
      <c r="X1929" s="82"/>
      <c r="Y1929" s="82"/>
      <c r="Z1929" s="82"/>
      <c r="AA1929" s="82"/>
      <c r="AB1929" s="82"/>
    </row>
    <row r="1930" spans="1:28" s="85" customFormat="1" x14ac:dyDescent="0.25">
      <c r="A1930" s="82"/>
      <c r="B1930" s="82"/>
      <c r="C1930" s="82"/>
      <c r="D1930" s="729"/>
      <c r="E1930" s="371" t="s">
        <v>184</v>
      </c>
      <c r="F1930" s="372"/>
      <c r="G1930" s="373"/>
      <c r="H1930" s="374"/>
      <c r="I1930" s="375"/>
      <c r="J1930" s="376">
        <f t="shared" si="264"/>
        <v>0</v>
      </c>
      <c r="K1930" s="66">
        <f t="shared" si="278"/>
        <v>0</v>
      </c>
      <c r="L1930" s="63">
        <f t="shared" si="279"/>
        <v>0</v>
      </c>
      <c r="M1930" s="63">
        <f t="shared" si="280"/>
        <v>0</v>
      </c>
      <c r="N1930" s="63">
        <f t="shared" si="281"/>
        <v>0</v>
      </c>
      <c r="O1930" s="63">
        <f t="shared" si="282"/>
        <v>0</v>
      </c>
      <c r="P1930" s="63">
        <f t="shared" si="283"/>
        <v>0</v>
      </c>
      <c r="Q1930" s="562">
        <f t="shared" si="271"/>
        <v>0</v>
      </c>
      <c r="R1930" s="377"/>
      <c r="T1930" s="82"/>
      <c r="U1930" s="82"/>
      <c r="V1930" s="82"/>
      <c r="W1930" s="82"/>
      <c r="X1930" s="82"/>
      <c r="Y1930" s="82"/>
      <c r="Z1930" s="82"/>
      <c r="AA1930" s="82"/>
      <c r="AB1930" s="82"/>
    </row>
    <row r="1931" spans="1:28" s="85" customFormat="1" x14ac:dyDescent="0.25">
      <c r="A1931" s="82"/>
      <c r="B1931" s="82"/>
      <c r="C1931" s="82"/>
      <c r="D1931" s="729"/>
      <c r="E1931" s="371" t="s">
        <v>184</v>
      </c>
      <c r="F1931" s="372"/>
      <c r="G1931" s="373"/>
      <c r="H1931" s="374"/>
      <c r="I1931" s="375"/>
      <c r="J1931" s="376">
        <f t="shared" si="264"/>
        <v>0</v>
      </c>
      <c r="K1931" s="66">
        <f t="shared" si="278"/>
        <v>0</v>
      </c>
      <c r="L1931" s="63">
        <f t="shared" si="279"/>
        <v>0</v>
      </c>
      <c r="M1931" s="63">
        <f t="shared" si="280"/>
        <v>0</v>
      </c>
      <c r="N1931" s="63">
        <f t="shared" si="281"/>
        <v>0</v>
      </c>
      <c r="O1931" s="63">
        <f t="shared" si="282"/>
        <v>0</v>
      </c>
      <c r="P1931" s="63">
        <f t="shared" si="283"/>
        <v>0</v>
      </c>
      <c r="Q1931" s="562">
        <f t="shared" si="271"/>
        <v>0</v>
      </c>
      <c r="R1931" s="377"/>
      <c r="T1931" s="82"/>
      <c r="U1931" s="82"/>
      <c r="V1931" s="82"/>
      <c r="W1931" s="82"/>
      <c r="X1931" s="82"/>
      <c r="Y1931" s="82"/>
      <c r="Z1931" s="82"/>
      <c r="AA1931" s="82"/>
      <c r="AB1931" s="82"/>
    </row>
    <row r="1932" spans="1:28" s="85" customFormat="1" ht="13.8" thickBot="1" x14ac:dyDescent="0.3">
      <c r="A1932" s="82"/>
      <c r="B1932" s="82"/>
      <c r="C1932" s="82"/>
      <c r="D1932" s="731"/>
      <c r="E1932" s="390" t="s">
        <v>184</v>
      </c>
      <c r="F1932" s="391"/>
      <c r="G1932" s="392"/>
      <c r="H1932" s="393"/>
      <c r="I1932" s="394"/>
      <c r="J1932" s="395">
        <f t="shared" si="264"/>
        <v>0</v>
      </c>
      <c r="K1932" s="221">
        <f t="shared" si="278"/>
        <v>0</v>
      </c>
      <c r="L1932" s="222">
        <f t="shared" si="279"/>
        <v>0</v>
      </c>
      <c r="M1932" s="222">
        <f t="shared" si="280"/>
        <v>0</v>
      </c>
      <c r="N1932" s="222">
        <f t="shared" si="281"/>
        <v>0</v>
      </c>
      <c r="O1932" s="222">
        <f t="shared" si="282"/>
        <v>0</v>
      </c>
      <c r="P1932" s="222">
        <f t="shared" si="283"/>
        <v>0</v>
      </c>
      <c r="Q1932" s="564">
        <f t="shared" si="271"/>
        <v>0</v>
      </c>
      <c r="R1932" s="539"/>
      <c r="T1932" s="82"/>
      <c r="U1932" s="82"/>
      <c r="V1932" s="82"/>
      <c r="W1932" s="82"/>
      <c r="X1932" s="82"/>
      <c r="Y1932" s="82"/>
      <c r="Z1932" s="82"/>
      <c r="AA1932" s="82"/>
      <c r="AB1932" s="82"/>
    </row>
    <row r="1933" spans="1:28" s="85" customFormat="1" ht="13.8" thickTop="1" x14ac:dyDescent="0.25">
      <c r="A1933" s="82"/>
      <c r="B1933" s="82"/>
      <c r="C1933" s="82"/>
      <c r="D1933" s="728"/>
      <c r="E1933" s="384" t="s">
        <v>49</v>
      </c>
      <c r="F1933" s="385"/>
      <c r="G1933" s="386"/>
      <c r="H1933" s="387"/>
      <c r="I1933" s="388"/>
      <c r="J1933" s="389">
        <f t="shared" si="264"/>
        <v>0</v>
      </c>
      <c r="K1933" s="218">
        <f t="shared" si="278"/>
        <v>0</v>
      </c>
      <c r="L1933" s="219">
        <f t="shared" si="279"/>
        <v>0</v>
      </c>
      <c r="M1933" s="219">
        <f t="shared" si="280"/>
        <v>0</v>
      </c>
      <c r="N1933" s="219">
        <f t="shared" si="281"/>
        <v>0</v>
      </c>
      <c r="O1933" s="219">
        <f t="shared" si="282"/>
        <v>0</v>
      </c>
      <c r="P1933" s="219">
        <f t="shared" si="283"/>
        <v>0</v>
      </c>
      <c r="Q1933" s="563">
        <f t="shared" si="271"/>
        <v>0</v>
      </c>
      <c r="R1933" s="220"/>
      <c r="T1933" s="82"/>
      <c r="U1933" s="82"/>
      <c r="V1933" s="82"/>
      <c r="W1933" s="82"/>
      <c r="X1933" s="82"/>
      <c r="Y1933" s="82"/>
      <c r="Z1933" s="82"/>
      <c r="AA1933" s="82"/>
      <c r="AB1933" s="82"/>
    </row>
    <row r="1934" spans="1:28" s="85" customFormat="1" x14ac:dyDescent="0.25">
      <c r="A1934" s="82"/>
      <c r="B1934" s="82"/>
      <c r="C1934" s="82"/>
      <c r="D1934" s="729"/>
      <c r="E1934" s="371" t="s">
        <v>49</v>
      </c>
      <c r="F1934" s="372"/>
      <c r="G1934" s="373"/>
      <c r="H1934" s="374"/>
      <c r="I1934" s="375"/>
      <c r="J1934" s="376">
        <f t="shared" si="264"/>
        <v>0</v>
      </c>
      <c r="K1934" s="66">
        <f t="shared" si="278"/>
        <v>0</v>
      </c>
      <c r="L1934" s="63">
        <f t="shared" si="279"/>
        <v>0</v>
      </c>
      <c r="M1934" s="63">
        <f t="shared" si="280"/>
        <v>0</v>
      </c>
      <c r="N1934" s="63">
        <f t="shared" si="281"/>
        <v>0</v>
      </c>
      <c r="O1934" s="63">
        <f t="shared" si="282"/>
        <v>0</v>
      </c>
      <c r="P1934" s="63">
        <f t="shared" si="283"/>
        <v>0</v>
      </c>
      <c r="Q1934" s="561">
        <f t="shared" si="271"/>
        <v>0</v>
      </c>
      <c r="R1934" s="174"/>
      <c r="T1934" s="82"/>
      <c r="U1934" s="82"/>
      <c r="V1934" s="82"/>
      <c r="W1934" s="82"/>
      <c r="X1934" s="82"/>
      <c r="Y1934" s="82"/>
      <c r="Z1934" s="82"/>
      <c r="AA1934" s="82"/>
      <c r="AB1934" s="82"/>
    </row>
    <row r="1935" spans="1:28" s="85" customFormat="1" x14ac:dyDescent="0.25">
      <c r="A1935" s="82"/>
      <c r="B1935" s="82"/>
      <c r="C1935" s="82"/>
      <c r="D1935" s="729"/>
      <c r="E1935" s="371" t="s">
        <v>49</v>
      </c>
      <c r="F1935" s="372"/>
      <c r="G1935" s="373"/>
      <c r="H1935" s="374"/>
      <c r="I1935" s="375"/>
      <c r="J1935" s="376">
        <f t="shared" si="264"/>
        <v>0</v>
      </c>
      <c r="K1935" s="66">
        <f t="shared" si="278"/>
        <v>0</v>
      </c>
      <c r="L1935" s="63">
        <f t="shared" si="279"/>
        <v>0</v>
      </c>
      <c r="M1935" s="63">
        <f t="shared" si="280"/>
        <v>0</v>
      </c>
      <c r="N1935" s="63">
        <f t="shared" si="281"/>
        <v>0</v>
      </c>
      <c r="O1935" s="63">
        <f t="shared" si="282"/>
        <v>0</v>
      </c>
      <c r="P1935" s="63">
        <f t="shared" si="283"/>
        <v>0</v>
      </c>
      <c r="Q1935" s="561">
        <f t="shared" si="271"/>
        <v>0</v>
      </c>
      <c r="R1935" s="174"/>
      <c r="T1935" s="82"/>
      <c r="U1935" s="82"/>
      <c r="V1935" s="82"/>
      <c r="W1935" s="82"/>
      <c r="X1935" s="82"/>
      <c r="Y1935" s="82"/>
      <c r="Z1935" s="82"/>
      <c r="AA1935" s="82"/>
      <c r="AB1935" s="82"/>
    </row>
    <row r="1936" spans="1:28" s="85" customFormat="1" x14ac:dyDescent="0.25">
      <c r="A1936" s="82"/>
      <c r="B1936" s="82"/>
      <c r="C1936" s="82"/>
      <c r="D1936" s="729"/>
      <c r="E1936" s="371" t="s">
        <v>49</v>
      </c>
      <c r="F1936" s="372"/>
      <c r="G1936" s="373"/>
      <c r="H1936" s="374"/>
      <c r="I1936" s="375"/>
      <c r="J1936" s="376">
        <f t="shared" si="264"/>
        <v>0</v>
      </c>
      <c r="K1936" s="66">
        <f t="shared" si="278"/>
        <v>0</v>
      </c>
      <c r="L1936" s="63">
        <f t="shared" si="279"/>
        <v>0</v>
      </c>
      <c r="M1936" s="63">
        <f t="shared" si="280"/>
        <v>0</v>
      </c>
      <c r="N1936" s="63">
        <f t="shared" si="281"/>
        <v>0</v>
      </c>
      <c r="O1936" s="63">
        <f t="shared" si="282"/>
        <v>0</v>
      </c>
      <c r="P1936" s="63">
        <f t="shared" si="283"/>
        <v>0</v>
      </c>
      <c r="Q1936" s="561">
        <f t="shared" si="271"/>
        <v>0</v>
      </c>
      <c r="R1936" s="174"/>
      <c r="T1936" s="82"/>
      <c r="U1936" s="82"/>
      <c r="V1936" s="82"/>
      <c r="W1936" s="82"/>
      <c r="X1936" s="82"/>
      <c r="Y1936" s="82"/>
      <c r="Z1936" s="82"/>
      <c r="AA1936" s="82"/>
      <c r="AB1936" s="82"/>
    </row>
    <row r="1937" spans="1:28" s="85" customFormat="1" x14ac:dyDescent="0.25">
      <c r="A1937" s="82"/>
      <c r="B1937" s="82"/>
      <c r="C1937" s="82"/>
      <c r="D1937" s="729"/>
      <c r="E1937" s="371" t="s">
        <v>113</v>
      </c>
      <c r="F1937" s="372"/>
      <c r="G1937" s="373"/>
      <c r="H1937" s="374"/>
      <c r="I1937" s="375"/>
      <c r="J1937" s="376">
        <f t="shared" si="264"/>
        <v>0</v>
      </c>
      <c r="K1937" s="66">
        <f t="shared" si="278"/>
        <v>0</v>
      </c>
      <c r="L1937" s="63">
        <f t="shared" si="279"/>
        <v>0</v>
      </c>
      <c r="M1937" s="63">
        <f t="shared" si="280"/>
        <v>0</v>
      </c>
      <c r="N1937" s="63">
        <f t="shared" si="281"/>
        <v>0</v>
      </c>
      <c r="O1937" s="63">
        <f t="shared" si="282"/>
        <v>0</v>
      </c>
      <c r="P1937" s="63">
        <f t="shared" si="283"/>
        <v>0</v>
      </c>
      <c r="Q1937" s="561">
        <f t="shared" si="271"/>
        <v>0</v>
      </c>
      <c r="R1937" s="174"/>
      <c r="T1937" s="82"/>
      <c r="U1937" s="82"/>
      <c r="V1937" s="82"/>
      <c r="W1937" s="82"/>
      <c r="X1937" s="82"/>
      <c r="Y1937" s="82"/>
      <c r="Z1937" s="82"/>
      <c r="AA1937" s="82"/>
      <c r="AB1937" s="82"/>
    </row>
    <row r="1938" spans="1:28" s="85" customFormat="1" x14ac:dyDescent="0.25">
      <c r="A1938" s="82"/>
      <c r="B1938" s="82"/>
      <c r="C1938" s="82"/>
      <c r="D1938" s="729"/>
      <c r="E1938" s="371" t="s">
        <v>113</v>
      </c>
      <c r="F1938" s="372"/>
      <c r="G1938" s="373"/>
      <c r="H1938" s="374"/>
      <c r="I1938" s="375"/>
      <c r="J1938" s="376">
        <f t="shared" si="264"/>
        <v>0</v>
      </c>
      <c r="K1938" s="66">
        <f t="shared" si="278"/>
        <v>0</v>
      </c>
      <c r="L1938" s="63">
        <f t="shared" si="279"/>
        <v>0</v>
      </c>
      <c r="M1938" s="63">
        <f t="shared" si="280"/>
        <v>0</v>
      </c>
      <c r="N1938" s="63">
        <f t="shared" si="281"/>
        <v>0</v>
      </c>
      <c r="O1938" s="63">
        <f t="shared" si="282"/>
        <v>0</v>
      </c>
      <c r="P1938" s="63">
        <f t="shared" si="283"/>
        <v>0</v>
      </c>
      <c r="Q1938" s="561">
        <f t="shared" si="271"/>
        <v>0</v>
      </c>
      <c r="R1938" s="174"/>
      <c r="T1938" s="82"/>
      <c r="U1938" s="82"/>
      <c r="V1938" s="82"/>
      <c r="W1938" s="82"/>
      <c r="X1938" s="82"/>
      <c r="Y1938" s="82"/>
      <c r="Z1938" s="82"/>
      <c r="AA1938" s="82"/>
      <c r="AB1938" s="82"/>
    </row>
    <row r="1939" spans="1:28" s="85" customFormat="1" x14ac:dyDescent="0.25">
      <c r="A1939" s="82"/>
      <c r="B1939" s="82"/>
      <c r="C1939" s="82"/>
      <c r="D1939" s="729"/>
      <c r="E1939" s="371" t="s">
        <v>113</v>
      </c>
      <c r="F1939" s="372"/>
      <c r="G1939" s="373"/>
      <c r="H1939" s="374"/>
      <c r="I1939" s="375"/>
      <c r="J1939" s="376">
        <f t="shared" si="264"/>
        <v>0</v>
      </c>
      <c r="K1939" s="66">
        <f t="shared" si="278"/>
        <v>0</v>
      </c>
      <c r="L1939" s="63">
        <f t="shared" si="279"/>
        <v>0</v>
      </c>
      <c r="M1939" s="63">
        <f t="shared" si="280"/>
        <v>0</v>
      </c>
      <c r="N1939" s="63">
        <f t="shared" si="281"/>
        <v>0</v>
      </c>
      <c r="O1939" s="63">
        <f t="shared" si="282"/>
        <v>0</v>
      </c>
      <c r="P1939" s="63">
        <f t="shared" si="283"/>
        <v>0</v>
      </c>
      <c r="Q1939" s="561">
        <f t="shared" si="271"/>
        <v>0</v>
      </c>
      <c r="R1939" s="174"/>
      <c r="T1939" s="82"/>
      <c r="U1939" s="82"/>
      <c r="V1939" s="82"/>
      <c r="W1939" s="82"/>
      <c r="X1939" s="82"/>
      <c r="Y1939" s="82"/>
      <c r="Z1939" s="82"/>
      <c r="AA1939" s="82"/>
      <c r="AB1939" s="82"/>
    </row>
    <row r="1940" spans="1:28" s="85" customFormat="1" x14ac:dyDescent="0.25">
      <c r="A1940" s="82"/>
      <c r="B1940" s="82"/>
      <c r="C1940" s="82"/>
      <c r="D1940" s="729"/>
      <c r="E1940" s="371" t="s">
        <v>113</v>
      </c>
      <c r="F1940" s="372"/>
      <c r="G1940" s="373"/>
      <c r="H1940" s="374"/>
      <c r="I1940" s="375"/>
      <c r="J1940" s="376">
        <f t="shared" si="264"/>
        <v>0</v>
      </c>
      <c r="K1940" s="66">
        <f t="shared" si="278"/>
        <v>0</v>
      </c>
      <c r="L1940" s="63">
        <f t="shared" si="279"/>
        <v>0</v>
      </c>
      <c r="M1940" s="63">
        <f t="shared" si="280"/>
        <v>0</v>
      </c>
      <c r="N1940" s="63">
        <f t="shared" si="281"/>
        <v>0</v>
      </c>
      <c r="O1940" s="63">
        <f t="shared" si="282"/>
        <v>0</v>
      </c>
      <c r="P1940" s="63">
        <f t="shared" si="283"/>
        <v>0</v>
      </c>
      <c r="Q1940" s="561">
        <f t="shared" si="271"/>
        <v>0</v>
      </c>
      <c r="R1940" s="174"/>
      <c r="T1940" s="82"/>
      <c r="U1940" s="82"/>
      <c r="V1940" s="82"/>
      <c r="W1940" s="82"/>
      <c r="X1940" s="82"/>
      <c r="Y1940" s="82"/>
      <c r="Z1940" s="82"/>
      <c r="AA1940" s="82"/>
      <c r="AB1940" s="82"/>
    </row>
    <row r="1941" spans="1:28" s="85" customFormat="1" x14ac:dyDescent="0.25">
      <c r="A1941" s="82"/>
      <c r="B1941" s="82"/>
      <c r="C1941" s="82"/>
      <c r="D1941" s="729"/>
      <c r="E1941" s="396" t="s">
        <v>184</v>
      </c>
      <c r="F1941" s="403"/>
      <c r="G1941" s="397"/>
      <c r="H1941" s="398"/>
      <c r="I1941" s="399"/>
      <c r="J1941" s="400">
        <f t="shared" si="264"/>
        <v>0</v>
      </c>
      <c r="K1941" s="401">
        <f t="shared" si="278"/>
        <v>0</v>
      </c>
      <c r="L1941" s="196">
        <f t="shared" si="279"/>
        <v>0</v>
      </c>
      <c r="M1941" s="196">
        <f t="shared" si="280"/>
        <v>0</v>
      </c>
      <c r="N1941" s="196">
        <f t="shared" si="281"/>
        <v>0</v>
      </c>
      <c r="O1941" s="196">
        <f t="shared" si="282"/>
        <v>0</v>
      </c>
      <c r="P1941" s="196">
        <f t="shared" si="283"/>
        <v>0</v>
      </c>
      <c r="Q1941" s="566">
        <f t="shared" si="271"/>
        <v>0</v>
      </c>
      <c r="R1941" s="538"/>
      <c r="T1941" s="82"/>
      <c r="U1941" s="82"/>
      <c r="V1941" s="82"/>
      <c r="W1941" s="82"/>
      <c r="X1941" s="82"/>
      <c r="Y1941" s="82"/>
      <c r="Z1941" s="82"/>
      <c r="AA1941" s="82"/>
      <c r="AB1941" s="82"/>
    </row>
    <row r="1942" spans="1:28" s="85" customFormat="1" x14ac:dyDescent="0.25">
      <c r="A1942" s="82"/>
      <c r="B1942" s="82"/>
      <c r="C1942" s="82"/>
      <c r="D1942" s="729"/>
      <c r="E1942" s="371" t="s">
        <v>184</v>
      </c>
      <c r="F1942" s="372"/>
      <c r="G1942" s="373"/>
      <c r="H1942" s="374"/>
      <c r="I1942" s="375"/>
      <c r="J1942" s="376">
        <f t="shared" si="264"/>
        <v>0</v>
      </c>
      <c r="K1942" s="66">
        <f t="shared" si="278"/>
        <v>0</v>
      </c>
      <c r="L1942" s="63">
        <f t="shared" si="279"/>
        <v>0</v>
      </c>
      <c r="M1942" s="63">
        <f t="shared" si="280"/>
        <v>0</v>
      </c>
      <c r="N1942" s="63">
        <f t="shared" si="281"/>
        <v>0</v>
      </c>
      <c r="O1942" s="63">
        <f t="shared" si="282"/>
        <v>0</v>
      </c>
      <c r="P1942" s="63">
        <f t="shared" si="283"/>
        <v>0</v>
      </c>
      <c r="Q1942" s="562">
        <f t="shared" si="271"/>
        <v>0</v>
      </c>
      <c r="R1942" s="377"/>
      <c r="T1942" s="82"/>
      <c r="U1942" s="82"/>
      <c r="V1942" s="82"/>
      <c r="W1942" s="82"/>
      <c r="X1942" s="82"/>
      <c r="Y1942" s="82"/>
      <c r="Z1942" s="82"/>
      <c r="AA1942" s="82"/>
      <c r="AB1942" s="82"/>
    </row>
    <row r="1943" spans="1:28" s="85" customFormat="1" x14ac:dyDescent="0.25">
      <c r="A1943" s="82"/>
      <c r="B1943" s="82"/>
      <c r="C1943" s="82"/>
      <c r="D1943" s="729"/>
      <c r="E1943" s="371" t="s">
        <v>184</v>
      </c>
      <c r="F1943" s="372"/>
      <c r="G1943" s="373"/>
      <c r="H1943" s="374"/>
      <c r="I1943" s="375"/>
      <c r="J1943" s="376">
        <f t="shared" si="264"/>
        <v>0</v>
      </c>
      <c r="K1943" s="66">
        <f t="shared" si="278"/>
        <v>0</v>
      </c>
      <c r="L1943" s="63">
        <f t="shared" si="279"/>
        <v>0</v>
      </c>
      <c r="M1943" s="63">
        <f t="shared" si="280"/>
        <v>0</v>
      </c>
      <c r="N1943" s="63">
        <f t="shared" si="281"/>
        <v>0</v>
      </c>
      <c r="O1943" s="63">
        <f t="shared" si="282"/>
        <v>0</v>
      </c>
      <c r="P1943" s="63">
        <f t="shared" si="283"/>
        <v>0</v>
      </c>
      <c r="Q1943" s="562">
        <f t="shared" si="271"/>
        <v>0</v>
      </c>
      <c r="R1943" s="377"/>
      <c r="T1943" s="82"/>
      <c r="U1943" s="82"/>
      <c r="V1943" s="82"/>
      <c r="W1943" s="82"/>
      <c r="X1943" s="82"/>
      <c r="Y1943" s="82"/>
      <c r="Z1943" s="82"/>
      <c r="AA1943" s="82"/>
      <c r="AB1943" s="82"/>
    </row>
    <row r="1944" spans="1:28" s="85" customFormat="1" ht="13.8" thickBot="1" x14ac:dyDescent="0.3">
      <c r="A1944" s="82"/>
      <c r="B1944" s="82"/>
      <c r="C1944" s="82"/>
      <c r="D1944" s="731"/>
      <c r="E1944" s="390" t="s">
        <v>184</v>
      </c>
      <c r="F1944" s="391"/>
      <c r="G1944" s="392"/>
      <c r="H1944" s="393"/>
      <c r="I1944" s="394"/>
      <c r="J1944" s="395">
        <f t="shared" si="264"/>
        <v>0</v>
      </c>
      <c r="K1944" s="221">
        <f t="shared" si="278"/>
        <v>0</v>
      </c>
      <c r="L1944" s="222">
        <f t="shared" si="279"/>
        <v>0</v>
      </c>
      <c r="M1944" s="222">
        <f t="shared" si="280"/>
        <v>0</v>
      </c>
      <c r="N1944" s="222">
        <f t="shared" si="281"/>
        <v>0</v>
      </c>
      <c r="O1944" s="222">
        <f t="shared" si="282"/>
        <v>0</v>
      </c>
      <c r="P1944" s="222">
        <f t="shared" si="283"/>
        <v>0</v>
      </c>
      <c r="Q1944" s="564">
        <f t="shared" si="271"/>
        <v>0</v>
      </c>
      <c r="R1944" s="539"/>
      <c r="T1944" s="82"/>
      <c r="U1944" s="82"/>
      <c r="V1944" s="82"/>
      <c r="W1944" s="82"/>
      <c r="X1944" s="82"/>
      <c r="Y1944" s="82"/>
      <c r="Z1944" s="82"/>
      <c r="AA1944" s="82"/>
      <c r="AB1944" s="82"/>
    </row>
    <row r="1945" spans="1:28" s="85" customFormat="1" ht="13.8" thickTop="1" x14ac:dyDescent="0.25">
      <c r="A1945" s="82"/>
      <c r="B1945" s="82"/>
      <c r="C1945" s="82"/>
      <c r="D1945" s="728"/>
      <c r="E1945" s="384" t="s">
        <v>49</v>
      </c>
      <c r="F1945" s="385"/>
      <c r="G1945" s="386"/>
      <c r="H1945" s="387"/>
      <c r="I1945" s="388"/>
      <c r="J1945" s="389">
        <f t="shared" si="264"/>
        <v>0</v>
      </c>
      <c r="K1945" s="218">
        <f t="shared" si="278"/>
        <v>0</v>
      </c>
      <c r="L1945" s="219">
        <f t="shared" si="279"/>
        <v>0</v>
      </c>
      <c r="M1945" s="219">
        <f t="shared" si="280"/>
        <v>0</v>
      </c>
      <c r="N1945" s="219">
        <f t="shared" si="281"/>
        <v>0</v>
      </c>
      <c r="O1945" s="219">
        <f t="shared" si="282"/>
        <v>0</v>
      </c>
      <c r="P1945" s="219">
        <f t="shared" si="283"/>
        <v>0</v>
      </c>
      <c r="Q1945" s="563">
        <f t="shared" si="271"/>
        <v>0</v>
      </c>
      <c r="R1945" s="220"/>
      <c r="T1945" s="82"/>
      <c r="U1945" s="82"/>
      <c r="V1945" s="82"/>
      <c r="W1945" s="82"/>
      <c r="X1945" s="82"/>
      <c r="Y1945" s="82"/>
      <c r="Z1945" s="82"/>
      <c r="AA1945" s="82"/>
      <c r="AB1945" s="82"/>
    </row>
    <row r="1946" spans="1:28" s="85" customFormat="1" x14ac:dyDescent="0.25">
      <c r="A1946" s="82"/>
      <c r="B1946" s="82"/>
      <c r="C1946" s="82"/>
      <c r="D1946" s="729"/>
      <c r="E1946" s="371" t="s">
        <v>49</v>
      </c>
      <c r="F1946" s="372"/>
      <c r="G1946" s="373"/>
      <c r="H1946" s="374"/>
      <c r="I1946" s="375"/>
      <c r="J1946" s="376">
        <f t="shared" si="264"/>
        <v>0</v>
      </c>
      <c r="K1946" s="66">
        <f t="shared" si="278"/>
        <v>0</v>
      </c>
      <c r="L1946" s="63">
        <f t="shared" si="279"/>
        <v>0</v>
      </c>
      <c r="M1946" s="63">
        <f t="shared" si="280"/>
        <v>0</v>
      </c>
      <c r="N1946" s="63">
        <f t="shared" si="281"/>
        <v>0</v>
      </c>
      <c r="O1946" s="63">
        <f t="shared" si="282"/>
        <v>0</v>
      </c>
      <c r="P1946" s="63">
        <f t="shared" si="283"/>
        <v>0</v>
      </c>
      <c r="Q1946" s="561">
        <f t="shared" si="271"/>
        <v>0</v>
      </c>
      <c r="R1946" s="174"/>
      <c r="T1946" s="82"/>
      <c r="U1946" s="82"/>
      <c r="V1946" s="82"/>
      <c r="W1946" s="82"/>
      <c r="X1946" s="82"/>
      <c r="Y1946" s="82"/>
      <c r="Z1946" s="82"/>
      <c r="AA1946" s="82"/>
      <c r="AB1946" s="82"/>
    </row>
    <row r="1947" spans="1:28" s="85" customFormat="1" x14ac:dyDescent="0.25">
      <c r="A1947" s="82"/>
      <c r="B1947" s="82"/>
      <c r="C1947" s="82"/>
      <c r="D1947" s="729"/>
      <c r="E1947" s="371" t="s">
        <v>49</v>
      </c>
      <c r="F1947" s="372"/>
      <c r="G1947" s="373"/>
      <c r="H1947" s="374"/>
      <c r="I1947" s="375"/>
      <c r="J1947" s="376">
        <f t="shared" si="264"/>
        <v>0</v>
      </c>
      <c r="K1947" s="66">
        <f t="shared" si="278"/>
        <v>0</v>
      </c>
      <c r="L1947" s="63">
        <f t="shared" si="279"/>
        <v>0</v>
      </c>
      <c r="M1947" s="63">
        <f t="shared" si="280"/>
        <v>0</v>
      </c>
      <c r="N1947" s="63">
        <f t="shared" si="281"/>
        <v>0</v>
      </c>
      <c r="O1947" s="63">
        <f t="shared" si="282"/>
        <v>0</v>
      </c>
      <c r="P1947" s="63">
        <f t="shared" si="283"/>
        <v>0</v>
      </c>
      <c r="Q1947" s="561">
        <f t="shared" si="271"/>
        <v>0</v>
      </c>
      <c r="R1947" s="174"/>
      <c r="T1947" s="82"/>
      <c r="U1947" s="82"/>
      <c r="V1947" s="82"/>
      <c r="W1947" s="82"/>
      <c r="X1947" s="82"/>
      <c r="Y1947" s="82"/>
      <c r="Z1947" s="82"/>
      <c r="AA1947" s="82"/>
      <c r="AB1947" s="82"/>
    </row>
    <row r="1948" spans="1:28" s="85" customFormat="1" x14ac:dyDescent="0.25">
      <c r="A1948" s="82"/>
      <c r="B1948" s="82"/>
      <c r="C1948" s="82"/>
      <c r="D1948" s="729"/>
      <c r="E1948" s="371" t="s">
        <v>49</v>
      </c>
      <c r="F1948" s="372"/>
      <c r="G1948" s="373"/>
      <c r="H1948" s="374"/>
      <c r="I1948" s="375"/>
      <c r="J1948" s="376">
        <f t="shared" si="264"/>
        <v>0</v>
      </c>
      <c r="K1948" s="66">
        <f t="shared" si="278"/>
        <v>0</v>
      </c>
      <c r="L1948" s="63">
        <f t="shared" si="279"/>
        <v>0</v>
      </c>
      <c r="M1948" s="63">
        <f t="shared" si="280"/>
        <v>0</v>
      </c>
      <c r="N1948" s="63">
        <f t="shared" si="281"/>
        <v>0</v>
      </c>
      <c r="O1948" s="63">
        <f t="shared" si="282"/>
        <v>0</v>
      </c>
      <c r="P1948" s="63">
        <f t="shared" si="283"/>
        <v>0</v>
      </c>
      <c r="Q1948" s="561">
        <f t="shared" si="271"/>
        <v>0</v>
      </c>
      <c r="R1948" s="174"/>
      <c r="T1948" s="82"/>
      <c r="U1948" s="82"/>
      <c r="V1948" s="82"/>
      <c r="W1948" s="82"/>
      <c r="X1948" s="82"/>
      <c r="Y1948" s="82"/>
      <c r="Z1948" s="82"/>
      <c r="AA1948" s="82"/>
      <c r="AB1948" s="82"/>
    </row>
    <row r="1949" spans="1:28" s="85" customFormat="1" x14ac:dyDescent="0.25">
      <c r="A1949" s="82"/>
      <c r="B1949" s="82"/>
      <c r="C1949" s="82"/>
      <c r="D1949" s="729"/>
      <c r="E1949" s="371" t="s">
        <v>113</v>
      </c>
      <c r="F1949" s="372"/>
      <c r="G1949" s="373"/>
      <c r="H1949" s="374"/>
      <c r="I1949" s="375"/>
      <c r="J1949" s="376">
        <f t="shared" si="264"/>
        <v>0</v>
      </c>
      <c r="K1949" s="66">
        <f t="shared" si="278"/>
        <v>0</v>
      </c>
      <c r="L1949" s="63">
        <f t="shared" si="279"/>
        <v>0</v>
      </c>
      <c r="M1949" s="63">
        <f t="shared" si="280"/>
        <v>0</v>
      </c>
      <c r="N1949" s="63">
        <f t="shared" si="281"/>
        <v>0</v>
      </c>
      <c r="O1949" s="63">
        <f t="shared" si="282"/>
        <v>0</v>
      </c>
      <c r="P1949" s="63">
        <f t="shared" si="283"/>
        <v>0</v>
      </c>
      <c r="Q1949" s="561">
        <f t="shared" si="271"/>
        <v>0</v>
      </c>
      <c r="R1949" s="174"/>
      <c r="T1949" s="82"/>
      <c r="U1949" s="82"/>
      <c r="V1949" s="82"/>
      <c r="W1949" s="82"/>
      <c r="X1949" s="82"/>
      <c r="Y1949" s="82"/>
      <c r="Z1949" s="82"/>
      <c r="AA1949" s="82"/>
      <c r="AB1949" s="82"/>
    </row>
    <row r="1950" spans="1:28" s="85" customFormat="1" x14ac:dyDescent="0.25">
      <c r="A1950" s="82"/>
      <c r="B1950" s="82"/>
      <c r="C1950" s="82"/>
      <c r="D1950" s="729"/>
      <c r="E1950" s="371" t="s">
        <v>113</v>
      </c>
      <c r="F1950" s="372"/>
      <c r="G1950" s="373"/>
      <c r="H1950" s="374"/>
      <c r="I1950" s="375"/>
      <c r="J1950" s="376">
        <f t="shared" si="264"/>
        <v>0</v>
      </c>
      <c r="K1950" s="66">
        <f t="shared" si="278"/>
        <v>0</v>
      </c>
      <c r="L1950" s="63">
        <f t="shared" si="279"/>
        <v>0</v>
      </c>
      <c r="M1950" s="63">
        <f t="shared" si="280"/>
        <v>0</v>
      </c>
      <c r="N1950" s="63">
        <f t="shared" si="281"/>
        <v>0</v>
      </c>
      <c r="O1950" s="63">
        <f t="shared" si="282"/>
        <v>0</v>
      </c>
      <c r="P1950" s="63">
        <f t="shared" si="283"/>
        <v>0</v>
      </c>
      <c r="Q1950" s="561">
        <f t="shared" si="271"/>
        <v>0</v>
      </c>
      <c r="R1950" s="174"/>
      <c r="T1950" s="82"/>
      <c r="U1950" s="82"/>
      <c r="V1950" s="82"/>
      <c r="W1950" s="82"/>
      <c r="X1950" s="82"/>
      <c r="Y1950" s="82"/>
      <c r="Z1950" s="82"/>
      <c r="AA1950" s="82"/>
      <c r="AB1950" s="82"/>
    </row>
    <row r="1951" spans="1:28" s="85" customFormat="1" x14ac:dyDescent="0.25">
      <c r="A1951" s="82"/>
      <c r="B1951" s="82"/>
      <c r="C1951" s="82"/>
      <c r="D1951" s="729"/>
      <c r="E1951" s="371" t="s">
        <v>113</v>
      </c>
      <c r="F1951" s="372"/>
      <c r="G1951" s="373"/>
      <c r="H1951" s="374"/>
      <c r="I1951" s="375"/>
      <c r="J1951" s="376">
        <f t="shared" si="264"/>
        <v>0</v>
      </c>
      <c r="K1951" s="66">
        <f t="shared" si="278"/>
        <v>0</v>
      </c>
      <c r="L1951" s="63">
        <f t="shared" si="279"/>
        <v>0</v>
      </c>
      <c r="M1951" s="63">
        <f t="shared" si="280"/>
        <v>0</v>
      </c>
      <c r="N1951" s="63">
        <f t="shared" si="281"/>
        <v>0</v>
      </c>
      <c r="O1951" s="63">
        <f t="shared" si="282"/>
        <v>0</v>
      </c>
      <c r="P1951" s="63">
        <f t="shared" si="283"/>
        <v>0</v>
      </c>
      <c r="Q1951" s="561">
        <f t="shared" si="271"/>
        <v>0</v>
      </c>
      <c r="R1951" s="174"/>
      <c r="T1951" s="82"/>
      <c r="U1951" s="82"/>
      <c r="V1951" s="82"/>
      <c r="W1951" s="82"/>
      <c r="X1951" s="82"/>
      <c r="Y1951" s="82"/>
      <c r="Z1951" s="82"/>
      <c r="AA1951" s="82"/>
      <c r="AB1951" s="82"/>
    </row>
    <row r="1952" spans="1:28" s="85" customFormat="1" x14ac:dyDescent="0.25">
      <c r="A1952" s="82"/>
      <c r="B1952" s="82"/>
      <c r="C1952" s="82"/>
      <c r="D1952" s="729"/>
      <c r="E1952" s="371" t="s">
        <v>113</v>
      </c>
      <c r="F1952" s="372"/>
      <c r="G1952" s="373"/>
      <c r="H1952" s="374"/>
      <c r="I1952" s="375"/>
      <c r="J1952" s="376">
        <f t="shared" si="264"/>
        <v>0</v>
      </c>
      <c r="K1952" s="66">
        <f t="shared" si="278"/>
        <v>0</v>
      </c>
      <c r="L1952" s="63">
        <f t="shared" si="279"/>
        <v>0</v>
      </c>
      <c r="M1952" s="63">
        <f t="shared" si="280"/>
        <v>0</v>
      </c>
      <c r="N1952" s="63">
        <f t="shared" si="281"/>
        <v>0</v>
      </c>
      <c r="O1952" s="63">
        <f t="shared" si="282"/>
        <v>0</v>
      </c>
      <c r="P1952" s="63">
        <f t="shared" si="283"/>
        <v>0</v>
      </c>
      <c r="Q1952" s="561">
        <f t="shared" si="271"/>
        <v>0</v>
      </c>
      <c r="R1952" s="174"/>
      <c r="T1952" s="82"/>
      <c r="U1952" s="82"/>
      <c r="V1952" s="82"/>
      <c r="W1952" s="82"/>
      <c r="X1952" s="82"/>
      <c r="Y1952" s="82"/>
      <c r="Z1952" s="82"/>
      <c r="AA1952" s="82"/>
      <c r="AB1952" s="82"/>
    </row>
    <row r="1953" spans="1:28" s="85" customFormat="1" x14ac:dyDescent="0.25">
      <c r="A1953" s="82"/>
      <c r="B1953" s="82"/>
      <c r="C1953" s="82"/>
      <c r="D1953" s="729"/>
      <c r="E1953" s="396" t="s">
        <v>184</v>
      </c>
      <c r="F1953" s="403"/>
      <c r="G1953" s="397"/>
      <c r="H1953" s="398"/>
      <c r="I1953" s="399"/>
      <c r="J1953" s="400">
        <f t="shared" si="264"/>
        <v>0</v>
      </c>
      <c r="K1953" s="401">
        <f t="shared" si="278"/>
        <v>0</v>
      </c>
      <c r="L1953" s="196">
        <f t="shared" si="279"/>
        <v>0</v>
      </c>
      <c r="M1953" s="196">
        <f t="shared" si="280"/>
        <v>0</v>
      </c>
      <c r="N1953" s="196">
        <f t="shared" si="281"/>
        <v>0</v>
      </c>
      <c r="O1953" s="196">
        <f t="shared" si="282"/>
        <v>0</v>
      </c>
      <c r="P1953" s="196">
        <f t="shared" si="283"/>
        <v>0</v>
      </c>
      <c r="Q1953" s="566">
        <f t="shared" si="271"/>
        <v>0</v>
      </c>
      <c r="R1953" s="538"/>
      <c r="T1953" s="82"/>
      <c r="U1953" s="82"/>
      <c r="V1953" s="82"/>
      <c r="W1953" s="82"/>
      <c r="X1953" s="82"/>
      <c r="Y1953" s="82"/>
      <c r="Z1953" s="82"/>
      <c r="AA1953" s="82"/>
      <c r="AB1953" s="82"/>
    </row>
    <row r="1954" spans="1:28" s="85" customFormat="1" x14ac:dyDescent="0.25">
      <c r="A1954" s="82"/>
      <c r="B1954" s="82"/>
      <c r="C1954" s="82"/>
      <c r="D1954" s="729"/>
      <c r="E1954" s="371" t="s">
        <v>184</v>
      </c>
      <c r="F1954" s="372"/>
      <c r="G1954" s="373"/>
      <c r="H1954" s="374"/>
      <c r="I1954" s="375"/>
      <c r="J1954" s="376">
        <f t="shared" si="264"/>
        <v>0</v>
      </c>
      <c r="K1954" s="66">
        <f t="shared" si="278"/>
        <v>0</v>
      </c>
      <c r="L1954" s="63">
        <f t="shared" si="279"/>
        <v>0</v>
      </c>
      <c r="M1954" s="63">
        <f t="shared" si="280"/>
        <v>0</v>
      </c>
      <c r="N1954" s="63">
        <f t="shared" si="281"/>
        <v>0</v>
      </c>
      <c r="O1954" s="63">
        <f t="shared" si="282"/>
        <v>0</v>
      </c>
      <c r="P1954" s="63">
        <f t="shared" si="283"/>
        <v>0</v>
      </c>
      <c r="Q1954" s="562">
        <f t="shared" si="271"/>
        <v>0</v>
      </c>
      <c r="R1954" s="377"/>
      <c r="T1954" s="82"/>
      <c r="U1954" s="82"/>
      <c r="V1954" s="82"/>
      <c r="W1954" s="82"/>
      <c r="X1954" s="82"/>
      <c r="Y1954" s="82"/>
      <c r="Z1954" s="82"/>
      <c r="AA1954" s="82"/>
      <c r="AB1954" s="82"/>
    </row>
    <row r="1955" spans="1:28" s="85" customFormat="1" x14ac:dyDescent="0.25">
      <c r="A1955" s="82"/>
      <c r="B1955" s="82"/>
      <c r="C1955" s="82"/>
      <c r="D1955" s="729"/>
      <c r="E1955" s="371" t="s">
        <v>184</v>
      </c>
      <c r="F1955" s="372"/>
      <c r="G1955" s="373"/>
      <c r="H1955" s="374"/>
      <c r="I1955" s="375"/>
      <c r="J1955" s="376">
        <f t="shared" si="264"/>
        <v>0</v>
      </c>
      <c r="K1955" s="66">
        <f t="shared" si="278"/>
        <v>0</v>
      </c>
      <c r="L1955" s="63">
        <f t="shared" si="279"/>
        <v>0</v>
      </c>
      <c r="M1955" s="63">
        <f t="shared" si="280"/>
        <v>0</v>
      </c>
      <c r="N1955" s="63">
        <f t="shared" si="281"/>
        <v>0</v>
      </c>
      <c r="O1955" s="63">
        <f t="shared" si="282"/>
        <v>0</v>
      </c>
      <c r="P1955" s="63">
        <f t="shared" si="283"/>
        <v>0</v>
      </c>
      <c r="Q1955" s="562">
        <f t="shared" si="271"/>
        <v>0</v>
      </c>
      <c r="R1955" s="377"/>
      <c r="T1955" s="82"/>
      <c r="U1955" s="82"/>
      <c r="V1955" s="82"/>
      <c r="W1955" s="82"/>
      <c r="X1955" s="82"/>
      <c r="Y1955" s="82"/>
      <c r="Z1955" s="82"/>
      <c r="AA1955" s="82"/>
      <c r="AB1955" s="82"/>
    </row>
    <row r="1956" spans="1:28" s="85" customFormat="1" ht="13.8" thickBot="1" x14ac:dyDescent="0.3">
      <c r="A1956" s="82"/>
      <c r="B1956" s="82"/>
      <c r="C1956" s="82"/>
      <c r="D1956" s="731"/>
      <c r="E1956" s="390" t="s">
        <v>184</v>
      </c>
      <c r="F1956" s="391"/>
      <c r="G1956" s="392"/>
      <c r="H1956" s="393"/>
      <c r="I1956" s="394"/>
      <c r="J1956" s="395">
        <f t="shared" si="264"/>
        <v>0</v>
      </c>
      <c r="K1956" s="221">
        <f t="shared" si="278"/>
        <v>0</v>
      </c>
      <c r="L1956" s="222">
        <f t="shared" si="279"/>
        <v>0</v>
      </c>
      <c r="M1956" s="222">
        <f t="shared" si="280"/>
        <v>0</v>
      </c>
      <c r="N1956" s="222">
        <f t="shared" si="281"/>
        <v>0</v>
      </c>
      <c r="O1956" s="222">
        <f t="shared" si="282"/>
        <v>0</v>
      </c>
      <c r="P1956" s="222">
        <f t="shared" si="283"/>
        <v>0</v>
      </c>
      <c r="Q1956" s="564">
        <f t="shared" si="271"/>
        <v>0</v>
      </c>
      <c r="R1956" s="539"/>
      <c r="T1956" s="82"/>
      <c r="U1956" s="82"/>
      <c r="V1956" s="82"/>
      <c r="W1956" s="82"/>
      <c r="X1956" s="82"/>
      <c r="Y1956" s="82"/>
      <c r="Z1956" s="82"/>
      <c r="AA1956" s="82"/>
      <c r="AB1956" s="82"/>
    </row>
    <row r="1957" spans="1:28" s="85" customFormat="1" ht="13.8" thickTop="1" x14ac:dyDescent="0.25">
      <c r="A1957" s="82"/>
      <c r="B1957" s="82"/>
      <c r="C1957" s="82"/>
      <c r="D1957" s="728"/>
      <c r="E1957" s="384" t="s">
        <v>49</v>
      </c>
      <c r="F1957" s="385"/>
      <c r="G1957" s="386"/>
      <c r="H1957" s="387"/>
      <c r="I1957" s="388"/>
      <c r="J1957" s="389">
        <f t="shared" si="264"/>
        <v>0</v>
      </c>
      <c r="K1957" s="218">
        <f t="shared" si="278"/>
        <v>0</v>
      </c>
      <c r="L1957" s="219">
        <f t="shared" si="279"/>
        <v>0</v>
      </c>
      <c r="M1957" s="219">
        <f t="shared" si="280"/>
        <v>0</v>
      </c>
      <c r="N1957" s="219">
        <f t="shared" si="281"/>
        <v>0</v>
      </c>
      <c r="O1957" s="219">
        <f t="shared" si="282"/>
        <v>0</v>
      </c>
      <c r="P1957" s="219">
        <f t="shared" si="283"/>
        <v>0</v>
      </c>
      <c r="Q1957" s="563">
        <f t="shared" si="271"/>
        <v>0</v>
      </c>
      <c r="R1957" s="220"/>
      <c r="T1957" s="82"/>
      <c r="U1957" s="82"/>
      <c r="V1957" s="82"/>
      <c r="W1957" s="82"/>
      <c r="X1957" s="82"/>
      <c r="Y1957" s="82"/>
      <c r="Z1957" s="82"/>
      <c r="AA1957" s="82"/>
      <c r="AB1957" s="82"/>
    </row>
    <row r="1958" spans="1:28" s="85" customFormat="1" x14ac:dyDescent="0.25">
      <c r="A1958" s="82"/>
      <c r="B1958" s="82"/>
      <c r="C1958" s="82"/>
      <c r="D1958" s="729"/>
      <c r="E1958" s="371" t="s">
        <v>49</v>
      </c>
      <c r="F1958" s="372"/>
      <c r="G1958" s="373"/>
      <c r="H1958" s="374"/>
      <c r="I1958" s="375"/>
      <c r="J1958" s="376">
        <f t="shared" si="264"/>
        <v>0</v>
      </c>
      <c r="K1958" s="66">
        <f t="shared" si="278"/>
        <v>0</v>
      </c>
      <c r="L1958" s="63">
        <f t="shared" si="279"/>
        <v>0</v>
      </c>
      <c r="M1958" s="63">
        <f t="shared" si="280"/>
        <v>0</v>
      </c>
      <c r="N1958" s="63">
        <f t="shared" si="281"/>
        <v>0</v>
      </c>
      <c r="O1958" s="63">
        <f t="shared" si="282"/>
        <v>0</v>
      </c>
      <c r="P1958" s="63">
        <f t="shared" si="283"/>
        <v>0</v>
      </c>
      <c r="Q1958" s="561">
        <f t="shared" si="271"/>
        <v>0</v>
      </c>
      <c r="R1958" s="174"/>
      <c r="T1958" s="82"/>
      <c r="U1958" s="82"/>
      <c r="V1958" s="82"/>
      <c r="W1958" s="82"/>
      <c r="X1958" s="82"/>
      <c r="Y1958" s="82"/>
      <c r="Z1958" s="82"/>
      <c r="AA1958" s="82"/>
      <c r="AB1958" s="82"/>
    </row>
    <row r="1959" spans="1:28" s="85" customFormat="1" x14ac:dyDescent="0.25">
      <c r="A1959" s="82"/>
      <c r="B1959" s="82"/>
      <c r="C1959" s="82"/>
      <c r="D1959" s="729"/>
      <c r="E1959" s="371" t="s">
        <v>49</v>
      </c>
      <c r="F1959" s="372"/>
      <c r="G1959" s="373"/>
      <c r="H1959" s="374"/>
      <c r="I1959" s="375"/>
      <c r="J1959" s="376">
        <f t="shared" si="264"/>
        <v>0</v>
      </c>
      <c r="K1959" s="66">
        <f t="shared" si="278"/>
        <v>0</v>
      </c>
      <c r="L1959" s="63">
        <f t="shared" si="279"/>
        <v>0</v>
      </c>
      <c r="M1959" s="63">
        <f t="shared" si="280"/>
        <v>0</v>
      </c>
      <c r="N1959" s="63">
        <f t="shared" si="281"/>
        <v>0</v>
      </c>
      <c r="O1959" s="63">
        <f t="shared" si="282"/>
        <v>0</v>
      </c>
      <c r="P1959" s="63">
        <f t="shared" si="283"/>
        <v>0</v>
      </c>
      <c r="Q1959" s="561">
        <f t="shared" si="271"/>
        <v>0</v>
      </c>
      <c r="R1959" s="174"/>
      <c r="T1959" s="82"/>
      <c r="U1959" s="82"/>
      <c r="V1959" s="82"/>
      <c r="W1959" s="82"/>
      <c r="X1959" s="82"/>
      <c r="Y1959" s="82"/>
      <c r="Z1959" s="82"/>
      <c r="AA1959" s="82"/>
      <c r="AB1959" s="82"/>
    </row>
    <row r="1960" spans="1:28" s="85" customFormat="1" x14ac:dyDescent="0.25">
      <c r="A1960" s="82"/>
      <c r="B1960" s="82"/>
      <c r="C1960" s="82"/>
      <c r="D1960" s="729"/>
      <c r="E1960" s="371" t="s">
        <v>49</v>
      </c>
      <c r="F1960" s="372"/>
      <c r="G1960" s="373"/>
      <c r="H1960" s="374"/>
      <c r="I1960" s="375"/>
      <c r="J1960" s="376">
        <f t="shared" si="264"/>
        <v>0</v>
      </c>
      <c r="K1960" s="66">
        <f t="shared" si="278"/>
        <v>0</v>
      </c>
      <c r="L1960" s="63">
        <f t="shared" si="279"/>
        <v>0</v>
      </c>
      <c r="M1960" s="63">
        <f t="shared" si="280"/>
        <v>0</v>
      </c>
      <c r="N1960" s="63">
        <f t="shared" si="281"/>
        <v>0</v>
      </c>
      <c r="O1960" s="63">
        <f t="shared" si="282"/>
        <v>0</v>
      </c>
      <c r="P1960" s="63">
        <f t="shared" si="283"/>
        <v>0</v>
      </c>
      <c r="Q1960" s="561">
        <f t="shared" si="271"/>
        <v>0</v>
      </c>
      <c r="R1960" s="174"/>
      <c r="T1960" s="82"/>
      <c r="U1960" s="82"/>
      <c r="V1960" s="82"/>
      <c r="W1960" s="82"/>
      <c r="X1960" s="82"/>
      <c r="Y1960" s="82"/>
      <c r="Z1960" s="82"/>
      <c r="AA1960" s="82"/>
      <c r="AB1960" s="82"/>
    </row>
    <row r="1961" spans="1:28" s="85" customFormat="1" x14ac:dyDescent="0.25">
      <c r="A1961" s="82"/>
      <c r="B1961" s="82"/>
      <c r="C1961" s="82"/>
      <c r="D1961" s="729"/>
      <c r="E1961" s="371" t="s">
        <v>113</v>
      </c>
      <c r="F1961" s="372"/>
      <c r="G1961" s="373"/>
      <c r="H1961" s="374"/>
      <c r="I1961" s="375"/>
      <c r="J1961" s="376">
        <f t="shared" si="264"/>
        <v>0</v>
      </c>
      <c r="K1961" s="66">
        <f t="shared" si="278"/>
        <v>0</v>
      </c>
      <c r="L1961" s="63">
        <f t="shared" si="279"/>
        <v>0</v>
      </c>
      <c r="M1961" s="63">
        <f t="shared" si="280"/>
        <v>0</v>
      </c>
      <c r="N1961" s="63">
        <f t="shared" si="281"/>
        <v>0</v>
      </c>
      <c r="O1961" s="63">
        <f t="shared" si="282"/>
        <v>0</v>
      </c>
      <c r="P1961" s="63">
        <f t="shared" si="283"/>
        <v>0</v>
      </c>
      <c r="Q1961" s="561">
        <f t="shared" si="271"/>
        <v>0</v>
      </c>
      <c r="R1961" s="174"/>
      <c r="T1961" s="82"/>
      <c r="U1961" s="82"/>
      <c r="V1961" s="82"/>
      <c r="W1961" s="82"/>
      <c r="X1961" s="82"/>
      <c r="Y1961" s="82"/>
      <c r="Z1961" s="82"/>
      <c r="AA1961" s="82"/>
      <c r="AB1961" s="82"/>
    </row>
    <row r="1962" spans="1:28" s="85" customFormat="1" x14ac:dyDescent="0.25">
      <c r="A1962" s="82"/>
      <c r="B1962" s="82"/>
      <c r="C1962" s="82"/>
      <c r="D1962" s="729"/>
      <c r="E1962" s="371" t="s">
        <v>113</v>
      </c>
      <c r="F1962" s="372"/>
      <c r="G1962" s="373"/>
      <c r="H1962" s="374"/>
      <c r="I1962" s="375"/>
      <c r="J1962" s="376">
        <f t="shared" si="264"/>
        <v>0</v>
      </c>
      <c r="K1962" s="66">
        <f t="shared" si="278"/>
        <v>0</v>
      </c>
      <c r="L1962" s="63">
        <f t="shared" si="279"/>
        <v>0</v>
      </c>
      <c r="M1962" s="63">
        <f t="shared" si="280"/>
        <v>0</v>
      </c>
      <c r="N1962" s="63">
        <f t="shared" si="281"/>
        <v>0</v>
      </c>
      <c r="O1962" s="63">
        <f t="shared" si="282"/>
        <v>0</v>
      </c>
      <c r="P1962" s="63">
        <f t="shared" si="283"/>
        <v>0</v>
      </c>
      <c r="Q1962" s="561">
        <f t="shared" si="271"/>
        <v>0</v>
      </c>
      <c r="R1962" s="174"/>
      <c r="T1962" s="82"/>
      <c r="U1962" s="82"/>
      <c r="V1962" s="82"/>
      <c r="W1962" s="82"/>
      <c r="X1962" s="82"/>
      <c r="Y1962" s="82"/>
      <c r="Z1962" s="82"/>
      <c r="AA1962" s="82"/>
      <c r="AB1962" s="82"/>
    </row>
    <row r="1963" spans="1:28" s="85" customFormat="1" x14ac:dyDescent="0.25">
      <c r="A1963" s="82"/>
      <c r="B1963" s="82"/>
      <c r="C1963" s="82"/>
      <c r="D1963" s="729"/>
      <c r="E1963" s="371" t="s">
        <v>113</v>
      </c>
      <c r="F1963" s="372"/>
      <c r="G1963" s="373"/>
      <c r="H1963" s="374"/>
      <c r="I1963" s="375"/>
      <c r="J1963" s="376">
        <f t="shared" si="264"/>
        <v>0</v>
      </c>
      <c r="K1963" s="66">
        <f t="shared" si="278"/>
        <v>0</v>
      </c>
      <c r="L1963" s="63">
        <f t="shared" si="279"/>
        <v>0</v>
      </c>
      <c r="M1963" s="63">
        <f t="shared" si="280"/>
        <v>0</v>
      </c>
      <c r="N1963" s="63">
        <f t="shared" si="281"/>
        <v>0</v>
      </c>
      <c r="O1963" s="63">
        <f t="shared" si="282"/>
        <v>0</v>
      </c>
      <c r="P1963" s="63">
        <f t="shared" si="283"/>
        <v>0</v>
      </c>
      <c r="Q1963" s="561">
        <f t="shared" si="271"/>
        <v>0</v>
      </c>
      <c r="R1963" s="174"/>
      <c r="T1963" s="82"/>
      <c r="U1963" s="82"/>
      <c r="V1963" s="82"/>
      <c r="W1963" s="82"/>
      <c r="X1963" s="82"/>
      <c r="Y1963" s="82"/>
      <c r="Z1963" s="82"/>
      <c r="AA1963" s="82"/>
      <c r="AB1963" s="82"/>
    </row>
    <row r="1964" spans="1:28" s="85" customFormat="1" x14ac:dyDescent="0.25">
      <c r="A1964" s="82"/>
      <c r="B1964" s="82"/>
      <c r="C1964" s="82"/>
      <c r="D1964" s="729"/>
      <c r="E1964" s="371" t="s">
        <v>113</v>
      </c>
      <c r="F1964" s="372"/>
      <c r="G1964" s="373"/>
      <c r="H1964" s="374"/>
      <c r="I1964" s="375"/>
      <c r="J1964" s="376">
        <f t="shared" si="264"/>
        <v>0</v>
      </c>
      <c r="K1964" s="66">
        <f t="shared" si="278"/>
        <v>0</v>
      </c>
      <c r="L1964" s="63">
        <f t="shared" si="279"/>
        <v>0</v>
      </c>
      <c r="M1964" s="63">
        <f t="shared" si="280"/>
        <v>0</v>
      </c>
      <c r="N1964" s="63">
        <f t="shared" si="281"/>
        <v>0</v>
      </c>
      <c r="O1964" s="63">
        <f t="shared" si="282"/>
        <v>0</v>
      </c>
      <c r="P1964" s="63">
        <f t="shared" si="283"/>
        <v>0</v>
      </c>
      <c r="Q1964" s="561">
        <f t="shared" si="271"/>
        <v>0</v>
      </c>
      <c r="R1964" s="174"/>
      <c r="T1964" s="82"/>
      <c r="U1964" s="82"/>
      <c r="V1964" s="82"/>
      <c r="W1964" s="82"/>
      <c r="X1964" s="82"/>
      <c r="Y1964" s="82"/>
      <c r="Z1964" s="82"/>
      <c r="AA1964" s="82"/>
      <c r="AB1964" s="82"/>
    </row>
    <row r="1965" spans="1:28" s="85" customFormat="1" x14ac:dyDescent="0.25">
      <c r="A1965" s="82"/>
      <c r="B1965" s="82"/>
      <c r="C1965" s="82"/>
      <c r="D1965" s="729"/>
      <c r="E1965" s="396" t="s">
        <v>184</v>
      </c>
      <c r="F1965" s="403"/>
      <c r="G1965" s="397"/>
      <c r="H1965" s="398"/>
      <c r="I1965" s="399"/>
      <c r="J1965" s="400">
        <f t="shared" si="264"/>
        <v>0</v>
      </c>
      <c r="K1965" s="401">
        <f t="shared" si="278"/>
        <v>0</v>
      </c>
      <c r="L1965" s="196">
        <f t="shared" si="279"/>
        <v>0</v>
      </c>
      <c r="M1965" s="196">
        <f t="shared" si="280"/>
        <v>0</v>
      </c>
      <c r="N1965" s="196">
        <f t="shared" si="281"/>
        <v>0</v>
      </c>
      <c r="O1965" s="196">
        <f t="shared" si="282"/>
        <v>0</v>
      </c>
      <c r="P1965" s="196">
        <f t="shared" si="283"/>
        <v>0</v>
      </c>
      <c r="Q1965" s="566">
        <f t="shared" si="271"/>
        <v>0</v>
      </c>
      <c r="R1965" s="538"/>
      <c r="T1965" s="82"/>
      <c r="U1965" s="82"/>
      <c r="V1965" s="82"/>
      <c r="W1965" s="82"/>
      <c r="X1965" s="82"/>
      <c r="Y1965" s="82"/>
      <c r="Z1965" s="82"/>
      <c r="AA1965" s="82"/>
      <c r="AB1965" s="82"/>
    </row>
    <row r="1966" spans="1:28" s="85" customFormat="1" x14ac:dyDescent="0.25">
      <c r="A1966" s="82"/>
      <c r="B1966" s="82"/>
      <c r="C1966" s="82"/>
      <c r="D1966" s="729"/>
      <c r="E1966" s="371" t="s">
        <v>184</v>
      </c>
      <c r="F1966" s="372"/>
      <c r="G1966" s="373"/>
      <c r="H1966" s="374"/>
      <c r="I1966" s="375"/>
      <c r="J1966" s="376">
        <f t="shared" si="264"/>
        <v>0</v>
      </c>
      <c r="K1966" s="66">
        <f t="shared" si="278"/>
        <v>0</v>
      </c>
      <c r="L1966" s="63">
        <f t="shared" si="279"/>
        <v>0</v>
      </c>
      <c r="M1966" s="63">
        <f t="shared" si="280"/>
        <v>0</v>
      </c>
      <c r="N1966" s="63">
        <f t="shared" si="281"/>
        <v>0</v>
      </c>
      <c r="O1966" s="63">
        <f t="shared" si="282"/>
        <v>0</v>
      </c>
      <c r="P1966" s="63">
        <f t="shared" si="283"/>
        <v>0</v>
      </c>
      <c r="Q1966" s="562">
        <f t="shared" si="271"/>
        <v>0</v>
      </c>
      <c r="R1966" s="377"/>
      <c r="T1966" s="82"/>
      <c r="U1966" s="82"/>
      <c r="V1966" s="82"/>
      <c r="W1966" s="82"/>
      <c r="X1966" s="82"/>
      <c r="Y1966" s="82"/>
      <c r="Z1966" s="82"/>
      <c r="AA1966" s="82"/>
      <c r="AB1966" s="82"/>
    </row>
    <row r="1967" spans="1:28" s="85" customFormat="1" x14ac:dyDescent="0.25">
      <c r="A1967" s="82"/>
      <c r="B1967" s="82"/>
      <c r="C1967" s="82"/>
      <c r="D1967" s="729"/>
      <c r="E1967" s="371" t="s">
        <v>184</v>
      </c>
      <c r="F1967" s="372"/>
      <c r="G1967" s="373"/>
      <c r="H1967" s="374"/>
      <c r="I1967" s="375"/>
      <c r="J1967" s="376">
        <f t="shared" si="264"/>
        <v>0</v>
      </c>
      <c r="K1967" s="66">
        <f t="shared" si="278"/>
        <v>0</v>
      </c>
      <c r="L1967" s="63">
        <f t="shared" si="279"/>
        <v>0</v>
      </c>
      <c r="M1967" s="63">
        <f t="shared" si="280"/>
        <v>0</v>
      </c>
      <c r="N1967" s="63">
        <f t="shared" si="281"/>
        <v>0</v>
      </c>
      <c r="O1967" s="63">
        <f t="shared" si="282"/>
        <v>0</v>
      </c>
      <c r="P1967" s="63">
        <f t="shared" si="283"/>
        <v>0</v>
      </c>
      <c r="Q1967" s="562">
        <f t="shared" si="271"/>
        <v>0</v>
      </c>
      <c r="R1967" s="377"/>
      <c r="T1967" s="82"/>
      <c r="U1967" s="82"/>
      <c r="V1967" s="82"/>
      <c r="W1967" s="82"/>
      <c r="X1967" s="82"/>
      <c r="Y1967" s="82"/>
      <c r="Z1967" s="82"/>
      <c r="AA1967" s="82"/>
      <c r="AB1967" s="82"/>
    </row>
    <row r="1968" spans="1:28" s="85" customFormat="1" ht="13.8" thickBot="1" x14ac:dyDescent="0.3">
      <c r="A1968" s="82"/>
      <c r="B1968" s="82"/>
      <c r="C1968" s="82"/>
      <c r="D1968" s="731"/>
      <c r="E1968" s="390" t="s">
        <v>184</v>
      </c>
      <c r="F1968" s="391"/>
      <c r="G1968" s="392"/>
      <c r="H1968" s="393"/>
      <c r="I1968" s="394"/>
      <c r="J1968" s="395">
        <f t="shared" si="264"/>
        <v>0</v>
      </c>
      <c r="K1968" s="221">
        <f t="shared" si="278"/>
        <v>0</v>
      </c>
      <c r="L1968" s="222">
        <f t="shared" si="279"/>
        <v>0</v>
      </c>
      <c r="M1968" s="222">
        <f t="shared" si="280"/>
        <v>0</v>
      </c>
      <c r="N1968" s="222">
        <f t="shared" si="281"/>
        <v>0</v>
      </c>
      <c r="O1968" s="222">
        <f t="shared" si="282"/>
        <v>0</v>
      </c>
      <c r="P1968" s="222">
        <f t="shared" si="283"/>
        <v>0</v>
      </c>
      <c r="Q1968" s="564">
        <f t="shared" si="271"/>
        <v>0</v>
      </c>
      <c r="R1968" s="539"/>
      <c r="T1968" s="82"/>
      <c r="U1968" s="82"/>
      <c r="V1968" s="82"/>
      <c r="W1968" s="82"/>
      <c r="X1968" s="82"/>
      <c r="Y1968" s="82"/>
      <c r="Z1968" s="82"/>
      <c r="AA1968" s="82"/>
      <c r="AB1968" s="82"/>
    </row>
    <row r="1969" spans="1:28" s="85" customFormat="1" ht="13.8" thickTop="1" x14ac:dyDescent="0.25">
      <c r="A1969" s="82"/>
      <c r="B1969" s="82"/>
      <c r="C1969" s="82"/>
      <c r="D1969" s="728"/>
      <c r="E1969" s="384" t="s">
        <v>49</v>
      </c>
      <c r="F1969" s="385"/>
      <c r="G1969" s="386"/>
      <c r="H1969" s="387"/>
      <c r="I1969" s="388"/>
      <c r="J1969" s="389">
        <f t="shared" si="264"/>
        <v>0</v>
      </c>
      <c r="K1969" s="218">
        <f t="shared" si="278"/>
        <v>0</v>
      </c>
      <c r="L1969" s="219">
        <f t="shared" si="279"/>
        <v>0</v>
      </c>
      <c r="M1969" s="219">
        <f t="shared" si="280"/>
        <v>0</v>
      </c>
      <c r="N1969" s="219">
        <f t="shared" si="281"/>
        <v>0</v>
      </c>
      <c r="O1969" s="219">
        <f t="shared" si="282"/>
        <v>0</v>
      </c>
      <c r="P1969" s="219">
        <f t="shared" si="283"/>
        <v>0</v>
      </c>
      <c r="Q1969" s="563">
        <f t="shared" si="271"/>
        <v>0</v>
      </c>
      <c r="R1969" s="220"/>
      <c r="T1969" s="82"/>
      <c r="U1969" s="82"/>
      <c r="V1969" s="82"/>
      <c r="W1969" s="82"/>
      <c r="X1969" s="82"/>
      <c r="Y1969" s="82"/>
      <c r="Z1969" s="82"/>
      <c r="AA1969" s="82"/>
      <c r="AB1969" s="82"/>
    </row>
    <row r="1970" spans="1:28" s="85" customFormat="1" x14ac:dyDescent="0.25">
      <c r="A1970" s="82"/>
      <c r="B1970" s="82"/>
      <c r="C1970" s="82"/>
      <c r="D1970" s="729"/>
      <c r="E1970" s="371" t="s">
        <v>49</v>
      </c>
      <c r="F1970" s="372"/>
      <c r="G1970" s="373"/>
      <c r="H1970" s="374"/>
      <c r="I1970" s="375"/>
      <c r="J1970" s="376">
        <f t="shared" si="264"/>
        <v>0</v>
      </c>
      <c r="K1970" s="66">
        <f t="shared" si="278"/>
        <v>0</v>
      </c>
      <c r="L1970" s="63">
        <f t="shared" si="279"/>
        <v>0</v>
      </c>
      <c r="M1970" s="63">
        <f t="shared" si="280"/>
        <v>0</v>
      </c>
      <c r="N1970" s="63">
        <f t="shared" si="281"/>
        <v>0</v>
      </c>
      <c r="O1970" s="63">
        <f t="shared" si="282"/>
        <v>0</v>
      </c>
      <c r="P1970" s="63">
        <f t="shared" si="283"/>
        <v>0</v>
      </c>
      <c r="Q1970" s="561">
        <f t="shared" si="271"/>
        <v>0</v>
      </c>
      <c r="R1970" s="174"/>
      <c r="T1970" s="82"/>
      <c r="U1970" s="82"/>
      <c r="V1970" s="82"/>
      <c r="W1970" s="82"/>
      <c r="X1970" s="82"/>
      <c r="Y1970" s="82"/>
      <c r="Z1970" s="82"/>
      <c r="AA1970" s="82"/>
      <c r="AB1970" s="82"/>
    </row>
    <row r="1971" spans="1:28" s="85" customFormat="1" x14ac:dyDescent="0.25">
      <c r="A1971" s="82"/>
      <c r="B1971" s="82"/>
      <c r="C1971" s="82"/>
      <c r="D1971" s="729"/>
      <c r="E1971" s="371" t="s">
        <v>49</v>
      </c>
      <c r="F1971" s="372"/>
      <c r="G1971" s="373"/>
      <c r="H1971" s="374"/>
      <c r="I1971" s="375"/>
      <c r="J1971" s="376">
        <f t="shared" si="264"/>
        <v>0</v>
      </c>
      <c r="K1971" s="66">
        <f t="shared" si="278"/>
        <v>0</v>
      </c>
      <c r="L1971" s="63">
        <f t="shared" si="279"/>
        <v>0</v>
      </c>
      <c r="M1971" s="63">
        <f t="shared" si="280"/>
        <v>0</v>
      </c>
      <c r="N1971" s="63">
        <f t="shared" si="281"/>
        <v>0</v>
      </c>
      <c r="O1971" s="63">
        <f t="shared" si="282"/>
        <v>0</v>
      </c>
      <c r="P1971" s="63">
        <f t="shared" si="283"/>
        <v>0</v>
      </c>
      <c r="Q1971" s="561">
        <f t="shared" si="271"/>
        <v>0</v>
      </c>
      <c r="R1971" s="174"/>
      <c r="T1971" s="82"/>
      <c r="U1971" s="82"/>
      <c r="V1971" s="82"/>
      <c r="W1971" s="82"/>
      <c r="X1971" s="82"/>
      <c r="Y1971" s="82"/>
      <c r="Z1971" s="82"/>
      <c r="AA1971" s="82"/>
      <c r="AB1971" s="82"/>
    </row>
    <row r="1972" spans="1:28" s="85" customFormat="1" x14ac:dyDescent="0.25">
      <c r="A1972" s="82"/>
      <c r="B1972" s="82"/>
      <c r="C1972" s="82"/>
      <c r="D1972" s="729"/>
      <c r="E1972" s="371" t="s">
        <v>49</v>
      </c>
      <c r="F1972" s="372"/>
      <c r="G1972" s="373"/>
      <c r="H1972" s="374"/>
      <c r="I1972" s="375"/>
      <c r="J1972" s="376">
        <f t="shared" si="264"/>
        <v>0</v>
      </c>
      <c r="K1972" s="66">
        <f t="shared" si="278"/>
        <v>0</v>
      </c>
      <c r="L1972" s="63">
        <f t="shared" si="279"/>
        <v>0</v>
      </c>
      <c r="M1972" s="63">
        <f t="shared" si="280"/>
        <v>0</v>
      </c>
      <c r="N1972" s="63">
        <f t="shared" si="281"/>
        <v>0</v>
      </c>
      <c r="O1972" s="63">
        <f t="shared" si="282"/>
        <v>0</v>
      </c>
      <c r="P1972" s="63">
        <f t="shared" si="283"/>
        <v>0</v>
      </c>
      <c r="Q1972" s="561">
        <f t="shared" si="271"/>
        <v>0</v>
      </c>
      <c r="R1972" s="174"/>
      <c r="T1972" s="82"/>
      <c r="U1972" s="82"/>
      <c r="V1972" s="82"/>
      <c r="W1972" s="82"/>
      <c r="X1972" s="82"/>
      <c r="Y1972" s="82"/>
      <c r="Z1972" s="82"/>
      <c r="AA1972" s="82"/>
      <c r="AB1972" s="82"/>
    </row>
    <row r="1973" spans="1:28" s="85" customFormat="1" x14ac:dyDescent="0.25">
      <c r="A1973" s="82"/>
      <c r="B1973" s="82"/>
      <c r="C1973" s="82"/>
      <c r="D1973" s="729"/>
      <c r="E1973" s="371" t="s">
        <v>113</v>
      </c>
      <c r="F1973" s="372"/>
      <c r="G1973" s="373"/>
      <c r="H1973" s="374"/>
      <c r="I1973" s="375"/>
      <c r="J1973" s="376">
        <f t="shared" si="264"/>
        <v>0</v>
      </c>
      <c r="K1973" s="66">
        <f t="shared" si="278"/>
        <v>0</v>
      </c>
      <c r="L1973" s="63">
        <f t="shared" si="279"/>
        <v>0</v>
      </c>
      <c r="M1973" s="63">
        <f t="shared" si="280"/>
        <v>0</v>
      </c>
      <c r="N1973" s="63">
        <f t="shared" si="281"/>
        <v>0</v>
      </c>
      <c r="O1973" s="63">
        <f t="shared" si="282"/>
        <v>0</v>
      </c>
      <c r="P1973" s="63">
        <f t="shared" si="283"/>
        <v>0</v>
      </c>
      <c r="Q1973" s="561">
        <f t="shared" si="271"/>
        <v>0</v>
      </c>
      <c r="R1973" s="174"/>
      <c r="T1973" s="82"/>
      <c r="U1973" s="82"/>
      <c r="V1973" s="82"/>
      <c r="W1973" s="82"/>
      <c r="X1973" s="82"/>
      <c r="Y1973" s="82"/>
      <c r="Z1973" s="82"/>
      <c r="AA1973" s="82"/>
      <c r="AB1973" s="82"/>
    </row>
    <row r="1974" spans="1:28" s="85" customFormat="1" x14ac:dyDescent="0.25">
      <c r="A1974" s="82"/>
      <c r="B1974" s="82"/>
      <c r="C1974" s="82"/>
      <c r="D1974" s="729"/>
      <c r="E1974" s="371" t="s">
        <v>113</v>
      </c>
      <c r="F1974" s="372"/>
      <c r="G1974" s="373"/>
      <c r="H1974" s="374"/>
      <c r="I1974" s="375"/>
      <c r="J1974" s="376">
        <f t="shared" si="264"/>
        <v>0</v>
      </c>
      <c r="K1974" s="66">
        <f t="shared" si="278"/>
        <v>0</v>
      </c>
      <c r="L1974" s="63">
        <f t="shared" si="279"/>
        <v>0</v>
      </c>
      <c r="M1974" s="63">
        <f t="shared" si="280"/>
        <v>0</v>
      </c>
      <c r="N1974" s="63">
        <f t="shared" si="281"/>
        <v>0</v>
      </c>
      <c r="O1974" s="63">
        <f t="shared" si="282"/>
        <v>0</v>
      </c>
      <c r="P1974" s="63">
        <f t="shared" si="283"/>
        <v>0</v>
      </c>
      <c r="Q1974" s="561">
        <f t="shared" si="271"/>
        <v>0</v>
      </c>
      <c r="R1974" s="174"/>
      <c r="T1974" s="82"/>
      <c r="U1974" s="82"/>
      <c r="V1974" s="82"/>
      <c r="W1974" s="82"/>
      <c r="X1974" s="82"/>
      <c r="Y1974" s="82"/>
      <c r="Z1974" s="82"/>
      <c r="AA1974" s="82"/>
      <c r="AB1974" s="82"/>
    </row>
    <row r="1975" spans="1:28" s="85" customFormat="1" x14ac:dyDescent="0.25">
      <c r="A1975" s="82"/>
      <c r="B1975" s="82"/>
      <c r="C1975" s="82"/>
      <c r="D1975" s="729"/>
      <c r="E1975" s="371" t="s">
        <v>113</v>
      </c>
      <c r="F1975" s="372"/>
      <c r="G1975" s="373"/>
      <c r="H1975" s="374"/>
      <c r="I1975" s="375"/>
      <c r="J1975" s="376">
        <f t="shared" si="264"/>
        <v>0</v>
      </c>
      <c r="K1975" s="66">
        <f t="shared" si="278"/>
        <v>0</v>
      </c>
      <c r="L1975" s="63">
        <f t="shared" si="279"/>
        <v>0</v>
      </c>
      <c r="M1975" s="63">
        <f t="shared" si="280"/>
        <v>0</v>
      </c>
      <c r="N1975" s="63">
        <f t="shared" si="281"/>
        <v>0</v>
      </c>
      <c r="O1975" s="63">
        <f t="shared" si="282"/>
        <v>0</v>
      </c>
      <c r="P1975" s="63">
        <f t="shared" si="283"/>
        <v>0</v>
      </c>
      <c r="Q1975" s="561">
        <f t="shared" si="271"/>
        <v>0</v>
      </c>
      <c r="R1975" s="174"/>
      <c r="T1975" s="82"/>
      <c r="U1975" s="82"/>
      <c r="V1975" s="82"/>
      <c r="W1975" s="82"/>
      <c r="X1975" s="82"/>
      <c r="Y1975" s="82"/>
      <c r="Z1975" s="82"/>
      <c r="AA1975" s="82"/>
      <c r="AB1975" s="82"/>
    </row>
    <row r="1976" spans="1:28" s="85" customFormat="1" x14ac:dyDescent="0.25">
      <c r="A1976" s="82"/>
      <c r="B1976" s="82"/>
      <c r="C1976" s="82"/>
      <c r="D1976" s="729"/>
      <c r="E1976" s="371" t="s">
        <v>113</v>
      </c>
      <c r="F1976" s="372"/>
      <c r="G1976" s="373"/>
      <c r="H1976" s="374"/>
      <c r="I1976" s="375"/>
      <c r="J1976" s="376">
        <f t="shared" si="264"/>
        <v>0</v>
      </c>
      <c r="K1976" s="66">
        <f t="shared" si="278"/>
        <v>0</v>
      </c>
      <c r="L1976" s="63">
        <f t="shared" si="279"/>
        <v>0</v>
      </c>
      <c r="M1976" s="63">
        <f t="shared" si="280"/>
        <v>0</v>
      </c>
      <c r="N1976" s="63">
        <f t="shared" si="281"/>
        <v>0</v>
      </c>
      <c r="O1976" s="63">
        <f t="shared" si="282"/>
        <v>0</v>
      </c>
      <c r="P1976" s="63">
        <f t="shared" si="283"/>
        <v>0</v>
      </c>
      <c r="Q1976" s="561">
        <f t="shared" si="271"/>
        <v>0</v>
      </c>
      <c r="R1976" s="174"/>
      <c r="T1976" s="82"/>
      <c r="U1976" s="82"/>
      <c r="V1976" s="82"/>
      <c r="W1976" s="82"/>
      <c r="X1976" s="82"/>
      <c r="Y1976" s="82"/>
      <c r="Z1976" s="82"/>
      <c r="AA1976" s="82"/>
      <c r="AB1976" s="82"/>
    </row>
    <row r="1977" spans="1:28" s="85" customFormat="1" x14ac:dyDescent="0.25">
      <c r="A1977" s="82"/>
      <c r="B1977" s="82"/>
      <c r="C1977" s="82"/>
      <c r="D1977" s="729"/>
      <c r="E1977" s="396" t="s">
        <v>184</v>
      </c>
      <c r="F1977" s="403"/>
      <c r="G1977" s="397"/>
      <c r="H1977" s="398"/>
      <c r="I1977" s="399"/>
      <c r="J1977" s="400">
        <f t="shared" si="264"/>
        <v>0</v>
      </c>
      <c r="K1977" s="401">
        <f t="shared" si="278"/>
        <v>0</v>
      </c>
      <c r="L1977" s="196">
        <f t="shared" si="279"/>
        <v>0</v>
      </c>
      <c r="M1977" s="196">
        <f t="shared" si="280"/>
        <v>0</v>
      </c>
      <c r="N1977" s="196">
        <f t="shared" si="281"/>
        <v>0</v>
      </c>
      <c r="O1977" s="196">
        <f t="shared" si="282"/>
        <v>0</v>
      </c>
      <c r="P1977" s="196">
        <f t="shared" si="283"/>
        <v>0</v>
      </c>
      <c r="Q1977" s="566">
        <f t="shared" si="271"/>
        <v>0</v>
      </c>
      <c r="R1977" s="538"/>
      <c r="T1977" s="82"/>
      <c r="U1977" s="82"/>
      <c r="V1977" s="82"/>
      <c r="W1977" s="82"/>
      <c r="X1977" s="82"/>
      <c r="Y1977" s="82"/>
      <c r="Z1977" s="82"/>
      <c r="AA1977" s="82"/>
      <c r="AB1977" s="82"/>
    </row>
    <row r="1978" spans="1:28" s="85" customFormat="1" x14ac:dyDescent="0.25">
      <c r="A1978" s="82"/>
      <c r="B1978" s="82"/>
      <c r="C1978" s="82"/>
      <c r="D1978" s="729"/>
      <c r="E1978" s="371" t="s">
        <v>184</v>
      </c>
      <c r="F1978" s="372"/>
      <c r="G1978" s="373"/>
      <c r="H1978" s="374"/>
      <c r="I1978" s="375"/>
      <c r="J1978" s="376">
        <f t="shared" si="264"/>
        <v>0</v>
      </c>
      <c r="K1978" s="66">
        <f t="shared" si="278"/>
        <v>0</v>
      </c>
      <c r="L1978" s="63">
        <f t="shared" si="279"/>
        <v>0</v>
      </c>
      <c r="M1978" s="63">
        <f t="shared" si="280"/>
        <v>0</v>
      </c>
      <c r="N1978" s="63">
        <f t="shared" si="281"/>
        <v>0</v>
      </c>
      <c r="O1978" s="63">
        <f t="shared" si="282"/>
        <v>0</v>
      </c>
      <c r="P1978" s="63">
        <f t="shared" si="283"/>
        <v>0</v>
      </c>
      <c r="Q1978" s="562">
        <f t="shared" si="271"/>
        <v>0</v>
      </c>
      <c r="R1978" s="377"/>
      <c r="T1978" s="82"/>
      <c r="U1978" s="82"/>
      <c r="V1978" s="82"/>
      <c r="W1978" s="82"/>
      <c r="X1978" s="82"/>
      <c r="Y1978" s="82"/>
      <c r="Z1978" s="82"/>
      <c r="AA1978" s="82"/>
      <c r="AB1978" s="82"/>
    </row>
    <row r="1979" spans="1:28" s="85" customFormat="1" x14ac:dyDescent="0.25">
      <c r="A1979" s="82"/>
      <c r="B1979" s="82"/>
      <c r="C1979" s="82"/>
      <c r="D1979" s="729"/>
      <c r="E1979" s="371" t="s">
        <v>184</v>
      </c>
      <c r="F1979" s="372"/>
      <c r="G1979" s="373"/>
      <c r="H1979" s="374"/>
      <c r="I1979" s="375"/>
      <c r="J1979" s="376">
        <f t="shared" si="264"/>
        <v>0</v>
      </c>
      <c r="K1979" s="66">
        <f t="shared" si="278"/>
        <v>0</v>
      </c>
      <c r="L1979" s="63">
        <f t="shared" si="279"/>
        <v>0</v>
      </c>
      <c r="M1979" s="63">
        <f t="shared" si="280"/>
        <v>0</v>
      </c>
      <c r="N1979" s="63">
        <f t="shared" si="281"/>
        <v>0</v>
      </c>
      <c r="O1979" s="63">
        <f t="shared" si="282"/>
        <v>0</v>
      </c>
      <c r="P1979" s="63">
        <f t="shared" si="283"/>
        <v>0</v>
      </c>
      <c r="Q1979" s="562">
        <f t="shared" si="271"/>
        <v>0</v>
      </c>
      <c r="R1979" s="377"/>
      <c r="T1979" s="82"/>
      <c r="U1979" s="82"/>
      <c r="V1979" s="82"/>
      <c r="W1979" s="82"/>
      <c r="X1979" s="82"/>
      <c r="Y1979" s="82"/>
      <c r="Z1979" s="82"/>
      <c r="AA1979" s="82"/>
      <c r="AB1979" s="82"/>
    </row>
    <row r="1980" spans="1:28" s="85" customFormat="1" ht="13.8" thickBot="1" x14ac:dyDescent="0.3">
      <c r="A1980" s="82"/>
      <c r="B1980" s="82"/>
      <c r="C1980" s="82"/>
      <c r="D1980" s="731"/>
      <c r="E1980" s="390" t="s">
        <v>184</v>
      </c>
      <c r="F1980" s="391"/>
      <c r="G1980" s="392"/>
      <c r="H1980" s="393"/>
      <c r="I1980" s="394"/>
      <c r="J1980" s="395">
        <f t="shared" si="264"/>
        <v>0</v>
      </c>
      <c r="K1980" s="221">
        <f t="shared" si="278"/>
        <v>0</v>
      </c>
      <c r="L1980" s="222">
        <f t="shared" si="279"/>
        <v>0</v>
      </c>
      <c r="M1980" s="222">
        <f t="shared" si="280"/>
        <v>0</v>
      </c>
      <c r="N1980" s="222">
        <f t="shared" si="281"/>
        <v>0</v>
      </c>
      <c r="O1980" s="222">
        <f t="shared" si="282"/>
        <v>0</v>
      </c>
      <c r="P1980" s="222">
        <f t="shared" si="283"/>
        <v>0</v>
      </c>
      <c r="Q1980" s="564">
        <f t="shared" si="271"/>
        <v>0</v>
      </c>
      <c r="R1980" s="539"/>
      <c r="T1980" s="82"/>
      <c r="U1980" s="82"/>
      <c r="V1980" s="82"/>
      <c r="W1980" s="82"/>
      <c r="X1980" s="82"/>
      <c r="Y1980" s="82"/>
      <c r="Z1980" s="82"/>
      <c r="AA1980" s="82"/>
      <c r="AB1980" s="82"/>
    </row>
    <row r="1981" spans="1:28" s="85" customFormat="1" ht="13.8" thickTop="1" x14ac:dyDescent="0.25">
      <c r="A1981" s="82"/>
      <c r="B1981" s="82"/>
      <c r="C1981" s="82"/>
      <c r="D1981" s="728"/>
      <c r="E1981" s="384" t="s">
        <v>49</v>
      </c>
      <c r="F1981" s="385"/>
      <c r="G1981" s="386"/>
      <c r="H1981" s="387"/>
      <c r="I1981" s="388"/>
      <c r="J1981" s="389">
        <f t="shared" si="264"/>
        <v>0</v>
      </c>
      <c r="K1981" s="218">
        <f t="shared" si="278"/>
        <v>0</v>
      </c>
      <c r="L1981" s="219">
        <f t="shared" si="279"/>
        <v>0</v>
      </c>
      <c r="M1981" s="219">
        <f t="shared" si="280"/>
        <v>0</v>
      </c>
      <c r="N1981" s="219">
        <f t="shared" si="281"/>
        <v>0</v>
      </c>
      <c r="O1981" s="219">
        <f t="shared" si="282"/>
        <v>0</v>
      </c>
      <c r="P1981" s="219">
        <f t="shared" si="283"/>
        <v>0</v>
      </c>
      <c r="Q1981" s="563">
        <f t="shared" si="271"/>
        <v>0</v>
      </c>
      <c r="R1981" s="220"/>
      <c r="T1981" s="82"/>
      <c r="U1981" s="82"/>
      <c r="V1981" s="82"/>
      <c r="W1981" s="82"/>
      <c r="X1981" s="82"/>
      <c r="Y1981" s="82"/>
      <c r="Z1981" s="82"/>
      <c r="AA1981" s="82"/>
      <c r="AB1981" s="82"/>
    </row>
    <row r="1982" spans="1:28" s="85" customFormat="1" x14ac:dyDescent="0.25">
      <c r="A1982" s="82"/>
      <c r="B1982" s="82"/>
      <c r="C1982" s="82"/>
      <c r="D1982" s="729"/>
      <c r="E1982" s="371" t="s">
        <v>49</v>
      </c>
      <c r="F1982" s="372"/>
      <c r="G1982" s="373"/>
      <c r="H1982" s="374"/>
      <c r="I1982" s="375"/>
      <c r="J1982" s="376">
        <f t="shared" si="264"/>
        <v>0</v>
      </c>
      <c r="K1982" s="66">
        <f t="shared" si="278"/>
        <v>0</v>
      </c>
      <c r="L1982" s="63">
        <f t="shared" si="279"/>
        <v>0</v>
      </c>
      <c r="M1982" s="63">
        <f t="shared" si="280"/>
        <v>0</v>
      </c>
      <c r="N1982" s="63">
        <f t="shared" si="281"/>
        <v>0</v>
      </c>
      <c r="O1982" s="63">
        <f t="shared" si="282"/>
        <v>0</v>
      </c>
      <c r="P1982" s="63">
        <f t="shared" si="283"/>
        <v>0</v>
      </c>
      <c r="Q1982" s="561">
        <f t="shared" si="271"/>
        <v>0</v>
      </c>
      <c r="R1982" s="174"/>
      <c r="T1982" s="82"/>
      <c r="U1982" s="82"/>
      <c r="V1982" s="82"/>
      <c r="W1982" s="82"/>
      <c r="X1982" s="82"/>
      <c r="Y1982" s="82"/>
      <c r="Z1982" s="82"/>
      <c r="AA1982" s="82"/>
      <c r="AB1982" s="82"/>
    </row>
    <row r="1983" spans="1:28" s="85" customFormat="1" x14ac:dyDescent="0.25">
      <c r="A1983" s="82"/>
      <c r="B1983" s="82"/>
      <c r="C1983" s="82"/>
      <c r="D1983" s="729"/>
      <c r="E1983" s="371" t="s">
        <v>49</v>
      </c>
      <c r="F1983" s="372"/>
      <c r="G1983" s="373"/>
      <c r="H1983" s="374"/>
      <c r="I1983" s="375"/>
      <c r="J1983" s="376">
        <f t="shared" si="264"/>
        <v>0</v>
      </c>
      <c r="K1983" s="66">
        <f t="shared" si="278"/>
        <v>0</v>
      </c>
      <c r="L1983" s="63">
        <f t="shared" si="279"/>
        <v>0</v>
      </c>
      <c r="M1983" s="63">
        <f t="shared" si="280"/>
        <v>0</v>
      </c>
      <c r="N1983" s="63">
        <f t="shared" si="281"/>
        <v>0</v>
      </c>
      <c r="O1983" s="63">
        <f t="shared" si="282"/>
        <v>0</v>
      </c>
      <c r="P1983" s="63">
        <f t="shared" si="283"/>
        <v>0</v>
      </c>
      <c r="Q1983" s="561">
        <f t="shared" si="271"/>
        <v>0</v>
      </c>
      <c r="R1983" s="174"/>
      <c r="T1983" s="82"/>
      <c r="U1983" s="82"/>
      <c r="V1983" s="82"/>
      <c r="W1983" s="82"/>
      <c r="X1983" s="82"/>
      <c r="Y1983" s="82"/>
      <c r="Z1983" s="82"/>
      <c r="AA1983" s="82"/>
      <c r="AB1983" s="82"/>
    </row>
    <row r="1984" spans="1:28" s="85" customFormat="1" x14ac:dyDescent="0.25">
      <c r="A1984" s="82"/>
      <c r="B1984" s="82"/>
      <c r="C1984" s="82"/>
      <c r="D1984" s="729"/>
      <c r="E1984" s="371" t="s">
        <v>49</v>
      </c>
      <c r="F1984" s="372"/>
      <c r="G1984" s="373"/>
      <c r="H1984" s="374"/>
      <c r="I1984" s="375"/>
      <c r="J1984" s="376">
        <f t="shared" si="264"/>
        <v>0</v>
      </c>
      <c r="K1984" s="66">
        <f t="shared" si="278"/>
        <v>0</v>
      </c>
      <c r="L1984" s="63">
        <f t="shared" si="279"/>
        <v>0</v>
      </c>
      <c r="M1984" s="63">
        <f t="shared" si="280"/>
        <v>0</v>
      </c>
      <c r="N1984" s="63">
        <f t="shared" si="281"/>
        <v>0</v>
      </c>
      <c r="O1984" s="63">
        <f t="shared" si="282"/>
        <v>0</v>
      </c>
      <c r="P1984" s="63">
        <f t="shared" si="283"/>
        <v>0</v>
      </c>
      <c r="Q1984" s="561">
        <f t="shared" si="271"/>
        <v>0</v>
      </c>
      <c r="R1984" s="174"/>
      <c r="T1984" s="82"/>
      <c r="U1984" s="82"/>
      <c r="V1984" s="82"/>
      <c r="W1984" s="82"/>
      <c r="X1984" s="82"/>
      <c r="Y1984" s="82"/>
      <c r="Z1984" s="82"/>
      <c r="AA1984" s="82"/>
      <c r="AB1984" s="82"/>
    </row>
    <row r="1985" spans="1:28" s="85" customFormat="1" x14ac:dyDescent="0.25">
      <c r="A1985" s="82"/>
      <c r="B1985" s="82"/>
      <c r="C1985" s="82"/>
      <c r="D1985" s="729"/>
      <c r="E1985" s="371" t="s">
        <v>113</v>
      </c>
      <c r="F1985" s="372"/>
      <c r="G1985" s="373"/>
      <c r="H1985" s="374"/>
      <c r="I1985" s="375"/>
      <c r="J1985" s="376">
        <f t="shared" si="264"/>
        <v>0</v>
      </c>
      <c r="K1985" s="66">
        <f t="shared" si="278"/>
        <v>0</v>
      </c>
      <c r="L1985" s="63">
        <f t="shared" si="279"/>
        <v>0</v>
      </c>
      <c r="M1985" s="63">
        <f t="shared" si="280"/>
        <v>0</v>
      </c>
      <c r="N1985" s="63">
        <f t="shared" si="281"/>
        <v>0</v>
      </c>
      <c r="O1985" s="63">
        <f t="shared" si="282"/>
        <v>0</v>
      </c>
      <c r="P1985" s="63">
        <f t="shared" si="283"/>
        <v>0</v>
      </c>
      <c r="Q1985" s="561">
        <f t="shared" si="271"/>
        <v>0</v>
      </c>
      <c r="R1985" s="174"/>
      <c r="T1985" s="82"/>
      <c r="U1985" s="82"/>
      <c r="V1985" s="82"/>
      <c r="W1985" s="82"/>
      <c r="X1985" s="82"/>
      <c r="Y1985" s="82"/>
      <c r="Z1985" s="82"/>
      <c r="AA1985" s="82"/>
      <c r="AB1985" s="82"/>
    </row>
    <row r="1986" spans="1:28" s="85" customFormat="1" x14ac:dyDescent="0.25">
      <c r="A1986" s="82"/>
      <c r="B1986" s="82"/>
      <c r="C1986" s="82"/>
      <c r="D1986" s="729"/>
      <c r="E1986" s="371" t="s">
        <v>113</v>
      </c>
      <c r="F1986" s="372"/>
      <c r="G1986" s="373"/>
      <c r="H1986" s="374"/>
      <c r="I1986" s="375"/>
      <c r="J1986" s="376">
        <f t="shared" si="264"/>
        <v>0</v>
      </c>
      <c r="K1986" s="66">
        <f t="shared" si="278"/>
        <v>0</v>
      </c>
      <c r="L1986" s="63">
        <f t="shared" si="279"/>
        <v>0</v>
      </c>
      <c r="M1986" s="63">
        <f t="shared" si="280"/>
        <v>0</v>
      </c>
      <c r="N1986" s="63">
        <f t="shared" si="281"/>
        <v>0</v>
      </c>
      <c r="O1986" s="63">
        <f t="shared" si="282"/>
        <v>0</v>
      </c>
      <c r="P1986" s="63">
        <f t="shared" si="283"/>
        <v>0</v>
      </c>
      <c r="Q1986" s="561">
        <f t="shared" si="271"/>
        <v>0</v>
      </c>
      <c r="R1986" s="174"/>
      <c r="T1986" s="82"/>
      <c r="U1986" s="82"/>
      <c r="V1986" s="82"/>
      <c r="W1986" s="82"/>
      <c r="X1986" s="82"/>
      <c r="Y1986" s="82"/>
      <c r="Z1986" s="82"/>
      <c r="AA1986" s="82"/>
      <c r="AB1986" s="82"/>
    </row>
    <row r="1987" spans="1:28" s="85" customFormat="1" x14ac:dyDescent="0.25">
      <c r="A1987" s="82"/>
      <c r="B1987" s="82"/>
      <c r="C1987" s="82"/>
      <c r="D1987" s="729"/>
      <c r="E1987" s="371" t="s">
        <v>113</v>
      </c>
      <c r="F1987" s="372"/>
      <c r="G1987" s="373"/>
      <c r="H1987" s="374"/>
      <c r="I1987" s="375"/>
      <c r="J1987" s="376">
        <f t="shared" si="264"/>
        <v>0</v>
      </c>
      <c r="K1987" s="66">
        <f t="shared" si="278"/>
        <v>0</v>
      </c>
      <c r="L1987" s="63">
        <f t="shared" si="279"/>
        <v>0</v>
      </c>
      <c r="M1987" s="63">
        <f t="shared" si="280"/>
        <v>0</v>
      </c>
      <c r="N1987" s="63">
        <f t="shared" si="281"/>
        <v>0</v>
      </c>
      <c r="O1987" s="63">
        <f t="shared" si="282"/>
        <v>0</v>
      </c>
      <c r="P1987" s="63">
        <f t="shared" si="283"/>
        <v>0</v>
      </c>
      <c r="Q1987" s="561">
        <f t="shared" si="271"/>
        <v>0</v>
      </c>
      <c r="R1987" s="174"/>
      <c r="T1987" s="82"/>
      <c r="U1987" s="82"/>
      <c r="V1987" s="82"/>
      <c r="W1987" s="82"/>
      <c r="X1987" s="82"/>
      <c r="Y1987" s="82"/>
      <c r="Z1987" s="82"/>
      <c r="AA1987" s="82"/>
      <c r="AB1987" s="82"/>
    </row>
    <row r="1988" spans="1:28" s="85" customFormat="1" x14ac:dyDescent="0.25">
      <c r="A1988" s="82"/>
      <c r="B1988" s="82"/>
      <c r="C1988" s="82"/>
      <c r="D1988" s="729"/>
      <c r="E1988" s="371" t="s">
        <v>113</v>
      </c>
      <c r="F1988" s="372"/>
      <c r="G1988" s="373"/>
      <c r="H1988" s="374"/>
      <c r="I1988" s="375"/>
      <c r="J1988" s="376">
        <f t="shared" si="264"/>
        <v>0</v>
      </c>
      <c r="K1988" s="66">
        <f t="shared" si="278"/>
        <v>0</v>
      </c>
      <c r="L1988" s="63">
        <f t="shared" si="279"/>
        <v>0</v>
      </c>
      <c r="M1988" s="63">
        <f t="shared" si="280"/>
        <v>0</v>
      </c>
      <c r="N1988" s="63">
        <f t="shared" si="281"/>
        <v>0</v>
      </c>
      <c r="O1988" s="63">
        <f t="shared" si="282"/>
        <v>0</v>
      </c>
      <c r="P1988" s="63">
        <f t="shared" si="283"/>
        <v>0</v>
      </c>
      <c r="Q1988" s="561">
        <f t="shared" si="271"/>
        <v>0</v>
      </c>
      <c r="R1988" s="174"/>
      <c r="T1988" s="82"/>
      <c r="U1988" s="82"/>
      <c r="V1988" s="82"/>
      <c r="W1988" s="82"/>
      <c r="X1988" s="82"/>
      <c r="Y1988" s="82"/>
      <c r="Z1988" s="82"/>
      <c r="AA1988" s="82"/>
      <c r="AB1988" s="82"/>
    </row>
    <row r="1989" spans="1:28" s="85" customFormat="1" x14ac:dyDescent="0.25">
      <c r="A1989" s="82"/>
      <c r="B1989" s="82"/>
      <c r="C1989" s="82"/>
      <c r="D1989" s="729"/>
      <c r="E1989" s="396" t="s">
        <v>184</v>
      </c>
      <c r="F1989" s="403"/>
      <c r="G1989" s="397"/>
      <c r="H1989" s="398"/>
      <c r="I1989" s="399"/>
      <c r="J1989" s="400">
        <f t="shared" si="264"/>
        <v>0</v>
      </c>
      <c r="K1989" s="401">
        <f t="shared" si="278"/>
        <v>0</v>
      </c>
      <c r="L1989" s="196">
        <f t="shared" si="279"/>
        <v>0</v>
      </c>
      <c r="M1989" s="196">
        <f t="shared" si="280"/>
        <v>0</v>
      </c>
      <c r="N1989" s="196">
        <f t="shared" si="281"/>
        <v>0</v>
      </c>
      <c r="O1989" s="196">
        <f t="shared" si="282"/>
        <v>0</v>
      </c>
      <c r="P1989" s="196">
        <f t="shared" si="283"/>
        <v>0</v>
      </c>
      <c r="Q1989" s="566">
        <f t="shared" si="271"/>
        <v>0</v>
      </c>
      <c r="R1989" s="538"/>
      <c r="T1989" s="82"/>
      <c r="U1989" s="82"/>
      <c r="V1989" s="82"/>
      <c r="W1989" s="82"/>
      <c r="X1989" s="82"/>
      <c r="Y1989" s="82"/>
      <c r="Z1989" s="82"/>
      <c r="AA1989" s="82"/>
      <c r="AB1989" s="82"/>
    </row>
    <row r="1990" spans="1:28" s="85" customFormat="1" x14ac:dyDescent="0.25">
      <c r="A1990" s="82"/>
      <c r="B1990" s="82"/>
      <c r="C1990" s="82"/>
      <c r="D1990" s="729"/>
      <c r="E1990" s="371" t="s">
        <v>184</v>
      </c>
      <c r="F1990" s="372"/>
      <c r="G1990" s="373"/>
      <c r="H1990" s="374"/>
      <c r="I1990" s="375"/>
      <c r="J1990" s="376">
        <f t="shared" si="264"/>
        <v>0</v>
      </c>
      <c r="K1990" s="66">
        <f t="shared" si="278"/>
        <v>0</v>
      </c>
      <c r="L1990" s="63">
        <f t="shared" si="279"/>
        <v>0</v>
      </c>
      <c r="M1990" s="63">
        <f t="shared" si="280"/>
        <v>0</v>
      </c>
      <c r="N1990" s="63">
        <f t="shared" si="281"/>
        <v>0</v>
      </c>
      <c r="O1990" s="63">
        <f t="shared" si="282"/>
        <v>0</v>
      </c>
      <c r="P1990" s="63">
        <f t="shared" si="283"/>
        <v>0</v>
      </c>
      <c r="Q1990" s="562">
        <f t="shared" si="271"/>
        <v>0</v>
      </c>
      <c r="R1990" s="377"/>
      <c r="T1990" s="82"/>
      <c r="U1990" s="82"/>
      <c r="V1990" s="82"/>
      <c r="W1990" s="82"/>
      <c r="X1990" s="82"/>
      <c r="Y1990" s="82"/>
      <c r="Z1990" s="82"/>
      <c r="AA1990" s="82"/>
      <c r="AB1990" s="82"/>
    </row>
    <row r="1991" spans="1:28" s="85" customFormat="1" x14ac:dyDescent="0.25">
      <c r="A1991" s="82"/>
      <c r="B1991" s="82"/>
      <c r="C1991" s="82"/>
      <c r="D1991" s="729"/>
      <c r="E1991" s="371" t="s">
        <v>184</v>
      </c>
      <c r="F1991" s="372"/>
      <c r="G1991" s="373"/>
      <c r="H1991" s="374"/>
      <c r="I1991" s="375"/>
      <c r="J1991" s="376">
        <f t="shared" si="264"/>
        <v>0</v>
      </c>
      <c r="K1991" s="66">
        <f t="shared" si="278"/>
        <v>0</v>
      </c>
      <c r="L1991" s="63">
        <f t="shared" si="279"/>
        <v>0</v>
      </c>
      <c r="M1991" s="63">
        <f t="shared" si="280"/>
        <v>0</v>
      </c>
      <c r="N1991" s="63">
        <f t="shared" si="281"/>
        <v>0</v>
      </c>
      <c r="O1991" s="63">
        <f t="shared" si="282"/>
        <v>0</v>
      </c>
      <c r="P1991" s="63">
        <f t="shared" si="283"/>
        <v>0</v>
      </c>
      <c r="Q1991" s="562">
        <f t="shared" si="271"/>
        <v>0</v>
      </c>
      <c r="R1991" s="377"/>
      <c r="T1991" s="82"/>
      <c r="U1991" s="82"/>
      <c r="V1991" s="82"/>
      <c r="W1991" s="82"/>
      <c r="X1991" s="82"/>
      <c r="Y1991" s="82"/>
      <c r="Z1991" s="82"/>
      <c r="AA1991" s="82"/>
      <c r="AB1991" s="82"/>
    </row>
    <row r="1992" spans="1:28" s="85" customFormat="1" ht="13.8" thickBot="1" x14ac:dyDescent="0.3">
      <c r="A1992" s="82"/>
      <c r="B1992" s="82"/>
      <c r="C1992" s="82"/>
      <c r="D1992" s="731"/>
      <c r="E1992" s="390" t="s">
        <v>184</v>
      </c>
      <c r="F1992" s="391"/>
      <c r="G1992" s="392"/>
      <c r="H1992" s="393"/>
      <c r="I1992" s="394"/>
      <c r="J1992" s="395">
        <f t="shared" si="264"/>
        <v>0</v>
      </c>
      <c r="K1992" s="221">
        <f t="shared" si="278"/>
        <v>0</v>
      </c>
      <c r="L1992" s="222">
        <f t="shared" si="279"/>
        <v>0</v>
      </c>
      <c r="M1992" s="222">
        <f t="shared" si="280"/>
        <v>0</v>
      </c>
      <c r="N1992" s="222">
        <f t="shared" si="281"/>
        <v>0</v>
      </c>
      <c r="O1992" s="222">
        <f t="shared" si="282"/>
        <v>0</v>
      </c>
      <c r="P1992" s="222">
        <f t="shared" si="283"/>
        <v>0</v>
      </c>
      <c r="Q1992" s="564">
        <f t="shared" si="271"/>
        <v>0</v>
      </c>
      <c r="R1992" s="539"/>
      <c r="T1992" s="82"/>
      <c r="U1992" s="82"/>
      <c r="V1992" s="82"/>
      <c r="W1992" s="82"/>
      <c r="X1992" s="82"/>
      <c r="Y1992" s="82"/>
      <c r="Z1992" s="82"/>
      <c r="AA1992" s="82"/>
      <c r="AB1992" s="82"/>
    </row>
    <row r="1993" spans="1:28" s="85" customFormat="1" ht="13.8" thickTop="1" x14ac:dyDescent="0.25">
      <c r="A1993" s="82"/>
      <c r="B1993" s="82"/>
      <c r="C1993" s="82"/>
      <c r="D1993" s="728"/>
      <c r="E1993" s="384" t="s">
        <v>49</v>
      </c>
      <c r="F1993" s="385"/>
      <c r="G1993" s="386"/>
      <c r="H1993" s="387"/>
      <c r="I1993" s="388"/>
      <c r="J1993" s="389">
        <f t="shared" si="93"/>
        <v>0</v>
      </c>
      <c r="K1993" s="218">
        <f t="shared" ref="K1993:K2056" si="284">IF($H1993=5,$J1993*$B$21,0)</f>
        <v>0</v>
      </c>
      <c r="L1993" s="219">
        <f t="shared" ref="L1993:L2056" si="285">IF($H1993=6.3,$J1993*$B$22,0)</f>
        <v>0</v>
      </c>
      <c r="M1993" s="219">
        <f t="shared" ref="M1993:M2056" si="286">IF($H1993=8,$J1993*$B$23,0)</f>
        <v>0</v>
      </c>
      <c r="N1993" s="219">
        <f t="shared" ref="N1993:N2056" si="287">IF($H1993=10,$J1993*$B$24,0)</f>
        <v>0</v>
      </c>
      <c r="O1993" s="219">
        <f t="shared" ref="O1993:O2056" si="288">IF($H1993=12.5,$J1993*$B$26,0)</f>
        <v>0</v>
      </c>
      <c r="P1993" s="219">
        <f t="shared" ref="P1993:P2056" si="289">IF($H1993=16,$J1993*$B$27,0)</f>
        <v>0</v>
      </c>
      <c r="Q1993" s="563">
        <f t="shared" si="92"/>
        <v>0</v>
      </c>
      <c r="R1993" s="220"/>
      <c r="T1993" s="82"/>
      <c r="U1993" s="82"/>
      <c r="V1993" s="82"/>
      <c r="W1993" s="82"/>
      <c r="X1993" s="82"/>
      <c r="Y1993" s="82"/>
      <c r="Z1993" s="82"/>
      <c r="AA1993" s="82"/>
      <c r="AB1993" s="82"/>
    </row>
    <row r="1994" spans="1:28" s="85" customFormat="1" x14ac:dyDescent="0.25">
      <c r="A1994" s="82"/>
      <c r="B1994" s="82"/>
      <c r="C1994" s="82"/>
      <c r="D1994" s="729"/>
      <c r="E1994" s="371" t="s">
        <v>49</v>
      </c>
      <c r="F1994" s="372"/>
      <c r="G1994" s="373"/>
      <c r="H1994" s="374"/>
      <c r="I1994" s="375"/>
      <c r="J1994" s="376">
        <f t="shared" si="93"/>
        <v>0</v>
      </c>
      <c r="K1994" s="66">
        <f t="shared" si="284"/>
        <v>0</v>
      </c>
      <c r="L1994" s="63">
        <f t="shared" si="285"/>
        <v>0</v>
      </c>
      <c r="M1994" s="63">
        <f t="shared" si="286"/>
        <v>0</v>
      </c>
      <c r="N1994" s="63">
        <f t="shared" si="287"/>
        <v>0</v>
      </c>
      <c r="O1994" s="63">
        <f t="shared" si="288"/>
        <v>0</v>
      </c>
      <c r="P1994" s="63">
        <f t="shared" si="289"/>
        <v>0</v>
      </c>
      <c r="Q1994" s="561">
        <f t="shared" si="92"/>
        <v>0</v>
      </c>
      <c r="R1994" s="174"/>
      <c r="T1994" s="82"/>
      <c r="U1994" s="82"/>
      <c r="V1994" s="82"/>
      <c r="W1994" s="82"/>
      <c r="X1994" s="82"/>
      <c r="Y1994" s="82"/>
      <c r="Z1994" s="82"/>
      <c r="AA1994" s="82"/>
      <c r="AB1994" s="82"/>
    </row>
    <row r="1995" spans="1:28" s="85" customFormat="1" x14ac:dyDescent="0.25">
      <c r="A1995" s="82"/>
      <c r="B1995" s="82"/>
      <c r="C1995" s="82"/>
      <c r="D1995" s="729"/>
      <c r="E1995" s="371" t="s">
        <v>49</v>
      </c>
      <c r="F1995" s="372"/>
      <c r="G1995" s="373"/>
      <c r="H1995" s="374"/>
      <c r="I1995" s="375"/>
      <c r="J1995" s="376">
        <f t="shared" si="93"/>
        <v>0</v>
      </c>
      <c r="K1995" s="66">
        <f t="shared" si="284"/>
        <v>0</v>
      </c>
      <c r="L1995" s="63">
        <f t="shared" si="285"/>
        <v>0</v>
      </c>
      <c r="M1995" s="63">
        <f t="shared" si="286"/>
        <v>0</v>
      </c>
      <c r="N1995" s="63">
        <f t="shared" si="287"/>
        <v>0</v>
      </c>
      <c r="O1995" s="63">
        <f t="shared" si="288"/>
        <v>0</v>
      </c>
      <c r="P1995" s="63">
        <f t="shared" si="289"/>
        <v>0</v>
      </c>
      <c r="Q1995" s="561">
        <f t="shared" si="92"/>
        <v>0</v>
      </c>
      <c r="R1995" s="174"/>
      <c r="T1995" s="82"/>
      <c r="U1995" s="82"/>
      <c r="V1995" s="82"/>
      <c r="W1995" s="82"/>
      <c r="X1995" s="82"/>
      <c r="Y1995" s="82"/>
      <c r="Z1995" s="82"/>
      <c r="AA1995" s="82"/>
      <c r="AB1995" s="82"/>
    </row>
    <row r="1996" spans="1:28" s="85" customFormat="1" x14ac:dyDescent="0.25">
      <c r="A1996" s="82"/>
      <c r="B1996" s="82"/>
      <c r="C1996" s="82"/>
      <c r="D1996" s="729"/>
      <c r="E1996" s="371" t="s">
        <v>49</v>
      </c>
      <c r="F1996" s="372"/>
      <c r="G1996" s="373"/>
      <c r="H1996" s="374"/>
      <c r="I1996" s="375"/>
      <c r="J1996" s="376">
        <f t="shared" si="93"/>
        <v>0</v>
      </c>
      <c r="K1996" s="66">
        <f t="shared" si="284"/>
        <v>0</v>
      </c>
      <c r="L1996" s="63">
        <f t="shared" si="285"/>
        <v>0</v>
      </c>
      <c r="M1996" s="63">
        <f t="shared" si="286"/>
        <v>0</v>
      </c>
      <c r="N1996" s="63">
        <f t="shared" si="287"/>
        <v>0</v>
      </c>
      <c r="O1996" s="63">
        <f t="shared" si="288"/>
        <v>0</v>
      </c>
      <c r="P1996" s="63">
        <f t="shared" si="289"/>
        <v>0</v>
      </c>
      <c r="Q1996" s="561">
        <f t="shared" si="92"/>
        <v>0</v>
      </c>
      <c r="R1996" s="174"/>
      <c r="T1996" s="82"/>
      <c r="U1996" s="82"/>
      <c r="V1996" s="82"/>
      <c r="W1996" s="82"/>
      <c r="X1996" s="82"/>
      <c r="Y1996" s="82"/>
      <c r="Z1996" s="82"/>
      <c r="AA1996" s="82"/>
      <c r="AB1996" s="82"/>
    </row>
    <row r="1997" spans="1:28" s="85" customFormat="1" x14ac:dyDescent="0.25">
      <c r="A1997" s="82"/>
      <c r="B1997" s="82"/>
      <c r="C1997" s="82"/>
      <c r="D1997" s="729"/>
      <c r="E1997" s="371" t="s">
        <v>113</v>
      </c>
      <c r="F1997" s="372"/>
      <c r="G1997" s="373"/>
      <c r="H1997" s="374"/>
      <c r="I1997" s="375"/>
      <c r="J1997" s="376">
        <f t="shared" si="93"/>
        <v>0</v>
      </c>
      <c r="K1997" s="66">
        <f t="shared" si="284"/>
        <v>0</v>
      </c>
      <c r="L1997" s="63">
        <f t="shared" si="285"/>
        <v>0</v>
      </c>
      <c r="M1997" s="63">
        <f t="shared" si="286"/>
        <v>0</v>
      </c>
      <c r="N1997" s="63">
        <f t="shared" si="287"/>
        <v>0</v>
      </c>
      <c r="O1997" s="63">
        <f t="shared" si="288"/>
        <v>0</v>
      </c>
      <c r="P1997" s="63">
        <f t="shared" si="289"/>
        <v>0</v>
      </c>
      <c r="Q1997" s="561">
        <f t="shared" si="92"/>
        <v>0</v>
      </c>
      <c r="R1997" s="174"/>
      <c r="T1997" s="82"/>
      <c r="U1997" s="82"/>
      <c r="V1997" s="82"/>
      <c r="W1997" s="82"/>
      <c r="X1997" s="82"/>
      <c r="Y1997" s="82"/>
      <c r="Z1997" s="82"/>
      <c r="AA1997" s="82"/>
      <c r="AB1997" s="82"/>
    </row>
    <row r="1998" spans="1:28" s="85" customFormat="1" x14ac:dyDescent="0.25">
      <c r="A1998" s="82"/>
      <c r="B1998" s="82"/>
      <c r="C1998" s="82"/>
      <c r="D1998" s="729"/>
      <c r="E1998" s="371" t="s">
        <v>113</v>
      </c>
      <c r="F1998" s="372"/>
      <c r="G1998" s="373"/>
      <c r="H1998" s="374"/>
      <c r="I1998" s="375"/>
      <c r="J1998" s="376">
        <f t="shared" si="93"/>
        <v>0</v>
      </c>
      <c r="K1998" s="66">
        <f t="shared" si="284"/>
        <v>0</v>
      </c>
      <c r="L1998" s="63">
        <f t="shared" si="285"/>
        <v>0</v>
      </c>
      <c r="M1998" s="63">
        <f t="shared" si="286"/>
        <v>0</v>
      </c>
      <c r="N1998" s="63">
        <f t="shared" si="287"/>
        <v>0</v>
      </c>
      <c r="O1998" s="63">
        <f t="shared" si="288"/>
        <v>0</v>
      </c>
      <c r="P1998" s="63">
        <f t="shared" si="289"/>
        <v>0</v>
      </c>
      <c r="Q1998" s="561">
        <f t="shared" si="92"/>
        <v>0</v>
      </c>
      <c r="R1998" s="174"/>
      <c r="T1998" s="82"/>
      <c r="U1998" s="82"/>
      <c r="V1998" s="82"/>
      <c r="W1998" s="82"/>
      <c r="X1998" s="82"/>
      <c r="Y1998" s="82"/>
      <c r="Z1998" s="82"/>
      <c r="AA1998" s="82"/>
      <c r="AB1998" s="82"/>
    </row>
    <row r="1999" spans="1:28" s="85" customFormat="1" x14ac:dyDescent="0.25">
      <c r="A1999" s="82"/>
      <c r="B1999" s="82"/>
      <c r="C1999" s="82"/>
      <c r="D1999" s="729"/>
      <c r="E1999" s="371" t="s">
        <v>113</v>
      </c>
      <c r="F1999" s="372"/>
      <c r="G1999" s="373"/>
      <c r="H1999" s="374"/>
      <c r="I1999" s="375"/>
      <c r="J1999" s="376">
        <f t="shared" si="93"/>
        <v>0</v>
      </c>
      <c r="K1999" s="66">
        <f t="shared" si="284"/>
        <v>0</v>
      </c>
      <c r="L1999" s="63">
        <f t="shared" si="285"/>
        <v>0</v>
      </c>
      <c r="M1999" s="63">
        <f t="shared" si="286"/>
        <v>0</v>
      </c>
      <c r="N1999" s="63">
        <f t="shared" si="287"/>
        <v>0</v>
      </c>
      <c r="O1999" s="63">
        <f t="shared" si="288"/>
        <v>0</v>
      </c>
      <c r="P1999" s="63">
        <f t="shared" si="289"/>
        <v>0</v>
      </c>
      <c r="Q1999" s="561">
        <f t="shared" si="92"/>
        <v>0</v>
      </c>
      <c r="R1999" s="174"/>
      <c r="T1999" s="82"/>
      <c r="U1999" s="82"/>
      <c r="V1999" s="82"/>
      <c r="W1999" s="82"/>
      <c r="X1999" s="82"/>
      <c r="Y1999" s="82"/>
      <c r="Z1999" s="82"/>
      <c r="AA1999" s="82"/>
      <c r="AB1999" s="82"/>
    </row>
    <row r="2000" spans="1:28" s="85" customFormat="1" x14ac:dyDescent="0.25">
      <c r="A2000" s="82"/>
      <c r="B2000" s="82"/>
      <c r="C2000" s="82"/>
      <c r="D2000" s="729"/>
      <c r="E2000" s="371" t="s">
        <v>113</v>
      </c>
      <c r="F2000" s="372"/>
      <c r="G2000" s="373"/>
      <c r="H2000" s="374"/>
      <c r="I2000" s="375"/>
      <c r="J2000" s="376">
        <f t="shared" si="93"/>
        <v>0</v>
      </c>
      <c r="K2000" s="66">
        <f t="shared" si="284"/>
        <v>0</v>
      </c>
      <c r="L2000" s="63">
        <f t="shared" si="285"/>
        <v>0</v>
      </c>
      <c r="M2000" s="63">
        <f t="shared" si="286"/>
        <v>0</v>
      </c>
      <c r="N2000" s="63">
        <f t="shared" si="287"/>
        <v>0</v>
      </c>
      <c r="O2000" s="63">
        <f t="shared" si="288"/>
        <v>0</v>
      </c>
      <c r="P2000" s="63">
        <f t="shared" si="289"/>
        <v>0</v>
      </c>
      <c r="Q2000" s="561">
        <f t="shared" si="92"/>
        <v>0</v>
      </c>
      <c r="R2000" s="174"/>
      <c r="T2000" s="82"/>
      <c r="U2000" s="82"/>
      <c r="V2000" s="82"/>
      <c r="W2000" s="82"/>
      <c r="X2000" s="82"/>
      <c r="Y2000" s="82"/>
      <c r="Z2000" s="82"/>
      <c r="AA2000" s="82"/>
      <c r="AB2000" s="82"/>
    </row>
    <row r="2001" spans="1:28" s="85" customFormat="1" x14ac:dyDescent="0.25">
      <c r="A2001" s="82"/>
      <c r="B2001" s="82"/>
      <c r="C2001" s="82"/>
      <c r="D2001" s="729"/>
      <c r="E2001" s="396" t="s">
        <v>184</v>
      </c>
      <c r="F2001" s="403"/>
      <c r="G2001" s="397"/>
      <c r="H2001" s="398"/>
      <c r="I2001" s="399"/>
      <c r="J2001" s="400">
        <f t="shared" si="93"/>
        <v>0</v>
      </c>
      <c r="K2001" s="401">
        <f t="shared" si="284"/>
        <v>0</v>
      </c>
      <c r="L2001" s="196">
        <f t="shared" si="285"/>
        <v>0</v>
      </c>
      <c r="M2001" s="196">
        <f t="shared" si="286"/>
        <v>0</v>
      </c>
      <c r="N2001" s="196">
        <f t="shared" si="287"/>
        <v>0</v>
      </c>
      <c r="O2001" s="196">
        <f t="shared" si="288"/>
        <v>0</v>
      </c>
      <c r="P2001" s="196">
        <f t="shared" si="289"/>
        <v>0</v>
      </c>
      <c r="Q2001" s="566">
        <f t="shared" si="92"/>
        <v>0</v>
      </c>
      <c r="R2001" s="538"/>
      <c r="T2001" s="82"/>
      <c r="U2001" s="82"/>
      <c r="V2001" s="82"/>
      <c r="W2001" s="82"/>
      <c r="X2001" s="82"/>
      <c r="Y2001" s="82"/>
      <c r="Z2001" s="82"/>
      <c r="AA2001" s="82"/>
      <c r="AB2001" s="82"/>
    </row>
    <row r="2002" spans="1:28" s="85" customFormat="1" x14ac:dyDescent="0.25">
      <c r="A2002" s="82"/>
      <c r="B2002" s="82"/>
      <c r="C2002" s="82"/>
      <c r="D2002" s="729"/>
      <c r="E2002" s="371" t="s">
        <v>184</v>
      </c>
      <c r="F2002" s="372"/>
      <c r="G2002" s="373"/>
      <c r="H2002" s="374"/>
      <c r="I2002" s="375"/>
      <c r="J2002" s="376">
        <f t="shared" si="93"/>
        <v>0</v>
      </c>
      <c r="K2002" s="66">
        <f t="shared" si="284"/>
        <v>0</v>
      </c>
      <c r="L2002" s="63">
        <f t="shared" si="285"/>
        <v>0</v>
      </c>
      <c r="M2002" s="63">
        <f t="shared" si="286"/>
        <v>0</v>
      </c>
      <c r="N2002" s="63">
        <f t="shared" si="287"/>
        <v>0</v>
      </c>
      <c r="O2002" s="63">
        <f t="shared" si="288"/>
        <v>0</v>
      </c>
      <c r="P2002" s="63">
        <f t="shared" si="289"/>
        <v>0</v>
      </c>
      <c r="Q2002" s="562">
        <f t="shared" si="92"/>
        <v>0</v>
      </c>
      <c r="R2002" s="377"/>
      <c r="T2002" s="82"/>
      <c r="U2002" s="82"/>
      <c r="V2002" s="82"/>
      <c r="W2002" s="82"/>
      <c r="X2002" s="82"/>
      <c r="Y2002" s="82"/>
      <c r="Z2002" s="82"/>
      <c r="AA2002" s="82"/>
      <c r="AB2002" s="82"/>
    </row>
    <row r="2003" spans="1:28" s="85" customFormat="1" x14ac:dyDescent="0.25">
      <c r="A2003" s="82"/>
      <c r="B2003" s="82"/>
      <c r="C2003" s="82"/>
      <c r="D2003" s="729"/>
      <c r="E2003" s="371" t="s">
        <v>184</v>
      </c>
      <c r="F2003" s="372"/>
      <c r="G2003" s="373"/>
      <c r="H2003" s="374"/>
      <c r="I2003" s="375"/>
      <c r="J2003" s="376">
        <f t="shared" si="93"/>
        <v>0</v>
      </c>
      <c r="K2003" s="66">
        <f t="shared" si="284"/>
        <v>0</v>
      </c>
      <c r="L2003" s="63">
        <f t="shared" si="285"/>
        <v>0</v>
      </c>
      <c r="M2003" s="63">
        <f t="shared" si="286"/>
        <v>0</v>
      </c>
      <c r="N2003" s="63">
        <f t="shared" si="287"/>
        <v>0</v>
      </c>
      <c r="O2003" s="63">
        <f t="shared" si="288"/>
        <v>0</v>
      </c>
      <c r="P2003" s="63">
        <f t="shared" si="289"/>
        <v>0</v>
      </c>
      <c r="Q2003" s="562">
        <f t="shared" si="92"/>
        <v>0</v>
      </c>
      <c r="R2003" s="377"/>
      <c r="T2003" s="82"/>
      <c r="U2003" s="82"/>
      <c r="V2003" s="82"/>
      <c r="W2003" s="82"/>
      <c r="X2003" s="82"/>
      <c r="Y2003" s="82"/>
      <c r="Z2003" s="82"/>
      <c r="AA2003" s="82"/>
      <c r="AB2003" s="82"/>
    </row>
    <row r="2004" spans="1:28" s="85" customFormat="1" ht="13.8" thickBot="1" x14ac:dyDescent="0.3">
      <c r="A2004" s="82"/>
      <c r="B2004" s="82"/>
      <c r="C2004" s="82"/>
      <c r="D2004" s="731"/>
      <c r="E2004" s="390" t="s">
        <v>184</v>
      </c>
      <c r="F2004" s="391"/>
      <c r="G2004" s="392"/>
      <c r="H2004" s="393"/>
      <c r="I2004" s="394"/>
      <c r="J2004" s="395">
        <f t="shared" si="93"/>
        <v>0</v>
      </c>
      <c r="K2004" s="221">
        <f t="shared" si="284"/>
        <v>0</v>
      </c>
      <c r="L2004" s="222">
        <f t="shared" si="285"/>
        <v>0</v>
      </c>
      <c r="M2004" s="222">
        <f t="shared" si="286"/>
        <v>0</v>
      </c>
      <c r="N2004" s="222">
        <f t="shared" si="287"/>
        <v>0</v>
      </c>
      <c r="O2004" s="222">
        <f t="shared" si="288"/>
        <v>0</v>
      </c>
      <c r="P2004" s="222">
        <f t="shared" si="289"/>
        <v>0</v>
      </c>
      <c r="Q2004" s="564">
        <f t="shared" si="92"/>
        <v>0</v>
      </c>
      <c r="R2004" s="539"/>
      <c r="T2004" s="82"/>
      <c r="U2004" s="82"/>
      <c r="V2004" s="82"/>
      <c r="W2004" s="82"/>
      <c r="X2004" s="82"/>
      <c r="Y2004" s="82"/>
      <c r="Z2004" s="82"/>
      <c r="AA2004" s="82"/>
      <c r="AB2004" s="82"/>
    </row>
    <row r="2005" spans="1:28" s="85" customFormat="1" ht="13.8" thickTop="1" x14ac:dyDescent="0.25">
      <c r="A2005" s="82"/>
      <c r="B2005" s="82"/>
      <c r="C2005" s="82"/>
      <c r="D2005" s="728"/>
      <c r="E2005" s="384" t="s">
        <v>49</v>
      </c>
      <c r="F2005" s="385"/>
      <c r="G2005" s="386"/>
      <c r="H2005" s="387"/>
      <c r="I2005" s="388"/>
      <c r="J2005" s="389">
        <f t="shared" si="93"/>
        <v>0</v>
      </c>
      <c r="K2005" s="218">
        <f t="shared" si="284"/>
        <v>0</v>
      </c>
      <c r="L2005" s="219">
        <f t="shared" si="285"/>
        <v>0</v>
      </c>
      <c r="M2005" s="219">
        <f t="shared" si="286"/>
        <v>0</v>
      </c>
      <c r="N2005" s="219">
        <f t="shared" si="287"/>
        <v>0</v>
      </c>
      <c r="O2005" s="219">
        <f t="shared" si="288"/>
        <v>0</v>
      </c>
      <c r="P2005" s="219">
        <f t="shared" si="289"/>
        <v>0</v>
      </c>
      <c r="Q2005" s="563">
        <f t="shared" si="92"/>
        <v>0</v>
      </c>
      <c r="R2005" s="220"/>
      <c r="T2005" s="82"/>
      <c r="U2005" s="82"/>
      <c r="V2005" s="82"/>
      <c r="W2005" s="82"/>
      <c r="X2005" s="82"/>
      <c r="Y2005" s="82"/>
      <c r="Z2005" s="82"/>
      <c r="AA2005" s="82"/>
      <c r="AB2005" s="82"/>
    </row>
    <row r="2006" spans="1:28" s="85" customFormat="1" x14ac:dyDescent="0.25">
      <c r="A2006" s="82"/>
      <c r="B2006" s="82"/>
      <c r="C2006" s="82"/>
      <c r="D2006" s="729"/>
      <c r="E2006" s="371" t="s">
        <v>49</v>
      </c>
      <c r="F2006" s="372"/>
      <c r="G2006" s="373"/>
      <c r="H2006" s="374"/>
      <c r="I2006" s="375"/>
      <c r="J2006" s="376">
        <f t="shared" si="93"/>
        <v>0</v>
      </c>
      <c r="K2006" s="66">
        <f t="shared" si="284"/>
        <v>0</v>
      </c>
      <c r="L2006" s="63">
        <f t="shared" si="285"/>
        <v>0</v>
      </c>
      <c r="M2006" s="63">
        <f t="shared" si="286"/>
        <v>0</v>
      </c>
      <c r="N2006" s="63">
        <f t="shared" si="287"/>
        <v>0</v>
      </c>
      <c r="O2006" s="63">
        <f t="shared" si="288"/>
        <v>0</v>
      </c>
      <c r="P2006" s="63">
        <f t="shared" si="289"/>
        <v>0</v>
      </c>
      <c r="Q2006" s="561">
        <f t="shared" si="92"/>
        <v>0</v>
      </c>
      <c r="R2006" s="174"/>
      <c r="T2006" s="82"/>
      <c r="U2006" s="82"/>
      <c r="V2006" s="82"/>
      <c r="W2006" s="82"/>
      <c r="X2006" s="82"/>
      <c r="Y2006" s="82"/>
      <c r="Z2006" s="82"/>
      <c r="AA2006" s="82"/>
      <c r="AB2006" s="82"/>
    </row>
    <row r="2007" spans="1:28" s="85" customFormat="1" x14ac:dyDescent="0.25">
      <c r="A2007" s="82"/>
      <c r="B2007" s="82"/>
      <c r="C2007" s="82"/>
      <c r="D2007" s="729"/>
      <c r="E2007" s="371" t="s">
        <v>49</v>
      </c>
      <c r="F2007" s="372"/>
      <c r="G2007" s="373"/>
      <c r="H2007" s="374"/>
      <c r="I2007" s="375"/>
      <c r="J2007" s="376">
        <f t="shared" si="93"/>
        <v>0</v>
      </c>
      <c r="K2007" s="66">
        <f t="shared" si="284"/>
        <v>0</v>
      </c>
      <c r="L2007" s="63">
        <f t="shared" si="285"/>
        <v>0</v>
      </c>
      <c r="M2007" s="63">
        <f t="shared" si="286"/>
        <v>0</v>
      </c>
      <c r="N2007" s="63">
        <f t="shared" si="287"/>
        <v>0</v>
      </c>
      <c r="O2007" s="63">
        <f t="shared" si="288"/>
        <v>0</v>
      </c>
      <c r="P2007" s="63">
        <f t="shared" si="289"/>
        <v>0</v>
      </c>
      <c r="Q2007" s="561">
        <f t="shared" si="92"/>
        <v>0</v>
      </c>
      <c r="R2007" s="174"/>
      <c r="T2007" s="82"/>
      <c r="U2007" s="82"/>
      <c r="V2007" s="82"/>
      <c r="W2007" s="82"/>
      <c r="X2007" s="82"/>
      <c r="Y2007" s="82"/>
      <c r="Z2007" s="82"/>
      <c r="AA2007" s="82"/>
      <c r="AB2007" s="82"/>
    </row>
    <row r="2008" spans="1:28" s="85" customFormat="1" x14ac:dyDescent="0.25">
      <c r="A2008" s="82"/>
      <c r="B2008" s="82"/>
      <c r="C2008" s="82"/>
      <c r="D2008" s="729"/>
      <c r="E2008" s="371" t="s">
        <v>49</v>
      </c>
      <c r="F2008" s="372"/>
      <c r="G2008" s="373"/>
      <c r="H2008" s="374"/>
      <c r="I2008" s="375"/>
      <c r="J2008" s="376">
        <f t="shared" si="93"/>
        <v>0</v>
      </c>
      <c r="K2008" s="66">
        <f t="shared" si="284"/>
        <v>0</v>
      </c>
      <c r="L2008" s="63">
        <f t="shared" si="285"/>
        <v>0</v>
      </c>
      <c r="M2008" s="63">
        <f t="shared" si="286"/>
        <v>0</v>
      </c>
      <c r="N2008" s="63">
        <f t="shared" si="287"/>
        <v>0</v>
      </c>
      <c r="O2008" s="63">
        <f t="shared" si="288"/>
        <v>0</v>
      </c>
      <c r="P2008" s="63">
        <f t="shared" si="289"/>
        <v>0</v>
      </c>
      <c r="Q2008" s="561">
        <f t="shared" si="92"/>
        <v>0</v>
      </c>
      <c r="R2008" s="174"/>
      <c r="T2008" s="82"/>
      <c r="U2008" s="82"/>
      <c r="V2008" s="82"/>
      <c r="W2008" s="82"/>
      <c r="X2008" s="82"/>
      <c r="Y2008" s="82"/>
      <c r="Z2008" s="82"/>
      <c r="AA2008" s="82"/>
      <c r="AB2008" s="82"/>
    </row>
    <row r="2009" spans="1:28" s="85" customFormat="1" x14ac:dyDescent="0.25">
      <c r="A2009" s="82"/>
      <c r="B2009" s="82"/>
      <c r="C2009" s="82"/>
      <c r="D2009" s="729"/>
      <c r="E2009" s="371" t="s">
        <v>113</v>
      </c>
      <c r="F2009" s="372"/>
      <c r="G2009" s="373"/>
      <c r="H2009" s="374"/>
      <c r="I2009" s="375"/>
      <c r="J2009" s="376">
        <f t="shared" si="93"/>
        <v>0</v>
      </c>
      <c r="K2009" s="66">
        <f t="shared" si="284"/>
        <v>0</v>
      </c>
      <c r="L2009" s="63">
        <f t="shared" si="285"/>
        <v>0</v>
      </c>
      <c r="M2009" s="63">
        <f t="shared" si="286"/>
        <v>0</v>
      </c>
      <c r="N2009" s="63">
        <f t="shared" si="287"/>
        <v>0</v>
      </c>
      <c r="O2009" s="63">
        <f t="shared" si="288"/>
        <v>0</v>
      </c>
      <c r="P2009" s="63">
        <f t="shared" si="289"/>
        <v>0</v>
      </c>
      <c r="Q2009" s="561">
        <f t="shared" si="92"/>
        <v>0</v>
      </c>
      <c r="R2009" s="174"/>
      <c r="T2009" s="82"/>
      <c r="U2009" s="82"/>
      <c r="V2009" s="82"/>
      <c r="W2009" s="82"/>
      <c r="X2009" s="82"/>
      <c r="Y2009" s="82"/>
      <c r="Z2009" s="82"/>
      <c r="AA2009" s="82"/>
      <c r="AB2009" s="82"/>
    </row>
    <row r="2010" spans="1:28" s="85" customFormat="1" x14ac:dyDescent="0.25">
      <c r="A2010" s="82"/>
      <c r="B2010" s="82"/>
      <c r="C2010" s="82"/>
      <c r="D2010" s="729"/>
      <c r="E2010" s="371" t="s">
        <v>113</v>
      </c>
      <c r="F2010" s="372"/>
      <c r="G2010" s="373"/>
      <c r="H2010" s="374"/>
      <c r="I2010" s="375"/>
      <c r="J2010" s="376">
        <f t="shared" si="93"/>
        <v>0</v>
      </c>
      <c r="K2010" s="66">
        <f t="shared" si="284"/>
        <v>0</v>
      </c>
      <c r="L2010" s="63">
        <f t="shared" si="285"/>
        <v>0</v>
      </c>
      <c r="M2010" s="63">
        <f t="shared" si="286"/>
        <v>0</v>
      </c>
      <c r="N2010" s="63">
        <f t="shared" si="287"/>
        <v>0</v>
      </c>
      <c r="O2010" s="63">
        <f t="shared" si="288"/>
        <v>0</v>
      </c>
      <c r="P2010" s="63">
        <f t="shared" si="289"/>
        <v>0</v>
      </c>
      <c r="Q2010" s="561">
        <f t="shared" si="92"/>
        <v>0</v>
      </c>
      <c r="R2010" s="174"/>
      <c r="T2010" s="82"/>
      <c r="U2010" s="82"/>
      <c r="V2010" s="82"/>
      <c r="W2010" s="82"/>
      <c r="X2010" s="82"/>
      <c r="Y2010" s="82"/>
      <c r="Z2010" s="82"/>
      <c r="AA2010" s="82"/>
      <c r="AB2010" s="82"/>
    </row>
    <row r="2011" spans="1:28" s="85" customFormat="1" x14ac:dyDescent="0.25">
      <c r="A2011" s="82"/>
      <c r="B2011" s="82"/>
      <c r="C2011" s="82"/>
      <c r="D2011" s="729"/>
      <c r="E2011" s="371" t="s">
        <v>113</v>
      </c>
      <c r="F2011" s="372"/>
      <c r="G2011" s="373"/>
      <c r="H2011" s="374"/>
      <c r="I2011" s="375"/>
      <c r="J2011" s="376">
        <f t="shared" si="93"/>
        <v>0</v>
      </c>
      <c r="K2011" s="66">
        <f t="shared" si="284"/>
        <v>0</v>
      </c>
      <c r="L2011" s="63">
        <f t="shared" si="285"/>
        <v>0</v>
      </c>
      <c r="M2011" s="63">
        <f t="shared" si="286"/>
        <v>0</v>
      </c>
      <c r="N2011" s="63">
        <f t="shared" si="287"/>
        <v>0</v>
      </c>
      <c r="O2011" s="63">
        <f t="shared" si="288"/>
        <v>0</v>
      </c>
      <c r="P2011" s="63">
        <f t="shared" si="289"/>
        <v>0</v>
      </c>
      <c r="Q2011" s="561">
        <f t="shared" si="92"/>
        <v>0</v>
      </c>
      <c r="R2011" s="174"/>
      <c r="T2011" s="82"/>
      <c r="U2011" s="82"/>
      <c r="V2011" s="82"/>
      <c r="W2011" s="82"/>
      <c r="X2011" s="82"/>
      <c r="Y2011" s="82"/>
      <c r="Z2011" s="82"/>
      <c r="AA2011" s="82"/>
      <c r="AB2011" s="82"/>
    </row>
    <row r="2012" spans="1:28" s="85" customFormat="1" x14ac:dyDescent="0.25">
      <c r="A2012" s="82"/>
      <c r="B2012" s="82"/>
      <c r="C2012" s="82"/>
      <c r="D2012" s="729"/>
      <c r="E2012" s="371" t="s">
        <v>113</v>
      </c>
      <c r="F2012" s="372"/>
      <c r="G2012" s="373"/>
      <c r="H2012" s="374"/>
      <c r="I2012" s="375"/>
      <c r="J2012" s="376">
        <f t="shared" si="93"/>
        <v>0</v>
      </c>
      <c r="K2012" s="66">
        <f t="shared" si="284"/>
        <v>0</v>
      </c>
      <c r="L2012" s="63">
        <f t="shared" si="285"/>
        <v>0</v>
      </c>
      <c r="M2012" s="63">
        <f t="shared" si="286"/>
        <v>0</v>
      </c>
      <c r="N2012" s="63">
        <f t="shared" si="287"/>
        <v>0</v>
      </c>
      <c r="O2012" s="63">
        <f t="shared" si="288"/>
        <v>0</v>
      </c>
      <c r="P2012" s="63">
        <f t="shared" si="289"/>
        <v>0</v>
      </c>
      <c r="Q2012" s="561">
        <f t="shared" si="92"/>
        <v>0</v>
      </c>
      <c r="R2012" s="174"/>
      <c r="T2012" s="82"/>
      <c r="U2012" s="82"/>
      <c r="V2012" s="82"/>
      <c r="W2012" s="82"/>
      <c r="X2012" s="82"/>
      <c r="Y2012" s="82"/>
      <c r="Z2012" s="82"/>
      <c r="AA2012" s="82"/>
      <c r="AB2012" s="82"/>
    </row>
    <row r="2013" spans="1:28" s="85" customFormat="1" x14ac:dyDescent="0.25">
      <c r="A2013" s="82"/>
      <c r="B2013" s="82"/>
      <c r="C2013" s="82"/>
      <c r="D2013" s="729"/>
      <c r="E2013" s="396" t="s">
        <v>184</v>
      </c>
      <c r="F2013" s="403"/>
      <c r="G2013" s="397"/>
      <c r="H2013" s="398"/>
      <c r="I2013" s="399"/>
      <c r="J2013" s="400">
        <f t="shared" si="93"/>
        <v>0</v>
      </c>
      <c r="K2013" s="401">
        <f t="shared" si="284"/>
        <v>0</v>
      </c>
      <c r="L2013" s="196">
        <f t="shared" si="285"/>
        <v>0</v>
      </c>
      <c r="M2013" s="196">
        <f t="shared" si="286"/>
        <v>0</v>
      </c>
      <c r="N2013" s="196">
        <f t="shared" si="287"/>
        <v>0</v>
      </c>
      <c r="O2013" s="196">
        <f t="shared" si="288"/>
        <v>0</v>
      </c>
      <c r="P2013" s="196">
        <f t="shared" si="289"/>
        <v>0</v>
      </c>
      <c r="Q2013" s="566">
        <f t="shared" si="92"/>
        <v>0</v>
      </c>
      <c r="R2013" s="538"/>
      <c r="T2013" s="82"/>
      <c r="U2013" s="82"/>
      <c r="V2013" s="82"/>
      <c r="W2013" s="82"/>
      <c r="X2013" s="82"/>
      <c r="Y2013" s="82"/>
      <c r="Z2013" s="82"/>
      <c r="AA2013" s="82"/>
      <c r="AB2013" s="82"/>
    </row>
    <row r="2014" spans="1:28" s="85" customFormat="1" x14ac:dyDescent="0.25">
      <c r="A2014" s="82"/>
      <c r="B2014" s="82"/>
      <c r="C2014" s="82"/>
      <c r="D2014" s="729"/>
      <c r="E2014" s="371" t="s">
        <v>184</v>
      </c>
      <c r="F2014" s="372"/>
      <c r="G2014" s="373"/>
      <c r="H2014" s="374"/>
      <c r="I2014" s="375"/>
      <c r="J2014" s="376">
        <f t="shared" si="93"/>
        <v>0</v>
      </c>
      <c r="K2014" s="66">
        <f t="shared" si="284"/>
        <v>0</v>
      </c>
      <c r="L2014" s="63">
        <f t="shared" si="285"/>
        <v>0</v>
      </c>
      <c r="M2014" s="63">
        <f t="shared" si="286"/>
        <v>0</v>
      </c>
      <c r="N2014" s="63">
        <f t="shared" si="287"/>
        <v>0</v>
      </c>
      <c r="O2014" s="63">
        <f t="shared" si="288"/>
        <v>0</v>
      </c>
      <c r="P2014" s="63">
        <f t="shared" si="289"/>
        <v>0</v>
      </c>
      <c r="Q2014" s="562">
        <f t="shared" si="92"/>
        <v>0</v>
      </c>
      <c r="R2014" s="377"/>
      <c r="T2014" s="82"/>
      <c r="U2014" s="82"/>
      <c r="V2014" s="82"/>
      <c r="W2014" s="82"/>
      <c r="X2014" s="82"/>
      <c r="Y2014" s="82"/>
      <c r="Z2014" s="82"/>
      <c r="AA2014" s="82"/>
      <c r="AB2014" s="82"/>
    </row>
    <row r="2015" spans="1:28" s="85" customFormat="1" x14ac:dyDescent="0.25">
      <c r="A2015" s="82"/>
      <c r="B2015" s="82"/>
      <c r="C2015" s="82"/>
      <c r="D2015" s="729"/>
      <c r="E2015" s="371" t="s">
        <v>184</v>
      </c>
      <c r="F2015" s="372"/>
      <c r="G2015" s="373"/>
      <c r="H2015" s="374"/>
      <c r="I2015" s="375"/>
      <c r="J2015" s="376">
        <f t="shared" si="93"/>
        <v>0</v>
      </c>
      <c r="K2015" s="66">
        <f t="shared" si="284"/>
        <v>0</v>
      </c>
      <c r="L2015" s="63">
        <f t="shared" si="285"/>
        <v>0</v>
      </c>
      <c r="M2015" s="63">
        <f t="shared" si="286"/>
        <v>0</v>
      </c>
      <c r="N2015" s="63">
        <f t="shared" si="287"/>
        <v>0</v>
      </c>
      <c r="O2015" s="63">
        <f t="shared" si="288"/>
        <v>0</v>
      </c>
      <c r="P2015" s="63">
        <f t="shared" si="289"/>
        <v>0</v>
      </c>
      <c r="Q2015" s="562">
        <f t="shared" si="92"/>
        <v>0</v>
      </c>
      <c r="R2015" s="377"/>
      <c r="T2015" s="82"/>
      <c r="U2015" s="82"/>
      <c r="V2015" s="82"/>
      <c r="W2015" s="82"/>
      <c r="X2015" s="82"/>
      <c r="Y2015" s="82"/>
      <c r="Z2015" s="82"/>
      <c r="AA2015" s="82"/>
      <c r="AB2015" s="82"/>
    </row>
    <row r="2016" spans="1:28" s="85" customFormat="1" ht="13.8" thickBot="1" x14ac:dyDescent="0.3">
      <c r="A2016" s="82"/>
      <c r="B2016" s="82"/>
      <c r="C2016" s="82"/>
      <c r="D2016" s="731"/>
      <c r="E2016" s="390" t="s">
        <v>184</v>
      </c>
      <c r="F2016" s="391"/>
      <c r="G2016" s="392"/>
      <c r="H2016" s="393"/>
      <c r="I2016" s="394"/>
      <c r="J2016" s="395">
        <f t="shared" si="93"/>
        <v>0</v>
      </c>
      <c r="K2016" s="221">
        <f t="shared" si="284"/>
        <v>0</v>
      </c>
      <c r="L2016" s="222">
        <f t="shared" si="285"/>
        <v>0</v>
      </c>
      <c r="M2016" s="222">
        <f t="shared" si="286"/>
        <v>0</v>
      </c>
      <c r="N2016" s="222">
        <f t="shared" si="287"/>
        <v>0</v>
      </c>
      <c r="O2016" s="222">
        <f t="shared" si="288"/>
        <v>0</v>
      </c>
      <c r="P2016" s="222">
        <f t="shared" si="289"/>
        <v>0</v>
      </c>
      <c r="Q2016" s="564">
        <f t="shared" si="92"/>
        <v>0</v>
      </c>
      <c r="R2016" s="539"/>
      <c r="T2016" s="82"/>
      <c r="U2016" s="82"/>
      <c r="V2016" s="82"/>
      <c r="W2016" s="82"/>
      <c r="X2016" s="82"/>
      <c r="Y2016" s="82"/>
      <c r="Z2016" s="82"/>
      <c r="AA2016" s="82"/>
      <c r="AB2016" s="82"/>
    </row>
    <row r="2017" spans="1:28" s="85" customFormat="1" ht="13.8" thickTop="1" x14ac:dyDescent="0.25">
      <c r="A2017" s="82"/>
      <c r="B2017" s="82"/>
      <c r="C2017" s="82"/>
      <c r="D2017" s="728"/>
      <c r="E2017" s="384" t="s">
        <v>49</v>
      </c>
      <c r="F2017" s="385"/>
      <c r="G2017" s="386"/>
      <c r="H2017" s="387"/>
      <c r="I2017" s="388"/>
      <c r="J2017" s="389">
        <f t="shared" si="93"/>
        <v>0</v>
      </c>
      <c r="K2017" s="218">
        <f t="shared" si="284"/>
        <v>0</v>
      </c>
      <c r="L2017" s="219">
        <f t="shared" si="285"/>
        <v>0</v>
      </c>
      <c r="M2017" s="219">
        <f t="shared" si="286"/>
        <v>0</v>
      </c>
      <c r="N2017" s="219">
        <f t="shared" si="287"/>
        <v>0</v>
      </c>
      <c r="O2017" s="219">
        <f t="shared" si="288"/>
        <v>0</v>
      </c>
      <c r="P2017" s="219">
        <f t="shared" si="289"/>
        <v>0</v>
      </c>
      <c r="Q2017" s="563">
        <f t="shared" si="92"/>
        <v>0</v>
      </c>
      <c r="R2017" s="220"/>
      <c r="T2017" s="82"/>
      <c r="U2017" s="82"/>
      <c r="V2017" s="82"/>
      <c r="W2017" s="82"/>
      <c r="X2017" s="82"/>
      <c r="Y2017" s="82"/>
      <c r="Z2017" s="82"/>
      <c r="AA2017" s="82"/>
      <c r="AB2017" s="82"/>
    </row>
    <row r="2018" spans="1:28" s="85" customFormat="1" x14ac:dyDescent="0.25">
      <c r="A2018" s="82"/>
      <c r="B2018" s="82"/>
      <c r="C2018" s="82"/>
      <c r="D2018" s="729"/>
      <c r="E2018" s="371" t="s">
        <v>49</v>
      </c>
      <c r="F2018" s="372"/>
      <c r="G2018" s="373"/>
      <c r="H2018" s="374"/>
      <c r="I2018" s="375"/>
      <c r="J2018" s="376">
        <f t="shared" si="93"/>
        <v>0</v>
      </c>
      <c r="K2018" s="66">
        <f t="shared" si="284"/>
        <v>0</v>
      </c>
      <c r="L2018" s="63">
        <f t="shared" si="285"/>
        <v>0</v>
      </c>
      <c r="M2018" s="63">
        <f t="shared" si="286"/>
        <v>0</v>
      </c>
      <c r="N2018" s="63">
        <f t="shared" si="287"/>
        <v>0</v>
      </c>
      <c r="O2018" s="63">
        <f t="shared" si="288"/>
        <v>0</v>
      </c>
      <c r="P2018" s="63">
        <f t="shared" si="289"/>
        <v>0</v>
      </c>
      <c r="Q2018" s="561">
        <f t="shared" si="92"/>
        <v>0</v>
      </c>
      <c r="R2018" s="174"/>
      <c r="T2018" s="82"/>
      <c r="U2018" s="82"/>
      <c r="V2018" s="82"/>
      <c r="W2018" s="82"/>
      <c r="X2018" s="82"/>
      <c r="Y2018" s="82"/>
      <c r="Z2018" s="82"/>
      <c r="AA2018" s="82"/>
      <c r="AB2018" s="82"/>
    </row>
    <row r="2019" spans="1:28" s="85" customFormat="1" x14ac:dyDescent="0.25">
      <c r="A2019" s="82"/>
      <c r="B2019" s="82"/>
      <c r="C2019" s="82"/>
      <c r="D2019" s="729"/>
      <c r="E2019" s="371" t="s">
        <v>49</v>
      </c>
      <c r="F2019" s="372"/>
      <c r="G2019" s="373"/>
      <c r="H2019" s="374"/>
      <c r="I2019" s="375"/>
      <c r="J2019" s="376">
        <f t="shared" si="93"/>
        <v>0</v>
      </c>
      <c r="K2019" s="66">
        <f t="shared" si="284"/>
        <v>0</v>
      </c>
      <c r="L2019" s="63">
        <f t="shared" si="285"/>
        <v>0</v>
      </c>
      <c r="M2019" s="63">
        <f t="shared" si="286"/>
        <v>0</v>
      </c>
      <c r="N2019" s="63">
        <f t="shared" si="287"/>
        <v>0</v>
      </c>
      <c r="O2019" s="63">
        <f t="shared" si="288"/>
        <v>0</v>
      </c>
      <c r="P2019" s="63">
        <f t="shared" si="289"/>
        <v>0</v>
      </c>
      <c r="Q2019" s="561">
        <f t="shared" si="92"/>
        <v>0</v>
      </c>
      <c r="R2019" s="174"/>
      <c r="T2019" s="82"/>
      <c r="U2019" s="82"/>
      <c r="V2019" s="82"/>
      <c r="W2019" s="82"/>
      <c r="X2019" s="82"/>
      <c r="Y2019" s="82"/>
      <c r="Z2019" s="82"/>
      <c r="AA2019" s="82"/>
      <c r="AB2019" s="82"/>
    </row>
    <row r="2020" spans="1:28" s="85" customFormat="1" x14ac:dyDescent="0.25">
      <c r="A2020" s="82"/>
      <c r="B2020" s="82"/>
      <c r="C2020" s="82"/>
      <c r="D2020" s="729"/>
      <c r="E2020" s="371" t="s">
        <v>49</v>
      </c>
      <c r="F2020" s="372"/>
      <c r="G2020" s="373"/>
      <c r="H2020" s="374"/>
      <c r="I2020" s="375"/>
      <c r="J2020" s="376">
        <f t="shared" si="93"/>
        <v>0</v>
      </c>
      <c r="K2020" s="66">
        <f t="shared" si="284"/>
        <v>0</v>
      </c>
      <c r="L2020" s="63">
        <f t="shared" si="285"/>
        <v>0</v>
      </c>
      <c r="M2020" s="63">
        <f t="shared" si="286"/>
        <v>0</v>
      </c>
      <c r="N2020" s="63">
        <f t="shared" si="287"/>
        <v>0</v>
      </c>
      <c r="O2020" s="63">
        <f t="shared" si="288"/>
        <v>0</v>
      </c>
      <c r="P2020" s="63">
        <f t="shared" si="289"/>
        <v>0</v>
      </c>
      <c r="Q2020" s="561">
        <f t="shared" si="92"/>
        <v>0</v>
      </c>
      <c r="R2020" s="174"/>
      <c r="T2020" s="82"/>
      <c r="U2020" s="82"/>
      <c r="V2020" s="82"/>
      <c r="W2020" s="82"/>
      <c r="X2020" s="82"/>
      <c r="Y2020" s="82"/>
      <c r="Z2020" s="82"/>
      <c r="AA2020" s="82"/>
      <c r="AB2020" s="82"/>
    </row>
    <row r="2021" spans="1:28" s="85" customFormat="1" x14ac:dyDescent="0.25">
      <c r="A2021" s="82"/>
      <c r="B2021" s="82"/>
      <c r="C2021" s="82"/>
      <c r="D2021" s="729"/>
      <c r="E2021" s="371" t="s">
        <v>113</v>
      </c>
      <c r="F2021" s="372"/>
      <c r="G2021" s="373"/>
      <c r="H2021" s="374"/>
      <c r="I2021" s="375"/>
      <c r="J2021" s="376">
        <f t="shared" si="93"/>
        <v>0</v>
      </c>
      <c r="K2021" s="66">
        <f t="shared" si="284"/>
        <v>0</v>
      </c>
      <c r="L2021" s="63">
        <f t="shared" si="285"/>
        <v>0</v>
      </c>
      <c r="M2021" s="63">
        <f t="shared" si="286"/>
        <v>0</v>
      </c>
      <c r="N2021" s="63">
        <f t="shared" si="287"/>
        <v>0</v>
      </c>
      <c r="O2021" s="63">
        <f t="shared" si="288"/>
        <v>0</v>
      </c>
      <c r="P2021" s="63">
        <f t="shared" si="289"/>
        <v>0</v>
      </c>
      <c r="Q2021" s="561">
        <f t="shared" si="92"/>
        <v>0</v>
      </c>
      <c r="R2021" s="174"/>
      <c r="T2021" s="82"/>
      <c r="U2021" s="82"/>
      <c r="V2021" s="82"/>
      <c r="W2021" s="82"/>
      <c r="X2021" s="82"/>
      <c r="Y2021" s="82"/>
      <c r="Z2021" s="82"/>
      <c r="AA2021" s="82"/>
      <c r="AB2021" s="82"/>
    </row>
    <row r="2022" spans="1:28" s="85" customFormat="1" x14ac:dyDescent="0.25">
      <c r="A2022" s="82"/>
      <c r="B2022" s="82"/>
      <c r="C2022" s="82"/>
      <c r="D2022" s="729"/>
      <c r="E2022" s="371" t="s">
        <v>113</v>
      </c>
      <c r="F2022" s="372"/>
      <c r="G2022" s="373"/>
      <c r="H2022" s="374"/>
      <c r="I2022" s="375"/>
      <c r="J2022" s="376">
        <f t="shared" si="93"/>
        <v>0</v>
      </c>
      <c r="K2022" s="66">
        <f t="shared" si="284"/>
        <v>0</v>
      </c>
      <c r="L2022" s="63">
        <f t="shared" si="285"/>
        <v>0</v>
      </c>
      <c r="M2022" s="63">
        <f t="shared" si="286"/>
        <v>0</v>
      </c>
      <c r="N2022" s="63">
        <f t="shared" si="287"/>
        <v>0</v>
      </c>
      <c r="O2022" s="63">
        <f t="shared" si="288"/>
        <v>0</v>
      </c>
      <c r="P2022" s="63">
        <f t="shared" si="289"/>
        <v>0</v>
      </c>
      <c r="Q2022" s="561">
        <f t="shared" si="92"/>
        <v>0</v>
      </c>
      <c r="R2022" s="174"/>
      <c r="T2022" s="82"/>
      <c r="U2022" s="82"/>
      <c r="V2022" s="82"/>
      <c r="W2022" s="82"/>
      <c r="X2022" s="82"/>
      <c r="Y2022" s="82"/>
      <c r="Z2022" s="82"/>
      <c r="AA2022" s="82"/>
      <c r="AB2022" s="82"/>
    </row>
    <row r="2023" spans="1:28" s="85" customFormat="1" x14ac:dyDescent="0.25">
      <c r="A2023" s="82"/>
      <c r="B2023" s="82"/>
      <c r="C2023" s="82"/>
      <c r="D2023" s="729"/>
      <c r="E2023" s="371" t="s">
        <v>113</v>
      </c>
      <c r="F2023" s="372"/>
      <c r="G2023" s="373"/>
      <c r="H2023" s="374"/>
      <c r="I2023" s="375"/>
      <c r="J2023" s="376">
        <f t="shared" si="93"/>
        <v>0</v>
      </c>
      <c r="K2023" s="66">
        <f t="shared" si="284"/>
        <v>0</v>
      </c>
      <c r="L2023" s="63">
        <f t="shared" si="285"/>
        <v>0</v>
      </c>
      <c r="M2023" s="63">
        <f t="shared" si="286"/>
        <v>0</v>
      </c>
      <c r="N2023" s="63">
        <f t="shared" si="287"/>
        <v>0</v>
      </c>
      <c r="O2023" s="63">
        <f t="shared" si="288"/>
        <v>0</v>
      </c>
      <c r="P2023" s="63">
        <f t="shared" si="289"/>
        <v>0</v>
      </c>
      <c r="Q2023" s="561">
        <f t="shared" si="92"/>
        <v>0</v>
      </c>
      <c r="R2023" s="174"/>
      <c r="T2023" s="82"/>
      <c r="U2023" s="82"/>
      <c r="V2023" s="82"/>
      <c r="W2023" s="82"/>
      <c r="X2023" s="82"/>
      <c r="Y2023" s="82"/>
      <c r="Z2023" s="82"/>
      <c r="AA2023" s="82"/>
      <c r="AB2023" s="82"/>
    </row>
    <row r="2024" spans="1:28" s="85" customFormat="1" x14ac:dyDescent="0.25">
      <c r="A2024" s="82"/>
      <c r="B2024" s="82"/>
      <c r="C2024" s="82"/>
      <c r="D2024" s="729"/>
      <c r="E2024" s="371" t="s">
        <v>113</v>
      </c>
      <c r="F2024" s="372"/>
      <c r="G2024" s="373"/>
      <c r="H2024" s="374"/>
      <c r="I2024" s="375"/>
      <c r="J2024" s="376">
        <f t="shared" si="93"/>
        <v>0</v>
      </c>
      <c r="K2024" s="66">
        <f t="shared" si="284"/>
        <v>0</v>
      </c>
      <c r="L2024" s="63">
        <f t="shared" si="285"/>
        <v>0</v>
      </c>
      <c r="M2024" s="63">
        <f t="shared" si="286"/>
        <v>0</v>
      </c>
      <c r="N2024" s="63">
        <f t="shared" si="287"/>
        <v>0</v>
      </c>
      <c r="O2024" s="63">
        <f t="shared" si="288"/>
        <v>0</v>
      </c>
      <c r="P2024" s="63">
        <f t="shared" si="289"/>
        <v>0</v>
      </c>
      <c r="Q2024" s="561">
        <f t="shared" si="92"/>
        <v>0</v>
      </c>
      <c r="R2024" s="174"/>
      <c r="T2024" s="82"/>
      <c r="U2024" s="82"/>
      <c r="V2024" s="82"/>
      <c r="W2024" s="82"/>
      <c r="X2024" s="82"/>
      <c r="Y2024" s="82"/>
      <c r="Z2024" s="82"/>
      <c r="AA2024" s="82"/>
      <c r="AB2024" s="82"/>
    </row>
    <row r="2025" spans="1:28" s="85" customFormat="1" x14ac:dyDescent="0.25">
      <c r="A2025" s="82"/>
      <c r="B2025" s="82"/>
      <c r="C2025" s="82"/>
      <c r="D2025" s="729"/>
      <c r="E2025" s="396" t="s">
        <v>184</v>
      </c>
      <c r="F2025" s="403"/>
      <c r="G2025" s="397"/>
      <c r="H2025" s="398"/>
      <c r="I2025" s="399"/>
      <c r="J2025" s="400">
        <f t="shared" si="93"/>
        <v>0</v>
      </c>
      <c r="K2025" s="401">
        <f t="shared" si="284"/>
        <v>0</v>
      </c>
      <c r="L2025" s="196">
        <f t="shared" si="285"/>
        <v>0</v>
      </c>
      <c r="M2025" s="196">
        <f t="shared" si="286"/>
        <v>0</v>
      </c>
      <c r="N2025" s="196">
        <f t="shared" si="287"/>
        <v>0</v>
      </c>
      <c r="O2025" s="196">
        <f t="shared" si="288"/>
        <v>0</v>
      </c>
      <c r="P2025" s="196">
        <f t="shared" si="289"/>
        <v>0</v>
      </c>
      <c r="Q2025" s="566">
        <f t="shared" si="92"/>
        <v>0</v>
      </c>
      <c r="R2025" s="538"/>
      <c r="T2025" s="82"/>
      <c r="U2025" s="82"/>
      <c r="V2025" s="82"/>
      <c r="W2025" s="82"/>
      <c r="X2025" s="82"/>
      <c r="Y2025" s="82"/>
      <c r="Z2025" s="82"/>
      <c r="AA2025" s="82"/>
      <c r="AB2025" s="82"/>
    </row>
    <row r="2026" spans="1:28" s="85" customFormat="1" x14ac:dyDescent="0.25">
      <c r="A2026" s="82"/>
      <c r="B2026" s="82"/>
      <c r="C2026" s="82"/>
      <c r="D2026" s="729"/>
      <c r="E2026" s="371" t="s">
        <v>184</v>
      </c>
      <c r="F2026" s="372"/>
      <c r="G2026" s="373"/>
      <c r="H2026" s="374"/>
      <c r="I2026" s="375"/>
      <c r="J2026" s="376">
        <f t="shared" si="93"/>
        <v>0</v>
      </c>
      <c r="K2026" s="66">
        <f t="shared" si="284"/>
        <v>0</v>
      </c>
      <c r="L2026" s="63">
        <f t="shared" si="285"/>
        <v>0</v>
      </c>
      <c r="M2026" s="63">
        <f t="shared" si="286"/>
        <v>0</v>
      </c>
      <c r="N2026" s="63">
        <f t="shared" si="287"/>
        <v>0</v>
      </c>
      <c r="O2026" s="63">
        <f t="shared" si="288"/>
        <v>0</v>
      </c>
      <c r="P2026" s="63">
        <f t="shared" si="289"/>
        <v>0</v>
      </c>
      <c r="Q2026" s="562">
        <f t="shared" si="92"/>
        <v>0</v>
      </c>
      <c r="R2026" s="377"/>
      <c r="T2026" s="82"/>
      <c r="U2026" s="82"/>
      <c r="V2026" s="82"/>
      <c r="W2026" s="82"/>
      <c r="X2026" s="82"/>
      <c r="Y2026" s="82"/>
      <c r="Z2026" s="82"/>
      <c r="AA2026" s="82"/>
      <c r="AB2026" s="82"/>
    </row>
    <row r="2027" spans="1:28" s="85" customFormat="1" x14ac:dyDescent="0.25">
      <c r="A2027" s="82"/>
      <c r="B2027" s="82"/>
      <c r="C2027" s="82"/>
      <c r="D2027" s="729"/>
      <c r="E2027" s="371" t="s">
        <v>184</v>
      </c>
      <c r="F2027" s="372"/>
      <c r="G2027" s="373"/>
      <c r="H2027" s="374"/>
      <c r="I2027" s="375"/>
      <c r="J2027" s="376">
        <f t="shared" si="93"/>
        <v>0</v>
      </c>
      <c r="K2027" s="66">
        <f t="shared" si="284"/>
        <v>0</v>
      </c>
      <c r="L2027" s="63">
        <f t="shared" si="285"/>
        <v>0</v>
      </c>
      <c r="M2027" s="63">
        <f t="shared" si="286"/>
        <v>0</v>
      </c>
      <c r="N2027" s="63">
        <f t="shared" si="287"/>
        <v>0</v>
      </c>
      <c r="O2027" s="63">
        <f t="shared" si="288"/>
        <v>0</v>
      </c>
      <c r="P2027" s="63">
        <f t="shared" si="289"/>
        <v>0</v>
      </c>
      <c r="Q2027" s="562">
        <f t="shared" si="92"/>
        <v>0</v>
      </c>
      <c r="R2027" s="377"/>
      <c r="T2027" s="82"/>
      <c r="U2027" s="82"/>
      <c r="V2027" s="82"/>
      <c r="W2027" s="82"/>
      <c r="X2027" s="82"/>
      <c r="Y2027" s="82"/>
      <c r="Z2027" s="82"/>
      <c r="AA2027" s="82"/>
      <c r="AB2027" s="82"/>
    </row>
    <row r="2028" spans="1:28" s="85" customFormat="1" ht="13.8" thickBot="1" x14ac:dyDescent="0.3">
      <c r="A2028" s="82"/>
      <c r="B2028" s="82"/>
      <c r="C2028" s="82"/>
      <c r="D2028" s="731"/>
      <c r="E2028" s="390" t="s">
        <v>184</v>
      </c>
      <c r="F2028" s="391"/>
      <c r="G2028" s="392"/>
      <c r="H2028" s="393"/>
      <c r="I2028" s="394"/>
      <c r="J2028" s="395">
        <f t="shared" si="93"/>
        <v>0</v>
      </c>
      <c r="K2028" s="221">
        <f t="shared" si="284"/>
        <v>0</v>
      </c>
      <c r="L2028" s="222">
        <f t="shared" si="285"/>
        <v>0</v>
      </c>
      <c r="M2028" s="222">
        <f t="shared" si="286"/>
        <v>0</v>
      </c>
      <c r="N2028" s="222">
        <f t="shared" si="287"/>
        <v>0</v>
      </c>
      <c r="O2028" s="222">
        <f t="shared" si="288"/>
        <v>0</v>
      </c>
      <c r="P2028" s="222">
        <f t="shared" si="289"/>
        <v>0</v>
      </c>
      <c r="Q2028" s="564">
        <f t="shared" si="92"/>
        <v>0</v>
      </c>
      <c r="R2028" s="539"/>
      <c r="T2028" s="82"/>
      <c r="U2028" s="82"/>
      <c r="V2028" s="82"/>
      <c r="W2028" s="82"/>
      <c r="X2028" s="82"/>
      <c r="Y2028" s="82"/>
      <c r="Z2028" s="82"/>
      <c r="AA2028" s="82"/>
      <c r="AB2028" s="82"/>
    </row>
    <row r="2029" spans="1:28" s="85" customFormat="1" ht="13.8" thickTop="1" x14ac:dyDescent="0.25">
      <c r="A2029" s="82"/>
      <c r="B2029" s="82"/>
      <c r="C2029" s="82"/>
      <c r="D2029" s="728"/>
      <c r="E2029" s="384" t="s">
        <v>49</v>
      </c>
      <c r="F2029" s="385"/>
      <c r="G2029" s="386"/>
      <c r="H2029" s="387"/>
      <c r="I2029" s="388"/>
      <c r="J2029" s="389">
        <f t="shared" si="93"/>
        <v>0</v>
      </c>
      <c r="K2029" s="218">
        <f t="shared" si="284"/>
        <v>0</v>
      </c>
      <c r="L2029" s="219">
        <f t="shared" si="285"/>
        <v>0</v>
      </c>
      <c r="M2029" s="219">
        <f t="shared" si="286"/>
        <v>0</v>
      </c>
      <c r="N2029" s="219">
        <f t="shared" si="287"/>
        <v>0</v>
      </c>
      <c r="O2029" s="219">
        <f t="shared" si="288"/>
        <v>0</v>
      </c>
      <c r="P2029" s="219">
        <f t="shared" si="289"/>
        <v>0</v>
      </c>
      <c r="Q2029" s="563">
        <f t="shared" si="92"/>
        <v>0</v>
      </c>
      <c r="R2029" s="220"/>
      <c r="T2029" s="82"/>
      <c r="U2029" s="82"/>
      <c r="V2029" s="82"/>
      <c r="W2029" s="82"/>
      <c r="X2029" s="82"/>
      <c r="Y2029" s="82"/>
      <c r="Z2029" s="82"/>
      <c r="AA2029" s="82"/>
      <c r="AB2029" s="82"/>
    </row>
    <row r="2030" spans="1:28" s="85" customFormat="1" x14ac:dyDescent="0.25">
      <c r="A2030" s="82"/>
      <c r="B2030" s="82"/>
      <c r="C2030" s="82"/>
      <c r="D2030" s="729"/>
      <c r="E2030" s="371" t="s">
        <v>49</v>
      </c>
      <c r="F2030" s="372"/>
      <c r="G2030" s="373"/>
      <c r="H2030" s="374"/>
      <c r="I2030" s="375"/>
      <c r="J2030" s="376">
        <f t="shared" si="93"/>
        <v>0</v>
      </c>
      <c r="K2030" s="66">
        <f t="shared" si="284"/>
        <v>0</v>
      </c>
      <c r="L2030" s="63">
        <f t="shared" si="285"/>
        <v>0</v>
      </c>
      <c r="M2030" s="63">
        <f t="shared" si="286"/>
        <v>0</v>
      </c>
      <c r="N2030" s="63">
        <f t="shared" si="287"/>
        <v>0</v>
      </c>
      <c r="O2030" s="63">
        <f t="shared" si="288"/>
        <v>0</v>
      </c>
      <c r="P2030" s="63">
        <f t="shared" si="289"/>
        <v>0</v>
      </c>
      <c r="Q2030" s="561">
        <f t="shared" si="92"/>
        <v>0</v>
      </c>
      <c r="R2030" s="174"/>
      <c r="T2030" s="82"/>
      <c r="U2030" s="82"/>
      <c r="V2030" s="82"/>
      <c r="W2030" s="82"/>
      <c r="X2030" s="82"/>
      <c r="Y2030" s="82"/>
      <c r="Z2030" s="82"/>
      <c r="AA2030" s="82"/>
      <c r="AB2030" s="82"/>
    </row>
    <row r="2031" spans="1:28" s="85" customFormat="1" x14ac:dyDescent="0.25">
      <c r="A2031" s="82"/>
      <c r="B2031" s="82"/>
      <c r="C2031" s="82"/>
      <c r="D2031" s="729"/>
      <c r="E2031" s="371" t="s">
        <v>49</v>
      </c>
      <c r="F2031" s="372"/>
      <c r="G2031" s="373"/>
      <c r="H2031" s="374"/>
      <c r="I2031" s="375"/>
      <c r="J2031" s="376">
        <f t="shared" si="93"/>
        <v>0</v>
      </c>
      <c r="K2031" s="66">
        <f t="shared" si="284"/>
        <v>0</v>
      </c>
      <c r="L2031" s="63">
        <f t="shared" si="285"/>
        <v>0</v>
      </c>
      <c r="M2031" s="63">
        <f t="shared" si="286"/>
        <v>0</v>
      </c>
      <c r="N2031" s="63">
        <f t="shared" si="287"/>
        <v>0</v>
      </c>
      <c r="O2031" s="63">
        <f t="shared" si="288"/>
        <v>0</v>
      </c>
      <c r="P2031" s="63">
        <f t="shared" si="289"/>
        <v>0</v>
      </c>
      <c r="Q2031" s="561">
        <f t="shared" si="92"/>
        <v>0</v>
      </c>
      <c r="R2031" s="174"/>
      <c r="T2031" s="82"/>
      <c r="U2031" s="82"/>
      <c r="V2031" s="82"/>
      <c r="W2031" s="82"/>
      <c r="X2031" s="82"/>
      <c r="Y2031" s="82"/>
      <c r="Z2031" s="82"/>
      <c r="AA2031" s="82"/>
      <c r="AB2031" s="82"/>
    </row>
    <row r="2032" spans="1:28" s="85" customFormat="1" x14ac:dyDescent="0.25">
      <c r="A2032" s="82"/>
      <c r="B2032" s="82"/>
      <c r="C2032" s="82"/>
      <c r="D2032" s="729"/>
      <c r="E2032" s="371" t="s">
        <v>49</v>
      </c>
      <c r="F2032" s="372"/>
      <c r="G2032" s="373"/>
      <c r="H2032" s="374"/>
      <c r="I2032" s="375"/>
      <c r="J2032" s="376">
        <f t="shared" si="93"/>
        <v>0</v>
      </c>
      <c r="K2032" s="66">
        <f t="shared" si="284"/>
        <v>0</v>
      </c>
      <c r="L2032" s="63">
        <f t="shared" si="285"/>
        <v>0</v>
      </c>
      <c r="M2032" s="63">
        <f t="shared" si="286"/>
        <v>0</v>
      </c>
      <c r="N2032" s="63">
        <f t="shared" si="287"/>
        <v>0</v>
      </c>
      <c r="O2032" s="63">
        <f t="shared" si="288"/>
        <v>0</v>
      </c>
      <c r="P2032" s="63">
        <f t="shared" si="289"/>
        <v>0</v>
      </c>
      <c r="Q2032" s="561">
        <f t="shared" si="92"/>
        <v>0</v>
      </c>
      <c r="R2032" s="174"/>
      <c r="T2032" s="82"/>
      <c r="U2032" s="82"/>
      <c r="V2032" s="82"/>
      <c r="W2032" s="82"/>
      <c r="X2032" s="82"/>
      <c r="Y2032" s="82"/>
      <c r="Z2032" s="82"/>
      <c r="AA2032" s="82"/>
      <c r="AB2032" s="82"/>
    </row>
    <row r="2033" spans="1:28" s="85" customFormat="1" x14ac:dyDescent="0.25">
      <c r="A2033" s="82"/>
      <c r="B2033" s="82"/>
      <c r="C2033" s="82"/>
      <c r="D2033" s="729"/>
      <c r="E2033" s="371" t="s">
        <v>113</v>
      </c>
      <c r="F2033" s="372"/>
      <c r="G2033" s="373"/>
      <c r="H2033" s="374"/>
      <c r="I2033" s="375"/>
      <c r="J2033" s="376">
        <f t="shared" si="93"/>
        <v>0</v>
      </c>
      <c r="K2033" s="66">
        <f t="shared" si="284"/>
        <v>0</v>
      </c>
      <c r="L2033" s="63">
        <f t="shared" si="285"/>
        <v>0</v>
      </c>
      <c r="M2033" s="63">
        <f t="shared" si="286"/>
        <v>0</v>
      </c>
      <c r="N2033" s="63">
        <f t="shared" si="287"/>
        <v>0</v>
      </c>
      <c r="O2033" s="63">
        <f t="shared" si="288"/>
        <v>0</v>
      </c>
      <c r="P2033" s="63">
        <f t="shared" si="289"/>
        <v>0</v>
      </c>
      <c r="Q2033" s="561">
        <f t="shared" si="92"/>
        <v>0</v>
      </c>
      <c r="R2033" s="174"/>
      <c r="T2033" s="82"/>
      <c r="U2033" s="82"/>
      <c r="V2033" s="82"/>
      <c r="W2033" s="82"/>
      <c r="X2033" s="82"/>
      <c r="Y2033" s="82"/>
      <c r="Z2033" s="82"/>
      <c r="AA2033" s="82"/>
      <c r="AB2033" s="82"/>
    </row>
    <row r="2034" spans="1:28" s="85" customFormat="1" x14ac:dyDescent="0.25">
      <c r="A2034" s="82"/>
      <c r="B2034" s="82"/>
      <c r="C2034" s="82"/>
      <c r="D2034" s="729"/>
      <c r="E2034" s="371" t="s">
        <v>113</v>
      </c>
      <c r="F2034" s="372"/>
      <c r="G2034" s="373"/>
      <c r="H2034" s="374"/>
      <c r="I2034" s="375"/>
      <c r="J2034" s="376">
        <f t="shared" si="93"/>
        <v>0</v>
      </c>
      <c r="K2034" s="66">
        <f t="shared" si="284"/>
        <v>0</v>
      </c>
      <c r="L2034" s="63">
        <f t="shared" si="285"/>
        <v>0</v>
      </c>
      <c r="M2034" s="63">
        <f t="shared" si="286"/>
        <v>0</v>
      </c>
      <c r="N2034" s="63">
        <f t="shared" si="287"/>
        <v>0</v>
      </c>
      <c r="O2034" s="63">
        <f t="shared" si="288"/>
        <v>0</v>
      </c>
      <c r="P2034" s="63">
        <f t="shared" si="289"/>
        <v>0</v>
      </c>
      <c r="Q2034" s="561">
        <f t="shared" si="92"/>
        <v>0</v>
      </c>
      <c r="R2034" s="174"/>
      <c r="T2034" s="82"/>
      <c r="U2034" s="82"/>
      <c r="V2034" s="82"/>
      <c r="W2034" s="82"/>
      <c r="X2034" s="82"/>
      <c r="Y2034" s="82"/>
      <c r="Z2034" s="82"/>
      <c r="AA2034" s="82"/>
      <c r="AB2034" s="82"/>
    </row>
    <row r="2035" spans="1:28" s="85" customFormat="1" x14ac:dyDescent="0.25">
      <c r="A2035" s="82"/>
      <c r="B2035" s="82"/>
      <c r="C2035" s="82"/>
      <c r="D2035" s="729"/>
      <c r="E2035" s="371" t="s">
        <v>113</v>
      </c>
      <c r="F2035" s="372"/>
      <c r="G2035" s="373"/>
      <c r="H2035" s="374"/>
      <c r="I2035" s="375"/>
      <c r="J2035" s="376">
        <f t="shared" si="93"/>
        <v>0</v>
      </c>
      <c r="K2035" s="66">
        <f t="shared" si="284"/>
        <v>0</v>
      </c>
      <c r="L2035" s="63">
        <f t="shared" si="285"/>
        <v>0</v>
      </c>
      <c r="M2035" s="63">
        <f t="shared" si="286"/>
        <v>0</v>
      </c>
      <c r="N2035" s="63">
        <f t="shared" si="287"/>
        <v>0</v>
      </c>
      <c r="O2035" s="63">
        <f t="shared" si="288"/>
        <v>0</v>
      </c>
      <c r="P2035" s="63">
        <f t="shared" si="289"/>
        <v>0</v>
      </c>
      <c r="Q2035" s="561">
        <f t="shared" si="92"/>
        <v>0</v>
      </c>
      <c r="R2035" s="174"/>
      <c r="T2035" s="82"/>
      <c r="U2035" s="82"/>
      <c r="V2035" s="82"/>
      <c r="W2035" s="82"/>
      <c r="X2035" s="82"/>
      <c r="Y2035" s="82"/>
      <c r="Z2035" s="82"/>
      <c r="AA2035" s="82"/>
      <c r="AB2035" s="82"/>
    </row>
    <row r="2036" spans="1:28" s="85" customFormat="1" x14ac:dyDescent="0.25">
      <c r="A2036" s="82"/>
      <c r="B2036" s="82"/>
      <c r="C2036" s="82"/>
      <c r="D2036" s="729"/>
      <c r="E2036" s="371" t="s">
        <v>113</v>
      </c>
      <c r="F2036" s="372"/>
      <c r="G2036" s="373"/>
      <c r="H2036" s="374"/>
      <c r="I2036" s="375"/>
      <c r="J2036" s="376">
        <f t="shared" si="93"/>
        <v>0</v>
      </c>
      <c r="K2036" s="66">
        <f t="shared" si="284"/>
        <v>0</v>
      </c>
      <c r="L2036" s="63">
        <f t="shared" si="285"/>
        <v>0</v>
      </c>
      <c r="M2036" s="63">
        <f t="shared" si="286"/>
        <v>0</v>
      </c>
      <c r="N2036" s="63">
        <f t="shared" si="287"/>
        <v>0</v>
      </c>
      <c r="O2036" s="63">
        <f t="shared" si="288"/>
        <v>0</v>
      </c>
      <c r="P2036" s="63">
        <f t="shared" si="289"/>
        <v>0</v>
      </c>
      <c r="Q2036" s="561">
        <f t="shared" si="92"/>
        <v>0</v>
      </c>
      <c r="R2036" s="174"/>
      <c r="T2036" s="82"/>
      <c r="U2036" s="82"/>
      <c r="V2036" s="82"/>
      <c r="W2036" s="82"/>
      <c r="X2036" s="82"/>
      <c r="Y2036" s="82"/>
      <c r="Z2036" s="82"/>
      <c r="AA2036" s="82"/>
      <c r="AB2036" s="82"/>
    </row>
    <row r="2037" spans="1:28" s="85" customFormat="1" x14ac:dyDescent="0.25">
      <c r="A2037" s="82"/>
      <c r="B2037" s="82"/>
      <c r="C2037" s="82"/>
      <c r="D2037" s="729"/>
      <c r="E2037" s="396" t="s">
        <v>184</v>
      </c>
      <c r="F2037" s="403"/>
      <c r="G2037" s="397"/>
      <c r="H2037" s="398"/>
      <c r="I2037" s="399"/>
      <c r="J2037" s="400">
        <f t="shared" si="93"/>
        <v>0</v>
      </c>
      <c r="K2037" s="401">
        <f t="shared" si="284"/>
        <v>0</v>
      </c>
      <c r="L2037" s="196">
        <f t="shared" si="285"/>
        <v>0</v>
      </c>
      <c r="M2037" s="196">
        <f t="shared" si="286"/>
        <v>0</v>
      </c>
      <c r="N2037" s="196">
        <f t="shared" si="287"/>
        <v>0</v>
      </c>
      <c r="O2037" s="196">
        <f t="shared" si="288"/>
        <v>0</v>
      </c>
      <c r="P2037" s="196">
        <f t="shared" si="289"/>
        <v>0</v>
      </c>
      <c r="Q2037" s="566">
        <f t="shared" si="92"/>
        <v>0</v>
      </c>
      <c r="R2037" s="538"/>
      <c r="T2037" s="82"/>
      <c r="U2037" s="82"/>
      <c r="V2037" s="82"/>
      <c r="W2037" s="82"/>
      <c r="X2037" s="82"/>
      <c r="Y2037" s="82"/>
      <c r="Z2037" s="82"/>
      <c r="AA2037" s="82"/>
      <c r="AB2037" s="82"/>
    </row>
    <row r="2038" spans="1:28" s="85" customFormat="1" x14ac:dyDescent="0.25">
      <c r="A2038" s="82"/>
      <c r="B2038" s="82"/>
      <c r="C2038" s="82"/>
      <c r="D2038" s="729"/>
      <c r="E2038" s="371" t="s">
        <v>184</v>
      </c>
      <c r="F2038" s="372"/>
      <c r="G2038" s="373"/>
      <c r="H2038" s="374"/>
      <c r="I2038" s="375"/>
      <c r="J2038" s="376">
        <f t="shared" si="93"/>
        <v>0</v>
      </c>
      <c r="K2038" s="66">
        <f t="shared" si="284"/>
        <v>0</v>
      </c>
      <c r="L2038" s="63">
        <f t="shared" si="285"/>
        <v>0</v>
      </c>
      <c r="M2038" s="63">
        <f t="shared" si="286"/>
        <v>0</v>
      </c>
      <c r="N2038" s="63">
        <f t="shared" si="287"/>
        <v>0</v>
      </c>
      <c r="O2038" s="63">
        <f t="shared" si="288"/>
        <v>0</v>
      </c>
      <c r="P2038" s="63">
        <f t="shared" si="289"/>
        <v>0</v>
      </c>
      <c r="Q2038" s="562">
        <f t="shared" si="92"/>
        <v>0</v>
      </c>
      <c r="R2038" s="377"/>
      <c r="T2038" s="82"/>
      <c r="U2038" s="82"/>
      <c r="V2038" s="82"/>
      <c r="W2038" s="82"/>
      <c r="X2038" s="82"/>
      <c r="Y2038" s="82"/>
      <c r="Z2038" s="82"/>
      <c r="AA2038" s="82"/>
      <c r="AB2038" s="82"/>
    </row>
    <row r="2039" spans="1:28" s="85" customFormat="1" x14ac:dyDescent="0.25">
      <c r="A2039" s="82"/>
      <c r="B2039" s="82"/>
      <c r="C2039" s="82"/>
      <c r="D2039" s="729"/>
      <c r="E2039" s="371" t="s">
        <v>184</v>
      </c>
      <c r="F2039" s="372"/>
      <c r="G2039" s="373"/>
      <c r="H2039" s="374"/>
      <c r="I2039" s="375"/>
      <c r="J2039" s="376">
        <f t="shared" si="93"/>
        <v>0</v>
      </c>
      <c r="K2039" s="66">
        <f t="shared" si="284"/>
        <v>0</v>
      </c>
      <c r="L2039" s="63">
        <f t="shared" si="285"/>
        <v>0</v>
      </c>
      <c r="M2039" s="63">
        <f t="shared" si="286"/>
        <v>0</v>
      </c>
      <c r="N2039" s="63">
        <f t="shared" si="287"/>
        <v>0</v>
      </c>
      <c r="O2039" s="63">
        <f t="shared" si="288"/>
        <v>0</v>
      </c>
      <c r="P2039" s="63">
        <f t="shared" si="289"/>
        <v>0</v>
      </c>
      <c r="Q2039" s="562">
        <f t="shared" si="92"/>
        <v>0</v>
      </c>
      <c r="R2039" s="377"/>
      <c r="T2039" s="82"/>
      <c r="U2039" s="82"/>
      <c r="V2039" s="82"/>
      <c r="W2039" s="82"/>
      <c r="X2039" s="82"/>
      <c r="Y2039" s="82"/>
      <c r="Z2039" s="82"/>
      <c r="AA2039" s="82"/>
      <c r="AB2039" s="82"/>
    </row>
    <row r="2040" spans="1:28" s="85" customFormat="1" ht="13.8" thickBot="1" x14ac:dyDescent="0.3">
      <c r="A2040" s="82"/>
      <c r="B2040" s="82"/>
      <c r="C2040" s="82"/>
      <c r="D2040" s="731"/>
      <c r="E2040" s="390" t="s">
        <v>184</v>
      </c>
      <c r="F2040" s="391"/>
      <c r="G2040" s="392"/>
      <c r="H2040" s="393"/>
      <c r="I2040" s="394"/>
      <c r="J2040" s="395">
        <f t="shared" si="93"/>
        <v>0</v>
      </c>
      <c r="K2040" s="221">
        <f t="shared" si="284"/>
        <v>0</v>
      </c>
      <c r="L2040" s="222">
        <f t="shared" si="285"/>
        <v>0</v>
      </c>
      <c r="M2040" s="222">
        <f t="shared" si="286"/>
        <v>0</v>
      </c>
      <c r="N2040" s="222">
        <f t="shared" si="287"/>
        <v>0</v>
      </c>
      <c r="O2040" s="222">
        <f t="shared" si="288"/>
        <v>0</v>
      </c>
      <c r="P2040" s="222">
        <f t="shared" si="289"/>
        <v>0</v>
      </c>
      <c r="Q2040" s="564">
        <f t="shared" si="92"/>
        <v>0</v>
      </c>
      <c r="R2040" s="539"/>
      <c r="T2040" s="82"/>
      <c r="U2040" s="82"/>
      <c r="V2040" s="82"/>
      <c r="W2040" s="82"/>
      <c r="X2040" s="82"/>
      <c r="Y2040" s="82"/>
      <c r="Z2040" s="82"/>
      <c r="AA2040" s="82"/>
      <c r="AB2040" s="82"/>
    </row>
    <row r="2041" spans="1:28" s="85" customFormat="1" ht="13.8" thickTop="1" x14ac:dyDescent="0.25">
      <c r="A2041" s="82"/>
      <c r="B2041" s="82"/>
      <c r="C2041" s="82"/>
      <c r="D2041" s="728"/>
      <c r="E2041" s="384" t="s">
        <v>49</v>
      </c>
      <c r="F2041" s="385"/>
      <c r="G2041" s="386"/>
      <c r="H2041" s="387"/>
      <c r="I2041" s="388"/>
      <c r="J2041" s="389">
        <f t="shared" ref="J2041:J2088" si="290">G2041*I2041</f>
        <v>0</v>
      </c>
      <c r="K2041" s="218">
        <f t="shared" si="284"/>
        <v>0</v>
      </c>
      <c r="L2041" s="219">
        <f t="shared" si="285"/>
        <v>0</v>
      </c>
      <c r="M2041" s="219">
        <f t="shared" si="286"/>
        <v>0</v>
      </c>
      <c r="N2041" s="219">
        <f t="shared" si="287"/>
        <v>0</v>
      </c>
      <c r="O2041" s="219">
        <f t="shared" si="288"/>
        <v>0</v>
      </c>
      <c r="P2041" s="219">
        <f t="shared" si="289"/>
        <v>0</v>
      </c>
      <c r="Q2041" s="563">
        <f t="shared" si="92"/>
        <v>0</v>
      </c>
      <c r="R2041" s="220"/>
      <c r="T2041" s="82"/>
      <c r="U2041" s="82"/>
      <c r="V2041" s="82"/>
      <c r="W2041" s="82"/>
      <c r="X2041" s="82"/>
      <c r="Y2041" s="82"/>
      <c r="Z2041" s="82"/>
      <c r="AA2041" s="82"/>
      <c r="AB2041" s="82"/>
    </row>
    <row r="2042" spans="1:28" s="85" customFormat="1" x14ac:dyDescent="0.25">
      <c r="A2042" s="82"/>
      <c r="B2042" s="82"/>
      <c r="C2042" s="82"/>
      <c r="D2042" s="729"/>
      <c r="E2042" s="371" t="s">
        <v>49</v>
      </c>
      <c r="F2042" s="372"/>
      <c r="G2042" s="373"/>
      <c r="H2042" s="374"/>
      <c r="I2042" s="375"/>
      <c r="J2042" s="376">
        <f t="shared" si="290"/>
        <v>0</v>
      </c>
      <c r="K2042" s="66">
        <f t="shared" si="284"/>
        <v>0</v>
      </c>
      <c r="L2042" s="63">
        <f t="shared" si="285"/>
        <v>0</v>
      </c>
      <c r="M2042" s="63">
        <f t="shared" si="286"/>
        <v>0</v>
      </c>
      <c r="N2042" s="63">
        <f t="shared" si="287"/>
        <v>0</v>
      </c>
      <c r="O2042" s="63">
        <f t="shared" si="288"/>
        <v>0</v>
      </c>
      <c r="P2042" s="63">
        <f t="shared" si="289"/>
        <v>0</v>
      </c>
      <c r="Q2042" s="561">
        <f t="shared" si="92"/>
        <v>0</v>
      </c>
      <c r="R2042" s="174"/>
      <c r="T2042" s="82"/>
      <c r="U2042" s="82"/>
      <c r="V2042" s="82"/>
      <c r="W2042" s="82"/>
      <c r="X2042" s="82"/>
      <c r="Y2042" s="82"/>
      <c r="Z2042" s="82"/>
      <c r="AA2042" s="82"/>
      <c r="AB2042" s="82"/>
    </row>
    <row r="2043" spans="1:28" s="85" customFormat="1" x14ac:dyDescent="0.25">
      <c r="A2043" s="82"/>
      <c r="B2043" s="82"/>
      <c r="C2043" s="82"/>
      <c r="D2043" s="729"/>
      <c r="E2043" s="371" t="s">
        <v>49</v>
      </c>
      <c r="F2043" s="372"/>
      <c r="G2043" s="373"/>
      <c r="H2043" s="374"/>
      <c r="I2043" s="375"/>
      <c r="J2043" s="376">
        <f t="shared" si="290"/>
        <v>0</v>
      </c>
      <c r="K2043" s="66">
        <f t="shared" si="284"/>
        <v>0</v>
      </c>
      <c r="L2043" s="63">
        <f t="shared" si="285"/>
        <v>0</v>
      </c>
      <c r="M2043" s="63">
        <f t="shared" si="286"/>
        <v>0</v>
      </c>
      <c r="N2043" s="63">
        <f t="shared" si="287"/>
        <v>0</v>
      </c>
      <c r="O2043" s="63">
        <f t="shared" si="288"/>
        <v>0</v>
      </c>
      <c r="P2043" s="63">
        <f t="shared" si="289"/>
        <v>0</v>
      </c>
      <c r="Q2043" s="561">
        <f t="shared" si="92"/>
        <v>0</v>
      </c>
      <c r="R2043" s="174"/>
      <c r="T2043" s="82"/>
      <c r="U2043" s="82"/>
      <c r="V2043" s="82"/>
      <c r="W2043" s="82"/>
      <c r="X2043" s="82"/>
      <c r="Y2043" s="82"/>
      <c r="Z2043" s="82"/>
      <c r="AA2043" s="82"/>
      <c r="AB2043" s="82"/>
    </row>
    <row r="2044" spans="1:28" s="85" customFormat="1" x14ac:dyDescent="0.25">
      <c r="A2044" s="82"/>
      <c r="B2044" s="82"/>
      <c r="C2044" s="82"/>
      <c r="D2044" s="729"/>
      <c r="E2044" s="371" t="s">
        <v>49</v>
      </c>
      <c r="F2044" s="372"/>
      <c r="G2044" s="373"/>
      <c r="H2044" s="374"/>
      <c r="I2044" s="375"/>
      <c r="J2044" s="376">
        <f t="shared" si="290"/>
        <v>0</v>
      </c>
      <c r="K2044" s="66">
        <f t="shared" si="284"/>
        <v>0</v>
      </c>
      <c r="L2044" s="63">
        <f t="shared" si="285"/>
        <v>0</v>
      </c>
      <c r="M2044" s="63">
        <f t="shared" si="286"/>
        <v>0</v>
      </c>
      <c r="N2044" s="63">
        <f t="shared" si="287"/>
        <v>0</v>
      </c>
      <c r="O2044" s="63">
        <f t="shared" si="288"/>
        <v>0</v>
      </c>
      <c r="P2044" s="63">
        <f t="shared" si="289"/>
        <v>0</v>
      </c>
      <c r="Q2044" s="561">
        <f t="shared" si="92"/>
        <v>0</v>
      </c>
      <c r="R2044" s="174"/>
      <c r="T2044" s="82"/>
      <c r="U2044" s="82"/>
      <c r="V2044" s="82"/>
      <c r="W2044" s="82"/>
      <c r="X2044" s="82"/>
      <c r="Y2044" s="82"/>
      <c r="Z2044" s="82"/>
      <c r="AA2044" s="82"/>
      <c r="AB2044" s="82"/>
    </row>
    <row r="2045" spans="1:28" s="85" customFormat="1" x14ac:dyDescent="0.25">
      <c r="A2045" s="82"/>
      <c r="B2045" s="82"/>
      <c r="C2045" s="82"/>
      <c r="D2045" s="729"/>
      <c r="E2045" s="371" t="s">
        <v>113</v>
      </c>
      <c r="F2045" s="372"/>
      <c r="G2045" s="373"/>
      <c r="H2045" s="374"/>
      <c r="I2045" s="375"/>
      <c r="J2045" s="376">
        <f t="shared" si="290"/>
        <v>0</v>
      </c>
      <c r="K2045" s="66">
        <f t="shared" si="284"/>
        <v>0</v>
      </c>
      <c r="L2045" s="63">
        <f t="shared" si="285"/>
        <v>0</v>
      </c>
      <c r="M2045" s="63">
        <f t="shared" si="286"/>
        <v>0</v>
      </c>
      <c r="N2045" s="63">
        <f t="shared" si="287"/>
        <v>0</v>
      </c>
      <c r="O2045" s="63">
        <f t="shared" si="288"/>
        <v>0</v>
      </c>
      <c r="P2045" s="63">
        <f t="shared" si="289"/>
        <v>0</v>
      </c>
      <c r="Q2045" s="561">
        <f t="shared" si="92"/>
        <v>0</v>
      </c>
      <c r="R2045" s="174"/>
      <c r="T2045" s="82"/>
      <c r="U2045" s="82"/>
      <c r="V2045" s="82"/>
      <c r="W2045" s="82"/>
      <c r="X2045" s="82"/>
      <c r="Y2045" s="82"/>
      <c r="Z2045" s="82"/>
      <c r="AA2045" s="82"/>
      <c r="AB2045" s="82"/>
    </row>
    <row r="2046" spans="1:28" s="85" customFormat="1" x14ac:dyDescent="0.25">
      <c r="A2046" s="82"/>
      <c r="B2046" s="82"/>
      <c r="C2046" s="82"/>
      <c r="D2046" s="729"/>
      <c r="E2046" s="371" t="s">
        <v>113</v>
      </c>
      <c r="F2046" s="372"/>
      <c r="G2046" s="373"/>
      <c r="H2046" s="374"/>
      <c r="I2046" s="375"/>
      <c r="J2046" s="376">
        <f t="shared" si="290"/>
        <v>0</v>
      </c>
      <c r="K2046" s="66">
        <f t="shared" si="284"/>
        <v>0</v>
      </c>
      <c r="L2046" s="63">
        <f t="shared" si="285"/>
        <v>0</v>
      </c>
      <c r="M2046" s="63">
        <f t="shared" si="286"/>
        <v>0</v>
      </c>
      <c r="N2046" s="63">
        <f t="shared" si="287"/>
        <v>0</v>
      </c>
      <c r="O2046" s="63">
        <f t="shared" si="288"/>
        <v>0</v>
      </c>
      <c r="P2046" s="63">
        <f t="shared" si="289"/>
        <v>0</v>
      </c>
      <c r="Q2046" s="561">
        <f t="shared" si="92"/>
        <v>0</v>
      </c>
      <c r="R2046" s="174"/>
      <c r="T2046" s="82"/>
      <c r="U2046" s="82"/>
      <c r="V2046" s="82"/>
      <c r="W2046" s="82"/>
      <c r="X2046" s="82"/>
      <c r="Y2046" s="82"/>
      <c r="Z2046" s="82"/>
      <c r="AA2046" s="82"/>
      <c r="AB2046" s="82"/>
    </row>
    <row r="2047" spans="1:28" s="85" customFormat="1" x14ac:dyDescent="0.25">
      <c r="A2047" s="82"/>
      <c r="B2047" s="82"/>
      <c r="C2047" s="82"/>
      <c r="D2047" s="729"/>
      <c r="E2047" s="371" t="s">
        <v>113</v>
      </c>
      <c r="F2047" s="372"/>
      <c r="G2047" s="373"/>
      <c r="H2047" s="374"/>
      <c r="I2047" s="375"/>
      <c r="J2047" s="376">
        <f t="shared" si="290"/>
        <v>0</v>
      </c>
      <c r="K2047" s="66">
        <f t="shared" si="284"/>
        <v>0</v>
      </c>
      <c r="L2047" s="63">
        <f t="shared" si="285"/>
        <v>0</v>
      </c>
      <c r="M2047" s="63">
        <f t="shared" si="286"/>
        <v>0</v>
      </c>
      <c r="N2047" s="63">
        <f t="shared" si="287"/>
        <v>0</v>
      </c>
      <c r="O2047" s="63">
        <f t="shared" si="288"/>
        <v>0</v>
      </c>
      <c r="P2047" s="63">
        <f t="shared" si="289"/>
        <v>0</v>
      </c>
      <c r="Q2047" s="561">
        <f t="shared" si="92"/>
        <v>0</v>
      </c>
      <c r="R2047" s="174"/>
      <c r="T2047" s="82"/>
      <c r="U2047" s="82"/>
      <c r="V2047" s="82"/>
      <c r="W2047" s="82"/>
      <c r="X2047" s="82"/>
      <c r="Y2047" s="82"/>
      <c r="Z2047" s="82"/>
      <c r="AA2047" s="82"/>
      <c r="AB2047" s="82"/>
    </row>
    <row r="2048" spans="1:28" s="85" customFormat="1" x14ac:dyDescent="0.25">
      <c r="A2048" s="82"/>
      <c r="B2048" s="82"/>
      <c r="C2048" s="82"/>
      <c r="D2048" s="729"/>
      <c r="E2048" s="371" t="s">
        <v>113</v>
      </c>
      <c r="F2048" s="372"/>
      <c r="G2048" s="373"/>
      <c r="H2048" s="374"/>
      <c r="I2048" s="375"/>
      <c r="J2048" s="376">
        <f t="shared" si="290"/>
        <v>0</v>
      </c>
      <c r="K2048" s="66">
        <f t="shared" si="284"/>
        <v>0</v>
      </c>
      <c r="L2048" s="63">
        <f t="shared" si="285"/>
        <v>0</v>
      </c>
      <c r="M2048" s="63">
        <f t="shared" si="286"/>
        <v>0</v>
      </c>
      <c r="N2048" s="63">
        <f t="shared" si="287"/>
        <v>0</v>
      </c>
      <c r="O2048" s="63">
        <f t="shared" si="288"/>
        <v>0</v>
      </c>
      <c r="P2048" s="63">
        <f t="shared" si="289"/>
        <v>0</v>
      </c>
      <c r="Q2048" s="561">
        <f t="shared" si="92"/>
        <v>0</v>
      </c>
      <c r="R2048" s="174"/>
      <c r="T2048" s="82"/>
      <c r="U2048" s="82"/>
      <c r="V2048" s="82"/>
      <c r="W2048" s="82"/>
      <c r="X2048" s="82"/>
      <c r="Y2048" s="82"/>
      <c r="Z2048" s="82"/>
      <c r="AA2048" s="82"/>
      <c r="AB2048" s="82"/>
    </row>
    <row r="2049" spans="1:28" s="85" customFormat="1" x14ac:dyDescent="0.25">
      <c r="A2049" s="82"/>
      <c r="B2049" s="82"/>
      <c r="C2049" s="82"/>
      <c r="D2049" s="729"/>
      <c r="E2049" s="396" t="s">
        <v>184</v>
      </c>
      <c r="F2049" s="403"/>
      <c r="G2049" s="397"/>
      <c r="H2049" s="398"/>
      <c r="I2049" s="399"/>
      <c r="J2049" s="400">
        <f t="shared" si="290"/>
        <v>0</v>
      </c>
      <c r="K2049" s="401">
        <f t="shared" si="284"/>
        <v>0</v>
      </c>
      <c r="L2049" s="196">
        <f t="shared" si="285"/>
        <v>0</v>
      </c>
      <c r="M2049" s="196">
        <f t="shared" si="286"/>
        <v>0</v>
      </c>
      <c r="N2049" s="196">
        <f t="shared" si="287"/>
        <v>0</v>
      </c>
      <c r="O2049" s="196">
        <f t="shared" si="288"/>
        <v>0</v>
      </c>
      <c r="P2049" s="196">
        <f t="shared" si="289"/>
        <v>0</v>
      </c>
      <c r="Q2049" s="566">
        <f t="shared" si="92"/>
        <v>0</v>
      </c>
      <c r="R2049" s="538"/>
      <c r="T2049" s="82"/>
      <c r="U2049" s="82"/>
      <c r="V2049" s="82"/>
      <c r="W2049" s="82"/>
      <c r="X2049" s="82"/>
      <c r="Y2049" s="82"/>
      <c r="Z2049" s="82"/>
      <c r="AA2049" s="82"/>
      <c r="AB2049" s="82"/>
    </row>
    <row r="2050" spans="1:28" s="85" customFormat="1" x14ac:dyDescent="0.25">
      <c r="A2050" s="82"/>
      <c r="B2050" s="82"/>
      <c r="C2050" s="82"/>
      <c r="D2050" s="729"/>
      <c r="E2050" s="371" t="s">
        <v>184</v>
      </c>
      <c r="F2050" s="372"/>
      <c r="G2050" s="373"/>
      <c r="H2050" s="374"/>
      <c r="I2050" s="375"/>
      <c r="J2050" s="376">
        <f t="shared" si="290"/>
        <v>0</v>
      </c>
      <c r="K2050" s="66">
        <f t="shared" si="284"/>
        <v>0</v>
      </c>
      <c r="L2050" s="63">
        <f t="shared" si="285"/>
        <v>0</v>
      </c>
      <c r="M2050" s="63">
        <f t="shared" si="286"/>
        <v>0</v>
      </c>
      <c r="N2050" s="63">
        <f t="shared" si="287"/>
        <v>0</v>
      </c>
      <c r="O2050" s="63">
        <f t="shared" si="288"/>
        <v>0</v>
      </c>
      <c r="P2050" s="63">
        <f t="shared" si="289"/>
        <v>0</v>
      </c>
      <c r="Q2050" s="562">
        <f t="shared" si="92"/>
        <v>0</v>
      </c>
      <c r="R2050" s="377"/>
      <c r="T2050" s="82"/>
      <c r="U2050" s="82"/>
      <c r="V2050" s="82"/>
      <c r="W2050" s="82"/>
      <c r="X2050" s="82"/>
      <c r="Y2050" s="82"/>
      <c r="Z2050" s="82"/>
      <c r="AA2050" s="82"/>
      <c r="AB2050" s="82"/>
    </row>
    <row r="2051" spans="1:28" s="85" customFormat="1" x14ac:dyDescent="0.25">
      <c r="A2051" s="82"/>
      <c r="B2051" s="82"/>
      <c r="C2051" s="82"/>
      <c r="D2051" s="729"/>
      <c r="E2051" s="371" t="s">
        <v>184</v>
      </c>
      <c r="F2051" s="372"/>
      <c r="G2051" s="373"/>
      <c r="H2051" s="374"/>
      <c r="I2051" s="375"/>
      <c r="J2051" s="376">
        <f t="shared" si="290"/>
        <v>0</v>
      </c>
      <c r="K2051" s="66">
        <f t="shared" si="284"/>
        <v>0</v>
      </c>
      <c r="L2051" s="63">
        <f t="shared" si="285"/>
        <v>0</v>
      </c>
      <c r="M2051" s="63">
        <f t="shared" si="286"/>
        <v>0</v>
      </c>
      <c r="N2051" s="63">
        <f t="shared" si="287"/>
        <v>0</v>
      </c>
      <c r="O2051" s="63">
        <f t="shared" si="288"/>
        <v>0</v>
      </c>
      <c r="P2051" s="63">
        <f t="shared" si="289"/>
        <v>0</v>
      </c>
      <c r="Q2051" s="562">
        <f t="shared" si="92"/>
        <v>0</v>
      </c>
      <c r="R2051" s="377"/>
      <c r="T2051" s="82"/>
      <c r="U2051" s="82"/>
      <c r="V2051" s="82"/>
      <c r="W2051" s="82"/>
      <c r="X2051" s="82"/>
      <c r="Y2051" s="82"/>
      <c r="Z2051" s="82"/>
      <c r="AA2051" s="82"/>
      <c r="AB2051" s="82"/>
    </row>
    <row r="2052" spans="1:28" s="85" customFormat="1" ht="13.8" thickBot="1" x14ac:dyDescent="0.3">
      <c r="A2052" s="82"/>
      <c r="B2052" s="82"/>
      <c r="C2052" s="82"/>
      <c r="D2052" s="731"/>
      <c r="E2052" s="390" t="s">
        <v>184</v>
      </c>
      <c r="F2052" s="391"/>
      <c r="G2052" s="392"/>
      <c r="H2052" s="393"/>
      <c r="I2052" s="394"/>
      <c r="J2052" s="395">
        <f t="shared" si="290"/>
        <v>0</v>
      </c>
      <c r="K2052" s="221">
        <f t="shared" si="284"/>
        <v>0</v>
      </c>
      <c r="L2052" s="222">
        <f t="shared" si="285"/>
        <v>0</v>
      </c>
      <c r="M2052" s="222">
        <f t="shared" si="286"/>
        <v>0</v>
      </c>
      <c r="N2052" s="222">
        <f t="shared" si="287"/>
        <v>0</v>
      </c>
      <c r="O2052" s="222">
        <f t="shared" si="288"/>
        <v>0</v>
      </c>
      <c r="P2052" s="222">
        <f t="shared" si="289"/>
        <v>0</v>
      </c>
      <c r="Q2052" s="564">
        <f t="shared" si="92"/>
        <v>0</v>
      </c>
      <c r="R2052" s="539"/>
      <c r="T2052" s="82"/>
      <c r="U2052" s="82"/>
      <c r="V2052" s="82"/>
      <c r="W2052" s="82"/>
      <c r="X2052" s="82"/>
      <c r="Y2052" s="82"/>
      <c r="Z2052" s="82"/>
      <c r="AA2052" s="82"/>
      <c r="AB2052" s="82"/>
    </row>
    <row r="2053" spans="1:28" s="85" customFormat="1" ht="13.8" thickTop="1" x14ac:dyDescent="0.25">
      <c r="A2053" s="82"/>
      <c r="B2053" s="82"/>
      <c r="C2053" s="82"/>
      <c r="D2053" s="728"/>
      <c r="E2053" s="384" t="s">
        <v>49</v>
      </c>
      <c r="F2053" s="385"/>
      <c r="G2053" s="386"/>
      <c r="H2053" s="387"/>
      <c r="I2053" s="388"/>
      <c r="J2053" s="389">
        <f t="shared" si="290"/>
        <v>0</v>
      </c>
      <c r="K2053" s="218">
        <f t="shared" si="284"/>
        <v>0</v>
      </c>
      <c r="L2053" s="219">
        <f t="shared" si="285"/>
        <v>0</v>
      </c>
      <c r="M2053" s="219">
        <f t="shared" si="286"/>
        <v>0</v>
      </c>
      <c r="N2053" s="219">
        <f t="shared" si="287"/>
        <v>0</v>
      </c>
      <c r="O2053" s="219">
        <f t="shared" si="288"/>
        <v>0</v>
      </c>
      <c r="P2053" s="219">
        <f t="shared" si="289"/>
        <v>0</v>
      </c>
      <c r="Q2053" s="563">
        <f t="shared" si="92"/>
        <v>0</v>
      </c>
      <c r="R2053" s="220"/>
      <c r="T2053" s="82"/>
      <c r="U2053" s="82"/>
      <c r="V2053" s="82"/>
      <c r="W2053" s="82"/>
      <c r="X2053" s="82"/>
      <c r="Y2053" s="82"/>
      <c r="Z2053" s="82"/>
      <c r="AA2053" s="82"/>
      <c r="AB2053" s="82"/>
    </row>
    <row r="2054" spans="1:28" s="85" customFormat="1" x14ac:dyDescent="0.25">
      <c r="A2054" s="82"/>
      <c r="B2054" s="82"/>
      <c r="C2054" s="82"/>
      <c r="D2054" s="729"/>
      <c r="E2054" s="371" t="s">
        <v>49</v>
      </c>
      <c r="F2054" s="372"/>
      <c r="G2054" s="373"/>
      <c r="H2054" s="374"/>
      <c r="I2054" s="375"/>
      <c r="J2054" s="376">
        <f t="shared" si="290"/>
        <v>0</v>
      </c>
      <c r="K2054" s="66">
        <f t="shared" si="284"/>
        <v>0</v>
      </c>
      <c r="L2054" s="63">
        <f t="shared" si="285"/>
        <v>0</v>
      </c>
      <c r="M2054" s="63">
        <f t="shared" si="286"/>
        <v>0</v>
      </c>
      <c r="N2054" s="63">
        <f t="shared" si="287"/>
        <v>0</v>
      </c>
      <c r="O2054" s="63">
        <f t="shared" si="288"/>
        <v>0</v>
      </c>
      <c r="P2054" s="63">
        <f t="shared" si="289"/>
        <v>0</v>
      </c>
      <c r="Q2054" s="561">
        <f t="shared" si="92"/>
        <v>0</v>
      </c>
      <c r="R2054" s="174"/>
      <c r="T2054" s="82"/>
      <c r="U2054" s="82"/>
      <c r="V2054" s="82"/>
      <c r="W2054" s="82"/>
      <c r="X2054" s="82"/>
      <c r="Y2054" s="82"/>
      <c r="Z2054" s="82"/>
      <c r="AA2054" s="82"/>
      <c r="AB2054" s="82"/>
    </row>
    <row r="2055" spans="1:28" s="85" customFormat="1" x14ac:dyDescent="0.25">
      <c r="A2055" s="82"/>
      <c r="B2055" s="82"/>
      <c r="C2055" s="82"/>
      <c r="D2055" s="729"/>
      <c r="E2055" s="371" t="s">
        <v>49</v>
      </c>
      <c r="F2055" s="372"/>
      <c r="G2055" s="373"/>
      <c r="H2055" s="374"/>
      <c r="I2055" s="375"/>
      <c r="J2055" s="376">
        <f t="shared" si="290"/>
        <v>0</v>
      </c>
      <c r="K2055" s="66">
        <f t="shared" si="284"/>
        <v>0</v>
      </c>
      <c r="L2055" s="63">
        <f t="shared" si="285"/>
        <v>0</v>
      </c>
      <c r="M2055" s="63">
        <f t="shared" si="286"/>
        <v>0</v>
      </c>
      <c r="N2055" s="63">
        <f t="shared" si="287"/>
        <v>0</v>
      </c>
      <c r="O2055" s="63">
        <f t="shared" si="288"/>
        <v>0</v>
      </c>
      <c r="P2055" s="63">
        <f t="shared" si="289"/>
        <v>0</v>
      </c>
      <c r="Q2055" s="561">
        <f t="shared" si="92"/>
        <v>0</v>
      </c>
      <c r="R2055" s="174"/>
      <c r="T2055" s="82"/>
      <c r="U2055" s="82"/>
      <c r="V2055" s="82"/>
      <c r="W2055" s="82"/>
      <c r="X2055" s="82"/>
      <c r="Y2055" s="82"/>
      <c r="Z2055" s="82"/>
      <c r="AA2055" s="82"/>
      <c r="AB2055" s="82"/>
    </row>
    <row r="2056" spans="1:28" s="85" customFormat="1" x14ac:dyDescent="0.25">
      <c r="A2056" s="82"/>
      <c r="B2056" s="82"/>
      <c r="C2056" s="82"/>
      <c r="D2056" s="729"/>
      <c r="E2056" s="371" t="s">
        <v>49</v>
      </c>
      <c r="F2056" s="372"/>
      <c r="G2056" s="373"/>
      <c r="H2056" s="374"/>
      <c r="I2056" s="375"/>
      <c r="J2056" s="376">
        <f t="shared" si="290"/>
        <v>0</v>
      </c>
      <c r="K2056" s="66">
        <f t="shared" si="284"/>
        <v>0</v>
      </c>
      <c r="L2056" s="63">
        <f t="shared" si="285"/>
        <v>0</v>
      </c>
      <c r="M2056" s="63">
        <f t="shared" si="286"/>
        <v>0</v>
      </c>
      <c r="N2056" s="63">
        <f t="shared" si="287"/>
        <v>0</v>
      </c>
      <c r="O2056" s="63">
        <f t="shared" si="288"/>
        <v>0</v>
      </c>
      <c r="P2056" s="63">
        <f t="shared" si="289"/>
        <v>0</v>
      </c>
      <c r="Q2056" s="561">
        <f t="shared" si="92"/>
        <v>0</v>
      </c>
      <c r="R2056" s="174"/>
      <c r="T2056" s="82"/>
      <c r="U2056" s="82"/>
      <c r="V2056" s="82"/>
      <c r="W2056" s="82"/>
      <c r="X2056" s="82"/>
      <c r="Y2056" s="82"/>
      <c r="Z2056" s="82"/>
      <c r="AA2056" s="82"/>
      <c r="AB2056" s="82"/>
    </row>
    <row r="2057" spans="1:28" s="85" customFormat="1" x14ac:dyDescent="0.25">
      <c r="A2057" s="82"/>
      <c r="B2057" s="82"/>
      <c r="C2057" s="82"/>
      <c r="D2057" s="729"/>
      <c r="E2057" s="371" t="s">
        <v>113</v>
      </c>
      <c r="F2057" s="372"/>
      <c r="G2057" s="373"/>
      <c r="H2057" s="374"/>
      <c r="I2057" s="375"/>
      <c r="J2057" s="376">
        <f t="shared" si="290"/>
        <v>0</v>
      </c>
      <c r="K2057" s="66">
        <f t="shared" ref="K2057:K2088" si="291">IF($H2057=5,$J2057*$B$21,0)</f>
        <v>0</v>
      </c>
      <c r="L2057" s="63">
        <f t="shared" ref="L2057:L2088" si="292">IF($H2057=6.3,$J2057*$B$22,0)</f>
        <v>0</v>
      </c>
      <c r="M2057" s="63">
        <f t="shared" ref="M2057:M2088" si="293">IF($H2057=8,$J2057*$B$23,0)</f>
        <v>0</v>
      </c>
      <c r="N2057" s="63">
        <f t="shared" ref="N2057:N2088" si="294">IF($H2057=10,$J2057*$B$24,0)</f>
        <v>0</v>
      </c>
      <c r="O2057" s="63">
        <f t="shared" ref="O2057:O2088" si="295">IF($H2057=12.5,$J2057*$B$26,0)</f>
        <v>0</v>
      </c>
      <c r="P2057" s="63">
        <f t="shared" ref="P2057:P2088" si="296">IF($H2057=16,$J2057*$B$27,0)</f>
        <v>0</v>
      </c>
      <c r="Q2057" s="561">
        <f t="shared" si="92"/>
        <v>0</v>
      </c>
      <c r="R2057" s="174"/>
      <c r="T2057" s="82"/>
      <c r="U2057" s="82"/>
      <c r="V2057" s="82"/>
      <c r="W2057" s="82"/>
      <c r="X2057" s="82"/>
      <c r="Y2057" s="82"/>
      <c r="Z2057" s="82"/>
      <c r="AA2057" s="82"/>
      <c r="AB2057" s="82"/>
    </row>
    <row r="2058" spans="1:28" s="85" customFormat="1" x14ac:dyDescent="0.25">
      <c r="A2058" s="82"/>
      <c r="B2058" s="82"/>
      <c r="C2058" s="82"/>
      <c r="D2058" s="729"/>
      <c r="E2058" s="371" t="s">
        <v>113</v>
      </c>
      <c r="F2058" s="372"/>
      <c r="G2058" s="373"/>
      <c r="H2058" s="374"/>
      <c r="I2058" s="375"/>
      <c r="J2058" s="376">
        <f t="shared" si="290"/>
        <v>0</v>
      </c>
      <c r="K2058" s="66">
        <f t="shared" si="291"/>
        <v>0</v>
      </c>
      <c r="L2058" s="63">
        <f t="shared" si="292"/>
        <v>0</v>
      </c>
      <c r="M2058" s="63">
        <f t="shared" si="293"/>
        <v>0</v>
      </c>
      <c r="N2058" s="63">
        <f t="shared" si="294"/>
        <v>0</v>
      </c>
      <c r="O2058" s="63">
        <f t="shared" si="295"/>
        <v>0</v>
      </c>
      <c r="P2058" s="63">
        <f t="shared" si="296"/>
        <v>0</v>
      </c>
      <c r="Q2058" s="561">
        <f t="shared" si="92"/>
        <v>0</v>
      </c>
      <c r="R2058" s="174"/>
      <c r="T2058" s="82"/>
      <c r="U2058" s="82"/>
      <c r="V2058" s="82"/>
      <c r="W2058" s="82"/>
      <c r="X2058" s="82"/>
      <c r="Y2058" s="82"/>
      <c r="Z2058" s="82"/>
      <c r="AA2058" s="82"/>
      <c r="AB2058" s="82"/>
    </row>
    <row r="2059" spans="1:28" s="85" customFormat="1" x14ac:dyDescent="0.25">
      <c r="A2059" s="82"/>
      <c r="B2059" s="82"/>
      <c r="C2059" s="82"/>
      <c r="D2059" s="729"/>
      <c r="E2059" s="371" t="s">
        <v>113</v>
      </c>
      <c r="F2059" s="372"/>
      <c r="G2059" s="373"/>
      <c r="H2059" s="374"/>
      <c r="I2059" s="375"/>
      <c r="J2059" s="376">
        <f t="shared" si="290"/>
        <v>0</v>
      </c>
      <c r="K2059" s="66">
        <f t="shared" si="291"/>
        <v>0</v>
      </c>
      <c r="L2059" s="63">
        <f t="shared" si="292"/>
        <v>0</v>
      </c>
      <c r="M2059" s="63">
        <f t="shared" si="293"/>
        <v>0</v>
      </c>
      <c r="N2059" s="63">
        <f t="shared" si="294"/>
        <v>0</v>
      </c>
      <c r="O2059" s="63">
        <f t="shared" si="295"/>
        <v>0</v>
      </c>
      <c r="P2059" s="63">
        <f t="shared" si="296"/>
        <v>0</v>
      </c>
      <c r="Q2059" s="561">
        <f t="shared" si="92"/>
        <v>0</v>
      </c>
      <c r="R2059" s="174"/>
      <c r="T2059" s="82"/>
      <c r="U2059" s="82"/>
      <c r="V2059" s="82"/>
      <c r="W2059" s="82"/>
      <c r="X2059" s="82"/>
      <c r="Y2059" s="82"/>
      <c r="Z2059" s="82"/>
      <c r="AA2059" s="82"/>
      <c r="AB2059" s="82"/>
    </row>
    <row r="2060" spans="1:28" s="85" customFormat="1" x14ac:dyDescent="0.25">
      <c r="A2060" s="82"/>
      <c r="B2060" s="82"/>
      <c r="C2060" s="82"/>
      <c r="D2060" s="729"/>
      <c r="E2060" s="371" t="s">
        <v>113</v>
      </c>
      <c r="F2060" s="372"/>
      <c r="G2060" s="373"/>
      <c r="H2060" s="374"/>
      <c r="I2060" s="375"/>
      <c r="J2060" s="376">
        <f t="shared" si="290"/>
        <v>0</v>
      </c>
      <c r="K2060" s="66">
        <f t="shared" si="291"/>
        <v>0</v>
      </c>
      <c r="L2060" s="63">
        <f t="shared" si="292"/>
        <v>0</v>
      </c>
      <c r="M2060" s="63">
        <f t="shared" si="293"/>
        <v>0</v>
      </c>
      <c r="N2060" s="63">
        <f t="shared" si="294"/>
        <v>0</v>
      </c>
      <c r="O2060" s="63">
        <f t="shared" si="295"/>
        <v>0</v>
      </c>
      <c r="P2060" s="63">
        <f t="shared" si="296"/>
        <v>0</v>
      </c>
      <c r="Q2060" s="561">
        <f t="shared" si="92"/>
        <v>0</v>
      </c>
      <c r="R2060" s="174"/>
      <c r="T2060" s="82"/>
      <c r="U2060" s="82"/>
      <c r="V2060" s="82"/>
      <c r="W2060" s="82"/>
      <c r="X2060" s="82"/>
      <c r="Y2060" s="82"/>
      <c r="Z2060" s="82"/>
      <c r="AA2060" s="82"/>
      <c r="AB2060" s="82"/>
    </row>
    <row r="2061" spans="1:28" s="85" customFormat="1" x14ac:dyDescent="0.25">
      <c r="A2061" s="82"/>
      <c r="B2061" s="82"/>
      <c r="C2061" s="82"/>
      <c r="D2061" s="729"/>
      <c r="E2061" s="396" t="s">
        <v>184</v>
      </c>
      <c r="F2061" s="403"/>
      <c r="G2061" s="397"/>
      <c r="H2061" s="398"/>
      <c r="I2061" s="399"/>
      <c r="J2061" s="400">
        <f t="shared" si="290"/>
        <v>0</v>
      </c>
      <c r="K2061" s="401">
        <f t="shared" si="291"/>
        <v>0</v>
      </c>
      <c r="L2061" s="196">
        <f t="shared" si="292"/>
        <v>0</v>
      </c>
      <c r="M2061" s="196">
        <f t="shared" si="293"/>
        <v>0</v>
      </c>
      <c r="N2061" s="196">
        <f t="shared" si="294"/>
        <v>0</v>
      </c>
      <c r="O2061" s="196">
        <f t="shared" si="295"/>
        <v>0</v>
      </c>
      <c r="P2061" s="196">
        <f t="shared" si="296"/>
        <v>0</v>
      </c>
      <c r="Q2061" s="566">
        <f t="shared" si="92"/>
        <v>0</v>
      </c>
      <c r="R2061" s="538"/>
      <c r="T2061" s="82"/>
      <c r="U2061" s="82"/>
      <c r="V2061" s="82"/>
      <c r="W2061" s="82"/>
      <c r="X2061" s="82"/>
      <c r="Y2061" s="82"/>
      <c r="Z2061" s="82"/>
      <c r="AA2061" s="82"/>
      <c r="AB2061" s="82"/>
    </row>
    <row r="2062" spans="1:28" s="85" customFormat="1" x14ac:dyDescent="0.25">
      <c r="A2062" s="82"/>
      <c r="B2062" s="82"/>
      <c r="C2062" s="82"/>
      <c r="D2062" s="729"/>
      <c r="E2062" s="371" t="s">
        <v>184</v>
      </c>
      <c r="F2062" s="372"/>
      <c r="G2062" s="373"/>
      <c r="H2062" s="374"/>
      <c r="I2062" s="375"/>
      <c r="J2062" s="376">
        <f t="shared" si="290"/>
        <v>0</v>
      </c>
      <c r="K2062" s="66">
        <f t="shared" si="291"/>
        <v>0</v>
      </c>
      <c r="L2062" s="63">
        <f t="shared" si="292"/>
        <v>0</v>
      </c>
      <c r="M2062" s="63">
        <f t="shared" si="293"/>
        <v>0</v>
      </c>
      <c r="N2062" s="63">
        <f t="shared" si="294"/>
        <v>0</v>
      </c>
      <c r="O2062" s="63">
        <f t="shared" si="295"/>
        <v>0</v>
      </c>
      <c r="P2062" s="63">
        <f t="shared" si="296"/>
        <v>0</v>
      </c>
      <c r="Q2062" s="562">
        <f t="shared" si="92"/>
        <v>0</v>
      </c>
      <c r="R2062" s="377"/>
      <c r="T2062" s="82"/>
      <c r="U2062" s="82"/>
      <c r="V2062" s="82"/>
      <c r="W2062" s="82"/>
      <c r="X2062" s="82"/>
      <c r="Y2062" s="82"/>
      <c r="Z2062" s="82"/>
      <c r="AA2062" s="82"/>
      <c r="AB2062" s="82"/>
    </row>
    <row r="2063" spans="1:28" s="85" customFormat="1" x14ac:dyDescent="0.25">
      <c r="A2063" s="82"/>
      <c r="B2063" s="82"/>
      <c r="C2063" s="82"/>
      <c r="D2063" s="729"/>
      <c r="E2063" s="371" t="s">
        <v>184</v>
      </c>
      <c r="F2063" s="372"/>
      <c r="G2063" s="373"/>
      <c r="H2063" s="374"/>
      <c r="I2063" s="375"/>
      <c r="J2063" s="376">
        <f t="shared" si="290"/>
        <v>0</v>
      </c>
      <c r="K2063" s="66">
        <f t="shared" si="291"/>
        <v>0</v>
      </c>
      <c r="L2063" s="63">
        <f t="shared" si="292"/>
        <v>0</v>
      </c>
      <c r="M2063" s="63">
        <f t="shared" si="293"/>
        <v>0</v>
      </c>
      <c r="N2063" s="63">
        <f t="shared" si="294"/>
        <v>0</v>
      </c>
      <c r="O2063" s="63">
        <f t="shared" si="295"/>
        <v>0</v>
      </c>
      <c r="P2063" s="63">
        <f t="shared" si="296"/>
        <v>0</v>
      </c>
      <c r="Q2063" s="562">
        <f t="shared" si="92"/>
        <v>0</v>
      </c>
      <c r="R2063" s="377"/>
      <c r="T2063" s="82"/>
      <c r="U2063" s="82"/>
      <c r="V2063" s="82"/>
      <c r="W2063" s="82"/>
      <c r="X2063" s="82"/>
      <c r="Y2063" s="82"/>
      <c r="Z2063" s="82"/>
      <c r="AA2063" s="82"/>
      <c r="AB2063" s="82"/>
    </row>
    <row r="2064" spans="1:28" s="85" customFormat="1" ht="13.8" thickBot="1" x14ac:dyDescent="0.3">
      <c r="A2064" s="82"/>
      <c r="B2064" s="82"/>
      <c r="C2064" s="82"/>
      <c r="D2064" s="731"/>
      <c r="E2064" s="390" t="s">
        <v>184</v>
      </c>
      <c r="F2064" s="391"/>
      <c r="G2064" s="392"/>
      <c r="H2064" s="393"/>
      <c r="I2064" s="394"/>
      <c r="J2064" s="395">
        <f t="shared" si="290"/>
        <v>0</v>
      </c>
      <c r="K2064" s="221">
        <f t="shared" si="291"/>
        <v>0</v>
      </c>
      <c r="L2064" s="222">
        <f t="shared" si="292"/>
        <v>0</v>
      </c>
      <c r="M2064" s="222">
        <f t="shared" si="293"/>
        <v>0</v>
      </c>
      <c r="N2064" s="222">
        <f t="shared" si="294"/>
        <v>0</v>
      </c>
      <c r="O2064" s="222">
        <f t="shared" si="295"/>
        <v>0</v>
      </c>
      <c r="P2064" s="222">
        <f t="shared" si="296"/>
        <v>0</v>
      </c>
      <c r="Q2064" s="564">
        <f t="shared" si="92"/>
        <v>0</v>
      </c>
      <c r="R2064" s="539"/>
      <c r="T2064" s="82"/>
      <c r="U2064" s="82"/>
      <c r="V2064" s="82"/>
      <c r="W2064" s="82"/>
      <c r="X2064" s="82"/>
      <c r="Y2064" s="82"/>
      <c r="Z2064" s="82"/>
      <c r="AA2064" s="82"/>
      <c r="AB2064" s="82"/>
    </row>
    <row r="2065" spans="1:28" s="85" customFormat="1" ht="13.8" thickTop="1" x14ac:dyDescent="0.25">
      <c r="A2065" s="82"/>
      <c r="B2065" s="82"/>
      <c r="C2065" s="82"/>
      <c r="D2065" s="728"/>
      <c r="E2065" s="384" t="s">
        <v>49</v>
      </c>
      <c r="F2065" s="385"/>
      <c r="G2065" s="386"/>
      <c r="H2065" s="387"/>
      <c r="I2065" s="388"/>
      <c r="J2065" s="389">
        <f t="shared" si="290"/>
        <v>0</v>
      </c>
      <c r="K2065" s="218">
        <f t="shared" si="291"/>
        <v>0</v>
      </c>
      <c r="L2065" s="219">
        <f t="shared" si="292"/>
        <v>0</v>
      </c>
      <c r="M2065" s="219">
        <f t="shared" si="293"/>
        <v>0</v>
      </c>
      <c r="N2065" s="219">
        <f t="shared" si="294"/>
        <v>0</v>
      </c>
      <c r="O2065" s="219">
        <f t="shared" si="295"/>
        <v>0</v>
      </c>
      <c r="P2065" s="219">
        <f t="shared" si="296"/>
        <v>0</v>
      </c>
      <c r="Q2065" s="563">
        <f t="shared" si="92"/>
        <v>0</v>
      </c>
      <c r="R2065" s="220"/>
      <c r="T2065" s="82"/>
      <c r="U2065" s="82"/>
      <c r="V2065" s="82"/>
      <c r="W2065" s="82"/>
      <c r="X2065" s="82"/>
      <c r="Y2065" s="82"/>
      <c r="Z2065" s="82"/>
      <c r="AA2065" s="82"/>
      <c r="AB2065" s="82"/>
    </row>
    <row r="2066" spans="1:28" s="85" customFormat="1" x14ac:dyDescent="0.25">
      <c r="A2066" s="82"/>
      <c r="B2066" s="82"/>
      <c r="C2066" s="82"/>
      <c r="D2066" s="729"/>
      <c r="E2066" s="371" t="s">
        <v>49</v>
      </c>
      <c r="F2066" s="372"/>
      <c r="G2066" s="373"/>
      <c r="H2066" s="374"/>
      <c r="I2066" s="375"/>
      <c r="J2066" s="376">
        <f t="shared" si="290"/>
        <v>0</v>
      </c>
      <c r="K2066" s="66">
        <f t="shared" si="291"/>
        <v>0</v>
      </c>
      <c r="L2066" s="63">
        <f t="shared" si="292"/>
        <v>0</v>
      </c>
      <c r="M2066" s="63">
        <f t="shared" si="293"/>
        <v>0</v>
      </c>
      <c r="N2066" s="63">
        <f t="shared" si="294"/>
        <v>0</v>
      </c>
      <c r="O2066" s="63">
        <f t="shared" si="295"/>
        <v>0</v>
      </c>
      <c r="P2066" s="63">
        <f t="shared" si="296"/>
        <v>0</v>
      </c>
      <c r="Q2066" s="561">
        <f t="shared" si="92"/>
        <v>0</v>
      </c>
      <c r="R2066" s="174"/>
      <c r="T2066" s="82"/>
      <c r="U2066" s="82"/>
      <c r="V2066" s="82"/>
      <c r="W2066" s="82"/>
      <c r="X2066" s="82"/>
      <c r="Y2066" s="82"/>
      <c r="Z2066" s="82"/>
      <c r="AA2066" s="82"/>
      <c r="AB2066" s="82"/>
    </row>
    <row r="2067" spans="1:28" s="85" customFormat="1" x14ac:dyDescent="0.25">
      <c r="A2067" s="82"/>
      <c r="B2067" s="82"/>
      <c r="C2067" s="82"/>
      <c r="D2067" s="729"/>
      <c r="E2067" s="371" t="s">
        <v>49</v>
      </c>
      <c r="F2067" s="372"/>
      <c r="G2067" s="373"/>
      <c r="H2067" s="374"/>
      <c r="I2067" s="375"/>
      <c r="J2067" s="376">
        <f t="shared" si="290"/>
        <v>0</v>
      </c>
      <c r="K2067" s="66">
        <f t="shared" si="291"/>
        <v>0</v>
      </c>
      <c r="L2067" s="63">
        <f t="shared" si="292"/>
        <v>0</v>
      </c>
      <c r="M2067" s="63">
        <f t="shared" si="293"/>
        <v>0</v>
      </c>
      <c r="N2067" s="63">
        <f t="shared" si="294"/>
        <v>0</v>
      </c>
      <c r="O2067" s="63">
        <f t="shared" si="295"/>
        <v>0</v>
      </c>
      <c r="P2067" s="63">
        <f t="shared" si="296"/>
        <v>0</v>
      </c>
      <c r="Q2067" s="561">
        <f t="shared" si="92"/>
        <v>0</v>
      </c>
      <c r="R2067" s="174"/>
      <c r="T2067" s="82"/>
      <c r="U2067" s="82"/>
      <c r="V2067" s="82"/>
      <c r="W2067" s="82"/>
      <c r="X2067" s="82"/>
      <c r="Y2067" s="82"/>
      <c r="Z2067" s="82"/>
      <c r="AA2067" s="82"/>
      <c r="AB2067" s="82"/>
    </row>
    <row r="2068" spans="1:28" s="85" customFormat="1" x14ac:dyDescent="0.25">
      <c r="A2068" s="82"/>
      <c r="B2068" s="82"/>
      <c r="C2068" s="82"/>
      <c r="D2068" s="729"/>
      <c r="E2068" s="371" t="s">
        <v>49</v>
      </c>
      <c r="F2068" s="372"/>
      <c r="G2068" s="373"/>
      <c r="H2068" s="374"/>
      <c r="I2068" s="375"/>
      <c r="J2068" s="376">
        <f t="shared" si="290"/>
        <v>0</v>
      </c>
      <c r="K2068" s="66">
        <f t="shared" si="291"/>
        <v>0</v>
      </c>
      <c r="L2068" s="63">
        <f t="shared" si="292"/>
        <v>0</v>
      </c>
      <c r="M2068" s="63">
        <f t="shared" si="293"/>
        <v>0</v>
      </c>
      <c r="N2068" s="63">
        <f t="shared" si="294"/>
        <v>0</v>
      </c>
      <c r="O2068" s="63">
        <f t="shared" si="295"/>
        <v>0</v>
      </c>
      <c r="P2068" s="63">
        <f t="shared" si="296"/>
        <v>0</v>
      </c>
      <c r="Q2068" s="561">
        <f t="shared" si="92"/>
        <v>0</v>
      </c>
      <c r="R2068" s="174"/>
      <c r="T2068" s="82"/>
      <c r="U2068" s="82"/>
      <c r="V2068" s="82"/>
      <c r="W2068" s="82"/>
      <c r="X2068" s="82"/>
      <c r="Y2068" s="82"/>
      <c r="Z2068" s="82"/>
      <c r="AA2068" s="82"/>
      <c r="AB2068" s="82"/>
    </row>
    <row r="2069" spans="1:28" s="85" customFormat="1" x14ac:dyDescent="0.25">
      <c r="A2069" s="82"/>
      <c r="B2069" s="82"/>
      <c r="C2069" s="82"/>
      <c r="D2069" s="729"/>
      <c r="E2069" s="371" t="s">
        <v>113</v>
      </c>
      <c r="F2069" s="372"/>
      <c r="G2069" s="373"/>
      <c r="H2069" s="374"/>
      <c r="I2069" s="375"/>
      <c r="J2069" s="376">
        <f t="shared" si="290"/>
        <v>0</v>
      </c>
      <c r="K2069" s="66">
        <f t="shared" si="291"/>
        <v>0</v>
      </c>
      <c r="L2069" s="63">
        <f t="shared" si="292"/>
        <v>0</v>
      </c>
      <c r="M2069" s="63">
        <f t="shared" si="293"/>
        <v>0</v>
      </c>
      <c r="N2069" s="63">
        <f t="shared" si="294"/>
        <v>0</v>
      </c>
      <c r="O2069" s="63">
        <f t="shared" si="295"/>
        <v>0</v>
      </c>
      <c r="P2069" s="63">
        <f t="shared" si="296"/>
        <v>0</v>
      </c>
      <c r="Q2069" s="561">
        <f t="shared" si="92"/>
        <v>0</v>
      </c>
      <c r="R2069" s="174"/>
      <c r="T2069" s="82"/>
      <c r="U2069" s="82"/>
      <c r="V2069" s="82"/>
      <c r="W2069" s="82"/>
      <c r="X2069" s="82"/>
      <c r="Y2069" s="82"/>
      <c r="Z2069" s="82"/>
      <c r="AA2069" s="82"/>
      <c r="AB2069" s="82"/>
    </row>
    <row r="2070" spans="1:28" s="85" customFormat="1" x14ac:dyDescent="0.25">
      <c r="A2070" s="82"/>
      <c r="B2070" s="82"/>
      <c r="C2070" s="82"/>
      <c r="D2070" s="729"/>
      <c r="E2070" s="371" t="s">
        <v>113</v>
      </c>
      <c r="F2070" s="372"/>
      <c r="G2070" s="373"/>
      <c r="H2070" s="374"/>
      <c r="I2070" s="375"/>
      <c r="J2070" s="376">
        <f t="shared" si="290"/>
        <v>0</v>
      </c>
      <c r="K2070" s="66">
        <f t="shared" si="291"/>
        <v>0</v>
      </c>
      <c r="L2070" s="63">
        <f t="shared" si="292"/>
        <v>0</v>
      </c>
      <c r="M2070" s="63">
        <f t="shared" si="293"/>
        <v>0</v>
      </c>
      <c r="N2070" s="63">
        <f t="shared" si="294"/>
        <v>0</v>
      </c>
      <c r="O2070" s="63">
        <f t="shared" si="295"/>
        <v>0</v>
      </c>
      <c r="P2070" s="63">
        <f t="shared" si="296"/>
        <v>0</v>
      </c>
      <c r="Q2070" s="561">
        <f t="shared" si="92"/>
        <v>0</v>
      </c>
      <c r="R2070" s="174"/>
      <c r="T2070" s="82"/>
      <c r="U2070" s="82"/>
      <c r="V2070" s="82"/>
      <c r="W2070" s="82"/>
      <c r="X2070" s="82"/>
      <c r="Y2070" s="82"/>
      <c r="Z2070" s="82"/>
      <c r="AA2070" s="82"/>
      <c r="AB2070" s="82"/>
    </row>
    <row r="2071" spans="1:28" s="85" customFormat="1" x14ac:dyDescent="0.25">
      <c r="A2071" s="82"/>
      <c r="B2071" s="82"/>
      <c r="C2071" s="82"/>
      <c r="D2071" s="729"/>
      <c r="E2071" s="371" t="s">
        <v>113</v>
      </c>
      <c r="F2071" s="372"/>
      <c r="G2071" s="373"/>
      <c r="H2071" s="374"/>
      <c r="I2071" s="375"/>
      <c r="J2071" s="376">
        <f t="shared" si="290"/>
        <v>0</v>
      </c>
      <c r="K2071" s="66">
        <f t="shared" si="291"/>
        <v>0</v>
      </c>
      <c r="L2071" s="63">
        <f t="shared" si="292"/>
        <v>0</v>
      </c>
      <c r="M2071" s="63">
        <f t="shared" si="293"/>
        <v>0</v>
      </c>
      <c r="N2071" s="63">
        <f t="shared" si="294"/>
        <v>0</v>
      </c>
      <c r="O2071" s="63">
        <f t="shared" si="295"/>
        <v>0</v>
      </c>
      <c r="P2071" s="63">
        <f t="shared" si="296"/>
        <v>0</v>
      </c>
      <c r="Q2071" s="561">
        <f t="shared" si="92"/>
        <v>0</v>
      </c>
      <c r="R2071" s="174"/>
      <c r="T2071" s="82"/>
      <c r="U2071" s="82"/>
      <c r="V2071" s="82"/>
      <c r="W2071" s="82"/>
      <c r="X2071" s="82"/>
      <c r="Y2071" s="82"/>
      <c r="Z2071" s="82"/>
      <c r="AA2071" s="82"/>
      <c r="AB2071" s="82"/>
    </row>
    <row r="2072" spans="1:28" s="85" customFormat="1" x14ac:dyDescent="0.25">
      <c r="A2072" s="82"/>
      <c r="B2072" s="82"/>
      <c r="C2072" s="82"/>
      <c r="D2072" s="729"/>
      <c r="E2072" s="371" t="s">
        <v>113</v>
      </c>
      <c r="F2072" s="372"/>
      <c r="G2072" s="373"/>
      <c r="H2072" s="374"/>
      <c r="I2072" s="375"/>
      <c r="J2072" s="376">
        <f t="shared" si="290"/>
        <v>0</v>
      </c>
      <c r="K2072" s="66">
        <f t="shared" si="291"/>
        <v>0</v>
      </c>
      <c r="L2072" s="63">
        <f t="shared" si="292"/>
        <v>0</v>
      </c>
      <c r="M2072" s="63">
        <f t="shared" si="293"/>
        <v>0</v>
      </c>
      <c r="N2072" s="63">
        <f t="shared" si="294"/>
        <v>0</v>
      </c>
      <c r="O2072" s="63">
        <f t="shared" si="295"/>
        <v>0</v>
      </c>
      <c r="P2072" s="63">
        <f t="shared" si="296"/>
        <v>0</v>
      </c>
      <c r="Q2072" s="561">
        <f t="shared" si="92"/>
        <v>0</v>
      </c>
      <c r="R2072" s="174"/>
      <c r="T2072" s="82"/>
      <c r="U2072" s="82"/>
      <c r="V2072" s="82"/>
      <c r="W2072" s="82"/>
      <c r="X2072" s="82"/>
      <c r="Y2072" s="82"/>
      <c r="Z2072" s="82"/>
      <c r="AA2072" s="82"/>
      <c r="AB2072" s="82"/>
    </row>
    <row r="2073" spans="1:28" s="85" customFormat="1" x14ac:dyDescent="0.25">
      <c r="A2073" s="82"/>
      <c r="B2073" s="82"/>
      <c r="C2073" s="82"/>
      <c r="D2073" s="729"/>
      <c r="E2073" s="396" t="s">
        <v>184</v>
      </c>
      <c r="F2073" s="403"/>
      <c r="G2073" s="397"/>
      <c r="H2073" s="398"/>
      <c r="I2073" s="399"/>
      <c r="J2073" s="400">
        <f t="shared" si="290"/>
        <v>0</v>
      </c>
      <c r="K2073" s="401">
        <f t="shared" si="291"/>
        <v>0</v>
      </c>
      <c r="L2073" s="196">
        <f t="shared" si="292"/>
        <v>0</v>
      </c>
      <c r="M2073" s="196">
        <f t="shared" si="293"/>
        <v>0</v>
      </c>
      <c r="N2073" s="196">
        <f t="shared" si="294"/>
        <v>0</v>
      </c>
      <c r="O2073" s="196">
        <f t="shared" si="295"/>
        <v>0</v>
      </c>
      <c r="P2073" s="196">
        <f t="shared" si="296"/>
        <v>0</v>
      </c>
      <c r="Q2073" s="566">
        <f t="shared" si="92"/>
        <v>0</v>
      </c>
      <c r="R2073" s="538"/>
      <c r="T2073" s="82"/>
      <c r="U2073" s="82"/>
      <c r="V2073" s="82"/>
      <c r="W2073" s="82"/>
      <c r="X2073" s="82"/>
      <c r="Y2073" s="82"/>
      <c r="Z2073" s="82"/>
      <c r="AA2073" s="82"/>
      <c r="AB2073" s="82"/>
    </row>
    <row r="2074" spans="1:28" s="85" customFormat="1" x14ac:dyDescent="0.25">
      <c r="A2074" s="82"/>
      <c r="B2074" s="82"/>
      <c r="C2074" s="82"/>
      <c r="D2074" s="729"/>
      <c r="E2074" s="371" t="s">
        <v>184</v>
      </c>
      <c r="F2074" s="372"/>
      <c r="G2074" s="373"/>
      <c r="H2074" s="374"/>
      <c r="I2074" s="375"/>
      <c r="J2074" s="376">
        <f t="shared" si="290"/>
        <v>0</v>
      </c>
      <c r="K2074" s="66">
        <f t="shared" si="291"/>
        <v>0</v>
      </c>
      <c r="L2074" s="63">
        <f t="shared" si="292"/>
        <v>0</v>
      </c>
      <c r="M2074" s="63">
        <f t="shared" si="293"/>
        <v>0</v>
      </c>
      <c r="N2074" s="63">
        <f t="shared" si="294"/>
        <v>0</v>
      </c>
      <c r="O2074" s="63">
        <f t="shared" si="295"/>
        <v>0</v>
      </c>
      <c r="P2074" s="63">
        <f t="shared" si="296"/>
        <v>0</v>
      </c>
      <c r="Q2074" s="562">
        <f t="shared" si="92"/>
        <v>0</v>
      </c>
      <c r="R2074" s="377"/>
      <c r="T2074" s="82"/>
      <c r="U2074" s="82"/>
      <c r="V2074" s="82"/>
      <c r="W2074" s="82"/>
      <c r="X2074" s="82"/>
      <c r="Y2074" s="82"/>
      <c r="Z2074" s="82"/>
      <c r="AA2074" s="82"/>
      <c r="AB2074" s="82"/>
    </row>
    <row r="2075" spans="1:28" s="85" customFormat="1" x14ac:dyDescent="0.25">
      <c r="A2075" s="82"/>
      <c r="B2075" s="82"/>
      <c r="C2075" s="82"/>
      <c r="D2075" s="729"/>
      <c r="E2075" s="371" t="s">
        <v>184</v>
      </c>
      <c r="F2075" s="372"/>
      <c r="G2075" s="373"/>
      <c r="H2075" s="374"/>
      <c r="I2075" s="375"/>
      <c r="J2075" s="376">
        <f t="shared" si="290"/>
        <v>0</v>
      </c>
      <c r="K2075" s="66">
        <f t="shared" si="291"/>
        <v>0</v>
      </c>
      <c r="L2075" s="63">
        <f t="shared" si="292"/>
        <v>0</v>
      </c>
      <c r="M2075" s="63">
        <f t="shared" si="293"/>
        <v>0</v>
      </c>
      <c r="N2075" s="63">
        <f t="shared" si="294"/>
        <v>0</v>
      </c>
      <c r="O2075" s="63">
        <f t="shared" si="295"/>
        <v>0</v>
      </c>
      <c r="P2075" s="63">
        <f t="shared" si="296"/>
        <v>0</v>
      </c>
      <c r="Q2075" s="562">
        <f t="shared" si="92"/>
        <v>0</v>
      </c>
      <c r="R2075" s="377"/>
      <c r="T2075" s="82"/>
      <c r="U2075" s="82"/>
      <c r="V2075" s="82"/>
      <c r="W2075" s="82"/>
      <c r="X2075" s="82"/>
      <c r="Y2075" s="82"/>
      <c r="Z2075" s="82"/>
      <c r="AA2075" s="82"/>
      <c r="AB2075" s="82"/>
    </row>
    <row r="2076" spans="1:28" s="85" customFormat="1" ht="13.8" thickBot="1" x14ac:dyDescent="0.3">
      <c r="A2076" s="82"/>
      <c r="B2076" s="82"/>
      <c r="C2076" s="82"/>
      <c r="D2076" s="731"/>
      <c r="E2076" s="390" t="s">
        <v>184</v>
      </c>
      <c r="F2076" s="391"/>
      <c r="G2076" s="392"/>
      <c r="H2076" s="393"/>
      <c r="I2076" s="394"/>
      <c r="J2076" s="395">
        <f t="shared" si="290"/>
        <v>0</v>
      </c>
      <c r="K2076" s="221">
        <f t="shared" si="291"/>
        <v>0</v>
      </c>
      <c r="L2076" s="222">
        <f t="shared" si="292"/>
        <v>0</v>
      </c>
      <c r="M2076" s="222">
        <f t="shared" si="293"/>
        <v>0</v>
      </c>
      <c r="N2076" s="222">
        <f t="shared" si="294"/>
        <v>0</v>
      </c>
      <c r="O2076" s="222">
        <f t="shared" si="295"/>
        <v>0</v>
      </c>
      <c r="P2076" s="222">
        <f t="shared" si="296"/>
        <v>0</v>
      </c>
      <c r="Q2076" s="564">
        <f t="shared" si="92"/>
        <v>0</v>
      </c>
      <c r="R2076" s="539"/>
      <c r="T2076" s="82"/>
      <c r="U2076" s="82"/>
      <c r="V2076" s="82"/>
      <c r="W2076" s="82"/>
      <c r="X2076" s="82"/>
      <c r="Y2076" s="82"/>
      <c r="Z2076" s="82"/>
      <c r="AA2076" s="82"/>
      <c r="AB2076" s="82"/>
    </row>
    <row r="2077" spans="1:28" s="85" customFormat="1" ht="13.8" thickTop="1" x14ac:dyDescent="0.25">
      <c r="A2077" s="82"/>
      <c r="B2077" s="82"/>
      <c r="C2077" s="82"/>
      <c r="D2077" s="728"/>
      <c r="E2077" s="384" t="s">
        <v>49</v>
      </c>
      <c r="F2077" s="385"/>
      <c r="G2077" s="386"/>
      <c r="H2077" s="387"/>
      <c r="I2077" s="388"/>
      <c r="J2077" s="389">
        <f t="shared" si="290"/>
        <v>0</v>
      </c>
      <c r="K2077" s="218">
        <f t="shared" si="291"/>
        <v>0</v>
      </c>
      <c r="L2077" s="219">
        <f t="shared" si="292"/>
        <v>0</v>
      </c>
      <c r="M2077" s="219">
        <f t="shared" si="293"/>
        <v>0</v>
      </c>
      <c r="N2077" s="219">
        <f t="shared" si="294"/>
        <v>0</v>
      </c>
      <c r="O2077" s="219">
        <f t="shared" si="295"/>
        <v>0</v>
      </c>
      <c r="P2077" s="219">
        <f t="shared" si="296"/>
        <v>0</v>
      </c>
      <c r="Q2077" s="563">
        <f t="shared" si="92"/>
        <v>0</v>
      </c>
      <c r="R2077" s="220"/>
      <c r="T2077" s="82"/>
      <c r="U2077" s="82"/>
      <c r="V2077" s="82"/>
      <c r="W2077" s="82"/>
      <c r="X2077" s="82"/>
      <c r="Y2077" s="82"/>
      <c r="Z2077" s="82"/>
      <c r="AA2077" s="82"/>
      <c r="AB2077" s="82"/>
    </row>
    <row r="2078" spans="1:28" s="85" customFormat="1" x14ac:dyDescent="0.25">
      <c r="A2078" s="82"/>
      <c r="B2078" s="82"/>
      <c r="C2078" s="82"/>
      <c r="D2078" s="729"/>
      <c r="E2078" s="371" t="s">
        <v>49</v>
      </c>
      <c r="F2078" s="372"/>
      <c r="G2078" s="373"/>
      <c r="H2078" s="374"/>
      <c r="I2078" s="375"/>
      <c r="J2078" s="376">
        <f t="shared" si="290"/>
        <v>0</v>
      </c>
      <c r="K2078" s="66">
        <f t="shared" si="291"/>
        <v>0</v>
      </c>
      <c r="L2078" s="63">
        <f t="shared" si="292"/>
        <v>0</v>
      </c>
      <c r="M2078" s="63">
        <f t="shared" si="293"/>
        <v>0</v>
      </c>
      <c r="N2078" s="63">
        <f t="shared" si="294"/>
        <v>0</v>
      </c>
      <c r="O2078" s="63">
        <f t="shared" si="295"/>
        <v>0</v>
      </c>
      <c r="P2078" s="63">
        <f t="shared" si="296"/>
        <v>0</v>
      </c>
      <c r="Q2078" s="561">
        <f t="shared" si="92"/>
        <v>0</v>
      </c>
      <c r="R2078" s="174"/>
      <c r="T2078" s="82"/>
      <c r="U2078" s="82"/>
      <c r="V2078" s="82"/>
      <c r="W2078" s="82"/>
      <c r="X2078" s="82"/>
      <c r="Y2078" s="82"/>
      <c r="Z2078" s="82"/>
      <c r="AA2078" s="82"/>
      <c r="AB2078" s="82"/>
    </row>
    <row r="2079" spans="1:28" s="85" customFormat="1" x14ac:dyDescent="0.25">
      <c r="A2079" s="82"/>
      <c r="B2079" s="82"/>
      <c r="C2079" s="82"/>
      <c r="D2079" s="729"/>
      <c r="E2079" s="371" t="s">
        <v>49</v>
      </c>
      <c r="F2079" s="372"/>
      <c r="G2079" s="373"/>
      <c r="H2079" s="374"/>
      <c r="I2079" s="375"/>
      <c r="J2079" s="376">
        <f t="shared" si="290"/>
        <v>0</v>
      </c>
      <c r="K2079" s="66">
        <f t="shared" si="291"/>
        <v>0</v>
      </c>
      <c r="L2079" s="63">
        <f t="shared" si="292"/>
        <v>0</v>
      </c>
      <c r="M2079" s="63">
        <f t="shared" si="293"/>
        <v>0</v>
      </c>
      <c r="N2079" s="63">
        <f t="shared" si="294"/>
        <v>0</v>
      </c>
      <c r="O2079" s="63">
        <f t="shared" si="295"/>
        <v>0</v>
      </c>
      <c r="P2079" s="63">
        <f t="shared" si="296"/>
        <v>0</v>
      </c>
      <c r="Q2079" s="561">
        <f t="shared" si="92"/>
        <v>0</v>
      </c>
      <c r="R2079" s="174"/>
      <c r="T2079" s="82"/>
      <c r="U2079" s="82"/>
      <c r="V2079" s="82"/>
      <c r="W2079" s="82"/>
      <c r="X2079" s="82"/>
      <c r="Y2079" s="82"/>
      <c r="Z2079" s="82"/>
      <c r="AA2079" s="82"/>
      <c r="AB2079" s="82"/>
    </row>
    <row r="2080" spans="1:28" s="85" customFormat="1" x14ac:dyDescent="0.25">
      <c r="A2080" s="82"/>
      <c r="B2080" s="82"/>
      <c r="C2080" s="82"/>
      <c r="D2080" s="729"/>
      <c r="E2080" s="371" t="s">
        <v>49</v>
      </c>
      <c r="F2080" s="372"/>
      <c r="G2080" s="373"/>
      <c r="H2080" s="374"/>
      <c r="I2080" s="375"/>
      <c r="J2080" s="376">
        <f t="shared" si="290"/>
        <v>0</v>
      </c>
      <c r="K2080" s="66">
        <f t="shared" si="291"/>
        <v>0</v>
      </c>
      <c r="L2080" s="63">
        <f t="shared" si="292"/>
        <v>0</v>
      </c>
      <c r="M2080" s="63">
        <f t="shared" si="293"/>
        <v>0</v>
      </c>
      <c r="N2080" s="63">
        <f t="shared" si="294"/>
        <v>0</v>
      </c>
      <c r="O2080" s="63">
        <f t="shared" si="295"/>
        <v>0</v>
      </c>
      <c r="P2080" s="63">
        <f t="shared" si="296"/>
        <v>0</v>
      </c>
      <c r="Q2080" s="561">
        <f t="shared" si="92"/>
        <v>0</v>
      </c>
      <c r="R2080" s="174"/>
      <c r="T2080" s="82"/>
      <c r="U2080" s="82"/>
      <c r="V2080" s="82"/>
      <c r="W2080" s="82"/>
      <c r="X2080" s="82"/>
      <c r="Y2080" s="82"/>
      <c r="Z2080" s="82"/>
      <c r="AA2080" s="82"/>
      <c r="AB2080" s="82"/>
    </row>
    <row r="2081" spans="1:28" s="85" customFormat="1" x14ac:dyDescent="0.25">
      <c r="A2081" s="82"/>
      <c r="B2081" s="82"/>
      <c r="C2081" s="82"/>
      <c r="D2081" s="729"/>
      <c r="E2081" s="371" t="s">
        <v>113</v>
      </c>
      <c r="F2081" s="372"/>
      <c r="G2081" s="373"/>
      <c r="H2081" s="374"/>
      <c r="I2081" s="375"/>
      <c r="J2081" s="376">
        <f t="shared" si="290"/>
        <v>0</v>
      </c>
      <c r="K2081" s="66">
        <f t="shared" si="291"/>
        <v>0</v>
      </c>
      <c r="L2081" s="63">
        <f t="shared" si="292"/>
        <v>0</v>
      </c>
      <c r="M2081" s="63">
        <f t="shared" si="293"/>
        <v>0</v>
      </c>
      <c r="N2081" s="63">
        <f t="shared" si="294"/>
        <v>0</v>
      </c>
      <c r="O2081" s="63">
        <f t="shared" si="295"/>
        <v>0</v>
      </c>
      <c r="P2081" s="63">
        <f t="shared" si="296"/>
        <v>0</v>
      </c>
      <c r="Q2081" s="561">
        <f t="shared" si="92"/>
        <v>0</v>
      </c>
      <c r="R2081" s="174"/>
      <c r="T2081" s="82"/>
      <c r="U2081" s="82"/>
      <c r="V2081" s="82"/>
      <c r="W2081" s="82"/>
      <c r="X2081" s="82"/>
      <c r="Y2081" s="82"/>
      <c r="Z2081" s="82"/>
      <c r="AA2081" s="82"/>
      <c r="AB2081" s="82"/>
    </row>
    <row r="2082" spans="1:28" s="85" customFormat="1" x14ac:dyDescent="0.25">
      <c r="A2082" s="82"/>
      <c r="B2082" s="82"/>
      <c r="C2082" s="82"/>
      <c r="D2082" s="729"/>
      <c r="E2082" s="371" t="s">
        <v>113</v>
      </c>
      <c r="F2082" s="372"/>
      <c r="G2082" s="373"/>
      <c r="H2082" s="374"/>
      <c r="I2082" s="375"/>
      <c r="J2082" s="376">
        <f t="shared" si="290"/>
        <v>0</v>
      </c>
      <c r="K2082" s="66">
        <f t="shared" si="291"/>
        <v>0</v>
      </c>
      <c r="L2082" s="63">
        <f t="shared" si="292"/>
        <v>0</v>
      </c>
      <c r="M2082" s="63">
        <f t="shared" si="293"/>
        <v>0</v>
      </c>
      <c r="N2082" s="63">
        <f t="shared" si="294"/>
        <v>0</v>
      </c>
      <c r="O2082" s="63">
        <f t="shared" si="295"/>
        <v>0</v>
      </c>
      <c r="P2082" s="63">
        <f t="shared" si="296"/>
        <v>0</v>
      </c>
      <c r="Q2082" s="561">
        <f t="shared" si="92"/>
        <v>0</v>
      </c>
      <c r="R2082" s="174"/>
      <c r="T2082" s="82"/>
      <c r="U2082" s="82"/>
      <c r="V2082" s="82"/>
      <c r="W2082" s="82"/>
      <c r="X2082" s="82"/>
      <c r="Y2082" s="82"/>
      <c r="Z2082" s="82"/>
      <c r="AA2082" s="82"/>
      <c r="AB2082" s="82"/>
    </row>
    <row r="2083" spans="1:28" s="85" customFormat="1" x14ac:dyDescent="0.25">
      <c r="A2083" s="82"/>
      <c r="B2083" s="82"/>
      <c r="C2083" s="82"/>
      <c r="D2083" s="729"/>
      <c r="E2083" s="371" t="s">
        <v>113</v>
      </c>
      <c r="F2083" s="372"/>
      <c r="G2083" s="373"/>
      <c r="H2083" s="374"/>
      <c r="I2083" s="375"/>
      <c r="J2083" s="376">
        <f t="shared" si="290"/>
        <v>0</v>
      </c>
      <c r="K2083" s="66">
        <f t="shared" si="291"/>
        <v>0</v>
      </c>
      <c r="L2083" s="63">
        <f t="shared" si="292"/>
        <v>0</v>
      </c>
      <c r="M2083" s="63">
        <f t="shared" si="293"/>
        <v>0</v>
      </c>
      <c r="N2083" s="63">
        <f t="shared" si="294"/>
        <v>0</v>
      </c>
      <c r="O2083" s="63">
        <f t="shared" si="295"/>
        <v>0</v>
      </c>
      <c r="P2083" s="63">
        <f t="shared" si="296"/>
        <v>0</v>
      </c>
      <c r="Q2083" s="561">
        <f t="shared" si="92"/>
        <v>0</v>
      </c>
      <c r="R2083" s="174"/>
      <c r="T2083" s="82"/>
      <c r="U2083" s="82"/>
      <c r="V2083" s="82"/>
      <c r="W2083" s="82"/>
      <c r="X2083" s="82"/>
      <c r="Y2083" s="82"/>
      <c r="Z2083" s="82"/>
      <c r="AA2083" s="82"/>
      <c r="AB2083" s="82"/>
    </row>
    <row r="2084" spans="1:28" s="85" customFormat="1" x14ac:dyDescent="0.25">
      <c r="A2084" s="82"/>
      <c r="B2084" s="82"/>
      <c r="C2084" s="82"/>
      <c r="D2084" s="729"/>
      <c r="E2084" s="371" t="s">
        <v>113</v>
      </c>
      <c r="F2084" s="372"/>
      <c r="G2084" s="373"/>
      <c r="H2084" s="374"/>
      <c r="I2084" s="375"/>
      <c r="J2084" s="376">
        <f t="shared" si="290"/>
        <v>0</v>
      </c>
      <c r="K2084" s="66">
        <f t="shared" si="291"/>
        <v>0</v>
      </c>
      <c r="L2084" s="63">
        <f t="shared" si="292"/>
        <v>0</v>
      </c>
      <c r="M2084" s="63">
        <f t="shared" si="293"/>
        <v>0</v>
      </c>
      <c r="N2084" s="63">
        <f t="shared" si="294"/>
        <v>0</v>
      </c>
      <c r="O2084" s="63">
        <f t="shared" si="295"/>
        <v>0</v>
      </c>
      <c r="P2084" s="63">
        <f t="shared" si="296"/>
        <v>0</v>
      </c>
      <c r="Q2084" s="561">
        <f t="shared" si="92"/>
        <v>0</v>
      </c>
      <c r="R2084" s="174"/>
      <c r="T2084" s="82"/>
      <c r="U2084" s="82"/>
      <c r="V2084" s="82"/>
      <c r="W2084" s="82"/>
      <c r="X2084" s="82"/>
      <c r="Y2084" s="82"/>
      <c r="Z2084" s="82"/>
      <c r="AA2084" s="82"/>
      <c r="AB2084" s="82"/>
    </row>
    <row r="2085" spans="1:28" s="85" customFormat="1" x14ac:dyDescent="0.25">
      <c r="A2085" s="82"/>
      <c r="B2085" s="82"/>
      <c r="C2085" s="82"/>
      <c r="D2085" s="729"/>
      <c r="E2085" s="396" t="s">
        <v>184</v>
      </c>
      <c r="F2085" s="403"/>
      <c r="G2085" s="397"/>
      <c r="H2085" s="398"/>
      <c r="I2085" s="399"/>
      <c r="J2085" s="400">
        <f t="shared" si="290"/>
        <v>0</v>
      </c>
      <c r="K2085" s="401">
        <f t="shared" si="291"/>
        <v>0</v>
      </c>
      <c r="L2085" s="196">
        <f t="shared" si="292"/>
        <v>0</v>
      </c>
      <c r="M2085" s="196">
        <f t="shared" si="293"/>
        <v>0</v>
      </c>
      <c r="N2085" s="196">
        <f t="shared" si="294"/>
        <v>0</v>
      </c>
      <c r="O2085" s="196">
        <f t="shared" si="295"/>
        <v>0</v>
      </c>
      <c r="P2085" s="196">
        <f t="shared" si="296"/>
        <v>0</v>
      </c>
      <c r="Q2085" s="566">
        <f t="shared" si="92"/>
        <v>0</v>
      </c>
      <c r="R2085" s="538"/>
      <c r="T2085" s="82"/>
      <c r="U2085" s="82"/>
      <c r="V2085" s="82"/>
      <c r="W2085" s="82"/>
      <c r="X2085" s="82"/>
      <c r="Y2085" s="82"/>
      <c r="Z2085" s="82"/>
      <c r="AA2085" s="82"/>
      <c r="AB2085" s="82"/>
    </row>
    <row r="2086" spans="1:28" s="85" customFormat="1" x14ac:dyDescent="0.25">
      <c r="A2086" s="82"/>
      <c r="B2086" s="82"/>
      <c r="C2086" s="82"/>
      <c r="D2086" s="729"/>
      <c r="E2086" s="371" t="s">
        <v>184</v>
      </c>
      <c r="F2086" s="372"/>
      <c r="G2086" s="373"/>
      <c r="H2086" s="374"/>
      <c r="I2086" s="375"/>
      <c r="J2086" s="376">
        <f t="shared" si="290"/>
        <v>0</v>
      </c>
      <c r="K2086" s="66">
        <f t="shared" si="291"/>
        <v>0</v>
      </c>
      <c r="L2086" s="63">
        <f t="shared" si="292"/>
        <v>0</v>
      </c>
      <c r="M2086" s="63">
        <f t="shared" si="293"/>
        <v>0</v>
      </c>
      <c r="N2086" s="63">
        <f t="shared" si="294"/>
        <v>0</v>
      </c>
      <c r="O2086" s="63">
        <f t="shared" si="295"/>
        <v>0</v>
      </c>
      <c r="P2086" s="63">
        <f t="shared" si="296"/>
        <v>0</v>
      </c>
      <c r="Q2086" s="562">
        <f t="shared" si="92"/>
        <v>0</v>
      </c>
      <c r="R2086" s="377"/>
      <c r="T2086" s="82"/>
      <c r="U2086" s="82"/>
      <c r="V2086" s="82"/>
      <c r="W2086" s="82"/>
      <c r="X2086" s="82"/>
      <c r="Y2086" s="82"/>
      <c r="Z2086" s="82"/>
      <c r="AA2086" s="82"/>
      <c r="AB2086" s="82"/>
    </row>
    <row r="2087" spans="1:28" s="85" customFormat="1" x14ac:dyDescent="0.25">
      <c r="A2087" s="82"/>
      <c r="B2087" s="82"/>
      <c r="C2087" s="82"/>
      <c r="D2087" s="729"/>
      <c r="E2087" s="371" t="s">
        <v>184</v>
      </c>
      <c r="F2087" s="372"/>
      <c r="G2087" s="373"/>
      <c r="H2087" s="374"/>
      <c r="I2087" s="375"/>
      <c r="J2087" s="376">
        <f t="shared" si="290"/>
        <v>0</v>
      </c>
      <c r="K2087" s="66">
        <f t="shared" si="291"/>
        <v>0</v>
      </c>
      <c r="L2087" s="63">
        <f t="shared" si="292"/>
        <v>0</v>
      </c>
      <c r="M2087" s="63">
        <f t="shared" si="293"/>
        <v>0</v>
      </c>
      <c r="N2087" s="63">
        <f t="shared" si="294"/>
        <v>0</v>
      </c>
      <c r="O2087" s="63">
        <f t="shared" si="295"/>
        <v>0</v>
      </c>
      <c r="P2087" s="63">
        <f t="shared" si="296"/>
        <v>0</v>
      </c>
      <c r="Q2087" s="562">
        <f t="shared" si="92"/>
        <v>0</v>
      </c>
      <c r="R2087" s="377"/>
      <c r="T2087" s="82"/>
      <c r="U2087" s="82"/>
      <c r="V2087" s="82"/>
      <c r="W2087" s="82"/>
      <c r="X2087" s="82"/>
      <c r="Y2087" s="82"/>
      <c r="Z2087" s="82"/>
      <c r="AA2087" s="82"/>
      <c r="AB2087" s="82"/>
    </row>
    <row r="2088" spans="1:28" s="85" customFormat="1" ht="13.8" thickBot="1" x14ac:dyDescent="0.3">
      <c r="A2088" s="82"/>
      <c r="B2088" s="82"/>
      <c r="C2088" s="82"/>
      <c r="D2088" s="731"/>
      <c r="E2088" s="390" t="s">
        <v>184</v>
      </c>
      <c r="F2088" s="391"/>
      <c r="G2088" s="392"/>
      <c r="H2088" s="393"/>
      <c r="I2088" s="394"/>
      <c r="J2088" s="395">
        <f t="shared" si="290"/>
        <v>0</v>
      </c>
      <c r="K2088" s="221">
        <f t="shared" si="291"/>
        <v>0</v>
      </c>
      <c r="L2088" s="222">
        <f t="shared" si="292"/>
        <v>0</v>
      </c>
      <c r="M2088" s="222">
        <f t="shared" si="293"/>
        <v>0</v>
      </c>
      <c r="N2088" s="222">
        <f t="shared" si="294"/>
        <v>0</v>
      </c>
      <c r="O2088" s="222">
        <f t="shared" si="295"/>
        <v>0</v>
      </c>
      <c r="P2088" s="222">
        <f t="shared" si="296"/>
        <v>0</v>
      </c>
      <c r="Q2088" s="564">
        <f t="shared" si="92"/>
        <v>0</v>
      </c>
      <c r="R2088" s="539"/>
      <c r="T2088" s="82"/>
      <c r="U2088" s="82"/>
      <c r="V2088" s="82"/>
      <c r="W2088" s="82"/>
      <c r="X2088" s="82"/>
      <c r="Y2088" s="82"/>
      <c r="Z2088" s="82"/>
      <c r="AA2088" s="82"/>
      <c r="AB2088" s="82"/>
    </row>
    <row r="2089" spans="1:28" s="85" customFormat="1" ht="13.8" thickTop="1" x14ac:dyDescent="0.25">
      <c r="A2089" s="82"/>
      <c r="B2089" s="82"/>
      <c r="C2089" s="82"/>
      <c r="D2089" s="728"/>
      <c r="E2089" s="384" t="s">
        <v>49</v>
      </c>
      <c r="F2089" s="385"/>
      <c r="G2089" s="386"/>
      <c r="H2089" s="387"/>
      <c r="I2089" s="388"/>
      <c r="J2089" s="389">
        <f t="shared" ref="J2089:J2136" si="297">G2089*I2089</f>
        <v>0</v>
      </c>
      <c r="K2089" s="218">
        <f t="shared" ref="K2089:K2136" si="298">IF($H2089=5,$J2089*$B$21,0)</f>
        <v>0</v>
      </c>
      <c r="L2089" s="219">
        <f t="shared" ref="L2089:L2136" si="299">IF($H2089=6.3,$J2089*$B$22,0)</f>
        <v>0</v>
      </c>
      <c r="M2089" s="219">
        <f t="shared" ref="M2089:M2136" si="300">IF($H2089=8,$J2089*$B$23,0)</f>
        <v>0</v>
      </c>
      <c r="N2089" s="219">
        <f t="shared" ref="N2089:N2136" si="301">IF($H2089=10,$J2089*$B$24,0)</f>
        <v>0</v>
      </c>
      <c r="O2089" s="219">
        <f t="shared" ref="O2089:O2136" si="302">IF($H2089=12.5,$J2089*$B$26,0)</f>
        <v>0</v>
      </c>
      <c r="P2089" s="219">
        <f t="shared" ref="P2089:P2136" si="303">IF($H2089=16,$J2089*$B$27,0)</f>
        <v>0</v>
      </c>
      <c r="Q2089" s="563">
        <f t="shared" si="92"/>
        <v>0</v>
      </c>
      <c r="R2089" s="220"/>
      <c r="T2089" s="82"/>
      <c r="U2089" s="82"/>
      <c r="V2089" s="82"/>
      <c r="W2089" s="82"/>
      <c r="X2089" s="82"/>
      <c r="Y2089" s="82"/>
      <c r="Z2089" s="82"/>
      <c r="AA2089" s="82"/>
      <c r="AB2089" s="82"/>
    </row>
    <row r="2090" spans="1:28" s="85" customFormat="1" x14ac:dyDescent="0.25">
      <c r="A2090" s="82"/>
      <c r="B2090" s="82"/>
      <c r="C2090" s="82"/>
      <c r="D2090" s="729"/>
      <c r="E2090" s="371" t="s">
        <v>49</v>
      </c>
      <c r="F2090" s="372"/>
      <c r="G2090" s="373"/>
      <c r="H2090" s="374"/>
      <c r="I2090" s="375"/>
      <c r="J2090" s="376">
        <f t="shared" si="297"/>
        <v>0</v>
      </c>
      <c r="K2090" s="66">
        <f t="shared" si="298"/>
        <v>0</v>
      </c>
      <c r="L2090" s="63">
        <f t="shared" si="299"/>
        <v>0</v>
      </c>
      <c r="M2090" s="63">
        <f t="shared" si="300"/>
        <v>0</v>
      </c>
      <c r="N2090" s="63">
        <f t="shared" si="301"/>
        <v>0</v>
      </c>
      <c r="O2090" s="63">
        <f t="shared" si="302"/>
        <v>0</v>
      </c>
      <c r="P2090" s="63">
        <f t="shared" si="303"/>
        <v>0</v>
      </c>
      <c r="Q2090" s="561">
        <f t="shared" si="92"/>
        <v>0</v>
      </c>
      <c r="R2090" s="174"/>
      <c r="T2090" s="82"/>
      <c r="U2090" s="82"/>
      <c r="V2090" s="82"/>
      <c r="W2090" s="82"/>
      <c r="X2090" s="82"/>
      <c r="Y2090" s="82"/>
      <c r="Z2090" s="82"/>
      <c r="AA2090" s="82"/>
      <c r="AB2090" s="82"/>
    </row>
    <row r="2091" spans="1:28" s="85" customFormat="1" x14ac:dyDescent="0.25">
      <c r="A2091" s="82"/>
      <c r="B2091" s="82"/>
      <c r="C2091" s="82"/>
      <c r="D2091" s="729"/>
      <c r="E2091" s="371" t="s">
        <v>49</v>
      </c>
      <c r="F2091" s="372"/>
      <c r="G2091" s="373"/>
      <c r="H2091" s="374"/>
      <c r="I2091" s="375"/>
      <c r="J2091" s="376">
        <f t="shared" si="297"/>
        <v>0</v>
      </c>
      <c r="K2091" s="66">
        <f t="shared" si="298"/>
        <v>0</v>
      </c>
      <c r="L2091" s="63">
        <f t="shared" si="299"/>
        <v>0</v>
      </c>
      <c r="M2091" s="63">
        <f t="shared" si="300"/>
        <v>0</v>
      </c>
      <c r="N2091" s="63">
        <f t="shared" si="301"/>
        <v>0</v>
      </c>
      <c r="O2091" s="63">
        <f t="shared" si="302"/>
        <v>0</v>
      </c>
      <c r="P2091" s="63">
        <f t="shared" si="303"/>
        <v>0</v>
      </c>
      <c r="Q2091" s="561">
        <f t="shared" si="92"/>
        <v>0</v>
      </c>
      <c r="R2091" s="174"/>
      <c r="T2091" s="82"/>
      <c r="U2091" s="82"/>
      <c r="V2091" s="82"/>
      <c r="W2091" s="82"/>
      <c r="X2091" s="82"/>
      <c r="Y2091" s="82"/>
      <c r="Z2091" s="82"/>
      <c r="AA2091" s="82"/>
      <c r="AB2091" s="82"/>
    </row>
    <row r="2092" spans="1:28" s="85" customFormat="1" x14ac:dyDescent="0.25">
      <c r="A2092" s="82"/>
      <c r="B2092" s="82"/>
      <c r="C2092" s="82"/>
      <c r="D2092" s="729"/>
      <c r="E2092" s="371" t="s">
        <v>49</v>
      </c>
      <c r="F2092" s="372"/>
      <c r="G2092" s="373"/>
      <c r="H2092" s="374"/>
      <c r="I2092" s="375"/>
      <c r="J2092" s="376">
        <f t="shared" si="297"/>
        <v>0</v>
      </c>
      <c r="K2092" s="66">
        <f t="shared" si="298"/>
        <v>0</v>
      </c>
      <c r="L2092" s="63">
        <f t="shared" si="299"/>
        <v>0</v>
      </c>
      <c r="M2092" s="63">
        <f t="shared" si="300"/>
        <v>0</v>
      </c>
      <c r="N2092" s="63">
        <f t="shared" si="301"/>
        <v>0</v>
      </c>
      <c r="O2092" s="63">
        <f t="shared" si="302"/>
        <v>0</v>
      </c>
      <c r="P2092" s="63">
        <f t="shared" si="303"/>
        <v>0</v>
      </c>
      <c r="Q2092" s="561">
        <f t="shared" si="92"/>
        <v>0</v>
      </c>
      <c r="R2092" s="174"/>
      <c r="T2092" s="82"/>
      <c r="U2092" s="82"/>
      <c r="V2092" s="82"/>
      <c r="W2092" s="82"/>
      <c r="X2092" s="82"/>
      <c r="Y2092" s="82"/>
      <c r="Z2092" s="82"/>
      <c r="AA2092" s="82"/>
      <c r="AB2092" s="82"/>
    </row>
    <row r="2093" spans="1:28" s="85" customFormat="1" x14ac:dyDescent="0.25">
      <c r="A2093" s="82"/>
      <c r="B2093" s="82"/>
      <c r="C2093" s="82"/>
      <c r="D2093" s="729"/>
      <c r="E2093" s="371" t="s">
        <v>113</v>
      </c>
      <c r="F2093" s="372"/>
      <c r="G2093" s="373"/>
      <c r="H2093" s="374"/>
      <c r="I2093" s="375"/>
      <c r="J2093" s="376">
        <f t="shared" si="297"/>
        <v>0</v>
      </c>
      <c r="K2093" s="66">
        <f t="shared" si="298"/>
        <v>0</v>
      </c>
      <c r="L2093" s="63">
        <f t="shared" si="299"/>
        <v>0</v>
      </c>
      <c r="M2093" s="63">
        <f t="shared" si="300"/>
        <v>0</v>
      </c>
      <c r="N2093" s="63">
        <f t="shared" si="301"/>
        <v>0</v>
      </c>
      <c r="O2093" s="63">
        <f t="shared" si="302"/>
        <v>0</v>
      </c>
      <c r="P2093" s="63">
        <f t="shared" si="303"/>
        <v>0</v>
      </c>
      <c r="Q2093" s="561">
        <f t="shared" si="92"/>
        <v>0</v>
      </c>
      <c r="R2093" s="174"/>
      <c r="T2093" s="82"/>
      <c r="U2093" s="82"/>
      <c r="V2093" s="82"/>
      <c r="W2093" s="82"/>
      <c r="X2093" s="82"/>
      <c r="Y2093" s="82"/>
      <c r="Z2093" s="82"/>
      <c r="AA2093" s="82"/>
      <c r="AB2093" s="82"/>
    </row>
    <row r="2094" spans="1:28" s="85" customFormat="1" x14ac:dyDescent="0.25">
      <c r="A2094" s="82"/>
      <c r="B2094" s="82"/>
      <c r="C2094" s="82"/>
      <c r="D2094" s="729"/>
      <c r="E2094" s="371" t="s">
        <v>113</v>
      </c>
      <c r="F2094" s="372"/>
      <c r="G2094" s="373"/>
      <c r="H2094" s="374"/>
      <c r="I2094" s="375"/>
      <c r="J2094" s="376">
        <f t="shared" si="297"/>
        <v>0</v>
      </c>
      <c r="K2094" s="66">
        <f t="shared" si="298"/>
        <v>0</v>
      </c>
      <c r="L2094" s="63">
        <f t="shared" si="299"/>
        <v>0</v>
      </c>
      <c r="M2094" s="63">
        <f t="shared" si="300"/>
        <v>0</v>
      </c>
      <c r="N2094" s="63">
        <f t="shared" si="301"/>
        <v>0</v>
      </c>
      <c r="O2094" s="63">
        <f t="shared" si="302"/>
        <v>0</v>
      </c>
      <c r="P2094" s="63">
        <f t="shared" si="303"/>
        <v>0</v>
      </c>
      <c r="Q2094" s="561">
        <f t="shared" si="92"/>
        <v>0</v>
      </c>
      <c r="R2094" s="174"/>
      <c r="T2094" s="82"/>
      <c r="U2094" s="82"/>
      <c r="V2094" s="82"/>
      <c r="W2094" s="82"/>
      <c r="X2094" s="82"/>
      <c r="Y2094" s="82"/>
      <c r="Z2094" s="82"/>
      <c r="AA2094" s="82"/>
      <c r="AB2094" s="82"/>
    </row>
    <row r="2095" spans="1:28" s="85" customFormat="1" x14ac:dyDescent="0.25">
      <c r="A2095" s="82"/>
      <c r="B2095" s="82"/>
      <c r="C2095" s="82"/>
      <c r="D2095" s="729"/>
      <c r="E2095" s="371" t="s">
        <v>113</v>
      </c>
      <c r="F2095" s="372"/>
      <c r="G2095" s="373"/>
      <c r="H2095" s="374"/>
      <c r="I2095" s="375"/>
      <c r="J2095" s="376">
        <f t="shared" si="297"/>
        <v>0</v>
      </c>
      <c r="K2095" s="66">
        <f t="shared" si="298"/>
        <v>0</v>
      </c>
      <c r="L2095" s="63">
        <f t="shared" si="299"/>
        <v>0</v>
      </c>
      <c r="M2095" s="63">
        <f t="shared" si="300"/>
        <v>0</v>
      </c>
      <c r="N2095" s="63">
        <f t="shared" si="301"/>
        <v>0</v>
      </c>
      <c r="O2095" s="63">
        <f t="shared" si="302"/>
        <v>0</v>
      </c>
      <c r="P2095" s="63">
        <f t="shared" si="303"/>
        <v>0</v>
      </c>
      <c r="Q2095" s="561">
        <f t="shared" si="92"/>
        <v>0</v>
      </c>
      <c r="R2095" s="174"/>
      <c r="T2095" s="82"/>
      <c r="U2095" s="82"/>
      <c r="V2095" s="82"/>
      <c r="W2095" s="82"/>
      <c r="X2095" s="82"/>
      <c r="Y2095" s="82"/>
      <c r="Z2095" s="82"/>
      <c r="AA2095" s="82"/>
      <c r="AB2095" s="82"/>
    </row>
    <row r="2096" spans="1:28" s="85" customFormat="1" x14ac:dyDescent="0.25">
      <c r="A2096" s="82"/>
      <c r="B2096" s="82"/>
      <c r="C2096" s="82"/>
      <c r="D2096" s="729"/>
      <c r="E2096" s="371" t="s">
        <v>113</v>
      </c>
      <c r="F2096" s="372"/>
      <c r="G2096" s="373"/>
      <c r="H2096" s="374"/>
      <c r="I2096" s="375"/>
      <c r="J2096" s="376">
        <f t="shared" si="297"/>
        <v>0</v>
      </c>
      <c r="K2096" s="66">
        <f t="shared" si="298"/>
        <v>0</v>
      </c>
      <c r="L2096" s="63">
        <f t="shared" si="299"/>
        <v>0</v>
      </c>
      <c r="M2096" s="63">
        <f t="shared" si="300"/>
        <v>0</v>
      </c>
      <c r="N2096" s="63">
        <f t="shared" si="301"/>
        <v>0</v>
      </c>
      <c r="O2096" s="63">
        <f t="shared" si="302"/>
        <v>0</v>
      </c>
      <c r="P2096" s="63">
        <f t="shared" si="303"/>
        <v>0</v>
      </c>
      <c r="Q2096" s="561">
        <f t="shared" si="92"/>
        <v>0</v>
      </c>
      <c r="R2096" s="174"/>
      <c r="T2096" s="82"/>
      <c r="U2096" s="82"/>
      <c r="V2096" s="82"/>
      <c r="W2096" s="82"/>
      <c r="X2096" s="82"/>
      <c r="Y2096" s="82"/>
      <c r="Z2096" s="82"/>
      <c r="AA2096" s="82"/>
      <c r="AB2096" s="82"/>
    </row>
    <row r="2097" spans="1:28" s="85" customFormat="1" x14ac:dyDescent="0.25">
      <c r="A2097" s="82"/>
      <c r="B2097" s="82"/>
      <c r="C2097" s="82"/>
      <c r="D2097" s="729"/>
      <c r="E2097" s="396" t="s">
        <v>184</v>
      </c>
      <c r="F2097" s="403"/>
      <c r="G2097" s="397"/>
      <c r="H2097" s="398"/>
      <c r="I2097" s="399"/>
      <c r="J2097" s="400">
        <f t="shared" si="297"/>
        <v>0</v>
      </c>
      <c r="K2097" s="401">
        <f t="shared" si="298"/>
        <v>0</v>
      </c>
      <c r="L2097" s="196">
        <f t="shared" si="299"/>
        <v>0</v>
      </c>
      <c r="M2097" s="196">
        <f t="shared" si="300"/>
        <v>0</v>
      </c>
      <c r="N2097" s="196">
        <f t="shared" si="301"/>
        <v>0</v>
      </c>
      <c r="O2097" s="196">
        <f t="shared" si="302"/>
        <v>0</v>
      </c>
      <c r="P2097" s="196">
        <f t="shared" si="303"/>
        <v>0</v>
      </c>
      <c r="Q2097" s="566">
        <f t="shared" si="92"/>
        <v>0</v>
      </c>
      <c r="R2097" s="538"/>
      <c r="T2097" s="82"/>
      <c r="U2097" s="82"/>
      <c r="V2097" s="82"/>
      <c r="W2097" s="82"/>
      <c r="X2097" s="82"/>
      <c r="Y2097" s="82"/>
      <c r="Z2097" s="82"/>
      <c r="AA2097" s="82"/>
      <c r="AB2097" s="82"/>
    </row>
    <row r="2098" spans="1:28" s="85" customFormat="1" x14ac:dyDescent="0.25">
      <c r="A2098" s="82"/>
      <c r="B2098" s="82"/>
      <c r="C2098" s="82"/>
      <c r="D2098" s="729"/>
      <c r="E2098" s="371" t="s">
        <v>184</v>
      </c>
      <c r="F2098" s="372"/>
      <c r="G2098" s="373"/>
      <c r="H2098" s="374"/>
      <c r="I2098" s="375"/>
      <c r="J2098" s="376">
        <f t="shared" si="297"/>
        <v>0</v>
      </c>
      <c r="K2098" s="66">
        <f t="shared" si="298"/>
        <v>0</v>
      </c>
      <c r="L2098" s="63">
        <f t="shared" si="299"/>
        <v>0</v>
      </c>
      <c r="M2098" s="63">
        <f t="shared" si="300"/>
        <v>0</v>
      </c>
      <c r="N2098" s="63">
        <f t="shared" si="301"/>
        <v>0</v>
      </c>
      <c r="O2098" s="63">
        <f t="shared" si="302"/>
        <v>0</v>
      </c>
      <c r="P2098" s="63">
        <f t="shared" si="303"/>
        <v>0</v>
      </c>
      <c r="Q2098" s="562">
        <f t="shared" si="92"/>
        <v>0</v>
      </c>
      <c r="R2098" s="377"/>
      <c r="T2098" s="82"/>
      <c r="U2098" s="82"/>
      <c r="V2098" s="82"/>
      <c r="W2098" s="82"/>
      <c r="X2098" s="82"/>
      <c r="Y2098" s="82"/>
      <c r="Z2098" s="82"/>
      <c r="AA2098" s="82"/>
      <c r="AB2098" s="82"/>
    </row>
    <row r="2099" spans="1:28" s="85" customFormat="1" x14ac:dyDescent="0.25">
      <c r="A2099" s="82"/>
      <c r="B2099" s="82"/>
      <c r="C2099" s="82"/>
      <c r="D2099" s="729"/>
      <c r="E2099" s="371" t="s">
        <v>184</v>
      </c>
      <c r="F2099" s="372"/>
      <c r="G2099" s="373"/>
      <c r="H2099" s="374"/>
      <c r="I2099" s="375"/>
      <c r="J2099" s="376">
        <f t="shared" si="297"/>
        <v>0</v>
      </c>
      <c r="K2099" s="66">
        <f t="shared" si="298"/>
        <v>0</v>
      </c>
      <c r="L2099" s="63">
        <f t="shared" si="299"/>
        <v>0</v>
      </c>
      <c r="M2099" s="63">
        <f t="shared" si="300"/>
        <v>0</v>
      </c>
      <c r="N2099" s="63">
        <f t="shared" si="301"/>
        <v>0</v>
      </c>
      <c r="O2099" s="63">
        <f t="shared" si="302"/>
        <v>0</v>
      </c>
      <c r="P2099" s="63">
        <f t="shared" si="303"/>
        <v>0</v>
      </c>
      <c r="Q2099" s="562">
        <f t="shared" si="92"/>
        <v>0</v>
      </c>
      <c r="R2099" s="377"/>
      <c r="T2099" s="82"/>
      <c r="U2099" s="82"/>
      <c r="V2099" s="82"/>
      <c r="W2099" s="82"/>
      <c r="X2099" s="82"/>
      <c r="Y2099" s="82"/>
      <c r="Z2099" s="82"/>
      <c r="AA2099" s="82"/>
      <c r="AB2099" s="82"/>
    </row>
    <row r="2100" spans="1:28" s="85" customFormat="1" ht="13.8" thickBot="1" x14ac:dyDescent="0.3">
      <c r="A2100" s="82"/>
      <c r="B2100" s="82"/>
      <c r="C2100" s="82"/>
      <c r="D2100" s="731"/>
      <c r="E2100" s="390" t="s">
        <v>184</v>
      </c>
      <c r="F2100" s="391"/>
      <c r="G2100" s="392"/>
      <c r="H2100" s="393"/>
      <c r="I2100" s="394"/>
      <c r="J2100" s="395">
        <f t="shared" si="297"/>
        <v>0</v>
      </c>
      <c r="K2100" s="221">
        <f t="shared" si="298"/>
        <v>0</v>
      </c>
      <c r="L2100" s="222">
        <f t="shared" si="299"/>
        <v>0</v>
      </c>
      <c r="M2100" s="222">
        <f t="shared" si="300"/>
        <v>0</v>
      </c>
      <c r="N2100" s="222">
        <f t="shared" si="301"/>
        <v>0</v>
      </c>
      <c r="O2100" s="222">
        <f t="shared" si="302"/>
        <v>0</v>
      </c>
      <c r="P2100" s="222">
        <f t="shared" si="303"/>
        <v>0</v>
      </c>
      <c r="Q2100" s="564">
        <f t="shared" si="92"/>
        <v>0</v>
      </c>
      <c r="R2100" s="539"/>
      <c r="T2100" s="82"/>
      <c r="U2100" s="82"/>
      <c r="V2100" s="82"/>
      <c r="W2100" s="82"/>
      <c r="X2100" s="82"/>
      <c r="Y2100" s="82"/>
      <c r="Z2100" s="82"/>
      <c r="AA2100" s="82"/>
      <c r="AB2100" s="82"/>
    </row>
    <row r="2101" spans="1:28" s="85" customFormat="1" ht="13.8" thickTop="1" x14ac:dyDescent="0.25">
      <c r="A2101" s="82"/>
      <c r="B2101" s="82"/>
      <c r="C2101" s="82"/>
      <c r="D2101" s="728"/>
      <c r="E2101" s="384" t="s">
        <v>49</v>
      </c>
      <c r="F2101" s="385"/>
      <c r="G2101" s="386"/>
      <c r="H2101" s="387"/>
      <c r="I2101" s="388"/>
      <c r="J2101" s="389">
        <f t="shared" si="297"/>
        <v>0</v>
      </c>
      <c r="K2101" s="218">
        <f t="shared" si="298"/>
        <v>0</v>
      </c>
      <c r="L2101" s="219">
        <f t="shared" si="299"/>
        <v>0</v>
      </c>
      <c r="M2101" s="219">
        <f t="shared" si="300"/>
        <v>0</v>
      </c>
      <c r="N2101" s="219">
        <f t="shared" si="301"/>
        <v>0</v>
      </c>
      <c r="O2101" s="219">
        <f t="shared" si="302"/>
        <v>0</v>
      </c>
      <c r="P2101" s="219">
        <f t="shared" si="303"/>
        <v>0</v>
      </c>
      <c r="Q2101" s="563">
        <f t="shared" si="92"/>
        <v>0</v>
      </c>
      <c r="R2101" s="220"/>
      <c r="T2101" s="82"/>
      <c r="U2101" s="82"/>
      <c r="V2101" s="82"/>
      <c r="W2101" s="82"/>
      <c r="X2101" s="82"/>
      <c r="Y2101" s="82"/>
      <c r="Z2101" s="82"/>
      <c r="AA2101" s="82"/>
      <c r="AB2101" s="82"/>
    </row>
    <row r="2102" spans="1:28" s="85" customFormat="1" x14ac:dyDescent="0.25">
      <c r="A2102" s="82"/>
      <c r="B2102" s="82"/>
      <c r="C2102" s="82"/>
      <c r="D2102" s="729"/>
      <c r="E2102" s="371" t="s">
        <v>49</v>
      </c>
      <c r="F2102" s="372"/>
      <c r="G2102" s="373"/>
      <c r="H2102" s="374"/>
      <c r="I2102" s="375"/>
      <c r="J2102" s="376">
        <f t="shared" si="297"/>
        <v>0</v>
      </c>
      <c r="K2102" s="66">
        <f t="shared" si="298"/>
        <v>0</v>
      </c>
      <c r="L2102" s="63">
        <f t="shared" si="299"/>
        <v>0</v>
      </c>
      <c r="M2102" s="63">
        <f t="shared" si="300"/>
        <v>0</v>
      </c>
      <c r="N2102" s="63">
        <f t="shared" si="301"/>
        <v>0</v>
      </c>
      <c r="O2102" s="63">
        <f t="shared" si="302"/>
        <v>0</v>
      </c>
      <c r="P2102" s="63">
        <f t="shared" si="303"/>
        <v>0</v>
      </c>
      <c r="Q2102" s="561">
        <f t="shared" si="92"/>
        <v>0</v>
      </c>
      <c r="R2102" s="174"/>
      <c r="T2102" s="82"/>
      <c r="U2102" s="82"/>
      <c r="V2102" s="82"/>
      <c r="W2102" s="82"/>
      <c r="X2102" s="82"/>
      <c r="Y2102" s="82"/>
      <c r="Z2102" s="82"/>
      <c r="AA2102" s="82"/>
      <c r="AB2102" s="82"/>
    </row>
    <row r="2103" spans="1:28" s="85" customFormat="1" x14ac:dyDescent="0.25">
      <c r="A2103" s="82"/>
      <c r="B2103" s="82"/>
      <c r="C2103" s="82"/>
      <c r="D2103" s="729"/>
      <c r="E2103" s="371" t="s">
        <v>49</v>
      </c>
      <c r="F2103" s="372"/>
      <c r="G2103" s="373"/>
      <c r="H2103" s="374"/>
      <c r="I2103" s="375"/>
      <c r="J2103" s="376">
        <f t="shared" si="297"/>
        <v>0</v>
      </c>
      <c r="K2103" s="66">
        <f t="shared" si="298"/>
        <v>0</v>
      </c>
      <c r="L2103" s="63">
        <f t="shared" si="299"/>
        <v>0</v>
      </c>
      <c r="M2103" s="63">
        <f t="shared" si="300"/>
        <v>0</v>
      </c>
      <c r="N2103" s="63">
        <f t="shared" si="301"/>
        <v>0</v>
      </c>
      <c r="O2103" s="63">
        <f t="shared" si="302"/>
        <v>0</v>
      </c>
      <c r="P2103" s="63">
        <f t="shared" si="303"/>
        <v>0</v>
      </c>
      <c r="Q2103" s="561">
        <f t="shared" si="92"/>
        <v>0</v>
      </c>
      <c r="R2103" s="174"/>
      <c r="T2103" s="82"/>
      <c r="U2103" s="82"/>
      <c r="V2103" s="82"/>
      <c r="W2103" s="82"/>
      <c r="X2103" s="82"/>
      <c r="Y2103" s="82"/>
      <c r="Z2103" s="82"/>
      <c r="AA2103" s="82"/>
      <c r="AB2103" s="82"/>
    </row>
    <row r="2104" spans="1:28" s="85" customFormat="1" x14ac:dyDescent="0.25">
      <c r="A2104" s="82"/>
      <c r="B2104" s="82"/>
      <c r="C2104" s="82"/>
      <c r="D2104" s="729"/>
      <c r="E2104" s="371" t="s">
        <v>49</v>
      </c>
      <c r="F2104" s="372"/>
      <c r="G2104" s="373"/>
      <c r="H2104" s="374"/>
      <c r="I2104" s="375"/>
      <c r="J2104" s="376">
        <f t="shared" si="297"/>
        <v>0</v>
      </c>
      <c r="K2104" s="66">
        <f t="shared" si="298"/>
        <v>0</v>
      </c>
      <c r="L2104" s="63">
        <f t="shared" si="299"/>
        <v>0</v>
      </c>
      <c r="M2104" s="63">
        <f t="shared" si="300"/>
        <v>0</v>
      </c>
      <c r="N2104" s="63">
        <f t="shared" si="301"/>
        <v>0</v>
      </c>
      <c r="O2104" s="63">
        <f t="shared" si="302"/>
        <v>0</v>
      </c>
      <c r="P2104" s="63">
        <f t="shared" si="303"/>
        <v>0</v>
      </c>
      <c r="Q2104" s="561">
        <f t="shared" si="92"/>
        <v>0</v>
      </c>
      <c r="R2104" s="174"/>
      <c r="T2104" s="82"/>
      <c r="U2104" s="82"/>
      <c r="V2104" s="82"/>
      <c r="W2104" s="82"/>
      <c r="X2104" s="82"/>
      <c r="Y2104" s="82"/>
      <c r="Z2104" s="82"/>
      <c r="AA2104" s="82"/>
      <c r="AB2104" s="82"/>
    </row>
    <row r="2105" spans="1:28" s="85" customFormat="1" x14ac:dyDescent="0.25">
      <c r="A2105" s="82"/>
      <c r="B2105" s="82"/>
      <c r="C2105" s="82"/>
      <c r="D2105" s="729"/>
      <c r="E2105" s="371" t="s">
        <v>113</v>
      </c>
      <c r="F2105" s="372"/>
      <c r="G2105" s="373"/>
      <c r="H2105" s="374"/>
      <c r="I2105" s="375"/>
      <c r="J2105" s="376">
        <f t="shared" si="297"/>
        <v>0</v>
      </c>
      <c r="K2105" s="66">
        <f t="shared" si="298"/>
        <v>0</v>
      </c>
      <c r="L2105" s="63">
        <f t="shared" si="299"/>
        <v>0</v>
      </c>
      <c r="M2105" s="63">
        <f t="shared" si="300"/>
        <v>0</v>
      </c>
      <c r="N2105" s="63">
        <f t="shared" si="301"/>
        <v>0</v>
      </c>
      <c r="O2105" s="63">
        <f t="shared" si="302"/>
        <v>0</v>
      </c>
      <c r="P2105" s="63">
        <f t="shared" si="303"/>
        <v>0</v>
      </c>
      <c r="Q2105" s="561">
        <f t="shared" si="92"/>
        <v>0</v>
      </c>
      <c r="R2105" s="174"/>
      <c r="T2105" s="82"/>
      <c r="U2105" s="82"/>
      <c r="V2105" s="82"/>
      <c r="W2105" s="82"/>
      <c r="X2105" s="82"/>
      <c r="Y2105" s="82"/>
      <c r="Z2105" s="82"/>
      <c r="AA2105" s="82"/>
      <c r="AB2105" s="82"/>
    </row>
    <row r="2106" spans="1:28" s="85" customFormat="1" x14ac:dyDescent="0.25">
      <c r="A2106" s="82"/>
      <c r="B2106" s="82"/>
      <c r="C2106" s="82"/>
      <c r="D2106" s="729"/>
      <c r="E2106" s="371" t="s">
        <v>113</v>
      </c>
      <c r="F2106" s="372"/>
      <c r="G2106" s="373"/>
      <c r="H2106" s="374"/>
      <c r="I2106" s="375"/>
      <c r="J2106" s="376">
        <f t="shared" si="297"/>
        <v>0</v>
      </c>
      <c r="K2106" s="66">
        <f t="shared" si="298"/>
        <v>0</v>
      </c>
      <c r="L2106" s="63">
        <f t="shared" si="299"/>
        <v>0</v>
      </c>
      <c r="M2106" s="63">
        <f t="shared" si="300"/>
        <v>0</v>
      </c>
      <c r="N2106" s="63">
        <f t="shared" si="301"/>
        <v>0</v>
      </c>
      <c r="O2106" s="63">
        <f t="shared" si="302"/>
        <v>0</v>
      </c>
      <c r="P2106" s="63">
        <f t="shared" si="303"/>
        <v>0</v>
      </c>
      <c r="Q2106" s="561">
        <f t="shared" si="92"/>
        <v>0</v>
      </c>
      <c r="R2106" s="174"/>
      <c r="T2106" s="82"/>
      <c r="U2106" s="82"/>
      <c r="V2106" s="82"/>
      <c r="W2106" s="82"/>
      <c r="X2106" s="82"/>
      <c r="Y2106" s="82"/>
      <c r="Z2106" s="82"/>
      <c r="AA2106" s="82"/>
      <c r="AB2106" s="82"/>
    </row>
    <row r="2107" spans="1:28" s="85" customFormat="1" x14ac:dyDescent="0.25">
      <c r="A2107" s="82"/>
      <c r="B2107" s="82"/>
      <c r="C2107" s="82"/>
      <c r="D2107" s="729"/>
      <c r="E2107" s="371" t="s">
        <v>113</v>
      </c>
      <c r="F2107" s="372"/>
      <c r="G2107" s="373"/>
      <c r="H2107" s="374"/>
      <c r="I2107" s="375"/>
      <c r="J2107" s="376">
        <f t="shared" si="297"/>
        <v>0</v>
      </c>
      <c r="K2107" s="66">
        <f t="shared" si="298"/>
        <v>0</v>
      </c>
      <c r="L2107" s="63">
        <f t="shared" si="299"/>
        <v>0</v>
      </c>
      <c r="M2107" s="63">
        <f t="shared" si="300"/>
        <v>0</v>
      </c>
      <c r="N2107" s="63">
        <f t="shared" si="301"/>
        <v>0</v>
      </c>
      <c r="O2107" s="63">
        <f t="shared" si="302"/>
        <v>0</v>
      </c>
      <c r="P2107" s="63">
        <f t="shared" si="303"/>
        <v>0</v>
      </c>
      <c r="Q2107" s="561">
        <f t="shared" si="92"/>
        <v>0</v>
      </c>
      <c r="R2107" s="174"/>
      <c r="T2107" s="82"/>
      <c r="U2107" s="82"/>
      <c r="V2107" s="82"/>
      <c r="W2107" s="82"/>
      <c r="X2107" s="82"/>
      <c r="Y2107" s="82"/>
      <c r="Z2107" s="82"/>
      <c r="AA2107" s="82"/>
      <c r="AB2107" s="82"/>
    </row>
    <row r="2108" spans="1:28" s="85" customFormat="1" x14ac:dyDescent="0.25">
      <c r="A2108" s="82"/>
      <c r="B2108" s="82"/>
      <c r="C2108" s="82"/>
      <c r="D2108" s="729"/>
      <c r="E2108" s="371" t="s">
        <v>113</v>
      </c>
      <c r="F2108" s="372"/>
      <c r="G2108" s="373"/>
      <c r="H2108" s="374"/>
      <c r="I2108" s="375"/>
      <c r="J2108" s="376">
        <f t="shared" si="297"/>
        <v>0</v>
      </c>
      <c r="K2108" s="66">
        <f t="shared" si="298"/>
        <v>0</v>
      </c>
      <c r="L2108" s="63">
        <f t="shared" si="299"/>
        <v>0</v>
      </c>
      <c r="M2108" s="63">
        <f t="shared" si="300"/>
        <v>0</v>
      </c>
      <c r="N2108" s="63">
        <f t="shared" si="301"/>
        <v>0</v>
      </c>
      <c r="O2108" s="63">
        <f t="shared" si="302"/>
        <v>0</v>
      </c>
      <c r="P2108" s="63">
        <f t="shared" si="303"/>
        <v>0</v>
      </c>
      <c r="Q2108" s="561">
        <f t="shared" si="92"/>
        <v>0</v>
      </c>
      <c r="R2108" s="174"/>
      <c r="T2108" s="82"/>
      <c r="U2108" s="82"/>
      <c r="V2108" s="82"/>
      <c r="W2108" s="82"/>
      <c r="X2108" s="82"/>
      <c r="Y2108" s="82"/>
      <c r="Z2108" s="82"/>
      <c r="AA2108" s="82"/>
      <c r="AB2108" s="82"/>
    </row>
    <row r="2109" spans="1:28" s="85" customFormat="1" x14ac:dyDescent="0.25">
      <c r="A2109" s="82"/>
      <c r="B2109" s="82"/>
      <c r="C2109" s="82"/>
      <c r="D2109" s="729"/>
      <c r="E2109" s="396" t="s">
        <v>184</v>
      </c>
      <c r="F2109" s="403"/>
      <c r="G2109" s="397"/>
      <c r="H2109" s="398"/>
      <c r="I2109" s="399"/>
      <c r="J2109" s="400">
        <f t="shared" si="297"/>
        <v>0</v>
      </c>
      <c r="K2109" s="401">
        <f t="shared" si="298"/>
        <v>0</v>
      </c>
      <c r="L2109" s="196">
        <f t="shared" si="299"/>
        <v>0</v>
      </c>
      <c r="M2109" s="196">
        <f t="shared" si="300"/>
        <v>0</v>
      </c>
      <c r="N2109" s="196">
        <f t="shared" si="301"/>
        <v>0</v>
      </c>
      <c r="O2109" s="196">
        <f t="shared" si="302"/>
        <v>0</v>
      </c>
      <c r="P2109" s="196">
        <f t="shared" si="303"/>
        <v>0</v>
      </c>
      <c r="Q2109" s="566">
        <f t="shared" si="92"/>
        <v>0</v>
      </c>
      <c r="R2109" s="538"/>
      <c r="T2109" s="82"/>
      <c r="U2109" s="82"/>
      <c r="V2109" s="82"/>
      <c r="W2109" s="82"/>
      <c r="X2109" s="82"/>
      <c r="Y2109" s="82"/>
      <c r="Z2109" s="82"/>
      <c r="AA2109" s="82"/>
      <c r="AB2109" s="82"/>
    </row>
    <row r="2110" spans="1:28" s="85" customFormat="1" x14ac:dyDescent="0.25">
      <c r="A2110" s="82"/>
      <c r="B2110" s="82"/>
      <c r="C2110" s="82"/>
      <c r="D2110" s="729"/>
      <c r="E2110" s="371" t="s">
        <v>184</v>
      </c>
      <c r="F2110" s="372"/>
      <c r="G2110" s="373"/>
      <c r="H2110" s="374"/>
      <c r="I2110" s="375"/>
      <c r="J2110" s="376">
        <f t="shared" si="297"/>
        <v>0</v>
      </c>
      <c r="K2110" s="66">
        <f t="shared" si="298"/>
        <v>0</v>
      </c>
      <c r="L2110" s="63">
        <f t="shared" si="299"/>
        <v>0</v>
      </c>
      <c r="M2110" s="63">
        <f t="shared" si="300"/>
        <v>0</v>
      </c>
      <c r="N2110" s="63">
        <f t="shared" si="301"/>
        <v>0</v>
      </c>
      <c r="O2110" s="63">
        <f t="shared" si="302"/>
        <v>0</v>
      </c>
      <c r="P2110" s="63">
        <f t="shared" si="303"/>
        <v>0</v>
      </c>
      <c r="Q2110" s="562">
        <f t="shared" si="92"/>
        <v>0</v>
      </c>
      <c r="R2110" s="377"/>
      <c r="T2110" s="82"/>
      <c r="U2110" s="82"/>
      <c r="V2110" s="82"/>
      <c r="W2110" s="82"/>
      <c r="X2110" s="82"/>
      <c r="Y2110" s="82"/>
      <c r="Z2110" s="82"/>
      <c r="AA2110" s="82"/>
      <c r="AB2110" s="82"/>
    </row>
    <row r="2111" spans="1:28" s="85" customFormat="1" x14ac:dyDescent="0.25">
      <c r="A2111" s="82"/>
      <c r="B2111" s="82"/>
      <c r="C2111" s="82"/>
      <c r="D2111" s="729"/>
      <c r="E2111" s="371" t="s">
        <v>184</v>
      </c>
      <c r="F2111" s="372"/>
      <c r="G2111" s="373"/>
      <c r="H2111" s="374"/>
      <c r="I2111" s="375"/>
      <c r="J2111" s="376">
        <f t="shared" si="297"/>
        <v>0</v>
      </c>
      <c r="K2111" s="66">
        <f t="shared" si="298"/>
        <v>0</v>
      </c>
      <c r="L2111" s="63">
        <f t="shared" si="299"/>
        <v>0</v>
      </c>
      <c r="M2111" s="63">
        <f t="shared" si="300"/>
        <v>0</v>
      </c>
      <c r="N2111" s="63">
        <f t="shared" si="301"/>
        <v>0</v>
      </c>
      <c r="O2111" s="63">
        <f t="shared" si="302"/>
        <v>0</v>
      </c>
      <c r="P2111" s="63">
        <f t="shared" si="303"/>
        <v>0</v>
      </c>
      <c r="Q2111" s="562">
        <f t="shared" si="92"/>
        <v>0</v>
      </c>
      <c r="R2111" s="377"/>
      <c r="T2111" s="82"/>
      <c r="U2111" s="82"/>
      <c r="V2111" s="82"/>
      <c r="W2111" s="82"/>
      <c r="X2111" s="82"/>
      <c r="Y2111" s="82"/>
      <c r="Z2111" s="82"/>
      <c r="AA2111" s="82"/>
      <c r="AB2111" s="82"/>
    </row>
    <row r="2112" spans="1:28" s="85" customFormat="1" ht="13.8" thickBot="1" x14ac:dyDescent="0.3">
      <c r="A2112" s="82"/>
      <c r="B2112" s="82"/>
      <c r="C2112" s="82"/>
      <c r="D2112" s="731"/>
      <c r="E2112" s="390" t="s">
        <v>184</v>
      </c>
      <c r="F2112" s="391"/>
      <c r="G2112" s="392"/>
      <c r="H2112" s="393"/>
      <c r="I2112" s="394"/>
      <c r="J2112" s="395">
        <f t="shared" si="297"/>
        <v>0</v>
      </c>
      <c r="K2112" s="221">
        <f t="shared" si="298"/>
        <v>0</v>
      </c>
      <c r="L2112" s="222">
        <f t="shared" si="299"/>
        <v>0</v>
      </c>
      <c r="M2112" s="222">
        <f t="shared" si="300"/>
        <v>0</v>
      </c>
      <c r="N2112" s="222">
        <f t="shared" si="301"/>
        <v>0</v>
      </c>
      <c r="O2112" s="222">
        <f t="shared" si="302"/>
        <v>0</v>
      </c>
      <c r="P2112" s="222">
        <f t="shared" si="303"/>
        <v>0</v>
      </c>
      <c r="Q2112" s="564">
        <f t="shared" si="92"/>
        <v>0</v>
      </c>
      <c r="R2112" s="539"/>
      <c r="T2112" s="82"/>
      <c r="U2112" s="82"/>
      <c r="V2112" s="82"/>
      <c r="W2112" s="82"/>
      <c r="X2112" s="82"/>
      <c r="Y2112" s="82"/>
      <c r="Z2112" s="82"/>
      <c r="AA2112" s="82"/>
      <c r="AB2112" s="82"/>
    </row>
    <row r="2113" spans="1:28" s="85" customFormat="1" ht="13.8" thickTop="1" x14ac:dyDescent="0.25">
      <c r="A2113" s="82"/>
      <c r="B2113" s="82"/>
      <c r="C2113" s="82"/>
      <c r="D2113" s="728"/>
      <c r="E2113" s="384" t="s">
        <v>49</v>
      </c>
      <c r="F2113" s="385"/>
      <c r="G2113" s="386"/>
      <c r="H2113" s="387"/>
      <c r="I2113" s="388"/>
      <c r="J2113" s="389">
        <f t="shared" si="297"/>
        <v>0</v>
      </c>
      <c r="K2113" s="218">
        <f t="shared" si="298"/>
        <v>0</v>
      </c>
      <c r="L2113" s="219">
        <f t="shared" si="299"/>
        <v>0</v>
      </c>
      <c r="M2113" s="219">
        <f t="shared" si="300"/>
        <v>0</v>
      </c>
      <c r="N2113" s="219">
        <f t="shared" si="301"/>
        <v>0</v>
      </c>
      <c r="O2113" s="219">
        <f t="shared" si="302"/>
        <v>0</v>
      </c>
      <c r="P2113" s="219">
        <f t="shared" si="303"/>
        <v>0</v>
      </c>
      <c r="Q2113" s="563">
        <f t="shared" si="92"/>
        <v>0</v>
      </c>
      <c r="R2113" s="220"/>
      <c r="T2113" s="82"/>
      <c r="U2113" s="82"/>
      <c r="V2113" s="82"/>
      <c r="W2113" s="82"/>
      <c r="X2113" s="82"/>
      <c r="Y2113" s="82"/>
      <c r="Z2113" s="82"/>
      <c r="AA2113" s="82"/>
      <c r="AB2113" s="82"/>
    </row>
    <row r="2114" spans="1:28" s="85" customFormat="1" x14ac:dyDescent="0.25">
      <c r="A2114" s="82"/>
      <c r="B2114" s="82"/>
      <c r="C2114" s="82"/>
      <c r="D2114" s="729"/>
      <c r="E2114" s="371" t="s">
        <v>49</v>
      </c>
      <c r="F2114" s="372"/>
      <c r="G2114" s="373"/>
      <c r="H2114" s="374"/>
      <c r="I2114" s="375"/>
      <c r="J2114" s="376">
        <f t="shared" si="297"/>
        <v>0</v>
      </c>
      <c r="K2114" s="66">
        <f t="shared" si="298"/>
        <v>0</v>
      </c>
      <c r="L2114" s="63">
        <f t="shared" si="299"/>
        <v>0</v>
      </c>
      <c r="M2114" s="63">
        <f t="shared" si="300"/>
        <v>0</v>
      </c>
      <c r="N2114" s="63">
        <f t="shared" si="301"/>
        <v>0</v>
      </c>
      <c r="O2114" s="63">
        <f t="shared" si="302"/>
        <v>0</v>
      </c>
      <c r="P2114" s="63">
        <f t="shared" si="303"/>
        <v>0</v>
      </c>
      <c r="Q2114" s="561">
        <f t="shared" si="92"/>
        <v>0</v>
      </c>
      <c r="R2114" s="174"/>
      <c r="T2114" s="82"/>
      <c r="U2114" s="82"/>
      <c r="V2114" s="82"/>
      <c r="W2114" s="82"/>
      <c r="X2114" s="82"/>
      <c r="Y2114" s="82"/>
      <c r="Z2114" s="82"/>
      <c r="AA2114" s="82"/>
      <c r="AB2114" s="82"/>
    </row>
    <row r="2115" spans="1:28" s="85" customFormat="1" x14ac:dyDescent="0.25">
      <c r="A2115" s="82"/>
      <c r="B2115" s="82"/>
      <c r="C2115" s="82"/>
      <c r="D2115" s="729"/>
      <c r="E2115" s="371" t="s">
        <v>49</v>
      </c>
      <c r="F2115" s="372"/>
      <c r="G2115" s="373"/>
      <c r="H2115" s="374"/>
      <c r="I2115" s="375"/>
      <c r="J2115" s="376">
        <f t="shared" si="297"/>
        <v>0</v>
      </c>
      <c r="K2115" s="66">
        <f t="shared" si="298"/>
        <v>0</v>
      </c>
      <c r="L2115" s="63">
        <f t="shared" si="299"/>
        <v>0</v>
      </c>
      <c r="M2115" s="63">
        <f t="shared" si="300"/>
        <v>0</v>
      </c>
      <c r="N2115" s="63">
        <f t="shared" si="301"/>
        <v>0</v>
      </c>
      <c r="O2115" s="63">
        <f t="shared" si="302"/>
        <v>0</v>
      </c>
      <c r="P2115" s="63">
        <f t="shared" si="303"/>
        <v>0</v>
      </c>
      <c r="Q2115" s="561">
        <f t="shared" si="92"/>
        <v>0</v>
      </c>
      <c r="R2115" s="174"/>
      <c r="T2115" s="82"/>
      <c r="U2115" s="82"/>
      <c r="V2115" s="82"/>
      <c r="W2115" s="82"/>
      <c r="X2115" s="82"/>
      <c r="Y2115" s="82"/>
      <c r="Z2115" s="82"/>
      <c r="AA2115" s="82"/>
      <c r="AB2115" s="82"/>
    </row>
    <row r="2116" spans="1:28" s="85" customFormat="1" x14ac:dyDescent="0.25">
      <c r="A2116" s="82"/>
      <c r="B2116" s="82"/>
      <c r="C2116" s="82"/>
      <c r="D2116" s="729"/>
      <c r="E2116" s="371" t="s">
        <v>49</v>
      </c>
      <c r="F2116" s="372"/>
      <c r="G2116" s="373"/>
      <c r="H2116" s="374"/>
      <c r="I2116" s="375"/>
      <c r="J2116" s="376">
        <f t="shared" si="297"/>
        <v>0</v>
      </c>
      <c r="K2116" s="66">
        <f t="shared" si="298"/>
        <v>0</v>
      </c>
      <c r="L2116" s="63">
        <f t="shared" si="299"/>
        <v>0</v>
      </c>
      <c r="M2116" s="63">
        <f t="shared" si="300"/>
        <v>0</v>
      </c>
      <c r="N2116" s="63">
        <f t="shared" si="301"/>
        <v>0</v>
      </c>
      <c r="O2116" s="63">
        <f t="shared" si="302"/>
        <v>0</v>
      </c>
      <c r="P2116" s="63">
        <f t="shared" si="303"/>
        <v>0</v>
      </c>
      <c r="Q2116" s="561">
        <f t="shared" si="92"/>
        <v>0</v>
      </c>
      <c r="R2116" s="174"/>
      <c r="T2116" s="82"/>
      <c r="U2116" s="82"/>
      <c r="V2116" s="82"/>
      <c r="W2116" s="82"/>
      <c r="X2116" s="82"/>
      <c r="Y2116" s="82"/>
      <c r="Z2116" s="82"/>
      <c r="AA2116" s="82"/>
      <c r="AB2116" s="82"/>
    </row>
    <row r="2117" spans="1:28" s="85" customFormat="1" x14ac:dyDescent="0.25">
      <c r="A2117" s="82"/>
      <c r="B2117" s="82"/>
      <c r="C2117" s="82"/>
      <c r="D2117" s="729"/>
      <c r="E2117" s="371" t="s">
        <v>113</v>
      </c>
      <c r="F2117" s="372"/>
      <c r="G2117" s="373"/>
      <c r="H2117" s="374"/>
      <c r="I2117" s="375"/>
      <c r="J2117" s="376">
        <f t="shared" si="297"/>
        <v>0</v>
      </c>
      <c r="K2117" s="66">
        <f t="shared" si="298"/>
        <v>0</v>
      </c>
      <c r="L2117" s="63">
        <f t="shared" si="299"/>
        <v>0</v>
      </c>
      <c r="M2117" s="63">
        <f t="shared" si="300"/>
        <v>0</v>
      </c>
      <c r="N2117" s="63">
        <f t="shared" si="301"/>
        <v>0</v>
      </c>
      <c r="O2117" s="63">
        <f t="shared" si="302"/>
        <v>0</v>
      </c>
      <c r="P2117" s="63">
        <f t="shared" si="303"/>
        <v>0</v>
      </c>
      <c r="Q2117" s="561">
        <f t="shared" si="92"/>
        <v>0</v>
      </c>
      <c r="R2117" s="174"/>
      <c r="T2117" s="82"/>
      <c r="U2117" s="82"/>
      <c r="V2117" s="82"/>
      <c r="W2117" s="82"/>
      <c r="X2117" s="82"/>
      <c r="Y2117" s="82"/>
      <c r="Z2117" s="82"/>
      <c r="AA2117" s="82"/>
      <c r="AB2117" s="82"/>
    </row>
    <row r="2118" spans="1:28" s="85" customFormat="1" x14ac:dyDescent="0.25">
      <c r="A2118" s="82"/>
      <c r="B2118" s="82"/>
      <c r="C2118" s="82"/>
      <c r="D2118" s="729"/>
      <c r="E2118" s="371" t="s">
        <v>113</v>
      </c>
      <c r="F2118" s="372"/>
      <c r="G2118" s="373"/>
      <c r="H2118" s="374"/>
      <c r="I2118" s="375"/>
      <c r="J2118" s="376">
        <f t="shared" si="297"/>
        <v>0</v>
      </c>
      <c r="K2118" s="66">
        <f t="shared" si="298"/>
        <v>0</v>
      </c>
      <c r="L2118" s="63">
        <f t="shared" si="299"/>
        <v>0</v>
      </c>
      <c r="M2118" s="63">
        <f t="shared" si="300"/>
        <v>0</v>
      </c>
      <c r="N2118" s="63">
        <f t="shared" si="301"/>
        <v>0</v>
      </c>
      <c r="O2118" s="63">
        <f t="shared" si="302"/>
        <v>0</v>
      </c>
      <c r="P2118" s="63">
        <f t="shared" si="303"/>
        <v>0</v>
      </c>
      <c r="Q2118" s="561">
        <f t="shared" si="92"/>
        <v>0</v>
      </c>
      <c r="R2118" s="174"/>
      <c r="T2118" s="82"/>
      <c r="U2118" s="82"/>
      <c r="V2118" s="82"/>
      <c r="W2118" s="82"/>
      <c r="X2118" s="82"/>
      <c r="Y2118" s="82"/>
      <c r="Z2118" s="82"/>
      <c r="AA2118" s="82"/>
      <c r="AB2118" s="82"/>
    </row>
    <row r="2119" spans="1:28" s="85" customFormat="1" x14ac:dyDescent="0.25">
      <c r="A2119" s="82"/>
      <c r="B2119" s="82"/>
      <c r="C2119" s="82"/>
      <c r="D2119" s="729"/>
      <c r="E2119" s="371" t="s">
        <v>113</v>
      </c>
      <c r="F2119" s="372"/>
      <c r="G2119" s="373"/>
      <c r="H2119" s="374"/>
      <c r="I2119" s="375"/>
      <c r="J2119" s="376">
        <f t="shared" si="297"/>
        <v>0</v>
      </c>
      <c r="K2119" s="66">
        <f t="shared" si="298"/>
        <v>0</v>
      </c>
      <c r="L2119" s="63">
        <f t="shared" si="299"/>
        <v>0</v>
      </c>
      <c r="M2119" s="63">
        <f t="shared" si="300"/>
        <v>0</v>
      </c>
      <c r="N2119" s="63">
        <f t="shared" si="301"/>
        <v>0</v>
      </c>
      <c r="O2119" s="63">
        <f t="shared" si="302"/>
        <v>0</v>
      </c>
      <c r="P2119" s="63">
        <f t="shared" si="303"/>
        <v>0</v>
      </c>
      <c r="Q2119" s="561">
        <f t="shared" si="92"/>
        <v>0</v>
      </c>
      <c r="R2119" s="174"/>
      <c r="T2119" s="82"/>
      <c r="U2119" s="82"/>
      <c r="V2119" s="82"/>
      <c r="W2119" s="82"/>
      <c r="X2119" s="82"/>
      <c r="Y2119" s="82"/>
      <c r="Z2119" s="82"/>
      <c r="AA2119" s="82"/>
      <c r="AB2119" s="82"/>
    </row>
    <row r="2120" spans="1:28" s="85" customFormat="1" x14ac:dyDescent="0.25">
      <c r="A2120" s="82"/>
      <c r="B2120" s="82"/>
      <c r="C2120" s="82"/>
      <c r="D2120" s="729"/>
      <c r="E2120" s="371" t="s">
        <v>113</v>
      </c>
      <c r="F2120" s="372"/>
      <c r="G2120" s="373"/>
      <c r="H2120" s="374"/>
      <c r="I2120" s="375"/>
      <c r="J2120" s="376">
        <f t="shared" si="297"/>
        <v>0</v>
      </c>
      <c r="K2120" s="66">
        <f t="shared" si="298"/>
        <v>0</v>
      </c>
      <c r="L2120" s="63">
        <f t="shared" si="299"/>
        <v>0</v>
      </c>
      <c r="M2120" s="63">
        <f t="shared" si="300"/>
        <v>0</v>
      </c>
      <c r="N2120" s="63">
        <f t="shared" si="301"/>
        <v>0</v>
      </c>
      <c r="O2120" s="63">
        <f t="shared" si="302"/>
        <v>0</v>
      </c>
      <c r="P2120" s="63">
        <f t="shared" si="303"/>
        <v>0</v>
      </c>
      <c r="Q2120" s="561">
        <f t="shared" si="92"/>
        <v>0</v>
      </c>
      <c r="R2120" s="174"/>
      <c r="T2120" s="82"/>
      <c r="U2120" s="82"/>
      <c r="V2120" s="82"/>
      <c r="W2120" s="82"/>
      <c r="X2120" s="82"/>
      <c r="Y2120" s="82"/>
      <c r="Z2120" s="82"/>
      <c r="AA2120" s="82"/>
      <c r="AB2120" s="82"/>
    </row>
    <row r="2121" spans="1:28" s="85" customFormat="1" x14ac:dyDescent="0.25">
      <c r="A2121" s="82"/>
      <c r="B2121" s="82"/>
      <c r="C2121" s="82"/>
      <c r="D2121" s="729"/>
      <c r="E2121" s="396" t="s">
        <v>184</v>
      </c>
      <c r="F2121" s="403"/>
      <c r="G2121" s="397"/>
      <c r="H2121" s="398"/>
      <c r="I2121" s="399"/>
      <c r="J2121" s="400">
        <f t="shared" si="297"/>
        <v>0</v>
      </c>
      <c r="K2121" s="401">
        <f t="shared" si="298"/>
        <v>0</v>
      </c>
      <c r="L2121" s="196">
        <f t="shared" si="299"/>
        <v>0</v>
      </c>
      <c r="M2121" s="196">
        <f t="shared" si="300"/>
        <v>0</v>
      </c>
      <c r="N2121" s="196">
        <f t="shared" si="301"/>
        <v>0</v>
      </c>
      <c r="O2121" s="196">
        <f t="shared" si="302"/>
        <v>0</v>
      </c>
      <c r="P2121" s="196">
        <f t="shared" si="303"/>
        <v>0</v>
      </c>
      <c r="Q2121" s="566">
        <f t="shared" si="92"/>
        <v>0</v>
      </c>
      <c r="R2121" s="538"/>
      <c r="T2121" s="82"/>
      <c r="U2121" s="82"/>
      <c r="V2121" s="82"/>
      <c r="W2121" s="82"/>
      <c r="X2121" s="82"/>
      <c r="Y2121" s="82"/>
      <c r="Z2121" s="82"/>
      <c r="AA2121" s="82"/>
      <c r="AB2121" s="82"/>
    </row>
    <row r="2122" spans="1:28" s="85" customFormat="1" x14ac:dyDescent="0.25">
      <c r="A2122" s="82"/>
      <c r="B2122" s="82"/>
      <c r="C2122" s="82"/>
      <c r="D2122" s="729"/>
      <c r="E2122" s="371" t="s">
        <v>184</v>
      </c>
      <c r="F2122" s="372"/>
      <c r="G2122" s="373"/>
      <c r="H2122" s="374"/>
      <c r="I2122" s="375"/>
      <c r="J2122" s="376">
        <f t="shared" si="297"/>
        <v>0</v>
      </c>
      <c r="K2122" s="66">
        <f t="shared" si="298"/>
        <v>0</v>
      </c>
      <c r="L2122" s="63">
        <f t="shared" si="299"/>
        <v>0</v>
      </c>
      <c r="M2122" s="63">
        <f t="shared" si="300"/>
        <v>0</v>
      </c>
      <c r="N2122" s="63">
        <f t="shared" si="301"/>
        <v>0</v>
      </c>
      <c r="O2122" s="63">
        <f t="shared" si="302"/>
        <v>0</v>
      </c>
      <c r="P2122" s="63">
        <f t="shared" si="303"/>
        <v>0</v>
      </c>
      <c r="Q2122" s="562">
        <f t="shared" si="92"/>
        <v>0</v>
      </c>
      <c r="R2122" s="377"/>
      <c r="T2122" s="82"/>
      <c r="U2122" s="82"/>
      <c r="V2122" s="82"/>
      <c r="W2122" s="82"/>
      <c r="X2122" s="82"/>
      <c r="Y2122" s="82"/>
      <c r="Z2122" s="82"/>
      <c r="AA2122" s="82"/>
      <c r="AB2122" s="82"/>
    </row>
    <row r="2123" spans="1:28" s="85" customFormat="1" x14ac:dyDescent="0.25">
      <c r="A2123" s="82"/>
      <c r="B2123" s="82"/>
      <c r="C2123" s="82"/>
      <c r="D2123" s="729"/>
      <c r="E2123" s="371" t="s">
        <v>184</v>
      </c>
      <c r="F2123" s="372"/>
      <c r="G2123" s="373"/>
      <c r="H2123" s="374"/>
      <c r="I2123" s="375"/>
      <c r="J2123" s="376">
        <f t="shared" si="297"/>
        <v>0</v>
      </c>
      <c r="K2123" s="66">
        <f t="shared" si="298"/>
        <v>0</v>
      </c>
      <c r="L2123" s="63">
        <f t="shared" si="299"/>
        <v>0</v>
      </c>
      <c r="M2123" s="63">
        <f t="shared" si="300"/>
        <v>0</v>
      </c>
      <c r="N2123" s="63">
        <f t="shared" si="301"/>
        <v>0</v>
      </c>
      <c r="O2123" s="63">
        <f t="shared" si="302"/>
        <v>0</v>
      </c>
      <c r="P2123" s="63">
        <f t="shared" si="303"/>
        <v>0</v>
      </c>
      <c r="Q2123" s="562">
        <f t="shared" si="92"/>
        <v>0</v>
      </c>
      <c r="R2123" s="377"/>
      <c r="T2123" s="82"/>
      <c r="U2123" s="82"/>
      <c r="V2123" s="82"/>
      <c r="W2123" s="82"/>
      <c r="X2123" s="82"/>
      <c r="Y2123" s="82"/>
      <c r="Z2123" s="82"/>
      <c r="AA2123" s="82"/>
      <c r="AB2123" s="82"/>
    </row>
    <row r="2124" spans="1:28" s="85" customFormat="1" ht="13.8" thickBot="1" x14ac:dyDescent="0.3">
      <c r="A2124" s="82"/>
      <c r="B2124" s="82"/>
      <c r="C2124" s="82"/>
      <c r="D2124" s="731"/>
      <c r="E2124" s="390" t="s">
        <v>184</v>
      </c>
      <c r="F2124" s="391"/>
      <c r="G2124" s="392"/>
      <c r="H2124" s="393"/>
      <c r="I2124" s="394"/>
      <c r="J2124" s="395">
        <f t="shared" si="297"/>
        <v>0</v>
      </c>
      <c r="K2124" s="221">
        <f t="shared" si="298"/>
        <v>0</v>
      </c>
      <c r="L2124" s="222">
        <f t="shared" si="299"/>
        <v>0</v>
      </c>
      <c r="M2124" s="222">
        <f t="shared" si="300"/>
        <v>0</v>
      </c>
      <c r="N2124" s="222">
        <f t="shared" si="301"/>
        <v>0</v>
      </c>
      <c r="O2124" s="222">
        <f t="shared" si="302"/>
        <v>0</v>
      </c>
      <c r="P2124" s="222">
        <f t="shared" si="303"/>
        <v>0</v>
      </c>
      <c r="Q2124" s="564">
        <f t="shared" si="92"/>
        <v>0</v>
      </c>
      <c r="R2124" s="539"/>
      <c r="T2124" s="82"/>
      <c r="U2124" s="82"/>
      <c r="V2124" s="82"/>
      <c r="W2124" s="82"/>
      <c r="X2124" s="82"/>
      <c r="Y2124" s="82"/>
      <c r="Z2124" s="82"/>
      <c r="AA2124" s="82"/>
      <c r="AB2124" s="82"/>
    </row>
    <row r="2125" spans="1:28" s="85" customFormat="1" ht="13.8" thickTop="1" x14ac:dyDescent="0.25">
      <c r="A2125" s="82"/>
      <c r="B2125" s="82"/>
      <c r="C2125" s="82"/>
      <c r="D2125" s="728"/>
      <c r="E2125" s="384" t="s">
        <v>49</v>
      </c>
      <c r="F2125" s="385"/>
      <c r="G2125" s="386"/>
      <c r="H2125" s="387"/>
      <c r="I2125" s="388"/>
      <c r="J2125" s="389">
        <f t="shared" si="297"/>
        <v>0</v>
      </c>
      <c r="K2125" s="218">
        <f t="shared" si="298"/>
        <v>0</v>
      </c>
      <c r="L2125" s="219">
        <f t="shared" si="299"/>
        <v>0</v>
      </c>
      <c r="M2125" s="219">
        <f t="shared" si="300"/>
        <v>0</v>
      </c>
      <c r="N2125" s="219">
        <f t="shared" si="301"/>
        <v>0</v>
      </c>
      <c r="O2125" s="219">
        <f t="shared" si="302"/>
        <v>0</v>
      </c>
      <c r="P2125" s="219">
        <f t="shared" si="303"/>
        <v>0</v>
      </c>
      <c r="Q2125" s="563">
        <f t="shared" si="92"/>
        <v>0</v>
      </c>
      <c r="R2125" s="220"/>
      <c r="T2125" s="82"/>
      <c r="U2125" s="82"/>
      <c r="V2125" s="82"/>
      <c r="W2125" s="82"/>
      <c r="X2125" s="82"/>
      <c r="Y2125" s="82"/>
      <c r="Z2125" s="82"/>
      <c r="AA2125" s="82"/>
      <c r="AB2125" s="82"/>
    </row>
    <row r="2126" spans="1:28" s="85" customFormat="1" x14ac:dyDescent="0.25">
      <c r="A2126" s="82"/>
      <c r="B2126" s="82"/>
      <c r="C2126" s="82"/>
      <c r="D2126" s="729"/>
      <c r="E2126" s="371" t="s">
        <v>49</v>
      </c>
      <c r="F2126" s="372"/>
      <c r="G2126" s="373"/>
      <c r="H2126" s="374"/>
      <c r="I2126" s="375"/>
      <c r="J2126" s="376">
        <f t="shared" si="297"/>
        <v>0</v>
      </c>
      <c r="K2126" s="66">
        <f t="shared" si="298"/>
        <v>0</v>
      </c>
      <c r="L2126" s="63">
        <f t="shared" si="299"/>
        <v>0</v>
      </c>
      <c r="M2126" s="63">
        <f t="shared" si="300"/>
        <v>0</v>
      </c>
      <c r="N2126" s="63">
        <f t="shared" si="301"/>
        <v>0</v>
      </c>
      <c r="O2126" s="63">
        <f t="shared" si="302"/>
        <v>0</v>
      </c>
      <c r="P2126" s="63">
        <f t="shared" si="303"/>
        <v>0</v>
      </c>
      <c r="Q2126" s="561">
        <f t="shared" si="92"/>
        <v>0</v>
      </c>
      <c r="R2126" s="174"/>
      <c r="T2126" s="82"/>
      <c r="U2126" s="82"/>
      <c r="V2126" s="82"/>
      <c r="W2126" s="82"/>
      <c r="X2126" s="82"/>
      <c r="Y2126" s="82"/>
      <c r="Z2126" s="82"/>
      <c r="AA2126" s="82"/>
      <c r="AB2126" s="82"/>
    </row>
    <row r="2127" spans="1:28" s="85" customFormat="1" x14ac:dyDescent="0.25">
      <c r="A2127" s="82"/>
      <c r="B2127" s="82"/>
      <c r="C2127" s="82"/>
      <c r="D2127" s="729"/>
      <c r="E2127" s="371" t="s">
        <v>49</v>
      </c>
      <c r="F2127" s="372"/>
      <c r="G2127" s="373"/>
      <c r="H2127" s="374"/>
      <c r="I2127" s="375"/>
      <c r="J2127" s="376">
        <f t="shared" si="297"/>
        <v>0</v>
      </c>
      <c r="K2127" s="66">
        <f t="shared" si="298"/>
        <v>0</v>
      </c>
      <c r="L2127" s="63">
        <f t="shared" si="299"/>
        <v>0</v>
      </c>
      <c r="M2127" s="63">
        <f t="shared" si="300"/>
        <v>0</v>
      </c>
      <c r="N2127" s="63">
        <f t="shared" si="301"/>
        <v>0</v>
      </c>
      <c r="O2127" s="63">
        <f t="shared" si="302"/>
        <v>0</v>
      </c>
      <c r="P2127" s="63">
        <f t="shared" si="303"/>
        <v>0</v>
      </c>
      <c r="Q2127" s="561">
        <f t="shared" si="92"/>
        <v>0</v>
      </c>
      <c r="R2127" s="174"/>
      <c r="T2127" s="82"/>
      <c r="U2127" s="82"/>
      <c r="V2127" s="82"/>
      <c r="W2127" s="82"/>
      <c r="X2127" s="82"/>
      <c r="Y2127" s="82"/>
      <c r="Z2127" s="82"/>
      <c r="AA2127" s="82"/>
      <c r="AB2127" s="82"/>
    </row>
    <row r="2128" spans="1:28" s="85" customFormat="1" x14ac:dyDescent="0.25">
      <c r="A2128" s="82"/>
      <c r="B2128" s="82"/>
      <c r="C2128" s="82"/>
      <c r="D2128" s="729"/>
      <c r="E2128" s="371" t="s">
        <v>49</v>
      </c>
      <c r="F2128" s="372"/>
      <c r="G2128" s="373"/>
      <c r="H2128" s="374"/>
      <c r="I2128" s="375"/>
      <c r="J2128" s="376">
        <f t="shared" si="297"/>
        <v>0</v>
      </c>
      <c r="K2128" s="66">
        <f t="shared" si="298"/>
        <v>0</v>
      </c>
      <c r="L2128" s="63">
        <f t="shared" si="299"/>
        <v>0</v>
      </c>
      <c r="M2128" s="63">
        <f t="shared" si="300"/>
        <v>0</v>
      </c>
      <c r="N2128" s="63">
        <f t="shared" si="301"/>
        <v>0</v>
      </c>
      <c r="O2128" s="63">
        <f t="shared" si="302"/>
        <v>0</v>
      </c>
      <c r="P2128" s="63">
        <f t="shared" si="303"/>
        <v>0</v>
      </c>
      <c r="Q2128" s="561">
        <f t="shared" si="92"/>
        <v>0</v>
      </c>
      <c r="R2128" s="174"/>
      <c r="T2128" s="82"/>
      <c r="U2128" s="82"/>
      <c r="V2128" s="82"/>
      <c r="W2128" s="82"/>
      <c r="X2128" s="82"/>
      <c r="Y2128" s="82"/>
      <c r="Z2128" s="82"/>
      <c r="AA2128" s="82"/>
      <c r="AB2128" s="82"/>
    </row>
    <row r="2129" spans="1:28" s="85" customFormat="1" x14ac:dyDescent="0.25">
      <c r="A2129" s="82"/>
      <c r="B2129" s="82"/>
      <c r="C2129" s="82"/>
      <c r="D2129" s="729"/>
      <c r="E2129" s="371" t="s">
        <v>113</v>
      </c>
      <c r="F2129" s="372"/>
      <c r="G2129" s="373"/>
      <c r="H2129" s="374"/>
      <c r="I2129" s="375"/>
      <c r="J2129" s="376">
        <f t="shared" si="297"/>
        <v>0</v>
      </c>
      <c r="K2129" s="66">
        <f t="shared" si="298"/>
        <v>0</v>
      </c>
      <c r="L2129" s="63">
        <f t="shared" si="299"/>
        <v>0</v>
      </c>
      <c r="M2129" s="63">
        <f t="shared" si="300"/>
        <v>0</v>
      </c>
      <c r="N2129" s="63">
        <f t="shared" si="301"/>
        <v>0</v>
      </c>
      <c r="O2129" s="63">
        <f t="shared" si="302"/>
        <v>0</v>
      </c>
      <c r="P2129" s="63">
        <f t="shared" si="303"/>
        <v>0</v>
      </c>
      <c r="Q2129" s="561">
        <f t="shared" si="92"/>
        <v>0</v>
      </c>
      <c r="R2129" s="174"/>
      <c r="T2129" s="82"/>
      <c r="U2129" s="82"/>
      <c r="V2129" s="82"/>
      <c r="W2129" s="82"/>
      <c r="X2129" s="82"/>
      <c r="Y2129" s="82"/>
      <c r="Z2129" s="82"/>
      <c r="AA2129" s="82"/>
      <c r="AB2129" s="82"/>
    </row>
    <row r="2130" spans="1:28" s="85" customFormat="1" x14ac:dyDescent="0.25">
      <c r="A2130" s="82"/>
      <c r="B2130" s="82"/>
      <c r="C2130" s="82"/>
      <c r="D2130" s="729"/>
      <c r="E2130" s="371" t="s">
        <v>113</v>
      </c>
      <c r="F2130" s="372"/>
      <c r="G2130" s="373"/>
      <c r="H2130" s="374"/>
      <c r="I2130" s="375"/>
      <c r="J2130" s="376">
        <f t="shared" si="297"/>
        <v>0</v>
      </c>
      <c r="K2130" s="66">
        <f t="shared" si="298"/>
        <v>0</v>
      </c>
      <c r="L2130" s="63">
        <f t="shared" si="299"/>
        <v>0</v>
      </c>
      <c r="M2130" s="63">
        <f t="shared" si="300"/>
        <v>0</v>
      </c>
      <c r="N2130" s="63">
        <f t="shared" si="301"/>
        <v>0</v>
      </c>
      <c r="O2130" s="63">
        <f t="shared" si="302"/>
        <v>0</v>
      </c>
      <c r="P2130" s="63">
        <f t="shared" si="303"/>
        <v>0</v>
      </c>
      <c r="Q2130" s="561">
        <f t="shared" si="92"/>
        <v>0</v>
      </c>
      <c r="R2130" s="174"/>
      <c r="T2130" s="82"/>
      <c r="U2130" s="82"/>
      <c r="V2130" s="82"/>
      <c r="W2130" s="82"/>
      <c r="X2130" s="82"/>
      <c r="Y2130" s="82"/>
      <c r="Z2130" s="82"/>
      <c r="AA2130" s="82"/>
      <c r="AB2130" s="82"/>
    </row>
    <row r="2131" spans="1:28" s="85" customFormat="1" x14ac:dyDescent="0.25">
      <c r="A2131" s="82"/>
      <c r="B2131" s="82"/>
      <c r="C2131" s="82"/>
      <c r="D2131" s="729"/>
      <c r="E2131" s="371" t="s">
        <v>113</v>
      </c>
      <c r="F2131" s="372"/>
      <c r="G2131" s="373"/>
      <c r="H2131" s="374"/>
      <c r="I2131" s="375"/>
      <c r="J2131" s="376">
        <f t="shared" si="297"/>
        <v>0</v>
      </c>
      <c r="K2131" s="66">
        <f t="shared" si="298"/>
        <v>0</v>
      </c>
      <c r="L2131" s="63">
        <f t="shared" si="299"/>
        <v>0</v>
      </c>
      <c r="M2131" s="63">
        <f t="shared" si="300"/>
        <v>0</v>
      </c>
      <c r="N2131" s="63">
        <f t="shared" si="301"/>
        <v>0</v>
      </c>
      <c r="O2131" s="63">
        <f t="shared" si="302"/>
        <v>0</v>
      </c>
      <c r="P2131" s="63">
        <f t="shared" si="303"/>
        <v>0</v>
      </c>
      <c r="Q2131" s="561">
        <f t="shared" si="92"/>
        <v>0</v>
      </c>
      <c r="R2131" s="174"/>
      <c r="T2131" s="82"/>
      <c r="U2131" s="82"/>
      <c r="V2131" s="82"/>
      <c r="W2131" s="82"/>
      <c r="X2131" s="82"/>
      <c r="Y2131" s="82"/>
      <c r="Z2131" s="82"/>
      <c r="AA2131" s="82"/>
      <c r="AB2131" s="82"/>
    </row>
    <row r="2132" spans="1:28" s="85" customFormat="1" x14ac:dyDescent="0.25">
      <c r="A2132" s="82"/>
      <c r="B2132" s="82"/>
      <c r="C2132" s="82"/>
      <c r="D2132" s="729"/>
      <c r="E2132" s="371" t="s">
        <v>113</v>
      </c>
      <c r="F2132" s="372"/>
      <c r="G2132" s="373"/>
      <c r="H2132" s="374"/>
      <c r="I2132" s="375"/>
      <c r="J2132" s="376">
        <f t="shared" si="297"/>
        <v>0</v>
      </c>
      <c r="K2132" s="66">
        <f t="shared" si="298"/>
        <v>0</v>
      </c>
      <c r="L2132" s="63">
        <f t="shared" si="299"/>
        <v>0</v>
      </c>
      <c r="M2132" s="63">
        <f t="shared" si="300"/>
        <v>0</v>
      </c>
      <c r="N2132" s="63">
        <f t="shared" si="301"/>
        <v>0</v>
      </c>
      <c r="O2132" s="63">
        <f t="shared" si="302"/>
        <v>0</v>
      </c>
      <c r="P2132" s="63">
        <f t="shared" si="303"/>
        <v>0</v>
      </c>
      <c r="Q2132" s="561">
        <f t="shared" si="92"/>
        <v>0</v>
      </c>
      <c r="R2132" s="174"/>
      <c r="T2132" s="82"/>
      <c r="U2132" s="82"/>
      <c r="V2132" s="82"/>
      <c r="W2132" s="82"/>
      <c r="X2132" s="82"/>
      <c r="Y2132" s="82"/>
      <c r="Z2132" s="82"/>
      <c r="AA2132" s="82"/>
      <c r="AB2132" s="82"/>
    </row>
    <row r="2133" spans="1:28" s="85" customFormat="1" x14ac:dyDescent="0.25">
      <c r="A2133" s="82"/>
      <c r="B2133" s="82"/>
      <c r="C2133" s="82"/>
      <c r="D2133" s="729"/>
      <c r="E2133" s="396" t="s">
        <v>184</v>
      </c>
      <c r="F2133" s="403"/>
      <c r="G2133" s="397"/>
      <c r="H2133" s="398"/>
      <c r="I2133" s="399"/>
      <c r="J2133" s="400">
        <f t="shared" si="297"/>
        <v>0</v>
      </c>
      <c r="K2133" s="401">
        <f t="shared" si="298"/>
        <v>0</v>
      </c>
      <c r="L2133" s="196">
        <f t="shared" si="299"/>
        <v>0</v>
      </c>
      <c r="M2133" s="196">
        <f t="shared" si="300"/>
        <v>0</v>
      </c>
      <c r="N2133" s="196">
        <f t="shared" si="301"/>
        <v>0</v>
      </c>
      <c r="O2133" s="196">
        <f t="shared" si="302"/>
        <v>0</v>
      </c>
      <c r="P2133" s="196">
        <f t="shared" si="303"/>
        <v>0</v>
      </c>
      <c r="Q2133" s="566">
        <f t="shared" si="92"/>
        <v>0</v>
      </c>
      <c r="R2133" s="538"/>
      <c r="T2133" s="82"/>
      <c r="U2133" s="82"/>
      <c r="V2133" s="82"/>
      <c r="W2133" s="82"/>
      <c r="X2133" s="82"/>
      <c r="Y2133" s="82"/>
      <c r="Z2133" s="82"/>
      <c r="AA2133" s="82"/>
      <c r="AB2133" s="82"/>
    </row>
    <row r="2134" spans="1:28" s="85" customFormat="1" x14ac:dyDescent="0.25">
      <c r="A2134" s="82"/>
      <c r="B2134" s="82"/>
      <c r="C2134" s="82"/>
      <c r="D2134" s="729"/>
      <c r="E2134" s="371" t="s">
        <v>184</v>
      </c>
      <c r="F2134" s="372"/>
      <c r="G2134" s="373"/>
      <c r="H2134" s="374"/>
      <c r="I2134" s="375"/>
      <c r="J2134" s="376">
        <f t="shared" si="297"/>
        <v>0</v>
      </c>
      <c r="K2134" s="66">
        <f t="shared" si="298"/>
        <v>0</v>
      </c>
      <c r="L2134" s="63">
        <f t="shared" si="299"/>
        <v>0</v>
      </c>
      <c r="M2134" s="63">
        <f t="shared" si="300"/>
        <v>0</v>
      </c>
      <c r="N2134" s="63">
        <f t="shared" si="301"/>
        <v>0</v>
      </c>
      <c r="O2134" s="63">
        <f t="shared" si="302"/>
        <v>0</v>
      </c>
      <c r="P2134" s="63">
        <f t="shared" si="303"/>
        <v>0</v>
      </c>
      <c r="Q2134" s="562">
        <f t="shared" si="92"/>
        <v>0</v>
      </c>
      <c r="R2134" s="377"/>
      <c r="T2134" s="82"/>
      <c r="U2134" s="82"/>
      <c r="V2134" s="82"/>
      <c r="W2134" s="82"/>
      <c r="X2134" s="82"/>
      <c r="Y2134" s="82"/>
      <c r="Z2134" s="82"/>
      <c r="AA2134" s="82"/>
      <c r="AB2134" s="82"/>
    </row>
    <row r="2135" spans="1:28" s="85" customFormat="1" x14ac:dyDescent="0.25">
      <c r="A2135" s="82"/>
      <c r="B2135" s="82"/>
      <c r="C2135" s="82"/>
      <c r="D2135" s="729"/>
      <c r="E2135" s="371" t="s">
        <v>184</v>
      </c>
      <c r="F2135" s="372"/>
      <c r="G2135" s="373"/>
      <c r="H2135" s="374"/>
      <c r="I2135" s="375"/>
      <c r="J2135" s="376">
        <f t="shared" si="297"/>
        <v>0</v>
      </c>
      <c r="K2135" s="66">
        <f t="shared" si="298"/>
        <v>0</v>
      </c>
      <c r="L2135" s="63">
        <f t="shared" si="299"/>
        <v>0</v>
      </c>
      <c r="M2135" s="63">
        <f t="shared" si="300"/>
        <v>0</v>
      </c>
      <c r="N2135" s="63">
        <f t="shared" si="301"/>
        <v>0</v>
      </c>
      <c r="O2135" s="63">
        <f t="shared" si="302"/>
        <v>0</v>
      </c>
      <c r="P2135" s="63">
        <f t="shared" si="303"/>
        <v>0</v>
      </c>
      <c r="Q2135" s="562">
        <f t="shared" si="92"/>
        <v>0</v>
      </c>
      <c r="R2135" s="377"/>
      <c r="T2135" s="82"/>
      <c r="U2135" s="82"/>
      <c r="V2135" s="82"/>
      <c r="W2135" s="82"/>
      <c r="X2135" s="82"/>
      <c r="Y2135" s="82"/>
      <c r="Z2135" s="82"/>
      <c r="AA2135" s="82"/>
      <c r="AB2135" s="82"/>
    </row>
    <row r="2136" spans="1:28" s="85" customFormat="1" ht="13.8" thickBot="1" x14ac:dyDescent="0.3">
      <c r="A2136" s="82"/>
      <c r="B2136" s="82"/>
      <c r="C2136" s="82"/>
      <c r="D2136" s="731"/>
      <c r="E2136" s="390" t="s">
        <v>184</v>
      </c>
      <c r="F2136" s="391"/>
      <c r="G2136" s="392"/>
      <c r="H2136" s="393"/>
      <c r="I2136" s="394"/>
      <c r="J2136" s="395">
        <f t="shared" si="297"/>
        <v>0</v>
      </c>
      <c r="K2136" s="221">
        <f t="shared" si="298"/>
        <v>0</v>
      </c>
      <c r="L2136" s="222">
        <f t="shared" si="299"/>
        <v>0</v>
      </c>
      <c r="M2136" s="222">
        <f t="shared" si="300"/>
        <v>0</v>
      </c>
      <c r="N2136" s="222">
        <f t="shared" si="301"/>
        <v>0</v>
      </c>
      <c r="O2136" s="222">
        <f t="shared" si="302"/>
        <v>0</v>
      </c>
      <c r="P2136" s="222">
        <f t="shared" si="303"/>
        <v>0</v>
      </c>
      <c r="Q2136" s="564">
        <f t="shared" si="92"/>
        <v>0</v>
      </c>
      <c r="R2136" s="539"/>
      <c r="T2136" s="82"/>
      <c r="U2136" s="82"/>
      <c r="V2136" s="82"/>
      <c r="W2136" s="82"/>
      <c r="X2136" s="82"/>
      <c r="Y2136" s="82"/>
      <c r="Z2136" s="82"/>
      <c r="AA2136" s="82"/>
      <c r="AB2136" s="82"/>
    </row>
    <row r="2137" spans="1:28" s="85" customFormat="1" ht="13.8" thickTop="1" x14ac:dyDescent="0.25">
      <c r="A2137" s="82"/>
      <c r="B2137" s="82"/>
      <c r="C2137" s="82"/>
      <c r="D2137" s="728"/>
      <c r="E2137" s="384" t="s">
        <v>49</v>
      </c>
      <c r="F2137" s="385"/>
      <c r="G2137" s="386"/>
      <c r="H2137" s="387"/>
      <c r="I2137" s="388"/>
      <c r="J2137" s="389">
        <f t="shared" si="93"/>
        <v>0</v>
      </c>
      <c r="K2137" s="218">
        <f t="shared" si="15"/>
        <v>0</v>
      </c>
      <c r="L2137" s="219">
        <f t="shared" si="16"/>
        <v>0</v>
      </c>
      <c r="M2137" s="219">
        <f t="shared" si="17"/>
        <v>0</v>
      </c>
      <c r="N2137" s="219">
        <f t="shared" si="18"/>
        <v>0</v>
      </c>
      <c r="O2137" s="219">
        <f t="shared" si="19"/>
        <v>0</v>
      </c>
      <c r="P2137" s="219">
        <f t="shared" si="20"/>
        <v>0</v>
      </c>
      <c r="Q2137" s="563">
        <f t="shared" si="92"/>
        <v>0</v>
      </c>
      <c r="R2137" s="220"/>
      <c r="T2137" s="82"/>
      <c r="U2137" s="82"/>
      <c r="V2137" s="82"/>
      <c r="W2137" s="82"/>
      <c r="X2137" s="82"/>
      <c r="Y2137" s="82"/>
      <c r="Z2137" s="82"/>
      <c r="AA2137" s="82"/>
      <c r="AB2137" s="82"/>
    </row>
    <row r="2138" spans="1:28" s="85" customFormat="1" x14ac:dyDescent="0.25">
      <c r="A2138" s="82"/>
      <c r="B2138" s="82"/>
      <c r="C2138" s="82"/>
      <c r="D2138" s="729"/>
      <c r="E2138" s="371" t="s">
        <v>49</v>
      </c>
      <c r="F2138" s="372"/>
      <c r="G2138" s="373"/>
      <c r="H2138" s="374"/>
      <c r="I2138" s="375"/>
      <c r="J2138" s="376">
        <f t="shared" si="93"/>
        <v>0</v>
      </c>
      <c r="K2138" s="66">
        <f t="shared" si="15"/>
        <v>0</v>
      </c>
      <c r="L2138" s="63">
        <f t="shared" si="16"/>
        <v>0</v>
      </c>
      <c r="M2138" s="63">
        <f t="shared" si="17"/>
        <v>0</v>
      </c>
      <c r="N2138" s="63">
        <f t="shared" si="18"/>
        <v>0</v>
      </c>
      <c r="O2138" s="63">
        <f t="shared" si="19"/>
        <v>0</v>
      </c>
      <c r="P2138" s="63">
        <f t="shared" si="20"/>
        <v>0</v>
      </c>
      <c r="Q2138" s="561">
        <f t="shared" si="92"/>
        <v>0</v>
      </c>
      <c r="R2138" s="174"/>
      <c r="T2138" s="82"/>
      <c r="U2138" s="82"/>
      <c r="V2138" s="82"/>
      <c r="W2138" s="82"/>
      <c r="X2138" s="82"/>
      <c r="Y2138" s="82"/>
      <c r="Z2138" s="82"/>
      <c r="AA2138" s="82"/>
      <c r="AB2138" s="82"/>
    </row>
    <row r="2139" spans="1:28" s="85" customFormat="1" x14ac:dyDescent="0.25">
      <c r="A2139" s="82"/>
      <c r="B2139" s="82"/>
      <c r="C2139" s="82"/>
      <c r="D2139" s="729"/>
      <c r="E2139" s="371" t="s">
        <v>49</v>
      </c>
      <c r="F2139" s="372"/>
      <c r="G2139" s="373"/>
      <c r="H2139" s="374"/>
      <c r="I2139" s="375"/>
      <c r="J2139" s="376">
        <f t="shared" si="93"/>
        <v>0</v>
      </c>
      <c r="K2139" s="66">
        <f t="shared" si="15"/>
        <v>0</v>
      </c>
      <c r="L2139" s="63">
        <f t="shared" si="16"/>
        <v>0</v>
      </c>
      <c r="M2139" s="63">
        <f t="shared" si="17"/>
        <v>0</v>
      </c>
      <c r="N2139" s="63">
        <f t="shared" si="18"/>
        <v>0</v>
      </c>
      <c r="O2139" s="63">
        <f t="shared" si="19"/>
        <v>0</v>
      </c>
      <c r="P2139" s="63">
        <f t="shared" si="20"/>
        <v>0</v>
      </c>
      <c r="Q2139" s="561">
        <f t="shared" si="92"/>
        <v>0</v>
      </c>
      <c r="R2139" s="174"/>
      <c r="T2139" s="82"/>
      <c r="U2139" s="82"/>
      <c r="V2139" s="82"/>
      <c r="W2139" s="82"/>
      <c r="X2139" s="82"/>
      <c r="Y2139" s="82"/>
      <c r="Z2139" s="82"/>
      <c r="AA2139" s="82"/>
      <c r="AB2139" s="82"/>
    </row>
    <row r="2140" spans="1:28" s="85" customFormat="1" x14ac:dyDescent="0.25">
      <c r="A2140" s="82"/>
      <c r="B2140" s="82"/>
      <c r="C2140" s="82"/>
      <c r="D2140" s="729"/>
      <c r="E2140" s="371" t="s">
        <v>49</v>
      </c>
      <c r="F2140" s="372"/>
      <c r="G2140" s="373"/>
      <c r="H2140" s="374"/>
      <c r="I2140" s="375"/>
      <c r="J2140" s="376">
        <f t="shared" si="93"/>
        <v>0</v>
      </c>
      <c r="K2140" s="66">
        <f t="shared" si="15"/>
        <v>0</v>
      </c>
      <c r="L2140" s="63">
        <f t="shared" si="16"/>
        <v>0</v>
      </c>
      <c r="M2140" s="63">
        <f t="shared" si="17"/>
        <v>0</v>
      </c>
      <c r="N2140" s="63">
        <f t="shared" si="18"/>
        <v>0</v>
      </c>
      <c r="O2140" s="63">
        <f t="shared" si="19"/>
        <v>0</v>
      </c>
      <c r="P2140" s="63">
        <f t="shared" si="20"/>
        <v>0</v>
      </c>
      <c r="Q2140" s="561">
        <f t="shared" si="92"/>
        <v>0</v>
      </c>
      <c r="R2140" s="174"/>
      <c r="T2140" s="82"/>
      <c r="U2140" s="82"/>
      <c r="V2140" s="82"/>
      <c r="W2140" s="82"/>
      <c r="X2140" s="82"/>
      <c r="Y2140" s="82"/>
      <c r="Z2140" s="82"/>
      <c r="AA2140" s="82"/>
      <c r="AB2140" s="82"/>
    </row>
    <row r="2141" spans="1:28" s="85" customFormat="1" x14ac:dyDescent="0.25">
      <c r="A2141" s="82"/>
      <c r="B2141" s="82"/>
      <c r="C2141" s="82"/>
      <c r="D2141" s="729"/>
      <c r="E2141" s="371" t="s">
        <v>113</v>
      </c>
      <c r="F2141" s="372"/>
      <c r="G2141" s="373"/>
      <c r="H2141" s="374"/>
      <c r="I2141" s="375"/>
      <c r="J2141" s="376">
        <f t="shared" si="93"/>
        <v>0</v>
      </c>
      <c r="K2141" s="66">
        <f t="shared" si="15"/>
        <v>0</v>
      </c>
      <c r="L2141" s="63">
        <f t="shared" si="16"/>
        <v>0</v>
      </c>
      <c r="M2141" s="63">
        <f t="shared" si="17"/>
        <v>0</v>
      </c>
      <c r="N2141" s="63">
        <f t="shared" si="18"/>
        <v>0</v>
      </c>
      <c r="O2141" s="63">
        <f t="shared" si="19"/>
        <v>0</v>
      </c>
      <c r="P2141" s="63">
        <f t="shared" si="20"/>
        <v>0</v>
      </c>
      <c r="Q2141" s="561">
        <f t="shared" si="92"/>
        <v>0</v>
      </c>
      <c r="R2141" s="174"/>
      <c r="T2141" s="82"/>
      <c r="U2141" s="82"/>
      <c r="V2141" s="82"/>
      <c r="W2141" s="82"/>
      <c r="X2141" s="82"/>
      <c r="Y2141" s="82"/>
      <c r="Z2141" s="82"/>
      <c r="AA2141" s="82"/>
      <c r="AB2141" s="82"/>
    </row>
    <row r="2142" spans="1:28" s="85" customFormat="1" x14ac:dyDescent="0.25">
      <c r="A2142" s="82"/>
      <c r="B2142" s="82"/>
      <c r="C2142" s="82"/>
      <c r="D2142" s="729"/>
      <c r="E2142" s="371" t="s">
        <v>113</v>
      </c>
      <c r="F2142" s="372"/>
      <c r="G2142" s="373"/>
      <c r="H2142" s="374"/>
      <c r="I2142" s="375"/>
      <c r="J2142" s="376">
        <f t="shared" si="93"/>
        <v>0</v>
      </c>
      <c r="K2142" s="66">
        <f t="shared" si="15"/>
        <v>0</v>
      </c>
      <c r="L2142" s="63">
        <f t="shared" si="16"/>
        <v>0</v>
      </c>
      <c r="M2142" s="63">
        <f t="shared" si="17"/>
        <v>0</v>
      </c>
      <c r="N2142" s="63">
        <f t="shared" si="18"/>
        <v>0</v>
      </c>
      <c r="O2142" s="63">
        <f t="shared" si="19"/>
        <v>0</v>
      </c>
      <c r="P2142" s="63">
        <f t="shared" si="20"/>
        <v>0</v>
      </c>
      <c r="Q2142" s="561">
        <f t="shared" si="92"/>
        <v>0</v>
      </c>
      <c r="R2142" s="174"/>
      <c r="T2142" s="82"/>
      <c r="U2142" s="82"/>
      <c r="V2142" s="82"/>
      <c r="W2142" s="82"/>
      <c r="X2142" s="82"/>
      <c r="Y2142" s="82"/>
      <c r="Z2142" s="82"/>
      <c r="AA2142" s="82"/>
      <c r="AB2142" s="82"/>
    </row>
    <row r="2143" spans="1:28" s="85" customFormat="1" x14ac:dyDescent="0.25">
      <c r="A2143" s="82"/>
      <c r="B2143" s="82"/>
      <c r="C2143" s="82"/>
      <c r="D2143" s="729"/>
      <c r="E2143" s="371" t="s">
        <v>113</v>
      </c>
      <c r="F2143" s="372"/>
      <c r="G2143" s="373"/>
      <c r="H2143" s="374"/>
      <c r="I2143" s="375"/>
      <c r="J2143" s="376">
        <f t="shared" si="93"/>
        <v>0</v>
      </c>
      <c r="K2143" s="66">
        <f t="shared" si="15"/>
        <v>0</v>
      </c>
      <c r="L2143" s="63">
        <f t="shared" si="16"/>
        <v>0</v>
      </c>
      <c r="M2143" s="63">
        <f t="shared" si="17"/>
        <v>0</v>
      </c>
      <c r="N2143" s="63">
        <f t="shared" si="18"/>
        <v>0</v>
      </c>
      <c r="O2143" s="63">
        <f t="shared" si="19"/>
        <v>0</v>
      </c>
      <c r="P2143" s="63">
        <f t="shared" si="20"/>
        <v>0</v>
      </c>
      <c r="Q2143" s="561">
        <f t="shared" si="92"/>
        <v>0</v>
      </c>
      <c r="R2143" s="174"/>
      <c r="T2143" s="82"/>
      <c r="U2143" s="82"/>
      <c r="V2143" s="82"/>
      <c r="W2143" s="82"/>
      <c r="X2143" s="82"/>
      <c r="Y2143" s="82"/>
      <c r="Z2143" s="82"/>
      <c r="AA2143" s="82"/>
      <c r="AB2143" s="82"/>
    </row>
    <row r="2144" spans="1:28" s="85" customFormat="1" x14ac:dyDescent="0.25">
      <c r="A2144" s="82"/>
      <c r="B2144" s="82"/>
      <c r="C2144" s="82"/>
      <c r="D2144" s="729"/>
      <c r="E2144" s="371" t="s">
        <v>113</v>
      </c>
      <c r="F2144" s="372"/>
      <c r="G2144" s="373"/>
      <c r="H2144" s="374"/>
      <c r="I2144" s="375"/>
      <c r="J2144" s="376">
        <f t="shared" si="93"/>
        <v>0</v>
      </c>
      <c r="K2144" s="66">
        <f t="shared" si="15"/>
        <v>0</v>
      </c>
      <c r="L2144" s="63">
        <f t="shared" si="16"/>
        <v>0</v>
      </c>
      <c r="M2144" s="63">
        <f t="shared" si="17"/>
        <v>0</v>
      </c>
      <c r="N2144" s="63">
        <f t="shared" si="18"/>
        <v>0</v>
      </c>
      <c r="O2144" s="63">
        <f t="shared" si="19"/>
        <v>0</v>
      </c>
      <c r="P2144" s="63">
        <f t="shared" si="20"/>
        <v>0</v>
      </c>
      <c r="Q2144" s="561">
        <f t="shared" si="92"/>
        <v>0</v>
      </c>
      <c r="R2144" s="174"/>
      <c r="T2144" s="82"/>
      <c r="U2144" s="82"/>
      <c r="V2144" s="82"/>
      <c r="W2144" s="82"/>
      <c r="X2144" s="82"/>
      <c r="Y2144" s="82"/>
      <c r="Z2144" s="82"/>
      <c r="AA2144" s="82"/>
      <c r="AB2144" s="82"/>
    </row>
    <row r="2145" spans="1:28" s="85" customFormat="1" x14ac:dyDescent="0.25">
      <c r="A2145" s="82"/>
      <c r="B2145" s="82"/>
      <c r="C2145" s="82"/>
      <c r="D2145" s="729"/>
      <c r="E2145" s="396" t="s">
        <v>184</v>
      </c>
      <c r="F2145" s="403"/>
      <c r="G2145" s="397"/>
      <c r="H2145" s="398"/>
      <c r="I2145" s="399"/>
      <c r="J2145" s="400">
        <f t="shared" si="93"/>
        <v>0</v>
      </c>
      <c r="K2145" s="401">
        <f t="shared" si="15"/>
        <v>0</v>
      </c>
      <c r="L2145" s="196">
        <f t="shared" si="16"/>
        <v>0</v>
      </c>
      <c r="M2145" s="196">
        <f t="shared" si="17"/>
        <v>0</v>
      </c>
      <c r="N2145" s="196">
        <f t="shared" si="18"/>
        <v>0</v>
      </c>
      <c r="O2145" s="196">
        <f t="shared" si="19"/>
        <v>0</v>
      </c>
      <c r="P2145" s="196">
        <f t="shared" si="20"/>
        <v>0</v>
      </c>
      <c r="Q2145" s="566">
        <f t="shared" si="92"/>
        <v>0</v>
      </c>
      <c r="R2145" s="538"/>
      <c r="T2145" s="82"/>
      <c r="U2145" s="82"/>
      <c r="V2145" s="82"/>
      <c r="W2145" s="82"/>
      <c r="X2145" s="82"/>
      <c r="Y2145" s="82"/>
      <c r="Z2145" s="82"/>
      <c r="AA2145" s="82"/>
      <c r="AB2145" s="82"/>
    </row>
    <row r="2146" spans="1:28" s="85" customFormat="1" x14ac:dyDescent="0.25">
      <c r="A2146" s="82"/>
      <c r="B2146" s="82"/>
      <c r="C2146" s="82"/>
      <c r="D2146" s="729"/>
      <c r="E2146" s="371" t="s">
        <v>184</v>
      </c>
      <c r="F2146" s="372"/>
      <c r="G2146" s="373"/>
      <c r="H2146" s="374"/>
      <c r="I2146" s="375"/>
      <c r="J2146" s="376">
        <f t="shared" si="93"/>
        <v>0</v>
      </c>
      <c r="K2146" s="66">
        <f t="shared" si="15"/>
        <v>0</v>
      </c>
      <c r="L2146" s="63">
        <f t="shared" si="16"/>
        <v>0</v>
      </c>
      <c r="M2146" s="63">
        <f t="shared" si="17"/>
        <v>0</v>
      </c>
      <c r="N2146" s="63">
        <f t="shared" si="18"/>
        <v>0</v>
      </c>
      <c r="O2146" s="63">
        <f t="shared" si="19"/>
        <v>0</v>
      </c>
      <c r="P2146" s="63">
        <f t="shared" si="20"/>
        <v>0</v>
      </c>
      <c r="Q2146" s="562">
        <f t="shared" si="92"/>
        <v>0</v>
      </c>
      <c r="R2146" s="377"/>
      <c r="T2146" s="82"/>
      <c r="U2146" s="82"/>
      <c r="V2146" s="82"/>
      <c r="W2146" s="82"/>
      <c r="X2146" s="82"/>
      <c r="Y2146" s="82"/>
      <c r="Z2146" s="82"/>
      <c r="AA2146" s="82"/>
      <c r="AB2146" s="82"/>
    </row>
    <row r="2147" spans="1:28" s="85" customFormat="1" x14ac:dyDescent="0.25">
      <c r="A2147" s="82"/>
      <c r="B2147" s="82"/>
      <c r="C2147" s="82"/>
      <c r="D2147" s="729"/>
      <c r="E2147" s="371" t="s">
        <v>184</v>
      </c>
      <c r="F2147" s="372"/>
      <c r="G2147" s="373"/>
      <c r="H2147" s="374"/>
      <c r="I2147" s="375"/>
      <c r="J2147" s="376">
        <f t="shared" si="93"/>
        <v>0</v>
      </c>
      <c r="K2147" s="66">
        <f t="shared" si="15"/>
        <v>0</v>
      </c>
      <c r="L2147" s="63">
        <f t="shared" si="16"/>
        <v>0</v>
      </c>
      <c r="M2147" s="63">
        <f t="shared" si="17"/>
        <v>0</v>
      </c>
      <c r="N2147" s="63">
        <f t="shared" si="18"/>
        <v>0</v>
      </c>
      <c r="O2147" s="63">
        <f t="shared" si="19"/>
        <v>0</v>
      </c>
      <c r="P2147" s="63">
        <f t="shared" si="20"/>
        <v>0</v>
      </c>
      <c r="Q2147" s="562">
        <f t="shared" si="92"/>
        <v>0</v>
      </c>
      <c r="R2147" s="377"/>
      <c r="T2147" s="82"/>
      <c r="U2147" s="82"/>
      <c r="V2147" s="82"/>
      <c r="W2147" s="82"/>
      <c r="X2147" s="82"/>
      <c r="Y2147" s="82"/>
      <c r="Z2147" s="82"/>
      <c r="AA2147" s="82"/>
      <c r="AB2147" s="82"/>
    </row>
    <row r="2148" spans="1:28" s="85" customFormat="1" ht="13.8" thickBot="1" x14ac:dyDescent="0.3">
      <c r="A2148" s="82"/>
      <c r="B2148" s="82"/>
      <c r="C2148" s="82"/>
      <c r="D2148" s="731"/>
      <c r="E2148" s="390" t="s">
        <v>184</v>
      </c>
      <c r="F2148" s="391"/>
      <c r="G2148" s="392"/>
      <c r="H2148" s="393"/>
      <c r="I2148" s="394"/>
      <c r="J2148" s="395">
        <f t="shared" si="93"/>
        <v>0</v>
      </c>
      <c r="K2148" s="221">
        <f t="shared" si="15"/>
        <v>0</v>
      </c>
      <c r="L2148" s="222">
        <f t="shared" si="16"/>
        <v>0</v>
      </c>
      <c r="M2148" s="222">
        <f t="shared" si="17"/>
        <v>0</v>
      </c>
      <c r="N2148" s="222">
        <f t="shared" si="18"/>
        <v>0</v>
      </c>
      <c r="O2148" s="222">
        <f t="shared" si="19"/>
        <v>0</v>
      </c>
      <c r="P2148" s="222">
        <f t="shared" si="20"/>
        <v>0</v>
      </c>
      <c r="Q2148" s="564">
        <f t="shared" si="92"/>
        <v>0</v>
      </c>
      <c r="R2148" s="539"/>
      <c r="T2148" s="82"/>
      <c r="U2148" s="82"/>
      <c r="V2148" s="82"/>
      <c r="W2148" s="82"/>
      <c r="X2148" s="82"/>
      <c r="Y2148" s="82"/>
      <c r="Z2148" s="82"/>
      <c r="AA2148" s="82"/>
      <c r="AB2148" s="82"/>
    </row>
    <row r="2149" spans="1:28" s="85" customFormat="1" ht="13.8" thickTop="1" x14ac:dyDescent="0.25">
      <c r="A2149" s="82"/>
      <c r="B2149" s="82"/>
      <c r="C2149" s="82"/>
      <c r="D2149" s="728"/>
      <c r="E2149" s="384" t="s">
        <v>49</v>
      </c>
      <c r="F2149" s="385"/>
      <c r="G2149" s="386"/>
      <c r="H2149" s="387"/>
      <c r="I2149" s="388"/>
      <c r="J2149" s="389">
        <f t="shared" si="93"/>
        <v>0</v>
      </c>
      <c r="K2149" s="218">
        <f t="shared" si="15"/>
        <v>0</v>
      </c>
      <c r="L2149" s="219">
        <f t="shared" si="16"/>
        <v>0</v>
      </c>
      <c r="M2149" s="219">
        <f t="shared" si="17"/>
        <v>0</v>
      </c>
      <c r="N2149" s="219">
        <f t="shared" si="18"/>
        <v>0</v>
      </c>
      <c r="O2149" s="219">
        <f t="shared" si="19"/>
        <v>0</v>
      </c>
      <c r="P2149" s="219">
        <f t="shared" si="20"/>
        <v>0</v>
      </c>
      <c r="Q2149" s="563">
        <f t="shared" si="92"/>
        <v>0</v>
      </c>
      <c r="R2149" s="220"/>
      <c r="T2149" s="82"/>
      <c r="U2149" s="82"/>
      <c r="V2149" s="82"/>
      <c r="W2149" s="82"/>
      <c r="X2149" s="82"/>
      <c r="Y2149" s="82"/>
      <c r="Z2149" s="82"/>
      <c r="AA2149" s="82"/>
      <c r="AB2149" s="82"/>
    </row>
    <row r="2150" spans="1:28" s="85" customFormat="1" x14ac:dyDescent="0.25">
      <c r="A2150" s="82"/>
      <c r="B2150" s="82"/>
      <c r="C2150" s="82"/>
      <c r="D2150" s="729"/>
      <c r="E2150" s="371" t="s">
        <v>49</v>
      </c>
      <c r="F2150" s="372"/>
      <c r="G2150" s="373"/>
      <c r="H2150" s="374"/>
      <c r="I2150" s="375"/>
      <c r="J2150" s="376">
        <f t="shared" si="93"/>
        <v>0</v>
      </c>
      <c r="K2150" s="66">
        <f t="shared" si="15"/>
        <v>0</v>
      </c>
      <c r="L2150" s="63">
        <f t="shared" si="16"/>
        <v>0</v>
      </c>
      <c r="M2150" s="63">
        <f t="shared" si="17"/>
        <v>0</v>
      </c>
      <c r="N2150" s="63">
        <f t="shared" si="18"/>
        <v>0</v>
      </c>
      <c r="O2150" s="63">
        <f t="shared" si="19"/>
        <v>0</v>
      </c>
      <c r="P2150" s="63">
        <f t="shared" si="20"/>
        <v>0</v>
      </c>
      <c r="Q2150" s="561">
        <f t="shared" si="92"/>
        <v>0</v>
      </c>
      <c r="R2150" s="174"/>
      <c r="T2150" s="82"/>
      <c r="U2150" s="82"/>
      <c r="V2150" s="82"/>
      <c r="W2150" s="82"/>
      <c r="X2150" s="82"/>
      <c r="Y2150" s="82"/>
      <c r="Z2150" s="82"/>
      <c r="AA2150" s="82"/>
      <c r="AB2150" s="82"/>
    </row>
    <row r="2151" spans="1:28" s="85" customFormat="1" x14ac:dyDescent="0.25">
      <c r="A2151" s="82"/>
      <c r="B2151" s="82"/>
      <c r="C2151" s="82"/>
      <c r="D2151" s="729"/>
      <c r="E2151" s="371" t="s">
        <v>49</v>
      </c>
      <c r="F2151" s="372"/>
      <c r="G2151" s="373"/>
      <c r="H2151" s="374"/>
      <c r="I2151" s="375"/>
      <c r="J2151" s="376">
        <f t="shared" si="93"/>
        <v>0</v>
      </c>
      <c r="K2151" s="66">
        <f t="shared" si="15"/>
        <v>0</v>
      </c>
      <c r="L2151" s="63">
        <f t="shared" si="16"/>
        <v>0</v>
      </c>
      <c r="M2151" s="63">
        <f t="shared" si="17"/>
        <v>0</v>
      </c>
      <c r="N2151" s="63">
        <f t="shared" si="18"/>
        <v>0</v>
      </c>
      <c r="O2151" s="63">
        <f t="shared" si="19"/>
        <v>0</v>
      </c>
      <c r="P2151" s="63">
        <f t="shared" si="20"/>
        <v>0</v>
      </c>
      <c r="Q2151" s="561">
        <f t="shared" si="92"/>
        <v>0</v>
      </c>
      <c r="R2151" s="174"/>
      <c r="T2151" s="82"/>
      <c r="U2151" s="82"/>
      <c r="V2151" s="82"/>
      <c r="W2151" s="82"/>
      <c r="X2151" s="82"/>
      <c r="Y2151" s="82"/>
      <c r="Z2151" s="82"/>
      <c r="AA2151" s="82"/>
      <c r="AB2151" s="82"/>
    </row>
    <row r="2152" spans="1:28" s="85" customFormat="1" x14ac:dyDescent="0.25">
      <c r="A2152" s="82"/>
      <c r="B2152" s="82"/>
      <c r="C2152" s="82"/>
      <c r="D2152" s="729"/>
      <c r="E2152" s="371" t="s">
        <v>49</v>
      </c>
      <c r="F2152" s="372"/>
      <c r="G2152" s="373"/>
      <c r="H2152" s="374"/>
      <c r="I2152" s="375"/>
      <c r="J2152" s="376">
        <f t="shared" si="93"/>
        <v>0</v>
      </c>
      <c r="K2152" s="66">
        <f t="shared" si="15"/>
        <v>0</v>
      </c>
      <c r="L2152" s="63">
        <f t="shared" si="16"/>
        <v>0</v>
      </c>
      <c r="M2152" s="63">
        <f t="shared" si="17"/>
        <v>0</v>
      </c>
      <c r="N2152" s="63">
        <f t="shared" si="18"/>
        <v>0</v>
      </c>
      <c r="O2152" s="63">
        <f t="shared" si="19"/>
        <v>0</v>
      </c>
      <c r="P2152" s="63">
        <f t="shared" si="20"/>
        <v>0</v>
      </c>
      <c r="Q2152" s="561">
        <f t="shared" si="92"/>
        <v>0</v>
      </c>
      <c r="R2152" s="174"/>
      <c r="T2152" s="82"/>
      <c r="U2152" s="82"/>
      <c r="V2152" s="82"/>
      <c r="W2152" s="82"/>
      <c r="X2152" s="82"/>
      <c r="Y2152" s="82"/>
      <c r="Z2152" s="82"/>
      <c r="AA2152" s="82"/>
      <c r="AB2152" s="82"/>
    </row>
    <row r="2153" spans="1:28" s="85" customFormat="1" x14ac:dyDescent="0.25">
      <c r="A2153" s="82"/>
      <c r="B2153" s="82"/>
      <c r="C2153" s="82"/>
      <c r="D2153" s="729"/>
      <c r="E2153" s="371" t="s">
        <v>113</v>
      </c>
      <c r="F2153" s="372"/>
      <c r="G2153" s="373"/>
      <c r="H2153" s="374"/>
      <c r="I2153" s="375"/>
      <c r="J2153" s="376">
        <f t="shared" si="93"/>
        <v>0</v>
      </c>
      <c r="K2153" s="66">
        <f t="shared" si="15"/>
        <v>0</v>
      </c>
      <c r="L2153" s="63">
        <f t="shared" si="16"/>
        <v>0</v>
      </c>
      <c r="M2153" s="63">
        <f t="shared" si="17"/>
        <v>0</v>
      </c>
      <c r="N2153" s="63">
        <f t="shared" si="18"/>
        <v>0</v>
      </c>
      <c r="O2153" s="63">
        <f t="shared" si="19"/>
        <v>0</v>
      </c>
      <c r="P2153" s="63">
        <f t="shared" si="20"/>
        <v>0</v>
      </c>
      <c r="Q2153" s="561">
        <f t="shared" si="92"/>
        <v>0</v>
      </c>
      <c r="R2153" s="174"/>
      <c r="T2153" s="82"/>
      <c r="U2153" s="82"/>
      <c r="V2153" s="82"/>
      <c r="W2153" s="82"/>
      <c r="X2153" s="82"/>
      <c r="Y2153" s="82"/>
      <c r="Z2153" s="82"/>
      <c r="AA2153" s="82"/>
      <c r="AB2153" s="82"/>
    </row>
    <row r="2154" spans="1:28" s="85" customFormat="1" x14ac:dyDescent="0.25">
      <c r="A2154" s="82"/>
      <c r="B2154" s="82"/>
      <c r="C2154" s="82"/>
      <c r="D2154" s="729"/>
      <c r="E2154" s="371" t="s">
        <v>113</v>
      </c>
      <c r="F2154" s="372"/>
      <c r="G2154" s="373"/>
      <c r="H2154" s="374"/>
      <c r="I2154" s="375"/>
      <c r="J2154" s="376">
        <f t="shared" si="93"/>
        <v>0</v>
      </c>
      <c r="K2154" s="66">
        <f t="shared" ref="K2154:K2160" si="304">IF($H2154=5,$J2154*$B$21,0)</f>
        <v>0</v>
      </c>
      <c r="L2154" s="63">
        <f t="shared" ref="L2154:L2160" si="305">IF($H2154=6.3,$J2154*$B$22,0)</f>
        <v>0</v>
      </c>
      <c r="M2154" s="63">
        <f t="shared" ref="M2154:M2160" si="306">IF($H2154=8,$J2154*$B$23,0)</f>
        <v>0</v>
      </c>
      <c r="N2154" s="63">
        <f t="shared" ref="N2154:N2160" si="307">IF($H2154=10,$J2154*$B$24,0)</f>
        <v>0</v>
      </c>
      <c r="O2154" s="63">
        <f t="shared" ref="O2154:O2160" si="308">IF($H2154=12.5,$J2154*$B$26,0)</f>
        <v>0</v>
      </c>
      <c r="P2154" s="63">
        <f t="shared" ref="P2154:P2160" si="309">IF($H2154=16,$J2154*$B$27,0)</f>
        <v>0</v>
      </c>
      <c r="Q2154" s="561">
        <f t="shared" si="92"/>
        <v>0</v>
      </c>
      <c r="R2154" s="174"/>
      <c r="T2154" s="82"/>
      <c r="U2154" s="82"/>
      <c r="V2154" s="82"/>
      <c r="W2154" s="82"/>
      <c r="X2154" s="82"/>
      <c r="Y2154" s="82"/>
      <c r="Z2154" s="82"/>
      <c r="AA2154" s="82"/>
      <c r="AB2154" s="82"/>
    </row>
    <row r="2155" spans="1:28" s="85" customFormat="1" x14ac:dyDescent="0.25">
      <c r="A2155" s="82"/>
      <c r="B2155" s="82"/>
      <c r="C2155" s="82"/>
      <c r="D2155" s="729"/>
      <c r="E2155" s="371" t="s">
        <v>113</v>
      </c>
      <c r="F2155" s="372"/>
      <c r="G2155" s="373"/>
      <c r="H2155" s="374"/>
      <c r="I2155" s="375"/>
      <c r="J2155" s="376">
        <f t="shared" si="93"/>
        <v>0</v>
      </c>
      <c r="K2155" s="66">
        <f t="shared" si="304"/>
        <v>0</v>
      </c>
      <c r="L2155" s="63">
        <f t="shared" si="305"/>
        <v>0</v>
      </c>
      <c r="M2155" s="63">
        <f t="shared" si="306"/>
        <v>0</v>
      </c>
      <c r="N2155" s="63">
        <f t="shared" si="307"/>
        <v>0</v>
      </c>
      <c r="O2155" s="63">
        <f t="shared" si="308"/>
        <v>0</v>
      </c>
      <c r="P2155" s="63">
        <f t="shared" si="309"/>
        <v>0</v>
      </c>
      <c r="Q2155" s="561">
        <f t="shared" si="92"/>
        <v>0</v>
      </c>
      <c r="R2155" s="174"/>
      <c r="T2155" s="82"/>
      <c r="U2155" s="82"/>
      <c r="V2155" s="82"/>
      <c r="W2155" s="82"/>
      <c r="X2155" s="82"/>
      <c r="Y2155" s="82"/>
      <c r="Z2155" s="82"/>
      <c r="AA2155" s="82"/>
      <c r="AB2155" s="82"/>
    </row>
    <row r="2156" spans="1:28" s="85" customFormat="1" x14ac:dyDescent="0.25">
      <c r="A2156" s="82"/>
      <c r="B2156" s="82"/>
      <c r="C2156" s="82"/>
      <c r="D2156" s="729"/>
      <c r="E2156" s="371" t="s">
        <v>113</v>
      </c>
      <c r="F2156" s="372"/>
      <c r="G2156" s="373"/>
      <c r="H2156" s="374"/>
      <c r="I2156" s="375"/>
      <c r="J2156" s="376">
        <f t="shared" si="93"/>
        <v>0</v>
      </c>
      <c r="K2156" s="66">
        <f t="shared" si="304"/>
        <v>0</v>
      </c>
      <c r="L2156" s="63">
        <f t="shared" si="305"/>
        <v>0</v>
      </c>
      <c r="M2156" s="63">
        <f t="shared" si="306"/>
        <v>0</v>
      </c>
      <c r="N2156" s="63">
        <f t="shared" si="307"/>
        <v>0</v>
      </c>
      <c r="O2156" s="63">
        <f t="shared" si="308"/>
        <v>0</v>
      </c>
      <c r="P2156" s="63">
        <f t="shared" si="309"/>
        <v>0</v>
      </c>
      <c r="Q2156" s="561">
        <f t="shared" si="92"/>
        <v>0</v>
      </c>
      <c r="R2156" s="174"/>
      <c r="T2156" s="82"/>
      <c r="U2156" s="82"/>
      <c r="V2156" s="82"/>
      <c r="W2156" s="82"/>
      <c r="X2156" s="82"/>
      <c r="Y2156" s="82"/>
      <c r="Z2156" s="82"/>
      <c r="AA2156" s="82"/>
      <c r="AB2156" s="82"/>
    </row>
    <row r="2157" spans="1:28" s="85" customFormat="1" x14ac:dyDescent="0.25">
      <c r="A2157" s="82"/>
      <c r="B2157" s="82"/>
      <c r="C2157" s="82"/>
      <c r="D2157" s="729"/>
      <c r="E2157" s="396" t="s">
        <v>184</v>
      </c>
      <c r="F2157" s="403"/>
      <c r="G2157" s="397"/>
      <c r="H2157" s="398"/>
      <c r="I2157" s="399"/>
      <c r="J2157" s="400">
        <f t="shared" si="93"/>
        <v>0</v>
      </c>
      <c r="K2157" s="401">
        <f t="shared" si="304"/>
        <v>0</v>
      </c>
      <c r="L2157" s="196">
        <f t="shared" si="305"/>
        <v>0</v>
      </c>
      <c r="M2157" s="196">
        <f t="shared" si="306"/>
        <v>0</v>
      </c>
      <c r="N2157" s="196">
        <f t="shared" si="307"/>
        <v>0</v>
      </c>
      <c r="O2157" s="196">
        <f t="shared" si="308"/>
        <v>0</v>
      </c>
      <c r="P2157" s="196">
        <f t="shared" si="309"/>
        <v>0</v>
      </c>
      <c r="Q2157" s="566">
        <f t="shared" si="92"/>
        <v>0</v>
      </c>
      <c r="R2157" s="538"/>
      <c r="T2157" s="82"/>
      <c r="U2157" s="82"/>
      <c r="V2157" s="82"/>
      <c r="W2157" s="82"/>
      <c r="X2157" s="82"/>
      <c r="Y2157" s="82"/>
      <c r="Z2157" s="82"/>
      <c r="AA2157" s="82"/>
      <c r="AB2157" s="82"/>
    </row>
    <row r="2158" spans="1:28" s="85" customFormat="1" x14ac:dyDescent="0.25">
      <c r="A2158" s="82"/>
      <c r="B2158" s="82"/>
      <c r="C2158" s="82"/>
      <c r="D2158" s="729"/>
      <c r="E2158" s="371" t="s">
        <v>184</v>
      </c>
      <c r="F2158" s="372"/>
      <c r="G2158" s="373"/>
      <c r="H2158" s="374"/>
      <c r="I2158" s="375"/>
      <c r="J2158" s="376">
        <f t="shared" si="93"/>
        <v>0</v>
      </c>
      <c r="K2158" s="66">
        <f t="shared" si="304"/>
        <v>0</v>
      </c>
      <c r="L2158" s="63">
        <f t="shared" si="305"/>
        <v>0</v>
      </c>
      <c r="M2158" s="63">
        <f t="shared" si="306"/>
        <v>0</v>
      </c>
      <c r="N2158" s="63">
        <f t="shared" si="307"/>
        <v>0</v>
      </c>
      <c r="O2158" s="63">
        <f t="shared" si="308"/>
        <v>0</v>
      </c>
      <c r="P2158" s="63">
        <f t="shared" si="309"/>
        <v>0</v>
      </c>
      <c r="Q2158" s="562">
        <f t="shared" si="92"/>
        <v>0</v>
      </c>
      <c r="R2158" s="377"/>
      <c r="T2158" s="82"/>
      <c r="U2158" s="82"/>
      <c r="V2158" s="82"/>
      <c r="W2158" s="82"/>
      <c r="X2158" s="82"/>
      <c r="Y2158" s="82"/>
      <c r="Z2158" s="82"/>
      <c r="AA2158" s="82"/>
      <c r="AB2158" s="82"/>
    </row>
    <row r="2159" spans="1:28" s="85" customFormat="1" x14ac:dyDescent="0.25">
      <c r="A2159" s="82"/>
      <c r="B2159" s="82"/>
      <c r="C2159" s="82"/>
      <c r="D2159" s="729"/>
      <c r="E2159" s="371" t="s">
        <v>184</v>
      </c>
      <c r="F2159" s="372"/>
      <c r="G2159" s="373"/>
      <c r="H2159" s="374"/>
      <c r="I2159" s="375"/>
      <c r="J2159" s="376">
        <f t="shared" si="93"/>
        <v>0</v>
      </c>
      <c r="K2159" s="66">
        <f t="shared" si="304"/>
        <v>0</v>
      </c>
      <c r="L2159" s="63">
        <f t="shared" si="305"/>
        <v>0</v>
      </c>
      <c r="M2159" s="63">
        <f t="shared" si="306"/>
        <v>0</v>
      </c>
      <c r="N2159" s="63">
        <f t="shared" si="307"/>
        <v>0</v>
      </c>
      <c r="O2159" s="63">
        <f t="shared" si="308"/>
        <v>0</v>
      </c>
      <c r="P2159" s="63">
        <f t="shared" si="309"/>
        <v>0</v>
      </c>
      <c r="Q2159" s="562">
        <f t="shared" si="92"/>
        <v>0</v>
      </c>
      <c r="R2159" s="377"/>
      <c r="T2159" s="82"/>
      <c r="U2159" s="82"/>
      <c r="V2159" s="82"/>
      <c r="W2159" s="82"/>
      <c r="X2159" s="82"/>
      <c r="Y2159" s="82"/>
      <c r="Z2159" s="82"/>
      <c r="AA2159" s="82"/>
      <c r="AB2159" s="82"/>
    </row>
    <row r="2160" spans="1:28" s="85" customFormat="1" ht="13.8" thickBot="1" x14ac:dyDescent="0.3">
      <c r="A2160" s="82"/>
      <c r="B2160" s="82"/>
      <c r="C2160" s="82"/>
      <c r="D2160" s="731"/>
      <c r="E2160" s="390" t="s">
        <v>184</v>
      </c>
      <c r="F2160" s="391"/>
      <c r="G2160" s="392"/>
      <c r="H2160" s="393"/>
      <c r="I2160" s="394"/>
      <c r="J2160" s="395">
        <f t="shared" si="93"/>
        <v>0</v>
      </c>
      <c r="K2160" s="221">
        <f t="shared" si="304"/>
        <v>0</v>
      </c>
      <c r="L2160" s="222">
        <f t="shared" si="305"/>
        <v>0</v>
      </c>
      <c r="M2160" s="222">
        <f t="shared" si="306"/>
        <v>0</v>
      </c>
      <c r="N2160" s="222">
        <f t="shared" si="307"/>
        <v>0</v>
      </c>
      <c r="O2160" s="222">
        <f t="shared" si="308"/>
        <v>0</v>
      </c>
      <c r="P2160" s="222">
        <f t="shared" si="309"/>
        <v>0</v>
      </c>
      <c r="Q2160" s="564">
        <f t="shared" si="92"/>
        <v>0</v>
      </c>
      <c r="R2160" s="539"/>
      <c r="T2160" s="82"/>
      <c r="U2160" s="82"/>
      <c r="V2160" s="82"/>
      <c r="W2160" s="82"/>
      <c r="X2160" s="82"/>
      <c r="Y2160" s="82"/>
      <c r="Z2160" s="82"/>
      <c r="AA2160" s="82"/>
      <c r="AB2160" s="82"/>
    </row>
    <row r="2161" spans="1:28" s="85" customFormat="1" ht="13.8" thickTop="1" x14ac:dyDescent="0.25">
      <c r="A2161" s="82"/>
      <c r="B2161" s="82"/>
      <c r="C2161" s="82"/>
      <c r="D2161" s="728"/>
      <c r="E2161" s="384" t="s">
        <v>49</v>
      </c>
      <c r="F2161" s="385"/>
      <c r="G2161" s="386"/>
      <c r="H2161" s="387"/>
      <c r="I2161" s="388"/>
      <c r="J2161" s="389">
        <f t="shared" si="87"/>
        <v>0</v>
      </c>
      <c r="K2161" s="218">
        <f t="shared" si="15"/>
        <v>0</v>
      </c>
      <c r="L2161" s="219">
        <f t="shared" si="16"/>
        <v>0</v>
      </c>
      <c r="M2161" s="219">
        <f t="shared" si="17"/>
        <v>0</v>
      </c>
      <c r="N2161" s="219">
        <f t="shared" si="18"/>
        <v>0</v>
      </c>
      <c r="O2161" s="219">
        <f t="shared" si="19"/>
        <v>0</v>
      </c>
      <c r="P2161" s="219">
        <f t="shared" si="20"/>
        <v>0</v>
      </c>
      <c r="Q2161" s="563">
        <f t="shared" si="92"/>
        <v>0</v>
      </c>
      <c r="R2161" s="220"/>
      <c r="T2161" s="82"/>
      <c r="U2161" s="82"/>
      <c r="V2161" s="82"/>
      <c r="W2161" s="82"/>
      <c r="X2161" s="82"/>
      <c r="Y2161" s="82"/>
      <c r="Z2161" s="82"/>
      <c r="AA2161" s="82"/>
      <c r="AB2161" s="82"/>
    </row>
    <row r="2162" spans="1:28" s="85" customFormat="1" x14ac:dyDescent="0.25">
      <c r="A2162" s="82"/>
      <c r="B2162" s="82"/>
      <c r="C2162" s="82"/>
      <c r="D2162" s="729"/>
      <c r="E2162" s="371" t="s">
        <v>49</v>
      </c>
      <c r="F2162" s="372"/>
      <c r="G2162" s="373"/>
      <c r="H2162" s="374"/>
      <c r="I2162" s="375"/>
      <c r="J2162" s="376">
        <f t="shared" si="87"/>
        <v>0</v>
      </c>
      <c r="K2162" s="66">
        <f t="shared" si="15"/>
        <v>0</v>
      </c>
      <c r="L2162" s="63">
        <f t="shared" si="16"/>
        <v>0</v>
      </c>
      <c r="M2162" s="63">
        <f t="shared" si="17"/>
        <v>0</v>
      </c>
      <c r="N2162" s="63">
        <f t="shared" si="18"/>
        <v>0</v>
      </c>
      <c r="O2162" s="63">
        <f t="shared" si="19"/>
        <v>0</v>
      </c>
      <c r="P2162" s="63">
        <f t="shared" si="20"/>
        <v>0</v>
      </c>
      <c r="Q2162" s="561">
        <f t="shared" si="92"/>
        <v>0</v>
      </c>
      <c r="R2162" s="174"/>
      <c r="T2162" s="82"/>
      <c r="U2162" s="82"/>
      <c r="V2162" s="82"/>
      <c r="W2162" s="82"/>
      <c r="X2162" s="82"/>
      <c r="Y2162" s="82"/>
      <c r="Z2162" s="82"/>
      <c r="AA2162" s="82"/>
      <c r="AB2162" s="82"/>
    </row>
    <row r="2163" spans="1:28" s="85" customFormat="1" x14ac:dyDescent="0.25">
      <c r="A2163" s="82"/>
      <c r="B2163" s="82"/>
      <c r="C2163" s="82"/>
      <c r="D2163" s="729"/>
      <c r="E2163" s="371" t="s">
        <v>49</v>
      </c>
      <c r="F2163" s="372"/>
      <c r="G2163" s="373"/>
      <c r="H2163" s="374"/>
      <c r="I2163" s="375"/>
      <c r="J2163" s="376">
        <f t="shared" si="87"/>
        <v>0</v>
      </c>
      <c r="K2163" s="66">
        <f t="shared" si="15"/>
        <v>0</v>
      </c>
      <c r="L2163" s="63">
        <f t="shared" si="16"/>
        <v>0</v>
      </c>
      <c r="M2163" s="63">
        <f t="shared" si="17"/>
        <v>0</v>
      </c>
      <c r="N2163" s="63">
        <f t="shared" si="18"/>
        <v>0</v>
      </c>
      <c r="O2163" s="63">
        <f t="shared" si="19"/>
        <v>0</v>
      </c>
      <c r="P2163" s="63">
        <f t="shared" si="20"/>
        <v>0</v>
      </c>
      <c r="Q2163" s="561">
        <f t="shared" si="92"/>
        <v>0</v>
      </c>
      <c r="R2163" s="174"/>
      <c r="T2163" s="82"/>
      <c r="U2163" s="82"/>
      <c r="V2163" s="82"/>
      <c r="W2163" s="82"/>
      <c r="X2163" s="82"/>
      <c r="Y2163" s="82"/>
      <c r="Z2163" s="82"/>
      <c r="AA2163" s="82"/>
      <c r="AB2163" s="82"/>
    </row>
    <row r="2164" spans="1:28" s="85" customFormat="1" x14ac:dyDescent="0.25">
      <c r="A2164" s="82"/>
      <c r="B2164" s="82"/>
      <c r="C2164" s="82"/>
      <c r="D2164" s="729"/>
      <c r="E2164" s="371" t="s">
        <v>49</v>
      </c>
      <c r="F2164" s="372"/>
      <c r="G2164" s="373"/>
      <c r="H2164" s="374"/>
      <c r="I2164" s="375"/>
      <c r="J2164" s="376">
        <f t="shared" si="87"/>
        <v>0</v>
      </c>
      <c r="K2164" s="66">
        <f t="shared" si="15"/>
        <v>0</v>
      </c>
      <c r="L2164" s="63">
        <f t="shared" si="16"/>
        <v>0</v>
      </c>
      <c r="M2164" s="63">
        <f t="shared" si="17"/>
        <v>0</v>
      </c>
      <c r="N2164" s="63">
        <f t="shared" si="18"/>
        <v>0</v>
      </c>
      <c r="O2164" s="63">
        <f t="shared" si="19"/>
        <v>0</v>
      </c>
      <c r="P2164" s="63">
        <f t="shared" si="20"/>
        <v>0</v>
      </c>
      <c r="Q2164" s="561">
        <f t="shared" si="92"/>
        <v>0</v>
      </c>
      <c r="R2164" s="174"/>
      <c r="T2164" s="82"/>
      <c r="U2164" s="82"/>
      <c r="V2164" s="82"/>
      <c r="W2164" s="82"/>
      <c r="X2164" s="82"/>
      <c r="Y2164" s="82"/>
      <c r="Z2164" s="82"/>
      <c r="AA2164" s="82"/>
      <c r="AB2164" s="82"/>
    </row>
    <row r="2165" spans="1:28" s="85" customFormat="1" x14ac:dyDescent="0.25">
      <c r="A2165" s="82"/>
      <c r="B2165" s="82"/>
      <c r="C2165" s="82"/>
      <c r="D2165" s="729"/>
      <c r="E2165" s="371" t="s">
        <v>113</v>
      </c>
      <c r="F2165" s="372"/>
      <c r="G2165" s="373"/>
      <c r="H2165" s="374"/>
      <c r="I2165" s="375"/>
      <c r="J2165" s="376">
        <f t="shared" si="87"/>
        <v>0</v>
      </c>
      <c r="K2165" s="66">
        <f t="shared" si="15"/>
        <v>0</v>
      </c>
      <c r="L2165" s="63">
        <f t="shared" si="16"/>
        <v>0</v>
      </c>
      <c r="M2165" s="63">
        <f t="shared" si="17"/>
        <v>0</v>
      </c>
      <c r="N2165" s="63">
        <f t="shared" si="18"/>
        <v>0</v>
      </c>
      <c r="O2165" s="63">
        <f t="shared" si="19"/>
        <v>0</v>
      </c>
      <c r="P2165" s="63">
        <f t="shared" si="20"/>
        <v>0</v>
      </c>
      <c r="Q2165" s="561">
        <f t="shared" si="92"/>
        <v>0</v>
      </c>
      <c r="R2165" s="174"/>
      <c r="T2165" s="82"/>
      <c r="U2165" s="82"/>
      <c r="V2165" s="82"/>
      <c r="W2165" s="82"/>
      <c r="X2165" s="82"/>
      <c r="Y2165" s="82"/>
      <c r="Z2165" s="82"/>
      <c r="AA2165" s="82"/>
      <c r="AB2165" s="82"/>
    </row>
    <row r="2166" spans="1:28" s="85" customFormat="1" x14ac:dyDescent="0.25">
      <c r="A2166" s="82"/>
      <c r="B2166" s="82"/>
      <c r="C2166" s="82"/>
      <c r="D2166" s="729"/>
      <c r="E2166" s="371" t="s">
        <v>113</v>
      </c>
      <c r="F2166" s="372"/>
      <c r="G2166" s="373"/>
      <c r="H2166" s="374"/>
      <c r="I2166" s="375"/>
      <c r="J2166" s="376">
        <f t="shared" si="87"/>
        <v>0</v>
      </c>
      <c r="K2166" s="66">
        <f t="shared" si="15"/>
        <v>0</v>
      </c>
      <c r="L2166" s="63">
        <f t="shared" si="16"/>
        <v>0</v>
      </c>
      <c r="M2166" s="63">
        <f t="shared" si="17"/>
        <v>0</v>
      </c>
      <c r="N2166" s="63">
        <f t="shared" si="18"/>
        <v>0</v>
      </c>
      <c r="O2166" s="63">
        <f t="shared" si="19"/>
        <v>0</v>
      </c>
      <c r="P2166" s="63">
        <f t="shared" si="20"/>
        <v>0</v>
      </c>
      <c r="Q2166" s="561">
        <f t="shared" si="92"/>
        <v>0</v>
      </c>
      <c r="R2166" s="174"/>
      <c r="T2166" s="82"/>
      <c r="U2166" s="82"/>
      <c r="V2166" s="82"/>
      <c r="W2166" s="82"/>
      <c r="X2166" s="82"/>
      <c r="Y2166" s="82"/>
      <c r="Z2166" s="82"/>
      <c r="AA2166" s="82"/>
      <c r="AB2166" s="82"/>
    </row>
    <row r="2167" spans="1:28" s="85" customFormat="1" x14ac:dyDescent="0.25">
      <c r="A2167" s="82"/>
      <c r="B2167" s="82"/>
      <c r="C2167" s="82"/>
      <c r="D2167" s="729"/>
      <c r="E2167" s="371" t="s">
        <v>113</v>
      </c>
      <c r="F2167" s="372"/>
      <c r="G2167" s="373"/>
      <c r="H2167" s="374"/>
      <c r="I2167" s="375"/>
      <c r="J2167" s="376">
        <f t="shared" si="87"/>
        <v>0</v>
      </c>
      <c r="K2167" s="66">
        <f t="shared" si="15"/>
        <v>0</v>
      </c>
      <c r="L2167" s="63">
        <f t="shared" si="16"/>
        <v>0</v>
      </c>
      <c r="M2167" s="63">
        <f t="shared" si="17"/>
        <v>0</v>
      </c>
      <c r="N2167" s="63">
        <f t="shared" si="18"/>
        <v>0</v>
      </c>
      <c r="O2167" s="63">
        <f t="shared" si="19"/>
        <v>0</v>
      </c>
      <c r="P2167" s="63">
        <f t="shared" si="20"/>
        <v>0</v>
      </c>
      <c r="Q2167" s="561">
        <f t="shared" si="92"/>
        <v>0</v>
      </c>
      <c r="R2167" s="174"/>
      <c r="T2167" s="82"/>
      <c r="U2167" s="82"/>
      <c r="V2167" s="82"/>
      <c r="W2167" s="82"/>
      <c r="X2167" s="82"/>
      <c r="Y2167" s="82"/>
      <c r="Z2167" s="82"/>
      <c r="AA2167" s="82"/>
      <c r="AB2167" s="82"/>
    </row>
    <row r="2168" spans="1:28" s="85" customFormat="1" x14ac:dyDescent="0.25">
      <c r="A2168" s="82"/>
      <c r="B2168" s="82"/>
      <c r="C2168" s="82"/>
      <c r="D2168" s="729"/>
      <c r="E2168" s="371" t="s">
        <v>113</v>
      </c>
      <c r="F2168" s="372"/>
      <c r="G2168" s="373"/>
      <c r="H2168" s="374"/>
      <c r="I2168" s="375"/>
      <c r="J2168" s="376">
        <f t="shared" si="87"/>
        <v>0</v>
      </c>
      <c r="K2168" s="66">
        <f t="shared" si="15"/>
        <v>0</v>
      </c>
      <c r="L2168" s="63">
        <f t="shared" si="16"/>
        <v>0</v>
      </c>
      <c r="M2168" s="63">
        <f t="shared" si="17"/>
        <v>0</v>
      </c>
      <c r="N2168" s="63">
        <f t="shared" si="18"/>
        <v>0</v>
      </c>
      <c r="O2168" s="63">
        <f t="shared" si="19"/>
        <v>0</v>
      </c>
      <c r="P2168" s="63">
        <f t="shared" si="20"/>
        <v>0</v>
      </c>
      <c r="Q2168" s="561">
        <f t="shared" si="92"/>
        <v>0</v>
      </c>
      <c r="R2168" s="174"/>
      <c r="T2168" s="82"/>
      <c r="U2168" s="82"/>
      <c r="V2168" s="82"/>
      <c r="W2168" s="82"/>
      <c r="X2168" s="82"/>
      <c r="Y2168" s="82"/>
      <c r="Z2168" s="82"/>
      <c r="AA2168" s="82"/>
      <c r="AB2168" s="82"/>
    </row>
    <row r="2169" spans="1:28" s="85" customFormat="1" x14ac:dyDescent="0.25">
      <c r="A2169" s="82"/>
      <c r="B2169" s="82"/>
      <c r="C2169" s="82"/>
      <c r="D2169" s="729"/>
      <c r="E2169" s="396" t="s">
        <v>184</v>
      </c>
      <c r="F2169" s="403"/>
      <c r="G2169" s="397"/>
      <c r="H2169" s="398"/>
      <c r="I2169" s="399"/>
      <c r="J2169" s="400">
        <f t="shared" ref="J2169:J2180" si="310">G2169*I2169</f>
        <v>0</v>
      </c>
      <c r="K2169" s="401">
        <f t="shared" si="15"/>
        <v>0</v>
      </c>
      <c r="L2169" s="196">
        <f t="shared" si="16"/>
        <v>0</v>
      </c>
      <c r="M2169" s="196">
        <f t="shared" si="17"/>
        <v>0</v>
      </c>
      <c r="N2169" s="196">
        <f t="shared" si="18"/>
        <v>0</v>
      </c>
      <c r="O2169" s="196">
        <f t="shared" si="19"/>
        <v>0</v>
      </c>
      <c r="P2169" s="196">
        <f t="shared" si="20"/>
        <v>0</v>
      </c>
      <c r="Q2169" s="566">
        <f t="shared" si="92"/>
        <v>0</v>
      </c>
      <c r="R2169" s="538"/>
      <c r="T2169" s="82"/>
      <c r="U2169" s="82"/>
      <c r="V2169" s="82"/>
      <c r="W2169" s="82"/>
      <c r="X2169" s="82"/>
      <c r="Y2169" s="82"/>
      <c r="Z2169" s="82"/>
      <c r="AA2169" s="82"/>
      <c r="AB2169" s="82"/>
    </row>
    <row r="2170" spans="1:28" s="85" customFormat="1" x14ac:dyDescent="0.25">
      <c r="A2170" s="82"/>
      <c r="B2170" s="82"/>
      <c r="C2170" s="82"/>
      <c r="D2170" s="729"/>
      <c r="E2170" s="371" t="s">
        <v>184</v>
      </c>
      <c r="F2170" s="372"/>
      <c r="G2170" s="373"/>
      <c r="H2170" s="374"/>
      <c r="I2170" s="375"/>
      <c r="J2170" s="376">
        <f t="shared" si="310"/>
        <v>0</v>
      </c>
      <c r="K2170" s="66">
        <f t="shared" si="15"/>
        <v>0</v>
      </c>
      <c r="L2170" s="63">
        <f t="shared" si="16"/>
        <v>0</v>
      </c>
      <c r="M2170" s="63">
        <f t="shared" si="17"/>
        <v>0</v>
      </c>
      <c r="N2170" s="63">
        <f t="shared" si="18"/>
        <v>0</v>
      </c>
      <c r="O2170" s="63">
        <f t="shared" si="19"/>
        <v>0</v>
      </c>
      <c r="P2170" s="63">
        <f t="shared" si="20"/>
        <v>0</v>
      </c>
      <c r="Q2170" s="562">
        <f t="shared" si="92"/>
        <v>0</v>
      </c>
      <c r="R2170" s="377"/>
      <c r="T2170" s="82"/>
      <c r="U2170" s="82"/>
      <c r="V2170" s="82"/>
      <c r="W2170" s="82"/>
      <c r="X2170" s="82"/>
      <c r="Y2170" s="82"/>
      <c r="Z2170" s="82"/>
      <c r="AA2170" s="82"/>
      <c r="AB2170" s="82"/>
    </row>
    <row r="2171" spans="1:28" s="85" customFormat="1" x14ac:dyDescent="0.25">
      <c r="A2171" s="82"/>
      <c r="B2171" s="82"/>
      <c r="C2171" s="82"/>
      <c r="D2171" s="729"/>
      <c r="E2171" s="371" t="s">
        <v>184</v>
      </c>
      <c r="F2171" s="372"/>
      <c r="G2171" s="373"/>
      <c r="H2171" s="374"/>
      <c r="I2171" s="375"/>
      <c r="J2171" s="376">
        <f t="shared" si="310"/>
        <v>0</v>
      </c>
      <c r="K2171" s="66">
        <f t="shared" si="15"/>
        <v>0</v>
      </c>
      <c r="L2171" s="63">
        <f t="shared" si="16"/>
        <v>0</v>
      </c>
      <c r="M2171" s="63">
        <f t="shared" si="17"/>
        <v>0</v>
      </c>
      <c r="N2171" s="63">
        <f t="shared" si="18"/>
        <v>0</v>
      </c>
      <c r="O2171" s="63">
        <f t="shared" si="19"/>
        <v>0</v>
      </c>
      <c r="P2171" s="63">
        <f t="shared" si="20"/>
        <v>0</v>
      </c>
      <c r="Q2171" s="562">
        <f t="shared" si="92"/>
        <v>0</v>
      </c>
      <c r="R2171" s="377"/>
      <c r="T2171" s="82"/>
      <c r="U2171" s="82"/>
      <c r="V2171" s="82"/>
      <c r="W2171" s="82"/>
      <c r="X2171" s="82"/>
      <c r="Y2171" s="82"/>
      <c r="Z2171" s="82"/>
      <c r="AA2171" s="82"/>
      <c r="AB2171" s="82"/>
    </row>
    <row r="2172" spans="1:28" s="85" customFormat="1" ht="13.8" thickBot="1" x14ac:dyDescent="0.3">
      <c r="A2172" s="82"/>
      <c r="B2172" s="82"/>
      <c r="C2172" s="82"/>
      <c r="D2172" s="731"/>
      <c r="E2172" s="390" t="s">
        <v>184</v>
      </c>
      <c r="F2172" s="391"/>
      <c r="G2172" s="392"/>
      <c r="H2172" s="393"/>
      <c r="I2172" s="394"/>
      <c r="J2172" s="395">
        <f t="shared" si="310"/>
        <v>0</v>
      </c>
      <c r="K2172" s="221">
        <f t="shared" si="15"/>
        <v>0</v>
      </c>
      <c r="L2172" s="222">
        <f t="shared" si="16"/>
        <v>0</v>
      </c>
      <c r="M2172" s="222">
        <f t="shared" si="17"/>
        <v>0</v>
      </c>
      <c r="N2172" s="222">
        <f t="shared" si="18"/>
        <v>0</v>
      </c>
      <c r="O2172" s="222">
        <f t="shared" si="19"/>
        <v>0</v>
      </c>
      <c r="P2172" s="222">
        <f t="shared" si="20"/>
        <v>0</v>
      </c>
      <c r="Q2172" s="564">
        <f t="shared" si="92"/>
        <v>0</v>
      </c>
      <c r="R2172" s="539"/>
      <c r="T2172" s="82"/>
      <c r="U2172" s="82"/>
      <c r="V2172" s="82"/>
      <c r="W2172" s="82"/>
      <c r="X2172" s="82"/>
      <c r="Y2172" s="82"/>
      <c r="Z2172" s="82"/>
      <c r="AA2172" s="82"/>
      <c r="AB2172" s="82"/>
    </row>
    <row r="2173" spans="1:28" s="85" customFormat="1" ht="13.8" thickTop="1" x14ac:dyDescent="0.25">
      <c r="A2173" s="82"/>
      <c r="B2173" s="82"/>
      <c r="C2173" s="82"/>
      <c r="D2173" s="728"/>
      <c r="E2173" s="384" t="s">
        <v>49</v>
      </c>
      <c r="F2173" s="385"/>
      <c r="G2173" s="386"/>
      <c r="H2173" s="387"/>
      <c r="I2173" s="388"/>
      <c r="J2173" s="389">
        <f t="shared" si="310"/>
        <v>0</v>
      </c>
      <c r="K2173" s="218">
        <f t="shared" si="15"/>
        <v>0</v>
      </c>
      <c r="L2173" s="219">
        <f t="shared" si="16"/>
        <v>0</v>
      </c>
      <c r="M2173" s="219">
        <f t="shared" si="17"/>
        <v>0</v>
      </c>
      <c r="N2173" s="219">
        <f t="shared" si="18"/>
        <v>0</v>
      </c>
      <c r="O2173" s="219">
        <f t="shared" si="19"/>
        <v>0</v>
      </c>
      <c r="P2173" s="219">
        <f t="shared" si="20"/>
        <v>0</v>
      </c>
      <c r="Q2173" s="563">
        <f t="shared" si="92"/>
        <v>0</v>
      </c>
      <c r="R2173" s="220"/>
      <c r="T2173" s="82"/>
      <c r="U2173" s="82"/>
      <c r="V2173" s="82"/>
      <c r="W2173" s="82"/>
      <c r="X2173" s="82"/>
      <c r="Y2173" s="82"/>
      <c r="Z2173" s="82"/>
      <c r="AA2173" s="82"/>
      <c r="AB2173" s="82"/>
    </row>
    <row r="2174" spans="1:28" s="85" customFormat="1" x14ac:dyDescent="0.25">
      <c r="A2174" s="82"/>
      <c r="B2174" s="82"/>
      <c r="C2174" s="82"/>
      <c r="D2174" s="729"/>
      <c r="E2174" s="371" t="s">
        <v>49</v>
      </c>
      <c r="F2174" s="372"/>
      <c r="G2174" s="373"/>
      <c r="H2174" s="374"/>
      <c r="I2174" s="375"/>
      <c r="J2174" s="376">
        <f t="shared" si="310"/>
        <v>0</v>
      </c>
      <c r="K2174" s="66">
        <f t="shared" si="15"/>
        <v>0</v>
      </c>
      <c r="L2174" s="63">
        <f t="shared" si="16"/>
        <v>0</v>
      </c>
      <c r="M2174" s="63">
        <f t="shared" si="17"/>
        <v>0</v>
      </c>
      <c r="N2174" s="63">
        <f t="shared" si="18"/>
        <v>0</v>
      </c>
      <c r="O2174" s="63">
        <f t="shared" si="19"/>
        <v>0</v>
      </c>
      <c r="P2174" s="63">
        <f t="shared" si="20"/>
        <v>0</v>
      </c>
      <c r="Q2174" s="561">
        <f t="shared" si="92"/>
        <v>0</v>
      </c>
      <c r="R2174" s="174"/>
      <c r="T2174" s="82"/>
      <c r="U2174" s="82"/>
      <c r="V2174" s="82"/>
      <c r="W2174" s="82"/>
      <c r="X2174" s="82"/>
      <c r="Y2174" s="82"/>
      <c r="Z2174" s="82"/>
      <c r="AA2174" s="82"/>
      <c r="AB2174" s="82"/>
    </row>
    <row r="2175" spans="1:28" s="85" customFormat="1" x14ac:dyDescent="0.25">
      <c r="A2175" s="82"/>
      <c r="B2175" s="82"/>
      <c r="C2175" s="82"/>
      <c r="D2175" s="729"/>
      <c r="E2175" s="371" t="s">
        <v>49</v>
      </c>
      <c r="F2175" s="372"/>
      <c r="G2175" s="373"/>
      <c r="H2175" s="374"/>
      <c r="I2175" s="375"/>
      <c r="J2175" s="376">
        <f t="shared" si="310"/>
        <v>0</v>
      </c>
      <c r="K2175" s="66">
        <f t="shared" si="15"/>
        <v>0</v>
      </c>
      <c r="L2175" s="63">
        <f t="shared" si="16"/>
        <v>0</v>
      </c>
      <c r="M2175" s="63">
        <f t="shared" si="17"/>
        <v>0</v>
      </c>
      <c r="N2175" s="63">
        <f t="shared" si="18"/>
        <v>0</v>
      </c>
      <c r="O2175" s="63">
        <f t="shared" si="19"/>
        <v>0</v>
      </c>
      <c r="P2175" s="63">
        <f t="shared" si="20"/>
        <v>0</v>
      </c>
      <c r="Q2175" s="561">
        <f t="shared" si="92"/>
        <v>0</v>
      </c>
      <c r="R2175" s="174"/>
      <c r="T2175" s="82"/>
      <c r="U2175" s="82"/>
      <c r="V2175" s="82"/>
      <c r="W2175" s="82"/>
      <c r="X2175" s="82"/>
      <c r="Y2175" s="82"/>
      <c r="Z2175" s="82"/>
      <c r="AA2175" s="82"/>
      <c r="AB2175" s="82"/>
    </row>
    <row r="2176" spans="1:28" s="85" customFormat="1" x14ac:dyDescent="0.25">
      <c r="A2176" s="82"/>
      <c r="B2176" s="82"/>
      <c r="C2176" s="82"/>
      <c r="D2176" s="729"/>
      <c r="E2176" s="371" t="s">
        <v>49</v>
      </c>
      <c r="F2176" s="372"/>
      <c r="G2176" s="373"/>
      <c r="H2176" s="374"/>
      <c r="I2176" s="375"/>
      <c r="J2176" s="376">
        <f t="shared" si="310"/>
        <v>0</v>
      </c>
      <c r="K2176" s="66">
        <f t="shared" si="15"/>
        <v>0</v>
      </c>
      <c r="L2176" s="63">
        <f t="shared" si="16"/>
        <v>0</v>
      </c>
      <c r="M2176" s="63">
        <f t="shared" si="17"/>
        <v>0</v>
      </c>
      <c r="N2176" s="63">
        <f t="shared" si="18"/>
        <v>0</v>
      </c>
      <c r="O2176" s="63">
        <f t="shared" si="19"/>
        <v>0</v>
      </c>
      <c r="P2176" s="63">
        <f t="shared" si="20"/>
        <v>0</v>
      </c>
      <c r="Q2176" s="561">
        <f t="shared" si="92"/>
        <v>0</v>
      </c>
      <c r="R2176" s="174"/>
      <c r="T2176" s="82"/>
      <c r="U2176" s="82"/>
      <c r="V2176" s="82"/>
      <c r="W2176" s="82"/>
      <c r="X2176" s="82"/>
      <c r="Y2176" s="82"/>
      <c r="Z2176" s="82"/>
      <c r="AA2176" s="82"/>
      <c r="AB2176" s="82"/>
    </row>
    <row r="2177" spans="1:28" s="85" customFormat="1" x14ac:dyDescent="0.25">
      <c r="A2177" s="82"/>
      <c r="B2177" s="82"/>
      <c r="C2177" s="82"/>
      <c r="D2177" s="729"/>
      <c r="E2177" s="371" t="s">
        <v>113</v>
      </c>
      <c r="F2177" s="372"/>
      <c r="G2177" s="373"/>
      <c r="H2177" s="374"/>
      <c r="I2177" s="375"/>
      <c r="J2177" s="376">
        <f t="shared" si="310"/>
        <v>0</v>
      </c>
      <c r="K2177" s="66">
        <f t="shared" si="15"/>
        <v>0</v>
      </c>
      <c r="L2177" s="63">
        <f t="shared" si="16"/>
        <v>0</v>
      </c>
      <c r="M2177" s="63">
        <f t="shared" si="17"/>
        <v>0</v>
      </c>
      <c r="N2177" s="63">
        <f t="shared" si="18"/>
        <v>0</v>
      </c>
      <c r="O2177" s="63">
        <f t="shared" si="19"/>
        <v>0</v>
      </c>
      <c r="P2177" s="63">
        <f t="shared" si="20"/>
        <v>0</v>
      </c>
      <c r="Q2177" s="561">
        <f t="shared" si="92"/>
        <v>0</v>
      </c>
      <c r="R2177" s="174"/>
      <c r="T2177" s="82"/>
      <c r="U2177" s="82"/>
      <c r="V2177" s="82"/>
      <c r="W2177" s="82"/>
      <c r="X2177" s="82"/>
      <c r="Y2177" s="82"/>
      <c r="Z2177" s="82"/>
      <c r="AA2177" s="82"/>
      <c r="AB2177" s="82"/>
    </row>
    <row r="2178" spans="1:28" s="85" customFormat="1" x14ac:dyDescent="0.25">
      <c r="A2178" s="82"/>
      <c r="B2178" s="82"/>
      <c r="C2178" s="82"/>
      <c r="D2178" s="729"/>
      <c r="E2178" s="371" t="s">
        <v>113</v>
      </c>
      <c r="F2178" s="372"/>
      <c r="G2178" s="373"/>
      <c r="H2178" s="374"/>
      <c r="I2178" s="375"/>
      <c r="J2178" s="376">
        <f t="shared" si="310"/>
        <v>0</v>
      </c>
      <c r="K2178" s="66">
        <f t="shared" si="15"/>
        <v>0</v>
      </c>
      <c r="L2178" s="63">
        <f t="shared" si="16"/>
        <v>0</v>
      </c>
      <c r="M2178" s="63">
        <f t="shared" si="17"/>
        <v>0</v>
      </c>
      <c r="N2178" s="63">
        <f t="shared" si="18"/>
        <v>0</v>
      </c>
      <c r="O2178" s="63">
        <f t="shared" si="19"/>
        <v>0</v>
      </c>
      <c r="P2178" s="63">
        <f t="shared" si="20"/>
        <v>0</v>
      </c>
      <c r="Q2178" s="561">
        <f t="shared" si="92"/>
        <v>0</v>
      </c>
      <c r="R2178" s="174"/>
      <c r="T2178" s="82"/>
      <c r="U2178" s="82"/>
      <c r="V2178" s="82"/>
      <c r="W2178" s="82"/>
      <c r="X2178" s="82"/>
      <c r="Y2178" s="82"/>
      <c r="Z2178" s="82"/>
      <c r="AA2178" s="82"/>
      <c r="AB2178" s="82"/>
    </row>
    <row r="2179" spans="1:28" s="85" customFormat="1" x14ac:dyDescent="0.25">
      <c r="A2179" s="82"/>
      <c r="B2179" s="82"/>
      <c r="C2179" s="82"/>
      <c r="D2179" s="729"/>
      <c r="E2179" s="371" t="s">
        <v>113</v>
      </c>
      <c r="F2179" s="372"/>
      <c r="G2179" s="373"/>
      <c r="H2179" s="374"/>
      <c r="I2179" s="375"/>
      <c r="J2179" s="376">
        <f t="shared" si="310"/>
        <v>0</v>
      </c>
      <c r="K2179" s="66">
        <f t="shared" si="15"/>
        <v>0</v>
      </c>
      <c r="L2179" s="63">
        <f t="shared" si="16"/>
        <v>0</v>
      </c>
      <c r="M2179" s="63">
        <f t="shared" si="17"/>
        <v>0</v>
      </c>
      <c r="N2179" s="63">
        <f t="shared" si="18"/>
        <v>0</v>
      </c>
      <c r="O2179" s="63">
        <f t="shared" si="19"/>
        <v>0</v>
      </c>
      <c r="P2179" s="63">
        <f t="shared" si="20"/>
        <v>0</v>
      </c>
      <c r="Q2179" s="561">
        <f t="shared" si="92"/>
        <v>0</v>
      </c>
      <c r="R2179" s="174"/>
      <c r="T2179" s="82"/>
      <c r="U2179" s="82"/>
      <c r="V2179" s="82"/>
      <c r="W2179" s="82"/>
      <c r="X2179" s="82"/>
      <c r="Y2179" s="82"/>
      <c r="Z2179" s="82"/>
      <c r="AA2179" s="82"/>
      <c r="AB2179" s="82"/>
    </row>
    <row r="2180" spans="1:28" s="85" customFormat="1" x14ac:dyDescent="0.25">
      <c r="A2180" s="82"/>
      <c r="B2180" s="82"/>
      <c r="C2180" s="82"/>
      <c r="D2180" s="729"/>
      <c r="E2180" s="371" t="s">
        <v>113</v>
      </c>
      <c r="F2180" s="372"/>
      <c r="G2180" s="373"/>
      <c r="H2180" s="374"/>
      <c r="I2180" s="375"/>
      <c r="J2180" s="376">
        <f t="shared" si="310"/>
        <v>0</v>
      </c>
      <c r="K2180" s="66">
        <f t="shared" si="15"/>
        <v>0</v>
      </c>
      <c r="L2180" s="63">
        <f t="shared" si="16"/>
        <v>0</v>
      </c>
      <c r="M2180" s="63">
        <f t="shared" si="17"/>
        <v>0</v>
      </c>
      <c r="N2180" s="63">
        <f t="shared" si="18"/>
        <v>0</v>
      </c>
      <c r="O2180" s="63">
        <f t="shared" si="19"/>
        <v>0</v>
      </c>
      <c r="P2180" s="63">
        <f t="shared" si="20"/>
        <v>0</v>
      </c>
      <c r="Q2180" s="561">
        <f t="shared" si="92"/>
        <v>0</v>
      </c>
      <c r="R2180" s="174"/>
      <c r="T2180" s="82"/>
      <c r="U2180" s="82"/>
      <c r="V2180" s="82"/>
      <c r="W2180" s="82"/>
      <c r="X2180" s="82"/>
      <c r="Y2180" s="82"/>
      <c r="Z2180" s="82"/>
      <c r="AA2180" s="82"/>
      <c r="AB2180" s="82"/>
    </row>
    <row r="2181" spans="1:28" s="85" customFormat="1" x14ac:dyDescent="0.25">
      <c r="A2181" s="82"/>
      <c r="B2181" s="82"/>
      <c r="C2181" s="82"/>
      <c r="D2181" s="729"/>
      <c r="E2181" s="396" t="s">
        <v>184</v>
      </c>
      <c r="F2181" s="403"/>
      <c r="G2181" s="397"/>
      <c r="H2181" s="398"/>
      <c r="I2181" s="399"/>
      <c r="J2181" s="400">
        <f t="shared" ref="J2181:J2184" si="311">G2181*I2181</f>
        <v>0</v>
      </c>
      <c r="K2181" s="401">
        <f t="shared" si="15"/>
        <v>0</v>
      </c>
      <c r="L2181" s="196">
        <f t="shared" si="16"/>
        <v>0</v>
      </c>
      <c r="M2181" s="196">
        <f t="shared" si="17"/>
        <v>0</v>
      </c>
      <c r="N2181" s="196">
        <f t="shared" si="18"/>
        <v>0</v>
      </c>
      <c r="O2181" s="196">
        <f t="shared" si="19"/>
        <v>0</v>
      </c>
      <c r="P2181" s="196">
        <f t="shared" si="20"/>
        <v>0</v>
      </c>
      <c r="Q2181" s="566">
        <f t="shared" si="92"/>
        <v>0</v>
      </c>
      <c r="R2181" s="538"/>
      <c r="T2181" s="82"/>
      <c r="U2181" s="82"/>
      <c r="V2181" s="82"/>
      <c r="W2181" s="82"/>
      <c r="X2181" s="82"/>
      <c r="Y2181" s="82"/>
      <c r="Z2181" s="82"/>
      <c r="AA2181" s="82"/>
      <c r="AB2181" s="82"/>
    </row>
    <row r="2182" spans="1:28" s="85" customFormat="1" x14ac:dyDescent="0.25">
      <c r="A2182" s="82"/>
      <c r="B2182" s="82"/>
      <c r="C2182" s="82"/>
      <c r="D2182" s="729"/>
      <c r="E2182" s="371" t="s">
        <v>184</v>
      </c>
      <c r="F2182" s="372"/>
      <c r="G2182" s="373"/>
      <c r="H2182" s="374"/>
      <c r="I2182" s="375"/>
      <c r="J2182" s="376">
        <f t="shared" si="311"/>
        <v>0</v>
      </c>
      <c r="K2182" s="66">
        <f t="shared" si="15"/>
        <v>0</v>
      </c>
      <c r="L2182" s="63">
        <f t="shared" si="16"/>
        <v>0</v>
      </c>
      <c r="M2182" s="63">
        <f t="shared" si="17"/>
        <v>0</v>
      </c>
      <c r="N2182" s="63">
        <f t="shared" si="18"/>
        <v>0</v>
      </c>
      <c r="O2182" s="63">
        <f t="shared" si="19"/>
        <v>0</v>
      </c>
      <c r="P2182" s="63">
        <f t="shared" si="20"/>
        <v>0</v>
      </c>
      <c r="Q2182" s="562">
        <f t="shared" si="92"/>
        <v>0</v>
      </c>
      <c r="R2182" s="377"/>
      <c r="T2182" s="82"/>
      <c r="U2182" s="82"/>
      <c r="V2182" s="82"/>
      <c r="W2182" s="82"/>
      <c r="X2182" s="82"/>
      <c r="Y2182" s="82"/>
      <c r="Z2182" s="82"/>
      <c r="AA2182" s="82"/>
      <c r="AB2182" s="82"/>
    </row>
    <row r="2183" spans="1:28" s="85" customFormat="1" x14ac:dyDescent="0.25">
      <c r="A2183" s="82"/>
      <c r="B2183" s="82"/>
      <c r="C2183" s="82"/>
      <c r="D2183" s="729"/>
      <c r="E2183" s="371" t="s">
        <v>184</v>
      </c>
      <c r="F2183" s="372"/>
      <c r="G2183" s="373"/>
      <c r="H2183" s="374"/>
      <c r="I2183" s="375"/>
      <c r="J2183" s="376">
        <f t="shared" si="311"/>
        <v>0</v>
      </c>
      <c r="K2183" s="66">
        <f t="shared" si="15"/>
        <v>0</v>
      </c>
      <c r="L2183" s="63">
        <f t="shared" si="16"/>
        <v>0</v>
      </c>
      <c r="M2183" s="63">
        <f t="shared" si="17"/>
        <v>0</v>
      </c>
      <c r="N2183" s="63">
        <f t="shared" si="18"/>
        <v>0</v>
      </c>
      <c r="O2183" s="63">
        <f t="shared" si="19"/>
        <v>0</v>
      </c>
      <c r="P2183" s="63">
        <f t="shared" si="20"/>
        <v>0</v>
      </c>
      <c r="Q2183" s="562">
        <f t="shared" si="92"/>
        <v>0</v>
      </c>
      <c r="R2183" s="377"/>
      <c r="T2183" s="82"/>
      <c r="U2183" s="82"/>
      <c r="V2183" s="82"/>
      <c r="W2183" s="82"/>
      <c r="X2183" s="82"/>
      <c r="Y2183" s="82"/>
      <c r="Z2183" s="82"/>
      <c r="AA2183" s="82"/>
      <c r="AB2183" s="82"/>
    </row>
    <row r="2184" spans="1:28" s="85" customFormat="1" ht="13.8" thickBot="1" x14ac:dyDescent="0.3">
      <c r="A2184" s="82"/>
      <c r="B2184" s="82"/>
      <c r="C2184" s="82"/>
      <c r="D2184" s="731"/>
      <c r="E2184" s="390" t="s">
        <v>184</v>
      </c>
      <c r="F2184" s="391"/>
      <c r="G2184" s="392"/>
      <c r="H2184" s="393"/>
      <c r="I2184" s="394"/>
      <c r="J2184" s="395">
        <f t="shared" si="311"/>
        <v>0</v>
      </c>
      <c r="K2184" s="221">
        <f t="shared" si="15"/>
        <v>0</v>
      </c>
      <c r="L2184" s="222">
        <f t="shared" si="16"/>
        <v>0</v>
      </c>
      <c r="M2184" s="222">
        <f t="shared" si="17"/>
        <v>0</v>
      </c>
      <c r="N2184" s="222">
        <f t="shared" si="18"/>
        <v>0</v>
      </c>
      <c r="O2184" s="222">
        <f t="shared" si="19"/>
        <v>0</v>
      </c>
      <c r="P2184" s="222">
        <f t="shared" si="20"/>
        <v>0</v>
      </c>
      <c r="Q2184" s="564">
        <f t="shared" si="92"/>
        <v>0</v>
      </c>
      <c r="R2184" s="539"/>
      <c r="T2184" s="82"/>
      <c r="U2184" s="82"/>
      <c r="V2184" s="82"/>
      <c r="W2184" s="82"/>
      <c r="X2184" s="82"/>
      <c r="Y2184" s="82"/>
      <c r="Z2184" s="82"/>
      <c r="AA2184" s="82"/>
      <c r="AB2184" s="82"/>
    </row>
    <row r="2185" spans="1:28" s="85" customFormat="1" ht="13.8" thickTop="1" x14ac:dyDescent="0.25">
      <c r="A2185" s="82"/>
      <c r="B2185" s="82"/>
      <c r="C2185" s="82"/>
      <c r="D2185" s="541"/>
      <c r="E2185" s="371"/>
      <c r="F2185" s="372"/>
      <c r="G2185" s="373"/>
      <c r="H2185" s="374"/>
      <c r="I2185" s="375"/>
      <c r="J2185" s="376">
        <f t="shared" si="22"/>
        <v>0</v>
      </c>
      <c r="K2185" s="66">
        <f t="shared" si="15"/>
        <v>0</v>
      </c>
      <c r="L2185" s="63">
        <f t="shared" si="16"/>
        <v>0</v>
      </c>
      <c r="M2185" s="63">
        <f t="shared" si="17"/>
        <v>0</v>
      </c>
      <c r="N2185" s="63">
        <f t="shared" si="18"/>
        <v>0</v>
      </c>
      <c r="O2185" s="63">
        <f t="shared" si="19"/>
        <v>0</v>
      </c>
      <c r="P2185" s="63">
        <f t="shared" si="20"/>
        <v>0</v>
      </c>
      <c r="Q2185" s="561">
        <f t="shared" si="92"/>
        <v>0</v>
      </c>
      <c r="R2185" s="174"/>
      <c r="T2185" s="82"/>
      <c r="U2185" s="82"/>
      <c r="V2185" s="82"/>
      <c r="W2185" s="82"/>
      <c r="X2185" s="82"/>
      <c r="Y2185" s="82"/>
      <c r="Z2185" s="82"/>
      <c r="AA2185" s="82"/>
      <c r="AB2185" s="82"/>
    </row>
    <row r="2186" spans="1:28" s="85" customFormat="1" ht="13.8" thickBot="1" x14ac:dyDescent="0.3">
      <c r="A2186" s="82"/>
      <c r="B2186" s="82"/>
      <c r="C2186" s="82"/>
      <c r="D2186" s="542"/>
      <c r="E2186" s="390"/>
      <c r="F2186" s="391"/>
      <c r="G2186" s="392"/>
      <c r="H2186" s="393"/>
      <c r="I2186" s="394"/>
      <c r="J2186" s="395">
        <f t="shared" si="22"/>
        <v>0</v>
      </c>
      <c r="K2186" s="221">
        <f t="shared" si="15"/>
        <v>0</v>
      </c>
      <c r="L2186" s="222">
        <f t="shared" si="16"/>
        <v>0</v>
      </c>
      <c r="M2186" s="222">
        <f t="shared" si="17"/>
        <v>0</v>
      </c>
      <c r="N2186" s="222">
        <f t="shared" si="18"/>
        <v>0</v>
      </c>
      <c r="O2186" s="222">
        <f t="shared" si="19"/>
        <v>0</v>
      </c>
      <c r="P2186" s="222">
        <f t="shared" si="20"/>
        <v>0</v>
      </c>
      <c r="Q2186" s="564">
        <f t="shared" si="92"/>
        <v>0</v>
      </c>
      <c r="R2186" s="223"/>
      <c r="T2186" s="82"/>
      <c r="U2186" s="82"/>
      <c r="V2186" s="82"/>
      <c r="W2186" s="82"/>
      <c r="X2186" s="82"/>
      <c r="Y2186" s="82"/>
      <c r="Z2186" s="82"/>
      <c r="AA2186" s="82"/>
      <c r="AB2186" s="82"/>
    </row>
    <row r="2187" spans="1:28" s="85" customFormat="1" ht="13.8" thickTop="1" x14ac:dyDescent="0.25">
      <c r="A2187" s="82"/>
      <c r="B2187" s="82"/>
      <c r="C2187" s="82"/>
      <c r="D2187" s="780"/>
      <c r="E2187" s="396"/>
      <c r="F2187" s="403"/>
      <c r="G2187" s="403"/>
      <c r="H2187" s="403"/>
      <c r="I2187" s="403"/>
      <c r="J2187" s="400">
        <f t="shared" si="22"/>
        <v>0</v>
      </c>
      <c r="K2187" s="401">
        <f t="shared" si="15"/>
        <v>0</v>
      </c>
      <c r="L2187" s="196">
        <f t="shared" si="16"/>
        <v>0</v>
      </c>
      <c r="M2187" s="196">
        <f t="shared" si="17"/>
        <v>0</v>
      </c>
      <c r="N2187" s="196">
        <f t="shared" si="18"/>
        <v>0</v>
      </c>
      <c r="O2187" s="196">
        <f t="shared" si="19"/>
        <v>0</v>
      </c>
      <c r="P2187" s="196">
        <f t="shared" si="20"/>
        <v>0</v>
      </c>
      <c r="Q2187" s="565">
        <f t="shared" si="92"/>
        <v>0</v>
      </c>
      <c r="R2187" s="197"/>
      <c r="T2187" s="82"/>
      <c r="U2187" s="82"/>
      <c r="V2187" s="82"/>
      <c r="W2187" s="82"/>
      <c r="X2187" s="82"/>
      <c r="Y2187" s="82"/>
      <c r="Z2187" s="82"/>
      <c r="AA2187" s="82"/>
      <c r="AB2187" s="82"/>
    </row>
    <row r="2188" spans="1:28" s="85" customFormat="1" x14ac:dyDescent="0.25">
      <c r="A2188" s="82"/>
      <c r="B2188" s="82"/>
      <c r="C2188" s="82"/>
      <c r="D2188" s="781"/>
      <c r="E2188" s="371"/>
      <c r="F2188" s="403"/>
      <c r="G2188" s="403"/>
      <c r="H2188" s="403"/>
      <c r="I2188" s="403"/>
      <c r="J2188" s="376">
        <f t="shared" si="22"/>
        <v>0</v>
      </c>
      <c r="K2188" s="66">
        <f t="shared" si="15"/>
        <v>0</v>
      </c>
      <c r="L2188" s="63">
        <f t="shared" si="16"/>
        <v>0</v>
      </c>
      <c r="M2188" s="63">
        <f t="shared" si="17"/>
        <v>0</v>
      </c>
      <c r="N2188" s="63">
        <f t="shared" si="18"/>
        <v>0</v>
      </c>
      <c r="O2188" s="63">
        <f t="shared" si="19"/>
        <v>0</v>
      </c>
      <c r="P2188" s="63">
        <f t="shared" si="20"/>
        <v>0</v>
      </c>
      <c r="Q2188" s="561">
        <f t="shared" si="92"/>
        <v>0</v>
      </c>
      <c r="R2188" s="174"/>
      <c r="T2188" s="82"/>
      <c r="U2188" s="82"/>
      <c r="V2188" s="82"/>
      <c r="W2188" s="82"/>
      <c r="X2188" s="82"/>
      <c r="Y2188" s="82"/>
      <c r="Z2188" s="82"/>
      <c r="AA2188" s="82"/>
      <c r="AB2188" s="82"/>
    </row>
    <row r="2189" spans="1:28" s="85" customFormat="1" x14ac:dyDescent="0.25">
      <c r="A2189" s="82"/>
      <c r="B2189" s="82"/>
      <c r="C2189" s="82"/>
      <c r="D2189" s="781"/>
      <c r="E2189" s="371"/>
      <c r="F2189" s="403"/>
      <c r="G2189" s="403"/>
      <c r="H2189" s="403"/>
      <c r="I2189" s="403"/>
      <c r="J2189" s="376">
        <f t="shared" ref="J2189:J2190" si="312">G2189*I2189</f>
        <v>0</v>
      </c>
      <c r="K2189" s="66">
        <f t="shared" si="15"/>
        <v>0</v>
      </c>
      <c r="L2189" s="63">
        <f t="shared" si="16"/>
        <v>0</v>
      </c>
      <c r="M2189" s="63">
        <f t="shared" si="17"/>
        <v>0</v>
      </c>
      <c r="N2189" s="63">
        <f t="shared" si="18"/>
        <v>0</v>
      </c>
      <c r="O2189" s="63">
        <f t="shared" si="19"/>
        <v>0</v>
      </c>
      <c r="P2189" s="63">
        <f t="shared" si="20"/>
        <v>0</v>
      </c>
      <c r="Q2189" s="561">
        <f t="shared" si="92"/>
        <v>0</v>
      </c>
      <c r="R2189" s="174"/>
      <c r="T2189" s="82"/>
      <c r="U2189" s="82"/>
      <c r="V2189" s="82"/>
      <c r="W2189" s="82"/>
      <c r="X2189" s="82"/>
      <c r="Y2189" s="82"/>
      <c r="Z2189" s="82"/>
      <c r="AA2189" s="82"/>
      <c r="AB2189" s="82"/>
    </row>
    <row r="2190" spans="1:28" s="85" customFormat="1" x14ac:dyDescent="0.25">
      <c r="A2190" s="82"/>
      <c r="B2190" s="82"/>
      <c r="C2190" s="82"/>
      <c r="D2190" s="781"/>
      <c r="E2190" s="371"/>
      <c r="F2190" s="372"/>
      <c r="G2190" s="372"/>
      <c r="H2190" s="372"/>
      <c r="I2190" s="372"/>
      <c r="J2190" s="376">
        <f t="shared" si="312"/>
        <v>0</v>
      </c>
      <c r="K2190" s="66">
        <f t="shared" si="15"/>
        <v>0</v>
      </c>
      <c r="L2190" s="63">
        <f t="shared" si="16"/>
        <v>0</v>
      </c>
      <c r="M2190" s="63">
        <f t="shared" si="17"/>
        <v>0</v>
      </c>
      <c r="N2190" s="63">
        <f t="shared" si="18"/>
        <v>0</v>
      </c>
      <c r="O2190" s="63">
        <f t="shared" si="19"/>
        <v>0</v>
      </c>
      <c r="P2190" s="63">
        <f t="shared" si="20"/>
        <v>0</v>
      </c>
      <c r="Q2190" s="561">
        <f t="shared" si="92"/>
        <v>0</v>
      </c>
      <c r="R2190" s="174"/>
      <c r="T2190" s="82"/>
      <c r="U2190" s="82"/>
      <c r="V2190" s="82"/>
      <c r="W2190" s="82"/>
      <c r="X2190" s="82"/>
      <c r="Y2190" s="82"/>
      <c r="Z2190" s="82"/>
      <c r="AA2190" s="82"/>
      <c r="AB2190" s="82"/>
    </row>
    <row r="2191" spans="1:28" s="85" customFormat="1" x14ac:dyDescent="0.25">
      <c r="A2191" s="82"/>
      <c r="B2191" s="82"/>
      <c r="C2191" s="82"/>
      <c r="D2191" s="781"/>
      <c r="E2191" s="371"/>
      <c r="F2191" s="372"/>
      <c r="G2191" s="372"/>
      <c r="H2191" s="372"/>
      <c r="I2191" s="372"/>
      <c r="J2191" s="376">
        <f t="shared" si="22"/>
        <v>0</v>
      </c>
      <c r="K2191" s="66">
        <f t="shared" si="15"/>
        <v>0</v>
      </c>
      <c r="L2191" s="63">
        <f t="shared" si="16"/>
        <v>0</v>
      </c>
      <c r="M2191" s="63">
        <f t="shared" si="17"/>
        <v>0</v>
      </c>
      <c r="N2191" s="63">
        <f t="shared" si="18"/>
        <v>0</v>
      </c>
      <c r="O2191" s="63">
        <f t="shared" si="19"/>
        <v>0</v>
      </c>
      <c r="P2191" s="63">
        <f t="shared" si="20"/>
        <v>0</v>
      </c>
      <c r="Q2191" s="561">
        <f t="shared" si="92"/>
        <v>0</v>
      </c>
      <c r="R2191" s="174"/>
      <c r="T2191" s="82"/>
      <c r="U2191" s="82"/>
      <c r="V2191" s="82"/>
      <c r="W2191" s="82"/>
      <c r="X2191" s="82"/>
      <c r="Y2191" s="82"/>
      <c r="Z2191" s="82"/>
      <c r="AA2191" s="82"/>
      <c r="AB2191" s="82"/>
    </row>
    <row r="2192" spans="1:28" s="85" customFormat="1" x14ac:dyDescent="0.25">
      <c r="A2192" s="82"/>
      <c r="B2192" s="82"/>
      <c r="C2192" s="82"/>
      <c r="D2192" s="782"/>
      <c r="E2192" s="378"/>
      <c r="F2192" s="379"/>
      <c r="G2192" s="379"/>
      <c r="H2192" s="379"/>
      <c r="I2192" s="379"/>
      <c r="J2192" s="383">
        <f t="shared" si="22"/>
        <v>0</v>
      </c>
      <c r="K2192" s="194">
        <f t="shared" si="15"/>
        <v>0</v>
      </c>
      <c r="L2192" s="195">
        <f t="shared" si="16"/>
        <v>0</v>
      </c>
      <c r="M2192" s="195">
        <f t="shared" si="17"/>
        <v>0</v>
      </c>
      <c r="N2192" s="195">
        <f t="shared" si="18"/>
        <v>0</v>
      </c>
      <c r="O2192" s="195">
        <f t="shared" si="19"/>
        <v>0</v>
      </c>
      <c r="P2192" s="195">
        <f t="shared" si="20"/>
        <v>0</v>
      </c>
      <c r="Q2192" s="562">
        <f t="shared" si="92"/>
        <v>0</v>
      </c>
      <c r="R2192" s="402"/>
      <c r="T2192" s="82"/>
      <c r="U2192" s="82"/>
      <c r="V2192" s="82"/>
      <c r="W2192" s="82"/>
      <c r="X2192" s="82"/>
      <c r="Y2192" s="82"/>
      <c r="Z2192" s="82"/>
      <c r="AA2192" s="82"/>
      <c r="AB2192" s="82"/>
    </row>
    <row r="2193" spans="1:28" s="85" customFormat="1" ht="3" customHeight="1" thickBot="1" x14ac:dyDescent="0.3">
      <c r="A2193" s="82"/>
      <c r="B2193" s="82"/>
      <c r="C2193" s="82"/>
      <c r="D2193" s="224"/>
      <c r="E2193" s="225"/>
      <c r="F2193" s="346"/>
      <c r="G2193" s="226"/>
      <c r="H2193" s="227"/>
      <c r="I2193" s="228"/>
      <c r="J2193" s="228"/>
      <c r="K2193" s="229"/>
      <c r="L2193" s="229"/>
      <c r="M2193" s="229"/>
      <c r="N2193" s="229"/>
      <c r="O2193" s="229"/>
      <c r="P2193" s="229"/>
      <c r="Q2193" s="229"/>
      <c r="R2193" s="230"/>
      <c r="T2193" s="82"/>
      <c r="U2193" s="82"/>
      <c r="V2193" s="82"/>
      <c r="W2193" s="82"/>
      <c r="X2193" s="82"/>
      <c r="Y2193" s="82"/>
      <c r="Z2193" s="82"/>
      <c r="AA2193" s="82"/>
      <c r="AB2193" s="82"/>
    </row>
    <row r="2194" spans="1:28" s="85" customFormat="1" ht="15.75" customHeight="1" thickBot="1" x14ac:dyDescent="0.3">
      <c r="A2194" s="82"/>
      <c r="B2194" s="82"/>
      <c r="C2194" s="82"/>
      <c r="D2194" s="404"/>
      <c r="E2194" s="231"/>
      <c r="F2194" s="232"/>
      <c r="G2194" s="232"/>
      <c r="H2194" s="232"/>
      <c r="I2194" s="783" t="s">
        <v>83</v>
      </c>
      <c r="J2194" s="784"/>
      <c r="K2194" s="233">
        <f t="shared" ref="K2194:Q2194" si="313">SUM(K26:K2192)</f>
        <v>2714.1190999999976</v>
      </c>
      <c r="L2194" s="405">
        <f t="shared" si="313"/>
        <v>0</v>
      </c>
      <c r="M2194" s="405">
        <f t="shared" si="313"/>
        <v>8.0027000000000008</v>
      </c>
      <c r="N2194" s="405">
        <f t="shared" si="313"/>
        <v>2993.7210200000027</v>
      </c>
      <c r="O2194" s="405">
        <f t="shared" si="313"/>
        <v>2808.685799999997</v>
      </c>
      <c r="P2194" s="405">
        <f t="shared" si="313"/>
        <v>3334.4086799999968</v>
      </c>
      <c r="Q2194" s="405">
        <f t="shared" si="313"/>
        <v>2095.1629200000002</v>
      </c>
      <c r="R2194" s="234"/>
      <c r="T2194" s="82"/>
      <c r="U2194" s="82"/>
      <c r="V2194" s="82"/>
      <c r="W2194" s="82"/>
      <c r="X2194" s="82"/>
      <c r="Y2194" s="82"/>
      <c r="Z2194" s="82"/>
      <c r="AA2194" s="82"/>
      <c r="AB2194" s="82"/>
    </row>
    <row r="2195" spans="1:28" s="85" customFormat="1" ht="15.75" customHeight="1" thickTop="1" thickBot="1" x14ac:dyDescent="0.3">
      <c r="A2195" s="82"/>
      <c r="B2195" s="82"/>
      <c r="C2195" s="82"/>
      <c r="D2195" s="404"/>
      <c r="E2195" s="231"/>
      <c r="F2195" s="232"/>
      <c r="G2195" s="232"/>
      <c r="H2195" s="232"/>
      <c r="I2195" s="783" t="s">
        <v>114</v>
      </c>
      <c r="J2195" s="784"/>
      <c r="K2195" s="233">
        <f t="shared" ref="K2195:Q2195" si="314">SUMIF($E$26:$E$2192,"FUNDAÇÃO",K26:K2192)</f>
        <v>568.18453999999906</v>
      </c>
      <c r="L2195" s="405">
        <f t="shared" si="314"/>
        <v>0</v>
      </c>
      <c r="M2195" s="405">
        <f t="shared" si="314"/>
        <v>4.6452</v>
      </c>
      <c r="N2195" s="405">
        <f t="shared" si="314"/>
        <v>781.02327999999943</v>
      </c>
      <c r="O2195" s="405">
        <f t="shared" si="314"/>
        <v>680.34023999999988</v>
      </c>
      <c r="P2195" s="405">
        <f t="shared" si="314"/>
        <v>861.90359999999976</v>
      </c>
      <c r="Q2195" s="405">
        <f t="shared" si="314"/>
        <v>549.17820000000006</v>
      </c>
      <c r="R2195" s="234"/>
      <c r="T2195" s="82"/>
      <c r="U2195" s="82"/>
      <c r="V2195" s="82"/>
      <c r="W2195" s="82"/>
      <c r="X2195" s="82"/>
      <c r="Y2195" s="82"/>
      <c r="Z2195" s="82"/>
      <c r="AA2195" s="82"/>
      <c r="AB2195" s="82"/>
    </row>
    <row r="2196" spans="1:28" s="85" customFormat="1" ht="15" customHeight="1" thickTop="1" thickBot="1" x14ac:dyDescent="0.3">
      <c r="A2196" s="82"/>
      <c r="B2196" s="82"/>
      <c r="C2196" s="82"/>
      <c r="D2196" s="404"/>
      <c r="E2196" s="231"/>
      <c r="F2196" s="232"/>
      <c r="G2196" s="232"/>
      <c r="H2196" s="232"/>
      <c r="I2196" s="783" t="s">
        <v>115</v>
      </c>
      <c r="J2196" s="784"/>
      <c r="K2196" s="233">
        <f t="shared" ref="K2196:Q2196" si="315">SUMIF($E$26:$E$2192,"TÉRREO",K26:K2192)</f>
        <v>1800.7589599999967</v>
      </c>
      <c r="L2196" s="405">
        <f t="shared" si="315"/>
        <v>0</v>
      </c>
      <c r="M2196" s="405">
        <f t="shared" si="315"/>
        <v>3.3574999999999999</v>
      </c>
      <c r="N2196" s="405">
        <f t="shared" si="315"/>
        <v>1921.20226</v>
      </c>
      <c r="O2196" s="405">
        <f t="shared" si="315"/>
        <v>1719.84096</v>
      </c>
      <c r="P2196" s="405">
        <f t="shared" si="315"/>
        <v>2133.0457200000005</v>
      </c>
      <c r="Q2196" s="405">
        <f t="shared" si="315"/>
        <v>1279.3608000000002</v>
      </c>
      <c r="R2196" s="234"/>
      <c r="T2196" s="82"/>
      <c r="U2196" s="82"/>
      <c r="V2196" s="82"/>
      <c r="W2196" s="82"/>
      <c r="X2196" s="82"/>
      <c r="Y2196" s="82"/>
      <c r="Z2196" s="82"/>
      <c r="AA2196" s="82"/>
      <c r="AB2196" s="82"/>
    </row>
    <row r="2197" spans="1:28" s="85" customFormat="1" ht="15" customHeight="1" thickTop="1" thickBot="1" x14ac:dyDescent="0.3">
      <c r="A2197" s="82"/>
      <c r="B2197" s="82"/>
      <c r="C2197" s="82"/>
      <c r="D2197" s="404"/>
      <c r="E2197" s="231"/>
      <c r="F2197" s="232"/>
      <c r="G2197" s="232"/>
      <c r="H2197" s="232"/>
      <c r="I2197" s="783" t="s">
        <v>2075</v>
      </c>
      <c r="J2197" s="784"/>
      <c r="K2197" s="233">
        <f t="shared" ref="K2197:Q2197" si="316">SUMIF($E$26:$E$2192,"PLATIBANDA",K26:K2193)</f>
        <v>345.17559999999992</v>
      </c>
      <c r="L2197" s="405">
        <f t="shared" si="316"/>
        <v>0</v>
      </c>
      <c r="M2197" s="405">
        <f t="shared" si="316"/>
        <v>0</v>
      </c>
      <c r="N2197" s="405">
        <f t="shared" si="316"/>
        <v>291.49547999999993</v>
      </c>
      <c r="O2197" s="405">
        <f t="shared" si="316"/>
        <v>408.5045999999997</v>
      </c>
      <c r="P2197" s="405">
        <f t="shared" si="316"/>
        <v>339.45936000000012</v>
      </c>
      <c r="Q2197" s="405">
        <f t="shared" si="316"/>
        <v>266.62392</v>
      </c>
      <c r="R2197" s="234"/>
      <c r="T2197" s="82"/>
      <c r="U2197" s="82"/>
      <c r="V2197" s="82"/>
      <c r="W2197" s="82"/>
      <c r="X2197" s="82"/>
      <c r="Y2197" s="82"/>
      <c r="Z2197" s="82"/>
      <c r="AA2197" s="82"/>
      <c r="AB2197" s="82"/>
    </row>
    <row r="2198" spans="1:28" ht="13.8" thickTop="1" x14ac:dyDescent="0.25"/>
  </sheetData>
  <mergeCells count="244">
    <mergeCell ref="D1187:D1191"/>
    <mergeCell ref="D1192:D1196"/>
    <mergeCell ref="D1177:D1181"/>
    <mergeCell ref="D1182:D1186"/>
    <mergeCell ref="D1234:D1245"/>
    <mergeCell ref="D930:D934"/>
    <mergeCell ref="D925:D929"/>
    <mergeCell ref="D920:D924"/>
    <mergeCell ref="D935:R935"/>
    <mergeCell ref="D1032:D1045"/>
    <mergeCell ref="D1046:D1056"/>
    <mergeCell ref="D1057:D1068"/>
    <mergeCell ref="D1069:D1079"/>
    <mergeCell ref="D1080:D1082"/>
    <mergeCell ref="D1083:D1085"/>
    <mergeCell ref="D1086:D1092"/>
    <mergeCell ref="D1093:D1104"/>
    <mergeCell ref="D1105:D1112"/>
    <mergeCell ref="D1113:D1120"/>
    <mergeCell ref="D1121:D1128"/>
    <mergeCell ref="D1129:D1140"/>
    <mergeCell ref="D1141:D1152"/>
    <mergeCell ref="D1153:D1164"/>
    <mergeCell ref="D1165:D1176"/>
    <mergeCell ref="D705:R705"/>
    <mergeCell ref="D383:D394"/>
    <mergeCell ref="D395:D406"/>
    <mergeCell ref="D343:D354"/>
    <mergeCell ref="D355:D368"/>
    <mergeCell ref="D750:D761"/>
    <mergeCell ref="D578:D585"/>
    <mergeCell ref="D586:D588"/>
    <mergeCell ref="D589:D591"/>
    <mergeCell ref="D592:D603"/>
    <mergeCell ref="D604:D615"/>
    <mergeCell ref="D616:D623"/>
    <mergeCell ref="D624:D631"/>
    <mergeCell ref="D632:D642"/>
    <mergeCell ref="D643:D656"/>
    <mergeCell ref="D706:D717"/>
    <mergeCell ref="D718:D729"/>
    <mergeCell ref="D730:D737"/>
    <mergeCell ref="D738:D749"/>
    <mergeCell ref="D517:D523"/>
    <mergeCell ref="D657:D670"/>
    <mergeCell ref="D671:D684"/>
    <mergeCell ref="D470:D474"/>
    <mergeCell ref="I2197:J2197"/>
    <mergeCell ref="D19:J19"/>
    <mergeCell ref="D2161:D2172"/>
    <mergeCell ref="D807:D813"/>
    <mergeCell ref="D802:D804"/>
    <mergeCell ref="D805:D806"/>
    <mergeCell ref="D762:D775"/>
    <mergeCell ref="D776:D786"/>
    <mergeCell ref="D787:D798"/>
    <mergeCell ref="D799:D801"/>
    <mergeCell ref="D101:D112"/>
    <mergeCell ref="D685:D689"/>
    <mergeCell ref="D690:D694"/>
    <mergeCell ref="D695:D699"/>
    <mergeCell ref="D700:D704"/>
    <mergeCell ref="D22:R22"/>
    <mergeCell ref="D23:J23"/>
    <mergeCell ref="K23:P23"/>
    <mergeCell ref="R23:R24"/>
    <mergeCell ref="I2195:J2195"/>
    <mergeCell ref="I2196:J2196"/>
    <mergeCell ref="D453:D464"/>
    <mergeCell ref="D2187:D2192"/>
    <mergeCell ref="D407:D409"/>
    <mergeCell ref="I2194:J2194"/>
    <mergeCell ref="D8:K8"/>
    <mergeCell ref="D9:K9"/>
    <mergeCell ref="D6:R6"/>
    <mergeCell ref="D560:D570"/>
    <mergeCell ref="D571:D577"/>
    <mergeCell ref="D441:D452"/>
    <mergeCell ref="D149:D160"/>
    <mergeCell ref="D323:D330"/>
    <mergeCell ref="D331:D342"/>
    <mergeCell ref="D209:D220"/>
    <mergeCell ref="D475:R475"/>
    <mergeCell ref="D310:R310"/>
    <mergeCell ref="D410:D416"/>
    <mergeCell ref="D311:D322"/>
    <mergeCell ref="D284:D297"/>
    <mergeCell ref="D465:D469"/>
    <mergeCell ref="D221:D231"/>
    <mergeCell ref="D232:D243"/>
    <mergeCell ref="D244:D255"/>
    <mergeCell ref="D256:D269"/>
    <mergeCell ref="D270:D283"/>
    <mergeCell ref="D298:D309"/>
    <mergeCell ref="D369:D382"/>
    <mergeCell ref="D1:R1"/>
    <mergeCell ref="D2:R2"/>
    <mergeCell ref="D3:R3"/>
    <mergeCell ref="D4:R4"/>
    <mergeCell ref="D5:R5"/>
    <mergeCell ref="D10:R10"/>
    <mergeCell ref="D524:D535"/>
    <mergeCell ref="D536:D547"/>
    <mergeCell ref="D548:D559"/>
    <mergeCell ref="D12:R12"/>
    <mergeCell ref="D13:R13"/>
    <mergeCell ref="D14:J16"/>
    <mergeCell ref="K14:R14"/>
    <mergeCell ref="L15:P15"/>
    <mergeCell ref="R15:R16"/>
    <mergeCell ref="D17:J17"/>
    <mergeCell ref="D18:J18"/>
    <mergeCell ref="D21:R21"/>
    <mergeCell ref="D476:D482"/>
    <mergeCell ref="D483:D496"/>
    <mergeCell ref="D497:D504"/>
    <mergeCell ref="D505:D516"/>
    <mergeCell ref="D417:D428"/>
    <mergeCell ref="D429:D440"/>
    <mergeCell ref="D25:R25"/>
    <mergeCell ref="D26:D33"/>
    <mergeCell ref="D113:D124"/>
    <mergeCell ref="D125:D136"/>
    <mergeCell ref="D138:D148"/>
    <mergeCell ref="D161:D174"/>
    <mergeCell ref="D175:D186"/>
    <mergeCell ref="D187:D197"/>
    <mergeCell ref="D198:D208"/>
    <mergeCell ref="D65:R65"/>
    <mergeCell ref="D137:R137"/>
    <mergeCell ref="D89:D100"/>
    <mergeCell ref="D38:D49"/>
    <mergeCell ref="D62:D64"/>
    <mergeCell ref="D66:D76"/>
    <mergeCell ref="D77:D88"/>
    <mergeCell ref="D50:D57"/>
    <mergeCell ref="D2173:D2184"/>
    <mergeCell ref="D2137:D2148"/>
    <mergeCell ref="D2149:D2160"/>
    <mergeCell ref="D2089:D2100"/>
    <mergeCell ref="D2101:D2112"/>
    <mergeCell ref="D2113:D2124"/>
    <mergeCell ref="D2125:D2136"/>
    <mergeCell ref="D1993:D2004"/>
    <mergeCell ref="D2005:D2016"/>
    <mergeCell ref="D2017:D2028"/>
    <mergeCell ref="D2029:D2040"/>
    <mergeCell ref="D2041:D2052"/>
    <mergeCell ref="D2053:D2064"/>
    <mergeCell ref="D2065:D2076"/>
    <mergeCell ref="D2077:D2088"/>
    <mergeCell ref="D1812:D1816"/>
    <mergeCell ref="D1817:D1824"/>
    <mergeCell ref="D1825:D1836"/>
    <mergeCell ref="D1837:D1848"/>
    <mergeCell ref="D1849:D1860"/>
    <mergeCell ref="D1861:D1872"/>
    <mergeCell ref="D1873:D1884"/>
    <mergeCell ref="D1885:D1896"/>
    <mergeCell ref="D1897:D1908"/>
    <mergeCell ref="D1909:D1920"/>
    <mergeCell ref="D1921:D1932"/>
    <mergeCell ref="D1933:D1944"/>
    <mergeCell ref="D1945:D1956"/>
    <mergeCell ref="D1957:D1968"/>
    <mergeCell ref="D1969:D1980"/>
    <mergeCell ref="D1981:D1992"/>
    <mergeCell ref="D1545:D1556"/>
    <mergeCell ref="D1557:D1564"/>
    <mergeCell ref="D1565:D1576"/>
    <mergeCell ref="D1577:D1588"/>
    <mergeCell ref="D1589:D1596"/>
    <mergeCell ref="D1597:D1608"/>
    <mergeCell ref="D1609:D1616"/>
    <mergeCell ref="D1617:D1628"/>
    <mergeCell ref="D1629:D1630"/>
    <mergeCell ref="D1631:D1642"/>
    <mergeCell ref="D1643:D1650"/>
    <mergeCell ref="D1651:D1658"/>
    <mergeCell ref="D1659:D1670"/>
    <mergeCell ref="D1671:D1680"/>
    <mergeCell ref="D1681:D1690"/>
    <mergeCell ref="D1691:D1702"/>
    <mergeCell ref="D1703:D1714"/>
    <mergeCell ref="D1715:D1726"/>
    <mergeCell ref="D1738:D1742"/>
    <mergeCell ref="D1743:D1747"/>
    <mergeCell ref="D1748:D1755"/>
    <mergeCell ref="D1756:D1763"/>
    <mergeCell ref="D1764:D1770"/>
    <mergeCell ref="D1771:D1777"/>
    <mergeCell ref="D1732:D1736"/>
    <mergeCell ref="D1727:D1731"/>
    <mergeCell ref="D1737:R1737"/>
    <mergeCell ref="D1778:D1782"/>
    <mergeCell ref="D1783:D1789"/>
    <mergeCell ref="D1790:D1794"/>
    <mergeCell ref="D1795:D1800"/>
    <mergeCell ref="D1801:D1806"/>
    <mergeCell ref="D1807:D1811"/>
    <mergeCell ref="D814:D825"/>
    <mergeCell ref="D826:D833"/>
    <mergeCell ref="D834:D845"/>
    <mergeCell ref="D846:D857"/>
    <mergeCell ref="D858:D869"/>
    <mergeCell ref="D870:D881"/>
    <mergeCell ref="D882:D893"/>
    <mergeCell ref="D894:D907"/>
    <mergeCell ref="D908:D919"/>
    <mergeCell ref="D936:D943"/>
    <mergeCell ref="D944:D955"/>
    <mergeCell ref="D956:D967"/>
    <mergeCell ref="D968:D979"/>
    <mergeCell ref="D980:D986"/>
    <mergeCell ref="D987:D994"/>
    <mergeCell ref="D995:D1006"/>
    <mergeCell ref="D1007:D1017"/>
    <mergeCell ref="D1018:D1031"/>
    <mergeCell ref="D1198:D1211"/>
    <mergeCell ref="D1212:D1223"/>
    <mergeCell ref="D1224:D1233"/>
    <mergeCell ref="D1246:D1257"/>
    <mergeCell ref="D1258:D1272"/>
    <mergeCell ref="D1273:D1286"/>
    <mergeCell ref="D1287:D1298"/>
    <mergeCell ref="D1299:D1310"/>
    <mergeCell ref="D1197:R1197"/>
    <mergeCell ref="D1311:D1325"/>
    <mergeCell ref="D1326:D1344"/>
    <mergeCell ref="D1345:D1361"/>
    <mergeCell ref="D1362:D1379"/>
    <mergeCell ref="D1380:D1393"/>
    <mergeCell ref="D1394:D1408"/>
    <mergeCell ref="D1535:D1544"/>
    <mergeCell ref="D1409:D1421"/>
    <mergeCell ref="D1422:D1438"/>
    <mergeCell ref="D1439:D1455"/>
    <mergeCell ref="D1456:D1470"/>
    <mergeCell ref="D1471:D1485"/>
    <mergeCell ref="D1486:D1501"/>
    <mergeCell ref="D1502:D1518"/>
    <mergeCell ref="D1519:D1526"/>
    <mergeCell ref="D1534:R1534"/>
    <mergeCell ref="D1527:D1533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9" fitToHeight="0" orientation="portrait" r:id="rId1"/>
  <headerFooter>
    <oddFooter>&amp;C&amp;8Rua Ferreira Pena, 1.109 – Centro – Manaus/AM – Cel: (0**92) 98415-0793, Fone: (0**92) 3306-0045 – e-mail: enge.ifam@ifam.edu.br 
DIRETORIA DE INFRAESTURURA - DINFRA&amp;R&amp;9Página &amp;P/&amp;N</oddFooter>
  </headerFooter>
  <rowBreaks count="1" manualBreakCount="1">
    <brk id="2186" min="3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7">
    <tabColor theme="3" tint="0.59999389629810485"/>
    <pageSetUpPr fitToPage="1"/>
  </sheetPr>
  <dimension ref="A1:AK4495"/>
  <sheetViews>
    <sheetView showGridLines="0" view="pageBreakPreview" topLeftCell="O15" zoomScaleNormal="100" zoomScaleSheetLayoutView="100" workbookViewId="0">
      <pane ySplit="6" topLeftCell="A3892" activePane="bottomLeft" state="frozen"/>
      <selection activeCell="A15" sqref="A15"/>
      <selection pane="bottomLeft" activeCell="D3903" sqref="D3903:H3903"/>
    </sheetView>
  </sheetViews>
  <sheetFormatPr defaultRowHeight="14.4" x14ac:dyDescent="0.3"/>
  <cols>
    <col min="1" max="1" width="4.5546875" bestFit="1" customWidth="1"/>
    <col min="2" max="2" width="6.33203125" customWidth="1"/>
    <col min="3" max="3" width="4.44140625" customWidth="1"/>
    <col min="7" max="7" width="10.88671875" bestFit="1" customWidth="1"/>
    <col min="8" max="8" width="14.6640625" customWidth="1"/>
  </cols>
  <sheetData>
    <row r="1" spans="1:36" ht="12.9" customHeight="1" x14ac:dyDescent="0.3">
      <c r="B1" s="60"/>
      <c r="C1" s="60"/>
      <c r="D1" s="656" t="s">
        <v>36</v>
      </c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</row>
    <row r="2" spans="1:36" ht="12.9" customHeight="1" x14ac:dyDescent="0.3">
      <c r="B2" s="60"/>
      <c r="C2" s="60"/>
      <c r="D2" s="656" t="s">
        <v>37</v>
      </c>
      <c r="E2" s="656"/>
      <c r="F2" s="656"/>
      <c r="G2" s="656"/>
      <c r="H2" s="656"/>
      <c r="I2" s="656"/>
      <c r="J2" s="656"/>
      <c r="K2" s="656"/>
      <c r="L2" s="656"/>
      <c r="M2" s="656"/>
      <c r="N2" s="656"/>
      <c r="O2" s="656"/>
      <c r="P2" s="656"/>
      <c r="Q2" s="656"/>
    </row>
    <row r="3" spans="1:36" ht="12.9" customHeight="1" x14ac:dyDescent="0.3">
      <c r="B3" s="60"/>
      <c r="C3" s="60"/>
      <c r="D3" s="656" t="s">
        <v>39</v>
      </c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</row>
    <row r="4" spans="1:36" ht="12.9" customHeight="1" x14ac:dyDescent="0.3">
      <c r="B4" s="60"/>
      <c r="C4" s="60"/>
      <c r="D4" s="656" t="s">
        <v>38</v>
      </c>
      <c r="E4" s="656"/>
      <c r="F4" s="656"/>
      <c r="G4" s="656"/>
      <c r="H4" s="656"/>
      <c r="I4" s="656"/>
      <c r="J4" s="656"/>
      <c r="K4" s="656"/>
      <c r="L4" s="656"/>
      <c r="M4" s="656"/>
      <c r="N4" s="656"/>
      <c r="O4" s="656"/>
      <c r="P4" s="656"/>
      <c r="Q4" s="656"/>
    </row>
    <row r="5" spans="1:36" ht="12.9" customHeight="1" x14ac:dyDescent="0.3">
      <c r="B5" s="60"/>
      <c r="C5" s="60"/>
      <c r="D5" s="656" t="s">
        <v>109</v>
      </c>
      <c r="E5" s="656"/>
      <c r="F5" s="656"/>
      <c r="G5" s="656"/>
      <c r="H5" s="656"/>
      <c r="I5" s="656"/>
      <c r="J5" s="656"/>
      <c r="K5" s="656"/>
      <c r="L5" s="656"/>
      <c r="M5" s="656"/>
      <c r="N5" s="656"/>
      <c r="O5" s="656"/>
      <c r="P5" s="656"/>
      <c r="Q5" s="656"/>
    </row>
    <row r="6" spans="1:36" ht="12.9" customHeight="1" x14ac:dyDescent="0.3">
      <c r="B6" s="60"/>
      <c r="C6" s="60"/>
      <c r="D6" s="656" t="s">
        <v>110</v>
      </c>
      <c r="E6" s="656"/>
      <c r="F6" s="656"/>
      <c r="G6" s="656"/>
      <c r="H6" s="656"/>
      <c r="I6" s="656"/>
      <c r="J6" s="656"/>
      <c r="K6" s="656"/>
      <c r="L6" s="656"/>
      <c r="M6" s="656"/>
      <c r="N6" s="656"/>
      <c r="O6" s="656"/>
      <c r="P6" s="656"/>
      <c r="Q6" s="656"/>
    </row>
    <row r="7" spans="1:36" s="62" customFormat="1" ht="5.0999999999999996" customHeight="1" x14ac:dyDescent="0.3">
      <c r="B7" s="60"/>
      <c r="C7" s="60"/>
      <c r="D7" s="100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</row>
    <row r="8" spans="1:36" s="62" customFormat="1" ht="12.9" customHeight="1" x14ac:dyDescent="0.3">
      <c r="B8" s="60"/>
      <c r="C8" s="60"/>
      <c r="D8" s="696" t="s">
        <v>160</v>
      </c>
      <c r="E8" s="696"/>
      <c r="F8" s="696"/>
      <c r="G8" s="696"/>
      <c r="H8" s="696"/>
      <c r="I8" s="696"/>
      <c r="J8" s="696"/>
      <c r="K8" s="696"/>
      <c r="L8" s="61"/>
      <c r="M8" s="61"/>
      <c r="N8" s="61"/>
      <c r="O8" s="61"/>
      <c r="P8" s="61"/>
      <c r="Q8" s="61"/>
    </row>
    <row r="9" spans="1:36" ht="12.9" customHeight="1" x14ac:dyDescent="0.3">
      <c r="A9" s="61"/>
      <c r="B9" s="61"/>
      <c r="C9" s="61"/>
      <c r="D9" s="657" t="s">
        <v>161</v>
      </c>
      <c r="E9" s="657"/>
      <c r="F9" s="657"/>
      <c r="G9" s="657"/>
      <c r="H9" s="657"/>
      <c r="I9" s="657"/>
      <c r="J9" s="657"/>
      <c r="K9" s="657"/>
      <c r="L9" s="463"/>
    </row>
    <row r="10" spans="1:36" s="62" customFormat="1" ht="12.9" customHeight="1" x14ac:dyDescent="0.3">
      <c r="A10" s="109"/>
      <c r="B10" s="109"/>
      <c r="C10" s="109"/>
      <c r="D10" s="712" t="s">
        <v>91</v>
      </c>
      <c r="E10" s="712"/>
      <c r="F10" s="712"/>
      <c r="G10" s="712"/>
      <c r="H10" s="712"/>
      <c r="I10" s="712"/>
      <c r="J10" s="712"/>
      <c r="K10" s="712"/>
      <c r="L10" s="712"/>
      <c r="M10" s="712"/>
      <c r="N10" s="712"/>
      <c r="O10" s="712"/>
      <c r="P10" s="712"/>
      <c r="Q10" s="712"/>
    </row>
    <row r="11" spans="1:36" s="62" customFormat="1" ht="5.0999999999999996" customHeight="1" thickBot="1" x14ac:dyDescent="0.35">
      <c r="A11" s="75"/>
      <c r="B11" s="75"/>
      <c r="C11" s="75"/>
      <c r="D11" s="96"/>
      <c r="E11" s="96"/>
      <c r="F11" s="96"/>
      <c r="G11" s="96"/>
      <c r="H11" s="96"/>
      <c r="I11" s="96"/>
      <c r="J11" s="96"/>
      <c r="K11" s="96"/>
      <c r="L11" s="96"/>
    </row>
    <row r="12" spans="1:36" s="16" customFormat="1" ht="16.5" customHeight="1" thickTop="1" x14ac:dyDescent="0.25">
      <c r="D12" s="755" t="s">
        <v>167</v>
      </c>
      <c r="E12" s="756"/>
      <c r="F12" s="756"/>
      <c r="G12" s="756"/>
      <c r="H12" s="756"/>
      <c r="I12" s="756"/>
      <c r="J12" s="756"/>
      <c r="K12" s="756"/>
      <c r="L12" s="756"/>
      <c r="M12" s="756"/>
      <c r="N12" s="756"/>
      <c r="O12" s="756"/>
      <c r="P12" s="756"/>
      <c r="Q12" s="757"/>
    </row>
    <row r="13" spans="1:36" s="16" customFormat="1" ht="15.75" customHeight="1" thickBot="1" x14ac:dyDescent="0.3">
      <c r="D13" s="838" t="s">
        <v>22</v>
      </c>
      <c r="E13" s="839"/>
      <c r="F13" s="839"/>
      <c r="G13" s="839"/>
      <c r="H13" s="839"/>
      <c r="I13" s="839"/>
      <c r="J13" s="839"/>
      <c r="K13" s="839"/>
      <c r="L13" s="839"/>
      <c r="M13" s="839"/>
      <c r="N13" s="839"/>
      <c r="O13" s="839"/>
      <c r="P13" s="839"/>
      <c r="Q13" s="840"/>
    </row>
    <row r="14" spans="1:36" s="16" customFormat="1" ht="15" customHeight="1" x14ac:dyDescent="0.25">
      <c r="D14" s="764" t="s">
        <v>17</v>
      </c>
      <c r="E14" s="765"/>
      <c r="F14" s="765"/>
      <c r="G14" s="765"/>
      <c r="H14" s="765"/>
      <c r="I14" s="823" t="s">
        <v>18</v>
      </c>
      <c r="J14" s="824"/>
      <c r="K14" s="824"/>
      <c r="L14" s="824"/>
      <c r="M14" s="824"/>
      <c r="N14" s="824"/>
      <c r="O14" s="824"/>
      <c r="P14" s="824"/>
      <c r="Q14" s="825"/>
      <c r="U14" s="819"/>
      <c r="V14" s="819"/>
      <c r="W14" s="819"/>
      <c r="X14" s="819"/>
      <c r="Y14" s="819"/>
      <c r="Z14" s="819"/>
    </row>
    <row r="15" spans="1:36" s="16" customFormat="1" ht="15" customHeight="1" x14ac:dyDescent="0.25">
      <c r="D15" s="828"/>
      <c r="E15" s="829"/>
      <c r="F15" s="829"/>
      <c r="G15" s="829"/>
      <c r="H15" s="829"/>
      <c r="I15" s="830" t="s">
        <v>43</v>
      </c>
      <c r="J15" s="736"/>
      <c r="K15" s="735" t="s">
        <v>40</v>
      </c>
      <c r="L15" s="736"/>
      <c r="M15" s="736"/>
      <c r="N15" s="736"/>
      <c r="O15" s="736"/>
      <c r="P15" s="736"/>
      <c r="Q15" s="831"/>
      <c r="U15" s="132"/>
      <c r="V15" s="132"/>
      <c r="W15" s="132"/>
      <c r="X15" s="132"/>
      <c r="Y15" s="132"/>
      <c r="Z15" s="132"/>
    </row>
    <row r="16" spans="1:36" s="16" customFormat="1" ht="13.8" thickBot="1" x14ac:dyDescent="0.3">
      <c r="D16" s="17" t="s">
        <v>19</v>
      </c>
      <c r="E16" s="18" t="s">
        <v>20</v>
      </c>
      <c r="F16" s="18" t="s">
        <v>21</v>
      </c>
      <c r="G16" s="19" t="s">
        <v>32</v>
      </c>
      <c r="H16" s="20" t="s">
        <v>34</v>
      </c>
      <c r="I16" s="126">
        <v>4.2</v>
      </c>
      <c r="J16" s="21">
        <v>5</v>
      </c>
      <c r="K16" s="21">
        <v>6.3</v>
      </c>
      <c r="L16" s="21">
        <v>8</v>
      </c>
      <c r="M16" s="21">
        <v>10</v>
      </c>
      <c r="N16" s="21">
        <v>12.5</v>
      </c>
      <c r="O16" s="21">
        <v>16</v>
      </c>
      <c r="P16" s="21">
        <v>20</v>
      </c>
      <c r="Q16" s="22">
        <v>25</v>
      </c>
      <c r="AB16" s="126">
        <v>4.2</v>
      </c>
      <c r="AC16" s="21">
        <v>5</v>
      </c>
      <c r="AD16" s="21">
        <v>6.3</v>
      </c>
      <c r="AE16" s="21">
        <v>8</v>
      </c>
      <c r="AF16" s="21">
        <v>10</v>
      </c>
      <c r="AG16" s="21">
        <v>12.5</v>
      </c>
      <c r="AH16" s="21">
        <v>16</v>
      </c>
      <c r="AI16" s="21">
        <v>20</v>
      </c>
      <c r="AJ16" s="22">
        <v>25</v>
      </c>
    </row>
    <row r="17" spans="1:37" s="16" customFormat="1" ht="6" customHeight="1" thickBot="1" x14ac:dyDescent="0.3">
      <c r="D17" s="826"/>
      <c r="E17" s="827"/>
      <c r="F17" s="827"/>
      <c r="G17" s="827"/>
      <c r="H17" s="827"/>
      <c r="I17" s="127"/>
      <c r="J17" s="36"/>
      <c r="K17" s="36"/>
      <c r="L17" s="36"/>
      <c r="M17" s="36"/>
      <c r="N17" s="36"/>
      <c r="O17" s="36"/>
      <c r="P17" s="36"/>
      <c r="Q17" s="35"/>
    </row>
    <row r="18" spans="1:37" s="16" customFormat="1" ht="12.75" customHeight="1" x14ac:dyDescent="0.25">
      <c r="C18" s="16" t="s">
        <v>112</v>
      </c>
      <c r="D18" s="832" t="s">
        <v>55</v>
      </c>
      <c r="E18" s="833"/>
      <c r="F18" s="833"/>
      <c r="G18" s="833"/>
      <c r="H18" s="833"/>
      <c r="I18" s="122">
        <f>I2091</f>
        <v>0</v>
      </c>
      <c r="J18" s="122">
        <f t="shared" ref="J18:Q18" si="0">J2091</f>
        <v>1176.9973599999989</v>
      </c>
      <c r="K18" s="122">
        <f t="shared" si="0"/>
        <v>1.0437000000000001</v>
      </c>
      <c r="L18" s="122">
        <f t="shared" si="0"/>
        <v>2304.2245999999973</v>
      </c>
      <c r="M18" s="122">
        <f t="shared" si="0"/>
        <v>1208.9991600000003</v>
      </c>
      <c r="N18" s="122">
        <f t="shared" si="0"/>
        <v>272.50973999999991</v>
      </c>
      <c r="O18" s="122">
        <f t="shared" si="0"/>
        <v>7.4797200000000004</v>
      </c>
      <c r="P18" s="122">
        <f t="shared" si="0"/>
        <v>0</v>
      </c>
      <c r="Q18" s="122">
        <f t="shared" si="0"/>
        <v>0</v>
      </c>
      <c r="R18" s="287">
        <v>0</v>
      </c>
      <c r="S18" s="16">
        <v>1176.9973599999989</v>
      </c>
      <c r="T18" s="287">
        <v>1.0437000000000001</v>
      </c>
      <c r="U18" s="16">
        <v>2304.2245999999973</v>
      </c>
      <c r="V18" s="16">
        <v>1208.9991600000003</v>
      </c>
      <c r="W18" s="16">
        <v>272.50973999999991</v>
      </c>
      <c r="X18" s="16">
        <v>7.4797200000000004</v>
      </c>
      <c r="Y18" s="16">
        <v>0</v>
      </c>
      <c r="Z18" s="16">
        <v>0</v>
      </c>
      <c r="AB18" s="287">
        <f>I18-R18</f>
        <v>0</v>
      </c>
      <c r="AC18" s="287">
        <f t="shared" ref="AC18:AJ18" si="1">J18-S18</f>
        <v>0</v>
      </c>
      <c r="AD18" s="287">
        <f t="shared" si="1"/>
        <v>0</v>
      </c>
      <c r="AE18" s="287">
        <f t="shared" si="1"/>
        <v>0</v>
      </c>
      <c r="AF18" s="287">
        <f t="shared" si="1"/>
        <v>0</v>
      </c>
      <c r="AG18" s="287">
        <f t="shared" si="1"/>
        <v>0</v>
      </c>
      <c r="AH18" s="287">
        <f t="shared" si="1"/>
        <v>0</v>
      </c>
      <c r="AI18" s="287">
        <f t="shared" si="1"/>
        <v>0</v>
      </c>
      <c r="AJ18" s="287">
        <f t="shared" si="1"/>
        <v>0</v>
      </c>
      <c r="AK18" s="287"/>
    </row>
    <row r="19" spans="1:37" s="16" customFormat="1" ht="12.75" customHeight="1" x14ac:dyDescent="0.25">
      <c r="D19" s="812" t="s">
        <v>1256</v>
      </c>
      <c r="E19" s="813"/>
      <c r="F19" s="813"/>
      <c r="G19" s="813"/>
      <c r="H19" s="813"/>
      <c r="I19" s="128">
        <f t="shared" ref="I19:Q19" si="2">I3967</f>
        <v>0</v>
      </c>
      <c r="J19" s="128">
        <f t="shared" si="2"/>
        <v>1582.6010200000001</v>
      </c>
      <c r="K19" s="128">
        <f t="shared" si="2"/>
        <v>81.278750000000016</v>
      </c>
      <c r="L19" s="128">
        <f t="shared" si="2"/>
        <v>802.20944999999983</v>
      </c>
      <c r="M19" s="128">
        <f t="shared" si="2"/>
        <v>2883.2656799999991</v>
      </c>
      <c r="N19" s="128">
        <f t="shared" si="2"/>
        <v>2810.9103300000038</v>
      </c>
      <c r="O19" s="128">
        <f t="shared" si="2"/>
        <v>1790.5250400000002</v>
      </c>
      <c r="P19" s="128">
        <f t="shared" si="2"/>
        <v>479.52500000000009</v>
      </c>
      <c r="Q19" s="128">
        <f t="shared" si="2"/>
        <v>377.68500000000006</v>
      </c>
      <c r="R19" s="287">
        <v>0</v>
      </c>
      <c r="S19" s="16">
        <v>1544.8925800000002</v>
      </c>
      <c r="T19" s="287">
        <v>81.278750000000016</v>
      </c>
      <c r="U19" s="16">
        <v>729.77830000000017</v>
      </c>
      <c r="V19" s="16">
        <v>2869.716359999999</v>
      </c>
      <c r="W19" s="16">
        <v>2807.4435300000036</v>
      </c>
      <c r="X19" s="16">
        <v>1790.5250400000002</v>
      </c>
      <c r="Y19" s="16">
        <v>479.52500000000009</v>
      </c>
      <c r="Z19" s="16">
        <v>377.68500000000006</v>
      </c>
      <c r="AB19" s="287">
        <f>I19-R19</f>
        <v>0</v>
      </c>
      <c r="AC19" s="287">
        <f t="shared" ref="AC19" si="3">J19-S19</f>
        <v>37.708439999999882</v>
      </c>
      <c r="AD19" s="287">
        <f t="shared" ref="AD19" si="4">K19-T19</f>
        <v>0</v>
      </c>
      <c r="AE19" s="287">
        <f t="shared" ref="AE19" si="5">L19-U19</f>
        <v>72.431149999999661</v>
      </c>
      <c r="AF19" s="287">
        <f t="shared" ref="AF19" si="6">M19-V19</f>
        <v>13.54932000000008</v>
      </c>
      <c r="AG19" s="287">
        <f t="shared" ref="AG19" si="7">N19-W19</f>
        <v>3.4668000000001484</v>
      </c>
      <c r="AH19" s="287">
        <f t="shared" ref="AH19" si="8">O19-X19</f>
        <v>0</v>
      </c>
      <c r="AI19" s="287">
        <f t="shared" ref="AI19" si="9">P19-Y19</f>
        <v>0</v>
      </c>
      <c r="AJ19" s="287">
        <f t="shared" ref="AJ19" si="10">Q19-Z19</f>
        <v>0</v>
      </c>
    </row>
    <row r="20" spans="1:37" s="16" customFormat="1" ht="12.75" customHeight="1" x14ac:dyDescent="0.25">
      <c r="D20" s="812" t="s">
        <v>1257</v>
      </c>
      <c r="E20" s="813"/>
      <c r="F20" s="813"/>
      <c r="G20" s="813"/>
      <c r="H20" s="813"/>
      <c r="I20" s="128">
        <f t="shared" ref="I20:Q20" si="11">I4494</f>
        <v>0</v>
      </c>
      <c r="J20" s="128">
        <f t="shared" si="11"/>
        <v>906.46864000000016</v>
      </c>
      <c r="K20" s="128">
        <f t="shared" si="11"/>
        <v>55.120100000000008</v>
      </c>
      <c r="L20" s="128">
        <f t="shared" si="11"/>
        <v>1008.2691000000007</v>
      </c>
      <c r="M20" s="128">
        <f t="shared" si="11"/>
        <v>41.912809999999993</v>
      </c>
      <c r="N20" s="128">
        <f t="shared" si="11"/>
        <v>0</v>
      </c>
      <c r="O20" s="128">
        <f t="shared" si="11"/>
        <v>0</v>
      </c>
      <c r="P20" s="128">
        <f t="shared" si="11"/>
        <v>0</v>
      </c>
      <c r="Q20" s="128">
        <f t="shared" si="11"/>
        <v>0</v>
      </c>
      <c r="R20" s="287">
        <v>0</v>
      </c>
      <c r="S20" s="16">
        <v>906.46864000000016</v>
      </c>
      <c r="T20" s="287">
        <v>55.120100000000008</v>
      </c>
      <c r="U20" s="16">
        <v>1008.2691000000007</v>
      </c>
      <c r="V20" s="16">
        <v>41.912809999999993</v>
      </c>
      <c r="W20" s="16">
        <v>0</v>
      </c>
      <c r="X20" s="16">
        <v>0</v>
      </c>
      <c r="Y20" s="16">
        <v>0</v>
      </c>
      <c r="Z20" s="16">
        <v>0</v>
      </c>
      <c r="AB20" s="287">
        <f>I20-R20</f>
        <v>0</v>
      </c>
      <c r="AC20" s="287">
        <f t="shared" ref="AC20" si="12">J20-S20</f>
        <v>0</v>
      </c>
      <c r="AD20" s="287">
        <f t="shared" ref="AD20" si="13">K20-T20</f>
        <v>0</v>
      </c>
      <c r="AE20" s="287">
        <f t="shared" ref="AE20" si="14">L20-U20</f>
        <v>0</v>
      </c>
      <c r="AF20" s="287">
        <f t="shared" ref="AF20" si="15">M20-V20</f>
        <v>0</v>
      </c>
      <c r="AG20" s="287">
        <f t="shared" ref="AG20" si="16">N20-W20</f>
        <v>0</v>
      </c>
      <c r="AH20" s="287">
        <f t="shared" ref="AH20" si="17">O20-X20</f>
        <v>0</v>
      </c>
      <c r="AI20" s="287">
        <f t="shared" ref="AI20" si="18">P20-Y20</f>
        <v>0</v>
      </c>
      <c r="AJ20" s="287">
        <f t="shared" ref="AJ20" si="19">Q20-Z20</f>
        <v>0</v>
      </c>
    </row>
    <row r="21" spans="1:37" s="16" customFormat="1" ht="15" customHeight="1" x14ac:dyDescent="0.25">
      <c r="D21" s="834"/>
      <c r="E21" s="835"/>
      <c r="F21" s="835"/>
      <c r="G21" s="835"/>
      <c r="H21" s="835"/>
      <c r="I21" s="129"/>
      <c r="J21" s="42"/>
      <c r="K21" s="42"/>
      <c r="L21" s="42"/>
      <c r="M21" s="42"/>
      <c r="N21" s="42"/>
      <c r="O21" s="42"/>
      <c r="P21" s="42"/>
      <c r="Q21" s="42"/>
      <c r="U21" s="133"/>
      <c r="V21" s="133"/>
      <c r="W21" s="133"/>
      <c r="X21" s="133"/>
      <c r="Y21" s="133"/>
      <c r="Z21" s="133"/>
    </row>
    <row r="22" spans="1:37" s="16" customFormat="1" ht="15.75" customHeight="1" thickBot="1" x14ac:dyDescent="0.3">
      <c r="D22" s="836" t="s">
        <v>62</v>
      </c>
      <c r="E22" s="837"/>
      <c r="F22" s="837"/>
      <c r="G22" s="837"/>
      <c r="H22" s="837"/>
      <c r="I22" s="130">
        <f>SUM(I18:I21)</f>
        <v>0</v>
      </c>
      <c r="J22" s="38">
        <f>SUM(J18:J21)</f>
        <v>3666.067019999999</v>
      </c>
      <c r="K22" s="38">
        <f t="shared" ref="K22:Q22" si="20">SUM(K18:K21)</f>
        <v>137.44255000000004</v>
      </c>
      <c r="L22" s="38">
        <f t="shared" si="20"/>
        <v>4114.7031499999975</v>
      </c>
      <c r="M22" s="38">
        <f t="shared" si="20"/>
        <v>4134.1776499999996</v>
      </c>
      <c r="N22" s="38">
        <f t="shared" si="20"/>
        <v>3083.4200700000038</v>
      </c>
      <c r="O22" s="38">
        <f t="shared" si="20"/>
        <v>1798.0047600000003</v>
      </c>
      <c r="P22" s="38">
        <f t="shared" si="20"/>
        <v>479.52500000000009</v>
      </c>
      <c r="Q22" s="105">
        <f t="shared" si="20"/>
        <v>377.68500000000006</v>
      </c>
      <c r="R22" s="94">
        <f>SUM(I22:Q22)</f>
        <v>17791.025200000004</v>
      </c>
      <c r="U22" s="134"/>
      <c r="V22" s="134"/>
      <c r="W22" s="134"/>
      <c r="X22" s="134"/>
      <c r="Y22" s="134"/>
      <c r="Z22" s="134"/>
    </row>
    <row r="23" spans="1:37" s="16" customFormat="1" ht="15.75" customHeight="1" thickTop="1" thickBot="1" x14ac:dyDescent="0.3">
      <c r="A23" s="16" t="s">
        <v>31</v>
      </c>
      <c r="B23" s="570">
        <v>0.11</v>
      </c>
      <c r="D23" s="39"/>
      <c r="E23" s="39"/>
      <c r="F23" s="39"/>
      <c r="G23" s="39"/>
      <c r="H23" s="39"/>
      <c r="I23" s="40"/>
      <c r="J23" s="40"/>
      <c r="K23" s="40"/>
      <c r="L23" s="40"/>
      <c r="M23" s="40"/>
      <c r="N23" s="40"/>
      <c r="O23" s="40"/>
      <c r="P23" s="40"/>
      <c r="Q23" s="41"/>
    </row>
    <row r="24" spans="1:37" s="16" customFormat="1" thickTop="1" thickBot="1" x14ac:dyDescent="0.3">
      <c r="A24" s="16" t="s">
        <v>23</v>
      </c>
      <c r="B24" s="570">
        <v>0.154</v>
      </c>
      <c r="D24" s="807" t="s">
        <v>166</v>
      </c>
      <c r="E24" s="808"/>
      <c r="F24" s="808"/>
      <c r="G24" s="808"/>
      <c r="H24" s="808"/>
      <c r="I24" s="808"/>
      <c r="J24" s="808"/>
      <c r="K24" s="808"/>
      <c r="L24" s="808"/>
      <c r="M24" s="808"/>
      <c r="N24" s="808"/>
      <c r="O24" s="808"/>
      <c r="P24" s="808"/>
      <c r="Q24" s="809"/>
    </row>
    <row r="25" spans="1:37" s="16" customFormat="1" ht="13.5" customHeight="1" thickBot="1" x14ac:dyDescent="0.3">
      <c r="A25" s="16" t="s">
        <v>24</v>
      </c>
      <c r="B25" s="570">
        <v>0.245</v>
      </c>
      <c r="D25" s="820" t="s">
        <v>54</v>
      </c>
      <c r="E25" s="821"/>
      <c r="F25" s="821"/>
      <c r="G25" s="821"/>
      <c r="H25" s="821"/>
      <c r="I25" s="821"/>
      <c r="J25" s="821"/>
      <c r="K25" s="821"/>
      <c r="L25" s="821"/>
      <c r="M25" s="821"/>
      <c r="N25" s="821"/>
      <c r="O25" s="821"/>
      <c r="P25" s="821"/>
      <c r="Q25" s="822"/>
    </row>
    <row r="26" spans="1:37" s="16" customFormat="1" ht="15" customHeight="1" x14ac:dyDescent="0.25">
      <c r="A26" s="16" t="s">
        <v>25</v>
      </c>
      <c r="B26" s="570">
        <v>0.39500000000000002</v>
      </c>
      <c r="D26" s="803" t="s">
        <v>17</v>
      </c>
      <c r="E26" s="804"/>
      <c r="F26" s="804"/>
      <c r="G26" s="804"/>
      <c r="H26" s="804"/>
      <c r="I26" s="800" t="s">
        <v>18</v>
      </c>
      <c r="J26" s="801"/>
      <c r="K26" s="801"/>
      <c r="L26" s="801"/>
      <c r="M26" s="801"/>
      <c r="N26" s="801"/>
      <c r="O26" s="801"/>
      <c r="P26" s="801"/>
      <c r="Q26" s="802"/>
    </row>
    <row r="27" spans="1:37" s="16" customFormat="1" ht="13.8" thickBot="1" x14ac:dyDescent="0.3">
      <c r="A27" s="16" t="s">
        <v>26</v>
      </c>
      <c r="B27" s="570">
        <v>0.61699999999999999</v>
      </c>
      <c r="D27" s="17" t="s">
        <v>19</v>
      </c>
      <c r="E27" s="18" t="s">
        <v>20</v>
      </c>
      <c r="F27" s="18" t="s">
        <v>21</v>
      </c>
      <c r="G27" s="50" t="s">
        <v>32</v>
      </c>
      <c r="H27" s="135" t="s">
        <v>33</v>
      </c>
      <c r="I27" s="43">
        <v>4.2</v>
      </c>
      <c r="J27" s="21">
        <v>5</v>
      </c>
      <c r="K27" s="21">
        <v>6.3</v>
      </c>
      <c r="L27" s="21">
        <v>8</v>
      </c>
      <c r="M27" s="21">
        <v>10</v>
      </c>
      <c r="N27" s="21">
        <v>12.5</v>
      </c>
      <c r="O27" s="21">
        <v>16</v>
      </c>
      <c r="P27" s="21">
        <v>20</v>
      </c>
      <c r="Q27" s="22">
        <v>25</v>
      </c>
    </row>
    <row r="28" spans="1:37" s="16" customFormat="1" ht="15" customHeight="1" thickBot="1" x14ac:dyDescent="0.3">
      <c r="A28" s="16" t="s">
        <v>27</v>
      </c>
      <c r="B28" s="570">
        <v>0.96299999999999997</v>
      </c>
      <c r="D28" s="792" t="s">
        <v>195</v>
      </c>
      <c r="E28" s="793"/>
      <c r="F28" s="793"/>
      <c r="G28" s="793"/>
      <c r="H28" s="793"/>
      <c r="I28" s="793"/>
      <c r="J28" s="793"/>
      <c r="K28" s="793"/>
      <c r="L28" s="793"/>
      <c r="M28" s="793"/>
      <c r="N28" s="793"/>
      <c r="O28" s="793"/>
      <c r="P28" s="793"/>
      <c r="Q28" s="794"/>
      <c r="S28" s="795"/>
      <c r="T28" s="795"/>
    </row>
    <row r="29" spans="1:37" s="16" customFormat="1" ht="15" customHeight="1" x14ac:dyDescent="0.25">
      <c r="A29" s="16" t="s">
        <v>28</v>
      </c>
      <c r="B29" s="570">
        <v>1.5780000000000001</v>
      </c>
      <c r="C29" s="34"/>
      <c r="D29" s="816" t="s">
        <v>1248</v>
      </c>
      <c r="E29" s="817"/>
      <c r="F29" s="817"/>
      <c r="G29" s="817"/>
      <c r="H29" s="817"/>
      <c r="I29" s="47">
        <f>SUM(I30:I36)</f>
        <v>0</v>
      </c>
      <c r="J29" s="47">
        <f>SUM(J30:J36)</f>
        <v>10.456599999999998</v>
      </c>
      <c r="K29" s="47">
        <f t="shared" ref="K29:P29" si="21">SUM(K30:K36)</f>
        <v>0</v>
      </c>
      <c r="L29" s="47">
        <f t="shared" si="21"/>
        <v>24.1266</v>
      </c>
      <c r="M29" s="47">
        <f>SUM(M30:M36)</f>
        <v>24.593619999999998</v>
      </c>
      <c r="N29" s="47">
        <f t="shared" si="21"/>
        <v>0</v>
      </c>
      <c r="O29" s="47">
        <f t="shared" si="21"/>
        <v>0</v>
      </c>
      <c r="P29" s="47">
        <f t="shared" si="21"/>
        <v>0</v>
      </c>
      <c r="Q29" s="47">
        <f>SUM(Q30:Q36)</f>
        <v>0</v>
      </c>
      <c r="S29" s="16">
        <v>1</v>
      </c>
    </row>
    <row r="30" spans="1:37" s="16" customFormat="1" ht="13.2" x14ac:dyDescent="0.25">
      <c r="A30" s="16" t="s">
        <v>29</v>
      </c>
      <c r="B30" s="570">
        <v>2.5</v>
      </c>
      <c r="C30" s="34"/>
      <c r="D30" s="235">
        <v>10</v>
      </c>
      <c r="E30" s="237">
        <f>35*2</f>
        <v>70</v>
      </c>
      <c r="F30" s="238">
        <v>5</v>
      </c>
      <c r="G30" s="239">
        <v>0.97</v>
      </c>
      <c r="H30" s="239">
        <f t="shared" ref="H30:H36" si="22">E30*G30</f>
        <v>67.899999999999991</v>
      </c>
      <c r="I30" s="122">
        <f t="shared" ref="I30:I36" si="23">IF($F30=4.2,H30*$B$23,0)</f>
        <v>0</v>
      </c>
      <c r="J30" s="29">
        <f t="shared" ref="J30:J36" si="24">IF($F30=5,$H30*$B$24,0)</f>
        <v>10.456599999999998</v>
      </c>
      <c r="K30" s="29">
        <f t="shared" ref="K30:K36" si="25">IF($F30=6.3,$H30*$B$25,0)</f>
        <v>0</v>
      </c>
      <c r="L30" s="29">
        <f t="shared" ref="L30:L36" si="26">IF($F30=8,$H30*$B$26,0)</f>
        <v>0</v>
      </c>
      <c r="M30" s="29">
        <f t="shared" ref="M30:M36" si="27">IF($F30=10,$H30*$B$27,0)</f>
        <v>0</v>
      </c>
      <c r="N30" s="29">
        <f t="shared" ref="N30:N36" si="28">IF($F30=12.5,$H30*$B$28,0)</f>
        <v>0</v>
      </c>
      <c r="O30" s="29">
        <f t="shared" ref="O30:O36" si="29">IF($F30=16,$H30*$B$29,0)</f>
        <v>0</v>
      </c>
      <c r="P30" s="29">
        <f t="shared" ref="P30:P36" si="30">IF($F30=20,$H30*$B$30,0)</f>
        <v>0</v>
      </c>
      <c r="Q30" s="37">
        <f t="shared" ref="Q30:Q36" si="31">IF($F30=25,$H30*$B$31,0)</f>
        <v>0</v>
      </c>
    </row>
    <row r="31" spans="1:37" s="16" customFormat="1" ht="13.2" x14ac:dyDescent="0.25">
      <c r="A31" s="16" t="s">
        <v>30</v>
      </c>
      <c r="B31" s="570">
        <v>3.85</v>
      </c>
      <c r="C31" s="34"/>
      <c r="D31" s="235">
        <v>17</v>
      </c>
      <c r="E31" s="240">
        <f>6*2</f>
        <v>12</v>
      </c>
      <c r="F31" s="241">
        <v>8</v>
      </c>
      <c r="G31" s="242">
        <v>1.57</v>
      </c>
      <c r="H31" s="239">
        <f t="shared" si="22"/>
        <v>18.84</v>
      </c>
      <c r="I31" s="122">
        <f t="shared" si="23"/>
        <v>0</v>
      </c>
      <c r="J31" s="29">
        <f t="shared" si="24"/>
        <v>0</v>
      </c>
      <c r="K31" s="29">
        <f t="shared" si="25"/>
        <v>0</v>
      </c>
      <c r="L31" s="29">
        <f t="shared" si="26"/>
        <v>7.4418000000000006</v>
      </c>
      <c r="M31" s="29">
        <f t="shared" si="27"/>
        <v>0</v>
      </c>
      <c r="N31" s="29">
        <f t="shared" si="28"/>
        <v>0</v>
      </c>
      <c r="O31" s="29">
        <f t="shared" si="29"/>
        <v>0</v>
      </c>
      <c r="P31" s="29">
        <f t="shared" si="30"/>
        <v>0</v>
      </c>
      <c r="Q31" s="37">
        <f t="shared" si="31"/>
        <v>0</v>
      </c>
      <c r="S31" s="16">
        <v>1</v>
      </c>
    </row>
    <row r="32" spans="1:37" s="16" customFormat="1" ht="13.2" x14ac:dyDescent="0.25">
      <c r="C32" s="34"/>
      <c r="D32" s="235">
        <v>18</v>
      </c>
      <c r="E32" s="240">
        <f>2*2</f>
        <v>4</v>
      </c>
      <c r="F32" s="241">
        <v>8</v>
      </c>
      <c r="G32" s="242">
        <v>2.37</v>
      </c>
      <c r="H32" s="239">
        <f t="shared" si="22"/>
        <v>9.48</v>
      </c>
      <c r="I32" s="122">
        <f t="shared" si="23"/>
        <v>0</v>
      </c>
      <c r="J32" s="29">
        <f t="shared" si="24"/>
        <v>0</v>
      </c>
      <c r="K32" s="29">
        <f t="shared" si="25"/>
        <v>0</v>
      </c>
      <c r="L32" s="29">
        <f t="shared" si="26"/>
        <v>3.7446000000000002</v>
      </c>
      <c r="M32" s="29">
        <f t="shared" si="27"/>
        <v>0</v>
      </c>
      <c r="N32" s="29">
        <f t="shared" si="28"/>
        <v>0</v>
      </c>
      <c r="O32" s="29">
        <f t="shared" si="29"/>
        <v>0</v>
      </c>
      <c r="P32" s="29">
        <f t="shared" si="30"/>
        <v>0</v>
      </c>
      <c r="Q32" s="37">
        <f t="shared" si="31"/>
        <v>0</v>
      </c>
      <c r="S32" s="16">
        <v>2</v>
      </c>
      <c r="AA32" s="132"/>
      <c r="AB32" s="132"/>
    </row>
    <row r="33" spans="3:28" s="16" customFormat="1" ht="13.2" x14ac:dyDescent="0.25">
      <c r="C33" s="34"/>
      <c r="D33" s="235">
        <v>19</v>
      </c>
      <c r="E33" s="240">
        <f>2*2</f>
        <v>4</v>
      </c>
      <c r="F33" s="241">
        <v>8</v>
      </c>
      <c r="G33" s="242">
        <v>8.19</v>
      </c>
      <c r="H33" s="239">
        <f t="shared" si="22"/>
        <v>32.76</v>
      </c>
      <c r="I33" s="122">
        <f t="shared" si="23"/>
        <v>0</v>
      </c>
      <c r="J33" s="29">
        <f t="shared" si="24"/>
        <v>0</v>
      </c>
      <c r="K33" s="29">
        <f t="shared" si="25"/>
        <v>0</v>
      </c>
      <c r="L33" s="29">
        <f t="shared" si="26"/>
        <v>12.940199999999999</v>
      </c>
      <c r="M33" s="29">
        <f t="shared" si="27"/>
        <v>0</v>
      </c>
      <c r="N33" s="29">
        <f t="shared" si="28"/>
        <v>0</v>
      </c>
      <c r="O33" s="29">
        <f t="shared" si="29"/>
        <v>0</v>
      </c>
      <c r="P33" s="29">
        <f t="shared" si="30"/>
        <v>0</v>
      </c>
      <c r="Q33" s="37">
        <f t="shared" si="31"/>
        <v>0</v>
      </c>
      <c r="AA33" s="132"/>
      <c r="AB33" s="132"/>
    </row>
    <row r="34" spans="3:28" s="16" customFormat="1" ht="13.2" x14ac:dyDescent="0.25">
      <c r="C34" s="34"/>
      <c r="D34" s="235">
        <v>23</v>
      </c>
      <c r="E34" s="240">
        <f>1*2</f>
        <v>2</v>
      </c>
      <c r="F34" s="241">
        <v>10</v>
      </c>
      <c r="G34" s="242">
        <v>3.55</v>
      </c>
      <c r="H34" s="239">
        <f t="shared" si="22"/>
        <v>7.1</v>
      </c>
      <c r="I34" s="122">
        <f t="shared" si="23"/>
        <v>0</v>
      </c>
      <c r="J34" s="29">
        <f t="shared" si="24"/>
        <v>0</v>
      </c>
      <c r="K34" s="29">
        <f t="shared" si="25"/>
        <v>0</v>
      </c>
      <c r="L34" s="29">
        <f t="shared" si="26"/>
        <v>0</v>
      </c>
      <c r="M34" s="29">
        <f t="shared" si="27"/>
        <v>4.3807</v>
      </c>
      <c r="N34" s="29">
        <f t="shared" si="28"/>
        <v>0</v>
      </c>
      <c r="O34" s="29">
        <f t="shared" si="29"/>
        <v>0</v>
      </c>
      <c r="P34" s="29">
        <f t="shared" si="30"/>
        <v>0</v>
      </c>
      <c r="Q34" s="37">
        <f t="shared" si="31"/>
        <v>0</v>
      </c>
      <c r="AA34" s="132"/>
      <c r="AB34" s="132"/>
    </row>
    <row r="35" spans="3:28" s="16" customFormat="1" ht="13.2" x14ac:dyDescent="0.25">
      <c r="C35" s="34"/>
      <c r="D35" s="235">
        <v>24</v>
      </c>
      <c r="E35" s="240">
        <f>2*2</f>
        <v>4</v>
      </c>
      <c r="F35" s="241">
        <v>10</v>
      </c>
      <c r="G35" s="242">
        <v>8.19</v>
      </c>
      <c r="H35" s="239">
        <f t="shared" si="22"/>
        <v>32.76</v>
      </c>
      <c r="I35" s="122">
        <f t="shared" si="23"/>
        <v>0</v>
      </c>
      <c r="J35" s="29">
        <f t="shared" si="24"/>
        <v>0</v>
      </c>
      <c r="K35" s="29">
        <f t="shared" si="25"/>
        <v>0</v>
      </c>
      <c r="L35" s="29">
        <f t="shared" si="26"/>
        <v>0</v>
      </c>
      <c r="M35" s="29">
        <f t="shared" si="27"/>
        <v>20.212919999999997</v>
      </c>
      <c r="N35" s="29">
        <f t="shared" si="28"/>
        <v>0</v>
      </c>
      <c r="O35" s="29">
        <f t="shared" si="29"/>
        <v>0</v>
      </c>
      <c r="P35" s="29">
        <f t="shared" si="30"/>
        <v>0</v>
      </c>
      <c r="Q35" s="37">
        <f t="shared" si="31"/>
        <v>0</v>
      </c>
      <c r="AA35" s="132"/>
      <c r="AB35" s="132"/>
    </row>
    <row r="36" spans="3:28" s="16" customFormat="1" ht="13.2" x14ac:dyDescent="0.25">
      <c r="C36" s="34"/>
      <c r="D36" s="235"/>
      <c r="E36" s="240"/>
      <c r="F36" s="241"/>
      <c r="G36" s="242"/>
      <c r="H36" s="239">
        <f t="shared" si="22"/>
        <v>0</v>
      </c>
      <c r="I36" s="122">
        <f t="shared" si="23"/>
        <v>0</v>
      </c>
      <c r="J36" s="29">
        <f t="shared" si="24"/>
        <v>0</v>
      </c>
      <c r="K36" s="29">
        <f t="shared" si="25"/>
        <v>0</v>
      </c>
      <c r="L36" s="29">
        <f t="shared" si="26"/>
        <v>0</v>
      </c>
      <c r="M36" s="29">
        <f t="shared" si="27"/>
        <v>0</v>
      </c>
      <c r="N36" s="29">
        <f t="shared" si="28"/>
        <v>0</v>
      </c>
      <c r="O36" s="29">
        <f t="shared" si="29"/>
        <v>0</v>
      </c>
      <c r="P36" s="29">
        <f t="shared" si="30"/>
        <v>0</v>
      </c>
      <c r="Q36" s="37">
        <f t="shared" si="31"/>
        <v>0</v>
      </c>
      <c r="AA36" s="132"/>
      <c r="AB36" s="132"/>
    </row>
    <row r="37" spans="3:28" s="16" customFormat="1" ht="13.8" thickBot="1" x14ac:dyDescent="0.3">
      <c r="D37" s="55"/>
      <c r="E37" s="56"/>
      <c r="F37" s="57"/>
      <c r="G37" s="123"/>
      <c r="H37" s="123"/>
      <c r="I37" s="124"/>
      <c r="J37" s="30"/>
      <c r="K37" s="30"/>
      <c r="L37" s="30"/>
      <c r="M37" s="30"/>
      <c r="N37" s="30"/>
      <c r="O37" s="30"/>
      <c r="P37" s="30"/>
      <c r="Q37" s="54"/>
    </row>
    <row r="38" spans="3:28" s="16" customFormat="1" ht="15" customHeight="1" x14ac:dyDescent="0.25">
      <c r="D38" s="790" t="s">
        <v>1249</v>
      </c>
      <c r="E38" s="791"/>
      <c r="F38" s="791"/>
      <c r="G38" s="791"/>
      <c r="H38" s="791"/>
      <c r="I38" s="175">
        <f>SUM(I39:I48)</f>
        <v>0</v>
      </c>
      <c r="J38" s="175">
        <f>SUM(J39:J48)</f>
        <v>11.352879999999999</v>
      </c>
      <c r="K38" s="175">
        <f t="shared" ref="K38:Q38" si="32">SUM(K39:K48)</f>
        <v>0</v>
      </c>
      <c r="L38" s="175">
        <f>SUM(L39:L48)</f>
        <v>7.2364000000000006</v>
      </c>
      <c r="M38" s="175">
        <f t="shared" si="32"/>
        <v>46.151600000000002</v>
      </c>
      <c r="N38" s="175">
        <f t="shared" si="32"/>
        <v>0</v>
      </c>
      <c r="O38" s="175">
        <f t="shared" si="32"/>
        <v>0</v>
      </c>
      <c r="P38" s="175">
        <f t="shared" si="32"/>
        <v>0</v>
      </c>
      <c r="Q38" s="175">
        <f t="shared" si="32"/>
        <v>0</v>
      </c>
    </row>
    <row r="39" spans="3:28" s="16" customFormat="1" ht="13.2" x14ac:dyDescent="0.25">
      <c r="D39" s="235">
        <v>10</v>
      </c>
      <c r="E39" s="237">
        <f>38*2</f>
        <v>76</v>
      </c>
      <c r="F39" s="238">
        <v>5</v>
      </c>
      <c r="G39" s="242">
        <v>0.97</v>
      </c>
      <c r="H39" s="239">
        <f t="shared" ref="H39:H48" si="33">E39*G39</f>
        <v>73.72</v>
      </c>
      <c r="I39" s="122">
        <f t="shared" ref="I39:I48" si="34">IF($F39=4.2,H39*$B$23,0)</f>
        <v>0</v>
      </c>
      <c r="J39" s="29">
        <f t="shared" ref="J39:J48" si="35">IF($F39=5,$H39*$B$24,0)</f>
        <v>11.352879999999999</v>
      </c>
      <c r="K39" s="29">
        <f t="shared" ref="K39:K48" si="36">IF($F39=6.3,$H39*$B$25,0)</f>
        <v>0</v>
      </c>
      <c r="L39" s="29">
        <f t="shared" ref="L39:L48" si="37">IF($F39=8,$H39*$B$26,0)</f>
        <v>0</v>
      </c>
      <c r="M39" s="29">
        <f t="shared" ref="M39:M48" si="38">IF($F39=10,$H39*$B$27,0)</f>
        <v>0</v>
      </c>
      <c r="N39" s="29">
        <f t="shared" ref="N39:N48" si="39">IF($F39=12.5,$H39*$B$28,0)</f>
        <v>0</v>
      </c>
      <c r="O39" s="29">
        <f t="shared" ref="O39:O48" si="40">IF($F39=16,$H39*$B$29,0)</f>
        <v>0</v>
      </c>
      <c r="P39" s="29">
        <f t="shared" ref="P39:P48" si="41">IF($F39=20,$H39*$B$30,0)</f>
        <v>0</v>
      </c>
      <c r="Q39" s="37">
        <f t="shared" ref="Q39:Q48" si="42">IF($F39=25,$H39*$B$31,0)</f>
        <v>0</v>
      </c>
    </row>
    <row r="40" spans="3:28" s="16" customFormat="1" ht="13.2" x14ac:dyDescent="0.25">
      <c r="D40" s="235">
        <v>20</v>
      </c>
      <c r="E40" s="240">
        <f>2*2</f>
        <v>4</v>
      </c>
      <c r="F40" s="241">
        <v>8</v>
      </c>
      <c r="G40" s="242">
        <v>4.58</v>
      </c>
      <c r="H40" s="239">
        <f t="shared" si="33"/>
        <v>18.32</v>
      </c>
      <c r="I40" s="122">
        <f t="shared" si="34"/>
        <v>0</v>
      </c>
      <c r="J40" s="29">
        <f t="shared" si="35"/>
        <v>0</v>
      </c>
      <c r="K40" s="29">
        <f t="shared" si="36"/>
        <v>0</v>
      </c>
      <c r="L40" s="29">
        <f t="shared" si="37"/>
        <v>7.2364000000000006</v>
      </c>
      <c r="M40" s="29">
        <f t="shared" si="38"/>
        <v>0</v>
      </c>
      <c r="N40" s="29">
        <f t="shared" si="39"/>
        <v>0</v>
      </c>
      <c r="O40" s="29">
        <f t="shared" si="40"/>
        <v>0</v>
      </c>
      <c r="P40" s="29">
        <f t="shared" si="41"/>
        <v>0</v>
      </c>
      <c r="Q40" s="37">
        <f t="shared" si="42"/>
        <v>0</v>
      </c>
    </row>
    <row r="41" spans="3:28" s="16" customFormat="1" ht="13.2" x14ac:dyDescent="0.25">
      <c r="D41" s="235">
        <v>24</v>
      </c>
      <c r="E41" s="240">
        <f>2*2</f>
        <v>4</v>
      </c>
      <c r="F41" s="241">
        <v>10</v>
      </c>
      <c r="G41" s="242">
        <v>8.19</v>
      </c>
      <c r="H41" s="239">
        <f t="shared" si="33"/>
        <v>32.76</v>
      </c>
      <c r="I41" s="122">
        <f t="shared" si="34"/>
        <v>0</v>
      </c>
      <c r="J41" s="29">
        <f t="shared" si="35"/>
        <v>0</v>
      </c>
      <c r="K41" s="29">
        <f t="shared" si="36"/>
        <v>0</v>
      </c>
      <c r="L41" s="29">
        <f t="shared" si="37"/>
        <v>0</v>
      </c>
      <c r="M41" s="29">
        <f t="shared" si="38"/>
        <v>20.212919999999997</v>
      </c>
      <c r="N41" s="29">
        <f t="shared" si="39"/>
        <v>0</v>
      </c>
      <c r="O41" s="29">
        <f t="shared" si="40"/>
        <v>0</v>
      </c>
      <c r="P41" s="29">
        <f t="shared" si="41"/>
        <v>0</v>
      </c>
      <c r="Q41" s="37">
        <f t="shared" si="42"/>
        <v>0</v>
      </c>
    </row>
    <row r="42" spans="3:28" s="16" customFormat="1" ht="13.2" x14ac:dyDescent="0.25">
      <c r="D42" s="235">
        <v>25</v>
      </c>
      <c r="E42" s="240">
        <f>1*2</f>
        <v>2</v>
      </c>
      <c r="F42" s="241">
        <v>10</v>
      </c>
      <c r="G42" s="242">
        <v>3.93</v>
      </c>
      <c r="H42" s="239">
        <f t="shared" si="33"/>
        <v>7.86</v>
      </c>
      <c r="I42" s="122">
        <f t="shared" si="34"/>
        <v>0</v>
      </c>
      <c r="J42" s="29">
        <f t="shared" si="35"/>
        <v>0</v>
      </c>
      <c r="K42" s="29">
        <f t="shared" si="36"/>
        <v>0</v>
      </c>
      <c r="L42" s="29">
        <f t="shared" si="37"/>
        <v>0</v>
      </c>
      <c r="M42" s="29">
        <f t="shared" si="38"/>
        <v>4.8496199999999998</v>
      </c>
      <c r="N42" s="29">
        <f t="shared" si="39"/>
        <v>0</v>
      </c>
      <c r="O42" s="29">
        <f t="shared" si="40"/>
        <v>0</v>
      </c>
      <c r="P42" s="29">
        <f t="shared" si="41"/>
        <v>0</v>
      </c>
      <c r="Q42" s="37">
        <f t="shared" si="42"/>
        <v>0</v>
      </c>
    </row>
    <row r="43" spans="3:28" s="16" customFormat="1" ht="13.2" x14ac:dyDescent="0.25">
      <c r="D43" s="235">
        <v>26</v>
      </c>
      <c r="E43" s="240">
        <f>1*2</f>
        <v>2</v>
      </c>
      <c r="F43" s="241">
        <v>10</v>
      </c>
      <c r="G43" s="242">
        <v>1.53</v>
      </c>
      <c r="H43" s="239">
        <f t="shared" si="33"/>
        <v>3.06</v>
      </c>
      <c r="I43" s="122">
        <f t="shared" si="34"/>
        <v>0</v>
      </c>
      <c r="J43" s="29">
        <f t="shared" si="35"/>
        <v>0</v>
      </c>
      <c r="K43" s="29">
        <f t="shared" si="36"/>
        <v>0</v>
      </c>
      <c r="L43" s="29">
        <f t="shared" si="37"/>
        <v>0</v>
      </c>
      <c r="M43" s="29">
        <f t="shared" si="38"/>
        <v>1.88802</v>
      </c>
      <c r="N43" s="29">
        <f t="shared" si="39"/>
        <v>0</v>
      </c>
      <c r="O43" s="29">
        <f t="shared" si="40"/>
        <v>0</v>
      </c>
      <c r="P43" s="29">
        <f t="shared" si="41"/>
        <v>0</v>
      </c>
      <c r="Q43" s="37">
        <f t="shared" si="42"/>
        <v>0</v>
      </c>
      <c r="S43" s="818"/>
      <c r="T43" s="818"/>
    </row>
    <row r="44" spans="3:28" s="16" customFormat="1" ht="13.2" x14ac:dyDescent="0.25">
      <c r="D44" s="235">
        <v>27</v>
      </c>
      <c r="E44" s="240">
        <f>1*2</f>
        <v>2</v>
      </c>
      <c r="F44" s="241">
        <v>10</v>
      </c>
      <c r="G44" s="242">
        <v>2.2999999999999998</v>
      </c>
      <c r="H44" s="239">
        <f t="shared" si="33"/>
        <v>4.5999999999999996</v>
      </c>
      <c r="I44" s="122">
        <f t="shared" si="34"/>
        <v>0</v>
      </c>
      <c r="J44" s="29">
        <f t="shared" si="35"/>
        <v>0</v>
      </c>
      <c r="K44" s="29">
        <f t="shared" si="36"/>
        <v>0</v>
      </c>
      <c r="L44" s="29">
        <f t="shared" si="37"/>
        <v>0</v>
      </c>
      <c r="M44" s="29">
        <f t="shared" si="38"/>
        <v>2.8381999999999996</v>
      </c>
      <c r="N44" s="29">
        <f t="shared" si="39"/>
        <v>0</v>
      </c>
      <c r="O44" s="29">
        <f t="shared" si="40"/>
        <v>0</v>
      </c>
      <c r="P44" s="29">
        <f t="shared" si="41"/>
        <v>0</v>
      </c>
      <c r="Q44" s="37">
        <f t="shared" si="42"/>
        <v>0</v>
      </c>
    </row>
    <row r="45" spans="3:28" s="16" customFormat="1" ht="13.2" x14ac:dyDescent="0.25">
      <c r="D45" s="235">
        <v>28</v>
      </c>
      <c r="E45" s="240">
        <f>2*2</f>
        <v>4</v>
      </c>
      <c r="F45" s="241">
        <v>10</v>
      </c>
      <c r="G45" s="242">
        <v>2.33</v>
      </c>
      <c r="H45" s="239">
        <f t="shared" si="33"/>
        <v>9.32</v>
      </c>
      <c r="I45" s="122">
        <f t="shared" si="34"/>
        <v>0</v>
      </c>
      <c r="J45" s="29">
        <f t="shared" si="35"/>
        <v>0</v>
      </c>
      <c r="K45" s="29">
        <f t="shared" si="36"/>
        <v>0</v>
      </c>
      <c r="L45" s="29">
        <f t="shared" si="37"/>
        <v>0</v>
      </c>
      <c r="M45" s="29">
        <f t="shared" si="38"/>
        <v>5.7504400000000002</v>
      </c>
      <c r="N45" s="29">
        <f t="shared" si="39"/>
        <v>0</v>
      </c>
      <c r="O45" s="29">
        <f t="shared" si="40"/>
        <v>0</v>
      </c>
      <c r="P45" s="29">
        <f t="shared" si="41"/>
        <v>0</v>
      </c>
      <c r="Q45" s="37">
        <f t="shared" si="42"/>
        <v>0</v>
      </c>
    </row>
    <row r="46" spans="3:28" s="16" customFormat="1" ht="13.2" x14ac:dyDescent="0.25">
      <c r="D46" s="235">
        <v>29</v>
      </c>
      <c r="E46" s="240">
        <f>1*2</f>
        <v>2</v>
      </c>
      <c r="F46" s="241">
        <v>10</v>
      </c>
      <c r="G46" s="242">
        <v>1.56</v>
      </c>
      <c r="H46" s="239">
        <f t="shared" si="33"/>
        <v>3.12</v>
      </c>
      <c r="I46" s="122">
        <f t="shared" si="34"/>
        <v>0</v>
      </c>
      <c r="J46" s="29">
        <f t="shared" si="35"/>
        <v>0</v>
      </c>
      <c r="K46" s="29">
        <f t="shared" si="36"/>
        <v>0</v>
      </c>
      <c r="L46" s="29">
        <f t="shared" si="37"/>
        <v>0</v>
      </c>
      <c r="M46" s="29">
        <f t="shared" si="38"/>
        <v>1.9250400000000001</v>
      </c>
      <c r="N46" s="29">
        <f t="shared" si="39"/>
        <v>0</v>
      </c>
      <c r="O46" s="29">
        <f t="shared" si="40"/>
        <v>0</v>
      </c>
      <c r="P46" s="29">
        <f t="shared" si="41"/>
        <v>0</v>
      </c>
      <c r="Q46" s="37">
        <f t="shared" si="42"/>
        <v>0</v>
      </c>
    </row>
    <row r="47" spans="3:28" s="16" customFormat="1" ht="13.2" x14ac:dyDescent="0.25">
      <c r="D47" s="235">
        <v>30</v>
      </c>
      <c r="E47" s="240">
        <f>1*2</f>
        <v>2</v>
      </c>
      <c r="F47" s="241">
        <v>10</v>
      </c>
      <c r="G47" s="242">
        <v>2.3199999999999998</v>
      </c>
      <c r="H47" s="239">
        <f t="shared" si="33"/>
        <v>4.6399999999999997</v>
      </c>
      <c r="I47" s="122">
        <f t="shared" si="34"/>
        <v>0</v>
      </c>
      <c r="J47" s="29">
        <f t="shared" si="35"/>
        <v>0</v>
      </c>
      <c r="K47" s="29">
        <f t="shared" si="36"/>
        <v>0</v>
      </c>
      <c r="L47" s="29">
        <f t="shared" si="37"/>
        <v>0</v>
      </c>
      <c r="M47" s="29">
        <f t="shared" si="38"/>
        <v>2.8628799999999996</v>
      </c>
      <c r="N47" s="29">
        <f t="shared" si="39"/>
        <v>0</v>
      </c>
      <c r="O47" s="29">
        <f t="shared" si="40"/>
        <v>0</v>
      </c>
      <c r="P47" s="29">
        <f t="shared" si="41"/>
        <v>0</v>
      </c>
      <c r="Q47" s="37">
        <f t="shared" si="42"/>
        <v>0</v>
      </c>
      <c r="S47" s="818"/>
      <c r="T47" s="818"/>
    </row>
    <row r="48" spans="3:28" s="16" customFormat="1" ht="13.2" x14ac:dyDescent="0.25">
      <c r="D48" s="235">
        <v>31</v>
      </c>
      <c r="E48" s="240">
        <f>2*2</f>
        <v>4</v>
      </c>
      <c r="F48" s="241">
        <v>10</v>
      </c>
      <c r="G48" s="242">
        <v>2.36</v>
      </c>
      <c r="H48" s="239">
        <f t="shared" si="33"/>
        <v>9.44</v>
      </c>
      <c r="I48" s="122">
        <f t="shared" si="34"/>
        <v>0</v>
      </c>
      <c r="J48" s="29">
        <f t="shared" si="35"/>
        <v>0</v>
      </c>
      <c r="K48" s="29">
        <f t="shared" si="36"/>
        <v>0</v>
      </c>
      <c r="L48" s="29">
        <f t="shared" si="37"/>
        <v>0</v>
      </c>
      <c r="M48" s="29">
        <f t="shared" si="38"/>
        <v>5.8244799999999994</v>
      </c>
      <c r="N48" s="29">
        <f t="shared" si="39"/>
        <v>0</v>
      </c>
      <c r="O48" s="29">
        <f t="shared" si="40"/>
        <v>0</v>
      </c>
      <c r="P48" s="29">
        <f t="shared" si="41"/>
        <v>0</v>
      </c>
      <c r="Q48" s="37">
        <f t="shared" si="42"/>
        <v>0</v>
      </c>
    </row>
    <row r="49" spans="2:20" s="16" customFormat="1" ht="13.8" thickBot="1" x14ac:dyDescent="0.3">
      <c r="D49" s="23"/>
      <c r="E49" s="24"/>
      <c r="F49" s="25"/>
      <c r="G49" s="28"/>
      <c r="H49" s="28"/>
      <c r="I49" s="48"/>
      <c r="J49" s="176"/>
      <c r="K49" s="176"/>
      <c r="L49" s="176"/>
      <c r="M49" s="176"/>
      <c r="N49" s="176"/>
      <c r="O49" s="176"/>
      <c r="P49" s="176"/>
      <c r="Q49" s="177"/>
    </row>
    <row r="50" spans="2:20" s="16" customFormat="1" ht="15" customHeight="1" x14ac:dyDescent="0.25">
      <c r="D50" s="816" t="s">
        <v>1250</v>
      </c>
      <c r="E50" s="817"/>
      <c r="F50" s="817"/>
      <c r="G50" s="817"/>
      <c r="H50" s="817"/>
      <c r="I50" s="47">
        <f t="shared" ref="I50:Q50" si="43">SUM(I51:I55)</f>
        <v>0</v>
      </c>
      <c r="J50" s="47">
        <f t="shared" si="43"/>
        <v>8.0665199999999988</v>
      </c>
      <c r="K50" s="47">
        <f t="shared" si="43"/>
        <v>0</v>
      </c>
      <c r="L50" s="47">
        <f t="shared" si="43"/>
        <v>10.056700000000001</v>
      </c>
      <c r="M50" s="47">
        <f t="shared" si="43"/>
        <v>14.6846</v>
      </c>
      <c r="N50" s="47">
        <f t="shared" si="43"/>
        <v>0</v>
      </c>
      <c r="O50" s="47">
        <f t="shared" si="43"/>
        <v>0</v>
      </c>
      <c r="P50" s="47">
        <f t="shared" si="43"/>
        <v>0</v>
      </c>
      <c r="Q50" s="47">
        <f t="shared" si="43"/>
        <v>0</v>
      </c>
    </row>
    <row r="51" spans="2:20" s="16" customFormat="1" ht="13.2" x14ac:dyDescent="0.25">
      <c r="D51" s="235">
        <v>10</v>
      </c>
      <c r="E51" s="237">
        <v>54</v>
      </c>
      <c r="F51" s="238">
        <v>5</v>
      </c>
      <c r="G51" s="239">
        <v>0.97</v>
      </c>
      <c r="H51" s="239">
        <f>E51*G51</f>
        <v>52.379999999999995</v>
      </c>
      <c r="I51" s="122">
        <f>IF($F51=4.2,H51*$B$23,0)</f>
        <v>0</v>
      </c>
      <c r="J51" s="29">
        <f>IF($F51=5,$H51*$B$24,0)</f>
        <v>8.0665199999999988</v>
      </c>
      <c r="K51" s="29">
        <f>IF($F51=6.3,$H51*$B$25,0)</f>
        <v>0</v>
      </c>
      <c r="L51" s="29">
        <f>IF($F51=8,$H51*$B$26,0)</f>
        <v>0</v>
      </c>
      <c r="M51" s="29">
        <f>IF($F51=10,$H51*$B$27,0)</f>
        <v>0</v>
      </c>
      <c r="N51" s="29">
        <f>IF($F51=12.5,$H51*$B$28,0)</f>
        <v>0</v>
      </c>
      <c r="O51" s="29">
        <f>IF($F51=16,$H51*$B$29,0)</f>
        <v>0</v>
      </c>
      <c r="P51" s="29">
        <f>IF($F51=20,$H51*$B$30,0)</f>
        <v>0</v>
      </c>
      <c r="Q51" s="37">
        <f>IF($F51=25,$H51*$B$31,0)</f>
        <v>0</v>
      </c>
    </row>
    <row r="52" spans="2:20" s="16" customFormat="1" ht="13.2" x14ac:dyDescent="0.25">
      <c r="D52" s="235">
        <v>21</v>
      </c>
      <c r="E52" s="240">
        <v>2</v>
      </c>
      <c r="F52" s="241">
        <v>8</v>
      </c>
      <c r="G52" s="242">
        <v>10.97</v>
      </c>
      <c r="H52" s="239">
        <f>E52*G52</f>
        <v>21.94</v>
      </c>
      <c r="I52" s="122">
        <f>IF($F52=4.2,H52*$B$23,0)</f>
        <v>0</v>
      </c>
      <c r="J52" s="29">
        <f>IF($F52=5,$H52*$B$24,0)</f>
        <v>0</v>
      </c>
      <c r="K52" s="29">
        <f>IF($F52=6.3,$H52*$B$25,0)</f>
        <v>0</v>
      </c>
      <c r="L52" s="29">
        <f>IF($F52=8,$H52*$B$26,0)</f>
        <v>8.6663000000000014</v>
      </c>
      <c r="M52" s="29">
        <f>IF($F52=10,$H52*$B$27,0)</f>
        <v>0</v>
      </c>
      <c r="N52" s="29">
        <f>IF($F52=12.5,$H52*$B$28,0)</f>
        <v>0</v>
      </c>
      <c r="O52" s="29">
        <f>IF($F52=16,$H52*$B$29,0)</f>
        <v>0</v>
      </c>
      <c r="P52" s="29">
        <f>IF($F52=20,$H52*$B$30,0)</f>
        <v>0</v>
      </c>
      <c r="Q52" s="37">
        <f>IF($F52=25,$H52*$B$31,0)</f>
        <v>0</v>
      </c>
    </row>
    <row r="53" spans="2:20" s="16" customFormat="1" ht="13.2" x14ac:dyDescent="0.25">
      <c r="D53" s="235">
        <v>22</v>
      </c>
      <c r="E53" s="240">
        <v>2</v>
      </c>
      <c r="F53" s="241">
        <v>8</v>
      </c>
      <c r="G53" s="242">
        <v>1.76</v>
      </c>
      <c r="H53" s="239">
        <f>E53*G53</f>
        <v>3.52</v>
      </c>
      <c r="I53" s="122">
        <f>IF($F53=4.2,H53*$B$23,0)</f>
        <v>0</v>
      </c>
      <c r="J53" s="29">
        <f>IF($F53=5,$H53*$B$24,0)</f>
        <v>0</v>
      </c>
      <c r="K53" s="29">
        <f>IF($F53=6.3,$H53*$B$25,0)</f>
        <v>0</v>
      </c>
      <c r="L53" s="29">
        <f>IF($F53=8,$H53*$B$26,0)</f>
        <v>1.3904000000000001</v>
      </c>
      <c r="M53" s="29">
        <f>IF($F53=10,$H53*$B$27,0)</f>
        <v>0</v>
      </c>
      <c r="N53" s="29">
        <f>IF($F53=12.5,$H53*$B$28,0)</f>
        <v>0</v>
      </c>
      <c r="O53" s="29">
        <f>IF($F53=16,$H53*$B$29,0)</f>
        <v>0</v>
      </c>
      <c r="P53" s="29">
        <f>IF($F53=20,$H53*$B$30,0)</f>
        <v>0</v>
      </c>
      <c r="Q53" s="37">
        <f>IF($F53=25,$H53*$B$31,0)</f>
        <v>0</v>
      </c>
    </row>
    <row r="54" spans="2:20" s="16" customFormat="1" ht="13.2" x14ac:dyDescent="0.25">
      <c r="D54" s="235">
        <v>32</v>
      </c>
      <c r="E54" s="240">
        <v>2</v>
      </c>
      <c r="F54" s="241">
        <v>10</v>
      </c>
      <c r="G54" s="242">
        <v>7.95</v>
      </c>
      <c r="H54" s="239">
        <f>E54*G54</f>
        <v>15.9</v>
      </c>
      <c r="I54" s="122">
        <f>IF($F54=4.2,H54*$B$23,0)</f>
        <v>0</v>
      </c>
      <c r="J54" s="29">
        <f>IF($F54=5,$H54*$B$24,0)</f>
        <v>0</v>
      </c>
      <c r="K54" s="29">
        <f>IF($F54=6.3,$H54*$B$25,0)</f>
        <v>0</v>
      </c>
      <c r="L54" s="29">
        <f>IF($F54=8,$H54*$B$26,0)</f>
        <v>0</v>
      </c>
      <c r="M54" s="29">
        <f>IF($F54=10,$H54*$B$27,0)</f>
        <v>9.8102999999999998</v>
      </c>
      <c r="N54" s="29">
        <f>IF($F54=12.5,$H54*$B$28,0)</f>
        <v>0</v>
      </c>
      <c r="O54" s="29">
        <f>IF($F54=16,$H54*$B$29,0)</f>
        <v>0</v>
      </c>
      <c r="P54" s="29">
        <f>IF($F54=20,$H54*$B$30,0)</f>
        <v>0</v>
      </c>
      <c r="Q54" s="37">
        <f>IF($F54=25,$H54*$B$31,0)</f>
        <v>0</v>
      </c>
    </row>
    <row r="55" spans="2:20" s="16" customFormat="1" ht="13.2" x14ac:dyDescent="0.25">
      <c r="D55" s="235">
        <v>33</v>
      </c>
      <c r="E55" s="240">
        <v>2</v>
      </c>
      <c r="F55" s="241">
        <v>10</v>
      </c>
      <c r="G55" s="242">
        <v>3.95</v>
      </c>
      <c r="H55" s="239">
        <f>E55*G55</f>
        <v>7.9</v>
      </c>
      <c r="I55" s="122">
        <f>IF($F55=4.2,H55*$B$23,0)</f>
        <v>0</v>
      </c>
      <c r="J55" s="29">
        <f>IF($F55=5,$H55*$B$24,0)</f>
        <v>0</v>
      </c>
      <c r="K55" s="29">
        <f>IF($F55=6.3,$H55*$B$25,0)</f>
        <v>0</v>
      </c>
      <c r="L55" s="29">
        <f>IF($F55=8,$H55*$B$26,0)</f>
        <v>0</v>
      </c>
      <c r="M55" s="29">
        <f>IF($F55=10,$H55*$B$27,0)</f>
        <v>4.8742999999999999</v>
      </c>
      <c r="N55" s="29">
        <f>IF($F55=12.5,$H55*$B$28,0)</f>
        <v>0</v>
      </c>
      <c r="O55" s="29">
        <f>IF($F55=16,$H55*$B$29,0)</f>
        <v>0</v>
      </c>
      <c r="P55" s="29">
        <f>IF($F55=20,$H55*$B$30,0)</f>
        <v>0</v>
      </c>
      <c r="Q55" s="37">
        <f>IF($F55=25,$H55*$B$31,0)</f>
        <v>0</v>
      </c>
    </row>
    <row r="56" spans="2:20" s="16" customFormat="1" ht="13.8" thickBot="1" x14ac:dyDescent="0.3">
      <c r="D56" s="178"/>
      <c r="E56" s="179"/>
      <c r="F56" s="180"/>
      <c r="G56" s="181"/>
      <c r="H56" s="123"/>
      <c r="I56" s="182"/>
      <c r="J56" s="183"/>
      <c r="K56" s="183"/>
      <c r="L56" s="183"/>
      <c r="M56" s="183"/>
      <c r="N56" s="183"/>
      <c r="O56" s="183"/>
      <c r="P56" s="183"/>
      <c r="Q56" s="184"/>
    </row>
    <row r="57" spans="2:20" s="16" customFormat="1" ht="15" customHeight="1" x14ac:dyDescent="0.25">
      <c r="D57" s="814" t="s">
        <v>1251</v>
      </c>
      <c r="E57" s="815"/>
      <c r="F57" s="815"/>
      <c r="G57" s="815"/>
      <c r="H57" s="815"/>
      <c r="I57" s="175">
        <f t="shared" ref="I57:Q57" si="44">SUM(I58:I62)</f>
        <v>0</v>
      </c>
      <c r="J57" s="175">
        <f t="shared" si="44"/>
        <v>8.0665199999999988</v>
      </c>
      <c r="K57" s="175">
        <f t="shared" si="44"/>
        <v>0</v>
      </c>
      <c r="L57" s="175">
        <f t="shared" si="44"/>
        <v>10.056700000000001</v>
      </c>
      <c r="M57" s="175">
        <f t="shared" si="44"/>
        <v>15.25224</v>
      </c>
      <c r="N57" s="175">
        <f t="shared" si="44"/>
        <v>0</v>
      </c>
      <c r="O57" s="175">
        <f t="shared" si="44"/>
        <v>0</v>
      </c>
      <c r="P57" s="175">
        <f t="shared" si="44"/>
        <v>0</v>
      </c>
      <c r="Q57" s="175">
        <f t="shared" si="44"/>
        <v>0</v>
      </c>
    </row>
    <row r="58" spans="2:20" s="16" customFormat="1" ht="13.2" x14ac:dyDescent="0.25">
      <c r="D58" s="235">
        <v>10</v>
      </c>
      <c r="E58" s="237">
        <v>54</v>
      </c>
      <c r="F58" s="238">
        <v>5</v>
      </c>
      <c r="G58" s="239">
        <v>0.97</v>
      </c>
      <c r="H58" s="239">
        <f t="shared" ref="H58:H185" si="45">E58*G58</f>
        <v>52.379999999999995</v>
      </c>
      <c r="I58" s="131">
        <f t="shared" ref="I58:I60" si="46">IF($F58=4.2,H58*$B$23,0)</f>
        <v>0</v>
      </c>
      <c r="J58" s="31">
        <f t="shared" ref="J58:J62" si="47">IF($F58=5,$H58*$B$24,0)</f>
        <v>8.0665199999999988</v>
      </c>
      <c r="K58" s="31">
        <f t="shared" ref="K58:K62" si="48">IF($F58=6.3,$H58*$B$25,0)</f>
        <v>0</v>
      </c>
      <c r="L58" s="31">
        <f t="shared" ref="L58:L62" si="49">IF($F58=8,$H58*$B$26,0)</f>
        <v>0</v>
      </c>
      <c r="M58" s="31">
        <f t="shared" ref="M58:M62" si="50">IF($F58=10,$H58*$B$27,0)</f>
        <v>0</v>
      </c>
      <c r="N58" s="31">
        <f t="shared" ref="N58:N62" si="51">IF($F58=12.5,$H58*$B$28,0)</f>
        <v>0</v>
      </c>
      <c r="O58" s="31">
        <f t="shared" ref="O58:O62" si="52">IF($F58=16,$H58*$B$29,0)</f>
        <v>0</v>
      </c>
      <c r="P58" s="31">
        <f t="shared" ref="P58:P62" si="53">IF($F58=20,$H58*$B$30,0)</f>
        <v>0</v>
      </c>
      <c r="Q58" s="49">
        <f t="shared" ref="Q58:Q62" si="54">IF($F58=25,$H58*$B$31,0)</f>
        <v>0</v>
      </c>
    </row>
    <row r="59" spans="2:20" s="16" customFormat="1" ht="13.2" x14ac:dyDescent="0.25">
      <c r="D59" s="235">
        <v>21</v>
      </c>
      <c r="E59" s="237">
        <v>2</v>
      </c>
      <c r="F59" s="238">
        <v>8</v>
      </c>
      <c r="G59" s="239">
        <v>10.97</v>
      </c>
      <c r="H59" s="239">
        <f t="shared" si="45"/>
        <v>21.94</v>
      </c>
      <c r="I59" s="131">
        <f t="shared" si="46"/>
        <v>0</v>
      </c>
      <c r="J59" s="31">
        <f t="shared" si="47"/>
        <v>0</v>
      </c>
      <c r="K59" s="31">
        <f t="shared" si="48"/>
        <v>0</v>
      </c>
      <c r="L59" s="31">
        <f t="shared" si="49"/>
        <v>8.6663000000000014</v>
      </c>
      <c r="M59" s="31">
        <f t="shared" si="50"/>
        <v>0</v>
      </c>
      <c r="N59" s="31">
        <f t="shared" si="51"/>
        <v>0</v>
      </c>
      <c r="O59" s="31">
        <f t="shared" si="52"/>
        <v>0</v>
      </c>
      <c r="P59" s="31">
        <f t="shared" si="53"/>
        <v>0</v>
      </c>
      <c r="Q59" s="49">
        <f t="shared" si="54"/>
        <v>0</v>
      </c>
    </row>
    <row r="60" spans="2:20" s="16" customFormat="1" ht="13.2" x14ac:dyDescent="0.25">
      <c r="D60" s="235">
        <v>22</v>
      </c>
      <c r="E60" s="237">
        <v>2</v>
      </c>
      <c r="F60" s="238">
        <v>8</v>
      </c>
      <c r="G60" s="239">
        <v>1.76</v>
      </c>
      <c r="H60" s="239">
        <f t="shared" si="45"/>
        <v>3.52</v>
      </c>
      <c r="I60" s="131">
        <f t="shared" si="46"/>
        <v>0</v>
      </c>
      <c r="J60" s="31">
        <f t="shared" si="47"/>
        <v>0</v>
      </c>
      <c r="K60" s="31">
        <f t="shared" si="48"/>
        <v>0</v>
      </c>
      <c r="L60" s="31">
        <f t="shared" si="49"/>
        <v>1.3904000000000001</v>
      </c>
      <c r="M60" s="31">
        <f t="shared" si="50"/>
        <v>0</v>
      </c>
      <c r="N60" s="31">
        <f t="shared" si="51"/>
        <v>0</v>
      </c>
      <c r="O60" s="31">
        <f t="shared" si="52"/>
        <v>0</v>
      </c>
      <c r="P60" s="31">
        <f t="shared" si="53"/>
        <v>0</v>
      </c>
      <c r="Q60" s="49">
        <f t="shared" si="54"/>
        <v>0</v>
      </c>
    </row>
    <row r="61" spans="2:20" s="16" customFormat="1" ht="13.2" x14ac:dyDescent="0.25">
      <c r="D61" s="235">
        <v>34</v>
      </c>
      <c r="E61" s="237">
        <v>2</v>
      </c>
      <c r="F61" s="238">
        <v>10</v>
      </c>
      <c r="G61" s="239">
        <v>8.18</v>
      </c>
      <c r="H61" s="239">
        <f>E61*G61</f>
        <v>16.36</v>
      </c>
      <c r="I61" s="131">
        <f t="shared" ref="I61:I62" si="55">IF($F61=4.2,H61*$B$23,0)</f>
        <v>0</v>
      </c>
      <c r="J61" s="31">
        <f t="shared" si="47"/>
        <v>0</v>
      </c>
      <c r="K61" s="31">
        <f t="shared" si="48"/>
        <v>0</v>
      </c>
      <c r="L61" s="31">
        <f t="shared" si="49"/>
        <v>0</v>
      </c>
      <c r="M61" s="31">
        <f t="shared" si="50"/>
        <v>10.09412</v>
      </c>
      <c r="N61" s="31">
        <f t="shared" si="51"/>
        <v>0</v>
      </c>
      <c r="O61" s="31">
        <f t="shared" si="52"/>
        <v>0</v>
      </c>
      <c r="P61" s="31">
        <f t="shared" si="53"/>
        <v>0</v>
      </c>
      <c r="Q61" s="49">
        <f t="shared" si="54"/>
        <v>0</v>
      </c>
    </row>
    <row r="62" spans="2:20" s="16" customFormat="1" ht="13.2" x14ac:dyDescent="0.25">
      <c r="D62" s="235">
        <v>35</v>
      </c>
      <c r="E62" s="237">
        <v>2</v>
      </c>
      <c r="F62" s="238">
        <v>10</v>
      </c>
      <c r="G62" s="239">
        <v>4.18</v>
      </c>
      <c r="H62" s="239">
        <f>E62*G62</f>
        <v>8.36</v>
      </c>
      <c r="I62" s="131">
        <f t="shared" si="55"/>
        <v>0</v>
      </c>
      <c r="J62" s="31">
        <f t="shared" si="47"/>
        <v>0</v>
      </c>
      <c r="K62" s="31">
        <f t="shared" si="48"/>
        <v>0</v>
      </c>
      <c r="L62" s="31">
        <f t="shared" si="49"/>
        <v>0</v>
      </c>
      <c r="M62" s="31">
        <f t="shared" si="50"/>
        <v>5.1581199999999994</v>
      </c>
      <c r="N62" s="31">
        <f t="shared" si="51"/>
        <v>0</v>
      </c>
      <c r="O62" s="31">
        <f t="shared" si="52"/>
        <v>0</v>
      </c>
      <c r="P62" s="31">
        <f t="shared" si="53"/>
        <v>0</v>
      </c>
      <c r="Q62" s="49">
        <f t="shared" si="54"/>
        <v>0</v>
      </c>
    </row>
    <row r="63" spans="2:20" s="16" customFormat="1" ht="13.8" thickBot="1" x14ac:dyDescent="0.3">
      <c r="D63" s="27"/>
      <c r="E63" s="185"/>
      <c r="F63" s="32"/>
      <c r="G63" s="33"/>
      <c r="H63" s="28"/>
      <c r="I63" s="51"/>
      <c r="J63" s="52"/>
      <c r="K63" s="52"/>
      <c r="L63" s="52"/>
      <c r="M63" s="52"/>
      <c r="N63" s="52"/>
      <c r="O63" s="52"/>
      <c r="P63" s="52"/>
      <c r="Q63" s="53"/>
    </row>
    <row r="64" spans="2:20" s="16" customFormat="1" ht="15" customHeight="1" thickBot="1" x14ac:dyDescent="0.3">
      <c r="B64" s="34"/>
      <c r="D64" s="792" t="s">
        <v>196</v>
      </c>
      <c r="E64" s="793"/>
      <c r="F64" s="793"/>
      <c r="G64" s="793"/>
      <c r="H64" s="793"/>
      <c r="I64" s="793"/>
      <c r="J64" s="793"/>
      <c r="K64" s="793"/>
      <c r="L64" s="793"/>
      <c r="M64" s="793"/>
      <c r="N64" s="793"/>
      <c r="O64" s="793"/>
      <c r="P64" s="793"/>
      <c r="Q64" s="794"/>
      <c r="S64" s="795"/>
      <c r="T64" s="795"/>
    </row>
    <row r="65" spans="4:17" s="16" customFormat="1" ht="15" customHeight="1" x14ac:dyDescent="0.25">
      <c r="D65" s="810" t="s">
        <v>1261</v>
      </c>
      <c r="E65" s="811"/>
      <c r="F65" s="811"/>
      <c r="G65" s="811"/>
      <c r="H65" s="811"/>
      <c r="I65" s="47">
        <f t="shared" ref="I65:Q65" si="56">SUM(I66:I67)</f>
        <v>0</v>
      </c>
      <c r="J65" s="47">
        <f t="shared" si="56"/>
        <v>14.938000000000001</v>
      </c>
      <c r="K65" s="47">
        <f t="shared" si="56"/>
        <v>0</v>
      </c>
      <c r="L65" s="47">
        <f t="shared" si="56"/>
        <v>38.488799999999998</v>
      </c>
      <c r="M65" s="47">
        <f t="shared" si="56"/>
        <v>0</v>
      </c>
      <c r="N65" s="47">
        <f t="shared" si="56"/>
        <v>0</v>
      </c>
      <c r="O65" s="47">
        <f t="shared" si="56"/>
        <v>0</v>
      </c>
      <c r="P65" s="47">
        <f t="shared" si="56"/>
        <v>0</v>
      </c>
      <c r="Q65" s="47">
        <f t="shared" si="56"/>
        <v>0</v>
      </c>
    </row>
    <row r="66" spans="4:17" s="16" customFormat="1" ht="13.2" x14ac:dyDescent="0.25">
      <c r="D66" s="235">
        <v>1</v>
      </c>
      <c r="E66" s="237">
        <f>4*25</f>
        <v>100</v>
      </c>
      <c r="F66" s="241">
        <v>5</v>
      </c>
      <c r="G66" s="239">
        <v>0.97</v>
      </c>
      <c r="H66" s="239">
        <f t="shared" si="45"/>
        <v>97</v>
      </c>
      <c r="I66" s="131">
        <f t="shared" ref="I66:I67" si="57">IF($F66=4.2,H66*$B$23,0)</f>
        <v>0</v>
      </c>
      <c r="J66" s="31">
        <f t="shared" ref="J66:J67" si="58">IF($F66=5,$H66*$B$24,0)</f>
        <v>14.938000000000001</v>
      </c>
      <c r="K66" s="31">
        <f t="shared" ref="K66:K67" si="59">IF($F66=6.3,$H66*$B$25,0)</f>
        <v>0</v>
      </c>
      <c r="L66" s="31">
        <f t="shared" ref="L66:L67" si="60">IF($F66=8,$H66*$B$26,0)</f>
        <v>0</v>
      </c>
      <c r="M66" s="31">
        <f t="shared" ref="M66:M67" si="61">IF($F66=10,$H66*$B$27,0)</f>
        <v>0</v>
      </c>
      <c r="N66" s="31">
        <f t="shared" ref="N66:N67" si="62">IF($F66=12.5,$H66*$B$28,0)</f>
        <v>0</v>
      </c>
      <c r="O66" s="31">
        <f t="shared" ref="O66:O67" si="63">IF($F66=16,$H66*$B$29,0)</f>
        <v>0</v>
      </c>
      <c r="P66" s="31">
        <f t="shared" ref="P66:P67" si="64">IF($F66=20,$H66*$B$30,0)</f>
        <v>0</v>
      </c>
      <c r="Q66" s="49">
        <f t="shared" ref="Q66:Q67" si="65">IF($F66=25,$H66*$B$31,0)</f>
        <v>0</v>
      </c>
    </row>
    <row r="67" spans="4:17" s="16" customFormat="1" ht="13.2" x14ac:dyDescent="0.25">
      <c r="D67" s="235">
        <v>3</v>
      </c>
      <c r="E67" s="237">
        <f>4*4</f>
        <v>16</v>
      </c>
      <c r="F67" s="241">
        <v>8</v>
      </c>
      <c r="G67" s="242">
        <v>6.09</v>
      </c>
      <c r="H67" s="239">
        <f t="shared" ref="H67" si="66">E67*G67</f>
        <v>97.44</v>
      </c>
      <c r="I67" s="131">
        <f t="shared" si="57"/>
        <v>0</v>
      </c>
      <c r="J67" s="31">
        <f t="shared" si="58"/>
        <v>0</v>
      </c>
      <c r="K67" s="31">
        <f t="shared" si="59"/>
        <v>0</v>
      </c>
      <c r="L67" s="31">
        <f t="shared" si="60"/>
        <v>38.488799999999998</v>
      </c>
      <c r="M67" s="31">
        <f t="shared" si="61"/>
        <v>0</v>
      </c>
      <c r="N67" s="31">
        <f t="shared" si="62"/>
        <v>0</v>
      </c>
      <c r="O67" s="31">
        <f t="shared" si="63"/>
        <v>0</v>
      </c>
      <c r="P67" s="31">
        <f t="shared" si="64"/>
        <v>0</v>
      </c>
      <c r="Q67" s="49">
        <f t="shared" si="65"/>
        <v>0</v>
      </c>
    </row>
    <row r="68" spans="4:17" s="16" customFormat="1" ht="13.8" thickBot="1" x14ac:dyDescent="0.3">
      <c r="D68" s="178"/>
      <c r="E68" s="179"/>
      <c r="F68" s="180"/>
      <c r="G68" s="181"/>
      <c r="H68" s="123"/>
      <c r="I68" s="182"/>
      <c r="J68" s="183"/>
      <c r="K68" s="183"/>
      <c r="L68" s="183"/>
      <c r="M68" s="183"/>
      <c r="N68" s="183"/>
      <c r="O68" s="183"/>
      <c r="P68" s="183"/>
      <c r="Q68" s="184"/>
    </row>
    <row r="69" spans="4:17" s="16" customFormat="1" ht="13.2" x14ac:dyDescent="0.25">
      <c r="D69" s="814" t="s">
        <v>1262</v>
      </c>
      <c r="E69" s="815"/>
      <c r="F69" s="815"/>
      <c r="G69" s="815"/>
      <c r="H69" s="815"/>
      <c r="I69" s="175">
        <f t="shared" ref="I69" si="67">SUM(I70:I74)</f>
        <v>0</v>
      </c>
      <c r="J69" s="175">
        <f>SUM(J70:J74)</f>
        <v>0.89628000000000008</v>
      </c>
      <c r="K69" s="175">
        <f t="shared" ref="K69:Q69" si="68">SUM(K70:K74)</f>
        <v>0.34789999999999999</v>
      </c>
      <c r="L69" s="175">
        <f t="shared" si="68"/>
        <v>2.3068</v>
      </c>
      <c r="M69" s="175">
        <f t="shared" si="68"/>
        <v>0</v>
      </c>
      <c r="N69" s="175">
        <f t="shared" si="68"/>
        <v>0</v>
      </c>
      <c r="O69" s="175">
        <f t="shared" si="68"/>
        <v>0</v>
      </c>
      <c r="P69" s="175">
        <f t="shared" si="68"/>
        <v>0</v>
      </c>
      <c r="Q69" s="175">
        <f t="shared" si="68"/>
        <v>0</v>
      </c>
    </row>
    <row r="70" spans="4:17" s="16" customFormat="1" ht="13.2" x14ac:dyDescent="0.25">
      <c r="D70" s="235">
        <v>1</v>
      </c>
      <c r="E70" s="237">
        <f>2*3</f>
        <v>6</v>
      </c>
      <c r="F70" s="241">
        <v>5</v>
      </c>
      <c r="G70" s="239">
        <v>0.97</v>
      </c>
      <c r="H70" s="239">
        <f t="shared" ref="H70:H74" si="69">E70*G70</f>
        <v>5.82</v>
      </c>
      <c r="I70" s="131">
        <f>IF($F70=4.2,H70*$B$23,0)</f>
        <v>0</v>
      </c>
      <c r="J70" s="31">
        <f>IF($F70=5,$H70*$B$24,0)</f>
        <v>0.89628000000000008</v>
      </c>
      <c r="K70" s="31">
        <f>IF($F70=6.3,$H70*$B$25,0)</f>
        <v>0</v>
      </c>
      <c r="L70" s="31">
        <f>IF($F70=8,$H70*$B$26,0)</f>
        <v>0</v>
      </c>
      <c r="M70" s="31">
        <f>IF($F70=10,$H70*$B$27,0)</f>
        <v>0</v>
      </c>
      <c r="N70" s="31">
        <f>IF($F70=12.5,$H70*$B$28,0)</f>
        <v>0</v>
      </c>
      <c r="O70" s="31">
        <f>IF($F70=16,$H70*$B$29,0)</f>
        <v>0</v>
      </c>
      <c r="P70" s="31">
        <f>IF($F70=20,$H70*$B$30,0)</f>
        <v>0</v>
      </c>
      <c r="Q70" s="49">
        <f>IF($F70=25,$H70*$B$31,0)</f>
        <v>0</v>
      </c>
    </row>
    <row r="71" spans="4:17" s="16" customFormat="1" ht="13.2" x14ac:dyDescent="0.25">
      <c r="D71" s="235">
        <v>2</v>
      </c>
      <c r="E71" s="237">
        <f>2*1</f>
        <v>2</v>
      </c>
      <c r="F71" s="241">
        <v>6.3</v>
      </c>
      <c r="G71" s="242">
        <v>0.71</v>
      </c>
      <c r="H71" s="239">
        <f t="shared" si="69"/>
        <v>1.42</v>
      </c>
      <c r="I71" s="131">
        <f>IF($F71=4.2,H71*$B$23,0)</f>
        <v>0</v>
      </c>
      <c r="J71" s="31">
        <f>IF($F71=5,$H71*$B$24,0)</f>
        <v>0</v>
      </c>
      <c r="K71" s="31">
        <f>IF($F71=6.3,$H71*$B$25,0)</f>
        <v>0.34789999999999999</v>
      </c>
      <c r="L71" s="31">
        <f>IF($F71=8,$H71*$B$26,0)</f>
        <v>0</v>
      </c>
      <c r="M71" s="31">
        <f>IF($F71=10,$H71*$B$27,0)</f>
        <v>0</v>
      </c>
      <c r="N71" s="31">
        <f>IF($F71=12.5,$H71*$B$28,0)</f>
        <v>0</v>
      </c>
      <c r="O71" s="31">
        <f>IF($F71=16,$H71*$B$29,0)</f>
        <v>0</v>
      </c>
      <c r="P71" s="31">
        <f>IF($F71=20,$H71*$B$30,0)</f>
        <v>0</v>
      </c>
      <c r="Q71" s="49">
        <f>IF($F71=25,$H71*$B$31,0)</f>
        <v>0</v>
      </c>
    </row>
    <row r="72" spans="4:17" s="16" customFormat="1" ht="13.2" x14ac:dyDescent="0.25">
      <c r="D72" s="235">
        <v>4</v>
      </c>
      <c r="E72" s="237">
        <f>2*2</f>
        <v>4</v>
      </c>
      <c r="F72" s="241">
        <v>8</v>
      </c>
      <c r="G72" s="242">
        <v>0.69</v>
      </c>
      <c r="H72" s="239">
        <f t="shared" si="69"/>
        <v>2.76</v>
      </c>
      <c r="I72" s="131">
        <f>IF($F72=4.2,H72*$B$23,0)</f>
        <v>0</v>
      </c>
      <c r="J72" s="31">
        <f>IF($F72=5,$H72*$B$24,0)</f>
        <v>0</v>
      </c>
      <c r="K72" s="31">
        <f>IF($F72=6.3,$H72*$B$25,0)</f>
        <v>0</v>
      </c>
      <c r="L72" s="31">
        <f>IF($F72=8,$H72*$B$26,0)</f>
        <v>1.0902000000000001</v>
      </c>
      <c r="M72" s="31">
        <f>IF($F72=10,$H72*$B$27,0)</f>
        <v>0</v>
      </c>
      <c r="N72" s="31">
        <f>IF($F72=12.5,$H72*$B$28,0)</f>
        <v>0</v>
      </c>
      <c r="O72" s="31">
        <f>IF($F72=16,$H72*$B$29,0)</f>
        <v>0</v>
      </c>
      <c r="P72" s="31">
        <f>IF($F72=20,$H72*$B$30,0)</f>
        <v>0</v>
      </c>
      <c r="Q72" s="49">
        <f>IF($F72=25,$H72*$B$31,0)</f>
        <v>0</v>
      </c>
    </row>
    <row r="73" spans="4:17" s="16" customFormat="1" ht="13.2" x14ac:dyDescent="0.25">
      <c r="D73" s="235">
        <v>5</v>
      </c>
      <c r="E73" s="237">
        <f>2*2</f>
        <v>4</v>
      </c>
      <c r="F73" s="241">
        <v>8</v>
      </c>
      <c r="G73" s="242">
        <v>0.77</v>
      </c>
      <c r="H73" s="239">
        <f t="shared" si="69"/>
        <v>3.08</v>
      </c>
      <c r="I73" s="131">
        <f>IF($F73=4.2,H73*$B$23,0)</f>
        <v>0</v>
      </c>
      <c r="J73" s="31">
        <f>IF($F73=5,$H73*$B$24,0)</f>
        <v>0</v>
      </c>
      <c r="K73" s="31">
        <f>IF($F73=6.3,$H73*$B$25,0)</f>
        <v>0</v>
      </c>
      <c r="L73" s="31">
        <f>IF($F73=8,$H73*$B$26,0)</f>
        <v>1.2166000000000001</v>
      </c>
      <c r="M73" s="31">
        <f>IF($F73=10,$H73*$B$27,0)</f>
        <v>0</v>
      </c>
      <c r="N73" s="31">
        <f>IF($F73=12.5,$H73*$B$28,0)</f>
        <v>0</v>
      </c>
      <c r="O73" s="31">
        <f>IF($F73=16,$H73*$B$29,0)</f>
        <v>0</v>
      </c>
      <c r="P73" s="31">
        <f>IF($F73=20,$H73*$B$30,0)</f>
        <v>0</v>
      </c>
      <c r="Q73" s="49">
        <f>IF($F73=25,$H73*$B$31,0)</f>
        <v>0</v>
      </c>
    </row>
    <row r="74" spans="4:17" s="16" customFormat="1" ht="13.2" x14ac:dyDescent="0.25">
      <c r="D74" s="235"/>
      <c r="E74" s="237"/>
      <c r="F74" s="241"/>
      <c r="G74" s="242"/>
      <c r="H74" s="239">
        <f t="shared" si="69"/>
        <v>0</v>
      </c>
      <c r="I74" s="131">
        <f>IF($F74=4.2,H74*$B$23,0)</f>
        <v>0</v>
      </c>
      <c r="J74" s="31">
        <f>IF($F74=5,$H74*$B$24,0)</f>
        <v>0</v>
      </c>
      <c r="K74" s="31">
        <f>IF($F74=6.3,$H74*$B$25,0)</f>
        <v>0</v>
      </c>
      <c r="L74" s="31">
        <f>IF($F74=8,$H74*$B$26,0)</f>
        <v>0</v>
      </c>
      <c r="M74" s="31">
        <f>IF($F74=10,$H74*$B$27,0)</f>
        <v>0</v>
      </c>
      <c r="N74" s="31">
        <f>IF($F74=12.5,$H74*$B$28,0)</f>
        <v>0</v>
      </c>
      <c r="O74" s="31">
        <f>IF($F74=16,$H74*$B$29,0)</f>
        <v>0</v>
      </c>
      <c r="P74" s="31">
        <f>IF($F74=20,$H74*$B$30,0)</f>
        <v>0</v>
      </c>
      <c r="Q74" s="49">
        <f>IF($F74=25,$H74*$B$31,0)</f>
        <v>0</v>
      </c>
    </row>
    <row r="75" spans="4:17" s="16" customFormat="1" ht="15" customHeight="1" thickBot="1" x14ac:dyDescent="0.3">
      <c r="D75" s="243"/>
      <c r="E75" s="185"/>
      <c r="F75" s="32"/>
      <c r="G75" s="33"/>
      <c r="H75" s="28"/>
      <c r="I75" s="51"/>
      <c r="J75" s="52"/>
      <c r="K75" s="52"/>
      <c r="L75" s="52"/>
      <c r="M75" s="52"/>
      <c r="N75" s="52"/>
      <c r="O75" s="52"/>
      <c r="P75" s="52"/>
      <c r="Q75" s="53"/>
    </row>
    <row r="76" spans="4:17" s="16" customFormat="1" ht="13.2" x14ac:dyDescent="0.25">
      <c r="D76" s="810" t="s">
        <v>1263</v>
      </c>
      <c r="E76" s="811"/>
      <c r="F76" s="811"/>
      <c r="G76" s="811"/>
      <c r="H76" s="811"/>
      <c r="I76" s="47">
        <f t="shared" ref="I76:Q76" si="70">SUM(I77:I78)</f>
        <v>0</v>
      </c>
      <c r="J76" s="47">
        <f t="shared" si="70"/>
        <v>3.1369800000000003</v>
      </c>
      <c r="K76" s="47">
        <f t="shared" si="70"/>
        <v>0</v>
      </c>
      <c r="L76" s="47">
        <f t="shared" si="70"/>
        <v>8.7216000000000005</v>
      </c>
      <c r="M76" s="47">
        <f t="shared" si="70"/>
        <v>0</v>
      </c>
      <c r="N76" s="47">
        <f t="shared" si="70"/>
        <v>0</v>
      </c>
      <c r="O76" s="47">
        <f t="shared" si="70"/>
        <v>0</v>
      </c>
      <c r="P76" s="47">
        <f t="shared" si="70"/>
        <v>0</v>
      </c>
      <c r="Q76" s="47">
        <f t="shared" si="70"/>
        <v>0</v>
      </c>
    </row>
    <row r="77" spans="4:17" s="16" customFormat="1" ht="13.2" x14ac:dyDescent="0.25">
      <c r="D77" s="235">
        <v>1</v>
      </c>
      <c r="E77" s="237">
        <v>21</v>
      </c>
      <c r="F77" s="238">
        <v>5</v>
      </c>
      <c r="G77" s="239">
        <v>0.97</v>
      </c>
      <c r="H77" s="239">
        <f t="shared" ref="H77:H78" si="71">E77*G77</f>
        <v>20.37</v>
      </c>
      <c r="I77" s="131">
        <f>IF($F77=4.2,H77*$B$23,0)</f>
        <v>0</v>
      </c>
      <c r="J77" s="31">
        <f>IF($F77=5,$H77*$B$24,0)</f>
        <v>3.1369800000000003</v>
      </c>
      <c r="K77" s="31">
        <f>IF($F77=6.3,$H77*$B$25,0)</f>
        <v>0</v>
      </c>
      <c r="L77" s="31">
        <f>IF($F77=8,$H77*$B$26,0)</f>
        <v>0</v>
      </c>
      <c r="M77" s="31">
        <f>IF($F77=10,$H77*$B$27,0)</f>
        <v>0</v>
      </c>
      <c r="N77" s="31">
        <f>IF($F77=12.5,$H77*$B$28,0)</f>
        <v>0</v>
      </c>
      <c r="O77" s="31">
        <f>IF($F77=16,$H77*$B$29,0)</f>
        <v>0</v>
      </c>
      <c r="P77" s="31">
        <f>IF($F77=20,$H77*$B$30,0)</f>
        <v>0</v>
      </c>
      <c r="Q77" s="49">
        <f>IF($F77=25,$H77*$B$31,0)</f>
        <v>0</v>
      </c>
    </row>
    <row r="78" spans="4:17" s="16" customFormat="1" ht="13.2" x14ac:dyDescent="0.25">
      <c r="D78" s="235">
        <v>6</v>
      </c>
      <c r="E78" s="240">
        <f>4</f>
        <v>4</v>
      </c>
      <c r="F78" s="241">
        <v>8</v>
      </c>
      <c r="G78" s="242">
        <v>5.52</v>
      </c>
      <c r="H78" s="239">
        <f t="shared" si="71"/>
        <v>22.08</v>
      </c>
      <c r="I78" s="131">
        <f>IF($F78=4.2,H78*$B$23,0)</f>
        <v>0</v>
      </c>
      <c r="J78" s="31">
        <f>IF($F78=5,$H78*$B$24,0)</f>
        <v>0</v>
      </c>
      <c r="K78" s="31">
        <f>IF($F78=6.3,$H78*$B$25,0)</f>
        <v>0</v>
      </c>
      <c r="L78" s="31">
        <f>IF($F78=8,$H78*$B$26,0)</f>
        <v>8.7216000000000005</v>
      </c>
      <c r="M78" s="31">
        <f>IF($F78=10,$H78*$B$27,0)</f>
        <v>0</v>
      </c>
      <c r="N78" s="31">
        <f>IF($F78=12.5,$H78*$B$28,0)</f>
        <v>0</v>
      </c>
      <c r="O78" s="31">
        <f>IF($F78=16,$H78*$B$29,0)</f>
        <v>0</v>
      </c>
      <c r="P78" s="31">
        <f>IF($F78=20,$H78*$B$30,0)</f>
        <v>0</v>
      </c>
      <c r="Q78" s="49">
        <f>IF($F78=25,$H78*$B$31,0)</f>
        <v>0</v>
      </c>
    </row>
    <row r="79" spans="4:17" s="16" customFormat="1" ht="15" customHeight="1" thickBot="1" x14ac:dyDescent="0.3">
      <c r="D79" s="55"/>
      <c r="E79" s="56"/>
      <c r="F79" s="57"/>
      <c r="G79" s="123"/>
      <c r="H79" s="123"/>
      <c r="I79" s="124"/>
      <c r="J79" s="30"/>
      <c r="K79" s="30"/>
      <c r="L79" s="30"/>
      <c r="M79" s="30"/>
      <c r="N79" s="30"/>
      <c r="O79" s="30"/>
      <c r="P79" s="30"/>
      <c r="Q79" s="54"/>
    </row>
    <row r="80" spans="4:17" s="16" customFormat="1" ht="13.2" x14ac:dyDescent="0.25">
      <c r="D80" s="810" t="s">
        <v>1264</v>
      </c>
      <c r="E80" s="811"/>
      <c r="F80" s="811"/>
      <c r="G80" s="811"/>
      <c r="H80" s="811"/>
      <c r="I80" s="175">
        <f t="shared" ref="I80" si="72">SUM(I81:I87)</f>
        <v>0</v>
      </c>
      <c r="J80" s="175">
        <f>SUM(J81:J87)</f>
        <v>8.66404</v>
      </c>
      <c r="K80" s="175">
        <f t="shared" ref="K80:Q80" si="73">SUM(K81:K87)</f>
        <v>0.34789999999999999</v>
      </c>
      <c r="L80" s="175">
        <f t="shared" si="73"/>
        <v>20.002800000000001</v>
      </c>
      <c r="M80" s="175">
        <f t="shared" si="73"/>
        <v>0</v>
      </c>
      <c r="N80" s="175">
        <f t="shared" si="73"/>
        <v>0</v>
      </c>
      <c r="O80" s="175">
        <f t="shared" si="73"/>
        <v>0</v>
      </c>
      <c r="P80" s="175">
        <f t="shared" si="73"/>
        <v>0</v>
      </c>
      <c r="Q80" s="175">
        <f t="shared" si="73"/>
        <v>0</v>
      </c>
    </row>
    <row r="81" spans="4:17" s="16" customFormat="1" ht="13.2" x14ac:dyDescent="0.25">
      <c r="D81" s="235">
        <v>1</v>
      </c>
      <c r="E81" s="237">
        <v>58</v>
      </c>
      <c r="F81" s="238">
        <v>5</v>
      </c>
      <c r="G81" s="239">
        <v>0.97</v>
      </c>
      <c r="H81" s="239">
        <f t="shared" ref="H81:H87" si="74">E81*G81</f>
        <v>56.26</v>
      </c>
      <c r="I81" s="131">
        <f t="shared" ref="I81:I87" si="75">IF($F81=4.2,H81*$B$23,0)</f>
        <v>0</v>
      </c>
      <c r="J81" s="31">
        <f t="shared" ref="J81:J87" si="76">IF($F81=5,$H81*$B$24,0)</f>
        <v>8.66404</v>
      </c>
      <c r="K81" s="31">
        <f t="shared" ref="K81:K87" si="77">IF($F81=6.3,$H81*$B$25,0)</f>
        <v>0</v>
      </c>
      <c r="L81" s="31">
        <f t="shared" ref="L81:L87" si="78">IF($F81=8,$H81*$B$26,0)</f>
        <v>0</v>
      </c>
      <c r="M81" s="31">
        <f t="shared" ref="M81:M87" si="79">IF($F81=10,$H81*$B$27,0)</f>
        <v>0</v>
      </c>
      <c r="N81" s="31">
        <f t="shared" ref="N81:N87" si="80">IF($F81=12.5,$H81*$B$28,0)</f>
        <v>0</v>
      </c>
      <c r="O81" s="31">
        <f t="shared" ref="O81:O87" si="81">IF($F81=16,$H81*$B$29,0)</f>
        <v>0</v>
      </c>
      <c r="P81" s="31">
        <f t="shared" ref="P81:P87" si="82">IF($F81=20,$H81*$B$30,0)</f>
        <v>0</v>
      </c>
      <c r="Q81" s="49">
        <f t="shared" ref="Q81:Q87" si="83">IF($F81=25,$H81*$B$31,0)</f>
        <v>0</v>
      </c>
    </row>
    <row r="82" spans="4:17" s="16" customFormat="1" ht="13.2" x14ac:dyDescent="0.25">
      <c r="D82" s="235">
        <v>2</v>
      </c>
      <c r="E82" s="240">
        <v>2</v>
      </c>
      <c r="F82" s="241">
        <v>6.3</v>
      </c>
      <c r="G82" s="242">
        <v>0.71</v>
      </c>
      <c r="H82" s="239">
        <f t="shared" si="74"/>
        <v>1.42</v>
      </c>
      <c r="I82" s="131">
        <f t="shared" si="75"/>
        <v>0</v>
      </c>
      <c r="J82" s="31">
        <f t="shared" si="76"/>
        <v>0</v>
      </c>
      <c r="K82" s="31">
        <f t="shared" si="77"/>
        <v>0.34789999999999999</v>
      </c>
      <c r="L82" s="31">
        <f t="shared" si="78"/>
        <v>0</v>
      </c>
      <c r="M82" s="31">
        <f t="shared" si="79"/>
        <v>0</v>
      </c>
      <c r="N82" s="31">
        <f t="shared" si="80"/>
        <v>0</v>
      </c>
      <c r="O82" s="31">
        <f t="shared" si="81"/>
        <v>0</v>
      </c>
      <c r="P82" s="31">
        <f t="shared" si="82"/>
        <v>0</v>
      </c>
      <c r="Q82" s="49">
        <f t="shared" si="83"/>
        <v>0</v>
      </c>
    </row>
    <row r="83" spans="4:17" s="16" customFormat="1" ht="13.2" x14ac:dyDescent="0.25">
      <c r="D83" s="235">
        <v>7</v>
      </c>
      <c r="E83" s="240">
        <v>2</v>
      </c>
      <c r="F83" s="241">
        <v>8</v>
      </c>
      <c r="G83" s="242">
        <v>9.48</v>
      </c>
      <c r="H83" s="239">
        <f t="shared" si="74"/>
        <v>18.96</v>
      </c>
      <c r="I83" s="131">
        <f t="shared" si="75"/>
        <v>0</v>
      </c>
      <c r="J83" s="31">
        <f t="shared" si="76"/>
        <v>0</v>
      </c>
      <c r="K83" s="31">
        <f t="shared" si="77"/>
        <v>0</v>
      </c>
      <c r="L83" s="31">
        <f t="shared" si="78"/>
        <v>7.4892000000000003</v>
      </c>
      <c r="M83" s="31">
        <f t="shared" si="79"/>
        <v>0</v>
      </c>
      <c r="N83" s="31">
        <f t="shared" si="80"/>
        <v>0</v>
      </c>
      <c r="O83" s="31">
        <f t="shared" si="81"/>
        <v>0</v>
      </c>
      <c r="P83" s="31">
        <f t="shared" si="82"/>
        <v>0</v>
      </c>
      <c r="Q83" s="49">
        <f t="shared" si="83"/>
        <v>0</v>
      </c>
    </row>
    <row r="84" spans="4:17" s="16" customFormat="1" ht="13.2" x14ac:dyDescent="0.25">
      <c r="D84" s="235">
        <v>8</v>
      </c>
      <c r="E84" s="240">
        <v>2</v>
      </c>
      <c r="F84" s="241">
        <v>8</v>
      </c>
      <c r="G84" s="242">
        <v>2.83</v>
      </c>
      <c r="H84" s="239">
        <f t="shared" si="74"/>
        <v>5.66</v>
      </c>
      <c r="I84" s="131">
        <f t="shared" si="75"/>
        <v>0</v>
      </c>
      <c r="J84" s="31">
        <f t="shared" si="76"/>
        <v>0</v>
      </c>
      <c r="K84" s="31">
        <f t="shared" si="77"/>
        <v>0</v>
      </c>
      <c r="L84" s="31">
        <f t="shared" si="78"/>
        <v>2.2357</v>
      </c>
      <c r="M84" s="31">
        <f t="shared" si="79"/>
        <v>0</v>
      </c>
      <c r="N84" s="31">
        <f t="shared" si="80"/>
        <v>0</v>
      </c>
      <c r="O84" s="31">
        <f t="shared" si="81"/>
        <v>0</v>
      </c>
      <c r="P84" s="31">
        <f t="shared" si="82"/>
        <v>0</v>
      </c>
      <c r="Q84" s="49">
        <f t="shared" si="83"/>
        <v>0</v>
      </c>
    </row>
    <row r="85" spans="4:17" s="16" customFormat="1" ht="13.2" x14ac:dyDescent="0.25">
      <c r="D85" s="235">
        <v>9</v>
      </c>
      <c r="E85" s="240">
        <v>2</v>
      </c>
      <c r="F85" s="241">
        <v>8</v>
      </c>
      <c r="G85" s="242">
        <v>11.11</v>
      </c>
      <c r="H85" s="239">
        <f t="shared" si="74"/>
        <v>22.22</v>
      </c>
      <c r="I85" s="131">
        <f t="shared" si="75"/>
        <v>0</v>
      </c>
      <c r="J85" s="31">
        <f t="shared" si="76"/>
        <v>0</v>
      </c>
      <c r="K85" s="31">
        <f t="shared" si="77"/>
        <v>0</v>
      </c>
      <c r="L85" s="31">
        <f t="shared" si="78"/>
        <v>8.7768999999999995</v>
      </c>
      <c r="M85" s="31">
        <f t="shared" si="79"/>
        <v>0</v>
      </c>
      <c r="N85" s="31">
        <f t="shared" si="80"/>
        <v>0</v>
      </c>
      <c r="O85" s="31">
        <f t="shared" si="81"/>
        <v>0</v>
      </c>
      <c r="P85" s="31">
        <f t="shared" si="82"/>
        <v>0</v>
      </c>
      <c r="Q85" s="49">
        <f t="shared" si="83"/>
        <v>0</v>
      </c>
    </row>
    <row r="86" spans="4:17" s="16" customFormat="1" ht="13.2" x14ac:dyDescent="0.25">
      <c r="D86" s="235">
        <v>10</v>
      </c>
      <c r="E86" s="240">
        <v>2</v>
      </c>
      <c r="F86" s="241">
        <v>8</v>
      </c>
      <c r="G86" s="242">
        <v>1.9</v>
      </c>
      <c r="H86" s="239">
        <f t="shared" si="74"/>
        <v>3.8</v>
      </c>
      <c r="I86" s="131">
        <f t="shared" si="75"/>
        <v>0</v>
      </c>
      <c r="J86" s="31">
        <f t="shared" si="76"/>
        <v>0</v>
      </c>
      <c r="K86" s="31">
        <f t="shared" si="77"/>
        <v>0</v>
      </c>
      <c r="L86" s="31">
        <f t="shared" si="78"/>
        <v>1.5009999999999999</v>
      </c>
      <c r="M86" s="31">
        <f t="shared" si="79"/>
        <v>0</v>
      </c>
      <c r="N86" s="31">
        <f t="shared" si="80"/>
        <v>0</v>
      </c>
      <c r="O86" s="31">
        <f t="shared" si="81"/>
        <v>0</v>
      </c>
      <c r="P86" s="31">
        <f t="shared" si="82"/>
        <v>0</v>
      </c>
      <c r="Q86" s="49">
        <f t="shared" si="83"/>
        <v>0</v>
      </c>
    </row>
    <row r="87" spans="4:17" s="16" customFormat="1" ht="13.2" x14ac:dyDescent="0.25">
      <c r="D87" s="235"/>
      <c r="E87" s="240"/>
      <c r="F87" s="241"/>
      <c r="G87" s="242"/>
      <c r="H87" s="239">
        <f t="shared" si="74"/>
        <v>0</v>
      </c>
      <c r="I87" s="131">
        <f t="shared" si="75"/>
        <v>0</v>
      </c>
      <c r="J87" s="31">
        <f t="shared" si="76"/>
        <v>0</v>
      </c>
      <c r="K87" s="31">
        <f t="shared" si="77"/>
        <v>0</v>
      </c>
      <c r="L87" s="31">
        <f t="shared" si="78"/>
        <v>0</v>
      </c>
      <c r="M87" s="31">
        <f t="shared" si="79"/>
        <v>0</v>
      </c>
      <c r="N87" s="31">
        <f t="shared" si="80"/>
        <v>0</v>
      </c>
      <c r="O87" s="31">
        <f t="shared" si="81"/>
        <v>0</v>
      </c>
      <c r="P87" s="31">
        <f t="shared" si="82"/>
        <v>0</v>
      </c>
      <c r="Q87" s="49">
        <f t="shared" si="83"/>
        <v>0</v>
      </c>
    </row>
    <row r="88" spans="4:17" s="16" customFormat="1" ht="15" customHeight="1" thickBot="1" x14ac:dyDescent="0.3">
      <c r="D88" s="55"/>
      <c r="E88" s="56"/>
      <c r="F88" s="57"/>
      <c r="G88" s="123"/>
      <c r="H88" s="123"/>
      <c r="I88" s="122"/>
      <c r="J88" s="29"/>
      <c r="K88" s="29"/>
      <c r="L88" s="29"/>
      <c r="M88" s="29"/>
      <c r="N88" s="29"/>
      <c r="O88" s="29"/>
      <c r="P88" s="29"/>
      <c r="Q88" s="37"/>
    </row>
    <row r="89" spans="4:17" s="16" customFormat="1" ht="13.2" x14ac:dyDescent="0.25">
      <c r="D89" s="814" t="s">
        <v>1265</v>
      </c>
      <c r="E89" s="815"/>
      <c r="F89" s="815"/>
      <c r="G89" s="815"/>
      <c r="H89" s="815"/>
      <c r="I89" s="47">
        <f>SUM(I90:I94)</f>
        <v>0</v>
      </c>
      <c r="J89" s="47">
        <f>SUM(J90:J94)</f>
        <v>8.3652800000000003</v>
      </c>
      <c r="K89" s="47">
        <f t="shared" ref="K89:Q89" si="84">SUM(K90:K94)</f>
        <v>0</v>
      </c>
      <c r="L89" s="47">
        <f t="shared" si="84"/>
        <v>20.152900000000002</v>
      </c>
      <c r="M89" s="47">
        <f t="shared" si="84"/>
        <v>0</v>
      </c>
      <c r="N89" s="47">
        <f t="shared" si="84"/>
        <v>0</v>
      </c>
      <c r="O89" s="47">
        <f t="shared" si="84"/>
        <v>0</v>
      </c>
      <c r="P89" s="47">
        <f t="shared" si="84"/>
        <v>0</v>
      </c>
      <c r="Q89" s="47">
        <f t="shared" si="84"/>
        <v>0</v>
      </c>
    </row>
    <row r="90" spans="4:17" s="16" customFormat="1" ht="13.2" x14ac:dyDescent="0.25">
      <c r="D90" s="235">
        <v>1</v>
      </c>
      <c r="E90" s="237">
        <v>56</v>
      </c>
      <c r="F90" s="238">
        <v>5</v>
      </c>
      <c r="G90" s="239">
        <v>0.97</v>
      </c>
      <c r="H90" s="239">
        <f>E90*G90</f>
        <v>54.32</v>
      </c>
      <c r="I90" s="131">
        <f>IF($F90=4.2,H90*$B$23,0)</f>
        <v>0</v>
      </c>
      <c r="J90" s="31">
        <f>IF($F90=5,$H90*$B$24,0)</f>
        <v>8.3652800000000003</v>
      </c>
      <c r="K90" s="31">
        <f>IF($F90=6.3,$H90*$B$25,0)</f>
        <v>0</v>
      </c>
      <c r="L90" s="31">
        <f>IF($F90=8,$H90*$B$26,0)</f>
        <v>0</v>
      </c>
      <c r="M90" s="31">
        <f>IF($F90=10,$H90*$B$27,0)</f>
        <v>0</v>
      </c>
      <c r="N90" s="31">
        <f>IF($F90=12.5,$H90*$B$28,0)</f>
        <v>0</v>
      </c>
      <c r="O90" s="31">
        <f>IF($F90=16,$H90*$B$29,0)</f>
        <v>0</v>
      </c>
      <c r="P90" s="31">
        <f>IF($F90=20,$H90*$B$30,0)</f>
        <v>0</v>
      </c>
      <c r="Q90" s="49">
        <f>IF($F90=25,$H90*$B$31,0)</f>
        <v>0</v>
      </c>
    </row>
    <row r="91" spans="4:17" s="16" customFormat="1" ht="13.2" x14ac:dyDescent="0.25">
      <c r="D91" s="235">
        <v>11</v>
      </c>
      <c r="E91" s="240">
        <v>2</v>
      </c>
      <c r="F91" s="241">
        <v>8</v>
      </c>
      <c r="G91" s="242">
        <v>9.74</v>
      </c>
      <c r="H91" s="239">
        <f>E91*G91</f>
        <v>19.48</v>
      </c>
      <c r="I91" s="131">
        <f>IF($F91=4.2,H91*$B$23,0)</f>
        <v>0</v>
      </c>
      <c r="J91" s="31">
        <f>IF($F91=5,$H91*$B$24,0)</f>
        <v>0</v>
      </c>
      <c r="K91" s="31">
        <f>IF($F91=6.3,$H91*$B$25,0)</f>
        <v>0</v>
      </c>
      <c r="L91" s="31">
        <f>IF($F91=8,$H91*$B$26,0)</f>
        <v>7.6946000000000003</v>
      </c>
      <c r="M91" s="31">
        <f>IF($F91=10,$H91*$B$27,0)</f>
        <v>0</v>
      </c>
      <c r="N91" s="31">
        <f>IF($F91=12.5,$H91*$B$28,0)</f>
        <v>0</v>
      </c>
      <c r="O91" s="31">
        <f>IF($F91=16,$H91*$B$29,0)</f>
        <v>0</v>
      </c>
      <c r="P91" s="31">
        <f>IF($F91=20,$H91*$B$30,0)</f>
        <v>0</v>
      </c>
      <c r="Q91" s="49">
        <f>IF($F91=25,$H91*$B$31,0)</f>
        <v>0</v>
      </c>
    </row>
    <row r="92" spans="4:17" s="16" customFormat="1" ht="13.2" x14ac:dyDescent="0.25">
      <c r="D92" s="235">
        <v>12</v>
      </c>
      <c r="E92" s="240">
        <v>2</v>
      </c>
      <c r="F92" s="241">
        <v>8</v>
      </c>
      <c r="G92" s="242">
        <v>3.04</v>
      </c>
      <c r="H92" s="239">
        <f>E92*G92</f>
        <v>6.08</v>
      </c>
      <c r="I92" s="131">
        <f>IF($F92=4.2,H92*$B$23,0)</f>
        <v>0</v>
      </c>
      <c r="J92" s="31">
        <f>IF($F92=5,$H92*$B$24,0)</f>
        <v>0</v>
      </c>
      <c r="K92" s="31">
        <f>IF($F92=6.3,$H92*$B$25,0)</f>
        <v>0</v>
      </c>
      <c r="L92" s="31">
        <f>IF($F92=8,$H92*$B$26,0)</f>
        <v>2.4016000000000002</v>
      </c>
      <c r="M92" s="31">
        <f>IF($F92=10,$H92*$B$27,0)</f>
        <v>0</v>
      </c>
      <c r="N92" s="31">
        <f>IF($F92=12.5,$H92*$B$28,0)</f>
        <v>0</v>
      </c>
      <c r="O92" s="31">
        <f>IF($F92=16,$H92*$B$29,0)</f>
        <v>0</v>
      </c>
      <c r="P92" s="31">
        <f>IF($F92=20,$H92*$B$30,0)</f>
        <v>0</v>
      </c>
      <c r="Q92" s="49">
        <f>IF($F92=25,$H92*$B$31,0)</f>
        <v>0</v>
      </c>
    </row>
    <row r="93" spans="4:17" s="16" customFormat="1" ht="13.2" x14ac:dyDescent="0.25">
      <c r="D93" s="235">
        <v>13</v>
      </c>
      <c r="E93" s="240">
        <v>2</v>
      </c>
      <c r="F93" s="241">
        <v>8</v>
      </c>
      <c r="G93" s="242">
        <v>10.97</v>
      </c>
      <c r="H93" s="239">
        <f>E93*G93</f>
        <v>21.94</v>
      </c>
      <c r="I93" s="131">
        <f>IF($F93=4.2,H93*$B$23,0)</f>
        <v>0</v>
      </c>
      <c r="J93" s="31">
        <f>IF($F93=5,$H93*$B$24,0)</f>
        <v>0</v>
      </c>
      <c r="K93" s="31">
        <f>IF($F93=6.3,$H93*$B$25,0)</f>
        <v>0</v>
      </c>
      <c r="L93" s="31">
        <f>IF($F93=8,$H93*$B$26,0)</f>
        <v>8.6663000000000014</v>
      </c>
      <c r="M93" s="31">
        <f>IF($F93=10,$H93*$B$27,0)</f>
        <v>0</v>
      </c>
      <c r="N93" s="31">
        <f>IF($F93=12.5,$H93*$B$28,0)</f>
        <v>0</v>
      </c>
      <c r="O93" s="31">
        <f>IF($F93=16,$H93*$B$29,0)</f>
        <v>0</v>
      </c>
      <c r="P93" s="31">
        <f>IF($F93=20,$H93*$B$30,0)</f>
        <v>0</v>
      </c>
      <c r="Q93" s="49">
        <f>IF($F93=25,$H93*$B$31,0)</f>
        <v>0</v>
      </c>
    </row>
    <row r="94" spans="4:17" s="16" customFormat="1" ht="13.2" x14ac:dyDescent="0.25">
      <c r="D94" s="235">
        <v>14</v>
      </c>
      <c r="E94" s="240">
        <v>2</v>
      </c>
      <c r="F94" s="241">
        <v>8</v>
      </c>
      <c r="G94" s="242">
        <v>1.76</v>
      </c>
      <c r="H94" s="239">
        <f>E94*G94</f>
        <v>3.52</v>
      </c>
      <c r="I94" s="131">
        <f>IF($F94=4.2,H94*$B$23,0)</f>
        <v>0</v>
      </c>
      <c r="J94" s="31">
        <f>IF($F94=5,$H94*$B$24,0)</f>
        <v>0</v>
      </c>
      <c r="K94" s="31">
        <f>IF($F94=6.3,$H94*$B$25,0)</f>
        <v>0</v>
      </c>
      <c r="L94" s="31">
        <f>IF($F94=8,$H94*$B$26,0)</f>
        <v>1.3904000000000001</v>
      </c>
      <c r="M94" s="31">
        <f>IF($F94=10,$H94*$B$27,0)</f>
        <v>0</v>
      </c>
      <c r="N94" s="31">
        <f>IF($F94=12.5,$H94*$B$28,0)</f>
        <v>0</v>
      </c>
      <c r="O94" s="31">
        <f>IF($F94=16,$H94*$B$29,0)</f>
        <v>0</v>
      </c>
      <c r="P94" s="31">
        <f>IF($F94=20,$H94*$B$30,0)</f>
        <v>0</v>
      </c>
      <c r="Q94" s="49">
        <f>IF($F94=25,$H94*$B$31,0)</f>
        <v>0</v>
      </c>
    </row>
    <row r="95" spans="4:17" s="16" customFormat="1" ht="13.8" thickBot="1" x14ac:dyDescent="0.3">
      <c r="D95" s="235"/>
      <c r="E95" s="240"/>
      <c r="F95" s="241"/>
      <c r="G95" s="242"/>
      <c r="H95" s="242"/>
      <c r="I95" s="122"/>
      <c r="J95" s="29"/>
      <c r="K95" s="29"/>
      <c r="L95" s="29"/>
      <c r="M95" s="29"/>
      <c r="N95" s="29"/>
      <c r="O95" s="29"/>
      <c r="P95" s="29"/>
      <c r="Q95" s="37"/>
    </row>
    <row r="96" spans="4:17" s="16" customFormat="1" ht="13.2" x14ac:dyDescent="0.25">
      <c r="D96" s="810" t="s">
        <v>1266</v>
      </c>
      <c r="E96" s="811"/>
      <c r="F96" s="811"/>
      <c r="G96" s="811"/>
      <c r="H96" s="811"/>
      <c r="I96" s="47">
        <f t="shared" ref="I96" si="85">SUM(I97:I100)</f>
        <v>0</v>
      </c>
      <c r="J96" s="47">
        <f>SUM(J97:J100)</f>
        <v>2.9875999999999996</v>
      </c>
      <c r="K96" s="47">
        <f t="shared" ref="K96:Q96" si="86">SUM(K97:K100)</f>
        <v>0</v>
      </c>
      <c r="L96" s="47">
        <f t="shared" si="86"/>
        <v>7.8644499999999997</v>
      </c>
      <c r="M96" s="47">
        <f t="shared" si="86"/>
        <v>0</v>
      </c>
      <c r="N96" s="47">
        <f t="shared" si="86"/>
        <v>0</v>
      </c>
      <c r="O96" s="47">
        <f t="shared" si="86"/>
        <v>0</v>
      </c>
      <c r="P96" s="47">
        <f t="shared" si="86"/>
        <v>0</v>
      </c>
      <c r="Q96" s="47">
        <f t="shared" si="86"/>
        <v>0</v>
      </c>
    </row>
    <row r="97" spans="2:20" s="16" customFormat="1" ht="13.2" x14ac:dyDescent="0.25">
      <c r="D97" s="235">
        <v>1</v>
      </c>
      <c r="E97" s="237">
        <v>20</v>
      </c>
      <c r="F97" s="238">
        <v>5</v>
      </c>
      <c r="G97" s="239">
        <v>0.97</v>
      </c>
      <c r="H97" s="239">
        <f>E97*G97</f>
        <v>19.399999999999999</v>
      </c>
      <c r="I97" s="131">
        <f>IF($F97=4.2,H97*$B$23,0)</f>
        <v>0</v>
      </c>
      <c r="J97" s="31">
        <f>IF($F97=5,$H97*$B$24,0)</f>
        <v>2.9875999999999996</v>
      </c>
      <c r="K97" s="31">
        <f>IF($F97=6.3,$H97*$B$25,0)</f>
        <v>0</v>
      </c>
      <c r="L97" s="31">
        <f>IF($F97=8,$H97*$B$26,0)</f>
        <v>0</v>
      </c>
      <c r="M97" s="31">
        <f>IF($F97=10,$H97*$B$27,0)</f>
        <v>0</v>
      </c>
      <c r="N97" s="31">
        <f>IF($F97=12.5,$H97*$B$28,0)</f>
        <v>0</v>
      </c>
      <c r="O97" s="31">
        <f>IF($F97=16,$H97*$B$29,0)</f>
        <v>0</v>
      </c>
      <c r="P97" s="31">
        <f>IF($F97=20,$H97*$B$30,0)</f>
        <v>0</v>
      </c>
      <c r="Q97" s="49">
        <f>IF($F97=25,$H97*$B$31,0)</f>
        <v>0</v>
      </c>
    </row>
    <row r="98" spans="2:20" s="16" customFormat="1" ht="13.2" x14ac:dyDescent="0.25">
      <c r="D98" s="235">
        <v>15</v>
      </c>
      <c r="E98" s="240">
        <v>2</v>
      </c>
      <c r="F98" s="241">
        <v>8</v>
      </c>
      <c r="G98" s="242">
        <v>4.25</v>
      </c>
      <c r="H98" s="239">
        <f>E98*G98</f>
        <v>8.5</v>
      </c>
      <c r="I98" s="131">
        <f>IF($F98=4.2,H98*$B$23,0)</f>
        <v>0</v>
      </c>
      <c r="J98" s="31">
        <f>IF($F98=5,$H98*$B$24,0)</f>
        <v>0</v>
      </c>
      <c r="K98" s="31">
        <f>IF($F98=6.3,$H98*$B$25,0)</f>
        <v>0</v>
      </c>
      <c r="L98" s="31">
        <f>IF($F98=8,$H98*$B$26,0)</f>
        <v>3.3574999999999999</v>
      </c>
      <c r="M98" s="31">
        <f>IF($F98=10,$H98*$B$27,0)</f>
        <v>0</v>
      </c>
      <c r="N98" s="31">
        <f>IF($F98=12.5,$H98*$B$28,0)</f>
        <v>0</v>
      </c>
      <c r="O98" s="31">
        <f>IF($F98=16,$H98*$B$29,0)</f>
        <v>0</v>
      </c>
      <c r="P98" s="31">
        <f>IF($F98=20,$H98*$B$30,0)</f>
        <v>0</v>
      </c>
      <c r="Q98" s="49">
        <f>IF($F98=25,$H98*$B$31,0)</f>
        <v>0</v>
      </c>
    </row>
    <row r="99" spans="2:20" s="16" customFormat="1" ht="13.2" x14ac:dyDescent="0.25">
      <c r="D99" s="235">
        <v>16</v>
      </c>
      <c r="E99" s="240">
        <v>1</v>
      </c>
      <c r="F99" s="241">
        <v>8</v>
      </c>
      <c r="G99" s="242">
        <v>1.95</v>
      </c>
      <c r="H99" s="239">
        <f>E99*G99</f>
        <v>1.95</v>
      </c>
      <c r="I99" s="131">
        <f>IF($F99=4.2,H99*$B$23,0)</f>
        <v>0</v>
      </c>
      <c r="J99" s="31">
        <f>IF($F99=5,$H99*$B$24,0)</f>
        <v>0</v>
      </c>
      <c r="K99" s="31">
        <f>IF($F99=6.3,$H99*$B$25,0)</f>
        <v>0</v>
      </c>
      <c r="L99" s="31">
        <f>IF($F99=8,$H99*$B$26,0)</f>
        <v>0.77024999999999999</v>
      </c>
      <c r="M99" s="31">
        <f>IF($F99=10,$H99*$B$27,0)</f>
        <v>0</v>
      </c>
      <c r="N99" s="31">
        <f>IF($F99=12.5,$H99*$B$28,0)</f>
        <v>0</v>
      </c>
      <c r="O99" s="31">
        <f>IF($F99=16,$H99*$B$29,0)</f>
        <v>0</v>
      </c>
      <c r="P99" s="31">
        <f>IF($F99=20,$H99*$B$30,0)</f>
        <v>0</v>
      </c>
      <c r="Q99" s="49">
        <f>IF($F99=25,$H99*$B$31,0)</f>
        <v>0</v>
      </c>
    </row>
    <row r="100" spans="2:20" s="16" customFormat="1" ht="13.2" x14ac:dyDescent="0.25">
      <c r="D100" s="235">
        <v>17</v>
      </c>
      <c r="E100" s="240">
        <v>2</v>
      </c>
      <c r="F100" s="241">
        <v>8</v>
      </c>
      <c r="G100" s="242">
        <v>4.7300000000000004</v>
      </c>
      <c r="H100" s="239">
        <f>E100*G100</f>
        <v>9.4600000000000009</v>
      </c>
      <c r="I100" s="131">
        <f>IF($F100=4.2,H100*$B$23,0)</f>
        <v>0</v>
      </c>
      <c r="J100" s="31">
        <f>IF($F100=5,$H100*$B$24,0)</f>
        <v>0</v>
      </c>
      <c r="K100" s="31">
        <f>IF($F100=6.3,$H100*$B$25,0)</f>
        <v>0</v>
      </c>
      <c r="L100" s="31">
        <f>IF($F100=8,$H100*$B$26,0)</f>
        <v>3.7367000000000004</v>
      </c>
      <c r="M100" s="31">
        <f>IF($F100=10,$H100*$B$27,0)</f>
        <v>0</v>
      </c>
      <c r="N100" s="31">
        <f>IF($F100=12.5,$H100*$B$28,0)</f>
        <v>0</v>
      </c>
      <c r="O100" s="31">
        <f>IF($F100=16,$H100*$B$29,0)</f>
        <v>0</v>
      </c>
      <c r="P100" s="31">
        <f>IF($F100=20,$H100*$B$30,0)</f>
        <v>0</v>
      </c>
      <c r="Q100" s="49">
        <f>IF($F100=25,$H100*$B$31,0)</f>
        <v>0</v>
      </c>
    </row>
    <row r="101" spans="2:20" s="16" customFormat="1" ht="13.8" thickBot="1" x14ac:dyDescent="0.3">
      <c r="D101" s="55"/>
      <c r="E101" s="56"/>
      <c r="F101" s="57"/>
      <c r="G101" s="58"/>
      <c r="H101" s="123"/>
      <c r="I101" s="124"/>
      <c r="J101" s="30"/>
      <c r="K101" s="30"/>
      <c r="L101" s="30"/>
      <c r="M101" s="30"/>
      <c r="N101" s="30"/>
      <c r="O101" s="30"/>
      <c r="P101" s="30"/>
      <c r="Q101" s="54"/>
    </row>
    <row r="102" spans="2:20" s="16" customFormat="1" ht="13.2" x14ac:dyDescent="0.25">
      <c r="D102" s="796" t="s">
        <v>1267</v>
      </c>
      <c r="E102" s="797"/>
      <c r="F102" s="797"/>
      <c r="G102" s="797"/>
      <c r="H102" s="797"/>
      <c r="I102" s="47">
        <f>SUM(I103:I107)</f>
        <v>0</v>
      </c>
      <c r="J102" s="47">
        <f>SUM(J103:J107)</f>
        <v>6.2739600000000006</v>
      </c>
      <c r="K102" s="47">
        <f t="shared" ref="K102:Q102" si="87">SUM(K103:K107)</f>
        <v>0.34789999999999999</v>
      </c>
      <c r="L102" s="47">
        <f t="shared" si="87"/>
        <v>15.6183</v>
      </c>
      <c r="M102" s="47">
        <f t="shared" si="87"/>
        <v>0</v>
      </c>
      <c r="N102" s="47">
        <f t="shared" si="87"/>
        <v>0</v>
      </c>
      <c r="O102" s="47">
        <f t="shared" si="87"/>
        <v>0</v>
      </c>
      <c r="P102" s="47">
        <f t="shared" si="87"/>
        <v>0</v>
      </c>
      <c r="Q102" s="47">
        <f t="shared" si="87"/>
        <v>0</v>
      </c>
    </row>
    <row r="103" spans="2:20" s="16" customFormat="1" ht="13.2" x14ac:dyDescent="0.25">
      <c r="D103" s="235">
        <v>1</v>
      </c>
      <c r="E103" s="237">
        <f>2*21</f>
        <v>42</v>
      </c>
      <c r="F103" s="238">
        <v>5</v>
      </c>
      <c r="G103" s="238">
        <v>0.97</v>
      </c>
      <c r="H103" s="239">
        <f>E103*G103</f>
        <v>40.74</v>
      </c>
      <c r="I103" s="131">
        <f>IF($F103=4.2,H103*$B$23,0)</f>
        <v>0</v>
      </c>
      <c r="J103" s="31">
        <f>IF($F103=5,$H103*$B$24,0)</f>
        <v>6.2739600000000006</v>
      </c>
      <c r="K103" s="31">
        <f>IF($F103=6.3,$H103*$B$25,0)</f>
        <v>0</v>
      </c>
      <c r="L103" s="31">
        <f>IF($F103=8,$H103*$B$26,0)</f>
        <v>0</v>
      </c>
      <c r="M103" s="31">
        <f>IF($F103=10,$H103*$B$27,0)</f>
        <v>0</v>
      </c>
      <c r="N103" s="31">
        <f>IF($F103=12.5,$H103*$B$28,0)</f>
        <v>0</v>
      </c>
      <c r="O103" s="31">
        <f>IF($F103=16,$H103*$B$29,0)</f>
        <v>0</v>
      </c>
      <c r="P103" s="31">
        <f>IF($F103=20,$H103*$B$30,0)</f>
        <v>0</v>
      </c>
      <c r="Q103" s="49">
        <f>IF($F103=25,$H103*$B$31,0)</f>
        <v>0</v>
      </c>
    </row>
    <row r="104" spans="2:20" s="16" customFormat="1" ht="15" customHeight="1" x14ac:dyDescent="0.25">
      <c r="D104" s="235">
        <v>2</v>
      </c>
      <c r="E104" s="240">
        <f>2*1</f>
        <v>2</v>
      </c>
      <c r="F104" s="241">
        <v>6.3</v>
      </c>
      <c r="G104" s="241">
        <v>0.71</v>
      </c>
      <c r="H104" s="239">
        <f>E104*G104</f>
        <v>1.42</v>
      </c>
      <c r="I104" s="131">
        <f>IF($F104=4.2,H104*$B$23,0)</f>
        <v>0</v>
      </c>
      <c r="J104" s="31">
        <f>IF($F104=5,$H104*$B$24,0)</f>
        <v>0</v>
      </c>
      <c r="K104" s="31">
        <f>IF($F104=6.3,$H104*$B$25,0)</f>
        <v>0.34789999999999999</v>
      </c>
      <c r="L104" s="31">
        <f>IF($F104=8,$H104*$B$26,0)</f>
        <v>0</v>
      </c>
      <c r="M104" s="31">
        <f>IF($F104=10,$H104*$B$27,0)</f>
        <v>0</v>
      </c>
      <c r="N104" s="31">
        <f>IF($F104=12.5,$H104*$B$28,0)</f>
        <v>0</v>
      </c>
      <c r="O104" s="31">
        <f>IF($F104=16,$H104*$B$29,0)</f>
        <v>0</v>
      </c>
      <c r="P104" s="31">
        <f>IF($F104=20,$H104*$B$30,0)</f>
        <v>0</v>
      </c>
      <c r="Q104" s="49">
        <f>IF($F104=25,$H104*$B$31,0)</f>
        <v>0</v>
      </c>
    </row>
    <row r="105" spans="2:20" s="16" customFormat="1" ht="15" customHeight="1" x14ac:dyDescent="0.25">
      <c r="D105" s="235">
        <v>18</v>
      </c>
      <c r="E105" s="240">
        <f>2*2</f>
        <v>4</v>
      </c>
      <c r="F105" s="241">
        <v>8</v>
      </c>
      <c r="G105" s="241">
        <v>4.3499999999999996</v>
      </c>
      <c r="H105" s="239">
        <f>E105*G105</f>
        <v>17.399999999999999</v>
      </c>
      <c r="I105" s="131">
        <f>IF($F105=4.2,H105*$B$23,0)</f>
        <v>0</v>
      </c>
      <c r="J105" s="31">
        <f>IF($F105=5,$H105*$B$24,0)</f>
        <v>0</v>
      </c>
      <c r="K105" s="31">
        <f>IF($F105=6.3,$H105*$B$25,0)</f>
        <v>0</v>
      </c>
      <c r="L105" s="31">
        <f>IF($F105=8,$H105*$B$26,0)</f>
        <v>6.8729999999999993</v>
      </c>
      <c r="M105" s="31">
        <f>IF($F105=10,$H105*$B$27,0)</f>
        <v>0</v>
      </c>
      <c r="N105" s="31">
        <f>IF($F105=12.5,$H105*$B$28,0)</f>
        <v>0</v>
      </c>
      <c r="O105" s="31">
        <f>IF($F105=16,$H105*$B$29,0)</f>
        <v>0</v>
      </c>
      <c r="P105" s="31">
        <f>IF($F105=20,$H105*$B$30,0)</f>
        <v>0</v>
      </c>
      <c r="Q105" s="49">
        <f>IF($F105=25,$H105*$B$31,0)</f>
        <v>0</v>
      </c>
    </row>
    <row r="106" spans="2:20" s="16" customFormat="1" ht="15" customHeight="1" x14ac:dyDescent="0.25">
      <c r="D106" s="235">
        <v>19</v>
      </c>
      <c r="E106" s="240">
        <f>2*1</f>
        <v>2</v>
      </c>
      <c r="F106" s="241">
        <v>8</v>
      </c>
      <c r="G106" s="241">
        <v>1.45</v>
      </c>
      <c r="H106" s="239">
        <f>E106*G106</f>
        <v>2.9</v>
      </c>
      <c r="I106" s="131">
        <f>IF($F106=4.2,H106*$B$23,0)</f>
        <v>0</v>
      </c>
      <c r="J106" s="31">
        <f>IF($F106=5,$H106*$B$24,0)</f>
        <v>0</v>
      </c>
      <c r="K106" s="31">
        <f>IF($F106=6.3,$H106*$B$25,0)</f>
        <v>0</v>
      </c>
      <c r="L106" s="31">
        <f>IF($F106=8,$H106*$B$26,0)</f>
        <v>1.1455</v>
      </c>
      <c r="M106" s="31">
        <f>IF($F106=10,$H106*$B$27,0)</f>
        <v>0</v>
      </c>
      <c r="N106" s="31">
        <f>IF($F106=12.5,$H106*$B$28,0)</f>
        <v>0</v>
      </c>
      <c r="O106" s="31">
        <f>IF($F106=16,$H106*$B$29,0)</f>
        <v>0</v>
      </c>
      <c r="P106" s="31">
        <f>IF($F106=20,$H106*$B$30,0)</f>
        <v>0</v>
      </c>
      <c r="Q106" s="49">
        <f>IF($F106=25,$H106*$B$31,0)</f>
        <v>0</v>
      </c>
    </row>
    <row r="107" spans="2:20" s="16" customFormat="1" ht="13.2" x14ac:dyDescent="0.25">
      <c r="D107" s="235">
        <v>20</v>
      </c>
      <c r="E107" s="240">
        <f>2*2</f>
        <v>4</v>
      </c>
      <c r="F107" s="241">
        <v>8</v>
      </c>
      <c r="G107" s="241">
        <v>4.8099999999999996</v>
      </c>
      <c r="H107" s="239">
        <f>E107*G107</f>
        <v>19.239999999999998</v>
      </c>
      <c r="I107" s="131">
        <f>IF($F107=4.2,H107*$B$23,0)</f>
        <v>0</v>
      </c>
      <c r="J107" s="31">
        <f>IF($F107=5,$H107*$B$24,0)</f>
        <v>0</v>
      </c>
      <c r="K107" s="31">
        <f>IF($F107=6.3,$H107*$B$25,0)</f>
        <v>0</v>
      </c>
      <c r="L107" s="31">
        <f>IF($F107=8,$H107*$B$26,0)</f>
        <v>7.5998000000000001</v>
      </c>
      <c r="M107" s="31">
        <f>IF($F107=10,$H107*$B$27,0)</f>
        <v>0</v>
      </c>
      <c r="N107" s="31">
        <f>IF($F107=12.5,$H107*$B$28,0)</f>
        <v>0</v>
      </c>
      <c r="O107" s="31">
        <f>IF($F107=16,$H107*$B$29,0)</f>
        <v>0</v>
      </c>
      <c r="P107" s="31">
        <f>IF($F107=20,$H107*$B$30,0)</f>
        <v>0</v>
      </c>
      <c r="Q107" s="49">
        <f>IF($F107=25,$H107*$B$31,0)</f>
        <v>0</v>
      </c>
    </row>
    <row r="108" spans="2:20" s="16" customFormat="1" ht="13.8" thickBot="1" x14ac:dyDescent="0.3">
      <c r="D108" s="236"/>
      <c r="E108" s="56"/>
      <c r="F108" s="57"/>
      <c r="G108" s="58"/>
      <c r="H108" s="123"/>
      <c r="I108" s="124"/>
      <c r="J108" s="30"/>
      <c r="K108" s="30"/>
      <c r="L108" s="30"/>
      <c r="M108" s="30"/>
      <c r="N108" s="30"/>
      <c r="O108" s="30"/>
      <c r="P108" s="30"/>
      <c r="Q108" s="54"/>
    </row>
    <row r="109" spans="2:20" s="16" customFormat="1" ht="15" customHeight="1" thickBot="1" x14ac:dyDescent="0.3">
      <c r="B109" s="34"/>
      <c r="D109" s="792" t="s">
        <v>1291</v>
      </c>
      <c r="E109" s="793"/>
      <c r="F109" s="793"/>
      <c r="G109" s="793"/>
      <c r="H109" s="793"/>
      <c r="I109" s="793"/>
      <c r="J109" s="793"/>
      <c r="K109" s="793"/>
      <c r="L109" s="793"/>
      <c r="M109" s="793"/>
      <c r="N109" s="793"/>
      <c r="O109" s="793"/>
      <c r="P109" s="793"/>
      <c r="Q109" s="794"/>
      <c r="S109" s="795"/>
      <c r="T109" s="795"/>
    </row>
    <row r="110" spans="2:20" s="16" customFormat="1" ht="13.2" x14ac:dyDescent="0.25">
      <c r="D110" s="796" t="s">
        <v>1292</v>
      </c>
      <c r="E110" s="797"/>
      <c r="F110" s="797"/>
      <c r="G110" s="797"/>
      <c r="H110" s="797"/>
      <c r="I110" s="47">
        <f t="shared" ref="I110:Q110" si="88">SUM(I111:I113)</f>
        <v>0</v>
      </c>
      <c r="J110" s="47">
        <f t="shared" si="88"/>
        <v>15.535519999999998</v>
      </c>
      <c r="K110" s="47">
        <f t="shared" si="88"/>
        <v>0</v>
      </c>
      <c r="L110" s="47">
        <f t="shared" si="88"/>
        <v>35.581600000000002</v>
      </c>
      <c r="M110" s="47">
        <f t="shared" si="88"/>
        <v>0</v>
      </c>
      <c r="N110" s="47">
        <f t="shared" si="88"/>
        <v>0</v>
      </c>
      <c r="O110" s="47">
        <f t="shared" si="88"/>
        <v>0</v>
      </c>
      <c r="P110" s="47">
        <f t="shared" si="88"/>
        <v>0</v>
      </c>
      <c r="Q110" s="47">
        <f t="shared" si="88"/>
        <v>0</v>
      </c>
    </row>
    <row r="111" spans="2:20" s="16" customFormat="1" ht="13.2" x14ac:dyDescent="0.25">
      <c r="D111" s="235">
        <v>12</v>
      </c>
      <c r="E111" s="237">
        <f>2*52</f>
        <v>104</v>
      </c>
      <c r="F111" s="238">
        <v>5</v>
      </c>
      <c r="G111" s="239">
        <v>0.97</v>
      </c>
      <c r="H111" s="239">
        <f>E111*G111</f>
        <v>100.88</v>
      </c>
      <c r="I111" s="131">
        <f>IF($F111=4.2,H111*$B$23,0)</f>
        <v>0</v>
      </c>
      <c r="J111" s="31">
        <f>IF($F111=5,$H111*$B$24,0)</f>
        <v>15.535519999999998</v>
      </c>
      <c r="K111" s="31">
        <f>IF($F111=6.3,$H111*$B$25,0)</f>
        <v>0</v>
      </c>
      <c r="L111" s="31">
        <f>IF($F111=8,$H111*$B$26,0)</f>
        <v>0</v>
      </c>
      <c r="M111" s="31">
        <f>IF($F111=10,$H111*$B$27,0)</f>
        <v>0</v>
      </c>
      <c r="N111" s="31">
        <f>IF($F111=12.5,$H111*$B$28,0)</f>
        <v>0</v>
      </c>
      <c r="O111" s="31">
        <f>IF($F111=16,$H111*$B$29,0)</f>
        <v>0</v>
      </c>
      <c r="P111" s="31">
        <f>IF($F111=20,$H111*$B$30,0)</f>
        <v>0</v>
      </c>
      <c r="Q111" s="49">
        <f>IF($F111=25,$H111*$B$31,0)</f>
        <v>0</v>
      </c>
    </row>
    <row r="112" spans="2:20" s="16" customFormat="1" ht="15" customHeight="1" x14ac:dyDescent="0.25">
      <c r="D112" s="235">
        <v>21</v>
      </c>
      <c r="E112" s="240">
        <f>2*2</f>
        <v>4</v>
      </c>
      <c r="F112" s="241">
        <v>8</v>
      </c>
      <c r="G112" s="242">
        <v>11.04</v>
      </c>
      <c r="H112" s="239">
        <f>E112*G112</f>
        <v>44.16</v>
      </c>
      <c r="I112" s="131">
        <f>IF($F112=4.2,H112*$B$23,0)</f>
        <v>0</v>
      </c>
      <c r="J112" s="31">
        <f>IF($F112=5,$H112*$B$24,0)</f>
        <v>0</v>
      </c>
      <c r="K112" s="31">
        <f>IF($F112=6.3,$H112*$B$25,0)</f>
        <v>0</v>
      </c>
      <c r="L112" s="31">
        <f>IF($F112=8,$H112*$B$26,0)</f>
        <v>17.443200000000001</v>
      </c>
      <c r="M112" s="31">
        <f>IF($F112=10,$H112*$B$27,0)</f>
        <v>0</v>
      </c>
      <c r="N112" s="31">
        <f>IF($F112=12.5,$H112*$B$28,0)</f>
        <v>0</v>
      </c>
      <c r="O112" s="31">
        <f>IF($F112=16,$H112*$B$29,0)</f>
        <v>0</v>
      </c>
      <c r="P112" s="31">
        <f>IF($F112=20,$H112*$B$30,0)</f>
        <v>0</v>
      </c>
      <c r="Q112" s="49">
        <f>IF($F112=25,$H112*$B$31,0)</f>
        <v>0</v>
      </c>
    </row>
    <row r="113" spans="4:17" s="16" customFormat="1" ht="15" customHeight="1" x14ac:dyDescent="0.25">
      <c r="D113" s="235">
        <v>22</v>
      </c>
      <c r="E113" s="240">
        <f>2*2</f>
        <v>4</v>
      </c>
      <c r="F113" s="241">
        <v>8</v>
      </c>
      <c r="G113" s="242">
        <v>11.48</v>
      </c>
      <c r="H113" s="239">
        <f>E113*G113</f>
        <v>45.92</v>
      </c>
      <c r="I113" s="131">
        <f>IF($F113=4.2,H113*$B$23,0)</f>
        <v>0</v>
      </c>
      <c r="J113" s="31">
        <f>IF($F113=5,$H113*$B$24,0)</f>
        <v>0</v>
      </c>
      <c r="K113" s="31">
        <f>IF($F113=6.3,$H113*$B$25,0)</f>
        <v>0</v>
      </c>
      <c r="L113" s="31">
        <f>IF($F113=8,$H113*$B$26,0)</f>
        <v>18.138400000000001</v>
      </c>
      <c r="M113" s="31">
        <f>IF($F113=10,$H113*$B$27,0)</f>
        <v>0</v>
      </c>
      <c r="N113" s="31">
        <f>IF($F113=12.5,$H113*$B$28,0)</f>
        <v>0</v>
      </c>
      <c r="O113" s="31">
        <f>IF($F113=16,$H113*$B$29,0)</f>
        <v>0</v>
      </c>
      <c r="P113" s="31">
        <f>IF($F113=20,$H113*$B$30,0)</f>
        <v>0</v>
      </c>
      <c r="Q113" s="49">
        <f>IF($F113=25,$H113*$B$31,0)</f>
        <v>0</v>
      </c>
    </row>
    <row r="114" spans="4:17" s="16" customFormat="1" ht="13.8" thickBot="1" x14ac:dyDescent="0.3">
      <c r="D114" s="55"/>
      <c r="E114" s="56"/>
      <c r="F114" s="57"/>
      <c r="G114" s="58"/>
      <c r="H114" s="123"/>
      <c r="I114" s="124"/>
      <c r="J114" s="30"/>
      <c r="K114" s="30"/>
      <c r="L114" s="30"/>
      <c r="M114" s="30"/>
      <c r="N114" s="30"/>
      <c r="O114" s="30"/>
      <c r="P114" s="30"/>
      <c r="Q114" s="54"/>
    </row>
    <row r="115" spans="4:17" s="16" customFormat="1" ht="13.2" x14ac:dyDescent="0.25">
      <c r="D115" s="796" t="s">
        <v>1293</v>
      </c>
      <c r="E115" s="797"/>
      <c r="F115" s="797"/>
      <c r="G115" s="797"/>
      <c r="H115" s="797"/>
      <c r="I115" s="47">
        <f t="shared" ref="I115:Q115" si="89">SUM(I116:I118)</f>
        <v>0</v>
      </c>
      <c r="J115" s="47">
        <f t="shared" si="89"/>
        <v>5.6764399999999995</v>
      </c>
      <c r="K115" s="47">
        <f t="shared" si="89"/>
        <v>0</v>
      </c>
      <c r="L115" s="47">
        <f t="shared" si="89"/>
        <v>13.129799999999999</v>
      </c>
      <c r="M115" s="47">
        <f t="shared" si="89"/>
        <v>0</v>
      </c>
      <c r="N115" s="47">
        <f t="shared" si="89"/>
        <v>0</v>
      </c>
      <c r="O115" s="47">
        <f t="shared" si="89"/>
        <v>0</v>
      </c>
      <c r="P115" s="47">
        <f t="shared" si="89"/>
        <v>0</v>
      </c>
      <c r="Q115" s="47">
        <f t="shared" si="89"/>
        <v>0</v>
      </c>
    </row>
    <row r="116" spans="4:17" s="16" customFormat="1" ht="13.2" x14ac:dyDescent="0.25">
      <c r="D116" s="235">
        <v>12</v>
      </c>
      <c r="E116" s="237">
        <v>38</v>
      </c>
      <c r="F116" s="238">
        <v>5</v>
      </c>
      <c r="G116" s="239">
        <v>0.97</v>
      </c>
      <c r="H116" s="239">
        <f>E116*G116</f>
        <v>36.86</v>
      </c>
      <c r="I116" s="131">
        <f>IF($F116=4.2,H116*$B$23,0)</f>
        <v>0</v>
      </c>
      <c r="J116" s="31">
        <f>IF($F116=5,$H116*$B$24,0)</f>
        <v>5.6764399999999995</v>
      </c>
      <c r="K116" s="31">
        <f>IF($F116=6.3,$H116*$B$25,0)</f>
        <v>0</v>
      </c>
      <c r="L116" s="31">
        <f>IF($F116=8,$H116*$B$26,0)</f>
        <v>0</v>
      </c>
      <c r="M116" s="31">
        <f>IF($F116=10,$H116*$B$27,0)</f>
        <v>0</v>
      </c>
      <c r="N116" s="31">
        <f>IF($F116=12.5,$H116*$B$28,0)</f>
        <v>0</v>
      </c>
      <c r="O116" s="31">
        <f>IF($F116=16,$H116*$B$29,0)</f>
        <v>0</v>
      </c>
      <c r="P116" s="31">
        <f>IF($F116=20,$H116*$B$30,0)</f>
        <v>0</v>
      </c>
      <c r="Q116" s="49">
        <f>IF($F116=25,$H116*$B$31,0)</f>
        <v>0</v>
      </c>
    </row>
    <row r="117" spans="4:17" s="16" customFormat="1" ht="13.2" x14ac:dyDescent="0.25">
      <c r="D117" s="235">
        <v>23</v>
      </c>
      <c r="E117" s="240">
        <v>2</v>
      </c>
      <c r="F117" s="241">
        <v>8</v>
      </c>
      <c r="G117" s="242">
        <v>8.09</v>
      </c>
      <c r="H117" s="239">
        <f>E117*G117</f>
        <v>16.18</v>
      </c>
      <c r="I117" s="131">
        <f>IF($F117=4.2,H117*$B$23,0)</f>
        <v>0</v>
      </c>
      <c r="J117" s="31">
        <f>IF($F117=5,$H117*$B$24,0)</f>
        <v>0</v>
      </c>
      <c r="K117" s="31">
        <f>IF($F117=6.3,$H117*$B$25,0)</f>
        <v>0</v>
      </c>
      <c r="L117" s="31">
        <f>IF($F117=8,$H117*$B$26,0)</f>
        <v>6.3910999999999998</v>
      </c>
      <c r="M117" s="31">
        <f>IF($F117=10,$H117*$B$27,0)</f>
        <v>0</v>
      </c>
      <c r="N117" s="31">
        <f>IF($F117=12.5,$H117*$B$28,0)</f>
        <v>0</v>
      </c>
      <c r="O117" s="31">
        <f>IF($F117=16,$H117*$B$29,0)</f>
        <v>0</v>
      </c>
      <c r="P117" s="31">
        <f>IF($F117=20,$H117*$B$30,0)</f>
        <v>0</v>
      </c>
      <c r="Q117" s="49">
        <f>IF($F117=25,$H117*$B$31,0)</f>
        <v>0</v>
      </c>
    </row>
    <row r="118" spans="4:17" s="16" customFormat="1" ht="13.2" x14ac:dyDescent="0.25">
      <c r="D118" s="235">
        <v>24</v>
      </c>
      <c r="E118" s="240">
        <v>2</v>
      </c>
      <c r="F118" s="241">
        <v>8</v>
      </c>
      <c r="G118" s="242">
        <v>8.5299999999999994</v>
      </c>
      <c r="H118" s="239">
        <f>E118*G118</f>
        <v>17.059999999999999</v>
      </c>
      <c r="I118" s="131">
        <f>IF($F118=4.2,H118*$B$23,0)</f>
        <v>0</v>
      </c>
      <c r="J118" s="31">
        <f>IF($F118=5,$H118*$B$24,0)</f>
        <v>0</v>
      </c>
      <c r="K118" s="31">
        <f>IF($F118=6.3,$H118*$B$25,0)</f>
        <v>0</v>
      </c>
      <c r="L118" s="31">
        <f>IF($F118=8,$H118*$B$26,0)</f>
        <v>6.7386999999999997</v>
      </c>
      <c r="M118" s="31">
        <f>IF($F118=10,$H118*$B$27,0)</f>
        <v>0</v>
      </c>
      <c r="N118" s="31">
        <f>IF($F118=12.5,$H118*$B$28,0)</f>
        <v>0</v>
      </c>
      <c r="O118" s="31">
        <f>IF($F118=16,$H118*$B$29,0)</f>
        <v>0</v>
      </c>
      <c r="P118" s="31">
        <f>IF($F118=20,$H118*$B$30,0)</f>
        <v>0</v>
      </c>
      <c r="Q118" s="49">
        <f>IF($F118=25,$H118*$B$31,0)</f>
        <v>0</v>
      </c>
    </row>
    <row r="119" spans="4:17" s="16" customFormat="1" ht="13.2" x14ac:dyDescent="0.25">
      <c r="D119" s="307"/>
      <c r="E119" s="26"/>
      <c r="F119" s="206"/>
      <c r="G119" s="207"/>
      <c r="H119" s="207"/>
      <c r="I119" s="51"/>
      <c r="J119" s="308"/>
      <c r="K119" s="308"/>
      <c r="L119" s="308"/>
      <c r="M119" s="308"/>
      <c r="N119" s="308"/>
      <c r="O119" s="308"/>
      <c r="P119" s="308"/>
      <c r="Q119" s="309"/>
    </row>
    <row r="120" spans="4:17" s="16" customFormat="1" ht="13.2" x14ac:dyDescent="0.25">
      <c r="D120" s="790" t="s">
        <v>1294</v>
      </c>
      <c r="E120" s="791"/>
      <c r="F120" s="791"/>
      <c r="G120" s="791"/>
      <c r="H120" s="791"/>
      <c r="I120" s="175">
        <f t="shared" ref="I120:Q120" si="90">SUM(I121:I123)</f>
        <v>0</v>
      </c>
      <c r="J120" s="175">
        <f t="shared" si="90"/>
        <v>6.4233399999999996</v>
      </c>
      <c r="K120" s="175">
        <f t="shared" si="90"/>
        <v>0</v>
      </c>
      <c r="L120" s="175">
        <f t="shared" si="90"/>
        <v>14.788800000000002</v>
      </c>
      <c r="M120" s="175">
        <f t="shared" si="90"/>
        <v>0</v>
      </c>
      <c r="N120" s="175">
        <f t="shared" si="90"/>
        <v>0</v>
      </c>
      <c r="O120" s="175">
        <f t="shared" si="90"/>
        <v>0</v>
      </c>
      <c r="P120" s="175">
        <f t="shared" si="90"/>
        <v>0</v>
      </c>
      <c r="Q120" s="175">
        <f t="shared" si="90"/>
        <v>0</v>
      </c>
    </row>
    <row r="121" spans="4:17" s="16" customFormat="1" ht="13.2" x14ac:dyDescent="0.25">
      <c r="D121" s="235">
        <v>12</v>
      </c>
      <c r="E121" s="237">
        <v>43</v>
      </c>
      <c r="F121" s="238">
        <v>5</v>
      </c>
      <c r="G121" s="242">
        <v>0.97</v>
      </c>
      <c r="H121" s="239">
        <f>E121*G121</f>
        <v>41.71</v>
      </c>
      <c r="I121" s="122">
        <f>IF($F121=4.2,H121*$B$23,0)</f>
        <v>0</v>
      </c>
      <c r="J121" s="29">
        <f>IF($F121=5,$H121*$B$24,0)</f>
        <v>6.4233399999999996</v>
      </c>
      <c r="K121" s="29">
        <f>IF($F121=6.3,$H121*$B$25,0)</f>
        <v>0</v>
      </c>
      <c r="L121" s="29">
        <f>IF($F121=8,$H121*$B$26,0)</f>
        <v>0</v>
      </c>
      <c r="M121" s="29">
        <f>IF($F121=10,$H121*$B$27,0)</f>
        <v>0</v>
      </c>
      <c r="N121" s="29">
        <f>IF($F121=12.5,$H121*$B$28,0)</f>
        <v>0</v>
      </c>
      <c r="O121" s="29">
        <f>IF($F121=16,$H121*$B$29,0)</f>
        <v>0</v>
      </c>
      <c r="P121" s="29">
        <f>IF($F121=20,$H121*$B$30,0)</f>
        <v>0</v>
      </c>
      <c r="Q121" s="37">
        <f>IF($F121=25,$H121*$B$31,0)</f>
        <v>0</v>
      </c>
    </row>
    <row r="122" spans="4:17" s="16" customFormat="1" ht="13.2" x14ac:dyDescent="0.25">
      <c r="D122" s="235">
        <v>25</v>
      </c>
      <c r="E122" s="240">
        <v>2</v>
      </c>
      <c r="F122" s="241">
        <v>8</v>
      </c>
      <c r="G122" s="242">
        <v>9.14</v>
      </c>
      <c r="H122" s="239">
        <f>E122*G122</f>
        <v>18.28</v>
      </c>
      <c r="I122" s="122">
        <f>IF($F122=4.2,H122*$B$23,0)</f>
        <v>0</v>
      </c>
      <c r="J122" s="29">
        <f>IF($F122=5,$H122*$B$24,0)</f>
        <v>0</v>
      </c>
      <c r="K122" s="29">
        <f>IF($F122=6.3,$H122*$B$25,0)</f>
        <v>0</v>
      </c>
      <c r="L122" s="29">
        <f>IF($F122=8,$H122*$B$26,0)</f>
        <v>7.220600000000001</v>
      </c>
      <c r="M122" s="29">
        <f>IF($F122=10,$H122*$B$27,0)</f>
        <v>0</v>
      </c>
      <c r="N122" s="29">
        <f>IF($F122=12.5,$H122*$B$28,0)</f>
        <v>0</v>
      </c>
      <c r="O122" s="29">
        <f>IF($F122=16,$H122*$B$29,0)</f>
        <v>0</v>
      </c>
      <c r="P122" s="29">
        <f>IF($F122=20,$H122*$B$30,0)</f>
        <v>0</v>
      </c>
      <c r="Q122" s="37">
        <f>IF($F122=25,$H122*$B$31,0)</f>
        <v>0</v>
      </c>
    </row>
    <row r="123" spans="4:17" s="16" customFormat="1" ht="13.2" x14ac:dyDescent="0.25">
      <c r="D123" s="235">
        <v>26</v>
      </c>
      <c r="E123" s="240">
        <v>2</v>
      </c>
      <c r="F123" s="241">
        <v>8</v>
      </c>
      <c r="G123" s="242">
        <v>9.58</v>
      </c>
      <c r="H123" s="239">
        <f>E123*G123</f>
        <v>19.16</v>
      </c>
      <c r="I123" s="122">
        <f>IF($F123=4.2,H123*$B$23,0)</f>
        <v>0</v>
      </c>
      <c r="J123" s="29">
        <f>IF($F123=5,$H123*$B$24,0)</f>
        <v>0</v>
      </c>
      <c r="K123" s="29">
        <f>IF($F123=6.3,$H123*$B$25,0)</f>
        <v>0</v>
      </c>
      <c r="L123" s="29">
        <f>IF($F123=8,$H123*$B$26,0)</f>
        <v>7.5682</v>
      </c>
      <c r="M123" s="29">
        <f>IF($F123=10,$H123*$B$27,0)</f>
        <v>0</v>
      </c>
      <c r="N123" s="29">
        <f>IF($F123=12.5,$H123*$B$28,0)</f>
        <v>0</v>
      </c>
      <c r="O123" s="29">
        <f>IF($F123=16,$H123*$B$29,0)</f>
        <v>0</v>
      </c>
      <c r="P123" s="29">
        <f>IF($F123=20,$H123*$B$30,0)</f>
        <v>0</v>
      </c>
      <c r="Q123" s="37">
        <f>IF($F123=25,$H123*$B$31,0)</f>
        <v>0</v>
      </c>
    </row>
    <row r="124" spans="4:17" s="16" customFormat="1" ht="13.2" x14ac:dyDescent="0.25">
      <c r="D124" s="307"/>
      <c r="E124" s="26"/>
      <c r="F124" s="206"/>
      <c r="G124" s="207"/>
      <c r="H124" s="207"/>
      <c r="I124" s="51"/>
      <c r="J124" s="308"/>
      <c r="K124" s="308"/>
      <c r="L124" s="308"/>
      <c r="M124" s="308"/>
      <c r="N124" s="308"/>
      <c r="O124" s="308"/>
      <c r="P124" s="308"/>
      <c r="Q124" s="309"/>
    </row>
    <row r="125" spans="4:17" s="16" customFormat="1" ht="13.2" x14ac:dyDescent="0.25">
      <c r="D125" s="814" t="s">
        <v>1295</v>
      </c>
      <c r="E125" s="815"/>
      <c r="F125" s="815"/>
      <c r="G125" s="815"/>
      <c r="H125" s="815"/>
      <c r="I125" s="175">
        <f t="shared" ref="I125:Q125" si="91">SUM(I126:I128)</f>
        <v>0</v>
      </c>
      <c r="J125" s="175">
        <f t="shared" si="91"/>
        <v>7.1702400000000006</v>
      </c>
      <c r="K125" s="175">
        <f t="shared" si="91"/>
        <v>0</v>
      </c>
      <c r="L125" s="175">
        <f t="shared" si="91"/>
        <v>16.447800000000001</v>
      </c>
      <c r="M125" s="175">
        <f t="shared" si="91"/>
        <v>0</v>
      </c>
      <c r="N125" s="175">
        <f t="shared" si="91"/>
        <v>0</v>
      </c>
      <c r="O125" s="175">
        <f t="shared" si="91"/>
        <v>0</v>
      </c>
      <c r="P125" s="175">
        <f t="shared" si="91"/>
        <v>0</v>
      </c>
      <c r="Q125" s="175">
        <f t="shared" si="91"/>
        <v>0</v>
      </c>
    </row>
    <row r="126" spans="4:17" s="16" customFormat="1" ht="13.2" x14ac:dyDescent="0.25">
      <c r="D126" s="235">
        <v>12</v>
      </c>
      <c r="E126" s="237">
        <v>48</v>
      </c>
      <c r="F126" s="238">
        <v>5</v>
      </c>
      <c r="G126" s="242">
        <v>0.97</v>
      </c>
      <c r="H126" s="239">
        <f>E126*G126</f>
        <v>46.56</v>
      </c>
      <c r="I126" s="131">
        <f t="shared" ref="I126:I128" si="92">IF($F126=4.2,H126*$B$23,0)</f>
        <v>0</v>
      </c>
      <c r="J126" s="31">
        <f t="shared" ref="J126:J128" si="93">IF($F126=5,$H126*$B$24,0)</f>
        <v>7.1702400000000006</v>
      </c>
      <c r="K126" s="31">
        <f t="shared" ref="K126:K128" si="94">IF($F126=6.3,$H126*$B$25,0)</f>
        <v>0</v>
      </c>
      <c r="L126" s="31">
        <f t="shared" ref="L126:L128" si="95">IF($F126=8,$H126*$B$26,0)</f>
        <v>0</v>
      </c>
      <c r="M126" s="31">
        <f t="shared" ref="M126:M128" si="96">IF($F126=10,$H126*$B$27,0)</f>
        <v>0</v>
      </c>
      <c r="N126" s="31">
        <f t="shared" ref="N126:N128" si="97">IF($F126=12.5,$H126*$B$28,0)</f>
        <v>0</v>
      </c>
      <c r="O126" s="31">
        <f t="shared" ref="O126:O128" si="98">IF($F126=16,$H126*$B$29,0)</f>
        <v>0</v>
      </c>
      <c r="P126" s="31">
        <f t="shared" ref="P126:P128" si="99">IF($F126=20,$H126*$B$30,0)</f>
        <v>0</v>
      </c>
      <c r="Q126" s="49">
        <f t="shared" ref="Q126:Q128" si="100">IF($F126=25,$H126*$B$31,0)</f>
        <v>0</v>
      </c>
    </row>
    <row r="127" spans="4:17" s="16" customFormat="1" ht="13.2" x14ac:dyDescent="0.25">
      <c r="D127" s="235">
        <v>27</v>
      </c>
      <c r="E127" s="240">
        <v>2</v>
      </c>
      <c r="F127" s="241">
        <v>8</v>
      </c>
      <c r="G127" s="242">
        <v>10.19</v>
      </c>
      <c r="H127" s="239">
        <f>E127*G127</f>
        <v>20.38</v>
      </c>
      <c r="I127" s="131">
        <f t="shared" si="92"/>
        <v>0</v>
      </c>
      <c r="J127" s="31">
        <f t="shared" si="93"/>
        <v>0</v>
      </c>
      <c r="K127" s="31">
        <f t="shared" si="94"/>
        <v>0</v>
      </c>
      <c r="L127" s="31">
        <f t="shared" si="95"/>
        <v>8.0501000000000005</v>
      </c>
      <c r="M127" s="31">
        <f t="shared" si="96"/>
        <v>0</v>
      </c>
      <c r="N127" s="31">
        <f t="shared" si="97"/>
        <v>0</v>
      </c>
      <c r="O127" s="31">
        <f t="shared" si="98"/>
        <v>0</v>
      </c>
      <c r="P127" s="31">
        <f t="shared" si="99"/>
        <v>0</v>
      </c>
      <c r="Q127" s="49">
        <f t="shared" si="100"/>
        <v>0</v>
      </c>
    </row>
    <row r="128" spans="4:17" s="16" customFormat="1" ht="13.2" x14ac:dyDescent="0.25">
      <c r="D128" s="235">
        <v>28</v>
      </c>
      <c r="E128" s="240">
        <v>2</v>
      </c>
      <c r="F128" s="241">
        <v>8</v>
      </c>
      <c r="G128" s="242">
        <v>10.63</v>
      </c>
      <c r="H128" s="239">
        <f>E128*G128</f>
        <v>21.26</v>
      </c>
      <c r="I128" s="131">
        <f t="shared" si="92"/>
        <v>0</v>
      </c>
      <c r="J128" s="31">
        <f t="shared" si="93"/>
        <v>0</v>
      </c>
      <c r="K128" s="31">
        <f t="shared" si="94"/>
        <v>0</v>
      </c>
      <c r="L128" s="31">
        <f t="shared" si="95"/>
        <v>8.3977000000000004</v>
      </c>
      <c r="M128" s="31">
        <f t="shared" si="96"/>
        <v>0</v>
      </c>
      <c r="N128" s="31">
        <f t="shared" si="97"/>
        <v>0</v>
      </c>
      <c r="O128" s="31">
        <f t="shared" si="98"/>
        <v>0</v>
      </c>
      <c r="P128" s="31">
        <f t="shared" si="99"/>
        <v>0</v>
      </c>
      <c r="Q128" s="49">
        <f t="shared" si="100"/>
        <v>0</v>
      </c>
    </row>
    <row r="129" spans="4:17" s="16" customFormat="1" ht="13.8" thickBot="1" x14ac:dyDescent="0.3">
      <c r="D129" s="307"/>
      <c r="E129" s="26"/>
      <c r="F129" s="206"/>
      <c r="G129" s="207"/>
      <c r="H129" s="207"/>
      <c r="I129" s="51"/>
      <c r="J129" s="308"/>
      <c r="K129" s="308"/>
      <c r="L129" s="308"/>
      <c r="M129" s="308"/>
      <c r="N129" s="308"/>
      <c r="O129" s="308"/>
      <c r="P129" s="308"/>
      <c r="Q129" s="309"/>
    </row>
    <row r="130" spans="4:17" s="16" customFormat="1" ht="13.2" x14ac:dyDescent="0.25">
      <c r="D130" s="814" t="s">
        <v>1296</v>
      </c>
      <c r="E130" s="815"/>
      <c r="F130" s="815"/>
      <c r="G130" s="815"/>
      <c r="H130" s="815"/>
      <c r="I130" s="47">
        <f t="shared" ref="I130" si="101">SUM(I131:I133)</f>
        <v>0</v>
      </c>
      <c r="J130" s="47">
        <f>SUM(J131:J133)</f>
        <v>4.9295399999999994</v>
      </c>
      <c r="K130" s="47">
        <f t="shared" ref="K130:Q130" si="102">SUM(K131:K133)</f>
        <v>0</v>
      </c>
      <c r="L130" s="47">
        <f t="shared" si="102"/>
        <v>11.470800000000001</v>
      </c>
      <c r="M130" s="47">
        <f t="shared" si="102"/>
        <v>0</v>
      </c>
      <c r="N130" s="47">
        <f t="shared" si="102"/>
        <v>0</v>
      </c>
      <c r="O130" s="47">
        <f t="shared" si="102"/>
        <v>0</v>
      </c>
      <c r="P130" s="47">
        <f t="shared" si="102"/>
        <v>0</v>
      </c>
      <c r="Q130" s="47">
        <f t="shared" si="102"/>
        <v>0</v>
      </c>
    </row>
    <row r="131" spans="4:17" s="16" customFormat="1" ht="13.2" x14ac:dyDescent="0.25">
      <c r="D131" s="235">
        <v>12</v>
      </c>
      <c r="E131" s="237">
        <v>33</v>
      </c>
      <c r="F131" s="238">
        <v>5</v>
      </c>
      <c r="G131" s="239">
        <v>0.97</v>
      </c>
      <c r="H131" s="239">
        <f>E131*G131</f>
        <v>32.01</v>
      </c>
      <c r="I131" s="131">
        <f>IF($F131=4.2,H131*$B$23,0)</f>
        <v>0</v>
      </c>
      <c r="J131" s="31">
        <f>IF($F131=5,$H131*$B$24,0)</f>
        <v>4.9295399999999994</v>
      </c>
      <c r="K131" s="31">
        <f>IF($F131=6.3,$H131*$B$25,0)</f>
        <v>0</v>
      </c>
      <c r="L131" s="31">
        <f>IF($F131=8,$H131*$B$26,0)</f>
        <v>0</v>
      </c>
      <c r="M131" s="31">
        <f>IF($F131=10,$H131*$B$27,0)</f>
        <v>0</v>
      </c>
      <c r="N131" s="31">
        <f>IF($F131=12.5,$H131*$B$28,0)</f>
        <v>0</v>
      </c>
      <c r="O131" s="31">
        <f>IF($F131=16,$H131*$B$29,0)</f>
        <v>0</v>
      </c>
      <c r="P131" s="31">
        <f>IF($F131=20,$H131*$B$30,0)</f>
        <v>0</v>
      </c>
      <c r="Q131" s="49">
        <f>IF($F131=25,$H131*$B$31,0)</f>
        <v>0</v>
      </c>
    </row>
    <row r="132" spans="4:17" s="16" customFormat="1" ht="13.2" x14ac:dyDescent="0.25">
      <c r="D132" s="235">
        <v>29</v>
      </c>
      <c r="E132" s="240">
        <v>2</v>
      </c>
      <c r="F132" s="241">
        <v>8</v>
      </c>
      <c r="G132" s="242">
        <v>7.04</v>
      </c>
      <c r="H132" s="239">
        <f>E132*G132</f>
        <v>14.08</v>
      </c>
      <c r="I132" s="131">
        <f>IF($F132=4.2,H132*$B$23,0)</f>
        <v>0</v>
      </c>
      <c r="J132" s="31">
        <f>IF($F132=5,$H132*$B$24,0)</f>
        <v>0</v>
      </c>
      <c r="K132" s="31">
        <f>IF($F132=6.3,$H132*$B$25,0)</f>
        <v>0</v>
      </c>
      <c r="L132" s="31">
        <f>IF($F132=8,$H132*$B$26,0)</f>
        <v>5.5616000000000003</v>
      </c>
      <c r="M132" s="31">
        <f>IF($F132=10,$H132*$B$27,0)</f>
        <v>0</v>
      </c>
      <c r="N132" s="31">
        <f>IF($F132=12.5,$H132*$B$28,0)</f>
        <v>0</v>
      </c>
      <c r="O132" s="31">
        <f>IF($F132=16,$H132*$B$29,0)</f>
        <v>0</v>
      </c>
      <c r="P132" s="31">
        <f>IF($F132=20,$H132*$B$30,0)</f>
        <v>0</v>
      </c>
      <c r="Q132" s="49">
        <f>IF($F132=25,$H132*$B$31,0)</f>
        <v>0</v>
      </c>
    </row>
    <row r="133" spans="4:17" s="16" customFormat="1" ht="13.2" x14ac:dyDescent="0.25">
      <c r="D133" s="235">
        <v>30</v>
      </c>
      <c r="E133" s="240">
        <v>2</v>
      </c>
      <c r="F133" s="241">
        <v>8</v>
      </c>
      <c r="G133" s="242">
        <v>7.48</v>
      </c>
      <c r="H133" s="239">
        <f>E133*G133</f>
        <v>14.96</v>
      </c>
      <c r="I133" s="131">
        <f>IF($F133=4.2,H133*$B$23,0)</f>
        <v>0</v>
      </c>
      <c r="J133" s="31">
        <f>IF($F133=5,$H133*$B$24,0)</f>
        <v>0</v>
      </c>
      <c r="K133" s="31">
        <f>IF($F133=6.3,$H133*$B$25,0)</f>
        <v>0</v>
      </c>
      <c r="L133" s="31">
        <f>IF($F133=8,$H133*$B$26,0)</f>
        <v>5.9092000000000002</v>
      </c>
      <c r="M133" s="31">
        <f>IF($F133=10,$H133*$B$27,0)</f>
        <v>0</v>
      </c>
      <c r="N133" s="31">
        <f>IF($F133=12.5,$H133*$B$28,0)</f>
        <v>0</v>
      </c>
      <c r="O133" s="31">
        <f>IF($F133=16,$H133*$B$29,0)</f>
        <v>0</v>
      </c>
      <c r="P133" s="31">
        <f>IF($F133=20,$H133*$B$30,0)</f>
        <v>0</v>
      </c>
      <c r="Q133" s="49">
        <f>IF($F133=25,$H133*$B$31,0)</f>
        <v>0</v>
      </c>
    </row>
    <row r="134" spans="4:17" s="16" customFormat="1" ht="13.8" thickBot="1" x14ac:dyDescent="0.3">
      <c r="D134" s="307"/>
      <c r="E134" s="26"/>
      <c r="F134" s="206"/>
      <c r="G134" s="207"/>
      <c r="H134" s="207"/>
      <c r="I134" s="51"/>
      <c r="J134" s="308"/>
      <c r="K134" s="308"/>
      <c r="L134" s="308"/>
      <c r="M134" s="308"/>
      <c r="N134" s="308"/>
      <c r="O134" s="308"/>
      <c r="P134" s="308"/>
      <c r="Q134" s="309"/>
    </row>
    <row r="135" spans="4:17" s="16" customFormat="1" ht="13.2" x14ac:dyDescent="0.25">
      <c r="D135" s="814" t="s">
        <v>1297</v>
      </c>
      <c r="E135" s="815"/>
      <c r="F135" s="815"/>
      <c r="G135" s="815"/>
      <c r="H135" s="815"/>
      <c r="I135" s="47">
        <f t="shared" ref="I135" si="103">SUM(I136:I140)</f>
        <v>0</v>
      </c>
      <c r="J135" s="47">
        <f>SUM(J136:J140)</f>
        <v>5.5270599999999996</v>
      </c>
      <c r="K135" s="47">
        <f t="shared" ref="K135:Q135" si="104">SUM(K136:K140)</f>
        <v>0</v>
      </c>
      <c r="L135" s="47">
        <f t="shared" si="104"/>
        <v>5.0718000000000005</v>
      </c>
      <c r="M135" s="47">
        <f t="shared" si="104"/>
        <v>13.641870000000001</v>
      </c>
      <c r="N135" s="47">
        <f t="shared" si="104"/>
        <v>0</v>
      </c>
      <c r="O135" s="47">
        <f t="shared" si="104"/>
        <v>0</v>
      </c>
      <c r="P135" s="47">
        <f t="shared" si="104"/>
        <v>0</v>
      </c>
      <c r="Q135" s="47">
        <f t="shared" si="104"/>
        <v>0</v>
      </c>
    </row>
    <row r="136" spans="4:17" s="16" customFormat="1" ht="13.2" x14ac:dyDescent="0.25">
      <c r="D136" s="235">
        <v>12</v>
      </c>
      <c r="E136" s="237">
        <v>37</v>
      </c>
      <c r="F136" s="238">
        <v>5</v>
      </c>
      <c r="G136" s="239">
        <v>0.97</v>
      </c>
      <c r="H136" s="239">
        <f>E136*G136</f>
        <v>35.89</v>
      </c>
      <c r="I136" s="131">
        <f>IF($F136=4.2,H136*$B$23,0)</f>
        <v>0</v>
      </c>
      <c r="J136" s="31">
        <f>IF($F136=5,$H136*$B$24,0)</f>
        <v>5.5270599999999996</v>
      </c>
      <c r="K136" s="31">
        <f>IF($F136=6.3,$H136*$B$25,0)</f>
        <v>0</v>
      </c>
      <c r="L136" s="31">
        <f>IF($F136=8,$H136*$B$26,0)</f>
        <v>0</v>
      </c>
      <c r="M136" s="31">
        <f>IF($F136=10,$H136*$B$27,0)</f>
        <v>0</v>
      </c>
      <c r="N136" s="31">
        <f>IF($F136=12.5,$H136*$B$28,0)</f>
        <v>0</v>
      </c>
      <c r="O136" s="31">
        <f>IF($F136=16,$H136*$B$29,0)</f>
        <v>0</v>
      </c>
      <c r="P136" s="31">
        <f>IF($F136=20,$H136*$B$30,0)</f>
        <v>0</v>
      </c>
      <c r="Q136" s="49">
        <f>IF($F136=25,$H136*$B$31,0)</f>
        <v>0</v>
      </c>
    </row>
    <row r="137" spans="4:17" s="16" customFormat="1" ht="13.2" x14ac:dyDescent="0.25">
      <c r="D137" s="235">
        <v>31</v>
      </c>
      <c r="E137" s="240">
        <v>2</v>
      </c>
      <c r="F137" s="241">
        <v>8</v>
      </c>
      <c r="G137" s="242">
        <v>6.42</v>
      </c>
      <c r="H137" s="239">
        <f>E137*G137</f>
        <v>12.84</v>
      </c>
      <c r="I137" s="131">
        <f>IF($F137=4.2,H137*$B$23,0)</f>
        <v>0</v>
      </c>
      <c r="J137" s="31">
        <f>IF($F137=5,$H137*$B$24,0)</f>
        <v>0</v>
      </c>
      <c r="K137" s="31">
        <f>IF($F137=6.3,$H137*$B$25,0)</f>
        <v>0</v>
      </c>
      <c r="L137" s="31">
        <f>IF($F137=8,$H137*$B$26,0)</f>
        <v>5.0718000000000005</v>
      </c>
      <c r="M137" s="31">
        <f>IF($F137=10,$H137*$B$27,0)</f>
        <v>0</v>
      </c>
      <c r="N137" s="31">
        <f>IF($F137=12.5,$H137*$B$28,0)</f>
        <v>0</v>
      </c>
      <c r="O137" s="31">
        <f>IF($F137=16,$H137*$B$29,0)</f>
        <v>0</v>
      </c>
      <c r="P137" s="31">
        <f>IF($F137=20,$H137*$B$30,0)</f>
        <v>0</v>
      </c>
      <c r="Q137" s="49">
        <f>IF($F137=25,$H137*$B$31,0)</f>
        <v>0</v>
      </c>
    </row>
    <row r="138" spans="4:17" s="16" customFormat="1" ht="13.2" x14ac:dyDescent="0.25">
      <c r="D138" s="235">
        <v>34</v>
      </c>
      <c r="E138" s="240">
        <v>2</v>
      </c>
      <c r="F138" s="241">
        <v>10</v>
      </c>
      <c r="G138" s="242">
        <v>8.09</v>
      </c>
      <c r="H138" s="239">
        <f>E138*G138</f>
        <v>16.18</v>
      </c>
      <c r="I138" s="131">
        <f>IF($F138=4.2,H138*$B$23,0)</f>
        <v>0</v>
      </c>
      <c r="J138" s="31">
        <f>IF($F138=5,$H138*$B$24,0)</f>
        <v>0</v>
      </c>
      <c r="K138" s="31">
        <f>IF($F138=6.3,$H138*$B$25,0)</f>
        <v>0</v>
      </c>
      <c r="L138" s="31">
        <f>IF($F138=8,$H138*$B$26,0)</f>
        <v>0</v>
      </c>
      <c r="M138" s="31">
        <f>IF($F138=10,$H138*$B$27,0)</f>
        <v>9.98306</v>
      </c>
      <c r="N138" s="31">
        <f>IF($F138=12.5,$H138*$B$28,0)</f>
        <v>0</v>
      </c>
      <c r="O138" s="31">
        <f>IF($F138=16,$H138*$B$29,0)</f>
        <v>0</v>
      </c>
      <c r="P138" s="31">
        <f>IF($F138=20,$H138*$B$30,0)</f>
        <v>0</v>
      </c>
      <c r="Q138" s="49">
        <f>IF($F138=25,$H138*$B$31,0)</f>
        <v>0</v>
      </c>
    </row>
    <row r="139" spans="4:17" s="16" customFormat="1" ht="13.2" x14ac:dyDescent="0.25">
      <c r="D139" s="235">
        <v>35</v>
      </c>
      <c r="E139" s="240">
        <v>1</v>
      </c>
      <c r="F139" s="241">
        <v>10</v>
      </c>
      <c r="G139" s="242">
        <v>1.51</v>
      </c>
      <c r="H139" s="239">
        <f>E139*G139</f>
        <v>1.51</v>
      </c>
      <c r="I139" s="131">
        <f>IF($F139=4.2,H139*$B$23,0)</f>
        <v>0</v>
      </c>
      <c r="J139" s="31">
        <f>IF($F139=5,$H139*$B$24,0)</f>
        <v>0</v>
      </c>
      <c r="K139" s="31">
        <f>IF($F139=6.3,$H139*$B$25,0)</f>
        <v>0</v>
      </c>
      <c r="L139" s="31">
        <f>IF($F139=8,$H139*$B$26,0)</f>
        <v>0</v>
      </c>
      <c r="M139" s="31">
        <f>IF($F139=10,$H139*$B$27,0)</f>
        <v>0.93167</v>
      </c>
      <c r="N139" s="31">
        <f>IF($F139=12.5,$H139*$B$28,0)</f>
        <v>0</v>
      </c>
      <c r="O139" s="31">
        <f>IF($F139=16,$H139*$B$29,0)</f>
        <v>0</v>
      </c>
      <c r="P139" s="31">
        <f>IF($F139=20,$H139*$B$30,0)</f>
        <v>0</v>
      </c>
      <c r="Q139" s="49">
        <f>IF($F139=25,$H139*$B$31,0)</f>
        <v>0</v>
      </c>
    </row>
    <row r="140" spans="4:17" s="16" customFormat="1" ht="13.2" x14ac:dyDescent="0.25">
      <c r="D140" s="235">
        <v>36</v>
      </c>
      <c r="E140" s="240">
        <v>2</v>
      </c>
      <c r="F140" s="241">
        <v>10</v>
      </c>
      <c r="G140" s="242">
        <v>2.21</v>
      </c>
      <c r="H140" s="239">
        <f>E140*G140</f>
        <v>4.42</v>
      </c>
      <c r="I140" s="131">
        <f>IF($F140=4.2,H140*$B$23,0)</f>
        <v>0</v>
      </c>
      <c r="J140" s="31">
        <f>IF($F140=5,$H140*$B$24,0)</f>
        <v>0</v>
      </c>
      <c r="K140" s="31">
        <f>IF($F140=6.3,$H140*$B$25,0)</f>
        <v>0</v>
      </c>
      <c r="L140" s="31">
        <f>IF($F140=8,$H140*$B$26,0)</f>
        <v>0</v>
      </c>
      <c r="M140" s="31">
        <f>IF($F140=10,$H140*$B$27,0)</f>
        <v>2.7271399999999999</v>
      </c>
      <c r="N140" s="31">
        <f>IF($F140=12.5,$H140*$B$28,0)</f>
        <v>0</v>
      </c>
      <c r="O140" s="31">
        <f>IF($F140=16,$H140*$B$29,0)</f>
        <v>0</v>
      </c>
      <c r="P140" s="31">
        <f>IF($F140=20,$H140*$B$30,0)</f>
        <v>0</v>
      </c>
      <c r="Q140" s="49">
        <f>IF($F140=25,$H140*$B$31,0)</f>
        <v>0</v>
      </c>
    </row>
    <row r="141" spans="4:17" s="16" customFormat="1" ht="13.2" x14ac:dyDescent="0.25">
      <c r="D141" s="307"/>
      <c r="E141" s="26"/>
      <c r="F141" s="206"/>
      <c r="G141" s="207"/>
      <c r="H141" s="207"/>
      <c r="I141" s="51"/>
      <c r="J141" s="308"/>
      <c r="K141" s="308"/>
      <c r="L141" s="308"/>
      <c r="M141" s="308"/>
      <c r="N141" s="308"/>
      <c r="O141" s="308"/>
      <c r="P141" s="308"/>
      <c r="Q141" s="309"/>
    </row>
    <row r="142" spans="4:17" s="16" customFormat="1" ht="13.2" x14ac:dyDescent="0.25">
      <c r="D142" s="790" t="s">
        <v>1298</v>
      </c>
      <c r="E142" s="791"/>
      <c r="F142" s="791"/>
      <c r="G142" s="791"/>
      <c r="H142" s="791"/>
      <c r="I142" s="175">
        <f t="shared" ref="I142:Q142" si="105">SUM(I143:I146)</f>
        <v>0</v>
      </c>
      <c r="J142" s="175">
        <f t="shared" si="105"/>
        <v>4.7801599999999995</v>
      </c>
      <c r="K142" s="175">
        <f t="shared" si="105"/>
        <v>0</v>
      </c>
      <c r="L142" s="175">
        <f t="shared" si="105"/>
        <v>0</v>
      </c>
      <c r="M142" s="175">
        <f t="shared" si="105"/>
        <v>20.40419</v>
      </c>
      <c r="N142" s="175">
        <f t="shared" si="105"/>
        <v>0</v>
      </c>
      <c r="O142" s="175">
        <f t="shared" si="105"/>
        <v>0</v>
      </c>
      <c r="P142" s="175">
        <f t="shared" si="105"/>
        <v>0</v>
      </c>
      <c r="Q142" s="175">
        <f t="shared" si="105"/>
        <v>0</v>
      </c>
    </row>
    <row r="143" spans="4:17" s="16" customFormat="1" ht="13.2" x14ac:dyDescent="0.25">
      <c r="D143" s="235">
        <v>1</v>
      </c>
      <c r="E143" s="237">
        <v>32</v>
      </c>
      <c r="F143" s="238">
        <v>5</v>
      </c>
      <c r="G143" s="242">
        <v>0.97</v>
      </c>
      <c r="H143" s="239">
        <f>E143*G143</f>
        <v>31.04</v>
      </c>
      <c r="I143" s="122">
        <f>IF($F143=4.2,H143*$B$23,0)</f>
        <v>0</v>
      </c>
      <c r="J143" s="29">
        <f>IF($F143=5,$H143*$B$24,0)</f>
        <v>4.7801599999999995</v>
      </c>
      <c r="K143" s="29">
        <f>IF($F143=6.3,$H143*$B$25,0)</f>
        <v>0</v>
      </c>
      <c r="L143" s="29">
        <f>IF($F143=8,$H143*$B$26,0)</f>
        <v>0</v>
      </c>
      <c r="M143" s="29">
        <f>IF($F143=10,$H143*$B$27,0)</f>
        <v>0</v>
      </c>
      <c r="N143" s="29">
        <f>IF($F143=12.5,$H143*$B$28,0)</f>
        <v>0</v>
      </c>
      <c r="O143" s="29">
        <f>IF($F143=16,$H143*$B$29,0)</f>
        <v>0</v>
      </c>
      <c r="P143" s="29">
        <f>IF($F143=20,$H143*$B$30,0)</f>
        <v>0</v>
      </c>
      <c r="Q143" s="37">
        <f>IF($F143=25,$H143*$B$31,0)</f>
        <v>0</v>
      </c>
    </row>
    <row r="144" spans="4:17" s="16" customFormat="1" ht="13.2" x14ac:dyDescent="0.25">
      <c r="D144" s="235">
        <v>14</v>
      </c>
      <c r="E144" s="240">
        <v>2</v>
      </c>
      <c r="F144" s="241">
        <v>10</v>
      </c>
      <c r="G144" s="242">
        <v>7.14</v>
      </c>
      <c r="H144" s="239">
        <f>E144*G144</f>
        <v>14.28</v>
      </c>
      <c r="I144" s="122">
        <f>IF($F144=4.2,H144*$B$23,0)</f>
        <v>0</v>
      </c>
      <c r="J144" s="29">
        <f>IF($F144=5,$H144*$B$24,0)</f>
        <v>0</v>
      </c>
      <c r="K144" s="29">
        <f>IF($F144=6.3,$H144*$B$25,0)</f>
        <v>0</v>
      </c>
      <c r="L144" s="29">
        <f>IF($F144=8,$H144*$B$26,0)</f>
        <v>0</v>
      </c>
      <c r="M144" s="29">
        <f>IF($F144=10,$H144*$B$27,0)</f>
        <v>8.8107600000000001</v>
      </c>
      <c r="N144" s="29">
        <f>IF($F144=12.5,$H144*$B$28,0)</f>
        <v>0</v>
      </c>
      <c r="O144" s="29">
        <f>IF($F144=16,$H144*$B$29,0)</f>
        <v>0</v>
      </c>
      <c r="P144" s="29">
        <f>IF($F144=20,$H144*$B$30,0)</f>
        <v>0</v>
      </c>
      <c r="Q144" s="37">
        <f>IF($F144=25,$H144*$B$31,0)</f>
        <v>0</v>
      </c>
    </row>
    <row r="145" spans="4:17" s="16" customFormat="1" ht="13.2" x14ac:dyDescent="0.25">
      <c r="D145" s="235">
        <v>15</v>
      </c>
      <c r="E145" s="240">
        <v>1</v>
      </c>
      <c r="F145" s="241">
        <v>10</v>
      </c>
      <c r="G145" s="242">
        <v>3.89</v>
      </c>
      <c r="H145" s="239">
        <f>E145*G145</f>
        <v>3.89</v>
      </c>
      <c r="I145" s="122">
        <f>IF($F145=4.2,H145*$B$23,0)</f>
        <v>0</v>
      </c>
      <c r="J145" s="29">
        <f>IF($F145=5,$H145*$B$24,0)</f>
        <v>0</v>
      </c>
      <c r="K145" s="29">
        <f>IF($F145=6.3,$H145*$B$25,0)</f>
        <v>0</v>
      </c>
      <c r="L145" s="29">
        <f>IF($F145=8,$H145*$B$26,0)</f>
        <v>0</v>
      </c>
      <c r="M145" s="29">
        <f>IF($F145=10,$H145*$B$27,0)</f>
        <v>2.4001299999999999</v>
      </c>
      <c r="N145" s="29">
        <f>IF($F145=12.5,$H145*$B$28,0)</f>
        <v>0</v>
      </c>
      <c r="O145" s="29">
        <f>IF($F145=16,$H145*$B$29,0)</f>
        <v>0</v>
      </c>
      <c r="P145" s="29">
        <f>IF($F145=20,$H145*$B$30,0)</f>
        <v>0</v>
      </c>
      <c r="Q145" s="37">
        <f>IF($F145=25,$H145*$B$31,0)</f>
        <v>0</v>
      </c>
    </row>
    <row r="146" spans="4:17" s="16" customFormat="1" ht="13.2" x14ac:dyDescent="0.25">
      <c r="D146" s="235">
        <v>16</v>
      </c>
      <c r="E146" s="240">
        <v>2</v>
      </c>
      <c r="F146" s="241">
        <v>10</v>
      </c>
      <c r="G146" s="242">
        <v>7.45</v>
      </c>
      <c r="H146" s="239">
        <f>E146*G146</f>
        <v>14.9</v>
      </c>
      <c r="I146" s="122">
        <f>IF($F146=4.2,H146*$B$23,0)</f>
        <v>0</v>
      </c>
      <c r="J146" s="29">
        <f>IF($F146=5,$H146*$B$24,0)</f>
        <v>0</v>
      </c>
      <c r="K146" s="29">
        <f>IF($F146=6.3,$H146*$B$25,0)</f>
        <v>0</v>
      </c>
      <c r="L146" s="29">
        <f>IF($F146=8,$H146*$B$26,0)</f>
        <v>0</v>
      </c>
      <c r="M146" s="29">
        <f>IF($F146=10,$H146*$B$27,0)</f>
        <v>9.1933000000000007</v>
      </c>
      <c r="N146" s="29">
        <f>IF($F146=12.5,$H146*$B$28,0)</f>
        <v>0</v>
      </c>
      <c r="O146" s="29">
        <f>IF($F146=16,$H146*$B$29,0)</f>
        <v>0</v>
      </c>
      <c r="P146" s="29">
        <f>IF($F146=20,$H146*$B$30,0)</f>
        <v>0</v>
      </c>
      <c r="Q146" s="37">
        <f>IF($F146=25,$H146*$B$31,0)</f>
        <v>0</v>
      </c>
    </row>
    <row r="147" spans="4:17" s="16" customFormat="1" ht="13.8" thickBot="1" x14ac:dyDescent="0.3">
      <c r="D147" s="307"/>
      <c r="E147" s="26"/>
      <c r="F147" s="206"/>
      <c r="G147" s="207"/>
      <c r="H147" s="207"/>
      <c r="I147" s="51"/>
      <c r="J147" s="308"/>
      <c r="K147" s="308"/>
      <c r="L147" s="308"/>
      <c r="M147" s="308"/>
      <c r="N147" s="308"/>
      <c r="O147" s="308"/>
      <c r="P147" s="308"/>
      <c r="Q147" s="309"/>
    </row>
    <row r="148" spans="4:17" s="16" customFormat="1" ht="13.2" x14ac:dyDescent="0.25">
      <c r="D148" s="796" t="s">
        <v>1299</v>
      </c>
      <c r="E148" s="797"/>
      <c r="F148" s="797"/>
      <c r="G148" s="797"/>
      <c r="H148" s="797"/>
      <c r="I148" s="47">
        <f>SUM(I149:I155)</f>
        <v>0</v>
      </c>
      <c r="J148" s="47">
        <f t="shared" ref="J148:Q148" si="106">SUM(J149:J155)</f>
        <v>9.1121800000000004</v>
      </c>
      <c r="K148" s="47">
        <f t="shared" si="106"/>
        <v>0</v>
      </c>
      <c r="L148" s="47">
        <f t="shared" si="106"/>
        <v>22.902099999999997</v>
      </c>
      <c r="M148" s="47">
        <f t="shared" si="106"/>
        <v>0</v>
      </c>
      <c r="N148" s="47">
        <f t="shared" si="106"/>
        <v>0</v>
      </c>
      <c r="O148" s="47">
        <f t="shared" si="106"/>
        <v>0</v>
      </c>
      <c r="P148" s="47">
        <f t="shared" si="106"/>
        <v>0</v>
      </c>
      <c r="Q148" s="47">
        <f t="shared" si="106"/>
        <v>0</v>
      </c>
    </row>
    <row r="149" spans="4:17" s="16" customFormat="1" ht="13.2" x14ac:dyDescent="0.25">
      <c r="D149" s="235">
        <v>1</v>
      </c>
      <c r="E149" s="240">
        <v>61</v>
      </c>
      <c r="F149" s="241">
        <v>5</v>
      </c>
      <c r="G149" s="242">
        <v>0.97</v>
      </c>
      <c r="H149" s="239">
        <f t="shared" ref="H149:H155" si="107">E149*G149</f>
        <v>59.17</v>
      </c>
      <c r="I149" s="131">
        <f t="shared" ref="I149:I155" si="108">IF($F149=4.2,H149*$B$23,0)</f>
        <v>0</v>
      </c>
      <c r="J149" s="31">
        <f t="shared" ref="J149:J155" si="109">IF($F149=5,$H149*$B$24,0)</f>
        <v>9.1121800000000004</v>
      </c>
      <c r="K149" s="31">
        <f t="shared" ref="K149:K155" si="110">IF($F149=6.3,$H149*$B$25,0)</f>
        <v>0</v>
      </c>
      <c r="L149" s="31">
        <f t="shared" ref="L149:L155" si="111">IF($F149=8,$H149*$B$26,0)</f>
        <v>0</v>
      </c>
      <c r="M149" s="31">
        <f t="shared" ref="M149:M155" si="112">IF($F149=10,$H149*$B$27,0)</f>
        <v>0</v>
      </c>
      <c r="N149" s="31">
        <f t="shared" ref="N149:N155" si="113">IF($F149=12.5,$H149*$B$28,0)</f>
        <v>0</v>
      </c>
      <c r="O149" s="31">
        <f t="shared" ref="O149:O155" si="114">IF($F149=16,$H149*$B$29,0)</f>
        <v>0</v>
      </c>
      <c r="P149" s="31">
        <f t="shared" ref="P149:P155" si="115">IF($F149=20,$H149*$B$30,0)</f>
        <v>0</v>
      </c>
      <c r="Q149" s="49">
        <f t="shared" ref="Q149:Q155" si="116">IF($F149=25,$H149*$B$31,0)</f>
        <v>0</v>
      </c>
    </row>
    <row r="150" spans="4:17" s="16" customFormat="1" ht="13.2" x14ac:dyDescent="0.25">
      <c r="D150" s="235">
        <v>2</v>
      </c>
      <c r="E150" s="240">
        <v>2</v>
      </c>
      <c r="F150" s="241">
        <v>8</v>
      </c>
      <c r="G150" s="242">
        <v>8.07</v>
      </c>
      <c r="H150" s="239">
        <f t="shared" si="107"/>
        <v>16.14</v>
      </c>
      <c r="I150" s="131">
        <f t="shared" si="108"/>
        <v>0</v>
      </c>
      <c r="J150" s="31">
        <f t="shared" si="109"/>
        <v>0</v>
      </c>
      <c r="K150" s="31">
        <f t="shared" si="110"/>
        <v>0</v>
      </c>
      <c r="L150" s="31">
        <f t="shared" si="111"/>
        <v>6.3753000000000002</v>
      </c>
      <c r="M150" s="31">
        <f t="shared" si="112"/>
        <v>0</v>
      </c>
      <c r="N150" s="31">
        <f t="shared" si="113"/>
        <v>0</v>
      </c>
      <c r="O150" s="31">
        <f t="shared" si="114"/>
        <v>0</v>
      </c>
      <c r="P150" s="31">
        <f t="shared" si="115"/>
        <v>0</v>
      </c>
      <c r="Q150" s="49">
        <f t="shared" si="116"/>
        <v>0</v>
      </c>
    </row>
    <row r="151" spans="4:17" s="16" customFormat="1" ht="13.2" x14ac:dyDescent="0.25">
      <c r="D151" s="235">
        <v>3</v>
      </c>
      <c r="E151" s="237">
        <v>2</v>
      </c>
      <c r="F151" s="238">
        <v>8</v>
      </c>
      <c r="G151" s="239">
        <v>5.26</v>
      </c>
      <c r="H151" s="239">
        <f t="shared" si="107"/>
        <v>10.52</v>
      </c>
      <c r="I151" s="131">
        <f t="shared" si="108"/>
        <v>0</v>
      </c>
      <c r="J151" s="31">
        <f t="shared" si="109"/>
        <v>0</v>
      </c>
      <c r="K151" s="31">
        <f t="shared" si="110"/>
        <v>0</v>
      </c>
      <c r="L151" s="31">
        <f t="shared" si="111"/>
        <v>4.1554000000000002</v>
      </c>
      <c r="M151" s="31">
        <f t="shared" si="112"/>
        <v>0</v>
      </c>
      <c r="N151" s="31">
        <f t="shared" si="113"/>
        <v>0</v>
      </c>
      <c r="O151" s="31">
        <f t="shared" si="114"/>
        <v>0</v>
      </c>
      <c r="P151" s="31">
        <f t="shared" si="115"/>
        <v>0</v>
      </c>
      <c r="Q151" s="49">
        <f t="shared" si="116"/>
        <v>0</v>
      </c>
    </row>
    <row r="152" spans="4:17" s="16" customFormat="1" ht="13.2" x14ac:dyDescent="0.25">
      <c r="D152" s="235">
        <v>4</v>
      </c>
      <c r="E152" s="240">
        <v>2</v>
      </c>
      <c r="F152" s="241">
        <v>8</v>
      </c>
      <c r="G152" s="242">
        <v>0.8</v>
      </c>
      <c r="H152" s="239">
        <f t="shared" si="107"/>
        <v>1.6</v>
      </c>
      <c r="I152" s="131">
        <f t="shared" si="108"/>
        <v>0</v>
      </c>
      <c r="J152" s="31">
        <f t="shared" si="109"/>
        <v>0</v>
      </c>
      <c r="K152" s="31">
        <f t="shared" si="110"/>
        <v>0</v>
      </c>
      <c r="L152" s="31">
        <f t="shared" si="111"/>
        <v>0.63200000000000012</v>
      </c>
      <c r="M152" s="31">
        <f t="shared" si="112"/>
        <v>0</v>
      </c>
      <c r="N152" s="31">
        <f t="shared" si="113"/>
        <v>0</v>
      </c>
      <c r="O152" s="31">
        <f t="shared" si="114"/>
        <v>0</v>
      </c>
      <c r="P152" s="31">
        <f t="shared" si="115"/>
        <v>0</v>
      </c>
      <c r="Q152" s="49">
        <f t="shared" si="116"/>
        <v>0</v>
      </c>
    </row>
    <row r="153" spans="4:17" s="16" customFormat="1" ht="13.2" x14ac:dyDescent="0.25">
      <c r="D153" s="235">
        <v>5</v>
      </c>
      <c r="E153" s="237">
        <v>2</v>
      </c>
      <c r="F153" s="238">
        <v>8</v>
      </c>
      <c r="G153" s="239">
        <v>1.1000000000000001</v>
      </c>
      <c r="H153" s="239">
        <f t="shared" si="107"/>
        <v>2.2000000000000002</v>
      </c>
      <c r="I153" s="131">
        <f t="shared" si="108"/>
        <v>0</v>
      </c>
      <c r="J153" s="31">
        <f t="shared" si="109"/>
        <v>0</v>
      </c>
      <c r="K153" s="31">
        <f t="shared" si="110"/>
        <v>0</v>
      </c>
      <c r="L153" s="31">
        <f t="shared" si="111"/>
        <v>0.86900000000000011</v>
      </c>
      <c r="M153" s="31">
        <f t="shared" si="112"/>
        <v>0</v>
      </c>
      <c r="N153" s="31">
        <f t="shared" si="113"/>
        <v>0</v>
      </c>
      <c r="O153" s="31">
        <f t="shared" si="114"/>
        <v>0</v>
      </c>
      <c r="P153" s="31">
        <f t="shared" si="115"/>
        <v>0</v>
      </c>
      <c r="Q153" s="49">
        <f t="shared" si="116"/>
        <v>0</v>
      </c>
    </row>
    <row r="154" spans="4:17" s="16" customFormat="1" ht="13.2" x14ac:dyDescent="0.25">
      <c r="D154" s="235">
        <v>6</v>
      </c>
      <c r="E154" s="240">
        <v>2</v>
      </c>
      <c r="F154" s="241">
        <v>8</v>
      </c>
      <c r="G154" s="242">
        <v>11.98</v>
      </c>
      <c r="H154" s="239">
        <f t="shared" si="107"/>
        <v>23.96</v>
      </c>
      <c r="I154" s="131">
        <f t="shared" si="108"/>
        <v>0</v>
      </c>
      <c r="J154" s="31">
        <f t="shared" si="109"/>
        <v>0</v>
      </c>
      <c r="K154" s="31">
        <f t="shared" si="110"/>
        <v>0</v>
      </c>
      <c r="L154" s="31">
        <f t="shared" si="111"/>
        <v>9.4641999999999999</v>
      </c>
      <c r="M154" s="31">
        <f t="shared" si="112"/>
        <v>0</v>
      </c>
      <c r="N154" s="31">
        <f t="shared" si="113"/>
        <v>0</v>
      </c>
      <c r="O154" s="31">
        <f t="shared" si="114"/>
        <v>0</v>
      </c>
      <c r="P154" s="31">
        <f t="shared" si="115"/>
        <v>0</v>
      </c>
      <c r="Q154" s="49">
        <f t="shared" si="116"/>
        <v>0</v>
      </c>
    </row>
    <row r="155" spans="4:17" s="16" customFormat="1" ht="13.2" x14ac:dyDescent="0.25">
      <c r="D155" s="235">
        <v>7</v>
      </c>
      <c r="E155" s="240">
        <v>2</v>
      </c>
      <c r="F155" s="241">
        <v>8</v>
      </c>
      <c r="G155" s="242">
        <v>1.78</v>
      </c>
      <c r="H155" s="239">
        <f t="shared" si="107"/>
        <v>3.56</v>
      </c>
      <c r="I155" s="131">
        <f t="shared" si="108"/>
        <v>0</v>
      </c>
      <c r="J155" s="31">
        <f t="shared" si="109"/>
        <v>0</v>
      </c>
      <c r="K155" s="31">
        <f t="shared" si="110"/>
        <v>0</v>
      </c>
      <c r="L155" s="31">
        <f t="shared" si="111"/>
        <v>1.4062000000000001</v>
      </c>
      <c r="M155" s="31">
        <f t="shared" si="112"/>
        <v>0</v>
      </c>
      <c r="N155" s="31">
        <f t="shared" si="113"/>
        <v>0</v>
      </c>
      <c r="O155" s="31">
        <f t="shared" si="114"/>
        <v>0</v>
      </c>
      <c r="P155" s="31">
        <f t="shared" si="115"/>
        <v>0</v>
      </c>
      <c r="Q155" s="49">
        <f t="shared" si="116"/>
        <v>0</v>
      </c>
    </row>
    <row r="156" spans="4:17" s="16" customFormat="1" ht="13.2" x14ac:dyDescent="0.25">
      <c r="D156" s="307"/>
      <c r="E156" s="26"/>
      <c r="F156" s="206"/>
      <c r="G156" s="207"/>
      <c r="H156" s="207"/>
      <c r="I156" s="51"/>
      <c r="J156" s="308"/>
      <c r="K156" s="308"/>
      <c r="L156" s="308"/>
      <c r="M156" s="308"/>
      <c r="N156" s="308"/>
      <c r="O156" s="308"/>
      <c r="P156" s="308"/>
      <c r="Q156" s="309"/>
    </row>
    <row r="157" spans="4:17" s="16" customFormat="1" ht="13.2" x14ac:dyDescent="0.25">
      <c r="D157" s="814" t="s">
        <v>1300</v>
      </c>
      <c r="E157" s="815"/>
      <c r="F157" s="815"/>
      <c r="G157" s="815"/>
      <c r="H157" s="815"/>
      <c r="I157" s="175">
        <f t="shared" ref="I157:Q157" si="117">SUM(I158:I162)</f>
        <v>0</v>
      </c>
      <c r="J157" s="175">
        <f t="shared" si="117"/>
        <v>5.6764399999999995</v>
      </c>
      <c r="K157" s="175">
        <f t="shared" si="117"/>
        <v>0</v>
      </c>
      <c r="L157" s="175">
        <f t="shared" si="117"/>
        <v>13.738100000000003</v>
      </c>
      <c r="M157" s="175">
        <f t="shared" si="117"/>
        <v>0</v>
      </c>
      <c r="N157" s="175">
        <f t="shared" si="117"/>
        <v>0</v>
      </c>
      <c r="O157" s="175">
        <f t="shared" si="117"/>
        <v>0</v>
      </c>
      <c r="P157" s="175">
        <f t="shared" si="117"/>
        <v>0</v>
      </c>
      <c r="Q157" s="175">
        <f t="shared" si="117"/>
        <v>0</v>
      </c>
    </row>
    <row r="158" spans="4:17" s="16" customFormat="1" ht="13.2" x14ac:dyDescent="0.25">
      <c r="D158" s="235">
        <v>1</v>
      </c>
      <c r="E158" s="237">
        <v>38</v>
      </c>
      <c r="F158" s="238">
        <v>5</v>
      </c>
      <c r="G158" s="239">
        <v>0.97</v>
      </c>
      <c r="H158" s="239">
        <f t="shared" ref="H158:H162" si="118">E158*G158</f>
        <v>36.86</v>
      </c>
      <c r="I158" s="131">
        <f t="shared" ref="I158:I162" si="119">IF($F158=4.2,H158*$B$23,0)</f>
        <v>0</v>
      </c>
      <c r="J158" s="31">
        <f t="shared" ref="J158:J162" si="120">IF($F158=5,$H158*$B$24,0)</f>
        <v>5.6764399999999995</v>
      </c>
      <c r="K158" s="31">
        <f t="shared" ref="K158:K162" si="121">IF($F158=6.3,$H158*$B$25,0)</f>
        <v>0</v>
      </c>
      <c r="L158" s="31">
        <f t="shared" ref="L158:L162" si="122">IF($F158=8,$H158*$B$26,0)</f>
        <v>0</v>
      </c>
      <c r="M158" s="31">
        <f t="shared" ref="M158:M162" si="123">IF($F158=10,$H158*$B$27,0)</f>
        <v>0</v>
      </c>
      <c r="N158" s="31">
        <f t="shared" ref="N158:N162" si="124">IF($F158=12.5,$H158*$B$28,0)</f>
        <v>0</v>
      </c>
      <c r="O158" s="31">
        <f t="shared" ref="O158:O162" si="125">IF($F158=16,$H158*$B$29,0)</f>
        <v>0</v>
      </c>
      <c r="P158" s="31">
        <f t="shared" ref="P158:P162" si="126">IF($F158=20,$H158*$B$30,0)</f>
        <v>0</v>
      </c>
      <c r="Q158" s="49">
        <f t="shared" ref="Q158:Q162" si="127">IF($F158=25,$H158*$B$31,0)</f>
        <v>0</v>
      </c>
    </row>
    <row r="159" spans="4:17" s="16" customFormat="1" ht="13.2" x14ac:dyDescent="0.25">
      <c r="D159" s="235">
        <v>4</v>
      </c>
      <c r="E159" s="237">
        <v>1</v>
      </c>
      <c r="F159" s="238">
        <v>8</v>
      </c>
      <c r="G159" s="239">
        <v>0.8</v>
      </c>
      <c r="H159" s="239">
        <f t="shared" ref="H159:H160" si="128">E159*G159</f>
        <v>0.8</v>
      </c>
      <c r="I159" s="131">
        <f t="shared" ref="I159:I160" si="129">IF($F159=4.2,H159*$B$23,0)</f>
        <v>0</v>
      </c>
      <c r="J159" s="31">
        <f t="shared" si="120"/>
        <v>0</v>
      </c>
      <c r="K159" s="31">
        <f t="shared" si="121"/>
        <v>0</v>
      </c>
      <c r="L159" s="31">
        <f t="shared" si="122"/>
        <v>0.31600000000000006</v>
      </c>
      <c r="M159" s="31">
        <f t="shared" si="123"/>
        <v>0</v>
      </c>
      <c r="N159" s="31">
        <f t="shared" si="124"/>
        <v>0</v>
      </c>
      <c r="O159" s="31">
        <f t="shared" si="125"/>
        <v>0</v>
      </c>
      <c r="P159" s="31">
        <f t="shared" si="126"/>
        <v>0</v>
      </c>
      <c r="Q159" s="49">
        <f t="shared" si="127"/>
        <v>0</v>
      </c>
    </row>
    <row r="160" spans="4:17" s="16" customFormat="1" ht="13.2" x14ac:dyDescent="0.25">
      <c r="D160" s="235">
        <v>5</v>
      </c>
      <c r="E160" s="237">
        <v>1</v>
      </c>
      <c r="F160" s="238">
        <v>8</v>
      </c>
      <c r="G160" s="239">
        <v>1.1000000000000001</v>
      </c>
      <c r="H160" s="239">
        <f t="shared" si="128"/>
        <v>1.1000000000000001</v>
      </c>
      <c r="I160" s="131">
        <f t="shared" si="129"/>
        <v>0</v>
      </c>
      <c r="J160" s="31">
        <f t="shared" si="120"/>
        <v>0</v>
      </c>
      <c r="K160" s="31">
        <f t="shared" si="121"/>
        <v>0</v>
      </c>
      <c r="L160" s="31">
        <f t="shared" si="122"/>
        <v>0.43450000000000005</v>
      </c>
      <c r="M160" s="31">
        <f t="shared" si="123"/>
        <v>0</v>
      </c>
      <c r="N160" s="31">
        <f t="shared" si="124"/>
        <v>0</v>
      </c>
      <c r="O160" s="31">
        <f t="shared" si="125"/>
        <v>0</v>
      </c>
      <c r="P160" s="31">
        <f t="shared" si="126"/>
        <v>0</v>
      </c>
      <c r="Q160" s="49">
        <f t="shared" si="127"/>
        <v>0</v>
      </c>
    </row>
    <row r="161" spans="4:17" s="16" customFormat="1" ht="13.2" x14ac:dyDescent="0.25">
      <c r="D161" s="235">
        <v>8</v>
      </c>
      <c r="E161" s="237">
        <v>2</v>
      </c>
      <c r="F161" s="238">
        <v>8</v>
      </c>
      <c r="G161" s="239">
        <v>8.14</v>
      </c>
      <c r="H161" s="239">
        <f t="shared" si="118"/>
        <v>16.28</v>
      </c>
      <c r="I161" s="131">
        <f t="shared" si="119"/>
        <v>0</v>
      </c>
      <c r="J161" s="31">
        <f t="shared" si="120"/>
        <v>0</v>
      </c>
      <c r="K161" s="31">
        <f t="shared" si="121"/>
        <v>0</v>
      </c>
      <c r="L161" s="31">
        <f t="shared" si="122"/>
        <v>6.430600000000001</v>
      </c>
      <c r="M161" s="31">
        <f t="shared" si="123"/>
        <v>0</v>
      </c>
      <c r="N161" s="31">
        <f t="shared" si="124"/>
        <v>0</v>
      </c>
      <c r="O161" s="31">
        <f t="shared" si="125"/>
        <v>0</v>
      </c>
      <c r="P161" s="31">
        <f t="shared" si="126"/>
        <v>0</v>
      </c>
      <c r="Q161" s="49">
        <f t="shared" si="127"/>
        <v>0</v>
      </c>
    </row>
    <row r="162" spans="4:17" s="16" customFormat="1" ht="13.2" x14ac:dyDescent="0.25">
      <c r="D162" s="235">
        <v>9</v>
      </c>
      <c r="E162" s="237">
        <v>2</v>
      </c>
      <c r="F162" s="238">
        <v>8</v>
      </c>
      <c r="G162" s="239">
        <v>8.3000000000000007</v>
      </c>
      <c r="H162" s="239">
        <f t="shared" si="118"/>
        <v>16.600000000000001</v>
      </c>
      <c r="I162" s="131">
        <f t="shared" si="119"/>
        <v>0</v>
      </c>
      <c r="J162" s="31">
        <f t="shared" si="120"/>
        <v>0</v>
      </c>
      <c r="K162" s="31">
        <f t="shared" si="121"/>
        <v>0</v>
      </c>
      <c r="L162" s="31">
        <f t="shared" si="122"/>
        <v>6.5570000000000013</v>
      </c>
      <c r="M162" s="31">
        <f t="shared" si="123"/>
        <v>0</v>
      </c>
      <c r="N162" s="31">
        <f t="shared" si="124"/>
        <v>0</v>
      </c>
      <c r="O162" s="31">
        <f t="shared" si="125"/>
        <v>0</v>
      </c>
      <c r="P162" s="31">
        <f t="shared" si="126"/>
        <v>0</v>
      </c>
      <c r="Q162" s="49">
        <f t="shared" si="127"/>
        <v>0</v>
      </c>
    </row>
    <row r="163" spans="4:17" s="16" customFormat="1" ht="13.2" x14ac:dyDescent="0.25">
      <c r="D163" s="307"/>
      <c r="E163" s="26"/>
      <c r="F163" s="206"/>
      <c r="G163" s="207"/>
      <c r="H163" s="207"/>
      <c r="I163" s="51"/>
      <c r="J163" s="308"/>
      <c r="K163" s="308"/>
      <c r="L163" s="308"/>
      <c r="M163" s="308"/>
      <c r="N163" s="308"/>
      <c r="O163" s="308"/>
      <c r="P163" s="308"/>
      <c r="Q163" s="309"/>
    </row>
    <row r="164" spans="4:17" s="16" customFormat="1" ht="13.2" x14ac:dyDescent="0.25">
      <c r="D164" s="814" t="s">
        <v>1301</v>
      </c>
      <c r="E164" s="815"/>
      <c r="F164" s="815"/>
      <c r="G164" s="815"/>
      <c r="H164" s="815"/>
      <c r="I164" s="175">
        <f t="shared" ref="I164:Q164" si="130">SUM(I165:I167)</f>
        <v>0</v>
      </c>
      <c r="J164" s="175">
        <f t="shared" si="130"/>
        <v>4.7801599999999995</v>
      </c>
      <c r="K164" s="175">
        <f t="shared" si="130"/>
        <v>0</v>
      </c>
      <c r="L164" s="175">
        <f t="shared" si="130"/>
        <v>11.297000000000001</v>
      </c>
      <c r="M164" s="175">
        <f t="shared" si="130"/>
        <v>0</v>
      </c>
      <c r="N164" s="175">
        <f t="shared" si="130"/>
        <v>0</v>
      </c>
      <c r="O164" s="175">
        <f t="shared" si="130"/>
        <v>0</v>
      </c>
      <c r="P164" s="175">
        <f t="shared" si="130"/>
        <v>0</v>
      </c>
      <c r="Q164" s="175">
        <f t="shared" si="130"/>
        <v>0</v>
      </c>
    </row>
    <row r="165" spans="4:17" s="16" customFormat="1" ht="13.2" x14ac:dyDescent="0.25">
      <c r="D165" s="235">
        <v>1</v>
      </c>
      <c r="E165" s="237">
        <v>32</v>
      </c>
      <c r="F165" s="238">
        <v>5</v>
      </c>
      <c r="G165" s="239">
        <v>0.97</v>
      </c>
      <c r="H165" s="239">
        <f t="shared" ref="H165:H167" si="131">E165*G165</f>
        <v>31.04</v>
      </c>
      <c r="I165" s="131">
        <f t="shared" ref="I165:I167" si="132">IF($F165=4.2,H165*$B$23,0)</f>
        <v>0</v>
      </c>
      <c r="J165" s="31">
        <f t="shared" ref="J165:J167" si="133">IF($F165=5,$H165*$B$24,0)</f>
        <v>4.7801599999999995</v>
      </c>
      <c r="K165" s="31">
        <f t="shared" ref="K165:K167" si="134">IF($F165=6.3,$H165*$B$25,0)</f>
        <v>0</v>
      </c>
      <c r="L165" s="31">
        <f t="shared" ref="L165:L167" si="135">IF($F165=8,$H165*$B$26,0)</f>
        <v>0</v>
      </c>
      <c r="M165" s="31">
        <f t="shared" ref="M165:M167" si="136">IF($F165=10,$H165*$B$27,0)</f>
        <v>0</v>
      </c>
      <c r="N165" s="31">
        <f t="shared" ref="N165:N167" si="137">IF($F165=12.5,$H165*$B$28,0)</f>
        <v>0</v>
      </c>
      <c r="O165" s="31">
        <f t="shared" ref="O165:O167" si="138">IF($F165=16,$H165*$B$29,0)</f>
        <v>0</v>
      </c>
      <c r="P165" s="31">
        <f t="shared" ref="P165:P167" si="139">IF($F165=20,$H165*$B$30,0)</f>
        <v>0</v>
      </c>
      <c r="Q165" s="49">
        <f t="shared" ref="Q165:Q167" si="140">IF($F165=25,$H165*$B$31,0)</f>
        <v>0</v>
      </c>
    </row>
    <row r="166" spans="4:17" s="16" customFormat="1" ht="13.2" x14ac:dyDescent="0.25">
      <c r="D166" s="235">
        <v>10</v>
      </c>
      <c r="E166" s="237">
        <v>2</v>
      </c>
      <c r="F166" s="238">
        <v>8</v>
      </c>
      <c r="G166" s="239">
        <v>7.07</v>
      </c>
      <c r="H166" s="239">
        <f t="shared" si="131"/>
        <v>14.14</v>
      </c>
      <c r="I166" s="131">
        <f t="shared" si="132"/>
        <v>0</v>
      </c>
      <c r="J166" s="31">
        <f t="shared" si="133"/>
        <v>0</v>
      </c>
      <c r="K166" s="31">
        <f t="shared" si="134"/>
        <v>0</v>
      </c>
      <c r="L166" s="31">
        <f t="shared" si="135"/>
        <v>5.5853000000000002</v>
      </c>
      <c r="M166" s="31">
        <f t="shared" si="136"/>
        <v>0</v>
      </c>
      <c r="N166" s="31">
        <f t="shared" si="137"/>
        <v>0</v>
      </c>
      <c r="O166" s="31">
        <f t="shared" si="138"/>
        <v>0</v>
      </c>
      <c r="P166" s="31">
        <f t="shared" si="139"/>
        <v>0</v>
      </c>
      <c r="Q166" s="49">
        <f t="shared" si="140"/>
        <v>0</v>
      </c>
    </row>
    <row r="167" spans="4:17" s="16" customFormat="1" ht="13.2" x14ac:dyDescent="0.25">
      <c r="D167" s="235">
        <v>11</v>
      </c>
      <c r="E167" s="237">
        <v>2</v>
      </c>
      <c r="F167" s="238">
        <v>8</v>
      </c>
      <c r="G167" s="239">
        <v>7.23</v>
      </c>
      <c r="H167" s="239">
        <f t="shared" si="131"/>
        <v>14.46</v>
      </c>
      <c r="I167" s="131">
        <f t="shared" si="132"/>
        <v>0</v>
      </c>
      <c r="J167" s="31">
        <f t="shared" si="133"/>
        <v>0</v>
      </c>
      <c r="K167" s="31">
        <f t="shared" si="134"/>
        <v>0</v>
      </c>
      <c r="L167" s="31">
        <f t="shared" si="135"/>
        <v>5.7117000000000004</v>
      </c>
      <c r="M167" s="31">
        <f t="shared" si="136"/>
        <v>0</v>
      </c>
      <c r="N167" s="31">
        <f t="shared" si="137"/>
        <v>0</v>
      </c>
      <c r="O167" s="31">
        <f t="shared" si="138"/>
        <v>0</v>
      </c>
      <c r="P167" s="31">
        <f t="shared" si="139"/>
        <v>0</v>
      </c>
      <c r="Q167" s="49">
        <f t="shared" si="140"/>
        <v>0</v>
      </c>
    </row>
    <row r="168" spans="4:17" s="16" customFormat="1" ht="13.8" thickBot="1" x14ac:dyDescent="0.3">
      <c r="D168" s="307"/>
      <c r="E168" s="26"/>
      <c r="F168" s="206"/>
      <c r="G168" s="207"/>
      <c r="H168" s="207"/>
      <c r="I168" s="51"/>
      <c r="J168" s="308"/>
      <c r="K168" s="308"/>
      <c r="L168" s="308"/>
      <c r="M168" s="308"/>
      <c r="N168" s="308"/>
      <c r="O168" s="308"/>
      <c r="P168" s="308"/>
      <c r="Q168" s="309"/>
    </row>
    <row r="169" spans="4:17" s="16" customFormat="1" ht="13.2" x14ac:dyDescent="0.25">
      <c r="D169" s="796" t="s">
        <v>1302</v>
      </c>
      <c r="E169" s="797"/>
      <c r="F169" s="797"/>
      <c r="G169" s="797"/>
      <c r="H169" s="797"/>
      <c r="I169" s="47">
        <f t="shared" ref="I169:Q169" si="141">SUM(I170:I172)</f>
        <v>0</v>
      </c>
      <c r="J169" s="47">
        <f t="shared" si="141"/>
        <v>15.23676</v>
      </c>
      <c r="K169" s="47">
        <f t="shared" si="141"/>
        <v>0</v>
      </c>
      <c r="L169" s="47">
        <f t="shared" si="141"/>
        <v>41.427599999999998</v>
      </c>
      <c r="M169" s="47">
        <f t="shared" si="141"/>
        <v>0</v>
      </c>
      <c r="N169" s="47">
        <f t="shared" si="141"/>
        <v>0</v>
      </c>
      <c r="O169" s="47">
        <f t="shared" si="141"/>
        <v>0</v>
      </c>
      <c r="P169" s="47">
        <f t="shared" si="141"/>
        <v>0</v>
      </c>
      <c r="Q169" s="47">
        <f t="shared" si="141"/>
        <v>0</v>
      </c>
    </row>
    <row r="170" spans="4:17" s="16" customFormat="1" ht="13.2" x14ac:dyDescent="0.25">
      <c r="D170" s="235">
        <v>1</v>
      </c>
      <c r="E170" s="237">
        <f>3*34</f>
        <v>102</v>
      </c>
      <c r="F170" s="238">
        <v>5</v>
      </c>
      <c r="G170" s="239">
        <v>0.97</v>
      </c>
      <c r="H170" s="239">
        <f>E170*G170</f>
        <v>98.94</v>
      </c>
      <c r="I170" s="131">
        <f>IF($F170=4.2,H170*$B$23,0)</f>
        <v>0</v>
      </c>
      <c r="J170" s="31">
        <f>IF($F170=5,$H170*$B$24,0)</f>
        <v>15.23676</v>
      </c>
      <c r="K170" s="31">
        <f>IF($F170=6.3,$H170*$B$25,0)</f>
        <v>0</v>
      </c>
      <c r="L170" s="31">
        <f>IF($F170=8,$H170*$B$26,0)</f>
        <v>0</v>
      </c>
      <c r="M170" s="31">
        <f>IF($F170=10,$H170*$B$27,0)</f>
        <v>0</v>
      </c>
      <c r="N170" s="31">
        <f>IF($F170=12.5,$H170*$B$28,0)</f>
        <v>0</v>
      </c>
      <c r="O170" s="31">
        <f>IF($F170=16,$H170*$B$29,0)</f>
        <v>0</v>
      </c>
      <c r="P170" s="31">
        <f>IF($F170=20,$H170*$B$30,0)</f>
        <v>0</v>
      </c>
      <c r="Q170" s="49">
        <f>IF($F170=25,$H170*$B$31,0)</f>
        <v>0</v>
      </c>
    </row>
    <row r="171" spans="4:17" s="16" customFormat="1" ht="13.2" x14ac:dyDescent="0.25">
      <c r="D171" s="235">
        <v>12</v>
      </c>
      <c r="E171" s="240">
        <f>3*4</f>
        <v>12</v>
      </c>
      <c r="F171" s="241">
        <v>8</v>
      </c>
      <c r="G171" s="242">
        <v>8.74</v>
      </c>
      <c r="H171" s="239">
        <f>E171*G171</f>
        <v>104.88</v>
      </c>
      <c r="I171" s="131">
        <f>IF($F171=4.2,H171*$B$23,0)</f>
        <v>0</v>
      </c>
      <c r="J171" s="31">
        <f>IF($F171=5,$H171*$B$24,0)</f>
        <v>0</v>
      </c>
      <c r="K171" s="31">
        <f>IF($F171=6.3,$H171*$B$25,0)</f>
        <v>0</v>
      </c>
      <c r="L171" s="31">
        <f>IF($F171=8,$H171*$B$26,0)</f>
        <v>41.427599999999998</v>
      </c>
      <c r="M171" s="31">
        <f>IF($F171=10,$H171*$B$27,0)</f>
        <v>0</v>
      </c>
      <c r="N171" s="31">
        <f>IF($F171=12.5,$H171*$B$28,0)</f>
        <v>0</v>
      </c>
      <c r="O171" s="31">
        <f>IF($F171=16,$H171*$B$29,0)</f>
        <v>0</v>
      </c>
      <c r="P171" s="31">
        <f>IF($F171=20,$H171*$B$30,0)</f>
        <v>0</v>
      </c>
      <c r="Q171" s="49">
        <f>IF($F171=25,$H171*$B$31,0)</f>
        <v>0</v>
      </c>
    </row>
    <row r="172" spans="4:17" s="16" customFormat="1" ht="13.2" x14ac:dyDescent="0.25">
      <c r="D172" s="235"/>
      <c r="E172" s="240"/>
      <c r="F172" s="241"/>
      <c r="G172" s="242"/>
      <c r="H172" s="239"/>
      <c r="I172" s="131"/>
      <c r="J172" s="31"/>
      <c r="K172" s="31"/>
      <c r="L172" s="31"/>
      <c r="M172" s="31"/>
      <c r="N172" s="31"/>
      <c r="O172" s="31"/>
      <c r="P172" s="31"/>
      <c r="Q172" s="49"/>
    </row>
    <row r="173" spans="4:17" s="16" customFormat="1" ht="30.6" customHeight="1" x14ac:dyDescent="0.25">
      <c r="D173" s="841" t="s">
        <v>1303</v>
      </c>
      <c r="E173" s="842"/>
      <c r="F173" s="842"/>
      <c r="G173" s="842"/>
      <c r="H173" s="842"/>
      <c r="I173" s="175">
        <f t="shared" ref="I173:Q173" si="142">SUM(I174:I175)</f>
        <v>0</v>
      </c>
      <c r="J173" s="175">
        <f t="shared" si="142"/>
        <v>6.5727199999999995</v>
      </c>
      <c r="K173" s="175">
        <f t="shared" si="142"/>
        <v>0</v>
      </c>
      <c r="L173" s="175">
        <f t="shared" si="142"/>
        <v>15.468200000000001</v>
      </c>
      <c r="M173" s="175">
        <f t="shared" si="142"/>
        <v>0</v>
      </c>
      <c r="N173" s="175">
        <f t="shared" si="142"/>
        <v>0</v>
      </c>
      <c r="O173" s="175">
        <f t="shared" si="142"/>
        <v>0</v>
      </c>
      <c r="P173" s="175">
        <f t="shared" si="142"/>
        <v>0</v>
      </c>
      <c r="Q173" s="175">
        <f t="shared" si="142"/>
        <v>0</v>
      </c>
    </row>
    <row r="174" spans="4:17" s="16" customFormat="1" ht="13.2" x14ac:dyDescent="0.25">
      <c r="D174" s="235">
        <v>1</v>
      </c>
      <c r="E174" s="237">
        <f>11*4</f>
        <v>44</v>
      </c>
      <c r="F174" s="241">
        <v>5</v>
      </c>
      <c r="G174" s="239">
        <v>0.97</v>
      </c>
      <c r="H174" s="239">
        <f t="shared" si="45"/>
        <v>42.68</v>
      </c>
      <c r="I174" s="131">
        <f>IF($F174=4.2,H174*$B$23,0)</f>
        <v>0</v>
      </c>
      <c r="J174" s="31">
        <f>IF($F174=5,$H174*$B$24,0)</f>
        <v>6.5727199999999995</v>
      </c>
      <c r="K174" s="31">
        <f>IF($F174=6.3,$H174*$B$25,0)</f>
        <v>0</v>
      </c>
      <c r="L174" s="31">
        <f>IF($F174=8,$H174*$B$26,0)</f>
        <v>0</v>
      </c>
      <c r="M174" s="31">
        <f>IF($F174=10,$H174*$B$27,0)</f>
        <v>0</v>
      </c>
      <c r="N174" s="31">
        <f>IF($F174=12.5,$H174*$B$28,0)</f>
        <v>0</v>
      </c>
      <c r="O174" s="31">
        <f>IF($F174=16,$H174*$B$29,0)</f>
        <v>0</v>
      </c>
      <c r="P174" s="31">
        <f>IF($F174=20,$H174*$B$30,0)</f>
        <v>0</v>
      </c>
      <c r="Q174" s="49">
        <f>IF($F174=25,$H174*$B$31,0)</f>
        <v>0</v>
      </c>
    </row>
    <row r="175" spans="4:17" s="16" customFormat="1" ht="13.2" x14ac:dyDescent="0.25">
      <c r="D175" s="235">
        <v>13</v>
      </c>
      <c r="E175" s="237">
        <f>11*4</f>
        <v>44</v>
      </c>
      <c r="F175" s="241">
        <v>8</v>
      </c>
      <c r="G175" s="242">
        <v>0.89</v>
      </c>
      <c r="H175" s="239">
        <f t="shared" ref="H175" si="143">E175*G175</f>
        <v>39.160000000000004</v>
      </c>
      <c r="I175" s="131">
        <f>IF($F175=4.2,H175*$B$23,0)</f>
        <v>0</v>
      </c>
      <c r="J175" s="31">
        <f>IF($F175=5,$H175*$B$24,0)</f>
        <v>0</v>
      </c>
      <c r="K175" s="31">
        <f>IF($F175=6.3,$H175*$B$25,0)</f>
        <v>0</v>
      </c>
      <c r="L175" s="31">
        <f>IF($F175=8,$H175*$B$26,0)</f>
        <v>15.468200000000001</v>
      </c>
      <c r="M175" s="31">
        <f>IF($F175=10,$H175*$B$27,0)</f>
        <v>0</v>
      </c>
      <c r="N175" s="31">
        <f>IF($F175=12.5,$H175*$B$28,0)</f>
        <v>0</v>
      </c>
      <c r="O175" s="31">
        <f>IF($F175=16,$H175*$B$29,0)</f>
        <v>0</v>
      </c>
      <c r="P175" s="31">
        <f>IF($F175=20,$H175*$B$30,0)</f>
        <v>0</v>
      </c>
      <c r="Q175" s="49">
        <f>IF($F175=25,$H175*$B$31,0)</f>
        <v>0</v>
      </c>
    </row>
    <row r="176" spans="4:17" s="16" customFormat="1" ht="15" customHeight="1" thickBot="1" x14ac:dyDescent="0.3">
      <c r="D176" s="243"/>
      <c r="E176" s="185"/>
      <c r="F176" s="32"/>
      <c r="G176" s="33"/>
      <c r="H176" s="28"/>
      <c r="I176" s="51"/>
      <c r="J176" s="52"/>
      <c r="K176" s="52"/>
      <c r="L176" s="52"/>
      <c r="M176" s="52"/>
      <c r="N176" s="52"/>
      <c r="O176" s="52"/>
      <c r="P176" s="52"/>
      <c r="Q176" s="53"/>
    </row>
    <row r="177" spans="4:17" s="16" customFormat="1" ht="13.2" x14ac:dyDescent="0.25">
      <c r="D177" s="810" t="s">
        <v>1304</v>
      </c>
      <c r="E177" s="811"/>
      <c r="F177" s="811"/>
      <c r="G177" s="811"/>
      <c r="H177" s="811"/>
      <c r="I177" s="47">
        <f t="shared" ref="I177:Q177" si="144">SUM(I178:I185)</f>
        <v>0</v>
      </c>
      <c r="J177" s="47">
        <f>SUM(J178:J185)</f>
        <v>5.8258199999999993</v>
      </c>
      <c r="K177" s="47">
        <f t="shared" si="144"/>
        <v>0</v>
      </c>
      <c r="L177" s="47">
        <f t="shared" si="144"/>
        <v>0</v>
      </c>
      <c r="M177" s="47">
        <f t="shared" si="144"/>
        <v>15.622439999999999</v>
      </c>
      <c r="N177" s="47">
        <f t="shared" si="144"/>
        <v>25.153559999999999</v>
      </c>
      <c r="O177" s="47">
        <f t="shared" si="144"/>
        <v>7.4797200000000004</v>
      </c>
      <c r="P177" s="47">
        <f t="shared" si="144"/>
        <v>0</v>
      </c>
      <c r="Q177" s="47">
        <f t="shared" si="144"/>
        <v>0</v>
      </c>
    </row>
    <row r="178" spans="4:17" s="16" customFormat="1" ht="13.2" x14ac:dyDescent="0.25">
      <c r="D178" s="235">
        <v>1</v>
      </c>
      <c r="E178" s="237">
        <v>39</v>
      </c>
      <c r="F178" s="238">
        <v>5</v>
      </c>
      <c r="G178" s="239">
        <v>0.97</v>
      </c>
      <c r="H178" s="239">
        <f t="shared" si="45"/>
        <v>37.83</v>
      </c>
      <c r="I178" s="131">
        <f t="shared" ref="I178:I185" si="145">IF($F178=4.2,H178*$B$23,0)</f>
        <v>0</v>
      </c>
      <c r="J178" s="31">
        <f t="shared" ref="J178:J185" si="146">IF($F178=5,$H178*$B$24,0)</f>
        <v>5.8258199999999993</v>
      </c>
      <c r="K178" s="31">
        <f t="shared" ref="K178:K185" si="147">IF($F178=6.3,$H178*$B$25,0)</f>
        <v>0</v>
      </c>
      <c r="L178" s="31">
        <f t="shared" ref="L178:L185" si="148">IF($F178=8,$H178*$B$26,0)</f>
        <v>0</v>
      </c>
      <c r="M178" s="31">
        <f t="shared" ref="M178:M185" si="149">IF($F178=10,$H178*$B$27,0)</f>
        <v>0</v>
      </c>
      <c r="N178" s="31">
        <f t="shared" ref="N178:N185" si="150">IF($F178=12.5,$H178*$B$28,0)</f>
        <v>0</v>
      </c>
      <c r="O178" s="31">
        <f t="shared" ref="O178:O185" si="151">IF($F178=16,$H178*$B$29,0)</f>
        <v>0</v>
      </c>
      <c r="P178" s="31">
        <f t="shared" ref="P178:P185" si="152">IF($F178=20,$H178*$B$30,0)</f>
        <v>0</v>
      </c>
      <c r="Q178" s="49">
        <f t="shared" ref="Q178:Q185" si="153">IF($F178=25,$H178*$B$31,0)</f>
        <v>0</v>
      </c>
    </row>
    <row r="179" spans="4:17" s="16" customFormat="1" ht="13.2" x14ac:dyDescent="0.25">
      <c r="D179" s="235">
        <v>17</v>
      </c>
      <c r="E179" s="240">
        <v>3</v>
      </c>
      <c r="F179" s="241">
        <v>10</v>
      </c>
      <c r="G179" s="242">
        <v>2.5499999999999998</v>
      </c>
      <c r="H179" s="239">
        <f t="shared" si="45"/>
        <v>7.6499999999999995</v>
      </c>
      <c r="I179" s="131">
        <f t="shared" si="145"/>
        <v>0</v>
      </c>
      <c r="J179" s="31">
        <f t="shared" si="146"/>
        <v>0</v>
      </c>
      <c r="K179" s="31">
        <f t="shared" si="147"/>
        <v>0</v>
      </c>
      <c r="L179" s="31">
        <f t="shared" si="148"/>
        <v>0</v>
      </c>
      <c r="M179" s="31">
        <f t="shared" si="149"/>
        <v>4.7200499999999996</v>
      </c>
      <c r="N179" s="31">
        <f t="shared" si="150"/>
        <v>0</v>
      </c>
      <c r="O179" s="31">
        <f t="shared" si="151"/>
        <v>0</v>
      </c>
      <c r="P179" s="31">
        <f t="shared" si="152"/>
        <v>0</v>
      </c>
      <c r="Q179" s="49">
        <f t="shared" si="153"/>
        <v>0</v>
      </c>
    </row>
    <row r="180" spans="4:17" s="16" customFormat="1" ht="13.2" x14ac:dyDescent="0.25">
      <c r="D180" s="235">
        <v>18</v>
      </c>
      <c r="E180" s="240">
        <v>1</v>
      </c>
      <c r="F180" s="241">
        <v>10</v>
      </c>
      <c r="G180" s="242">
        <v>3.79</v>
      </c>
      <c r="H180" s="239">
        <f t="shared" si="45"/>
        <v>3.79</v>
      </c>
      <c r="I180" s="131">
        <f t="shared" si="145"/>
        <v>0</v>
      </c>
      <c r="J180" s="31">
        <f t="shared" si="146"/>
        <v>0</v>
      </c>
      <c r="K180" s="31">
        <f t="shared" si="147"/>
        <v>0</v>
      </c>
      <c r="L180" s="31">
        <f t="shared" si="148"/>
        <v>0</v>
      </c>
      <c r="M180" s="31">
        <f t="shared" si="149"/>
        <v>2.3384299999999998</v>
      </c>
      <c r="N180" s="31">
        <f t="shared" si="150"/>
        <v>0</v>
      </c>
      <c r="O180" s="31">
        <f t="shared" si="151"/>
        <v>0</v>
      </c>
      <c r="P180" s="31">
        <f t="shared" si="152"/>
        <v>0</v>
      </c>
      <c r="Q180" s="49">
        <f t="shared" si="153"/>
        <v>0</v>
      </c>
    </row>
    <row r="181" spans="4:17" s="16" customFormat="1" ht="13.2" x14ac:dyDescent="0.25">
      <c r="D181" s="235">
        <v>19</v>
      </c>
      <c r="E181" s="240">
        <v>2</v>
      </c>
      <c r="F181" s="241">
        <v>10</v>
      </c>
      <c r="G181" s="242">
        <v>6.94</v>
      </c>
      <c r="H181" s="239">
        <f t="shared" si="45"/>
        <v>13.88</v>
      </c>
      <c r="I181" s="131">
        <f t="shared" si="145"/>
        <v>0</v>
      </c>
      <c r="J181" s="31">
        <f t="shared" si="146"/>
        <v>0</v>
      </c>
      <c r="K181" s="31">
        <f t="shared" si="147"/>
        <v>0</v>
      </c>
      <c r="L181" s="31">
        <f t="shared" si="148"/>
        <v>0</v>
      </c>
      <c r="M181" s="31">
        <f t="shared" si="149"/>
        <v>8.5639599999999998</v>
      </c>
      <c r="N181" s="31">
        <f t="shared" si="150"/>
        <v>0</v>
      </c>
      <c r="O181" s="31">
        <f t="shared" si="151"/>
        <v>0</v>
      </c>
      <c r="P181" s="31">
        <f t="shared" si="152"/>
        <v>0</v>
      </c>
      <c r="Q181" s="49">
        <f t="shared" si="153"/>
        <v>0</v>
      </c>
    </row>
    <row r="182" spans="4:17" s="16" customFormat="1" ht="13.2" x14ac:dyDescent="0.25">
      <c r="D182" s="235">
        <v>27</v>
      </c>
      <c r="E182" s="240">
        <v>2</v>
      </c>
      <c r="F182" s="241">
        <v>12.5</v>
      </c>
      <c r="G182" s="242">
        <v>3.23</v>
      </c>
      <c r="H182" s="239">
        <f t="shared" ref="H182" si="154">E182*G182</f>
        <v>6.46</v>
      </c>
      <c r="I182" s="131">
        <f t="shared" si="145"/>
        <v>0</v>
      </c>
      <c r="J182" s="31">
        <f t="shared" si="146"/>
        <v>0</v>
      </c>
      <c r="K182" s="31">
        <f t="shared" si="147"/>
        <v>0</v>
      </c>
      <c r="L182" s="31">
        <f t="shared" si="148"/>
        <v>0</v>
      </c>
      <c r="M182" s="31">
        <f t="shared" si="149"/>
        <v>0</v>
      </c>
      <c r="N182" s="31">
        <f t="shared" si="150"/>
        <v>6.22098</v>
      </c>
      <c r="O182" s="31">
        <f t="shared" si="151"/>
        <v>0</v>
      </c>
      <c r="P182" s="31">
        <f t="shared" si="152"/>
        <v>0</v>
      </c>
      <c r="Q182" s="49">
        <f t="shared" si="153"/>
        <v>0</v>
      </c>
    </row>
    <row r="183" spans="4:17" s="16" customFormat="1" ht="13.2" x14ac:dyDescent="0.25">
      <c r="D183" s="235">
        <v>28</v>
      </c>
      <c r="E183" s="240">
        <v>2</v>
      </c>
      <c r="F183" s="241">
        <v>12.5</v>
      </c>
      <c r="G183" s="242">
        <v>0.87</v>
      </c>
      <c r="H183" s="239">
        <f t="shared" ref="H183" si="155">E183*G183</f>
        <v>1.74</v>
      </c>
      <c r="I183" s="131">
        <f t="shared" si="145"/>
        <v>0</v>
      </c>
      <c r="J183" s="31">
        <f t="shared" si="146"/>
        <v>0</v>
      </c>
      <c r="K183" s="31">
        <f t="shared" si="147"/>
        <v>0</v>
      </c>
      <c r="L183" s="31">
        <f t="shared" si="148"/>
        <v>0</v>
      </c>
      <c r="M183" s="31">
        <f t="shared" si="149"/>
        <v>0</v>
      </c>
      <c r="N183" s="31">
        <f t="shared" si="150"/>
        <v>1.6756199999999999</v>
      </c>
      <c r="O183" s="31">
        <f t="shared" si="151"/>
        <v>0</v>
      </c>
      <c r="P183" s="31">
        <f t="shared" si="152"/>
        <v>0</v>
      </c>
      <c r="Q183" s="49">
        <f t="shared" si="153"/>
        <v>0</v>
      </c>
    </row>
    <row r="184" spans="4:17" s="16" customFormat="1" ht="13.2" x14ac:dyDescent="0.25">
      <c r="D184" s="235">
        <v>29</v>
      </c>
      <c r="E184" s="240">
        <v>2</v>
      </c>
      <c r="F184" s="241">
        <v>12.5</v>
      </c>
      <c r="G184" s="242">
        <v>8.9600000000000009</v>
      </c>
      <c r="H184" s="239">
        <f t="shared" si="45"/>
        <v>17.920000000000002</v>
      </c>
      <c r="I184" s="131">
        <f t="shared" si="145"/>
        <v>0</v>
      </c>
      <c r="J184" s="31">
        <f t="shared" si="146"/>
        <v>0</v>
      </c>
      <c r="K184" s="31">
        <f t="shared" si="147"/>
        <v>0</v>
      </c>
      <c r="L184" s="31">
        <f t="shared" si="148"/>
        <v>0</v>
      </c>
      <c r="M184" s="31">
        <f t="shared" si="149"/>
        <v>0</v>
      </c>
      <c r="N184" s="31">
        <f t="shared" si="150"/>
        <v>17.256959999999999</v>
      </c>
      <c r="O184" s="31">
        <f t="shared" si="151"/>
        <v>0</v>
      </c>
      <c r="P184" s="31">
        <f t="shared" si="152"/>
        <v>0</v>
      </c>
      <c r="Q184" s="49">
        <f t="shared" si="153"/>
        <v>0</v>
      </c>
    </row>
    <row r="185" spans="4:17" s="16" customFormat="1" ht="13.2" x14ac:dyDescent="0.25">
      <c r="D185" s="235">
        <v>37</v>
      </c>
      <c r="E185" s="240">
        <v>2</v>
      </c>
      <c r="F185" s="241">
        <v>16</v>
      </c>
      <c r="G185" s="242">
        <v>2.37</v>
      </c>
      <c r="H185" s="239">
        <f t="shared" si="45"/>
        <v>4.74</v>
      </c>
      <c r="I185" s="131">
        <f t="shared" si="145"/>
        <v>0</v>
      </c>
      <c r="J185" s="31">
        <f t="shared" si="146"/>
        <v>0</v>
      </c>
      <c r="K185" s="31">
        <f t="shared" si="147"/>
        <v>0</v>
      </c>
      <c r="L185" s="31">
        <f t="shared" si="148"/>
        <v>0</v>
      </c>
      <c r="M185" s="31">
        <f t="shared" si="149"/>
        <v>0</v>
      </c>
      <c r="N185" s="31">
        <f t="shared" si="150"/>
        <v>0</v>
      </c>
      <c r="O185" s="31">
        <f t="shared" si="151"/>
        <v>7.4797200000000004</v>
      </c>
      <c r="P185" s="31">
        <f t="shared" si="152"/>
        <v>0</v>
      </c>
      <c r="Q185" s="49">
        <f t="shared" si="153"/>
        <v>0</v>
      </c>
    </row>
    <row r="186" spans="4:17" s="16" customFormat="1" ht="15" customHeight="1" thickBot="1" x14ac:dyDescent="0.3">
      <c r="D186" s="55"/>
      <c r="E186" s="56"/>
      <c r="F186" s="57"/>
      <c r="G186" s="123"/>
      <c r="H186" s="123"/>
      <c r="I186" s="124"/>
      <c r="J186" s="30"/>
      <c r="K186" s="30"/>
      <c r="L186" s="30"/>
      <c r="M186" s="30"/>
      <c r="N186" s="30"/>
      <c r="O186" s="30"/>
      <c r="P186" s="30"/>
      <c r="Q186" s="54"/>
    </row>
    <row r="187" spans="4:17" s="16" customFormat="1" ht="13.2" x14ac:dyDescent="0.25">
      <c r="D187" s="810" t="s">
        <v>1305</v>
      </c>
      <c r="E187" s="811"/>
      <c r="F187" s="811"/>
      <c r="G187" s="811"/>
      <c r="H187" s="811"/>
      <c r="I187" s="175">
        <f>SUM(I188:I196)</f>
        <v>0</v>
      </c>
      <c r="J187" s="175">
        <f t="shared" ref="J187:Q187" si="156">SUM(J188:J196)</f>
        <v>5.8258199999999993</v>
      </c>
      <c r="K187" s="175">
        <f t="shared" si="156"/>
        <v>0</v>
      </c>
      <c r="L187" s="175">
        <f t="shared" si="156"/>
        <v>0</v>
      </c>
      <c r="M187" s="175">
        <f t="shared" si="156"/>
        <v>4.5041000000000002</v>
      </c>
      <c r="N187" s="175">
        <f t="shared" si="156"/>
        <v>41.476409999999994</v>
      </c>
      <c r="O187" s="175">
        <f t="shared" si="156"/>
        <v>0</v>
      </c>
      <c r="P187" s="175">
        <f t="shared" si="156"/>
        <v>0</v>
      </c>
      <c r="Q187" s="175">
        <f t="shared" si="156"/>
        <v>0</v>
      </c>
    </row>
    <row r="188" spans="4:17" s="16" customFormat="1" ht="13.2" x14ac:dyDescent="0.25">
      <c r="D188" s="235">
        <v>1</v>
      </c>
      <c r="E188" s="240">
        <v>39</v>
      </c>
      <c r="F188" s="241">
        <v>5</v>
      </c>
      <c r="G188" s="242">
        <v>0.97</v>
      </c>
      <c r="H188" s="239">
        <f t="shared" ref="H188:H196" si="157">E188*G188</f>
        <v>37.83</v>
      </c>
      <c r="I188" s="131">
        <f t="shared" ref="I188:I196" si="158">IF($F188=4.2,H188*$B$23,0)</f>
        <v>0</v>
      </c>
      <c r="J188" s="31">
        <f t="shared" ref="J188:J196" si="159">IF($F188=5,$H188*$B$24,0)</f>
        <v>5.8258199999999993</v>
      </c>
      <c r="K188" s="31">
        <f t="shared" ref="K188:K196" si="160">IF($F188=6.3,$H188*$B$25,0)</f>
        <v>0</v>
      </c>
      <c r="L188" s="31">
        <f t="shared" ref="L188:L196" si="161">IF($F188=8,$H188*$B$26,0)</f>
        <v>0</v>
      </c>
      <c r="M188" s="31">
        <f t="shared" ref="M188:M196" si="162">IF($F188=10,$H188*$B$27,0)</f>
        <v>0</v>
      </c>
      <c r="N188" s="31">
        <f t="shared" ref="N188:N196" si="163">IF($F188=12.5,$H188*$B$28,0)</f>
        <v>0</v>
      </c>
      <c r="O188" s="31">
        <f t="shared" ref="O188:O196" si="164">IF($F188=16,$H188*$B$29,0)</f>
        <v>0</v>
      </c>
      <c r="P188" s="31">
        <f t="shared" ref="P188:P196" si="165">IF($F188=20,$H188*$B$30,0)</f>
        <v>0</v>
      </c>
      <c r="Q188" s="49">
        <f t="shared" ref="Q188:Q196" si="166">IF($F188=25,$H188*$B$31,0)</f>
        <v>0</v>
      </c>
    </row>
    <row r="189" spans="4:17" s="16" customFormat="1" ht="13.2" x14ac:dyDescent="0.25">
      <c r="D189" s="235">
        <v>20</v>
      </c>
      <c r="E189" s="240">
        <v>2</v>
      </c>
      <c r="F189" s="241">
        <v>10</v>
      </c>
      <c r="G189" s="242">
        <v>3.65</v>
      </c>
      <c r="H189" s="239">
        <f t="shared" si="157"/>
        <v>7.3</v>
      </c>
      <c r="I189" s="131">
        <f t="shared" si="158"/>
        <v>0</v>
      </c>
      <c r="J189" s="31">
        <f t="shared" si="159"/>
        <v>0</v>
      </c>
      <c r="K189" s="31">
        <f t="shared" si="160"/>
        <v>0</v>
      </c>
      <c r="L189" s="31">
        <f t="shared" si="161"/>
        <v>0</v>
      </c>
      <c r="M189" s="31">
        <f t="shared" si="162"/>
        <v>4.5041000000000002</v>
      </c>
      <c r="N189" s="31">
        <f t="shared" si="163"/>
        <v>0</v>
      </c>
      <c r="O189" s="31">
        <f t="shared" si="164"/>
        <v>0</v>
      </c>
      <c r="P189" s="31">
        <f t="shared" si="165"/>
        <v>0</v>
      </c>
      <c r="Q189" s="49">
        <f t="shared" si="166"/>
        <v>0</v>
      </c>
    </row>
    <row r="190" spans="4:17" s="16" customFormat="1" ht="13.2" x14ac:dyDescent="0.25">
      <c r="D190" s="235">
        <v>28</v>
      </c>
      <c r="E190" s="237">
        <v>2</v>
      </c>
      <c r="F190" s="238">
        <v>12.5</v>
      </c>
      <c r="G190" s="239">
        <v>0.87</v>
      </c>
      <c r="H190" s="239">
        <f t="shared" si="157"/>
        <v>1.74</v>
      </c>
      <c r="I190" s="131">
        <f t="shared" si="158"/>
        <v>0</v>
      </c>
      <c r="J190" s="31">
        <f t="shared" si="159"/>
        <v>0</v>
      </c>
      <c r="K190" s="31">
        <f t="shared" si="160"/>
        <v>0</v>
      </c>
      <c r="L190" s="31">
        <f t="shared" si="161"/>
        <v>0</v>
      </c>
      <c r="M190" s="31">
        <f t="shared" si="162"/>
        <v>0</v>
      </c>
      <c r="N190" s="31">
        <f t="shared" si="163"/>
        <v>1.6756199999999999</v>
      </c>
      <c r="O190" s="31">
        <f t="shared" si="164"/>
        <v>0</v>
      </c>
      <c r="P190" s="31">
        <f t="shared" si="165"/>
        <v>0</v>
      </c>
      <c r="Q190" s="49">
        <f t="shared" si="166"/>
        <v>0</v>
      </c>
    </row>
    <row r="191" spans="4:17" s="16" customFormat="1" ht="13.2" x14ac:dyDescent="0.25">
      <c r="D191" s="235">
        <v>29</v>
      </c>
      <c r="E191" s="240">
        <v>2</v>
      </c>
      <c r="F191" s="238">
        <v>12.5</v>
      </c>
      <c r="G191" s="242">
        <v>8.9600000000000009</v>
      </c>
      <c r="H191" s="239">
        <f t="shared" si="157"/>
        <v>17.920000000000002</v>
      </c>
      <c r="I191" s="131">
        <f t="shared" si="158"/>
        <v>0</v>
      </c>
      <c r="J191" s="31">
        <f t="shared" si="159"/>
        <v>0</v>
      </c>
      <c r="K191" s="31">
        <f t="shared" si="160"/>
        <v>0</v>
      </c>
      <c r="L191" s="31">
        <f t="shared" si="161"/>
        <v>0</v>
      </c>
      <c r="M191" s="31">
        <f t="shared" si="162"/>
        <v>0</v>
      </c>
      <c r="N191" s="31">
        <f t="shared" si="163"/>
        <v>17.256959999999999</v>
      </c>
      <c r="O191" s="31">
        <f t="shared" si="164"/>
        <v>0</v>
      </c>
      <c r="P191" s="31">
        <f t="shared" si="165"/>
        <v>0</v>
      </c>
      <c r="Q191" s="49">
        <f t="shared" si="166"/>
        <v>0</v>
      </c>
    </row>
    <row r="192" spans="4:17" s="16" customFormat="1" ht="13.2" x14ac:dyDescent="0.25">
      <c r="D192" s="235">
        <v>30</v>
      </c>
      <c r="E192" s="240">
        <v>2</v>
      </c>
      <c r="F192" s="238">
        <v>12.5</v>
      </c>
      <c r="G192" s="242">
        <v>3.33</v>
      </c>
      <c r="H192" s="239">
        <f t="shared" si="157"/>
        <v>6.66</v>
      </c>
      <c r="I192" s="131">
        <f t="shared" si="158"/>
        <v>0</v>
      </c>
      <c r="J192" s="31">
        <f t="shared" si="159"/>
        <v>0</v>
      </c>
      <c r="K192" s="31">
        <f t="shared" si="160"/>
        <v>0</v>
      </c>
      <c r="L192" s="31">
        <f t="shared" si="161"/>
        <v>0</v>
      </c>
      <c r="M192" s="31">
        <f t="shared" si="162"/>
        <v>0</v>
      </c>
      <c r="N192" s="31">
        <f t="shared" si="163"/>
        <v>6.4135799999999996</v>
      </c>
      <c r="O192" s="31">
        <f t="shared" si="164"/>
        <v>0</v>
      </c>
      <c r="P192" s="31">
        <f t="shared" si="165"/>
        <v>0</v>
      </c>
      <c r="Q192" s="49">
        <f t="shared" si="166"/>
        <v>0</v>
      </c>
    </row>
    <row r="193" spans="4:17" s="16" customFormat="1" ht="13.2" x14ac:dyDescent="0.25">
      <c r="D193" s="235">
        <v>31</v>
      </c>
      <c r="E193" s="240">
        <v>1</v>
      </c>
      <c r="F193" s="241">
        <v>12.5</v>
      </c>
      <c r="G193" s="242">
        <v>2.77</v>
      </c>
      <c r="H193" s="239">
        <f t="shared" si="157"/>
        <v>2.77</v>
      </c>
      <c r="I193" s="131">
        <f t="shared" si="158"/>
        <v>0</v>
      </c>
      <c r="J193" s="31">
        <f t="shared" si="159"/>
        <v>0</v>
      </c>
      <c r="K193" s="31">
        <f t="shared" si="160"/>
        <v>0</v>
      </c>
      <c r="L193" s="31">
        <f t="shared" si="161"/>
        <v>0</v>
      </c>
      <c r="M193" s="31">
        <f t="shared" si="162"/>
        <v>0</v>
      </c>
      <c r="N193" s="31">
        <f t="shared" si="163"/>
        <v>2.66751</v>
      </c>
      <c r="O193" s="31">
        <f t="shared" si="164"/>
        <v>0</v>
      </c>
      <c r="P193" s="31">
        <f t="shared" si="165"/>
        <v>0</v>
      </c>
      <c r="Q193" s="49">
        <f t="shared" si="166"/>
        <v>0</v>
      </c>
    </row>
    <row r="194" spans="4:17" s="16" customFormat="1" ht="13.2" x14ac:dyDescent="0.25">
      <c r="D194" s="235">
        <v>32</v>
      </c>
      <c r="E194" s="237">
        <v>2</v>
      </c>
      <c r="F194" s="241">
        <v>12.5</v>
      </c>
      <c r="G194" s="239">
        <v>3.41</v>
      </c>
      <c r="H194" s="239">
        <f t="shared" si="157"/>
        <v>6.82</v>
      </c>
      <c r="I194" s="131">
        <f t="shared" si="158"/>
        <v>0</v>
      </c>
      <c r="J194" s="31">
        <f t="shared" si="159"/>
        <v>0</v>
      </c>
      <c r="K194" s="31">
        <f t="shared" si="160"/>
        <v>0</v>
      </c>
      <c r="L194" s="31">
        <f t="shared" si="161"/>
        <v>0</v>
      </c>
      <c r="M194" s="31">
        <f t="shared" si="162"/>
        <v>0</v>
      </c>
      <c r="N194" s="31">
        <f t="shared" si="163"/>
        <v>6.5676600000000001</v>
      </c>
      <c r="O194" s="31">
        <f t="shared" si="164"/>
        <v>0</v>
      </c>
      <c r="P194" s="31">
        <f t="shared" si="165"/>
        <v>0</v>
      </c>
      <c r="Q194" s="49">
        <f t="shared" si="166"/>
        <v>0</v>
      </c>
    </row>
    <row r="195" spans="4:17" s="16" customFormat="1" ht="13.2" x14ac:dyDescent="0.25">
      <c r="D195" s="235">
        <v>33</v>
      </c>
      <c r="E195" s="240">
        <v>1</v>
      </c>
      <c r="F195" s="241">
        <v>12.5</v>
      </c>
      <c r="G195" s="242">
        <v>1.72</v>
      </c>
      <c r="H195" s="239">
        <f t="shared" si="157"/>
        <v>1.72</v>
      </c>
      <c r="I195" s="131">
        <f t="shared" si="158"/>
        <v>0</v>
      </c>
      <c r="J195" s="31">
        <f t="shared" si="159"/>
        <v>0</v>
      </c>
      <c r="K195" s="31">
        <f t="shared" si="160"/>
        <v>0</v>
      </c>
      <c r="L195" s="31">
        <f t="shared" si="161"/>
        <v>0</v>
      </c>
      <c r="M195" s="31">
        <f t="shared" si="162"/>
        <v>0</v>
      </c>
      <c r="N195" s="31">
        <f t="shared" si="163"/>
        <v>1.6563599999999998</v>
      </c>
      <c r="O195" s="31">
        <f t="shared" si="164"/>
        <v>0</v>
      </c>
      <c r="P195" s="31">
        <f t="shared" si="165"/>
        <v>0</v>
      </c>
      <c r="Q195" s="49">
        <f t="shared" si="166"/>
        <v>0</v>
      </c>
    </row>
    <row r="196" spans="4:17" s="16" customFormat="1" ht="13.2" x14ac:dyDescent="0.25">
      <c r="D196" s="235">
        <v>34</v>
      </c>
      <c r="E196" s="240">
        <v>2</v>
      </c>
      <c r="F196" s="241">
        <v>12.5</v>
      </c>
      <c r="G196" s="242">
        <v>2.72</v>
      </c>
      <c r="H196" s="239">
        <f t="shared" si="157"/>
        <v>5.44</v>
      </c>
      <c r="I196" s="131">
        <f t="shared" si="158"/>
        <v>0</v>
      </c>
      <c r="J196" s="31">
        <f t="shared" si="159"/>
        <v>0</v>
      </c>
      <c r="K196" s="31">
        <f t="shared" si="160"/>
        <v>0</v>
      </c>
      <c r="L196" s="31">
        <f t="shared" si="161"/>
        <v>0</v>
      </c>
      <c r="M196" s="31">
        <f t="shared" si="162"/>
        <v>0</v>
      </c>
      <c r="N196" s="31">
        <f t="shared" si="163"/>
        <v>5.2387199999999998</v>
      </c>
      <c r="O196" s="31">
        <f t="shared" si="164"/>
        <v>0</v>
      </c>
      <c r="P196" s="31">
        <f t="shared" si="165"/>
        <v>0</v>
      </c>
      <c r="Q196" s="49">
        <f t="shared" si="166"/>
        <v>0</v>
      </c>
    </row>
    <row r="197" spans="4:17" s="16" customFormat="1" ht="15" customHeight="1" thickBot="1" x14ac:dyDescent="0.3">
      <c r="D197" s="55"/>
      <c r="E197" s="56"/>
      <c r="F197" s="57"/>
      <c r="G197" s="123"/>
      <c r="H197" s="123"/>
      <c r="I197" s="122"/>
      <c r="J197" s="29"/>
      <c r="K197" s="29"/>
      <c r="L197" s="29"/>
      <c r="M197" s="29"/>
      <c r="N197" s="29"/>
      <c r="O197" s="29"/>
      <c r="P197" s="29"/>
      <c r="Q197" s="37"/>
    </row>
    <row r="198" spans="4:17" s="16" customFormat="1" ht="13.2" x14ac:dyDescent="0.25">
      <c r="D198" s="814" t="s">
        <v>1306</v>
      </c>
      <c r="E198" s="815"/>
      <c r="F198" s="815"/>
      <c r="G198" s="815"/>
      <c r="H198" s="815"/>
      <c r="I198" s="47">
        <f>SUM(I199:I206)</f>
        <v>0</v>
      </c>
      <c r="J198" s="47">
        <f>SUM(J199:J206)</f>
        <v>11.651639999999999</v>
      </c>
      <c r="K198" s="47">
        <f t="shared" ref="K198:Q198" si="167">SUM(K199:K206)</f>
        <v>0</v>
      </c>
      <c r="L198" s="47">
        <f t="shared" si="167"/>
        <v>0</v>
      </c>
      <c r="M198" s="47">
        <f t="shared" si="167"/>
        <v>33.132899999999999</v>
      </c>
      <c r="N198" s="47">
        <f t="shared" si="167"/>
        <v>51.847919999999995</v>
      </c>
      <c r="O198" s="47">
        <f t="shared" si="167"/>
        <v>0</v>
      </c>
      <c r="P198" s="47">
        <f t="shared" si="167"/>
        <v>0</v>
      </c>
      <c r="Q198" s="47">
        <f t="shared" si="167"/>
        <v>0</v>
      </c>
    </row>
    <row r="199" spans="4:17" s="16" customFormat="1" ht="13.2" x14ac:dyDescent="0.25">
      <c r="D199" s="235">
        <v>1</v>
      </c>
      <c r="E199" s="237">
        <f>2*39</f>
        <v>78</v>
      </c>
      <c r="F199" s="238">
        <v>5</v>
      </c>
      <c r="G199" s="239">
        <v>0.97</v>
      </c>
      <c r="H199" s="239">
        <f t="shared" ref="H199:H206" si="168">E199*G199</f>
        <v>75.66</v>
      </c>
      <c r="I199" s="131">
        <f t="shared" ref="I199:I206" si="169">IF($F199=4.2,H199*$B$23,0)</f>
        <v>0</v>
      </c>
      <c r="J199" s="31">
        <f t="shared" ref="J199:J206" si="170">IF($F199=5,$H199*$B$24,0)</f>
        <v>11.651639999999999</v>
      </c>
      <c r="K199" s="31">
        <f t="shared" ref="K199:K206" si="171">IF($F199=6.3,$H199*$B$25,0)</f>
        <v>0</v>
      </c>
      <c r="L199" s="31">
        <f t="shared" ref="L199:L206" si="172">IF($F199=8,$H199*$B$26,0)</f>
        <v>0</v>
      </c>
      <c r="M199" s="31">
        <f t="shared" ref="M199:M206" si="173">IF($F199=10,$H199*$B$27,0)</f>
        <v>0</v>
      </c>
      <c r="N199" s="31">
        <f t="shared" ref="N199:N206" si="174">IF($F199=12.5,$H199*$B$28,0)</f>
        <v>0</v>
      </c>
      <c r="O199" s="31">
        <f t="shared" ref="O199:O206" si="175">IF($F199=16,$H199*$B$29,0)</f>
        <v>0</v>
      </c>
      <c r="P199" s="31">
        <f t="shared" ref="P199:P206" si="176">IF($F199=20,$H199*$B$30,0)</f>
        <v>0</v>
      </c>
      <c r="Q199" s="49">
        <f t="shared" ref="Q199:Q206" si="177">IF($F199=25,$H199*$B$31,0)</f>
        <v>0</v>
      </c>
    </row>
    <row r="200" spans="4:17" s="16" customFormat="1" ht="13.2" x14ac:dyDescent="0.25">
      <c r="D200" s="235">
        <v>21</v>
      </c>
      <c r="E200" s="240">
        <f>2*2</f>
        <v>4</v>
      </c>
      <c r="F200" s="241">
        <v>10</v>
      </c>
      <c r="G200" s="242">
        <v>1.72</v>
      </c>
      <c r="H200" s="239">
        <f t="shared" si="168"/>
        <v>6.88</v>
      </c>
      <c r="I200" s="131">
        <f t="shared" si="169"/>
        <v>0</v>
      </c>
      <c r="J200" s="31">
        <f t="shared" si="170"/>
        <v>0</v>
      </c>
      <c r="K200" s="31">
        <f t="shared" si="171"/>
        <v>0</v>
      </c>
      <c r="L200" s="31">
        <f t="shared" si="172"/>
        <v>0</v>
      </c>
      <c r="M200" s="31">
        <f t="shared" si="173"/>
        <v>4.2449599999999998</v>
      </c>
      <c r="N200" s="31">
        <f t="shared" si="174"/>
        <v>0</v>
      </c>
      <c r="O200" s="31">
        <f t="shared" si="175"/>
        <v>0</v>
      </c>
      <c r="P200" s="31">
        <f t="shared" si="176"/>
        <v>0</v>
      </c>
      <c r="Q200" s="49">
        <f t="shared" si="177"/>
        <v>0</v>
      </c>
    </row>
    <row r="201" spans="4:17" s="16" customFormat="1" ht="13.2" x14ac:dyDescent="0.25">
      <c r="D201" s="235">
        <v>22</v>
      </c>
      <c r="E201" s="240">
        <f>2*1</f>
        <v>2</v>
      </c>
      <c r="F201" s="241">
        <v>10</v>
      </c>
      <c r="G201" s="242">
        <v>2.2000000000000002</v>
      </c>
      <c r="H201" s="239">
        <f t="shared" si="168"/>
        <v>4.4000000000000004</v>
      </c>
      <c r="I201" s="131">
        <f t="shared" si="169"/>
        <v>0</v>
      </c>
      <c r="J201" s="31">
        <f t="shared" si="170"/>
        <v>0</v>
      </c>
      <c r="K201" s="31">
        <f t="shared" si="171"/>
        <v>0</v>
      </c>
      <c r="L201" s="31">
        <f t="shared" si="172"/>
        <v>0</v>
      </c>
      <c r="M201" s="31">
        <f t="shared" si="173"/>
        <v>2.7148000000000003</v>
      </c>
      <c r="N201" s="31">
        <f t="shared" si="174"/>
        <v>0</v>
      </c>
      <c r="O201" s="31">
        <f t="shared" si="175"/>
        <v>0</v>
      </c>
      <c r="P201" s="31">
        <f t="shared" si="176"/>
        <v>0</v>
      </c>
      <c r="Q201" s="49">
        <f t="shared" si="177"/>
        <v>0</v>
      </c>
    </row>
    <row r="202" spans="4:17" s="16" customFormat="1" ht="13.2" x14ac:dyDescent="0.25">
      <c r="D202" s="235">
        <v>23</v>
      </c>
      <c r="E202" s="240">
        <f>2*1</f>
        <v>2</v>
      </c>
      <c r="F202" s="241">
        <v>10</v>
      </c>
      <c r="G202" s="242">
        <v>2.79</v>
      </c>
      <c r="H202" s="239">
        <f t="shared" si="168"/>
        <v>5.58</v>
      </c>
      <c r="I202" s="131">
        <f t="shared" si="169"/>
        <v>0</v>
      </c>
      <c r="J202" s="31">
        <f t="shared" si="170"/>
        <v>0</v>
      </c>
      <c r="K202" s="31">
        <f t="shared" si="171"/>
        <v>0</v>
      </c>
      <c r="L202" s="31">
        <f t="shared" si="172"/>
        <v>0</v>
      </c>
      <c r="M202" s="31">
        <f t="shared" si="173"/>
        <v>3.44286</v>
      </c>
      <c r="N202" s="31">
        <f t="shared" si="174"/>
        <v>0</v>
      </c>
      <c r="O202" s="31">
        <f t="shared" si="175"/>
        <v>0</v>
      </c>
      <c r="P202" s="31">
        <f t="shared" si="176"/>
        <v>0</v>
      </c>
      <c r="Q202" s="49">
        <f t="shared" si="177"/>
        <v>0</v>
      </c>
    </row>
    <row r="203" spans="4:17" s="16" customFormat="1" ht="13.2" x14ac:dyDescent="0.25">
      <c r="D203" s="235">
        <v>24</v>
      </c>
      <c r="E203" s="240">
        <f>2*2</f>
        <v>4</v>
      </c>
      <c r="F203" s="241">
        <v>10</v>
      </c>
      <c r="G203" s="242">
        <v>9.2100000000000009</v>
      </c>
      <c r="H203" s="239">
        <f t="shared" si="168"/>
        <v>36.840000000000003</v>
      </c>
      <c r="I203" s="131">
        <f t="shared" si="169"/>
        <v>0</v>
      </c>
      <c r="J203" s="31">
        <f t="shared" si="170"/>
        <v>0</v>
      </c>
      <c r="K203" s="31">
        <f t="shared" si="171"/>
        <v>0</v>
      </c>
      <c r="L203" s="31">
        <f t="shared" si="172"/>
        <v>0</v>
      </c>
      <c r="M203" s="31">
        <f t="shared" si="173"/>
        <v>22.73028</v>
      </c>
      <c r="N203" s="31">
        <f t="shared" si="174"/>
        <v>0</v>
      </c>
      <c r="O203" s="31">
        <f t="shared" si="175"/>
        <v>0</v>
      </c>
      <c r="P203" s="31">
        <f t="shared" si="176"/>
        <v>0</v>
      </c>
      <c r="Q203" s="49">
        <f t="shared" si="177"/>
        <v>0</v>
      </c>
    </row>
    <row r="204" spans="4:17" s="16" customFormat="1" ht="13.2" x14ac:dyDescent="0.25">
      <c r="D204" s="235">
        <v>28</v>
      </c>
      <c r="E204" s="240">
        <f>2*2</f>
        <v>4</v>
      </c>
      <c r="F204" s="241">
        <v>12.5</v>
      </c>
      <c r="G204" s="242">
        <v>0.87</v>
      </c>
      <c r="H204" s="239">
        <f t="shared" si="168"/>
        <v>3.48</v>
      </c>
      <c r="I204" s="131">
        <f t="shared" si="169"/>
        <v>0</v>
      </c>
      <c r="J204" s="31">
        <f t="shared" si="170"/>
        <v>0</v>
      </c>
      <c r="K204" s="31">
        <f t="shared" si="171"/>
        <v>0</v>
      </c>
      <c r="L204" s="31">
        <f t="shared" si="172"/>
        <v>0</v>
      </c>
      <c r="M204" s="31">
        <f t="shared" si="173"/>
        <v>0</v>
      </c>
      <c r="N204" s="31">
        <f t="shared" si="174"/>
        <v>3.3512399999999998</v>
      </c>
      <c r="O204" s="31">
        <f t="shared" si="175"/>
        <v>0</v>
      </c>
      <c r="P204" s="31">
        <f t="shared" si="176"/>
        <v>0</v>
      </c>
      <c r="Q204" s="49">
        <f t="shared" si="177"/>
        <v>0</v>
      </c>
    </row>
    <row r="205" spans="4:17" s="16" customFormat="1" ht="13.2" x14ac:dyDescent="0.25">
      <c r="D205" s="235">
        <v>29</v>
      </c>
      <c r="E205" s="240">
        <f>2*2</f>
        <v>4</v>
      </c>
      <c r="F205" s="241">
        <v>12.5</v>
      </c>
      <c r="G205" s="242">
        <v>8.9600000000000009</v>
      </c>
      <c r="H205" s="239">
        <f t="shared" si="168"/>
        <v>35.840000000000003</v>
      </c>
      <c r="I205" s="131">
        <f t="shared" si="169"/>
        <v>0</v>
      </c>
      <c r="J205" s="31">
        <f t="shared" si="170"/>
        <v>0</v>
      </c>
      <c r="K205" s="31">
        <f t="shared" si="171"/>
        <v>0</v>
      </c>
      <c r="L205" s="31">
        <f t="shared" si="172"/>
        <v>0</v>
      </c>
      <c r="M205" s="31">
        <f t="shared" si="173"/>
        <v>0</v>
      </c>
      <c r="N205" s="31">
        <f t="shared" si="174"/>
        <v>34.513919999999999</v>
      </c>
      <c r="O205" s="31">
        <f t="shared" si="175"/>
        <v>0</v>
      </c>
      <c r="P205" s="31">
        <f t="shared" si="176"/>
        <v>0</v>
      </c>
      <c r="Q205" s="49">
        <f t="shared" si="177"/>
        <v>0</v>
      </c>
    </row>
    <row r="206" spans="4:17" s="16" customFormat="1" ht="13.2" x14ac:dyDescent="0.25">
      <c r="D206" s="235">
        <v>35</v>
      </c>
      <c r="E206" s="240">
        <f>2*2</f>
        <v>4</v>
      </c>
      <c r="F206" s="241">
        <v>12.5</v>
      </c>
      <c r="G206" s="242">
        <v>3.63</v>
      </c>
      <c r="H206" s="239">
        <f t="shared" si="168"/>
        <v>14.52</v>
      </c>
      <c r="I206" s="131">
        <f t="shared" si="169"/>
        <v>0</v>
      </c>
      <c r="J206" s="31">
        <f t="shared" si="170"/>
        <v>0</v>
      </c>
      <c r="K206" s="31">
        <f t="shared" si="171"/>
        <v>0</v>
      </c>
      <c r="L206" s="31">
        <f t="shared" si="172"/>
        <v>0</v>
      </c>
      <c r="M206" s="31">
        <f t="shared" si="173"/>
        <v>0</v>
      </c>
      <c r="N206" s="31">
        <f t="shared" si="174"/>
        <v>13.982759999999999</v>
      </c>
      <c r="O206" s="31">
        <f t="shared" si="175"/>
        <v>0</v>
      </c>
      <c r="P206" s="31">
        <f t="shared" si="176"/>
        <v>0</v>
      </c>
      <c r="Q206" s="49">
        <f t="shared" si="177"/>
        <v>0</v>
      </c>
    </row>
    <row r="207" spans="4:17" s="16" customFormat="1" ht="13.8" thickBot="1" x14ac:dyDescent="0.3">
      <c r="D207" s="235"/>
      <c r="E207" s="240"/>
      <c r="F207" s="241"/>
      <c r="G207" s="242"/>
      <c r="H207" s="242"/>
      <c r="I207" s="122"/>
      <c r="J207" s="29"/>
      <c r="K207" s="29"/>
      <c r="L207" s="29"/>
      <c r="M207" s="29"/>
      <c r="N207" s="29"/>
      <c r="O207" s="29"/>
      <c r="P207" s="29"/>
      <c r="Q207" s="37"/>
    </row>
    <row r="208" spans="4:17" s="16" customFormat="1" ht="13.2" x14ac:dyDescent="0.25">
      <c r="D208" s="810" t="s">
        <v>1307</v>
      </c>
      <c r="E208" s="811"/>
      <c r="F208" s="811"/>
      <c r="G208" s="811"/>
      <c r="H208" s="811"/>
      <c r="I208" s="47">
        <f t="shared" ref="I208:Q208" si="178">SUM(I209:I216)</f>
        <v>0</v>
      </c>
      <c r="J208" s="47">
        <f>SUM(J209:J216)</f>
        <v>5.8258199999999993</v>
      </c>
      <c r="K208" s="47">
        <f t="shared" si="178"/>
        <v>0</v>
      </c>
      <c r="L208" s="47">
        <f t="shared" si="178"/>
        <v>0</v>
      </c>
      <c r="M208" s="47">
        <f t="shared" si="178"/>
        <v>16.510919999999999</v>
      </c>
      <c r="N208" s="47">
        <f t="shared" si="178"/>
        <v>25.731359999999999</v>
      </c>
      <c r="O208" s="47">
        <f t="shared" si="178"/>
        <v>0</v>
      </c>
      <c r="P208" s="47">
        <f t="shared" si="178"/>
        <v>0</v>
      </c>
      <c r="Q208" s="47">
        <f t="shared" si="178"/>
        <v>0</v>
      </c>
    </row>
    <row r="209" spans="2:20" s="16" customFormat="1" ht="13.2" x14ac:dyDescent="0.25">
      <c r="D209" s="235">
        <v>1</v>
      </c>
      <c r="E209" s="237">
        <v>39</v>
      </c>
      <c r="F209" s="238">
        <v>5</v>
      </c>
      <c r="G209" s="239">
        <v>0.97</v>
      </c>
      <c r="H209" s="239">
        <f t="shared" ref="H209:H216" si="179">E209*G209</f>
        <v>37.83</v>
      </c>
      <c r="I209" s="131">
        <f t="shared" ref="I209:I216" si="180">IF($F209=4.2,H209*$B$23,0)</f>
        <v>0</v>
      </c>
      <c r="J209" s="31">
        <f t="shared" ref="J209:J216" si="181">IF($F209=5,$H209*$B$24,0)</f>
        <v>5.8258199999999993</v>
      </c>
      <c r="K209" s="31">
        <f t="shared" ref="K209:K216" si="182">IF($F209=6.3,$H209*$B$25,0)</f>
        <v>0</v>
      </c>
      <c r="L209" s="31">
        <f t="shared" ref="L209:L216" si="183">IF($F209=8,$H209*$B$26,0)</f>
        <v>0</v>
      </c>
      <c r="M209" s="31">
        <f t="shared" ref="M209:M216" si="184">IF($F209=10,$H209*$B$27,0)</f>
        <v>0</v>
      </c>
      <c r="N209" s="31">
        <f t="shared" ref="N209:N216" si="185">IF($F209=12.5,$H209*$B$28,0)</f>
        <v>0</v>
      </c>
      <c r="O209" s="31">
        <f t="shared" ref="O209:O216" si="186">IF($F209=16,$H209*$B$29,0)</f>
        <v>0</v>
      </c>
      <c r="P209" s="31">
        <f t="shared" ref="P209:P216" si="187">IF($F209=20,$H209*$B$30,0)</f>
        <v>0</v>
      </c>
      <c r="Q209" s="49">
        <f t="shared" ref="Q209:Q216" si="188">IF($F209=25,$H209*$B$31,0)</f>
        <v>0</v>
      </c>
    </row>
    <row r="210" spans="2:20" s="16" customFormat="1" ht="13.2" x14ac:dyDescent="0.25">
      <c r="D210" s="235">
        <v>24</v>
      </c>
      <c r="E210" s="240">
        <v>2</v>
      </c>
      <c r="F210" s="241">
        <v>10</v>
      </c>
      <c r="G210" s="242">
        <v>9.2100000000000009</v>
      </c>
      <c r="H210" s="239">
        <f t="shared" si="179"/>
        <v>18.420000000000002</v>
      </c>
      <c r="I210" s="131">
        <f t="shared" si="180"/>
        <v>0</v>
      </c>
      <c r="J210" s="31">
        <f t="shared" si="181"/>
        <v>0</v>
      </c>
      <c r="K210" s="31">
        <f t="shared" si="182"/>
        <v>0</v>
      </c>
      <c r="L210" s="31">
        <f t="shared" si="183"/>
        <v>0</v>
      </c>
      <c r="M210" s="31">
        <f t="shared" si="184"/>
        <v>11.36514</v>
      </c>
      <c r="N210" s="31">
        <f t="shared" si="185"/>
        <v>0</v>
      </c>
      <c r="O210" s="31">
        <f t="shared" si="186"/>
        <v>0</v>
      </c>
      <c r="P210" s="31">
        <f t="shared" si="187"/>
        <v>0</v>
      </c>
      <c r="Q210" s="49">
        <f t="shared" si="188"/>
        <v>0</v>
      </c>
    </row>
    <row r="211" spans="2:20" s="16" customFormat="1" ht="13.2" x14ac:dyDescent="0.25">
      <c r="D211" s="235">
        <v>25</v>
      </c>
      <c r="E211" s="240">
        <v>2</v>
      </c>
      <c r="F211" s="241">
        <v>10</v>
      </c>
      <c r="G211" s="242">
        <v>1.77</v>
      </c>
      <c r="H211" s="239">
        <f t="shared" si="179"/>
        <v>3.54</v>
      </c>
      <c r="I211" s="131">
        <f t="shared" si="180"/>
        <v>0</v>
      </c>
      <c r="J211" s="31">
        <f t="shared" si="181"/>
        <v>0</v>
      </c>
      <c r="K211" s="31">
        <f t="shared" si="182"/>
        <v>0</v>
      </c>
      <c r="L211" s="31">
        <f t="shared" si="183"/>
        <v>0</v>
      </c>
      <c r="M211" s="31">
        <f t="shared" si="184"/>
        <v>2.18418</v>
      </c>
      <c r="N211" s="31">
        <f t="shared" si="185"/>
        <v>0</v>
      </c>
      <c r="O211" s="31">
        <f t="shared" si="186"/>
        <v>0</v>
      </c>
      <c r="P211" s="31">
        <f t="shared" si="187"/>
        <v>0</v>
      </c>
      <c r="Q211" s="49">
        <f t="shared" si="188"/>
        <v>0</v>
      </c>
    </row>
    <row r="212" spans="2:20" s="16" customFormat="1" ht="13.2" x14ac:dyDescent="0.25">
      <c r="D212" s="235">
        <v>26</v>
      </c>
      <c r="E212" s="240">
        <v>2</v>
      </c>
      <c r="F212" s="241">
        <v>10</v>
      </c>
      <c r="G212" s="242">
        <v>2.4</v>
      </c>
      <c r="H212" s="239">
        <f t="shared" si="179"/>
        <v>4.8</v>
      </c>
      <c r="I212" s="131">
        <f t="shared" si="180"/>
        <v>0</v>
      </c>
      <c r="J212" s="31">
        <f t="shared" si="181"/>
        <v>0</v>
      </c>
      <c r="K212" s="31">
        <f t="shared" si="182"/>
        <v>0</v>
      </c>
      <c r="L212" s="31">
        <f t="shared" si="183"/>
        <v>0</v>
      </c>
      <c r="M212" s="31">
        <f t="shared" si="184"/>
        <v>2.9615999999999998</v>
      </c>
      <c r="N212" s="31">
        <f t="shared" si="185"/>
        <v>0</v>
      </c>
      <c r="O212" s="31">
        <f t="shared" si="186"/>
        <v>0</v>
      </c>
      <c r="P212" s="31">
        <f t="shared" si="187"/>
        <v>0</v>
      </c>
      <c r="Q212" s="49">
        <f t="shared" si="188"/>
        <v>0</v>
      </c>
    </row>
    <row r="213" spans="2:20" s="16" customFormat="1" ht="13.2" x14ac:dyDescent="0.25">
      <c r="D213" s="235">
        <v>28</v>
      </c>
      <c r="E213" s="240">
        <v>2</v>
      </c>
      <c r="F213" s="241">
        <v>12.5</v>
      </c>
      <c r="G213" s="242">
        <v>0.87</v>
      </c>
      <c r="H213" s="239">
        <f t="shared" si="179"/>
        <v>1.74</v>
      </c>
      <c r="I213" s="131">
        <f t="shared" si="180"/>
        <v>0</v>
      </c>
      <c r="J213" s="31">
        <f t="shared" si="181"/>
        <v>0</v>
      </c>
      <c r="K213" s="31">
        <f t="shared" si="182"/>
        <v>0</v>
      </c>
      <c r="L213" s="31">
        <f t="shared" si="183"/>
        <v>0</v>
      </c>
      <c r="M213" s="31">
        <f t="shared" si="184"/>
        <v>0</v>
      </c>
      <c r="N213" s="31">
        <f t="shared" si="185"/>
        <v>1.6756199999999999</v>
      </c>
      <c r="O213" s="31">
        <f t="shared" si="186"/>
        <v>0</v>
      </c>
      <c r="P213" s="31">
        <f t="shared" si="187"/>
        <v>0</v>
      </c>
      <c r="Q213" s="49">
        <f t="shared" si="188"/>
        <v>0</v>
      </c>
    </row>
    <row r="214" spans="2:20" s="16" customFormat="1" ht="13.2" x14ac:dyDescent="0.25">
      <c r="D214" s="235">
        <v>29</v>
      </c>
      <c r="E214" s="240">
        <v>2</v>
      </c>
      <c r="F214" s="241">
        <v>12.5</v>
      </c>
      <c r="G214" s="242">
        <v>8.9600000000000009</v>
      </c>
      <c r="H214" s="239">
        <f t="shared" si="179"/>
        <v>17.920000000000002</v>
      </c>
      <c r="I214" s="131">
        <f t="shared" si="180"/>
        <v>0</v>
      </c>
      <c r="J214" s="31">
        <f t="shared" si="181"/>
        <v>0</v>
      </c>
      <c r="K214" s="31">
        <f t="shared" si="182"/>
        <v>0</v>
      </c>
      <c r="L214" s="31">
        <f t="shared" si="183"/>
        <v>0</v>
      </c>
      <c r="M214" s="31">
        <f t="shared" si="184"/>
        <v>0</v>
      </c>
      <c r="N214" s="31">
        <f t="shared" si="185"/>
        <v>17.256959999999999</v>
      </c>
      <c r="O214" s="31">
        <f t="shared" si="186"/>
        <v>0</v>
      </c>
      <c r="P214" s="31">
        <f t="shared" si="187"/>
        <v>0</v>
      </c>
      <c r="Q214" s="49">
        <f t="shared" si="188"/>
        <v>0</v>
      </c>
    </row>
    <row r="215" spans="2:20" s="16" customFormat="1" ht="13.2" x14ac:dyDescent="0.25">
      <c r="D215" s="235">
        <v>36</v>
      </c>
      <c r="E215" s="240">
        <v>2</v>
      </c>
      <c r="F215" s="241">
        <v>12.5</v>
      </c>
      <c r="G215" s="242">
        <v>3.53</v>
      </c>
      <c r="H215" s="239">
        <f t="shared" si="179"/>
        <v>7.06</v>
      </c>
      <c r="I215" s="131">
        <f t="shared" si="180"/>
        <v>0</v>
      </c>
      <c r="J215" s="31">
        <f t="shared" si="181"/>
        <v>0</v>
      </c>
      <c r="K215" s="31">
        <f t="shared" si="182"/>
        <v>0</v>
      </c>
      <c r="L215" s="31">
        <f t="shared" si="183"/>
        <v>0</v>
      </c>
      <c r="M215" s="31">
        <f t="shared" si="184"/>
        <v>0</v>
      </c>
      <c r="N215" s="31">
        <f t="shared" si="185"/>
        <v>6.7987799999999998</v>
      </c>
      <c r="O215" s="31">
        <f t="shared" si="186"/>
        <v>0</v>
      </c>
      <c r="P215" s="31">
        <f t="shared" si="187"/>
        <v>0</v>
      </c>
      <c r="Q215" s="49">
        <f t="shared" si="188"/>
        <v>0</v>
      </c>
    </row>
    <row r="216" spans="2:20" s="16" customFormat="1" ht="13.2" x14ac:dyDescent="0.25">
      <c r="D216" s="235"/>
      <c r="E216" s="240"/>
      <c r="F216" s="241"/>
      <c r="G216" s="242"/>
      <c r="H216" s="239">
        <f t="shared" si="179"/>
        <v>0</v>
      </c>
      <c r="I216" s="131">
        <f t="shared" si="180"/>
        <v>0</v>
      </c>
      <c r="J216" s="31">
        <f t="shared" si="181"/>
        <v>0</v>
      </c>
      <c r="K216" s="31">
        <f t="shared" si="182"/>
        <v>0</v>
      </c>
      <c r="L216" s="31">
        <f t="shared" si="183"/>
        <v>0</v>
      </c>
      <c r="M216" s="31">
        <f t="shared" si="184"/>
        <v>0</v>
      </c>
      <c r="N216" s="31">
        <f t="shared" si="185"/>
        <v>0</v>
      </c>
      <c r="O216" s="31">
        <f t="shared" si="186"/>
        <v>0</v>
      </c>
      <c r="P216" s="31">
        <f t="shared" si="187"/>
        <v>0</v>
      </c>
      <c r="Q216" s="49">
        <f t="shared" si="188"/>
        <v>0</v>
      </c>
    </row>
    <row r="217" spans="2:20" s="16" customFormat="1" ht="13.8" thickBot="1" x14ac:dyDescent="0.3">
      <c r="D217" s="55"/>
      <c r="E217" s="56"/>
      <c r="F217" s="57"/>
      <c r="G217" s="58"/>
      <c r="H217" s="123"/>
      <c r="I217" s="124"/>
      <c r="J217" s="30"/>
      <c r="K217" s="30"/>
      <c r="L217" s="30"/>
      <c r="M217" s="30"/>
      <c r="N217" s="30"/>
      <c r="O217" s="30"/>
      <c r="P217" s="30"/>
      <c r="Q217" s="54"/>
    </row>
    <row r="218" spans="2:20" s="16" customFormat="1" ht="15" customHeight="1" thickBot="1" x14ac:dyDescent="0.3">
      <c r="B218" s="34"/>
      <c r="D218" s="792" t="s">
        <v>323</v>
      </c>
      <c r="E218" s="793"/>
      <c r="F218" s="793"/>
      <c r="G218" s="793"/>
      <c r="H218" s="793"/>
      <c r="I218" s="793"/>
      <c r="J218" s="793"/>
      <c r="K218" s="793"/>
      <c r="L218" s="793"/>
      <c r="M218" s="793"/>
      <c r="N218" s="793"/>
      <c r="O218" s="793"/>
      <c r="P218" s="793"/>
      <c r="Q218" s="794"/>
      <c r="S218" s="795"/>
      <c r="T218" s="795"/>
    </row>
    <row r="219" spans="2:20" s="16" customFormat="1" ht="13.2" x14ac:dyDescent="0.25">
      <c r="D219" s="796" t="s">
        <v>1352</v>
      </c>
      <c r="E219" s="797"/>
      <c r="F219" s="797"/>
      <c r="G219" s="797"/>
      <c r="H219" s="797"/>
      <c r="I219" s="47">
        <f>SUM(I220:I224)</f>
        <v>0</v>
      </c>
      <c r="J219" s="47">
        <f>SUM(J220:J224)</f>
        <v>2.8382199999999997</v>
      </c>
      <c r="K219" s="47">
        <f t="shared" ref="K219:Q219" si="189">SUM(K220:K224)</f>
        <v>0</v>
      </c>
      <c r="L219" s="47">
        <f t="shared" si="189"/>
        <v>3.9184000000000001</v>
      </c>
      <c r="M219" s="47">
        <f t="shared" si="189"/>
        <v>6.2995700000000001</v>
      </c>
      <c r="N219" s="47">
        <f t="shared" si="189"/>
        <v>0</v>
      </c>
      <c r="O219" s="47">
        <f t="shared" si="189"/>
        <v>0</v>
      </c>
      <c r="P219" s="47">
        <f t="shared" si="189"/>
        <v>0</v>
      </c>
      <c r="Q219" s="47">
        <f t="shared" si="189"/>
        <v>0</v>
      </c>
    </row>
    <row r="220" spans="2:20" s="16" customFormat="1" ht="13.2" x14ac:dyDescent="0.25">
      <c r="D220" s="235">
        <v>4</v>
      </c>
      <c r="E220" s="237">
        <v>19</v>
      </c>
      <c r="F220" s="238">
        <v>5</v>
      </c>
      <c r="G220" s="239">
        <v>0.97</v>
      </c>
      <c r="H220" s="239">
        <f>E220*G220</f>
        <v>18.43</v>
      </c>
      <c r="I220" s="131">
        <f>IF($F220=4.2,H220*$B$23,0)</f>
        <v>0</v>
      </c>
      <c r="J220" s="31">
        <f>IF($F220=5,$H220*$B$24,0)</f>
        <v>2.8382199999999997</v>
      </c>
      <c r="K220" s="31">
        <f>IF($F220=6.3,$H220*$B$25,0)</f>
        <v>0</v>
      </c>
      <c r="L220" s="31">
        <f>IF($F220=8,$H220*$B$26,0)</f>
        <v>0</v>
      </c>
      <c r="M220" s="31">
        <f>IF($F220=10,$H220*$B$27,0)</f>
        <v>0</v>
      </c>
      <c r="N220" s="31">
        <f>IF($F220=12.5,$H220*$B$28,0)</f>
        <v>0</v>
      </c>
      <c r="O220" s="31">
        <f>IF($F220=16,$H220*$B$29,0)</f>
        <v>0</v>
      </c>
      <c r="P220" s="31">
        <f>IF($F220=20,$H220*$B$30,0)</f>
        <v>0</v>
      </c>
      <c r="Q220" s="49">
        <f>IF($F220=25,$H220*$B$31,0)</f>
        <v>0</v>
      </c>
    </row>
    <row r="221" spans="2:20" s="16" customFormat="1" ht="15" customHeight="1" x14ac:dyDescent="0.25">
      <c r="D221" s="235">
        <v>9</v>
      </c>
      <c r="E221" s="240">
        <v>1</v>
      </c>
      <c r="F221" s="241">
        <v>8</v>
      </c>
      <c r="G221" s="242">
        <v>1.1599999999999999</v>
      </c>
      <c r="H221" s="239">
        <f>E221*G221</f>
        <v>1.1599999999999999</v>
      </c>
      <c r="I221" s="131">
        <f>IF($F221=4.2,H221*$B$23,0)</f>
        <v>0</v>
      </c>
      <c r="J221" s="31">
        <f>IF($F221=5,$H221*$B$24,0)</f>
        <v>0</v>
      </c>
      <c r="K221" s="31">
        <f>IF($F221=6.3,$H221*$B$25,0)</f>
        <v>0</v>
      </c>
      <c r="L221" s="31">
        <f>IF($F221=8,$H221*$B$26,0)</f>
        <v>0.4582</v>
      </c>
      <c r="M221" s="31">
        <f>IF($F221=10,$H221*$B$27,0)</f>
        <v>0</v>
      </c>
      <c r="N221" s="31">
        <f>IF($F221=12.5,$H221*$B$28,0)</f>
        <v>0</v>
      </c>
      <c r="O221" s="31">
        <f>IF($F221=16,$H221*$B$29,0)</f>
        <v>0</v>
      </c>
      <c r="P221" s="31">
        <f>IF($F221=20,$H221*$B$30,0)</f>
        <v>0</v>
      </c>
      <c r="Q221" s="49">
        <f>IF($F221=25,$H221*$B$31,0)</f>
        <v>0</v>
      </c>
    </row>
    <row r="222" spans="2:20" s="16" customFormat="1" ht="15" customHeight="1" x14ac:dyDescent="0.25">
      <c r="D222" s="235">
        <v>10</v>
      </c>
      <c r="E222" s="240">
        <v>2</v>
      </c>
      <c r="F222" s="241">
        <v>8</v>
      </c>
      <c r="G222" s="242">
        <v>4.38</v>
      </c>
      <c r="H222" s="239">
        <f>E222*G222</f>
        <v>8.76</v>
      </c>
      <c r="I222" s="131">
        <f>IF($F222=4.2,H222*$B$23,0)</f>
        <v>0</v>
      </c>
      <c r="J222" s="31">
        <f>IF($F222=5,$H222*$B$24,0)</f>
        <v>0</v>
      </c>
      <c r="K222" s="31">
        <f>IF($F222=6.3,$H222*$B$25,0)</f>
        <v>0</v>
      </c>
      <c r="L222" s="31">
        <f>IF($F222=8,$H222*$B$26,0)</f>
        <v>3.4601999999999999</v>
      </c>
      <c r="M222" s="31">
        <f>IF($F222=10,$H222*$B$27,0)</f>
        <v>0</v>
      </c>
      <c r="N222" s="31">
        <f>IF($F222=12.5,$H222*$B$28,0)</f>
        <v>0</v>
      </c>
      <c r="O222" s="31">
        <f>IF($F222=16,$H222*$B$29,0)</f>
        <v>0</v>
      </c>
      <c r="P222" s="31">
        <f>IF($F222=20,$H222*$B$30,0)</f>
        <v>0</v>
      </c>
      <c r="Q222" s="49">
        <f>IF($F222=25,$H222*$B$31,0)</f>
        <v>0</v>
      </c>
    </row>
    <row r="223" spans="2:20" s="16" customFormat="1" ht="15" customHeight="1" x14ac:dyDescent="0.25">
      <c r="D223" s="235">
        <v>37</v>
      </c>
      <c r="E223" s="240">
        <v>1</v>
      </c>
      <c r="F223" s="241">
        <v>10</v>
      </c>
      <c r="G223" s="242">
        <v>2.0299999999999998</v>
      </c>
      <c r="H223" s="239">
        <f>E223*G223</f>
        <v>2.0299999999999998</v>
      </c>
      <c r="I223" s="131">
        <f>IF($F223=4.2,H223*$B$23,0)</f>
        <v>0</v>
      </c>
      <c r="J223" s="31">
        <f>IF($F223=5,$H223*$B$24,0)</f>
        <v>0</v>
      </c>
      <c r="K223" s="31">
        <f>IF($F223=6.3,$H223*$B$25,0)</f>
        <v>0</v>
      </c>
      <c r="L223" s="31">
        <f>IF($F223=8,$H223*$B$26,0)</f>
        <v>0</v>
      </c>
      <c r="M223" s="31">
        <f>IF($F223=10,$H223*$B$27,0)</f>
        <v>1.2525099999999998</v>
      </c>
      <c r="N223" s="31">
        <f>IF($F223=12.5,$H223*$B$28,0)</f>
        <v>0</v>
      </c>
      <c r="O223" s="31">
        <f>IF($F223=16,$H223*$B$29,0)</f>
        <v>0</v>
      </c>
      <c r="P223" s="31">
        <f>IF($F223=20,$H223*$B$30,0)</f>
        <v>0</v>
      </c>
      <c r="Q223" s="49">
        <f>IF($F223=25,$H223*$B$31,0)</f>
        <v>0</v>
      </c>
    </row>
    <row r="224" spans="2:20" s="16" customFormat="1" ht="13.2" x14ac:dyDescent="0.25">
      <c r="D224" s="235">
        <v>38</v>
      </c>
      <c r="E224" s="240">
        <v>2</v>
      </c>
      <c r="F224" s="241">
        <v>10</v>
      </c>
      <c r="G224" s="242">
        <v>4.09</v>
      </c>
      <c r="H224" s="239">
        <f>E224*G224</f>
        <v>8.18</v>
      </c>
      <c r="I224" s="131">
        <f>IF($F224=4.2,H224*$B$23,0)</f>
        <v>0</v>
      </c>
      <c r="J224" s="31">
        <f>IF($F224=5,$H224*$B$24,0)</f>
        <v>0</v>
      </c>
      <c r="K224" s="31">
        <f>IF($F224=6.3,$H224*$B$25,0)</f>
        <v>0</v>
      </c>
      <c r="L224" s="31">
        <f>IF($F224=8,$H224*$B$26,0)</f>
        <v>0</v>
      </c>
      <c r="M224" s="31">
        <f>IF($F224=10,$H224*$B$27,0)</f>
        <v>5.0470600000000001</v>
      </c>
      <c r="N224" s="31">
        <f>IF($F224=12.5,$H224*$B$28,0)</f>
        <v>0</v>
      </c>
      <c r="O224" s="31">
        <f>IF($F224=16,$H224*$B$29,0)</f>
        <v>0</v>
      </c>
      <c r="P224" s="31">
        <f>IF($F224=20,$H224*$B$30,0)</f>
        <v>0</v>
      </c>
      <c r="Q224" s="49">
        <f>IF($F224=25,$H224*$B$31,0)</f>
        <v>0</v>
      </c>
    </row>
    <row r="225" spans="4:17" s="16" customFormat="1" ht="13.8" thickBot="1" x14ac:dyDescent="0.3">
      <c r="D225" s="236"/>
      <c r="E225" s="56"/>
      <c r="F225" s="57"/>
      <c r="G225" s="58"/>
      <c r="H225" s="123"/>
      <c r="I225" s="124"/>
      <c r="J225" s="30"/>
      <c r="K225" s="30"/>
      <c r="L225" s="30"/>
      <c r="M225" s="30"/>
      <c r="N225" s="30"/>
      <c r="O225" s="30"/>
      <c r="P225" s="30"/>
      <c r="Q225" s="54"/>
    </row>
    <row r="226" spans="4:17" s="16" customFormat="1" ht="13.2" x14ac:dyDescent="0.25">
      <c r="D226" s="796" t="s">
        <v>1353</v>
      </c>
      <c r="E226" s="797"/>
      <c r="F226" s="797"/>
      <c r="G226" s="797"/>
      <c r="H226" s="797"/>
      <c r="I226" s="47">
        <f>SUM(I227:I234)</f>
        <v>0</v>
      </c>
      <c r="J226" s="47">
        <f>SUM(J227:J234)</f>
        <v>5.6764399999999995</v>
      </c>
      <c r="K226" s="47">
        <f t="shared" ref="K226:Q226" si="190">SUM(K227:K234)</f>
        <v>0</v>
      </c>
      <c r="L226" s="47">
        <f t="shared" si="190"/>
        <v>12.063300000000002</v>
      </c>
      <c r="M226" s="47">
        <f t="shared" si="190"/>
        <v>12.623819999999998</v>
      </c>
      <c r="N226" s="47">
        <f t="shared" si="190"/>
        <v>0</v>
      </c>
      <c r="O226" s="47">
        <f t="shared" si="190"/>
        <v>0</v>
      </c>
      <c r="P226" s="47">
        <f t="shared" si="190"/>
        <v>0</v>
      </c>
      <c r="Q226" s="47">
        <f t="shared" si="190"/>
        <v>0</v>
      </c>
    </row>
    <row r="227" spans="4:17" s="16" customFormat="1" ht="13.2" x14ac:dyDescent="0.25">
      <c r="D227" s="235">
        <v>4</v>
      </c>
      <c r="E227" s="237">
        <v>38</v>
      </c>
      <c r="F227" s="238">
        <v>5</v>
      </c>
      <c r="G227" s="239">
        <v>0.97</v>
      </c>
      <c r="H227" s="239">
        <f t="shared" ref="H227:H234" si="191">E227*G227</f>
        <v>36.86</v>
      </c>
      <c r="I227" s="131">
        <f t="shared" ref="I227:I234" si="192">IF($F227=4.2,H227*$B$23,0)</f>
        <v>0</v>
      </c>
      <c r="J227" s="31">
        <f t="shared" ref="J227:J234" si="193">IF($F227=5,$H227*$B$24,0)</f>
        <v>5.6764399999999995</v>
      </c>
      <c r="K227" s="31">
        <f t="shared" ref="K227:K234" si="194">IF($F227=6.3,$H227*$B$25,0)</f>
        <v>0</v>
      </c>
      <c r="L227" s="31">
        <f t="shared" ref="L227:L234" si="195">IF($F227=8,$H227*$B$26,0)</f>
        <v>0</v>
      </c>
      <c r="M227" s="31">
        <f t="shared" ref="M227:M234" si="196">IF($F227=10,$H227*$B$27,0)</f>
        <v>0</v>
      </c>
      <c r="N227" s="31">
        <f t="shared" ref="N227:N234" si="197">IF($F227=12.5,$H227*$B$28,0)</f>
        <v>0</v>
      </c>
      <c r="O227" s="31">
        <f t="shared" ref="O227:O234" si="198">IF($F227=16,$H227*$B$29,0)</f>
        <v>0</v>
      </c>
      <c r="P227" s="31">
        <f t="shared" ref="P227:P234" si="199">IF($F227=20,$H227*$B$30,0)</f>
        <v>0</v>
      </c>
      <c r="Q227" s="49">
        <f t="shared" ref="Q227:Q234" si="200">IF($F227=25,$H227*$B$31,0)</f>
        <v>0</v>
      </c>
    </row>
    <row r="228" spans="4:17" s="16" customFormat="1" ht="15" customHeight="1" x14ac:dyDescent="0.25">
      <c r="D228" s="235">
        <v>11</v>
      </c>
      <c r="E228" s="240">
        <v>3</v>
      </c>
      <c r="F228" s="241">
        <v>8</v>
      </c>
      <c r="G228" s="242">
        <v>1.48</v>
      </c>
      <c r="H228" s="239">
        <f t="shared" si="191"/>
        <v>4.4399999999999995</v>
      </c>
      <c r="I228" s="131">
        <f t="shared" si="192"/>
        <v>0</v>
      </c>
      <c r="J228" s="31">
        <f t="shared" si="193"/>
        <v>0</v>
      </c>
      <c r="K228" s="31">
        <f t="shared" si="194"/>
        <v>0</v>
      </c>
      <c r="L228" s="31">
        <f t="shared" si="195"/>
        <v>1.7537999999999998</v>
      </c>
      <c r="M228" s="31">
        <f t="shared" si="196"/>
        <v>0</v>
      </c>
      <c r="N228" s="31">
        <f t="shared" si="197"/>
        <v>0</v>
      </c>
      <c r="O228" s="31">
        <f t="shared" si="198"/>
        <v>0</v>
      </c>
      <c r="P228" s="31">
        <f t="shared" si="199"/>
        <v>0</v>
      </c>
      <c r="Q228" s="49">
        <f t="shared" si="200"/>
        <v>0</v>
      </c>
    </row>
    <row r="229" spans="4:17" s="16" customFormat="1" ht="15" customHeight="1" x14ac:dyDescent="0.25">
      <c r="D229" s="235">
        <v>12</v>
      </c>
      <c r="E229" s="240">
        <v>1</v>
      </c>
      <c r="F229" s="241">
        <v>8</v>
      </c>
      <c r="G229" s="242">
        <v>2.2799999999999998</v>
      </c>
      <c r="H229" s="239">
        <f t="shared" si="191"/>
        <v>2.2799999999999998</v>
      </c>
      <c r="I229" s="131">
        <f t="shared" si="192"/>
        <v>0</v>
      </c>
      <c r="J229" s="31">
        <f t="shared" si="193"/>
        <v>0</v>
      </c>
      <c r="K229" s="31">
        <f t="shared" si="194"/>
        <v>0</v>
      </c>
      <c r="L229" s="31">
        <f t="shared" si="195"/>
        <v>0.90059999999999996</v>
      </c>
      <c r="M229" s="31">
        <f t="shared" si="196"/>
        <v>0</v>
      </c>
      <c r="N229" s="31">
        <f t="shared" si="197"/>
        <v>0</v>
      </c>
      <c r="O229" s="31">
        <f t="shared" si="198"/>
        <v>0</v>
      </c>
      <c r="P229" s="31">
        <f t="shared" si="199"/>
        <v>0</v>
      </c>
      <c r="Q229" s="49">
        <f t="shared" si="200"/>
        <v>0</v>
      </c>
    </row>
    <row r="230" spans="4:17" s="16" customFormat="1" ht="15" customHeight="1" x14ac:dyDescent="0.25">
      <c r="D230" s="235">
        <v>13</v>
      </c>
      <c r="E230" s="240">
        <v>3</v>
      </c>
      <c r="F230" s="241">
        <v>8</v>
      </c>
      <c r="G230" s="242">
        <v>1.48</v>
      </c>
      <c r="H230" s="239">
        <f t="shared" si="191"/>
        <v>4.4399999999999995</v>
      </c>
      <c r="I230" s="131">
        <f t="shared" si="192"/>
        <v>0</v>
      </c>
      <c r="J230" s="31">
        <f t="shared" si="193"/>
        <v>0</v>
      </c>
      <c r="K230" s="31">
        <f t="shared" si="194"/>
        <v>0</v>
      </c>
      <c r="L230" s="31">
        <f t="shared" si="195"/>
        <v>1.7537999999999998</v>
      </c>
      <c r="M230" s="31">
        <f t="shared" si="196"/>
        <v>0</v>
      </c>
      <c r="N230" s="31">
        <f t="shared" si="197"/>
        <v>0</v>
      </c>
      <c r="O230" s="31">
        <f t="shared" si="198"/>
        <v>0</v>
      </c>
      <c r="P230" s="31">
        <f t="shared" si="199"/>
        <v>0</v>
      </c>
      <c r="Q230" s="49">
        <f t="shared" si="200"/>
        <v>0</v>
      </c>
    </row>
    <row r="231" spans="4:17" s="16" customFormat="1" ht="15" customHeight="1" x14ac:dyDescent="0.25">
      <c r="D231" s="235">
        <v>14</v>
      </c>
      <c r="E231" s="240">
        <v>1</v>
      </c>
      <c r="F231" s="241">
        <v>8</v>
      </c>
      <c r="G231" s="242">
        <v>2.2799999999999998</v>
      </c>
      <c r="H231" s="239">
        <f t="shared" si="191"/>
        <v>2.2799999999999998</v>
      </c>
      <c r="I231" s="131">
        <f t="shared" si="192"/>
        <v>0</v>
      </c>
      <c r="J231" s="31">
        <f t="shared" si="193"/>
        <v>0</v>
      </c>
      <c r="K231" s="31">
        <f t="shared" si="194"/>
        <v>0</v>
      </c>
      <c r="L231" s="31">
        <f t="shared" si="195"/>
        <v>0.90059999999999996</v>
      </c>
      <c r="M231" s="31">
        <f t="shared" si="196"/>
        <v>0</v>
      </c>
      <c r="N231" s="31">
        <f t="shared" si="197"/>
        <v>0</v>
      </c>
      <c r="O231" s="31">
        <f t="shared" si="198"/>
        <v>0</v>
      </c>
      <c r="P231" s="31">
        <f t="shared" si="199"/>
        <v>0</v>
      </c>
      <c r="Q231" s="49">
        <f t="shared" si="200"/>
        <v>0</v>
      </c>
    </row>
    <row r="232" spans="4:17" s="16" customFormat="1" ht="15" customHeight="1" x14ac:dyDescent="0.25">
      <c r="D232" s="235">
        <v>15</v>
      </c>
      <c r="E232" s="240">
        <v>2</v>
      </c>
      <c r="F232" s="241">
        <v>8</v>
      </c>
      <c r="G232" s="242">
        <v>8.5500000000000007</v>
      </c>
      <c r="H232" s="239">
        <f t="shared" si="191"/>
        <v>17.100000000000001</v>
      </c>
      <c r="I232" s="131">
        <f t="shared" si="192"/>
        <v>0</v>
      </c>
      <c r="J232" s="31">
        <f t="shared" si="193"/>
        <v>0</v>
      </c>
      <c r="K232" s="31">
        <f t="shared" si="194"/>
        <v>0</v>
      </c>
      <c r="L232" s="31">
        <f t="shared" si="195"/>
        <v>6.7545000000000011</v>
      </c>
      <c r="M232" s="31">
        <f t="shared" si="196"/>
        <v>0</v>
      </c>
      <c r="N232" s="31">
        <f t="shared" si="197"/>
        <v>0</v>
      </c>
      <c r="O232" s="31">
        <f t="shared" si="198"/>
        <v>0</v>
      </c>
      <c r="P232" s="31">
        <f t="shared" si="199"/>
        <v>0</v>
      </c>
      <c r="Q232" s="49">
        <f t="shared" si="200"/>
        <v>0</v>
      </c>
    </row>
    <row r="233" spans="4:17" s="16" customFormat="1" ht="15" customHeight="1" x14ac:dyDescent="0.25">
      <c r="D233" s="235">
        <v>39</v>
      </c>
      <c r="E233" s="240">
        <v>1</v>
      </c>
      <c r="F233" s="241">
        <v>10</v>
      </c>
      <c r="G233" s="242">
        <v>3.9</v>
      </c>
      <c r="H233" s="239">
        <f t="shared" si="191"/>
        <v>3.9</v>
      </c>
      <c r="I233" s="131">
        <f t="shared" si="192"/>
        <v>0</v>
      </c>
      <c r="J233" s="31">
        <f t="shared" si="193"/>
        <v>0</v>
      </c>
      <c r="K233" s="31">
        <f t="shared" si="194"/>
        <v>0</v>
      </c>
      <c r="L233" s="31">
        <f t="shared" si="195"/>
        <v>0</v>
      </c>
      <c r="M233" s="31">
        <f t="shared" si="196"/>
        <v>2.4062999999999999</v>
      </c>
      <c r="N233" s="31">
        <f t="shared" si="197"/>
        <v>0</v>
      </c>
      <c r="O233" s="31">
        <f t="shared" si="198"/>
        <v>0</v>
      </c>
      <c r="P233" s="31">
        <f t="shared" si="199"/>
        <v>0</v>
      </c>
      <c r="Q233" s="49">
        <f t="shared" si="200"/>
        <v>0</v>
      </c>
    </row>
    <row r="234" spans="4:17" s="16" customFormat="1" ht="13.2" x14ac:dyDescent="0.25">
      <c r="D234" s="235">
        <v>40</v>
      </c>
      <c r="E234" s="240">
        <v>2</v>
      </c>
      <c r="F234" s="241">
        <v>10</v>
      </c>
      <c r="G234" s="242">
        <v>8.2799999999999994</v>
      </c>
      <c r="H234" s="239">
        <f t="shared" si="191"/>
        <v>16.559999999999999</v>
      </c>
      <c r="I234" s="131">
        <f t="shared" si="192"/>
        <v>0</v>
      </c>
      <c r="J234" s="31">
        <f t="shared" si="193"/>
        <v>0</v>
      </c>
      <c r="K234" s="31">
        <f t="shared" si="194"/>
        <v>0</v>
      </c>
      <c r="L234" s="31">
        <f t="shared" si="195"/>
        <v>0</v>
      </c>
      <c r="M234" s="31">
        <f t="shared" si="196"/>
        <v>10.217519999999999</v>
      </c>
      <c r="N234" s="31">
        <f t="shared" si="197"/>
        <v>0</v>
      </c>
      <c r="O234" s="31">
        <f t="shared" si="198"/>
        <v>0</v>
      </c>
      <c r="P234" s="31">
        <f t="shared" si="199"/>
        <v>0</v>
      </c>
      <c r="Q234" s="49">
        <f t="shared" si="200"/>
        <v>0</v>
      </c>
    </row>
    <row r="235" spans="4:17" s="16" customFormat="1" ht="13.8" thickBot="1" x14ac:dyDescent="0.3">
      <c r="D235" s="55"/>
      <c r="E235" s="56"/>
      <c r="F235" s="57"/>
      <c r="G235" s="58"/>
      <c r="H235" s="123"/>
      <c r="I235" s="124"/>
      <c r="J235" s="30"/>
      <c r="K235" s="30"/>
      <c r="L235" s="30"/>
      <c r="M235" s="30"/>
      <c r="N235" s="30"/>
      <c r="O235" s="30"/>
      <c r="P235" s="30"/>
      <c r="Q235" s="54"/>
    </row>
    <row r="236" spans="4:17" s="16" customFormat="1" ht="13.2" x14ac:dyDescent="0.25">
      <c r="D236" s="796" t="s">
        <v>1354</v>
      </c>
      <c r="E236" s="797"/>
      <c r="F236" s="797"/>
      <c r="G236" s="797"/>
      <c r="H236" s="797"/>
      <c r="I236" s="47">
        <f t="shared" ref="I236:Q236" si="201">SUM(I237:I241)</f>
        <v>0</v>
      </c>
      <c r="J236" s="47">
        <f t="shared" si="201"/>
        <v>2.8382199999999997</v>
      </c>
      <c r="K236" s="47">
        <f t="shared" si="201"/>
        <v>0</v>
      </c>
      <c r="L236" s="47">
        <f t="shared" si="201"/>
        <v>4.0092500000000006</v>
      </c>
      <c r="M236" s="47">
        <f t="shared" si="201"/>
        <v>6.5895599999999996</v>
      </c>
      <c r="N236" s="47">
        <f t="shared" si="201"/>
        <v>0</v>
      </c>
      <c r="O236" s="47">
        <f t="shared" si="201"/>
        <v>0</v>
      </c>
      <c r="P236" s="47">
        <f t="shared" si="201"/>
        <v>0</v>
      </c>
      <c r="Q236" s="47">
        <f t="shared" si="201"/>
        <v>0</v>
      </c>
    </row>
    <row r="237" spans="4:17" s="16" customFormat="1" ht="13.2" x14ac:dyDescent="0.25">
      <c r="D237" s="235">
        <v>4</v>
      </c>
      <c r="E237" s="237">
        <v>19</v>
      </c>
      <c r="F237" s="238">
        <v>5</v>
      </c>
      <c r="G237" s="239">
        <v>0.97</v>
      </c>
      <c r="H237" s="239">
        <f>E237*G237</f>
        <v>18.43</v>
      </c>
      <c r="I237" s="131">
        <f>IF($F237=4.2,H237*$B$23,0)</f>
        <v>0</v>
      </c>
      <c r="J237" s="31">
        <f>IF($F237=5,$H237*$B$24,0)</f>
        <v>2.8382199999999997</v>
      </c>
      <c r="K237" s="31">
        <f>IF($F237=6.3,$H237*$B$25,0)</f>
        <v>0</v>
      </c>
      <c r="L237" s="31">
        <f>IF($F237=8,$H237*$B$26,0)</f>
        <v>0</v>
      </c>
      <c r="M237" s="31">
        <f>IF($F237=10,$H237*$B$27,0)</f>
        <v>0</v>
      </c>
      <c r="N237" s="31">
        <f>IF($F237=12.5,$H237*$B$28,0)</f>
        <v>0</v>
      </c>
      <c r="O237" s="31">
        <f>IF($F237=16,$H237*$B$29,0)</f>
        <v>0</v>
      </c>
      <c r="P237" s="31">
        <f>IF($F237=20,$H237*$B$30,0)</f>
        <v>0</v>
      </c>
      <c r="Q237" s="49">
        <f>IF($F237=25,$H237*$B$31,0)</f>
        <v>0</v>
      </c>
    </row>
    <row r="238" spans="4:17" s="16" customFormat="1" ht="13.2" x14ac:dyDescent="0.25">
      <c r="D238" s="235">
        <v>16</v>
      </c>
      <c r="E238" s="240">
        <v>1</v>
      </c>
      <c r="F238" s="241">
        <v>8</v>
      </c>
      <c r="G238" s="242">
        <v>1.17</v>
      </c>
      <c r="H238" s="239">
        <f>E238*G238</f>
        <v>1.17</v>
      </c>
      <c r="I238" s="131">
        <f>IF($F238=4.2,H238*$B$23,0)</f>
        <v>0</v>
      </c>
      <c r="J238" s="31">
        <f>IF($F238=5,$H238*$B$24,0)</f>
        <v>0</v>
      </c>
      <c r="K238" s="31">
        <f>IF($F238=6.3,$H238*$B$25,0)</f>
        <v>0</v>
      </c>
      <c r="L238" s="31">
        <f>IF($F238=8,$H238*$B$26,0)</f>
        <v>0.46215000000000001</v>
      </c>
      <c r="M238" s="31">
        <f>IF($F238=10,$H238*$B$27,0)</f>
        <v>0</v>
      </c>
      <c r="N238" s="31">
        <f>IF($F238=12.5,$H238*$B$28,0)</f>
        <v>0</v>
      </c>
      <c r="O238" s="31">
        <f>IF($F238=16,$H238*$B$29,0)</f>
        <v>0</v>
      </c>
      <c r="P238" s="31">
        <f>IF($F238=20,$H238*$B$30,0)</f>
        <v>0</v>
      </c>
      <c r="Q238" s="49">
        <f>IF($F238=25,$H238*$B$31,0)</f>
        <v>0</v>
      </c>
    </row>
    <row r="239" spans="4:17" s="16" customFormat="1" ht="13.2" x14ac:dyDescent="0.25">
      <c r="D239" s="235">
        <v>17</v>
      </c>
      <c r="E239" s="240">
        <v>2</v>
      </c>
      <c r="F239" s="241">
        <v>8</v>
      </c>
      <c r="G239" s="242">
        <v>4.49</v>
      </c>
      <c r="H239" s="239">
        <f>E239*G239</f>
        <v>8.98</v>
      </c>
      <c r="I239" s="131">
        <f>IF($F239=4.2,H239*$B$23,0)</f>
        <v>0</v>
      </c>
      <c r="J239" s="31">
        <f>IF($F239=5,$H239*$B$24,0)</f>
        <v>0</v>
      </c>
      <c r="K239" s="31">
        <f>IF($F239=6.3,$H239*$B$25,0)</f>
        <v>0</v>
      </c>
      <c r="L239" s="31">
        <f>IF($F239=8,$H239*$B$26,0)</f>
        <v>3.5471000000000004</v>
      </c>
      <c r="M239" s="31">
        <f>IF($F239=10,$H239*$B$27,0)</f>
        <v>0</v>
      </c>
      <c r="N239" s="31">
        <f>IF($F239=12.5,$H239*$B$28,0)</f>
        <v>0</v>
      </c>
      <c r="O239" s="31">
        <f>IF($F239=16,$H239*$B$29,0)</f>
        <v>0</v>
      </c>
      <c r="P239" s="31">
        <f>IF($F239=20,$H239*$B$30,0)</f>
        <v>0</v>
      </c>
      <c r="Q239" s="49">
        <f>IF($F239=25,$H239*$B$31,0)</f>
        <v>0</v>
      </c>
    </row>
    <row r="240" spans="4:17" s="16" customFormat="1" ht="13.2" x14ac:dyDescent="0.25">
      <c r="D240" s="235">
        <v>41</v>
      </c>
      <c r="E240" s="240">
        <v>1</v>
      </c>
      <c r="F240" s="241">
        <v>10</v>
      </c>
      <c r="G240" s="242">
        <v>2.1</v>
      </c>
      <c r="H240" s="239">
        <f>E240*G240</f>
        <v>2.1</v>
      </c>
      <c r="I240" s="131">
        <f>IF($F240=4.2,H240*$B$23,0)</f>
        <v>0</v>
      </c>
      <c r="J240" s="31">
        <f>IF($F240=5,$H240*$B$24,0)</f>
        <v>0</v>
      </c>
      <c r="K240" s="31">
        <f>IF($F240=6.3,$H240*$B$25,0)</f>
        <v>0</v>
      </c>
      <c r="L240" s="31">
        <f>IF($F240=8,$H240*$B$26,0)</f>
        <v>0</v>
      </c>
      <c r="M240" s="31">
        <f>IF($F240=10,$H240*$B$27,0)</f>
        <v>1.2957000000000001</v>
      </c>
      <c r="N240" s="31">
        <f>IF($F240=12.5,$H240*$B$28,0)</f>
        <v>0</v>
      </c>
      <c r="O240" s="31">
        <f>IF($F240=16,$H240*$B$29,0)</f>
        <v>0</v>
      </c>
      <c r="P240" s="31">
        <f>IF($F240=20,$H240*$B$30,0)</f>
        <v>0</v>
      </c>
      <c r="Q240" s="49">
        <f>IF($F240=25,$H240*$B$31,0)</f>
        <v>0</v>
      </c>
    </row>
    <row r="241" spans="4:17" s="16" customFormat="1" ht="13.2" x14ac:dyDescent="0.25">
      <c r="D241" s="235">
        <v>42</v>
      </c>
      <c r="E241" s="240">
        <v>2</v>
      </c>
      <c r="F241" s="241">
        <v>10</v>
      </c>
      <c r="G241" s="242">
        <v>4.29</v>
      </c>
      <c r="H241" s="239">
        <f>E241*G241</f>
        <v>8.58</v>
      </c>
      <c r="I241" s="131">
        <f>IF($F241=4.2,H241*$B$23,0)</f>
        <v>0</v>
      </c>
      <c r="J241" s="31">
        <f>IF($F241=5,$H241*$B$24,0)</f>
        <v>0</v>
      </c>
      <c r="K241" s="31">
        <f>IF($F241=6.3,$H241*$B$25,0)</f>
        <v>0</v>
      </c>
      <c r="L241" s="31">
        <f>IF($F241=8,$H241*$B$26,0)</f>
        <v>0</v>
      </c>
      <c r="M241" s="31">
        <f>IF($F241=10,$H241*$B$27,0)</f>
        <v>5.2938599999999996</v>
      </c>
      <c r="N241" s="31">
        <f>IF($F241=12.5,$H241*$B$28,0)</f>
        <v>0</v>
      </c>
      <c r="O241" s="31">
        <f>IF($F241=16,$H241*$B$29,0)</f>
        <v>0</v>
      </c>
      <c r="P241" s="31">
        <f>IF($F241=20,$H241*$B$30,0)</f>
        <v>0</v>
      </c>
      <c r="Q241" s="49">
        <f>IF($F241=25,$H241*$B$31,0)</f>
        <v>0</v>
      </c>
    </row>
    <row r="242" spans="4:17" s="16" customFormat="1" ht="13.2" x14ac:dyDescent="0.25">
      <c r="D242" s="307"/>
      <c r="E242" s="26"/>
      <c r="F242" s="206"/>
      <c r="G242" s="207"/>
      <c r="H242" s="207"/>
      <c r="I242" s="51"/>
      <c r="J242" s="308"/>
      <c r="K242" s="308"/>
      <c r="L242" s="308"/>
      <c r="M242" s="308"/>
      <c r="N242" s="308"/>
      <c r="O242" s="308"/>
      <c r="P242" s="308"/>
      <c r="Q242" s="309"/>
    </row>
    <row r="243" spans="4:17" s="16" customFormat="1" ht="13.2" x14ac:dyDescent="0.25">
      <c r="D243" s="796" t="s">
        <v>1355</v>
      </c>
      <c r="E243" s="797"/>
      <c r="F243" s="797"/>
      <c r="G243" s="797"/>
      <c r="H243" s="797"/>
      <c r="I243" s="175">
        <f t="shared" ref="I243:Q243" si="202">SUM(I244:I245)</f>
        <v>0</v>
      </c>
      <c r="J243" s="175">
        <f t="shared" si="202"/>
        <v>2.3900799999999998</v>
      </c>
      <c r="K243" s="175">
        <f t="shared" si="202"/>
        <v>0</v>
      </c>
      <c r="L243" s="175">
        <f t="shared" si="202"/>
        <v>6.7465999999999999</v>
      </c>
      <c r="M243" s="175">
        <f t="shared" si="202"/>
        <v>0</v>
      </c>
      <c r="N243" s="175">
        <f t="shared" si="202"/>
        <v>0</v>
      </c>
      <c r="O243" s="175">
        <f t="shared" si="202"/>
        <v>0</v>
      </c>
      <c r="P243" s="175">
        <f t="shared" si="202"/>
        <v>0</v>
      </c>
      <c r="Q243" s="175">
        <f t="shared" si="202"/>
        <v>0</v>
      </c>
    </row>
    <row r="244" spans="4:17" s="16" customFormat="1" ht="13.2" x14ac:dyDescent="0.25">
      <c r="D244" s="235">
        <v>4</v>
      </c>
      <c r="E244" s="237">
        <v>16</v>
      </c>
      <c r="F244" s="238">
        <v>5</v>
      </c>
      <c r="G244" s="242">
        <v>0.97</v>
      </c>
      <c r="H244" s="239">
        <f>E244*G244</f>
        <v>15.52</v>
      </c>
      <c r="I244" s="122">
        <f>IF($F244=4.2,H244*$B$23,0)</f>
        <v>0</v>
      </c>
      <c r="J244" s="29">
        <f>IF($F244=5,$H244*$B$24,0)</f>
        <v>2.3900799999999998</v>
      </c>
      <c r="K244" s="29">
        <f>IF($F244=6.3,$H244*$B$25,0)</f>
        <v>0</v>
      </c>
      <c r="L244" s="29">
        <f>IF($F244=8,$H244*$B$26,0)</f>
        <v>0</v>
      </c>
      <c r="M244" s="29">
        <f>IF($F244=10,$H244*$B$27,0)</f>
        <v>0</v>
      </c>
      <c r="N244" s="29">
        <f>IF($F244=12.5,$H244*$B$28,0)</f>
        <v>0</v>
      </c>
      <c r="O244" s="29">
        <f>IF($F244=16,$H244*$B$29,0)</f>
        <v>0</v>
      </c>
      <c r="P244" s="29">
        <f>IF($F244=20,$H244*$B$30,0)</f>
        <v>0</v>
      </c>
      <c r="Q244" s="37">
        <f>IF($F244=25,$H244*$B$31,0)</f>
        <v>0</v>
      </c>
    </row>
    <row r="245" spans="4:17" s="16" customFormat="1" ht="13.2" x14ac:dyDescent="0.25">
      <c r="D245" s="235">
        <v>18</v>
      </c>
      <c r="E245" s="240">
        <v>4</v>
      </c>
      <c r="F245" s="241">
        <v>8</v>
      </c>
      <c r="G245" s="242">
        <v>4.2699999999999996</v>
      </c>
      <c r="H245" s="239">
        <f>E245*G245</f>
        <v>17.079999999999998</v>
      </c>
      <c r="I245" s="122">
        <f>IF($F245=4.2,H245*$B$23,0)</f>
        <v>0</v>
      </c>
      <c r="J245" s="29">
        <f>IF($F245=5,$H245*$B$24,0)</f>
        <v>0</v>
      </c>
      <c r="K245" s="29">
        <f>IF($F245=6.3,$H245*$B$25,0)</f>
        <v>0</v>
      </c>
      <c r="L245" s="29">
        <f>IF($F245=8,$H245*$B$26,0)</f>
        <v>6.7465999999999999</v>
      </c>
      <c r="M245" s="29">
        <f>IF($F245=10,$H245*$B$27,0)</f>
        <v>0</v>
      </c>
      <c r="N245" s="29">
        <f>IF($F245=12.5,$H245*$B$28,0)</f>
        <v>0</v>
      </c>
      <c r="O245" s="29">
        <f>IF($F245=16,$H245*$B$29,0)</f>
        <v>0</v>
      </c>
      <c r="P245" s="29">
        <f>IF($F245=20,$H245*$B$30,0)</f>
        <v>0</v>
      </c>
      <c r="Q245" s="37">
        <f>IF($F245=25,$H245*$B$31,0)</f>
        <v>0</v>
      </c>
    </row>
    <row r="246" spans="4:17" s="16" customFormat="1" ht="13.2" x14ac:dyDescent="0.25">
      <c r="D246" s="307"/>
      <c r="E246" s="26"/>
      <c r="F246" s="206"/>
      <c r="G246" s="207"/>
      <c r="H246" s="207"/>
      <c r="I246" s="51"/>
      <c r="J246" s="308"/>
      <c r="K246" s="308"/>
      <c r="L246" s="308"/>
      <c r="M246" s="308"/>
      <c r="N246" s="308"/>
      <c r="O246" s="308"/>
      <c r="P246" s="308"/>
      <c r="Q246" s="309"/>
    </row>
    <row r="247" spans="4:17" s="16" customFormat="1" ht="13.2" x14ac:dyDescent="0.25">
      <c r="D247" s="796" t="s">
        <v>1356</v>
      </c>
      <c r="E247" s="797"/>
      <c r="F247" s="797"/>
      <c r="G247" s="797"/>
      <c r="H247" s="797"/>
      <c r="I247" s="175">
        <f t="shared" ref="I247:Q247" si="203">SUM(I248:I249)</f>
        <v>0</v>
      </c>
      <c r="J247" s="175">
        <f t="shared" si="203"/>
        <v>2.5394599999999996</v>
      </c>
      <c r="K247" s="175">
        <f t="shared" si="203"/>
        <v>0</v>
      </c>
      <c r="L247" s="175">
        <f t="shared" si="203"/>
        <v>6.9046000000000003</v>
      </c>
      <c r="M247" s="175">
        <f t="shared" si="203"/>
        <v>0</v>
      </c>
      <c r="N247" s="175">
        <f t="shared" si="203"/>
        <v>0</v>
      </c>
      <c r="O247" s="175">
        <f t="shared" si="203"/>
        <v>0</v>
      </c>
      <c r="P247" s="175">
        <f t="shared" si="203"/>
        <v>0</v>
      </c>
      <c r="Q247" s="175">
        <f t="shared" si="203"/>
        <v>0</v>
      </c>
    </row>
    <row r="248" spans="4:17" s="16" customFormat="1" ht="13.5" customHeight="1" x14ac:dyDescent="0.25">
      <c r="D248" s="235">
        <v>4</v>
      </c>
      <c r="E248" s="237">
        <v>17</v>
      </c>
      <c r="F248" s="238">
        <v>5</v>
      </c>
      <c r="G248" s="242">
        <v>0.97</v>
      </c>
      <c r="H248" s="239">
        <f>E248*G248</f>
        <v>16.489999999999998</v>
      </c>
      <c r="I248" s="131">
        <f t="shared" ref="I248:I249" si="204">IF($F248=4.2,H248*$B$23,0)</f>
        <v>0</v>
      </c>
      <c r="J248" s="31">
        <f t="shared" ref="J248:J249" si="205">IF($F248=5,$H248*$B$24,0)</f>
        <v>2.5394599999999996</v>
      </c>
      <c r="K248" s="31">
        <f t="shared" ref="K248:K249" si="206">IF($F248=6.3,$H248*$B$25,0)</f>
        <v>0</v>
      </c>
      <c r="L248" s="31">
        <f t="shared" ref="L248:L249" si="207">IF($F248=8,$H248*$B$26,0)</f>
        <v>0</v>
      </c>
      <c r="M248" s="31">
        <f t="shared" ref="M248:M249" si="208">IF($F248=10,$H248*$B$27,0)</f>
        <v>0</v>
      </c>
      <c r="N248" s="31">
        <f t="shared" ref="N248:N249" si="209">IF($F248=12.5,$H248*$B$28,0)</f>
        <v>0</v>
      </c>
      <c r="O248" s="31">
        <f t="shared" ref="O248:O249" si="210">IF($F248=16,$H248*$B$29,0)</f>
        <v>0</v>
      </c>
      <c r="P248" s="31">
        <f t="shared" ref="P248:P249" si="211">IF($F248=20,$H248*$B$30,0)</f>
        <v>0</v>
      </c>
      <c r="Q248" s="49">
        <f t="shared" ref="Q248:Q249" si="212">IF($F248=25,$H248*$B$31,0)</f>
        <v>0</v>
      </c>
    </row>
    <row r="249" spans="4:17" s="16" customFormat="1" ht="13.2" x14ac:dyDescent="0.25">
      <c r="D249" s="235">
        <v>19</v>
      </c>
      <c r="E249" s="240">
        <v>4</v>
      </c>
      <c r="F249" s="241">
        <v>8</v>
      </c>
      <c r="G249" s="242">
        <v>4.37</v>
      </c>
      <c r="H249" s="239">
        <f>E249*G249</f>
        <v>17.48</v>
      </c>
      <c r="I249" s="131">
        <f t="shared" si="204"/>
        <v>0</v>
      </c>
      <c r="J249" s="31">
        <f t="shared" si="205"/>
        <v>0</v>
      </c>
      <c r="K249" s="31">
        <f t="shared" si="206"/>
        <v>0</v>
      </c>
      <c r="L249" s="31">
        <f t="shared" si="207"/>
        <v>6.9046000000000003</v>
      </c>
      <c r="M249" s="31">
        <f t="shared" si="208"/>
        <v>0</v>
      </c>
      <c r="N249" s="31">
        <f t="shared" si="209"/>
        <v>0</v>
      </c>
      <c r="O249" s="31">
        <f t="shared" si="210"/>
        <v>0</v>
      </c>
      <c r="P249" s="31">
        <f t="shared" si="211"/>
        <v>0</v>
      </c>
      <c r="Q249" s="49">
        <f t="shared" si="212"/>
        <v>0</v>
      </c>
    </row>
    <row r="250" spans="4:17" s="16" customFormat="1" ht="13.8" thickBot="1" x14ac:dyDescent="0.3">
      <c r="D250" s="307"/>
      <c r="E250" s="26"/>
      <c r="F250" s="206"/>
      <c r="G250" s="207"/>
      <c r="H250" s="207"/>
      <c r="I250" s="51"/>
      <c r="J250" s="308"/>
      <c r="K250" s="308"/>
      <c r="L250" s="308"/>
      <c r="M250" s="308"/>
      <c r="N250" s="308"/>
      <c r="O250" s="308"/>
      <c r="P250" s="308"/>
      <c r="Q250" s="309"/>
    </row>
    <row r="251" spans="4:17" s="16" customFormat="1" ht="13.2" x14ac:dyDescent="0.25">
      <c r="D251" s="796" t="s">
        <v>1357</v>
      </c>
      <c r="E251" s="797"/>
      <c r="F251" s="797"/>
      <c r="G251" s="797"/>
      <c r="H251" s="797"/>
      <c r="I251" s="47">
        <f t="shared" ref="I251:Q251" si="213">SUM(I252:I259)</f>
        <v>0</v>
      </c>
      <c r="J251" s="47">
        <f t="shared" si="213"/>
        <v>5.2282999999999991</v>
      </c>
      <c r="K251" s="47">
        <f t="shared" si="213"/>
        <v>0</v>
      </c>
      <c r="L251" s="47">
        <f t="shared" si="213"/>
        <v>13.44975</v>
      </c>
      <c r="M251" s="47">
        <f t="shared" si="213"/>
        <v>14.43163</v>
      </c>
      <c r="N251" s="47">
        <f t="shared" si="213"/>
        <v>0</v>
      </c>
      <c r="O251" s="47">
        <f t="shared" si="213"/>
        <v>0</v>
      </c>
      <c r="P251" s="47">
        <f t="shared" si="213"/>
        <v>0</v>
      </c>
      <c r="Q251" s="47">
        <f t="shared" si="213"/>
        <v>0</v>
      </c>
    </row>
    <row r="252" spans="4:17" s="16" customFormat="1" ht="13.2" x14ac:dyDescent="0.25">
      <c r="D252" s="235">
        <v>4</v>
      </c>
      <c r="E252" s="237">
        <v>35</v>
      </c>
      <c r="F252" s="238">
        <v>5</v>
      </c>
      <c r="G252" s="239">
        <v>0.97</v>
      </c>
      <c r="H252" s="239">
        <f t="shared" ref="H252:H259" si="214">E252*G252</f>
        <v>33.949999999999996</v>
      </c>
      <c r="I252" s="131">
        <f t="shared" ref="I252:I259" si="215">IF($F252=4.2,H252*$B$23,0)</f>
        <v>0</v>
      </c>
      <c r="J252" s="31">
        <f t="shared" ref="J252:J259" si="216">IF($F252=5,$H252*$B$24,0)</f>
        <v>5.2282999999999991</v>
      </c>
      <c r="K252" s="31">
        <f t="shared" ref="K252:K259" si="217">IF($F252=6.3,$H252*$B$25,0)</f>
        <v>0</v>
      </c>
      <c r="L252" s="31">
        <f t="shared" ref="L252:L259" si="218">IF($F252=8,$H252*$B$26,0)</f>
        <v>0</v>
      </c>
      <c r="M252" s="31">
        <f t="shared" ref="M252:M259" si="219">IF($F252=10,$H252*$B$27,0)</f>
        <v>0</v>
      </c>
      <c r="N252" s="31">
        <f t="shared" ref="N252:N259" si="220">IF($F252=12.5,$H252*$B$28,0)</f>
        <v>0</v>
      </c>
      <c r="O252" s="31">
        <f t="shared" ref="O252:O259" si="221">IF($F252=16,$H252*$B$29,0)</f>
        <v>0</v>
      </c>
      <c r="P252" s="31">
        <f t="shared" ref="P252:P259" si="222">IF($F252=20,$H252*$B$30,0)</f>
        <v>0</v>
      </c>
      <c r="Q252" s="49">
        <f t="shared" ref="Q252:Q259" si="223">IF($F252=25,$H252*$B$31,0)</f>
        <v>0</v>
      </c>
    </row>
    <row r="253" spans="4:17" s="16" customFormat="1" ht="13.2" x14ac:dyDescent="0.25">
      <c r="D253" s="235">
        <v>20</v>
      </c>
      <c r="E253" s="240">
        <v>1</v>
      </c>
      <c r="F253" s="241">
        <v>8</v>
      </c>
      <c r="G253" s="242">
        <v>2.34</v>
      </c>
      <c r="H253" s="239">
        <f t="shared" si="214"/>
        <v>2.34</v>
      </c>
      <c r="I253" s="131">
        <f t="shared" si="215"/>
        <v>0</v>
      </c>
      <c r="J253" s="31">
        <f t="shared" si="216"/>
        <v>0</v>
      </c>
      <c r="K253" s="31">
        <f t="shared" si="217"/>
        <v>0</v>
      </c>
      <c r="L253" s="31">
        <f t="shared" si="218"/>
        <v>0.92430000000000001</v>
      </c>
      <c r="M253" s="31">
        <f t="shared" si="219"/>
        <v>0</v>
      </c>
      <c r="N253" s="31">
        <f t="shared" si="220"/>
        <v>0</v>
      </c>
      <c r="O253" s="31">
        <f t="shared" si="221"/>
        <v>0</v>
      </c>
      <c r="P253" s="31">
        <f t="shared" si="222"/>
        <v>0</v>
      </c>
      <c r="Q253" s="49">
        <f t="shared" si="223"/>
        <v>0</v>
      </c>
    </row>
    <row r="254" spans="4:17" s="16" customFormat="1" ht="13.2" x14ac:dyDescent="0.25">
      <c r="D254" s="235">
        <v>21</v>
      </c>
      <c r="E254" s="240">
        <v>1</v>
      </c>
      <c r="F254" s="241">
        <v>8</v>
      </c>
      <c r="G254" s="242">
        <v>1.28</v>
      </c>
      <c r="H254" s="239">
        <f t="shared" si="214"/>
        <v>1.28</v>
      </c>
      <c r="I254" s="131">
        <f t="shared" si="215"/>
        <v>0</v>
      </c>
      <c r="J254" s="31">
        <f t="shared" si="216"/>
        <v>0</v>
      </c>
      <c r="K254" s="31">
        <f t="shared" si="217"/>
        <v>0</v>
      </c>
      <c r="L254" s="31">
        <f t="shared" si="218"/>
        <v>0.50560000000000005</v>
      </c>
      <c r="M254" s="31">
        <f t="shared" si="219"/>
        <v>0</v>
      </c>
      <c r="N254" s="31">
        <f t="shared" si="220"/>
        <v>0</v>
      </c>
      <c r="O254" s="31">
        <f t="shared" si="221"/>
        <v>0</v>
      </c>
      <c r="P254" s="31">
        <f t="shared" si="222"/>
        <v>0</v>
      </c>
      <c r="Q254" s="49">
        <f t="shared" si="223"/>
        <v>0</v>
      </c>
    </row>
    <row r="255" spans="4:17" s="16" customFormat="1" ht="13.2" x14ac:dyDescent="0.25">
      <c r="D255" s="235">
        <v>22</v>
      </c>
      <c r="E255" s="240">
        <v>1</v>
      </c>
      <c r="F255" s="241">
        <v>8</v>
      </c>
      <c r="G255" s="242">
        <v>5.08</v>
      </c>
      <c r="H255" s="239">
        <f t="shared" si="214"/>
        <v>5.08</v>
      </c>
      <c r="I255" s="131">
        <f t="shared" si="215"/>
        <v>0</v>
      </c>
      <c r="J255" s="31">
        <f t="shared" si="216"/>
        <v>0</v>
      </c>
      <c r="K255" s="31">
        <f t="shared" si="217"/>
        <v>0</v>
      </c>
      <c r="L255" s="31">
        <f t="shared" si="218"/>
        <v>2.0066000000000002</v>
      </c>
      <c r="M255" s="31">
        <f t="shared" si="219"/>
        <v>0</v>
      </c>
      <c r="N255" s="31">
        <f t="shared" si="220"/>
        <v>0</v>
      </c>
      <c r="O255" s="31">
        <f t="shared" si="221"/>
        <v>0</v>
      </c>
      <c r="P255" s="31">
        <f t="shared" si="222"/>
        <v>0</v>
      </c>
      <c r="Q255" s="49">
        <f t="shared" si="223"/>
        <v>0</v>
      </c>
    </row>
    <row r="256" spans="4:17" s="16" customFormat="1" ht="13.2" x14ac:dyDescent="0.25">
      <c r="D256" s="235">
        <v>23</v>
      </c>
      <c r="E256" s="240">
        <v>3</v>
      </c>
      <c r="F256" s="241">
        <v>8</v>
      </c>
      <c r="G256" s="242">
        <v>8.4499999999999993</v>
      </c>
      <c r="H256" s="239">
        <f t="shared" si="214"/>
        <v>25.349999999999998</v>
      </c>
      <c r="I256" s="131">
        <f t="shared" si="215"/>
        <v>0</v>
      </c>
      <c r="J256" s="31">
        <f t="shared" si="216"/>
        <v>0</v>
      </c>
      <c r="K256" s="31">
        <f t="shared" si="217"/>
        <v>0</v>
      </c>
      <c r="L256" s="31">
        <f t="shared" si="218"/>
        <v>10.013249999999999</v>
      </c>
      <c r="M256" s="31">
        <f t="shared" si="219"/>
        <v>0</v>
      </c>
      <c r="N256" s="31">
        <f t="shared" si="220"/>
        <v>0</v>
      </c>
      <c r="O256" s="31">
        <f t="shared" si="221"/>
        <v>0</v>
      </c>
      <c r="P256" s="31">
        <f t="shared" si="222"/>
        <v>0</v>
      </c>
      <c r="Q256" s="49">
        <f t="shared" si="223"/>
        <v>0</v>
      </c>
    </row>
    <row r="257" spans="4:17" s="16" customFormat="1" ht="13.2" x14ac:dyDescent="0.25">
      <c r="D257" s="235">
        <v>41</v>
      </c>
      <c r="E257" s="240">
        <v>1</v>
      </c>
      <c r="F257" s="241">
        <v>10</v>
      </c>
      <c r="G257" s="242">
        <v>2.1</v>
      </c>
      <c r="H257" s="239">
        <f t="shared" si="214"/>
        <v>2.1</v>
      </c>
      <c r="I257" s="131">
        <f t="shared" si="215"/>
        <v>0</v>
      </c>
      <c r="J257" s="31">
        <f t="shared" si="216"/>
        <v>0</v>
      </c>
      <c r="K257" s="31">
        <f t="shared" si="217"/>
        <v>0</v>
      </c>
      <c r="L257" s="31">
        <f t="shared" si="218"/>
        <v>0</v>
      </c>
      <c r="M257" s="31">
        <f t="shared" si="219"/>
        <v>1.2957000000000001</v>
      </c>
      <c r="N257" s="31">
        <f t="shared" si="220"/>
        <v>0</v>
      </c>
      <c r="O257" s="31">
        <f t="shared" si="221"/>
        <v>0</v>
      </c>
      <c r="P257" s="31">
        <f t="shared" si="222"/>
        <v>0</v>
      </c>
      <c r="Q257" s="49">
        <f t="shared" si="223"/>
        <v>0</v>
      </c>
    </row>
    <row r="258" spans="4:17" s="16" customFormat="1" ht="13.2" x14ac:dyDescent="0.25">
      <c r="D258" s="235">
        <v>43</v>
      </c>
      <c r="E258" s="240">
        <v>1</v>
      </c>
      <c r="F258" s="241">
        <v>10</v>
      </c>
      <c r="G258" s="242">
        <v>4.3499999999999996</v>
      </c>
      <c r="H258" s="239">
        <f t="shared" si="214"/>
        <v>4.3499999999999996</v>
      </c>
      <c r="I258" s="131">
        <f t="shared" si="215"/>
        <v>0</v>
      </c>
      <c r="J258" s="31">
        <f t="shared" si="216"/>
        <v>0</v>
      </c>
      <c r="K258" s="31">
        <f t="shared" si="217"/>
        <v>0</v>
      </c>
      <c r="L258" s="31">
        <f t="shared" si="218"/>
        <v>0</v>
      </c>
      <c r="M258" s="31">
        <f t="shared" si="219"/>
        <v>2.6839499999999998</v>
      </c>
      <c r="N258" s="31">
        <f t="shared" si="220"/>
        <v>0</v>
      </c>
      <c r="O258" s="31">
        <f t="shared" si="221"/>
        <v>0</v>
      </c>
      <c r="P258" s="31">
        <f t="shared" si="222"/>
        <v>0</v>
      </c>
      <c r="Q258" s="49">
        <f t="shared" si="223"/>
        <v>0</v>
      </c>
    </row>
    <row r="259" spans="4:17" s="16" customFormat="1" ht="13.2" x14ac:dyDescent="0.25">
      <c r="D259" s="235">
        <v>44</v>
      </c>
      <c r="E259" s="240">
        <v>2</v>
      </c>
      <c r="F259" s="241">
        <v>10</v>
      </c>
      <c r="G259" s="242">
        <v>8.4700000000000006</v>
      </c>
      <c r="H259" s="239">
        <f t="shared" si="214"/>
        <v>16.940000000000001</v>
      </c>
      <c r="I259" s="131">
        <f t="shared" si="215"/>
        <v>0</v>
      </c>
      <c r="J259" s="31">
        <f t="shared" si="216"/>
        <v>0</v>
      </c>
      <c r="K259" s="31">
        <f t="shared" si="217"/>
        <v>0</v>
      </c>
      <c r="L259" s="31">
        <f t="shared" si="218"/>
        <v>0</v>
      </c>
      <c r="M259" s="31">
        <f t="shared" si="219"/>
        <v>10.451980000000001</v>
      </c>
      <c r="N259" s="31">
        <f t="shared" si="220"/>
        <v>0</v>
      </c>
      <c r="O259" s="31">
        <f t="shared" si="221"/>
        <v>0</v>
      </c>
      <c r="P259" s="31">
        <f t="shared" si="222"/>
        <v>0</v>
      </c>
      <c r="Q259" s="49">
        <f t="shared" si="223"/>
        <v>0</v>
      </c>
    </row>
    <row r="260" spans="4:17" s="16" customFormat="1" ht="13.8" thickBot="1" x14ac:dyDescent="0.3">
      <c r="D260" s="307"/>
      <c r="E260" s="26"/>
      <c r="F260" s="206"/>
      <c r="G260" s="207"/>
      <c r="H260" s="207"/>
      <c r="I260" s="51"/>
      <c r="J260" s="308"/>
      <c r="K260" s="308"/>
      <c r="L260" s="308"/>
      <c r="M260" s="308"/>
      <c r="N260" s="308"/>
      <c r="O260" s="308"/>
      <c r="P260" s="308"/>
      <c r="Q260" s="309"/>
    </row>
    <row r="261" spans="4:17" s="16" customFormat="1" ht="13.2" x14ac:dyDescent="0.25">
      <c r="D261" s="796" t="s">
        <v>1358</v>
      </c>
      <c r="E261" s="797"/>
      <c r="F261" s="797"/>
      <c r="G261" s="797"/>
      <c r="H261" s="797"/>
      <c r="I261" s="47">
        <f t="shared" ref="I261:Q261" si="224">SUM(I262:I269)</f>
        <v>0</v>
      </c>
      <c r="J261" s="47">
        <f t="shared" si="224"/>
        <v>5.3776799999999998</v>
      </c>
      <c r="K261" s="47">
        <f t="shared" si="224"/>
        <v>0</v>
      </c>
      <c r="L261" s="47">
        <f t="shared" si="224"/>
        <v>13.603800000000003</v>
      </c>
      <c r="M261" s="47">
        <f t="shared" si="224"/>
        <v>14.61673</v>
      </c>
      <c r="N261" s="47">
        <f t="shared" si="224"/>
        <v>0</v>
      </c>
      <c r="O261" s="47">
        <f t="shared" si="224"/>
        <v>0</v>
      </c>
      <c r="P261" s="47">
        <f t="shared" si="224"/>
        <v>0</v>
      </c>
      <c r="Q261" s="47">
        <f t="shared" si="224"/>
        <v>0</v>
      </c>
    </row>
    <row r="262" spans="4:17" s="16" customFormat="1" ht="13.2" x14ac:dyDescent="0.25">
      <c r="D262" s="235">
        <v>4</v>
      </c>
      <c r="E262" s="237">
        <v>36</v>
      </c>
      <c r="F262" s="238">
        <v>5</v>
      </c>
      <c r="G262" s="239">
        <v>0.97</v>
      </c>
      <c r="H262" s="239">
        <f t="shared" ref="H262:H269" si="225">E262*G262</f>
        <v>34.92</v>
      </c>
      <c r="I262" s="131">
        <f t="shared" ref="I262:I269" si="226">IF($F262=4.2,H262*$B$23,0)</f>
        <v>0</v>
      </c>
      <c r="J262" s="31">
        <f t="shared" ref="J262:J269" si="227">IF($F262=5,$H262*$B$24,0)</f>
        <v>5.3776799999999998</v>
      </c>
      <c r="K262" s="31">
        <f t="shared" ref="K262:K269" si="228">IF($F262=6.3,$H262*$B$25,0)</f>
        <v>0</v>
      </c>
      <c r="L262" s="31">
        <f t="shared" ref="L262:L269" si="229">IF($F262=8,$H262*$B$26,0)</f>
        <v>0</v>
      </c>
      <c r="M262" s="31">
        <f t="shared" ref="M262:M269" si="230">IF($F262=10,$H262*$B$27,0)</f>
        <v>0</v>
      </c>
      <c r="N262" s="31">
        <f t="shared" ref="N262:N269" si="231">IF($F262=12.5,$H262*$B$28,0)</f>
        <v>0</v>
      </c>
      <c r="O262" s="31">
        <f t="shared" ref="O262:O269" si="232">IF($F262=16,$H262*$B$29,0)</f>
        <v>0</v>
      </c>
      <c r="P262" s="31">
        <f t="shared" ref="P262:P269" si="233">IF($F262=20,$H262*$B$30,0)</f>
        <v>0</v>
      </c>
      <c r="Q262" s="49">
        <f t="shared" ref="Q262:Q269" si="234">IF($F262=25,$H262*$B$31,0)</f>
        <v>0</v>
      </c>
    </row>
    <row r="263" spans="4:17" s="16" customFormat="1" ht="13.2" x14ac:dyDescent="0.25">
      <c r="D263" s="235">
        <v>24</v>
      </c>
      <c r="E263" s="240">
        <v>1</v>
      </c>
      <c r="F263" s="241">
        <v>8</v>
      </c>
      <c r="G263" s="242">
        <v>2.33</v>
      </c>
      <c r="H263" s="239">
        <f t="shared" si="225"/>
        <v>2.33</v>
      </c>
      <c r="I263" s="131">
        <f t="shared" si="226"/>
        <v>0</v>
      </c>
      <c r="J263" s="31">
        <f t="shared" si="227"/>
        <v>0</v>
      </c>
      <c r="K263" s="31">
        <f t="shared" si="228"/>
        <v>0</v>
      </c>
      <c r="L263" s="31">
        <f t="shared" si="229"/>
        <v>0.92035000000000011</v>
      </c>
      <c r="M263" s="31">
        <f t="shared" si="230"/>
        <v>0</v>
      </c>
      <c r="N263" s="31">
        <f t="shared" si="231"/>
        <v>0</v>
      </c>
      <c r="O263" s="31">
        <f t="shared" si="232"/>
        <v>0</v>
      </c>
      <c r="P263" s="31">
        <f t="shared" si="233"/>
        <v>0</v>
      </c>
      <c r="Q263" s="49">
        <f t="shared" si="234"/>
        <v>0</v>
      </c>
    </row>
    <row r="264" spans="4:17" s="16" customFormat="1" ht="13.2" x14ac:dyDescent="0.25">
      <c r="D264" s="235">
        <v>25</v>
      </c>
      <c r="E264" s="240">
        <v>1</v>
      </c>
      <c r="F264" s="241">
        <v>8</v>
      </c>
      <c r="G264" s="242">
        <v>1.28</v>
      </c>
      <c r="H264" s="239">
        <f t="shared" si="225"/>
        <v>1.28</v>
      </c>
      <c r="I264" s="131">
        <f t="shared" si="226"/>
        <v>0</v>
      </c>
      <c r="J264" s="31">
        <f t="shared" si="227"/>
        <v>0</v>
      </c>
      <c r="K264" s="31">
        <f t="shared" si="228"/>
        <v>0</v>
      </c>
      <c r="L264" s="31">
        <f t="shared" si="229"/>
        <v>0.50560000000000005</v>
      </c>
      <c r="M264" s="31">
        <f t="shared" si="230"/>
        <v>0</v>
      </c>
      <c r="N264" s="31">
        <f t="shared" si="231"/>
        <v>0</v>
      </c>
      <c r="O264" s="31">
        <f t="shared" si="232"/>
        <v>0</v>
      </c>
      <c r="P264" s="31">
        <f t="shared" si="233"/>
        <v>0</v>
      </c>
      <c r="Q264" s="49">
        <f t="shared" si="234"/>
        <v>0</v>
      </c>
    </row>
    <row r="265" spans="4:17" s="16" customFormat="1" ht="13.2" x14ac:dyDescent="0.25">
      <c r="D265" s="235">
        <v>26</v>
      </c>
      <c r="E265" s="240">
        <v>1</v>
      </c>
      <c r="F265" s="241">
        <v>8</v>
      </c>
      <c r="G265" s="242">
        <v>5.18</v>
      </c>
      <c r="H265" s="239">
        <f t="shared" si="225"/>
        <v>5.18</v>
      </c>
      <c r="I265" s="131">
        <f t="shared" si="226"/>
        <v>0</v>
      </c>
      <c r="J265" s="31">
        <f t="shared" si="227"/>
        <v>0</v>
      </c>
      <c r="K265" s="31">
        <f t="shared" si="228"/>
        <v>0</v>
      </c>
      <c r="L265" s="31">
        <f t="shared" si="229"/>
        <v>2.0461</v>
      </c>
      <c r="M265" s="31">
        <f t="shared" si="230"/>
        <v>0</v>
      </c>
      <c r="N265" s="31">
        <f t="shared" si="231"/>
        <v>0</v>
      </c>
      <c r="O265" s="31">
        <f t="shared" si="232"/>
        <v>0</v>
      </c>
      <c r="P265" s="31">
        <f t="shared" si="233"/>
        <v>0</v>
      </c>
      <c r="Q265" s="49">
        <f t="shared" si="234"/>
        <v>0</v>
      </c>
    </row>
    <row r="266" spans="4:17" s="16" customFormat="1" ht="13.2" x14ac:dyDescent="0.25">
      <c r="D266" s="235">
        <v>27</v>
      </c>
      <c r="E266" s="240">
        <v>3</v>
      </c>
      <c r="F266" s="241">
        <v>8</v>
      </c>
      <c r="G266" s="242">
        <v>8.5500000000000007</v>
      </c>
      <c r="H266" s="239">
        <f t="shared" si="225"/>
        <v>25.650000000000002</v>
      </c>
      <c r="I266" s="131">
        <f t="shared" si="226"/>
        <v>0</v>
      </c>
      <c r="J266" s="31">
        <f t="shared" si="227"/>
        <v>0</v>
      </c>
      <c r="K266" s="31">
        <f t="shared" si="228"/>
        <v>0</v>
      </c>
      <c r="L266" s="31">
        <f t="shared" si="229"/>
        <v>10.131750000000002</v>
      </c>
      <c r="M266" s="31">
        <f t="shared" si="230"/>
        <v>0</v>
      </c>
      <c r="N266" s="31">
        <f t="shared" si="231"/>
        <v>0</v>
      </c>
      <c r="O266" s="31">
        <f t="shared" si="232"/>
        <v>0</v>
      </c>
      <c r="P266" s="31">
        <f t="shared" si="233"/>
        <v>0</v>
      </c>
      <c r="Q266" s="49">
        <f t="shared" si="234"/>
        <v>0</v>
      </c>
    </row>
    <row r="267" spans="4:17" s="16" customFormat="1" ht="13.2" x14ac:dyDescent="0.25">
      <c r="D267" s="235">
        <v>41</v>
      </c>
      <c r="E267" s="240">
        <v>1</v>
      </c>
      <c r="F267" s="241">
        <v>10</v>
      </c>
      <c r="G267" s="242">
        <v>2.1</v>
      </c>
      <c r="H267" s="239">
        <f t="shared" si="225"/>
        <v>2.1</v>
      </c>
      <c r="I267" s="131">
        <f t="shared" si="226"/>
        <v>0</v>
      </c>
      <c r="J267" s="31">
        <f t="shared" si="227"/>
        <v>0</v>
      </c>
      <c r="K267" s="31">
        <f t="shared" si="228"/>
        <v>0</v>
      </c>
      <c r="L267" s="31">
        <f t="shared" si="229"/>
        <v>0</v>
      </c>
      <c r="M267" s="31">
        <f t="shared" si="230"/>
        <v>1.2957000000000001</v>
      </c>
      <c r="N267" s="31">
        <f t="shared" si="231"/>
        <v>0</v>
      </c>
      <c r="O267" s="31">
        <f t="shared" si="232"/>
        <v>0</v>
      </c>
      <c r="P267" s="31">
        <f t="shared" si="233"/>
        <v>0</v>
      </c>
      <c r="Q267" s="49">
        <f t="shared" si="234"/>
        <v>0</v>
      </c>
    </row>
    <row r="268" spans="4:17" s="16" customFormat="1" ht="13.2" x14ac:dyDescent="0.25">
      <c r="D268" s="235">
        <v>45</v>
      </c>
      <c r="E268" s="240">
        <v>1</v>
      </c>
      <c r="F268" s="241">
        <v>10</v>
      </c>
      <c r="G268" s="242">
        <v>4.45</v>
      </c>
      <c r="H268" s="239">
        <f t="shared" si="225"/>
        <v>4.45</v>
      </c>
      <c r="I268" s="131">
        <f t="shared" si="226"/>
        <v>0</v>
      </c>
      <c r="J268" s="31">
        <f t="shared" si="227"/>
        <v>0</v>
      </c>
      <c r="K268" s="31">
        <f t="shared" si="228"/>
        <v>0</v>
      </c>
      <c r="L268" s="31">
        <f t="shared" si="229"/>
        <v>0</v>
      </c>
      <c r="M268" s="31">
        <f t="shared" si="230"/>
        <v>2.7456499999999999</v>
      </c>
      <c r="N268" s="31">
        <f t="shared" si="231"/>
        <v>0</v>
      </c>
      <c r="O268" s="31">
        <f t="shared" si="232"/>
        <v>0</v>
      </c>
      <c r="P268" s="31">
        <f t="shared" si="233"/>
        <v>0</v>
      </c>
      <c r="Q268" s="49">
        <f t="shared" si="234"/>
        <v>0</v>
      </c>
    </row>
    <row r="269" spans="4:17" s="16" customFormat="1" ht="13.2" x14ac:dyDescent="0.25">
      <c r="D269" s="235">
        <v>46</v>
      </c>
      <c r="E269" s="240">
        <v>2</v>
      </c>
      <c r="F269" s="241">
        <v>10</v>
      </c>
      <c r="G269" s="242">
        <v>8.57</v>
      </c>
      <c r="H269" s="239">
        <f t="shared" si="225"/>
        <v>17.14</v>
      </c>
      <c r="I269" s="131">
        <f t="shared" si="226"/>
        <v>0</v>
      </c>
      <c r="J269" s="31">
        <f t="shared" si="227"/>
        <v>0</v>
      </c>
      <c r="K269" s="31">
        <f t="shared" si="228"/>
        <v>0</v>
      </c>
      <c r="L269" s="31">
        <f t="shared" si="229"/>
        <v>0</v>
      </c>
      <c r="M269" s="31">
        <f t="shared" si="230"/>
        <v>10.575380000000001</v>
      </c>
      <c r="N269" s="31">
        <f t="shared" si="231"/>
        <v>0</v>
      </c>
      <c r="O269" s="31">
        <f t="shared" si="232"/>
        <v>0</v>
      </c>
      <c r="P269" s="31">
        <f t="shared" si="233"/>
        <v>0</v>
      </c>
      <c r="Q269" s="49">
        <f t="shared" si="234"/>
        <v>0</v>
      </c>
    </row>
    <row r="270" spans="4:17" s="16" customFormat="1" ht="13.2" x14ac:dyDescent="0.25">
      <c r="D270" s="307"/>
      <c r="E270" s="26"/>
      <c r="F270" s="206"/>
      <c r="G270" s="207"/>
      <c r="H270" s="207"/>
      <c r="I270" s="51"/>
      <c r="J270" s="308"/>
      <c r="K270" s="308"/>
      <c r="L270" s="308"/>
      <c r="M270" s="308"/>
      <c r="N270" s="308"/>
      <c r="O270" s="308"/>
      <c r="P270" s="308"/>
      <c r="Q270" s="309"/>
    </row>
    <row r="271" spans="4:17" s="16" customFormat="1" ht="13.2" x14ac:dyDescent="0.25">
      <c r="D271" s="796" t="s">
        <v>1359</v>
      </c>
      <c r="E271" s="797"/>
      <c r="F271" s="797"/>
      <c r="G271" s="797"/>
      <c r="H271" s="797"/>
      <c r="I271" s="175">
        <f t="shared" ref="I271:Q271" si="235">SUM(I272:I274)</f>
        <v>0</v>
      </c>
      <c r="J271" s="175">
        <f t="shared" si="235"/>
        <v>5.5270599999999996</v>
      </c>
      <c r="K271" s="175">
        <f t="shared" si="235"/>
        <v>0</v>
      </c>
      <c r="L271" s="175">
        <f t="shared" si="235"/>
        <v>13.398399999999999</v>
      </c>
      <c r="M271" s="175">
        <f t="shared" si="235"/>
        <v>0</v>
      </c>
      <c r="N271" s="175">
        <f t="shared" si="235"/>
        <v>0</v>
      </c>
      <c r="O271" s="175">
        <f t="shared" si="235"/>
        <v>0</v>
      </c>
      <c r="P271" s="175">
        <f t="shared" si="235"/>
        <v>0</v>
      </c>
      <c r="Q271" s="175">
        <f t="shared" si="235"/>
        <v>0</v>
      </c>
    </row>
    <row r="272" spans="4:17" s="16" customFormat="1" ht="13.2" x14ac:dyDescent="0.25">
      <c r="D272" s="235">
        <v>4</v>
      </c>
      <c r="E272" s="237">
        <v>37</v>
      </c>
      <c r="F272" s="238">
        <v>5</v>
      </c>
      <c r="G272" s="242">
        <v>0.97</v>
      </c>
      <c r="H272" s="239">
        <f>E272*G272</f>
        <v>35.89</v>
      </c>
      <c r="I272" s="122">
        <f>IF($F272=4.2,H272*$B$23,0)</f>
        <v>0</v>
      </c>
      <c r="J272" s="29">
        <f>IF($F272=5,$H272*$B$24,0)</f>
        <v>5.5270599999999996</v>
      </c>
      <c r="K272" s="29">
        <f>IF($F272=6.3,$H272*$B$25,0)</f>
        <v>0</v>
      </c>
      <c r="L272" s="29">
        <f>IF($F272=8,$H272*$B$26,0)</f>
        <v>0</v>
      </c>
      <c r="M272" s="29">
        <f>IF($F272=10,$H272*$B$27,0)</f>
        <v>0</v>
      </c>
      <c r="N272" s="29">
        <f>IF($F272=12.5,$H272*$B$28,0)</f>
        <v>0</v>
      </c>
      <c r="O272" s="29">
        <f>IF($F272=16,$H272*$B$29,0)</f>
        <v>0</v>
      </c>
      <c r="P272" s="29">
        <f>IF($F272=20,$H272*$B$30,0)</f>
        <v>0</v>
      </c>
      <c r="Q272" s="37">
        <f>IF($F272=25,$H272*$B$31,0)</f>
        <v>0</v>
      </c>
    </row>
    <row r="273" spans="4:17" s="16" customFormat="1" ht="13.2" x14ac:dyDescent="0.25">
      <c r="D273" s="235">
        <v>28</v>
      </c>
      <c r="E273" s="240">
        <v>2</v>
      </c>
      <c r="F273" s="241">
        <v>8</v>
      </c>
      <c r="G273" s="242">
        <v>8.3699999999999992</v>
      </c>
      <c r="H273" s="239">
        <f>E273*G273</f>
        <v>16.739999999999998</v>
      </c>
      <c r="I273" s="122">
        <f>IF($F273=4.2,H273*$B$23,0)</f>
        <v>0</v>
      </c>
      <c r="J273" s="29">
        <f>IF($F273=5,$H273*$B$24,0)</f>
        <v>0</v>
      </c>
      <c r="K273" s="29">
        <f>IF($F273=6.3,$H273*$B$25,0)</f>
        <v>0</v>
      </c>
      <c r="L273" s="29">
        <f>IF($F273=8,$H273*$B$26,0)</f>
        <v>6.6122999999999994</v>
      </c>
      <c r="M273" s="29">
        <f>IF($F273=10,$H273*$B$27,0)</f>
        <v>0</v>
      </c>
      <c r="N273" s="29">
        <f>IF($F273=12.5,$H273*$B$28,0)</f>
        <v>0</v>
      </c>
      <c r="O273" s="29">
        <f>IF($F273=16,$H273*$B$29,0)</f>
        <v>0</v>
      </c>
      <c r="P273" s="29">
        <f>IF($F273=20,$H273*$B$30,0)</f>
        <v>0</v>
      </c>
      <c r="Q273" s="37">
        <f>IF($F273=25,$H273*$B$31,0)</f>
        <v>0</v>
      </c>
    </row>
    <row r="274" spans="4:17" s="16" customFormat="1" ht="13.2" x14ac:dyDescent="0.25">
      <c r="D274" s="235">
        <v>29</v>
      </c>
      <c r="E274" s="240">
        <v>2</v>
      </c>
      <c r="F274" s="241">
        <v>8</v>
      </c>
      <c r="G274" s="242">
        <v>8.59</v>
      </c>
      <c r="H274" s="239">
        <f>E274*G274</f>
        <v>17.18</v>
      </c>
      <c r="I274" s="122">
        <f>IF($F274=4.2,H274*$B$23,0)</f>
        <v>0</v>
      </c>
      <c r="J274" s="29">
        <f>IF($F274=5,$H274*$B$24,0)</f>
        <v>0</v>
      </c>
      <c r="K274" s="29">
        <f>IF($F274=6.3,$H274*$B$25,0)</f>
        <v>0</v>
      </c>
      <c r="L274" s="29">
        <f>IF($F274=8,$H274*$B$26,0)</f>
        <v>6.7861000000000002</v>
      </c>
      <c r="M274" s="29">
        <f>IF($F274=10,$H274*$B$27,0)</f>
        <v>0</v>
      </c>
      <c r="N274" s="29">
        <f>IF($F274=12.5,$H274*$B$28,0)</f>
        <v>0</v>
      </c>
      <c r="O274" s="29">
        <f>IF($F274=16,$H274*$B$29,0)</f>
        <v>0</v>
      </c>
      <c r="P274" s="29">
        <f>IF($F274=20,$H274*$B$30,0)</f>
        <v>0</v>
      </c>
      <c r="Q274" s="37">
        <f>IF($F274=25,$H274*$B$31,0)</f>
        <v>0</v>
      </c>
    </row>
    <row r="275" spans="4:17" s="16" customFormat="1" ht="13.8" thickBot="1" x14ac:dyDescent="0.3">
      <c r="D275" s="307"/>
      <c r="E275" s="26"/>
      <c r="F275" s="206"/>
      <c r="G275" s="207"/>
      <c r="H275" s="207"/>
      <c r="I275" s="51"/>
      <c r="J275" s="308"/>
      <c r="K275" s="308"/>
      <c r="L275" s="308"/>
      <c r="M275" s="308"/>
      <c r="N275" s="308"/>
      <c r="O275" s="308"/>
      <c r="P275" s="308"/>
      <c r="Q275" s="309"/>
    </row>
    <row r="276" spans="4:17" s="16" customFormat="1" ht="13.2" x14ac:dyDescent="0.25">
      <c r="D276" s="796" t="s">
        <v>1360</v>
      </c>
      <c r="E276" s="797"/>
      <c r="F276" s="797"/>
      <c r="G276" s="797"/>
      <c r="H276" s="797"/>
      <c r="I276" s="47">
        <f t="shared" ref="I276:Q276" si="236">SUM(I277:I280)</f>
        <v>0</v>
      </c>
      <c r="J276" s="47">
        <f>SUM(J277:J280)</f>
        <v>5.5270599999999996</v>
      </c>
      <c r="K276" s="47">
        <f t="shared" si="236"/>
        <v>0</v>
      </c>
      <c r="L276" s="47">
        <f t="shared" si="236"/>
        <v>13.742049999999999</v>
      </c>
      <c r="M276" s="47">
        <f t="shared" si="236"/>
        <v>0</v>
      </c>
      <c r="N276" s="47">
        <f t="shared" si="236"/>
        <v>0</v>
      </c>
      <c r="O276" s="47">
        <f t="shared" si="236"/>
        <v>0</v>
      </c>
      <c r="P276" s="47">
        <f t="shared" si="236"/>
        <v>0</v>
      </c>
      <c r="Q276" s="47">
        <f t="shared" si="236"/>
        <v>0</v>
      </c>
    </row>
    <row r="277" spans="4:17" s="16" customFormat="1" ht="13.2" x14ac:dyDescent="0.25">
      <c r="D277" s="235">
        <v>4</v>
      </c>
      <c r="E277" s="237">
        <v>37</v>
      </c>
      <c r="F277" s="238">
        <v>5</v>
      </c>
      <c r="G277" s="239">
        <v>0.97</v>
      </c>
      <c r="H277" s="239">
        <f>E277*G277</f>
        <v>35.89</v>
      </c>
      <c r="I277" s="131">
        <f>IF($F277=4.2,H277*$B$23,0)</f>
        <v>0</v>
      </c>
      <c r="J277" s="31">
        <f>IF($F277=5,$H277*$B$24,0)</f>
        <v>5.5270599999999996</v>
      </c>
      <c r="K277" s="31">
        <f>IF($F277=6.3,$H277*$B$25,0)</f>
        <v>0</v>
      </c>
      <c r="L277" s="31">
        <f>IF($F277=8,$H277*$B$26,0)</f>
        <v>0</v>
      </c>
      <c r="M277" s="31">
        <f>IF($F277=10,$H277*$B$27,0)</f>
        <v>0</v>
      </c>
      <c r="N277" s="31">
        <f>IF($F277=12.5,$H277*$B$28,0)</f>
        <v>0</v>
      </c>
      <c r="O277" s="31">
        <f>IF($F277=16,$H277*$B$29,0)</f>
        <v>0</v>
      </c>
      <c r="P277" s="31">
        <f>IF($F277=20,$H277*$B$30,0)</f>
        <v>0</v>
      </c>
      <c r="Q277" s="49">
        <f>IF($F277=25,$H277*$B$31,0)</f>
        <v>0</v>
      </c>
    </row>
    <row r="278" spans="4:17" s="16" customFormat="1" ht="13.2" x14ac:dyDescent="0.25">
      <c r="D278" s="235">
        <v>23</v>
      </c>
      <c r="E278" s="240">
        <v>2</v>
      </c>
      <c r="F278" s="241">
        <v>8</v>
      </c>
      <c r="G278" s="242">
        <v>8.4499999999999993</v>
      </c>
      <c r="H278" s="239">
        <f>E278*G278</f>
        <v>16.899999999999999</v>
      </c>
      <c r="I278" s="131">
        <f>IF($F278=4.2,H278*$B$23,0)</f>
        <v>0</v>
      </c>
      <c r="J278" s="31">
        <f>IF($F278=5,$H278*$B$24,0)</f>
        <v>0</v>
      </c>
      <c r="K278" s="31">
        <f>IF($F278=6.3,$H278*$B$25,0)</f>
        <v>0</v>
      </c>
      <c r="L278" s="31">
        <f>IF($F278=8,$H278*$B$26,0)</f>
        <v>6.6754999999999995</v>
      </c>
      <c r="M278" s="31">
        <f>IF($F278=10,$H278*$B$27,0)</f>
        <v>0</v>
      </c>
      <c r="N278" s="31">
        <f>IF($F278=12.5,$H278*$B$28,0)</f>
        <v>0</v>
      </c>
      <c r="O278" s="31">
        <f>IF($F278=16,$H278*$B$29,0)</f>
        <v>0</v>
      </c>
      <c r="P278" s="31">
        <f>IF($F278=20,$H278*$B$30,0)</f>
        <v>0</v>
      </c>
      <c r="Q278" s="49">
        <f>IF($F278=25,$H278*$B$31,0)</f>
        <v>0</v>
      </c>
    </row>
    <row r="279" spans="4:17" s="16" customFormat="1" ht="13.2" x14ac:dyDescent="0.25">
      <c r="D279" s="235">
        <v>28</v>
      </c>
      <c r="E279" s="240">
        <v>2</v>
      </c>
      <c r="F279" s="241">
        <v>8</v>
      </c>
      <c r="G279" s="242">
        <v>8.3699999999999992</v>
      </c>
      <c r="H279" s="239">
        <f>E279*G279</f>
        <v>16.739999999999998</v>
      </c>
      <c r="I279" s="131">
        <f>IF($F279=4.2,H279*$B$23,0)</f>
        <v>0</v>
      </c>
      <c r="J279" s="31">
        <f>IF($F279=5,$H279*$B$24,0)</f>
        <v>0</v>
      </c>
      <c r="K279" s="31">
        <f>IF($F279=6.3,$H279*$B$25,0)</f>
        <v>0</v>
      </c>
      <c r="L279" s="31">
        <f>IF($F279=8,$H279*$B$26,0)</f>
        <v>6.6122999999999994</v>
      </c>
      <c r="M279" s="31">
        <f>IF($F279=10,$H279*$B$27,0)</f>
        <v>0</v>
      </c>
      <c r="N279" s="31">
        <f>IF($F279=12.5,$H279*$B$28,0)</f>
        <v>0</v>
      </c>
      <c r="O279" s="31">
        <f>IF($F279=16,$H279*$B$29,0)</f>
        <v>0</v>
      </c>
      <c r="P279" s="31">
        <f>IF($F279=20,$H279*$B$30,0)</f>
        <v>0</v>
      </c>
      <c r="Q279" s="49">
        <f>IF($F279=25,$H279*$B$31,0)</f>
        <v>0</v>
      </c>
    </row>
    <row r="280" spans="4:17" s="16" customFormat="1" ht="13.2" x14ac:dyDescent="0.25">
      <c r="D280" s="235">
        <v>30</v>
      </c>
      <c r="E280" s="240">
        <v>1</v>
      </c>
      <c r="F280" s="241">
        <v>8</v>
      </c>
      <c r="G280" s="242">
        <v>1.1499999999999999</v>
      </c>
      <c r="H280" s="239">
        <f>E280*G280</f>
        <v>1.1499999999999999</v>
      </c>
      <c r="I280" s="131">
        <f>IF($F280=4.2,H280*$B$23,0)</f>
        <v>0</v>
      </c>
      <c r="J280" s="31">
        <f>IF($F280=5,$H280*$B$24,0)</f>
        <v>0</v>
      </c>
      <c r="K280" s="31">
        <f>IF($F280=6.3,$H280*$B$25,0)</f>
        <v>0</v>
      </c>
      <c r="L280" s="31">
        <f>IF($F280=8,$H280*$B$26,0)</f>
        <v>0.45424999999999999</v>
      </c>
      <c r="M280" s="31">
        <f>IF($F280=10,$H280*$B$27,0)</f>
        <v>0</v>
      </c>
      <c r="N280" s="31">
        <f>IF($F280=12.5,$H280*$B$28,0)</f>
        <v>0</v>
      </c>
      <c r="O280" s="31">
        <f>IF($F280=16,$H280*$B$29,0)</f>
        <v>0</v>
      </c>
      <c r="P280" s="31">
        <f>IF($F280=20,$H280*$B$30,0)</f>
        <v>0</v>
      </c>
      <c r="Q280" s="49">
        <f>IF($F280=25,$H280*$B$31,0)</f>
        <v>0</v>
      </c>
    </row>
    <row r="281" spans="4:17" s="16" customFormat="1" ht="13.2" x14ac:dyDescent="0.25">
      <c r="D281" s="307"/>
      <c r="E281" s="26"/>
      <c r="F281" s="206"/>
      <c r="G281" s="207"/>
      <c r="H281" s="207"/>
      <c r="I281" s="51"/>
      <c r="J281" s="308"/>
      <c r="K281" s="308"/>
      <c r="L281" s="308"/>
      <c r="M281" s="308"/>
      <c r="N281" s="308"/>
      <c r="O281" s="308"/>
      <c r="P281" s="308"/>
      <c r="Q281" s="309"/>
    </row>
    <row r="282" spans="4:17" s="16" customFormat="1" ht="13.2" x14ac:dyDescent="0.25">
      <c r="D282" s="796" t="s">
        <v>1361</v>
      </c>
      <c r="E282" s="797"/>
      <c r="F282" s="797"/>
      <c r="G282" s="797"/>
      <c r="H282" s="797"/>
      <c r="I282" s="175">
        <f t="shared" ref="I282:Q282" si="237">SUM(I283:I290)</f>
        <v>0</v>
      </c>
      <c r="J282" s="175">
        <f t="shared" si="237"/>
        <v>3.5851200000000003</v>
      </c>
      <c r="K282" s="175">
        <f t="shared" si="237"/>
        <v>0</v>
      </c>
      <c r="L282" s="175">
        <f t="shared" si="237"/>
        <v>1.9828999999999999</v>
      </c>
      <c r="M282" s="175">
        <f t="shared" si="237"/>
        <v>10.217519999999999</v>
      </c>
      <c r="N282" s="175">
        <f t="shared" si="237"/>
        <v>6.7795199999999998</v>
      </c>
      <c r="O282" s="175">
        <f t="shared" si="237"/>
        <v>0</v>
      </c>
      <c r="P282" s="175">
        <f t="shared" si="237"/>
        <v>0</v>
      </c>
      <c r="Q282" s="175">
        <f t="shared" si="237"/>
        <v>0</v>
      </c>
    </row>
    <row r="283" spans="4:17" s="16" customFormat="1" ht="13.2" x14ac:dyDescent="0.25">
      <c r="D283" s="235">
        <v>4</v>
      </c>
      <c r="E283" s="237">
        <v>24</v>
      </c>
      <c r="F283" s="238">
        <v>5</v>
      </c>
      <c r="G283" s="239">
        <v>0.97</v>
      </c>
      <c r="H283" s="239">
        <f t="shared" ref="H283:H290" si="238">E283*G283</f>
        <v>23.28</v>
      </c>
      <c r="I283" s="131">
        <f t="shared" ref="I283:I290" si="239">IF($F283=4.2,H283*$B$23,0)</f>
        <v>0</v>
      </c>
      <c r="J283" s="31">
        <f t="shared" ref="J283:J290" si="240">IF($F283=5,$H283*$B$24,0)</f>
        <v>3.5851200000000003</v>
      </c>
      <c r="K283" s="31">
        <f t="shared" ref="K283:K290" si="241">IF($F283=6.3,$H283*$B$25,0)</f>
        <v>0</v>
      </c>
      <c r="L283" s="31">
        <f t="shared" ref="L283:L290" si="242">IF($F283=8,$H283*$B$26,0)</f>
        <v>0</v>
      </c>
      <c r="M283" s="31">
        <f t="shared" ref="M283:M290" si="243">IF($F283=10,$H283*$B$27,0)</f>
        <v>0</v>
      </c>
      <c r="N283" s="31">
        <f t="shared" ref="N283:N290" si="244">IF($F283=12.5,$H283*$B$28,0)</f>
        <v>0</v>
      </c>
      <c r="O283" s="31">
        <f t="shared" ref="O283:O290" si="245">IF($F283=16,$H283*$B$29,0)</f>
        <v>0</v>
      </c>
      <c r="P283" s="31">
        <f t="shared" ref="P283:P290" si="246">IF($F283=20,$H283*$B$30,0)</f>
        <v>0</v>
      </c>
      <c r="Q283" s="49">
        <f t="shared" ref="Q283:Q290" si="247">IF($F283=25,$H283*$B$31,0)</f>
        <v>0</v>
      </c>
    </row>
    <row r="284" spans="4:17" s="16" customFormat="1" ht="13.2" x14ac:dyDescent="0.25">
      <c r="D284" s="235">
        <v>31</v>
      </c>
      <c r="E284" s="237">
        <v>2</v>
      </c>
      <c r="F284" s="238">
        <v>8</v>
      </c>
      <c r="G284" s="239">
        <v>2.5099999999999998</v>
      </c>
      <c r="H284" s="239">
        <f t="shared" si="238"/>
        <v>5.0199999999999996</v>
      </c>
      <c r="I284" s="131">
        <f t="shared" si="239"/>
        <v>0</v>
      </c>
      <c r="J284" s="31">
        <f t="shared" si="240"/>
        <v>0</v>
      </c>
      <c r="K284" s="31">
        <f t="shared" si="241"/>
        <v>0</v>
      </c>
      <c r="L284" s="31">
        <f t="shared" si="242"/>
        <v>1.9828999999999999</v>
      </c>
      <c r="M284" s="31">
        <f t="shared" si="243"/>
        <v>0</v>
      </c>
      <c r="N284" s="31">
        <f t="shared" si="244"/>
        <v>0</v>
      </c>
      <c r="O284" s="31">
        <f t="shared" si="245"/>
        <v>0</v>
      </c>
      <c r="P284" s="31">
        <f t="shared" si="246"/>
        <v>0</v>
      </c>
      <c r="Q284" s="49">
        <f t="shared" si="247"/>
        <v>0</v>
      </c>
    </row>
    <row r="285" spans="4:17" s="16" customFormat="1" ht="13.2" x14ac:dyDescent="0.25">
      <c r="D285" s="235">
        <v>47</v>
      </c>
      <c r="E285" s="237">
        <v>1</v>
      </c>
      <c r="F285" s="238">
        <v>10</v>
      </c>
      <c r="G285" s="239">
        <v>0.74</v>
      </c>
      <c r="H285" s="239">
        <f t="shared" si="238"/>
        <v>0.74</v>
      </c>
      <c r="I285" s="131">
        <f t="shared" si="239"/>
        <v>0</v>
      </c>
      <c r="J285" s="31">
        <f t="shared" si="240"/>
        <v>0</v>
      </c>
      <c r="K285" s="31">
        <f t="shared" si="241"/>
        <v>0</v>
      </c>
      <c r="L285" s="31">
        <f t="shared" si="242"/>
        <v>0</v>
      </c>
      <c r="M285" s="31">
        <f t="shared" si="243"/>
        <v>0.45657999999999999</v>
      </c>
      <c r="N285" s="31">
        <f t="shared" si="244"/>
        <v>0</v>
      </c>
      <c r="O285" s="31">
        <f t="shared" si="245"/>
        <v>0</v>
      </c>
      <c r="P285" s="31">
        <f t="shared" si="246"/>
        <v>0</v>
      </c>
      <c r="Q285" s="49">
        <f t="shared" si="247"/>
        <v>0</v>
      </c>
    </row>
    <row r="286" spans="4:17" s="16" customFormat="1" ht="13.2" x14ac:dyDescent="0.25">
      <c r="D286" s="235">
        <v>48</v>
      </c>
      <c r="E286" s="237">
        <v>1</v>
      </c>
      <c r="F286" s="238">
        <v>10</v>
      </c>
      <c r="G286" s="239">
        <v>0.78</v>
      </c>
      <c r="H286" s="239">
        <f t="shared" ref="H286:H287" si="248">E286*G286</f>
        <v>0.78</v>
      </c>
      <c r="I286" s="131">
        <f t="shared" ref="I286:I287" si="249">IF($F286=4.2,H286*$B$23,0)</f>
        <v>0</v>
      </c>
      <c r="J286" s="31">
        <f t="shared" si="240"/>
        <v>0</v>
      </c>
      <c r="K286" s="31">
        <f t="shared" si="241"/>
        <v>0</v>
      </c>
      <c r="L286" s="31">
        <f t="shared" si="242"/>
        <v>0</v>
      </c>
      <c r="M286" s="31">
        <f t="shared" si="243"/>
        <v>0.48126000000000002</v>
      </c>
      <c r="N286" s="31">
        <f t="shared" si="244"/>
        <v>0</v>
      </c>
      <c r="O286" s="31">
        <f t="shared" si="245"/>
        <v>0</v>
      </c>
      <c r="P286" s="31">
        <f t="shared" si="246"/>
        <v>0</v>
      </c>
      <c r="Q286" s="49">
        <f t="shared" si="247"/>
        <v>0</v>
      </c>
    </row>
    <row r="287" spans="4:17" s="16" customFormat="1" ht="13.2" x14ac:dyDescent="0.25">
      <c r="D287" s="235">
        <v>49</v>
      </c>
      <c r="E287" s="237">
        <v>2</v>
      </c>
      <c r="F287" s="238">
        <v>10</v>
      </c>
      <c r="G287" s="239">
        <v>2.2999999999999998</v>
      </c>
      <c r="H287" s="239">
        <f t="shared" si="248"/>
        <v>4.5999999999999996</v>
      </c>
      <c r="I287" s="131">
        <f t="shared" si="249"/>
        <v>0</v>
      </c>
      <c r="J287" s="31">
        <f t="shared" si="240"/>
        <v>0</v>
      </c>
      <c r="K287" s="31">
        <f t="shared" si="241"/>
        <v>0</v>
      </c>
      <c r="L287" s="31">
        <f t="shared" si="242"/>
        <v>0</v>
      </c>
      <c r="M287" s="31">
        <f t="shared" si="243"/>
        <v>2.8381999999999996</v>
      </c>
      <c r="N287" s="31">
        <f t="shared" si="244"/>
        <v>0</v>
      </c>
      <c r="O287" s="31">
        <f t="shared" si="245"/>
        <v>0</v>
      </c>
      <c r="P287" s="31">
        <f t="shared" si="246"/>
        <v>0</v>
      </c>
      <c r="Q287" s="49">
        <f t="shared" si="247"/>
        <v>0</v>
      </c>
    </row>
    <row r="288" spans="4:17" s="16" customFormat="1" ht="13.2" x14ac:dyDescent="0.25">
      <c r="D288" s="235">
        <v>50</v>
      </c>
      <c r="E288" s="237">
        <v>2</v>
      </c>
      <c r="F288" s="238">
        <v>10</v>
      </c>
      <c r="G288" s="239">
        <v>5.22</v>
      </c>
      <c r="H288" s="239">
        <f t="shared" ref="H288:H289" si="250">E288*G288</f>
        <v>10.44</v>
      </c>
      <c r="I288" s="131">
        <f t="shared" ref="I288:I289" si="251">IF($F288=4.2,H288*$B$23,0)</f>
        <v>0</v>
      </c>
      <c r="J288" s="31">
        <f t="shared" si="240"/>
        <v>0</v>
      </c>
      <c r="K288" s="31">
        <f t="shared" si="241"/>
        <v>0</v>
      </c>
      <c r="L288" s="31">
        <f t="shared" si="242"/>
        <v>0</v>
      </c>
      <c r="M288" s="31">
        <f t="shared" si="243"/>
        <v>6.4414799999999994</v>
      </c>
      <c r="N288" s="31">
        <f t="shared" si="244"/>
        <v>0</v>
      </c>
      <c r="O288" s="31">
        <f t="shared" si="245"/>
        <v>0</v>
      </c>
      <c r="P288" s="31">
        <f t="shared" si="246"/>
        <v>0</v>
      </c>
      <c r="Q288" s="49">
        <f t="shared" si="247"/>
        <v>0</v>
      </c>
    </row>
    <row r="289" spans="4:17" s="16" customFormat="1" ht="13.2" x14ac:dyDescent="0.25">
      <c r="D289" s="235">
        <v>55</v>
      </c>
      <c r="E289" s="237">
        <v>2</v>
      </c>
      <c r="F289" s="238">
        <v>12.5</v>
      </c>
      <c r="G289" s="239">
        <v>2.56</v>
      </c>
      <c r="H289" s="239">
        <f t="shared" si="250"/>
        <v>5.12</v>
      </c>
      <c r="I289" s="131">
        <f t="shared" si="251"/>
        <v>0</v>
      </c>
      <c r="J289" s="31">
        <f t="shared" si="240"/>
        <v>0</v>
      </c>
      <c r="K289" s="31">
        <f t="shared" si="241"/>
        <v>0</v>
      </c>
      <c r="L289" s="31">
        <f t="shared" si="242"/>
        <v>0</v>
      </c>
      <c r="M289" s="31">
        <f t="shared" si="243"/>
        <v>0</v>
      </c>
      <c r="N289" s="31">
        <f t="shared" si="244"/>
        <v>4.9305599999999998</v>
      </c>
      <c r="O289" s="31">
        <f t="shared" si="245"/>
        <v>0</v>
      </c>
      <c r="P289" s="31">
        <f t="shared" si="246"/>
        <v>0</v>
      </c>
      <c r="Q289" s="49">
        <f t="shared" si="247"/>
        <v>0</v>
      </c>
    </row>
    <row r="290" spans="4:17" s="16" customFormat="1" ht="13.2" x14ac:dyDescent="0.25">
      <c r="D290" s="235">
        <v>56</v>
      </c>
      <c r="E290" s="237">
        <v>2</v>
      </c>
      <c r="F290" s="238">
        <v>12.5</v>
      </c>
      <c r="G290" s="239">
        <v>0.96</v>
      </c>
      <c r="H290" s="239">
        <f t="shared" si="238"/>
        <v>1.92</v>
      </c>
      <c r="I290" s="131">
        <f t="shared" si="239"/>
        <v>0</v>
      </c>
      <c r="J290" s="31">
        <f t="shared" si="240"/>
        <v>0</v>
      </c>
      <c r="K290" s="31">
        <f t="shared" si="241"/>
        <v>0</v>
      </c>
      <c r="L290" s="31">
        <f t="shared" si="242"/>
        <v>0</v>
      </c>
      <c r="M290" s="31">
        <f t="shared" si="243"/>
        <v>0</v>
      </c>
      <c r="N290" s="31">
        <f t="shared" si="244"/>
        <v>1.8489599999999999</v>
      </c>
      <c r="O290" s="31">
        <f t="shared" si="245"/>
        <v>0</v>
      </c>
      <c r="P290" s="31">
        <f t="shared" si="246"/>
        <v>0</v>
      </c>
      <c r="Q290" s="49">
        <f t="shared" si="247"/>
        <v>0</v>
      </c>
    </row>
    <row r="291" spans="4:17" s="16" customFormat="1" ht="13.2" x14ac:dyDescent="0.25">
      <c r="D291" s="307"/>
      <c r="E291" s="26"/>
      <c r="F291" s="206"/>
      <c r="G291" s="207"/>
      <c r="H291" s="207"/>
      <c r="I291" s="51"/>
      <c r="J291" s="308"/>
      <c r="K291" s="308"/>
      <c r="L291" s="308"/>
      <c r="M291" s="308"/>
      <c r="N291" s="308"/>
      <c r="O291" s="308"/>
      <c r="P291" s="308"/>
      <c r="Q291" s="309"/>
    </row>
    <row r="292" spans="4:17" s="16" customFormat="1" ht="13.2" x14ac:dyDescent="0.25">
      <c r="D292" s="796" t="s">
        <v>1362</v>
      </c>
      <c r="E292" s="797"/>
      <c r="F292" s="797"/>
      <c r="G292" s="797"/>
      <c r="H292" s="797"/>
      <c r="I292" s="175">
        <f t="shared" ref="I292:Q292" si="252">SUM(I293:I296)</f>
        <v>0</v>
      </c>
      <c r="J292" s="175">
        <f t="shared" si="252"/>
        <v>4.9295399999999994</v>
      </c>
      <c r="K292" s="175">
        <f t="shared" si="252"/>
        <v>0</v>
      </c>
      <c r="L292" s="175">
        <f t="shared" si="252"/>
        <v>0</v>
      </c>
      <c r="M292" s="175">
        <f t="shared" si="252"/>
        <v>15.437339999999999</v>
      </c>
      <c r="N292" s="175">
        <f t="shared" si="252"/>
        <v>14.90724</v>
      </c>
      <c r="O292" s="175">
        <f t="shared" si="252"/>
        <v>0</v>
      </c>
      <c r="P292" s="175">
        <f t="shared" si="252"/>
        <v>0</v>
      </c>
      <c r="Q292" s="175">
        <f t="shared" si="252"/>
        <v>0</v>
      </c>
    </row>
    <row r="293" spans="4:17" s="16" customFormat="1" ht="13.2" x14ac:dyDescent="0.25">
      <c r="D293" s="235">
        <v>4</v>
      </c>
      <c r="E293" s="237">
        <v>33</v>
      </c>
      <c r="F293" s="238">
        <v>5</v>
      </c>
      <c r="G293" s="239">
        <v>0.97</v>
      </c>
      <c r="H293" s="239">
        <f t="shared" ref="H293:H296" si="253">E293*G293</f>
        <v>32.01</v>
      </c>
      <c r="I293" s="131">
        <f t="shared" ref="I293:I296" si="254">IF($F293=4.2,H293*$B$23,0)</f>
        <v>0</v>
      </c>
      <c r="J293" s="31">
        <f t="shared" ref="J293:J296" si="255">IF($F293=5,$H293*$B$24,0)</f>
        <v>4.9295399999999994</v>
      </c>
      <c r="K293" s="31">
        <f t="shared" ref="K293:K296" si="256">IF($F293=6.3,$H293*$B$25,0)</f>
        <v>0</v>
      </c>
      <c r="L293" s="31">
        <f t="shared" ref="L293:L296" si="257">IF($F293=8,$H293*$B$26,0)</f>
        <v>0</v>
      </c>
      <c r="M293" s="31">
        <f t="shared" ref="M293:M296" si="258">IF($F293=10,$H293*$B$27,0)</f>
        <v>0</v>
      </c>
      <c r="N293" s="31">
        <f t="shared" ref="N293:N296" si="259">IF($F293=12.5,$H293*$B$28,0)</f>
        <v>0</v>
      </c>
      <c r="O293" s="31">
        <f t="shared" ref="O293:O296" si="260">IF($F293=16,$H293*$B$29,0)</f>
        <v>0</v>
      </c>
      <c r="P293" s="31">
        <f t="shared" ref="P293:P296" si="261">IF($F293=20,$H293*$B$30,0)</f>
        <v>0</v>
      </c>
      <c r="Q293" s="49">
        <f t="shared" ref="Q293:Q296" si="262">IF($F293=25,$H293*$B$31,0)</f>
        <v>0</v>
      </c>
    </row>
    <row r="294" spans="4:17" s="16" customFormat="1" ht="13.2" x14ac:dyDescent="0.25">
      <c r="D294" s="235">
        <v>51</v>
      </c>
      <c r="E294" s="237">
        <v>1</v>
      </c>
      <c r="F294" s="238">
        <v>10</v>
      </c>
      <c r="G294" s="239">
        <v>3.6</v>
      </c>
      <c r="H294" s="239">
        <f t="shared" si="253"/>
        <v>3.6</v>
      </c>
      <c r="I294" s="131">
        <f t="shared" si="254"/>
        <v>0</v>
      </c>
      <c r="J294" s="31">
        <f t="shared" si="255"/>
        <v>0</v>
      </c>
      <c r="K294" s="31">
        <f t="shared" si="256"/>
        <v>0</v>
      </c>
      <c r="L294" s="31">
        <f t="shared" si="257"/>
        <v>0</v>
      </c>
      <c r="M294" s="31">
        <f t="shared" si="258"/>
        <v>2.2212000000000001</v>
      </c>
      <c r="N294" s="31">
        <f t="shared" si="259"/>
        <v>0</v>
      </c>
      <c r="O294" s="31">
        <f t="shared" si="260"/>
        <v>0</v>
      </c>
      <c r="P294" s="31">
        <f t="shared" si="261"/>
        <v>0</v>
      </c>
      <c r="Q294" s="49">
        <f t="shared" si="262"/>
        <v>0</v>
      </c>
    </row>
    <row r="295" spans="4:17" s="16" customFormat="1" ht="13.2" x14ac:dyDescent="0.25">
      <c r="D295" s="235">
        <v>52</v>
      </c>
      <c r="E295" s="237">
        <v>3</v>
      </c>
      <c r="F295" s="238">
        <v>10</v>
      </c>
      <c r="G295" s="239">
        <v>7.14</v>
      </c>
      <c r="H295" s="239">
        <f t="shared" si="253"/>
        <v>21.419999999999998</v>
      </c>
      <c r="I295" s="131">
        <f t="shared" si="254"/>
        <v>0</v>
      </c>
      <c r="J295" s="31">
        <f t="shared" si="255"/>
        <v>0</v>
      </c>
      <c r="K295" s="31">
        <f t="shared" si="256"/>
        <v>0</v>
      </c>
      <c r="L295" s="31">
        <f t="shared" si="257"/>
        <v>0</v>
      </c>
      <c r="M295" s="31">
        <f t="shared" si="258"/>
        <v>13.216139999999999</v>
      </c>
      <c r="N295" s="31">
        <f t="shared" si="259"/>
        <v>0</v>
      </c>
      <c r="O295" s="31">
        <f t="shared" si="260"/>
        <v>0</v>
      </c>
      <c r="P295" s="31">
        <f t="shared" si="261"/>
        <v>0</v>
      </c>
      <c r="Q295" s="49">
        <f t="shared" si="262"/>
        <v>0</v>
      </c>
    </row>
    <row r="296" spans="4:17" s="16" customFormat="1" ht="13.2" x14ac:dyDescent="0.25">
      <c r="D296" s="235">
        <v>57</v>
      </c>
      <c r="E296" s="237">
        <v>2</v>
      </c>
      <c r="F296" s="238">
        <v>12.5</v>
      </c>
      <c r="G296" s="239">
        <v>7.74</v>
      </c>
      <c r="H296" s="239">
        <f t="shared" si="253"/>
        <v>15.48</v>
      </c>
      <c r="I296" s="131">
        <f t="shared" si="254"/>
        <v>0</v>
      </c>
      <c r="J296" s="31">
        <f t="shared" si="255"/>
        <v>0</v>
      </c>
      <c r="K296" s="31">
        <f t="shared" si="256"/>
        <v>0</v>
      </c>
      <c r="L296" s="31">
        <f t="shared" si="257"/>
        <v>0</v>
      </c>
      <c r="M296" s="31">
        <f t="shared" si="258"/>
        <v>0</v>
      </c>
      <c r="N296" s="31">
        <f t="shared" si="259"/>
        <v>14.90724</v>
      </c>
      <c r="O296" s="31">
        <f t="shared" si="260"/>
        <v>0</v>
      </c>
      <c r="P296" s="31">
        <f t="shared" si="261"/>
        <v>0</v>
      </c>
      <c r="Q296" s="49">
        <f t="shared" si="262"/>
        <v>0</v>
      </c>
    </row>
    <row r="297" spans="4:17" s="16" customFormat="1" ht="13.2" x14ac:dyDescent="0.25">
      <c r="D297" s="307"/>
      <c r="E297" s="26"/>
      <c r="F297" s="206"/>
      <c r="G297" s="207"/>
      <c r="H297" s="207"/>
      <c r="I297" s="51"/>
      <c r="J297" s="308"/>
      <c r="K297" s="308"/>
      <c r="L297" s="308"/>
      <c r="M297" s="308"/>
      <c r="N297" s="308"/>
      <c r="O297" s="308"/>
      <c r="P297" s="308"/>
      <c r="Q297" s="309"/>
    </row>
    <row r="298" spans="4:17" s="16" customFormat="1" ht="13.2" x14ac:dyDescent="0.25">
      <c r="D298" s="796" t="s">
        <v>1363</v>
      </c>
      <c r="E298" s="797"/>
      <c r="F298" s="797"/>
      <c r="G298" s="797"/>
      <c r="H298" s="797"/>
      <c r="I298" s="175">
        <f t="shared" ref="I298:Q298" si="263">SUM(I299:I303)</f>
        <v>0</v>
      </c>
      <c r="J298" s="175">
        <f t="shared" si="263"/>
        <v>2.8382199999999997</v>
      </c>
      <c r="K298" s="175">
        <f t="shared" si="263"/>
        <v>0</v>
      </c>
      <c r="L298" s="175">
        <f t="shared" si="263"/>
        <v>3.5471000000000004</v>
      </c>
      <c r="M298" s="175">
        <f t="shared" si="263"/>
        <v>8.008659999999999</v>
      </c>
      <c r="N298" s="175">
        <f t="shared" si="263"/>
        <v>0</v>
      </c>
      <c r="O298" s="175">
        <f t="shared" si="263"/>
        <v>0</v>
      </c>
      <c r="P298" s="175">
        <f t="shared" si="263"/>
        <v>0</v>
      </c>
      <c r="Q298" s="175">
        <f t="shared" si="263"/>
        <v>0</v>
      </c>
    </row>
    <row r="299" spans="4:17" s="16" customFormat="1" ht="13.2" x14ac:dyDescent="0.25">
      <c r="D299" s="235">
        <v>4</v>
      </c>
      <c r="E299" s="237">
        <v>19</v>
      </c>
      <c r="F299" s="238">
        <v>5</v>
      </c>
      <c r="G299" s="239">
        <v>0.97</v>
      </c>
      <c r="H299" s="239">
        <f t="shared" ref="H299:H303" si="264">E299*G299</f>
        <v>18.43</v>
      </c>
      <c r="I299" s="131">
        <f t="shared" ref="I299:I303" si="265">IF($F299=4.2,H299*$B$23,0)</f>
        <v>0</v>
      </c>
      <c r="J299" s="31">
        <f t="shared" ref="J299:J303" si="266">IF($F299=5,$H299*$B$24,0)</f>
        <v>2.8382199999999997</v>
      </c>
      <c r="K299" s="31">
        <f t="shared" ref="K299:K303" si="267">IF($F299=6.3,$H299*$B$25,0)</f>
        <v>0</v>
      </c>
      <c r="L299" s="31">
        <f t="shared" ref="L299:L303" si="268">IF($F299=8,$H299*$B$26,0)</f>
        <v>0</v>
      </c>
      <c r="M299" s="31">
        <f t="shared" ref="M299:M303" si="269">IF($F299=10,$H299*$B$27,0)</f>
        <v>0</v>
      </c>
      <c r="N299" s="31">
        <f t="shared" ref="N299:N303" si="270">IF($F299=12.5,$H299*$B$28,0)</f>
        <v>0</v>
      </c>
      <c r="O299" s="31">
        <f t="shared" ref="O299:O303" si="271">IF($F299=16,$H299*$B$29,0)</f>
        <v>0</v>
      </c>
      <c r="P299" s="31">
        <f t="shared" ref="P299:P303" si="272">IF($F299=20,$H299*$B$30,0)</f>
        <v>0</v>
      </c>
      <c r="Q299" s="49">
        <f t="shared" ref="Q299:Q303" si="273">IF($F299=25,$H299*$B$31,0)</f>
        <v>0</v>
      </c>
    </row>
    <row r="300" spans="4:17" s="16" customFormat="1" ht="13.2" x14ac:dyDescent="0.25">
      <c r="D300" s="235">
        <v>32</v>
      </c>
      <c r="E300" s="237">
        <v>2</v>
      </c>
      <c r="F300" s="238">
        <v>8</v>
      </c>
      <c r="G300" s="239">
        <v>4.49</v>
      </c>
      <c r="H300" s="239">
        <f t="shared" si="264"/>
        <v>8.98</v>
      </c>
      <c r="I300" s="131">
        <f t="shared" si="265"/>
        <v>0</v>
      </c>
      <c r="J300" s="31">
        <f t="shared" si="266"/>
        <v>0</v>
      </c>
      <c r="K300" s="31">
        <f t="shared" si="267"/>
        <v>0</v>
      </c>
      <c r="L300" s="31">
        <f t="shared" si="268"/>
        <v>3.5471000000000004</v>
      </c>
      <c r="M300" s="31">
        <f t="shared" si="269"/>
        <v>0</v>
      </c>
      <c r="N300" s="31">
        <f t="shared" si="270"/>
        <v>0</v>
      </c>
      <c r="O300" s="31">
        <f t="shared" si="271"/>
        <v>0</v>
      </c>
      <c r="P300" s="31">
        <f t="shared" si="272"/>
        <v>0</v>
      </c>
      <c r="Q300" s="49">
        <f t="shared" si="273"/>
        <v>0</v>
      </c>
    </row>
    <row r="301" spans="4:17" s="16" customFormat="1" ht="13.2" x14ac:dyDescent="0.25">
      <c r="D301" s="235">
        <v>49</v>
      </c>
      <c r="E301" s="237">
        <v>2</v>
      </c>
      <c r="F301" s="238">
        <v>10</v>
      </c>
      <c r="G301" s="239">
        <v>2.2999999999999998</v>
      </c>
      <c r="H301" s="239">
        <f t="shared" si="264"/>
        <v>4.5999999999999996</v>
      </c>
      <c r="I301" s="131">
        <f t="shared" si="265"/>
        <v>0</v>
      </c>
      <c r="J301" s="31">
        <f t="shared" si="266"/>
        <v>0</v>
      </c>
      <c r="K301" s="31">
        <f t="shared" si="267"/>
        <v>0</v>
      </c>
      <c r="L301" s="31">
        <f t="shared" si="268"/>
        <v>0</v>
      </c>
      <c r="M301" s="31">
        <f t="shared" si="269"/>
        <v>2.8381999999999996</v>
      </c>
      <c r="N301" s="31">
        <f t="shared" si="270"/>
        <v>0</v>
      </c>
      <c r="O301" s="31">
        <f t="shared" si="271"/>
        <v>0</v>
      </c>
      <c r="P301" s="31">
        <f t="shared" si="272"/>
        <v>0</v>
      </c>
      <c r="Q301" s="49">
        <f t="shared" si="273"/>
        <v>0</v>
      </c>
    </row>
    <row r="302" spans="4:17" s="16" customFormat="1" ht="13.2" x14ac:dyDescent="0.25">
      <c r="D302" s="235">
        <v>53</v>
      </c>
      <c r="E302" s="237">
        <v>2</v>
      </c>
      <c r="F302" s="238">
        <v>10</v>
      </c>
      <c r="G302" s="239">
        <v>4.1900000000000004</v>
      </c>
      <c r="H302" s="239">
        <f t="shared" si="264"/>
        <v>8.3800000000000008</v>
      </c>
      <c r="I302" s="131">
        <f t="shared" si="265"/>
        <v>0</v>
      </c>
      <c r="J302" s="31">
        <f t="shared" si="266"/>
        <v>0</v>
      </c>
      <c r="K302" s="31">
        <f t="shared" si="267"/>
        <v>0</v>
      </c>
      <c r="L302" s="31">
        <f t="shared" si="268"/>
        <v>0</v>
      </c>
      <c r="M302" s="31">
        <f t="shared" si="269"/>
        <v>5.1704600000000003</v>
      </c>
      <c r="N302" s="31">
        <f t="shared" si="270"/>
        <v>0</v>
      </c>
      <c r="O302" s="31">
        <f t="shared" si="271"/>
        <v>0</v>
      </c>
      <c r="P302" s="31">
        <f t="shared" si="272"/>
        <v>0</v>
      </c>
      <c r="Q302" s="49">
        <f t="shared" si="273"/>
        <v>0</v>
      </c>
    </row>
    <row r="303" spans="4:17" s="16" customFormat="1" ht="13.2" x14ac:dyDescent="0.25">
      <c r="D303" s="235"/>
      <c r="E303" s="237"/>
      <c r="F303" s="238"/>
      <c r="G303" s="239"/>
      <c r="H303" s="239">
        <f t="shared" si="264"/>
        <v>0</v>
      </c>
      <c r="I303" s="131">
        <f t="shared" si="265"/>
        <v>0</v>
      </c>
      <c r="J303" s="31">
        <f t="shared" si="266"/>
        <v>0</v>
      </c>
      <c r="K303" s="31">
        <f t="shared" si="267"/>
        <v>0</v>
      </c>
      <c r="L303" s="31">
        <f t="shared" si="268"/>
        <v>0</v>
      </c>
      <c r="M303" s="31">
        <f t="shared" si="269"/>
        <v>0</v>
      </c>
      <c r="N303" s="31">
        <f t="shared" si="270"/>
        <v>0</v>
      </c>
      <c r="O303" s="31">
        <f t="shared" si="271"/>
        <v>0</v>
      </c>
      <c r="P303" s="31">
        <f t="shared" si="272"/>
        <v>0</v>
      </c>
      <c r="Q303" s="49">
        <f t="shared" si="273"/>
        <v>0</v>
      </c>
    </row>
    <row r="304" spans="4:17" s="16" customFormat="1" ht="13.2" x14ac:dyDescent="0.25">
      <c r="D304" s="307"/>
      <c r="E304" s="26"/>
      <c r="F304" s="206"/>
      <c r="G304" s="207"/>
      <c r="H304" s="207"/>
      <c r="I304" s="51"/>
      <c r="J304" s="308"/>
      <c r="K304" s="308"/>
      <c r="L304" s="308"/>
      <c r="M304" s="308"/>
      <c r="N304" s="308"/>
      <c r="O304" s="308"/>
      <c r="P304" s="308"/>
      <c r="Q304" s="309"/>
    </row>
    <row r="305" spans="4:17" s="16" customFormat="1" ht="13.2" x14ac:dyDescent="0.25">
      <c r="D305" s="796" t="s">
        <v>1364</v>
      </c>
      <c r="E305" s="797"/>
      <c r="F305" s="797"/>
      <c r="G305" s="797"/>
      <c r="H305" s="797"/>
      <c r="I305" s="175">
        <f t="shared" ref="I305:Q305" si="274">SUM(I306:I310)</f>
        <v>0</v>
      </c>
      <c r="J305" s="175">
        <f t="shared" si="274"/>
        <v>6.4233399999999996</v>
      </c>
      <c r="K305" s="175">
        <f t="shared" si="274"/>
        <v>0</v>
      </c>
      <c r="L305" s="175">
        <f t="shared" si="274"/>
        <v>9.7170000000000005</v>
      </c>
      <c r="M305" s="175">
        <f t="shared" si="274"/>
        <v>13.253159999999999</v>
      </c>
      <c r="N305" s="175">
        <f t="shared" si="274"/>
        <v>0</v>
      </c>
      <c r="O305" s="175">
        <f t="shared" si="274"/>
        <v>0</v>
      </c>
      <c r="P305" s="175">
        <f t="shared" si="274"/>
        <v>0</v>
      </c>
      <c r="Q305" s="175">
        <f t="shared" si="274"/>
        <v>0</v>
      </c>
    </row>
    <row r="306" spans="4:17" s="16" customFormat="1" ht="13.2" x14ac:dyDescent="0.25">
      <c r="D306" s="235">
        <v>4</v>
      </c>
      <c r="E306" s="237">
        <v>43</v>
      </c>
      <c r="F306" s="238">
        <v>5</v>
      </c>
      <c r="G306" s="239">
        <v>0.97</v>
      </c>
      <c r="H306" s="239">
        <f t="shared" ref="H306:H310" si="275">E306*G306</f>
        <v>41.71</v>
      </c>
      <c r="I306" s="131">
        <f t="shared" ref="I306:I310" si="276">IF($F306=4.2,H306*$B$23,0)</f>
        <v>0</v>
      </c>
      <c r="J306" s="31">
        <f t="shared" ref="J306:J310" si="277">IF($F306=5,$H306*$B$24,0)</f>
        <v>6.4233399999999996</v>
      </c>
      <c r="K306" s="31">
        <f t="shared" ref="K306:K310" si="278">IF($F306=6.3,$H306*$B$25,0)</f>
        <v>0</v>
      </c>
      <c r="L306" s="31">
        <f t="shared" ref="L306:L310" si="279">IF($F306=8,$H306*$B$26,0)</f>
        <v>0</v>
      </c>
      <c r="M306" s="31">
        <f t="shared" ref="M306:M310" si="280">IF($F306=10,$H306*$B$27,0)</f>
        <v>0</v>
      </c>
      <c r="N306" s="31">
        <f t="shared" ref="N306:N310" si="281">IF($F306=12.5,$H306*$B$28,0)</f>
        <v>0</v>
      </c>
      <c r="O306" s="31">
        <f t="shared" ref="O306:O310" si="282">IF($F306=16,$H306*$B$29,0)</f>
        <v>0</v>
      </c>
      <c r="P306" s="31">
        <f t="shared" ref="P306:P310" si="283">IF($F306=20,$H306*$B$30,0)</f>
        <v>0</v>
      </c>
      <c r="Q306" s="49">
        <f t="shared" ref="Q306:Q310" si="284">IF($F306=25,$H306*$B$31,0)</f>
        <v>0</v>
      </c>
    </row>
    <row r="307" spans="4:17" s="16" customFormat="1" ht="13.2" x14ac:dyDescent="0.25">
      <c r="D307" s="235">
        <v>33</v>
      </c>
      <c r="E307" s="237">
        <v>1</v>
      </c>
      <c r="F307" s="238">
        <v>8</v>
      </c>
      <c r="G307" s="239">
        <v>1.85</v>
      </c>
      <c r="H307" s="239">
        <f t="shared" si="275"/>
        <v>1.85</v>
      </c>
      <c r="I307" s="131">
        <f t="shared" si="276"/>
        <v>0</v>
      </c>
      <c r="J307" s="31">
        <f t="shared" si="277"/>
        <v>0</v>
      </c>
      <c r="K307" s="31">
        <f t="shared" si="278"/>
        <v>0</v>
      </c>
      <c r="L307" s="31">
        <f t="shared" si="279"/>
        <v>0.73075000000000012</v>
      </c>
      <c r="M307" s="31">
        <f t="shared" si="280"/>
        <v>0</v>
      </c>
      <c r="N307" s="31">
        <f t="shared" si="281"/>
        <v>0</v>
      </c>
      <c r="O307" s="31">
        <f t="shared" si="282"/>
        <v>0</v>
      </c>
      <c r="P307" s="31">
        <f t="shared" si="283"/>
        <v>0</v>
      </c>
      <c r="Q307" s="49">
        <f t="shared" si="284"/>
        <v>0</v>
      </c>
    </row>
    <row r="308" spans="4:17" s="16" customFormat="1" ht="13.2" x14ac:dyDescent="0.25">
      <c r="D308" s="235">
        <v>34</v>
      </c>
      <c r="E308" s="237">
        <v>1</v>
      </c>
      <c r="F308" s="238">
        <v>8</v>
      </c>
      <c r="G308" s="239">
        <v>1.27</v>
      </c>
      <c r="H308" s="239">
        <f t="shared" si="275"/>
        <v>1.27</v>
      </c>
      <c r="I308" s="131">
        <f t="shared" si="276"/>
        <v>0</v>
      </c>
      <c r="J308" s="31">
        <f t="shared" si="277"/>
        <v>0</v>
      </c>
      <c r="K308" s="31">
        <f t="shared" si="278"/>
        <v>0</v>
      </c>
      <c r="L308" s="31">
        <f t="shared" si="279"/>
        <v>0.50165000000000004</v>
      </c>
      <c r="M308" s="31">
        <f t="shared" si="280"/>
        <v>0</v>
      </c>
      <c r="N308" s="31">
        <f t="shared" si="281"/>
        <v>0</v>
      </c>
      <c r="O308" s="31">
        <f t="shared" si="282"/>
        <v>0</v>
      </c>
      <c r="P308" s="31">
        <f t="shared" si="283"/>
        <v>0</v>
      </c>
      <c r="Q308" s="49">
        <f t="shared" si="284"/>
        <v>0</v>
      </c>
    </row>
    <row r="309" spans="4:17" s="16" customFormat="1" ht="13.2" x14ac:dyDescent="0.25">
      <c r="D309" s="235">
        <v>35</v>
      </c>
      <c r="E309" s="237">
        <v>2</v>
      </c>
      <c r="F309" s="238">
        <v>8</v>
      </c>
      <c r="G309" s="239">
        <v>10.74</v>
      </c>
      <c r="H309" s="239">
        <f t="shared" si="275"/>
        <v>21.48</v>
      </c>
      <c r="I309" s="131">
        <f t="shared" si="276"/>
        <v>0</v>
      </c>
      <c r="J309" s="31">
        <f t="shared" si="277"/>
        <v>0</v>
      </c>
      <c r="K309" s="31">
        <f t="shared" si="278"/>
        <v>0</v>
      </c>
      <c r="L309" s="31">
        <f t="shared" si="279"/>
        <v>8.4846000000000004</v>
      </c>
      <c r="M309" s="31">
        <f t="shared" si="280"/>
        <v>0</v>
      </c>
      <c r="N309" s="31">
        <f t="shared" si="281"/>
        <v>0</v>
      </c>
      <c r="O309" s="31">
        <f t="shared" si="282"/>
        <v>0</v>
      </c>
      <c r="P309" s="31">
        <f t="shared" si="283"/>
        <v>0</v>
      </c>
      <c r="Q309" s="49">
        <f t="shared" si="284"/>
        <v>0</v>
      </c>
    </row>
    <row r="310" spans="4:17" s="16" customFormat="1" ht="13.2" x14ac:dyDescent="0.25">
      <c r="D310" s="235">
        <v>54</v>
      </c>
      <c r="E310" s="237">
        <v>2</v>
      </c>
      <c r="F310" s="238">
        <v>10</v>
      </c>
      <c r="G310" s="239">
        <v>10.74</v>
      </c>
      <c r="H310" s="239">
        <f t="shared" si="275"/>
        <v>21.48</v>
      </c>
      <c r="I310" s="131">
        <f t="shared" si="276"/>
        <v>0</v>
      </c>
      <c r="J310" s="31">
        <f t="shared" si="277"/>
        <v>0</v>
      </c>
      <c r="K310" s="31">
        <f t="shared" si="278"/>
        <v>0</v>
      </c>
      <c r="L310" s="31">
        <f t="shared" si="279"/>
        <v>0</v>
      </c>
      <c r="M310" s="31">
        <f t="shared" si="280"/>
        <v>13.253159999999999</v>
      </c>
      <c r="N310" s="31">
        <f t="shared" si="281"/>
        <v>0</v>
      </c>
      <c r="O310" s="31">
        <f t="shared" si="282"/>
        <v>0</v>
      </c>
      <c r="P310" s="31">
        <f t="shared" si="283"/>
        <v>0</v>
      </c>
      <c r="Q310" s="49">
        <f t="shared" si="284"/>
        <v>0</v>
      </c>
    </row>
    <row r="311" spans="4:17" s="16" customFormat="1" ht="13.2" x14ac:dyDescent="0.25">
      <c r="D311" s="307"/>
      <c r="E311" s="26"/>
      <c r="F311" s="206"/>
      <c r="G311" s="207"/>
      <c r="H311" s="207"/>
      <c r="I311" s="51"/>
      <c r="J311" s="308"/>
      <c r="K311" s="308"/>
      <c r="L311" s="308"/>
      <c r="M311" s="308"/>
      <c r="N311" s="308"/>
      <c r="O311" s="308"/>
      <c r="P311" s="308"/>
      <c r="Q311" s="309"/>
    </row>
    <row r="312" spans="4:17" s="16" customFormat="1" ht="13.2" x14ac:dyDescent="0.25">
      <c r="D312" s="814" t="s">
        <v>1365</v>
      </c>
      <c r="E312" s="815"/>
      <c r="F312" s="815"/>
      <c r="G312" s="815"/>
      <c r="H312" s="815"/>
      <c r="I312" s="175">
        <f t="shared" ref="I312:Q312" si="285">SUM(I313:I314)</f>
        <v>0</v>
      </c>
      <c r="J312" s="175">
        <f t="shared" si="285"/>
        <v>1.1950399999999999</v>
      </c>
      <c r="K312" s="175">
        <f t="shared" si="285"/>
        <v>0</v>
      </c>
      <c r="L312" s="175">
        <f t="shared" si="285"/>
        <v>2.8124000000000002</v>
      </c>
      <c r="M312" s="175">
        <f t="shared" si="285"/>
        <v>0</v>
      </c>
      <c r="N312" s="175">
        <f t="shared" si="285"/>
        <v>0</v>
      </c>
      <c r="O312" s="175">
        <f t="shared" si="285"/>
        <v>0</v>
      </c>
      <c r="P312" s="175">
        <f t="shared" si="285"/>
        <v>0</v>
      </c>
      <c r="Q312" s="175">
        <f t="shared" si="285"/>
        <v>0</v>
      </c>
    </row>
    <row r="313" spans="4:17" s="16" customFormat="1" ht="13.2" x14ac:dyDescent="0.25">
      <c r="D313" s="235">
        <v>4</v>
      </c>
      <c r="E313" s="237">
        <f>2*4</f>
        <v>8</v>
      </c>
      <c r="F313" s="238">
        <v>5</v>
      </c>
      <c r="G313" s="239">
        <v>0.97</v>
      </c>
      <c r="H313" s="239">
        <f t="shared" ref="H313:H314" si="286">E313*G313</f>
        <v>7.76</v>
      </c>
      <c r="I313" s="131">
        <f t="shared" ref="I313:I314" si="287">IF($F313=4.2,H313*$B$23,0)</f>
        <v>0</v>
      </c>
      <c r="J313" s="31">
        <f t="shared" ref="J313:J314" si="288">IF($F313=5,$H313*$B$24,0)</f>
        <v>1.1950399999999999</v>
      </c>
      <c r="K313" s="31">
        <f t="shared" ref="K313:K314" si="289">IF($F313=6.3,$H313*$B$25,0)</f>
        <v>0</v>
      </c>
      <c r="L313" s="31">
        <f t="shared" ref="L313:L314" si="290">IF($F313=8,$H313*$B$26,0)</f>
        <v>0</v>
      </c>
      <c r="M313" s="31">
        <f t="shared" ref="M313:M314" si="291">IF($F313=10,$H313*$B$27,0)</f>
        <v>0</v>
      </c>
      <c r="N313" s="31">
        <f t="shared" ref="N313:N314" si="292">IF($F313=12.5,$H313*$B$28,0)</f>
        <v>0</v>
      </c>
      <c r="O313" s="31">
        <f t="shared" ref="O313:O314" si="293">IF($F313=16,$H313*$B$29,0)</f>
        <v>0</v>
      </c>
      <c r="P313" s="31">
        <f t="shared" ref="P313:P314" si="294">IF($F313=20,$H313*$B$30,0)</f>
        <v>0</v>
      </c>
      <c r="Q313" s="49">
        <f t="shared" ref="Q313:Q314" si="295">IF($F313=25,$H313*$B$31,0)</f>
        <v>0</v>
      </c>
    </row>
    <row r="314" spans="4:17" s="16" customFormat="1" ht="13.2" x14ac:dyDescent="0.25">
      <c r="D314" s="235">
        <v>36</v>
      </c>
      <c r="E314" s="237">
        <f>2*4</f>
        <v>8</v>
      </c>
      <c r="F314" s="238">
        <v>8</v>
      </c>
      <c r="G314" s="239">
        <v>0.89</v>
      </c>
      <c r="H314" s="239">
        <f t="shared" si="286"/>
        <v>7.12</v>
      </c>
      <c r="I314" s="131">
        <f t="shared" si="287"/>
        <v>0</v>
      </c>
      <c r="J314" s="31">
        <f t="shared" si="288"/>
        <v>0</v>
      </c>
      <c r="K314" s="31">
        <f t="shared" si="289"/>
        <v>0</v>
      </c>
      <c r="L314" s="31">
        <f t="shared" si="290"/>
        <v>2.8124000000000002</v>
      </c>
      <c r="M314" s="31">
        <f t="shared" si="291"/>
        <v>0</v>
      </c>
      <c r="N314" s="31">
        <f t="shared" si="292"/>
        <v>0</v>
      </c>
      <c r="O314" s="31">
        <f t="shared" si="293"/>
        <v>0</v>
      </c>
      <c r="P314" s="31">
        <f t="shared" si="294"/>
        <v>0</v>
      </c>
      <c r="Q314" s="49">
        <f t="shared" si="295"/>
        <v>0</v>
      </c>
    </row>
    <row r="315" spans="4:17" s="16" customFormat="1" ht="13.2" x14ac:dyDescent="0.25">
      <c r="D315" s="307"/>
      <c r="E315" s="26"/>
      <c r="F315" s="206"/>
      <c r="G315" s="207"/>
      <c r="H315" s="207"/>
      <c r="I315" s="51"/>
      <c r="J315" s="308"/>
      <c r="K315" s="308"/>
      <c r="L315" s="308"/>
      <c r="M315" s="308"/>
      <c r="N315" s="308"/>
      <c r="O315" s="308"/>
      <c r="P315" s="308"/>
      <c r="Q315" s="309"/>
    </row>
    <row r="316" spans="4:17" s="16" customFormat="1" ht="13.2" x14ac:dyDescent="0.25">
      <c r="D316" s="814" t="s">
        <v>1366</v>
      </c>
      <c r="E316" s="815"/>
      <c r="F316" s="815"/>
      <c r="G316" s="815"/>
      <c r="H316" s="815"/>
      <c r="I316" s="175">
        <f t="shared" ref="I316:Q316" si="296">SUM(I317:I318)</f>
        <v>0</v>
      </c>
      <c r="J316" s="175">
        <f t="shared" si="296"/>
        <v>13.742959999999998</v>
      </c>
      <c r="K316" s="175">
        <f t="shared" si="296"/>
        <v>0</v>
      </c>
      <c r="L316" s="175">
        <f t="shared" si="296"/>
        <v>33.938400000000001</v>
      </c>
      <c r="M316" s="175">
        <f t="shared" si="296"/>
        <v>0</v>
      </c>
      <c r="N316" s="175">
        <f t="shared" si="296"/>
        <v>0</v>
      </c>
      <c r="O316" s="175">
        <f t="shared" si="296"/>
        <v>0</v>
      </c>
      <c r="P316" s="175">
        <f t="shared" si="296"/>
        <v>0</v>
      </c>
      <c r="Q316" s="175">
        <f t="shared" si="296"/>
        <v>0</v>
      </c>
    </row>
    <row r="317" spans="4:17" s="16" customFormat="1" ht="13.2" x14ac:dyDescent="0.25">
      <c r="D317" s="235">
        <v>1</v>
      </c>
      <c r="E317" s="237">
        <f>2*46</f>
        <v>92</v>
      </c>
      <c r="F317" s="238">
        <v>5</v>
      </c>
      <c r="G317" s="239">
        <v>0.97</v>
      </c>
      <c r="H317" s="239">
        <f t="shared" ref="H317:H318" si="297">E317*G317</f>
        <v>89.24</v>
      </c>
      <c r="I317" s="131">
        <f t="shared" ref="I317:I318" si="298">IF($F317=4.2,H317*$B$23,0)</f>
        <v>0</v>
      </c>
      <c r="J317" s="31">
        <f t="shared" ref="J317:J318" si="299">IF($F317=5,$H317*$B$24,0)</f>
        <v>13.742959999999998</v>
      </c>
      <c r="K317" s="31">
        <f t="shared" ref="K317:K318" si="300">IF($F317=6.3,$H317*$B$25,0)</f>
        <v>0</v>
      </c>
      <c r="L317" s="31">
        <f t="shared" ref="L317:L318" si="301">IF($F317=8,$H317*$B$26,0)</f>
        <v>0</v>
      </c>
      <c r="M317" s="31">
        <f t="shared" ref="M317:M318" si="302">IF($F317=10,$H317*$B$27,0)</f>
        <v>0</v>
      </c>
      <c r="N317" s="31">
        <f t="shared" ref="N317:N318" si="303">IF($F317=12.5,$H317*$B$28,0)</f>
        <v>0</v>
      </c>
      <c r="O317" s="31">
        <f t="shared" ref="O317:O318" si="304">IF($F317=16,$H317*$B$29,0)</f>
        <v>0</v>
      </c>
      <c r="P317" s="31">
        <f t="shared" ref="P317:P318" si="305">IF($F317=20,$H317*$B$30,0)</f>
        <v>0</v>
      </c>
      <c r="Q317" s="49">
        <f t="shared" ref="Q317:Q318" si="306">IF($F317=25,$H317*$B$31,0)</f>
        <v>0</v>
      </c>
    </row>
    <row r="318" spans="4:17" s="16" customFormat="1" ht="13.2" x14ac:dyDescent="0.25">
      <c r="D318" s="235">
        <v>2</v>
      </c>
      <c r="E318" s="237">
        <f>2*4</f>
        <v>8</v>
      </c>
      <c r="F318" s="238">
        <v>8</v>
      </c>
      <c r="G318" s="239">
        <v>10.74</v>
      </c>
      <c r="H318" s="239">
        <f t="shared" si="297"/>
        <v>85.92</v>
      </c>
      <c r="I318" s="131">
        <f t="shared" si="298"/>
        <v>0</v>
      </c>
      <c r="J318" s="31">
        <f t="shared" si="299"/>
        <v>0</v>
      </c>
      <c r="K318" s="31">
        <f t="shared" si="300"/>
        <v>0</v>
      </c>
      <c r="L318" s="31">
        <f t="shared" si="301"/>
        <v>33.938400000000001</v>
      </c>
      <c r="M318" s="31">
        <f t="shared" si="302"/>
        <v>0</v>
      </c>
      <c r="N318" s="31">
        <f t="shared" si="303"/>
        <v>0</v>
      </c>
      <c r="O318" s="31">
        <f t="shared" si="304"/>
        <v>0</v>
      </c>
      <c r="P318" s="31">
        <f t="shared" si="305"/>
        <v>0</v>
      </c>
      <c r="Q318" s="49">
        <f t="shared" si="306"/>
        <v>0</v>
      </c>
    </row>
    <row r="319" spans="4:17" s="16" customFormat="1" ht="13.2" x14ac:dyDescent="0.25">
      <c r="D319" s="307"/>
      <c r="E319" s="26"/>
      <c r="F319" s="206"/>
      <c r="G319" s="207"/>
      <c r="H319" s="207"/>
      <c r="I319" s="51"/>
      <c r="J319" s="308"/>
      <c r="K319" s="308"/>
      <c r="L319" s="308"/>
      <c r="M319" s="308"/>
      <c r="N319" s="308"/>
      <c r="O319" s="308"/>
      <c r="P319" s="308"/>
      <c r="Q319" s="309"/>
    </row>
    <row r="320" spans="4:17" s="16" customFormat="1" ht="13.2" x14ac:dyDescent="0.25">
      <c r="D320" s="814" t="s">
        <v>1367</v>
      </c>
      <c r="E320" s="815"/>
      <c r="F320" s="815"/>
      <c r="G320" s="815"/>
      <c r="H320" s="815"/>
      <c r="I320" s="175">
        <f t="shared" ref="I320:Q320" si="307">SUM(I321:I323)</f>
        <v>0</v>
      </c>
      <c r="J320" s="175">
        <f t="shared" si="307"/>
        <v>0.7468999999999999</v>
      </c>
      <c r="K320" s="175">
        <f t="shared" si="307"/>
        <v>0</v>
      </c>
      <c r="L320" s="175">
        <f t="shared" si="307"/>
        <v>3.3693500000000003</v>
      </c>
      <c r="M320" s="175">
        <f t="shared" si="307"/>
        <v>0</v>
      </c>
      <c r="N320" s="175">
        <f t="shared" si="307"/>
        <v>0</v>
      </c>
      <c r="O320" s="175">
        <f t="shared" si="307"/>
        <v>0</v>
      </c>
      <c r="P320" s="175">
        <f t="shared" si="307"/>
        <v>0</v>
      </c>
      <c r="Q320" s="175">
        <f t="shared" si="307"/>
        <v>0</v>
      </c>
    </row>
    <row r="321" spans="4:17" s="16" customFormat="1" ht="13.2" x14ac:dyDescent="0.25">
      <c r="D321" s="235">
        <v>1</v>
      </c>
      <c r="E321" s="237">
        <v>5</v>
      </c>
      <c r="F321" s="238">
        <v>5</v>
      </c>
      <c r="G321" s="239">
        <v>0.97</v>
      </c>
      <c r="H321" s="239">
        <f t="shared" ref="H321:H323" si="308">E321*G321</f>
        <v>4.8499999999999996</v>
      </c>
      <c r="I321" s="131">
        <f t="shared" ref="I321:I323" si="309">IF($F321=4.2,H321*$B$23,0)</f>
        <v>0</v>
      </c>
      <c r="J321" s="31">
        <f t="shared" ref="J321:J323" si="310">IF($F321=5,$H321*$B$24,0)</f>
        <v>0.7468999999999999</v>
      </c>
      <c r="K321" s="31">
        <f t="shared" ref="K321:K323" si="311">IF($F321=6.3,$H321*$B$25,0)</f>
        <v>0</v>
      </c>
      <c r="L321" s="31">
        <f t="shared" ref="L321:L323" si="312">IF($F321=8,$H321*$B$26,0)</f>
        <v>0</v>
      </c>
      <c r="M321" s="31">
        <f t="shared" ref="M321:M323" si="313">IF($F321=10,$H321*$B$27,0)</f>
        <v>0</v>
      </c>
      <c r="N321" s="31">
        <f t="shared" ref="N321:N323" si="314">IF($F321=12.5,$H321*$B$28,0)</f>
        <v>0</v>
      </c>
      <c r="O321" s="31">
        <f t="shared" ref="O321:O323" si="315">IF($F321=16,$H321*$B$29,0)</f>
        <v>0</v>
      </c>
      <c r="P321" s="31">
        <f t="shared" ref="P321:P323" si="316">IF($F321=20,$H321*$B$30,0)</f>
        <v>0</v>
      </c>
      <c r="Q321" s="49">
        <f t="shared" ref="Q321:Q323" si="317">IF($F321=25,$H321*$B$31,0)</f>
        <v>0</v>
      </c>
    </row>
    <row r="322" spans="4:17" s="16" customFormat="1" ht="13.2" x14ac:dyDescent="0.25">
      <c r="D322" s="235">
        <v>3</v>
      </c>
      <c r="E322" s="237">
        <v>4</v>
      </c>
      <c r="F322" s="238">
        <v>8</v>
      </c>
      <c r="G322" s="239">
        <v>1.02</v>
      </c>
      <c r="H322" s="239">
        <f t="shared" si="308"/>
        <v>4.08</v>
      </c>
      <c r="I322" s="131">
        <f t="shared" si="309"/>
        <v>0</v>
      </c>
      <c r="J322" s="31">
        <f t="shared" si="310"/>
        <v>0</v>
      </c>
      <c r="K322" s="31">
        <f t="shared" si="311"/>
        <v>0</v>
      </c>
      <c r="L322" s="31">
        <f t="shared" si="312"/>
        <v>1.6116000000000001</v>
      </c>
      <c r="M322" s="31">
        <f t="shared" si="313"/>
        <v>0</v>
      </c>
      <c r="N322" s="31">
        <f t="shared" si="314"/>
        <v>0</v>
      </c>
      <c r="O322" s="31">
        <f t="shared" si="315"/>
        <v>0</v>
      </c>
      <c r="P322" s="31">
        <f t="shared" si="316"/>
        <v>0</v>
      </c>
      <c r="Q322" s="49">
        <f t="shared" si="317"/>
        <v>0</v>
      </c>
    </row>
    <row r="323" spans="4:17" s="16" customFormat="1" ht="13.2" x14ac:dyDescent="0.25">
      <c r="D323" s="235">
        <v>4</v>
      </c>
      <c r="E323" s="237">
        <v>5</v>
      </c>
      <c r="F323" s="238">
        <v>8</v>
      </c>
      <c r="G323" s="239">
        <v>0.89</v>
      </c>
      <c r="H323" s="239">
        <f t="shared" si="308"/>
        <v>4.45</v>
      </c>
      <c r="I323" s="131">
        <f t="shared" si="309"/>
        <v>0</v>
      </c>
      <c r="J323" s="31">
        <f t="shared" si="310"/>
        <v>0</v>
      </c>
      <c r="K323" s="31">
        <f t="shared" si="311"/>
        <v>0</v>
      </c>
      <c r="L323" s="31">
        <f t="shared" si="312"/>
        <v>1.7577500000000001</v>
      </c>
      <c r="M323" s="31">
        <f t="shared" si="313"/>
        <v>0</v>
      </c>
      <c r="N323" s="31">
        <f t="shared" si="314"/>
        <v>0</v>
      </c>
      <c r="O323" s="31">
        <f t="shared" si="315"/>
        <v>0</v>
      </c>
      <c r="P323" s="31">
        <f t="shared" si="316"/>
        <v>0</v>
      </c>
      <c r="Q323" s="49">
        <f t="shared" si="317"/>
        <v>0</v>
      </c>
    </row>
    <row r="324" spans="4:17" s="16" customFormat="1" ht="13.2" x14ac:dyDescent="0.25">
      <c r="D324" s="307"/>
      <c r="E324" s="26"/>
      <c r="F324" s="206"/>
      <c r="G324" s="207"/>
      <c r="H324" s="207"/>
      <c r="I324" s="51"/>
      <c r="J324" s="308"/>
      <c r="K324" s="308"/>
      <c r="L324" s="308"/>
      <c r="M324" s="308"/>
      <c r="N324" s="308"/>
      <c r="O324" s="308"/>
      <c r="P324" s="308"/>
      <c r="Q324" s="309"/>
    </row>
    <row r="325" spans="4:17" s="16" customFormat="1" ht="13.2" x14ac:dyDescent="0.25">
      <c r="D325" s="814" t="s">
        <v>1368</v>
      </c>
      <c r="E325" s="815"/>
      <c r="F325" s="815"/>
      <c r="G325" s="815"/>
      <c r="H325" s="815"/>
      <c r="I325" s="175">
        <f t="shared" ref="I325:Q325" si="318">SUM(I326:I328)</f>
        <v>0</v>
      </c>
      <c r="J325" s="175">
        <f t="shared" si="318"/>
        <v>1.4937999999999998</v>
      </c>
      <c r="K325" s="175">
        <f t="shared" si="318"/>
        <v>0</v>
      </c>
      <c r="L325" s="175">
        <f t="shared" si="318"/>
        <v>3.3693500000000003</v>
      </c>
      <c r="M325" s="175">
        <f t="shared" si="318"/>
        <v>0</v>
      </c>
      <c r="N325" s="175">
        <f t="shared" si="318"/>
        <v>0</v>
      </c>
      <c r="O325" s="175">
        <f t="shared" si="318"/>
        <v>0</v>
      </c>
      <c r="P325" s="175">
        <f t="shared" si="318"/>
        <v>0</v>
      </c>
      <c r="Q325" s="175">
        <f t="shared" si="318"/>
        <v>0</v>
      </c>
    </row>
    <row r="326" spans="4:17" s="16" customFormat="1" ht="13.2" x14ac:dyDescent="0.25">
      <c r="D326" s="235">
        <v>1</v>
      </c>
      <c r="E326" s="237">
        <v>10</v>
      </c>
      <c r="F326" s="238">
        <v>5</v>
      </c>
      <c r="G326" s="239">
        <v>0.97</v>
      </c>
      <c r="H326" s="239">
        <f t="shared" ref="H326:H328" si="319">E326*G326</f>
        <v>9.6999999999999993</v>
      </c>
      <c r="I326" s="131">
        <f t="shared" ref="I326:I328" si="320">IF($F326=4.2,H326*$B$23,0)</f>
        <v>0</v>
      </c>
      <c r="J326" s="31">
        <f t="shared" ref="J326:J328" si="321">IF($F326=5,$H326*$B$24,0)</f>
        <v>1.4937999999999998</v>
      </c>
      <c r="K326" s="31">
        <f t="shared" ref="K326:K328" si="322">IF($F326=6.3,$H326*$B$25,0)</f>
        <v>0</v>
      </c>
      <c r="L326" s="31">
        <f t="shared" ref="L326:L328" si="323">IF($F326=8,$H326*$B$26,0)</f>
        <v>0</v>
      </c>
      <c r="M326" s="31">
        <f t="shared" ref="M326:M328" si="324">IF($F326=10,$H326*$B$27,0)</f>
        <v>0</v>
      </c>
      <c r="N326" s="31">
        <f t="shared" ref="N326:N328" si="325">IF($F326=12.5,$H326*$B$28,0)</f>
        <v>0</v>
      </c>
      <c r="O326" s="31">
        <f t="shared" ref="O326:O328" si="326">IF($F326=16,$H326*$B$29,0)</f>
        <v>0</v>
      </c>
      <c r="P326" s="31">
        <f t="shared" ref="P326:P328" si="327">IF($F326=20,$H326*$B$30,0)</f>
        <v>0</v>
      </c>
      <c r="Q326" s="49">
        <f t="shared" ref="Q326:Q328" si="328">IF($F326=25,$H326*$B$31,0)</f>
        <v>0</v>
      </c>
    </row>
    <row r="327" spans="4:17" s="16" customFormat="1" ht="13.2" x14ac:dyDescent="0.25">
      <c r="D327" s="235">
        <v>3</v>
      </c>
      <c r="E327" s="237">
        <v>4</v>
      </c>
      <c r="F327" s="238">
        <v>8</v>
      </c>
      <c r="G327" s="239">
        <v>1.02</v>
      </c>
      <c r="H327" s="239">
        <f t="shared" si="319"/>
        <v>4.08</v>
      </c>
      <c r="I327" s="131">
        <f t="shared" si="320"/>
        <v>0</v>
      </c>
      <c r="J327" s="31">
        <f t="shared" si="321"/>
        <v>0</v>
      </c>
      <c r="K327" s="31">
        <f t="shared" si="322"/>
        <v>0</v>
      </c>
      <c r="L327" s="31">
        <f t="shared" si="323"/>
        <v>1.6116000000000001</v>
      </c>
      <c r="M327" s="31">
        <f t="shared" si="324"/>
        <v>0</v>
      </c>
      <c r="N327" s="31">
        <f t="shared" si="325"/>
        <v>0</v>
      </c>
      <c r="O327" s="31">
        <f t="shared" si="326"/>
        <v>0</v>
      </c>
      <c r="P327" s="31">
        <f t="shared" si="327"/>
        <v>0</v>
      </c>
      <c r="Q327" s="49">
        <f t="shared" si="328"/>
        <v>0</v>
      </c>
    </row>
    <row r="328" spans="4:17" s="16" customFormat="1" ht="13.2" x14ac:dyDescent="0.25">
      <c r="D328" s="235">
        <v>4</v>
      </c>
      <c r="E328" s="237">
        <v>5</v>
      </c>
      <c r="F328" s="238">
        <v>8</v>
      </c>
      <c r="G328" s="239">
        <v>0.89</v>
      </c>
      <c r="H328" s="239">
        <f t="shared" si="319"/>
        <v>4.45</v>
      </c>
      <c r="I328" s="131">
        <f t="shared" si="320"/>
        <v>0</v>
      </c>
      <c r="J328" s="31">
        <f t="shared" si="321"/>
        <v>0</v>
      </c>
      <c r="K328" s="31">
        <f t="shared" si="322"/>
        <v>0</v>
      </c>
      <c r="L328" s="31">
        <f t="shared" si="323"/>
        <v>1.7577500000000001</v>
      </c>
      <c r="M328" s="31">
        <f t="shared" si="324"/>
        <v>0</v>
      </c>
      <c r="N328" s="31">
        <f t="shared" si="325"/>
        <v>0</v>
      </c>
      <c r="O328" s="31">
        <f t="shared" si="326"/>
        <v>0</v>
      </c>
      <c r="P328" s="31">
        <f t="shared" si="327"/>
        <v>0</v>
      </c>
      <c r="Q328" s="49">
        <f t="shared" si="328"/>
        <v>0</v>
      </c>
    </row>
    <row r="329" spans="4:17" s="16" customFormat="1" ht="13.2" x14ac:dyDescent="0.25">
      <c r="D329" s="307"/>
      <c r="E329" s="26"/>
      <c r="F329" s="206"/>
      <c r="G329" s="207"/>
      <c r="H329" s="207"/>
      <c r="I329" s="51"/>
      <c r="J329" s="308"/>
      <c r="K329" s="308"/>
      <c r="L329" s="308"/>
      <c r="M329" s="308"/>
      <c r="N329" s="308"/>
      <c r="O329" s="308"/>
      <c r="P329" s="308"/>
      <c r="Q329" s="309"/>
    </row>
    <row r="330" spans="4:17" s="16" customFormat="1" ht="13.2" x14ac:dyDescent="0.25">
      <c r="D330" s="814" t="s">
        <v>1369</v>
      </c>
      <c r="E330" s="815"/>
      <c r="F330" s="815"/>
      <c r="G330" s="815"/>
      <c r="H330" s="815"/>
      <c r="I330" s="175">
        <f t="shared" ref="I330:Q330" si="329">SUM(I331:I333)</f>
        <v>0</v>
      </c>
      <c r="J330" s="175">
        <f t="shared" si="329"/>
        <v>2.6888399999999999</v>
      </c>
      <c r="K330" s="175">
        <f t="shared" si="329"/>
        <v>0</v>
      </c>
      <c r="L330" s="175">
        <f t="shared" si="329"/>
        <v>6.6676000000000002</v>
      </c>
      <c r="M330" s="175">
        <f t="shared" si="329"/>
        <v>0</v>
      </c>
      <c r="N330" s="175">
        <f t="shared" si="329"/>
        <v>0</v>
      </c>
      <c r="O330" s="175">
        <f t="shared" si="329"/>
        <v>0</v>
      </c>
      <c r="P330" s="175">
        <f t="shared" si="329"/>
        <v>0</v>
      </c>
      <c r="Q330" s="175">
        <f t="shared" si="329"/>
        <v>0</v>
      </c>
    </row>
    <row r="331" spans="4:17" s="16" customFormat="1" ht="13.2" x14ac:dyDescent="0.25">
      <c r="D331" s="235">
        <v>1</v>
      </c>
      <c r="E331" s="237">
        <v>18</v>
      </c>
      <c r="F331" s="238">
        <v>5</v>
      </c>
      <c r="G331" s="239">
        <v>0.97</v>
      </c>
      <c r="H331" s="239">
        <f t="shared" ref="H331:H333" si="330">E331*G331</f>
        <v>17.46</v>
      </c>
      <c r="I331" s="131">
        <f t="shared" ref="I331:I333" si="331">IF($F331=4.2,H331*$B$23,0)</f>
        <v>0</v>
      </c>
      <c r="J331" s="31">
        <f t="shared" ref="J331:J333" si="332">IF($F331=5,$H331*$B$24,0)</f>
        <v>2.6888399999999999</v>
      </c>
      <c r="K331" s="31">
        <f t="shared" ref="K331:K333" si="333">IF($F331=6.3,$H331*$B$25,0)</f>
        <v>0</v>
      </c>
      <c r="L331" s="31">
        <f t="shared" ref="L331:L333" si="334">IF($F331=8,$H331*$B$26,0)</f>
        <v>0</v>
      </c>
      <c r="M331" s="31">
        <f t="shared" ref="M331:M333" si="335">IF($F331=10,$H331*$B$27,0)</f>
        <v>0</v>
      </c>
      <c r="N331" s="31">
        <f t="shared" ref="N331:N333" si="336">IF($F331=12.5,$H331*$B$28,0)</f>
        <v>0</v>
      </c>
      <c r="O331" s="31">
        <f t="shared" ref="O331:O333" si="337">IF($F331=16,$H331*$B$29,0)</f>
        <v>0</v>
      </c>
      <c r="P331" s="31">
        <f t="shared" ref="P331:P333" si="338">IF($F331=20,$H331*$B$30,0)</f>
        <v>0</v>
      </c>
      <c r="Q331" s="49">
        <f t="shared" ref="Q331:Q333" si="339">IF($F331=25,$H331*$B$31,0)</f>
        <v>0</v>
      </c>
    </row>
    <row r="332" spans="4:17" s="16" customFormat="1" ht="13.2" x14ac:dyDescent="0.25">
      <c r="D332" s="235">
        <v>5</v>
      </c>
      <c r="E332" s="237">
        <v>2</v>
      </c>
      <c r="F332" s="238">
        <v>8</v>
      </c>
      <c r="G332" s="239">
        <v>4.1399999999999997</v>
      </c>
      <c r="H332" s="239">
        <f t="shared" si="330"/>
        <v>8.2799999999999994</v>
      </c>
      <c r="I332" s="131">
        <f t="shared" si="331"/>
        <v>0</v>
      </c>
      <c r="J332" s="31">
        <f t="shared" si="332"/>
        <v>0</v>
      </c>
      <c r="K332" s="31">
        <f t="shared" si="333"/>
        <v>0</v>
      </c>
      <c r="L332" s="31">
        <f t="shared" si="334"/>
        <v>3.2706</v>
      </c>
      <c r="M332" s="31">
        <f t="shared" si="335"/>
        <v>0</v>
      </c>
      <c r="N332" s="31">
        <f t="shared" si="336"/>
        <v>0</v>
      </c>
      <c r="O332" s="31">
        <f t="shared" si="337"/>
        <v>0</v>
      </c>
      <c r="P332" s="31">
        <f t="shared" si="338"/>
        <v>0</v>
      </c>
      <c r="Q332" s="49">
        <f t="shared" si="339"/>
        <v>0</v>
      </c>
    </row>
    <row r="333" spans="4:17" s="16" customFormat="1" ht="13.2" x14ac:dyDescent="0.25">
      <c r="D333" s="235">
        <v>6</v>
      </c>
      <c r="E333" s="237">
        <v>2</v>
      </c>
      <c r="F333" s="238">
        <v>8</v>
      </c>
      <c r="G333" s="239">
        <v>4.3</v>
      </c>
      <c r="H333" s="239">
        <f t="shared" si="330"/>
        <v>8.6</v>
      </c>
      <c r="I333" s="131">
        <f t="shared" si="331"/>
        <v>0</v>
      </c>
      <c r="J333" s="31">
        <f t="shared" si="332"/>
        <v>0</v>
      </c>
      <c r="K333" s="31">
        <f t="shared" si="333"/>
        <v>0</v>
      </c>
      <c r="L333" s="31">
        <f t="shared" si="334"/>
        <v>3.3969999999999998</v>
      </c>
      <c r="M333" s="31">
        <f t="shared" si="335"/>
        <v>0</v>
      </c>
      <c r="N333" s="31">
        <f t="shared" si="336"/>
        <v>0</v>
      </c>
      <c r="O333" s="31">
        <f t="shared" si="337"/>
        <v>0</v>
      </c>
      <c r="P333" s="31">
        <f t="shared" si="338"/>
        <v>0</v>
      </c>
      <c r="Q333" s="49">
        <f t="shared" si="339"/>
        <v>0</v>
      </c>
    </row>
    <row r="334" spans="4:17" s="16" customFormat="1" ht="13.2" x14ac:dyDescent="0.25">
      <c r="D334" s="307"/>
      <c r="E334" s="26"/>
      <c r="F334" s="206"/>
      <c r="G334" s="207"/>
      <c r="H334" s="207"/>
      <c r="I334" s="51"/>
      <c r="J334" s="308"/>
      <c r="K334" s="308"/>
      <c r="L334" s="308"/>
      <c r="M334" s="308"/>
      <c r="N334" s="308"/>
      <c r="O334" s="308"/>
      <c r="P334" s="308"/>
      <c r="Q334" s="309"/>
    </row>
    <row r="335" spans="4:17" s="16" customFormat="1" ht="13.2" x14ac:dyDescent="0.25">
      <c r="D335" s="814" t="s">
        <v>1370</v>
      </c>
      <c r="E335" s="815"/>
      <c r="F335" s="815"/>
      <c r="G335" s="815"/>
      <c r="H335" s="815"/>
      <c r="I335" s="175">
        <f t="shared" ref="I335:Q335" si="340">SUM(I336:I338)</f>
        <v>0</v>
      </c>
      <c r="J335" s="175">
        <f t="shared" si="340"/>
        <v>2.8382199999999997</v>
      </c>
      <c r="K335" s="175">
        <f t="shared" si="340"/>
        <v>0</v>
      </c>
      <c r="L335" s="175">
        <f t="shared" si="340"/>
        <v>6.7465999999999999</v>
      </c>
      <c r="M335" s="175">
        <f t="shared" si="340"/>
        <v>0</v>
      </c>
      <c r="N335" s="175">
        <f t="shared" si="340"/>
        <v>0</v>
      </c>
      <c r="O335" s="175">
        <f t="shared" si="340"/>
        <v>0</v>
      </c>
      <c r="P335" s="175">
        <f t="shared" si="340"/>
        <v>0</v>
      </c>
      <c r="Q335" s="175">
        <f t="shared" si="340"/>
        <v>0</v>
      </c>
    </row>
    <row r="336" spans="4:17" s="16" customFormat="1" ht="13.2" x14ac:dyDescent="0.25">
      <c r="D336" s="235">
        <v>1</v>
      </c>
      <c r="E336" s="237">
        <v>19</v>
      </c>
      <c r="F336" s="238">
        <v>5</v>
      </c>
      <c r="G336" s="239">
        <v>0.97</v>
      </c>
      <c r="H336" s="239">
        <f t="shared" ref="H336:H338" si="341">E336*G336</f>
        <v>18.43</v>
      </c>
      <c r="I336" s="131">
        <f t="shared" ref="I336:I338" si="342">IF($F336=4.2,H336*$B$23,0)</f>
        <v>0</v>
      </c>
      <c r="J336" s="31">
        <f t="shared" ref="J336:J338" si="343">IF($F336=5,$H336*$B$24,0)</f>
        <v>2.8382199999999997</v>
      </c>
      <c r="K336" s="31">
        <f t="shared" ref="K336:K338" si="344">IF($F336=6.3,$H336*$B$25,0)</f>
        <v>0</v>
      </c>
      <c r="L336" s="31">
        <f t="shared" ref="L336:L338" si="345">IF($F336=8,$H336*$B$26,0)</f>
        <v>0</v>
      </c>
      <c r="M336" s="31">
        <f t="shared" ref="M336:M338" si="346">IF($F336=10,$H336*$B$27,0)</f>
        <v>0</v>
      </c>
      <c r="N336" s="31">
        <f t="shared" ref="N336:N338" si="347">IF($F336=12.5,$H336*$B$28,0)</f>
        <v>0</v>
      </c>
      <c r="O336" s="31">
        <f t="shared" ref="O336:O338" si="348">IF($F336=16,$H336*$B$29,0)</f>
        <v>0</v>
      </c>
      <c r="P336" s="31">
        <f t="shared" ref="P336:P338" si="349">IF($F336=20,$H336*$B$30,0)</f>
        <v>0</v>
      </c>
      <c r="Q336" s="49">
        <f t="shared" ref="Q336:Q338" si="350">IF($F336=25,$H336*$B$31,0)</f>
        <v>0</v>
      </c>
    </row>
    <row r="337" spans="4:17" s="16" customFormat="1" ht="13.2" x14ac:dyDescent="0.25">
      <c r="D337" s="235">
        <v>7</v>
      </c>
      <c r="E337" s="237">
        <v>2</v>
      </c>
      <c r="F337" s="238">
        <v>8</v>
      </c>
      <c r="G337" s="239">
        <v>4.1900000000000004</v>
      </c>
      <c r="H337" s="239">
        <f t="shared" si="341"/>
        <v>8.3800000000000008</v>
      </c>
      <c r="I337" s="131">
        <f t="shared" si="342"/>
        <v>0</v>
      </c>
      <c r="J337" s="31">
        <f t="shared" si="343"/>
        <v>0</v>
      </c>
      <c r="K337" s="31">
        <f t="shared" si="344"/>
        <v>0</v>
      </c>
      <c r="L337" s="31">
        <f t="shared" si="345"/>
        <v>3.3101000000000003</v>
      </c>
      <c r="M337" s="31">
        <f t="shared" si="346"/>
        <v>0</v>
      </c>
      <c r="N337" s="31">
        <f t="shared" si="347"/>
        <v>0</v>
      </c>
      <c r="O337" s="31">
        <f t="shared" si="348"/>
        <v>0</v>
      </c>
      <c r="P337" s="31">
        <f t="shared" si="349"/>
        <v>0</v>
      </c>
      <c r="Q337" s="49">
        <f t="shared" si="350"/>
        <v>0</v>
      </c>
    </row>
    <row r="338" spans="4:17" s="16" customFormat="1" ht="13.2" x14ac:dyDescent="0.25">
      <c r="D338" s="235">
        <v>8</v>
      </c>
      <c r="E338" s="237">
        <v>2</v>
      </c>
      <c r="F338" s="238">
        <v>8</v>
      </c>
      <c r="G338" s="239">
        <v>4.3499999999999996</v>
      </c>
      <c r="H338" s="239">
        <f t="shared" si="341"/>
        <v>8.6999999999999993</v>
      </c>
      <c r="I338" s="131">
        <f t="shared" si="342"/>
        <v>0</v>
      </c>
      <c r="J338" s="31">
        <f t="shared" si="343"/>
        <v>0</v>
      </c>
      <c r="K338" s="31">
        <f t="shared" si="344"/>
        <v>0</v>
      </c>
      <c r="L338" s="31">
        <f t="shared" si="345"/>
        <v>3.4364999999999997</v>
      </c>
      <c r="M338" s="31">
        <f t="shared" si="346"/>
        <v>0</v>
      </c>
      <c r="N338" s="31">
        <f t="shared" si="347"/>
        <v>0</v>
      </c>
      <c r="O338" s="31">
        <f t="shared" si="348"/>
        <v>0</v>
      </c>
      <c r="P338" s="31">
        <f t="shared" si="349"/>
        <v>0</v>
      </c>
      <c r="Q338" s="49">
        <f t="shared" si="350"/>
        <v>0</v>
      </c>
    </row>
    <row r="339" spans="4:17" s="16" customFormat="1" ht="13.2" x14ac:dyDescent="0.25">
      <c r="D339" s="307"/>
      <c r="E339" s="26"/>
      <c r="F339" s="206"/>
      <c r="G339" s="207"/>
      <c r="H339" s="207"/>
      <c r="I339" s="51"/>
      <c r="J339" s="308"/>
      <c r="K339" s="308"/>
      <c r="L339" s="308"/>
      <c r="M339" s="308"/>
      <c r="N339" s="308"/>
      <c r="O339" s="308"/>
      <c r="P339" s="308"/>
      <c r="Q339" s="309"/>
    </row>
    <row r="340" spans="4:17" s="16" customFormat="1" ht="13.2" x14ac:dyDescent="0.25">
      <c r="D340" s="814" t="s">
        <v>1371</v>
      </c>
      <c r="E340" s="815"/>
      <c r="F340" s="815"/>
      <c r="G340" s="815"/>
      <c r="H340" s="815"/>
      <c r="I340" s="175">
        <f t="shared" ref="I340:Q340" si="351">SUM(I341:I343)</f>
        <v>0</v>
      </c>
      <c r="J340" s="175">
        <f t="shared" si="351"/>
        <v>1.3444199999999999</v>
      </c>
      <c r="K340" s="175">
        <f t="shared" si="351"/>
        <v>0</v>
      </c>
      <c r="L340" s="175">
        <f t="shared" si="351"/>
        <v>3.3693500000000003</v>
      </c>
      <c r="M340" s="175">
        <f t="shared" si="351"/>
        <v>0</v>
      </c>
      <c r="N340" s="175">
        <f t="shared" si="351"/>
        <v>0</v>
      </c>
      <c r="O340" s="175">
        <f t="shared" si="351"/>
        <v>0</v>
      </c>
      <c r="P340" s="175">
        <f t="shared" si="351"/>
        <v>0</v>
      </c>
      <c r="Q340" s="175">
        <f t="shared" si="351"/>
        <v>0</v>
      </c>
    </row>
    <row r="341" spans="4:17" s="16" customFormat="1" ht="13.2" x14ac:dyDescent="0.25">
      <c r="D341" s="235">
        <v>1</v>
      </c>
      <c r="E341" s="237">
        <v>9</v>
      </c>
      <c r="F341" s="238">
        <v>5</v>
      </c>
      <c r="G341" s="239">
        <v>0.97</v>
      </c>
      <c r="H341" s="239">
        <f t="shared" ref="H341:H343" si="352">E341*G341</f>
        <v>8.73</v>
      </c>
      <c r="I341" s="131">
        <f t="shared" ref="I341:I343" si="353">IF($F341=4.2,H341*$B$23,0)</f>
        <v>0</v>
      </c>
      <c r="J341" s="31">
        <f t="shared" ref="J341:J343" si="354">IF($F341=5,$H341*$B$24,0)</f>
        <v>1.3444199999999999</v>
      </c>
      <c r="K341" s="31">
        <f t="shared" ref="K341:K343" si="355">IF($F341=6.3,$H341*$B$25,0)</f>
        <v>0</v>
      </c>
      <c r="L341" s="31">
        <f t="shared" ref="L341:L343" si="356">IF($F341=8,$H341*$B$26,0)</f>
        <v>0</v>
      </c>
      <c r="M341" s="31">
        <f t="shared" ref="M341:M343" si="357">IF($F341=10,$H341*$B$27,0)</f>
        <v>0</v>
      </c>
      <c r="N341" s="31">
        <f t="shared" ref="N341:N343" si="358">IF($F341=12.5,$H341*$B$28,0)</f>
        <v>0</v>
      </c>
      <c r="O341" s="31">
        <f t="shared" ref="O341:O343" si="359">IF($F341=16,$H341*$B$29,0)</f>
        <v>0</v>
      </c>
      <c r="P341" s="31">
        <f t="shared" ref="P341:P343" si="360">IF($F341=20,$H341*$B$30,0)</f>
        <v>0</v>
      </c>
      <c r="Q341" s="49">
        <f t="shared" ref="Q341:Q343" si="361">IF($F341=25,$H341*$B$31,0)</f>
        <v>0</v>
      </c>
    </row>
    <row r="342" spans="4:17" s="16" customFormat="1" ht="13.2" x14ac:dyDescent="0.25">
      <c r="D342" s="235">
        <v>9</v>
      </c>
      <c r="E342" s="237">
        <v>4</v>
      </c>
      <c r="F342" s="238">
        <v>8</v>
      </c>
      <c r="G342" s="239">
        <v>1.02</v>
      </c>
      <c r="H342" s="239">
        <f t="shared" si="352"/>
        <v>4.08</v>
      </c>
      <c r="I342" s="131">
        <f t="shared" si="353"/>
        <v>0</v>
      </c>
      <c r="J342" s="31">
        <f t="shared" si="354"/>
        <v>0</v>
      </c>
      <c r="K342" s="31">
        <f t="shared" si="355"/>
        <v>0</v>
      </c>
      <c r="L342" s="31">
        <f t="shared" si="356"/>
        <v>1.6116000000000001</v>
      </c>
      <c r="M342" s="31">
        <f t="shared" si="357"/>
        <v>0</v>
      </c>
      <c r="N342" s="31">
        <f t="shared" si="358"/>
        <v>0</v>
      </c>
      <c r="O342" s="31">
        <f t="shared" si="359"/>
        <v>0</v>
      </c>
      <c r="P342" s="31">
        <f t="shared" si="360"/>
        <v>0</v>
      </c>
      <c r="Q342" s="49">
        <f t="shared" si="361"/>
        <v>0</v>
      </c>
    </row>
    <row r="343" spans="4:17" s="16" customFormat="1" ht="13.2" x14ac:dyDescent="0.25">
      <c r="D343" s="235">
        <v>10</v>
      </c>
      <c r="E343" s="237">
        <v>5</v>
      </c>
      <c r="F343" s="238">
        <v>8</v>
      </c>
      <c r="G343" s="239">
        <v>0.89</v>
      </c>
      <c r="H343" s="239">
        <f t="shared" si="352"/>
        <v>4.45</v>
      </c>
      <c r="I343" s="131">
        <f t="shared" si="353"/>
        <v>0</v>
      </c>
      <c r="J343" s="31">
        <f t="shared" si="354"/>
        <v>0</v>
      </c>
      <c r="K343" s="31">
        <f t="shared" si="355"/>
        <v>0</v>
      </c>
      <c r="L343" s="31">
        <f t="shared" si="356"/>
        <v>1.7577500000000001</v>
      </c>
      <c r="M343" s="31">
        <f t="shared" si="357"/>
        <v>0</v>
      </c>
      <c r="N343" s="31">
        <f t="shared" si="358"/>
        <v>0</v>
      </c>
      <c r="O343" s="31">
        <f t="shared" si="359"/>
        <v>0</v>
      </c>
      <c r="P343" s="31">
        <f t="shared" si="360"/>
        <v>0</v>
      </c>
      <c r="Q343" s="49">
        <f t="shared" si="361"/>
        <v>0</v>
      </c>
    </row>
    <row r="344" spans="4:17" s="16" customFormat="1" ht="13.2" x14ac:dyDescent="0.25">
      <c r="D344" s="307"/>
      <c r="E344" s="26"/>
      <c r="F344" s="206"/>
      <c r="G344" s="207"/>
      <c r="H344" s="207"/>
      <c r="I344" s="51"/>
      <c r="J344" s="308"/>
      <c r="K344" s="308"/>
      <c r="L344" s="308"/>
      <c r="M344" s="308"/>
      <c r="N344" s="308"/>
      <c r="O344" s="308"/>
      <c r="P344" s="308"/>
      <c r="Q344" s="309"/>
    </row>
    <row r="345" spans="4:17" s="16" customFormat="1" ht="13.2" x14ac:dyDescent="0.25">
      <c r="D345" s="814" t="s">
        <v>1372</v>
      </c>
      <c r="E345" s="815"/>
      <c r="F345" s="815"/>
      <c r="G345" s="815"/>
      <c r="H345" s="815"/>
      <c r="I345" s="175">
        <f t="shared" ref="I345:Q345" si="362">SUM(I346:I348)</f>
        <v>0</v>
      </c>
      <c r="J345" s="175">
        <f t="shared" si="362"/>
        <v>1.3444199999999999</v>
      </c>
      <c r="K345" s="175">
        <f t="shared" si="362"/>
        <v>0</v>
      </c>
      <c r="L345" s="175">
        <f t="shared" si="362"/>
        <v>3.3693500000000003</v>
      </c>
      <c r="M345" s="175">
        <f t="shared" si="362"/>
        <v>0</v>
      </c>
      <c r="N345" s="175">
        <f t="shared" si="362"/>
        <v>0</v>
      </c>
      <c r="O345" s="175">
        <f t="shared" si="362"/>
        <v>0</v>
      </c>
      <c r="P345" s="175">
        <f t="shared" si="362"/>
        <v>0</v>
      </c>
      <c r="Q345" s="175">
        <f t="shared" si="362"/>
        <v>0</v>
      </c>
    </row>
    <row r="346" spans="4:17" s="16" customFormat="1" ht="13.2" x14ac:dyDescent="0.25">
      <c r="D346" s="235">
        <v>1</v>
      </c>
      <c r="E346" s="237">
        <v>9</v>
      </c>
      <c r="F346" s="238">
        <v>5</v>
      </c>
      <c r="G346" s="239">
        <v>0.97</v>
      </c>
      <c r="H346" s="239">
        <f t="shared" ref="H346:H348" si="363">E346*G346</f>
        <v>8.73</v>
      </c>
      <c r="I346" s="131">
        <f t="shared" ref="I346:I348" si="364">IF($F346=4.2,H346*$B$23,0)</f>
        <v>0</v>
      </c>
      <c r="J346" s="31">
        <f t="shared" ref="J346:J348" si="365">IF($F346=5,$H346*$B$24,0)</f>
        <v>1.3444199999999999</v>
      </c>
      <c r="K346" s="31">
        <f t="shared" ref="K346:K348" si="366">IF($F346=6.3,$H346*$B$25,0)</f>
        <v>0</v>
      </c>
      <c r="L346" s="31">
        <f t="shared" ref="L346:L348" si="367">IF($F346=8,$H346*$B$26,0)</f>
        <v>0</v>
      </c>
      <c r="M346" s="31">
        <f t="shared" ref="M346:M348" si="368">IF($F346=10,$H346*$B$27,0)</f>
        <v>0</v>
      </c>
      <c r="N346" s="31">
        <f t="shared" ref="N346:N348" si="369">IF($F346=12.5,$H346*$B$28,0)</f>
        <v>0</v>
      </c>
      <c r="O346" s="31">
        <f t="shared" ref="O346:O348" si="370">IF($F346=16,$H346*$B$29,0)</f>
        <v>0</v>
      </c>
      <c r="P346" s="31">
        <f t="shared" ref="P346:P348" si="371">IF($F346=20,$H346*$B$30,0)</f>
        <v>0</v>
      </c>
      <c r="Q346" s="49">
        <f t="shared" ref="Q346:Q348" si="372">IF($F346=25,$H346*$B$31,0)</f>
        <v>0</v>
      </c>
    </row>
    <row r="347" spans="4:17" s="16" customFormat="1" ht="13.2" x14ac:dyDescent="0.25">
      <c r="D347" s="235">
        <v>11</v>
      </c>
      <c r="E347" s="237">
        <v>4</v>
      </c>
      <c r="F347" s="238">
        <v>8</v>
      </c>
      <c r="G347" s="239">
        <v>1.02</v>
      </c>
      <c r="H347" s="239">
        <f t="shared" si="363"/>
        <v>4.08</v>
      </c>
      <c r="I347" s="131">
        <f t="shared" si="364"/>
        <v>0</v>
      </c>
      <c r="J347" s="31">
        <f t="shared" si="365"/>
        <v>0</v>
      </c>
      <c r="K347" s="31">
        <f t="shared" si="366"/>
        <v>0</v>
      </c>
      <c r="L347" s="31">
        <f t="shared" si="367"/>
        <v>1.6116000000000001</v>
      </c>
      <c r="M347" s="31">
        <f t="shared" si="368"/>
        <v>0</v>
      </c>
      <c r="N347" s="31">
        <f t="shared" si="369"/>
        <v>0</v>
      </c>
      <c r="O347" s="31">
        <f t="shared" si="370"/>
        <v>0</v>
      </c>
      <c r="P347" s="31">
        <f t="shared" si="371"/>
        <v>0</v>
      </c>
      <c r="Q347" s="49">
        <f t="shared" si="372"/>
        <v>0</v>
      </c>
    </row>
    <row r="348" spans="4:17" s="16" customFormat="1" ht="13.2" x14ac:dyDescent="0.25">
      <c r="D348" s="235">
        <v>12</v>
      </c>
      <c r="E348" s="237">
        <v>5</v>
      </c>
      <c r="F348" s="238">
        <v>8</v>
      </c>
      <c r="G348" s="239">
        <v>0.89</v>
      </c>
      <c r="H348" s="239">
        <f t="shared" si="363"/>
        <v>4.45</v>
      </c>
      <c r="I348" s="131">
        <f t="shared" si="364"/>
        <v>0</v>
      </c>
      <c r="J348" s="31">
        <f t="shared" si="365"/>
        <v>0</v>
      </c>
      <c r="K348" s="31">
        <f t="shared" si="366"/>
        <v>0</v>
      </c>
      <c r="L348" s="31">
        <f t="shared" si="367"/>
        <v>1.7577500000000001</v>
      </c>
      <c r="M348" s="31">
        <f t="shared" si="368"/>
        <v>0</v>
      </c>
      <c r="N348" s="31">
        <f t="shared" si="369"/>
        <v>0</v>
      </c>
      <c r="O348" s="31">
        <f t="shared" si="370"/>
        <v>0</v>
      </c>
      <c r="P348" s="31">
        <f t="shared" si="371"/>
        <v>0</v>
      </c>
      <c r="Q348" s="49">
        <f t="shared" si="372"/>
        <v>0</v>
      </c>
    </row>
    <row r="349" spans="4:17" s="16" customFormat="1" ht="13.2" x14ac:dyDescent="0.25">
      <c r="D349" s="307"/>
      <c r="E349" s="26"/>
      <c r="F349" s="206"/>
      <c r="G349" s="207"/>
      <c r="H349" s="207"/>
      <c r="I349" s="51"/>
      <c r="J349" s="308"/>
      <c r="K349" s="308"/>
      <c r="L349" s="308"/>
      <c r="M349" s="308"/>
      <c r="N349" s="308"/>
      <c r="O349" s="308"/>
      <c r="P349" s="308"/>
      <c r="Q349" s="309"/>
    </row>
    <row r="350" spans="4:17" s="16" customFormat="1" ht="13.2" x14ac:dyDescent="0.25">
      <c r="D350" s="814" t="s">
        <v>1373</v>
      </c>
      <c r="E350" s="815"/>
      <c r="F350" s="815"/>
      <c r="G350" s="815"/>
      <c r="H350" s="815"/>
      <c r="I350" s="175">
        <f t="shared" ref="I350:Q350" si="373">SUM(I351:I352)</f>
        <v>0</v>
      </c>
      <c r="J350" s="175">
        <f t="shared" si="373"/>
        <v>1.1950399999999999</v>
      </c>
      <c r="K350" s="175">
        <f t="shared" si="373"/>
        <v>0</v>
      </c>
      <c r="L350" s="175">
        <f t="shared" si="373"/>
        <v>2.8124000000000002</v>
      </c>
      <c r="M350" s="175">
        <f t="shared" si="373"/>
        <v>0</v>
      </c>
      <c r="N350" s="175">
        <f t="shared" si="373"/>
        <v>0</v>
      </c>
      <c r="O350" s="175">
        <f t="shared" si="373"/>
        <v>0</v>
      </c>
      <c r="P350" s="175">
        <f t="shared" si="373"/>
        <v>0</v>
      </c>
      <c r="Q350" s="175">
        <f t="shared" si="373"/>
        <v>0</v>
      </c>
    </row>
    <row r="351" spans="4:17" s="16" customFormat="1" ht="13.2" x14ac:dyDescent="0.25">
      <c r="D351" s="235">
        <v>1</v>
      </c>
      <c r="E351" s="237">
        <f>2*4</f>
        <v>8</v>
      </c>
      <c r="F351" s="238">
        <v>5</v>
      </c>
      <c r="G351" s="239">
        <v>0.97</v>
      </c>
      <c r="H351" s="239">
        <f t="shared" ref="H351:H352" si="374">E351*G351</f>
        <v>7.76</v>
      </c>
      <c r="I351" s="131">
        <f t="shared" ref="I351:I352" si="375">IF($F351=4.2,H351*$B$23,0)</f>
        <v>0</v>
      </c>
      <c r="J351" s="31">
        <f t="shared" ref="J351:J352" si="376">IF($F351=5,$H351*$B$24,0)</f>
        <v>1.1950399999999999</v>
      </c>
      <c r="K351" s="31">
        <f t="shared" ref="K351:K352" si="377">IF($F351=6.3,$H351*$B$25,0)</f>
        <v>0</v>
      </c>
      <c r="L351" s="31">
        <f t="shared" ref="L351:L352" si="378">IF($F351=8,$H351*$B$26,0)</f>
        <v>0</v>
      </c>
      <c r="M351" s="31">
        <f t="shared" ref="M351:M352" si="379">IF($F351=10,$H351*$B$27,0)</f>
        <v>0</v>
      </c>
      <c r="N351" s="31">
        <f t="shared" ref="N351:N352" si="380">IF($F351=12.5,$H351*$B$28,0)</f>
        <v>0</v>
      </c>
      <c r="O351" s="31">
        <f t="shared" ref="O351:O352" si="381">IF($F351=16,$H351*$B$29,0)</f>
        <v>0</v>
      </c>
      <c r="P351" s="31">
        <f t="shared" ref="P351:P352" si="382">IF($F351=20,$H351*$B$30,0)</f>
        <v>0</v>
      </c>
      <c r="Q351" s="49">
        <f t="shared" ref="Q351:Q352" si="383">IF($F351=25,$H351*$B$31,0)</f>
        <v>0</v>
      </c>
    </row>
    <row r="352" spans="4:17" s="16" customFormat="1" ht="13.2" x14ac:dyDescent="0.25">
      <c r="D352" s="235">
        <v>12</v>
      </c>
      <c r="E352" s="237">
        <f>2*4</f>
        <v>8</v>
      </c>
      <c r="F352" s="238">
        <v>8</v>
      </c>
      <c r="G352" s="239">
        <v>0.89</v>
      </c>
      <c r="H352" s="239">
        <f t="shared" si="374"/>
        <v>7.12</v>
      </c>
      <c r="I352" s="131">
        <f t="shared" si="375"/>
        <v>0</v>
      </c>
      <c r="J352" s="31">
        <f t="shared" si="376"/>
        <v>0</v>
      </c>
      <c r="K352" s="31">
        <f t="shared" si="377"/>
        <v>0</v>
      </c>
      <c r="L352" s="31">
        <f t="shared" si="378"/>
        <v>2.8124000000000002</v>
      </c>
      <c r="M352" s="31">
        <f t="shared" si="379"/>
        <v>0</v>
      </c>
      <c r="N352" s="31">
        <f t="shared" si="380"/>
        <v>0</v>
      </c>
      <c r="O352" s="31">
        <f t="shared" si="381"/>
        <v>0</v>
      </c>
      <c r="P352" s="31">
        <f t="shared" si="382"/>
        <v>0</v>
      </c>
      <c r="Q352" s="49">
        <f t="shared" si="383"/>
        <v>0</v>
      </c>
    </row>
    <row r="353" spans="2:20" s="16" customFormat="1" ht="13.2" x14ac:dyDescent="0.25">
      <c r="D353" s="307"/>
      <c r="E353" s="26"/>
      <c r="F353" s="206"/>
      <c r="G353" s="207"/>
      <c r="H353" s="207"/>
      <c r="I353" s="51"/>
      <c r="J353" s="308"/>
      <c r="K353" s="308"/>
      <c r="L353" s="308"/>
      <c r="M353" s="308"/>
      <c r="N353" s="308"/>
      <c r="O353" s="308"/>
      <c r="P353" s="308"/>
      <c r="Q353" s="309"/>
    </row>
    <row r="354" spans="2:20" s="16" customFormat="1" ht="13.2" x14ac:dyDescent="0.25">
      <c r="D354" s="814" t="s">
        <v>1374</v>
      </c>
      <c r="E354" s="815"/>
      <c r="F354" s="815"/>
      <c r="G354" s="815"/>
      <c r="H354" s="815"/>
      <c r="I354" s="175">
        <f t="shared" ref="I354:Q354" si="384">SUM(I355:I359)</f>
        <v>0</v>
      </c>
      <c r="J354" s="175">
        <f t="shared" si="384"/>
        <v>6.4233399999999996</v>
      </c>
      <c r="K354" s="175">
        <f t="shared" si="384"/>
        <v>0</v>
      </c>
      <c r="L354" s="175">
        <f t="shared" si="384"/>
        <v>9.7565000000000008</v>
      </c>
      <c r="M354" s="175">
        <f t="shared" si="384"/>
        <v>13.253159999999999</v>
      </c>
      <c r="N354" s="175">
        <f t="shared" si="384"/>
        <v>0</v>
      </c>
      <c r="O354" s="175">
        <f t="shared" si="384"/>
        <v>0</v>
      </c>
      <c r="P354" s="175">
        <f t="shared" si="384"/>
        <v>0</v>
      </c>
      <c r="Q354" s="175">
        <f t="shared" si="384"/>
        <v>0</v>
      </c>
    </row>
    <row r="355" spans="2:20" s="16" customFormat="1" ht="13.2" x14ac:dyDescent="0.25">
      <c r="D355" s="235">
        <v>1</v>
      </c>
      <c r="E355" s="237">
        <v>43</v>
      </c>
      <c r="F355" s="238">
        <v>5</v>
      </c>
      <c r="G355" s="239">
        <v>0.97</v>
      </c>
      <c r="H355" s="239">
        <f t="shared" ref="H355:H359" si="385">E355*G355</f>
        <v>41.71</v>
      </c>
      <c r="I355" s="131">
        <f t="shared" ref="I355:I359" si="386">IF($F355=4.2,H355*$B$23,0)</f>
        <v>0</v>
      </c>
      <c r="J355" s="31">
        <f t="shared" ref="J355:J359" si="387">IF($F355=5,$H355*$B$24,0)</f>
        <v>6.4233399999999996</v>
      </c>
      <c r="K355" s="31">
        <f t="shared" ref="K355:K359" si="388">IF($F355=6.3,$H355*$B$25,0)</f>
        <v>0</v>
      </c>
      <c r="L355" s="31">
        <f t="shared" ref="L355:L359" si="389">IF($F355=8,$H355*$B$26,0)</f>
        <v>0</v>
      </c>
      <c r="M355" s="31">
        <f t="shared" ref="M355:M359" si="390">IF($F355=10,$H355*$B$27,0)</f>
        <v>0</v>
      </c>
      <c r="N355" s="31">
        <f t="shared" ref="N355:N359" si="391">IF($F355=12.5,$H355*$B$28,0)</f>
        <v>0</v>
      </c>
      <c r="O355" s="31">
        <f t="shared" ref="O355:O359" si="392">IF($F355=16,$H355*$B$29,0)</f>
        <v>0</v>
      </c>
      <c r="P355" s="31">
        <f t="shared" ref="P355:P359" si="393">IF($F355=20,$H355*$B$30,0)</f>
        <v>0</v>
      </c>
      <c r="Q355" s="49">
        <f t="shared" ref="Q355:Q359" si="394">IF($F355=25,$H355*$B$31,0)</f>
        <v>0</v>
      </c>
    </row>
    <row r="356" spans="2:20" s="16" customFormat="1" ht="13.2" x14ac:dyDescent="0.25">
      <c r="D356" s="235">
        <v>2</v>
      </c>
      <c r="E356" s="237">
        <v>2</v>
      </c>
      <c r="F356" s="238">
        <v>8</v>
      </c>
      <c r="G356" s="239">
        <v>10.74</v>
      </c>
      <c r="H356" s="239">
        <f t="shared" si="385"/>
        <v>21.48</v>
      </c>
      <c r="I356" s="131">
        <f t="shared" si="386"/>
        <v>0</v>
      </c>
      <c r="J356" s="31">
        <f t="shared" si="387"/>
        <v>0</v>
      </c>
      <c r="K356" s="31">
        <f t="shared" si="388"/>
        <v>0</v>
      </c>
      <c r="L356" s="31">
        <f t="shared" si="389"/>
        <v>8.4846000000000004</v>
      </c>
      <c r="M356" s="31">
        <f t="shared" si="390"/>
        <v>0</v>
      </c>
      <c r="N356" s="31">
        <f t="shared" si="391"/>
        <v>0</v>
      </c>
      <c r="O356" s="31">
        <f t="shared" si="392"/>
        <v>0</v>
      </c>
      <c r="P356" s="31">
        <f t="shared" si="393"/>
        <v>0</v>
      </c>
      <c r="Q356" s="49">
        <f t="shared" si="394"/>
        <v>0</v>
      </c>
    </row>
    <row r="357" spans="2:20" s="16" customFormat="1" ht="13.2" x14ac:dyDescent="0.25">
      <c r="D357" s="235">
        <v>13</v>
      </c>
      <c r="E357" s="237">
        <v>1</v>
      </c>
      <c r="F357" s="238">
        <v>8</v>
      </c>
      <c r="G357" s="239">
        <v>1.9</v>
      </c>
      <c r="H357" s="239">
        <f t="shared" si="385"/>
        <v>1.9</v>
      </c>
      <c r="I357" s="131">
        <f t="shared" si="386"/>
        <v>0</v>
      </c>
      <c r="J357" s="31">
        <f t="shared" si="387"/>
        <v>0</v>
      </c>
      <c r="K357" s="31">
        <f t="shared" si="388"/>
        <v>0</v>
      </c>
      <c r="L357" s="31">
        <f t="shared" si="389"/>
        <v>0.75049999999999994</v>
      </c>
      <c r="M357" s="31">
        <f t="shared" si="390"/>
        <v>0</v>
      </c>
      <c r="N357" s="31">
        <f t="shared" si="391"/>
        <v>0</v>
      </c>
      <c r="O357" s="31">
        <f t="shared" si="392"/>
        <v>0</v>
      </c>
      <c r="P357" s="31">
        <f t="shared" si="393"/>
        <v>0</v>
      </c>
      <c r="Q357" s="49">
        <f t="shared" si="394"/>
        <v>0</v>
      </c>
    </row>
    <row r="358" spans="2:20" s="16" customFormat="1" ht="13.2" x14ac:dyDescent="0.25">
      <c r="D358" s="235">
        <v>14</v>
      </c>
      <c r="E358" s="237">
        <v>1</v>
      </c>
      <c r="F358" s="238">
        <v>8</v>
      </c>
      <c r="G358" s="239">
        <v>1.32</v>
      </c>
      <c r="H358" s="239">
        <f t="shared" si="385"/>
        <v>1.32</v>
      </c>
      <c r="I358" s="131">
        <f t="shared" si="386"/>
        <v>0</v>
      </c>
      <c r="J358" s="31">
        <f t="shared" si="387"/>
        <v>0</v>
      </c>
      <c r="K358" s="31">
        <f t="shared" si="388"/>
        <v>0</v>
      </c>
      <c r="L358" s="31">
        <f t="shared" si="389"/>
        <v>0.52140000000000009</v>
      </c>
      <c r="M358" s="31">
        <f t="shared" si="390"/>
        <v>0</v>
      </c>
      <c r="N358" s="31">
        <f t="shared" si="391"/>
        <v>0</v>
      </c>
      <c r="O358" s="31">
        <f t="shared" si="392"/>
        <v>0</v>
      </c>
      <c r="P358" s="31">
        <f t="shared" si="393"/>
        <v>0</v>
      </c>
      <c r="Q358" s="49">
        <f t="shared" si="394"/>
        <v>0</v>
      </c>
    </row>
    <row r="359" spans="2:20" s="16" customFormat="1" ht="13.2" x14ac:dyDescent="0.25">
      <c r="D359" s="235">
        <v>15</v>
      </c>
      <c r="E359" s="237">
        <v>2</v>
      </c>
      <c r="F359" s="238">
        <v>10</v>
      </c>
      <c r="G359" s="239">
        <v>10.74</v>
      </c>
      <c r="H359" s="239">
        <f t="shared" si="385"/>
        <v>21.48</v>
      </c>
      <c r="I359" s="131">
        <f t="shared" si="386"/>
        <v>0</v>
      </c>
      <c r="J359" s="31">
        <f t="shared" si="387"/>
        <v>0</v>
      </c>
      <c r="K359" s="31">
        <f t="shared" si="388"/>
        <v>0</v>
      </c>
      <c r="L359" s="31">
        <f t="shared" si="389"/>
        <v>0</v>
      </c>
      <c r="M359" s="31">
        <f t="shared" si="390"/>
        <v>13.253159999999999</v>
      </c>
      <c r="N359" s="31">
        <f t="shared" si="391"/>
        <v>0</v>
      </c>
      <c r="O359" s="31">
        <f t="shared" si="392"/>
        <v>0</v>
      </c>
      <c r="P359" s="31">
        <f t="shared" si="393"/>
        <v>0</v>
      </c>
      <c r="Q359" s="49">
        <f t="shared" si="394"/>
        <v>0</v>
      </c>
    </row>
    <row r="360" spans="2:20" s="16" customFormat="1" ht="13.8" thickBot="1" x14ac:dyDescent="0.3">
      <c r="D360" s="307"/>
      <c r="E360" s="26"/>
      <c r="F360" s="206"/>
      <c r="G360" s="207"/>
      <c r="H360" s="207"/>
      <c r="I360" s="51"/>
      <c r="J360" s="308"/>
      <c r="K360" s="308"/>
      <c r="L360" s="308"/>
      <c r="M360" s="308"/>
      <c r="N360" s="308"/>
      <c r="O360" s="308"/>
      <c r="P360" s="308"/>
      <c r="Q360" s="309"/>
    </row>
    <row r="361" spans="2:20" s="16" customFormat="1" ht="15" customHeight="1" thickBot="1" x14ac:dyDescent="0.3">
      <c r="B361" s="34"/>
      <c r="D361" s="792" t="s">
        <v>422</v>
      </c>
      <c r="E361" s="793"/>
      <c r="F361" s="793"/>
      <c r="G361" s="793"/>
      <c r="H361" s="793"/>
      <c r="I361" s="793"/>
      <c r="J361" s="793"/>
      <c r="K361" s="793"/>
      <c r="L361" s="793"/>
      <c r="M361" s="793"/>
      <c r="N361" s="793"/>
      <c r="O361" s="793"/>
      <c r="P361" s="793"/>
      <c r="Q361" s="794"/>
      <c r="S361" s="795"/>
      <c r="T361" s="795"/>
    </row>
    <row r="362" spans="2:20" s="16" customFormat="1" ht="13.2" x14ac:dyDescent="0.25">
      <c r="D362" s="814" t="s">
        <v>1420</v>
      </c>
      <c r="E362" s="815"/>
      <c r="F362" s="815"/>
      <c r="G362" s="815"/>
      <c r="H362" s="815"/>
      <c r="I362" s="175">
        <f t="shared" ref="I362:Q362" si="395">SUM(I363:I369)</f>
        <v>0</v>
      </c>
      <c r="J362" s="175">
        <f t="shared" si="395"/>
        <v>12.398539999999999</v>
      </c>
      <c r="K362" s="175">
        <f t="shared" si="395"/>
        <v>0</v>
      </c>
      <c r="L362" s="175">
        <f t="shared" si="395"/>
        <v>4.1514500000000005</v>
      </c>
      <c r="M362" s="175">
        <f t="shared" si="395"/>
        <v>40.462859999999999</v>
      </c>
      <c r="N362" s="175">
        <f t="shared" si="395"/>
        <v>0</v>
      </c>
      <c r="O362" s="175">
        <f t="shared" si="395"/>
        <v>0</v>
      </c>
      <c r="P362" s="175">
        <f t="shared" si="395"/>
        <v>0</v>
      </c>
      <c r="Q362" s="175">
        <f t="shared" si="395"/>
        <v>0</v>
      </c>
    </row>
    <row r="363" spans="2:20" s="16" customFormat="1" ht="13.2" x14ac:dyDescent="0.25">
      <c r="D363" s="235">
        <v>10</v>
      </c>
      <c r="E363" s="237">
        <v>83</v>
      </c>
      <c r="F363" s="238">
        <v>5</v>
      </c>
      <c r="G363" s="239">
        <v>0.97</v>
      </c>
      <c r="H363" s="239">
        <f t="shared" ref="H363:H369" si="396">E363*G363</f>
        <v>80.509999999999991</v>
      </c>
      <c r="I363" s="131">
        <f t="shared" ref="I363:I369" si="397">IF($F363=4.2,H363*$B$23,0)</f>
        <v>0</v>
      </c>
      <c r="J363" s="31">
        <f t="shared" ref="J363:J369" si="398">IF($F363=5,$H363*$B$24,0)</f>
        <v>12.398539999999999</v>
      </c>
      <c r="K363" s="31">
        <f t="shared" ref="K363:K369" si="399">IF($F363=6.3,$H363*$B$25,0)</f>
        <v>0</v>
      </c>
      <c r="L363" s="31">
        <f t="shared" ref="L363:L369" si="400">IF($F363=8,$H363*$B$26,0)</f>
        <v>0</v>
      </c>
      <c r="M363" s="31">
        <f t="shared" ref="M363:M369" si="401">IF($F363=10,$H363*$B$27,0)</f>
        <v>0</v>
      </c>
      <c r="N363" s="31">
        <f t="shared" ref="N363:N369" si="402">IF($F363=12.5,$H363*$B$28,0)</f>
        <v>0</v>
      </c>
      <c r="O363" s="31">
        <f t="shared" ref="O363:O369" si="403">IF($F363=16,$H363*$B$29,0)</f>
        <v>0</v>
      </c>
      <c r="P363" s="31">
        <f t="shared" ref="P363:P369" si="404">IF($F363=20,$H363*$B$30,0)</f>
        <v>0</v>
      </c>
      <c r="Q363" s="49">
        <f t="shared" ref="Q363:Q369" si="405">IF($F363=25,$H363*$B$31,0)</f>
        <v>0</v>
      </c>
    </row>
    <row r="364" spans="2:20" s="16" customFormat="1" ht="13.2" x14ac:dyDescent="0.25">
      <c r="D364" s="235">
        <v>21</v>
      </c>
      <c r="E364" s="237">
        <v>1</v>
      </c>
      <c r="F364" s="238">
        <v>8</v>
      </c>
      <c r="G364" s="239">
        <v>0.87</v>
      </c>
      <c r="H364" s="239">
        <f t="shared" ref="H364:H365" si="406">E364*G364</f>
        <v>0.87</v>
      </c>
      <c r="I364" s="131">
        <f t="shared" ref="I364:I365" si="407">IF($F364=4.2,H364*$B$23,0)</f>
        <v>0</v>
      </c>
      <c r="J364" s="31">
        <f t="shared" si="398"/>
        <v>0</v>
      </c>
      <c r="K364" s="31">
        <f t="shared" si="399"/>
        <v>0</v>
      </c>
      <c r="L364" s="31">
        <f t="shared" si="400"/>
        <v>0.34365000000000001</v>
      </c>
      <c r="M364" s="31">
        <f t="shared" si="401"/>
        <v>0</v>
      </c>
      <c r="N364" s="31">
        <f t="shared" si="402"/>
        <v>0</v>
      </c>
      <c r="O364" s="31">
        <f t="shared" si="403"/>
        <v>0</v>
      </c>
      <c r="P364" s="31">
        <f t="shared" si="404"/>
        <v>0</v>
      </c>
      <c r="Q364" s="49">
        <f t="shared" si="405"/>
        <v>0</v>
      </c>
    </row>
    <row r="365" spans="2:20" s="16" customFormat="1" ht="13.2" x14ac:dyDescent="0.25">
      <c r="D365" s="235">
        <v>22</v>
      </c>
      <c r="E365" s="237">
        <v>2</v>
      </c>
      <c r="F365" s="238">
        <v>8</v>
      </c>
      <c r="G365" s="239">
        <v>4.82</v>
      </c>
      <c r="H365" s="239">
        <f t="shared" si="406"/>
        <v>9.64</v>
      </c>
      <c r="I365" s="131">
        <f t="shared" si="407"/>
        <v>0</v>
      </c>
      <c r="J365" s="31">
        <f t="shared" si="398"/>
        <v>0</v>
      </c>
      <c r="K365" s="31">
        <f t="shared" si="399"/>
        <v>0</v>
      </c>
      <c r="L365" s="31">
        <f t="shared" si="400"/>
        <v>3.8078000000000003</v>
      </c>
      <c r="M365" s="31">
        <f t="shared" si="401"/>
        <v>0</v>
      </c>
      <c r="N365" s="31">
        <f t="shared" si="402"/>
        <v>0</v>
      </c>
      <c r="O365" s="31">
        <f t="shared" si="403"/>
        <v>0</v>
      </c>
      <c r="P365" s="31">
        <f t="shared" si="404"/>
        <v>0</v>
      </c>
      <c r="Q365" s="49">
        <f t="shared" si="405"/>
        <v>0</v>
      </c>
    </row>
    <row r="366" spans="2:20" s="16" customFormat="1" ht="13.2" x14ac:dyDescent="0.25">
      <c r="D366" s="235">
        <v>24</v>
      </c>
      <c r="E366" s="237">
        <v>2</v>
      </c>
      <c r="F366" s="238">
        <v>10</v>
      </c>
      <c r="G366" s="239">
        <v>10.07</v>
      </c>
      <c r="H366" s="239">
        <f t="shared" si="396"/>
        <v>20.14</v>
      </c>
      <c r="I366" s="131">
        <f t="shared" si="397"/>
        <v>0</v>
      </c>
      <c r="J366" s="31">
        <f t="shared" si="398"/>
        <v>0</v>
      </c>
      <c r="K366" s="31">
        <f t="shared" si="399"/>
        <v>0</v>
      </c>
      <c r="L366" s="31">
        <f t="shared" si="400"/>
        <v>0</v>
      </c>
      <c r="M366" s="31">
        <f t="shared" si="401"/>
        <v>12.42638</v>
      </c>
      <c r="N366" s="31">
        <f t="shared" si="402"/>
        <v>0</v>
      </c>
      <c r="O366" s="31">
        <f t="shared" si="403"/>
        <v>0</v>
      </c>
      <c r="P366" s="31">
        <f t="shared" si="404"/>
        <v>0</v>
      </c>
      <c r="Q366" s="49">
        <f t="shared" si="405"/>
        <v>0</v>
      </c>
    </row>
    <row r="367" spans="2:20" s="16" customFormat="1" ht="13.2" x14ac:dyDescent="0.25">
      <c r="D367" s="235">
        <v>25</v>
      </c>
      <c r="E367" s="237">
        <v>2</v>
      </c>
      <c r="F367" s="238">
        <v>10</v>
      </c>
      <c r="G367" s="239">
        <v>8.3000000000000007</v>
      </c>
      <c r="H367" s="239">
        <f t="shared" si="396"/>
        <v>16.600000000000001</v>
      </c>
      <c r="I367" s="131">
        <f t="shared" si="397"/>
        <v>0</v>
      </c>
      <c r="J367" s="31">
        <f t="shared" si="398"/>
        <v>0</v>
      </c>
      <c r="K367" s="31">
        <f t="shared" si="399"/>
        <v>0</v>
      </c>
      <c r="L367" s="31">
        <f t="shared" si="400"/>
        <v>0</v>
      </c>
      <c r="M367" s="31">
        <f t="shared" si="401"/>
        <v>10.2422</v>
      </c>
      <c r="N367" s="31">
        <f t="shared" si="402"/>
        <v>0</v>
      </c>
      <c r="O367" s="31">
        <f t="shared" si="403"/>
        <v>0</v>
      </c>
      <c r="P367" s="31">
        <f t="shared" si="404"/>
        <v>0</v>
      </c>
      <c r="Q367" s="49">
        <f t="shared" si="405"/>
        <v>0</v>
      </c>
    </row>
    <row r="368" spans="2:20" s="16" customFormat="1" ht="13.2" x14ac:dyDescent="0.25">
      <c r="D368" s="235">
        <v>26</v>
      </c>
      <c r="E368" s="237">
        <v>2</v>
      </c>
      <c r="F368" s="238">
        <v>10</v>
      </c>
      <c r="G368" s="239">
        <v>12</v>
      </c>
      <c r="H368" s="239">
        <f t="shared" si="396"/>
        <v>24</v>
      </c>
      <c r="I368" s="131">
        <f t="shared" si="397"/>
        <v>0</v>
      </c>
      <c r="J368" s="31">
        <f t="shared" si="398"/>
        <v>0</v>
      </c>
      <c r="K368" s="31">
        <f t="shared" si="399"/>
        <v>0</v>
      </c>
      <c r="L368" s="31">
        <f t="shared" si="400"/>
        <v>0</v>
      </c>
      <c r="M368" s="31">
        <f t="shared" si="401"/>
        <v>14.808</v>
      </c>
      <c r="N368" s="31">
        <f t="shared" si="402"/>
        <v>0</v>
      </c>
      <c r="O368" s="31">
        <f t="shared" si="403"/>
        <v>0</v>
      </c>
      <c r="P368" s="31">
        <f t="shared" si="404"/>
        <v>0</v>
      </c>
      <c r="Q368" s="49">
        <f t="shared" si="405"/>
        <v>0</v>
      </c>
    </row>
    <row r="369" spans="4:17" s="16" customFormat="1" ht="13.2" x14ac:dyDescent="0.25">
      <c r="D369" s="235">
        <v>27</v>
      </c>
      <c r="E369" s="237">
        <v>2</v>
      </c>
      <c r="F369" s="238">
        <v>10</v>
      </c>
      <c r="G369" s="239">
        <v>2.42</v>
      </c>
      <c r="H369" s="239">
        <f t="shared" si="396"/>
        <v>4.84</v>
      </c>
      <c r="I369" s="131">
        <f t="shared" si="397"/>
        <v>0</v>
      </c>
      <c r="J369" s="31">
        <f t="shared" si="398"/>
        <v>0</v>
      </c>
      <c r="K369" s="31">
        <f t="shared" si="399"/>
        <v>0</v>
      </c>
      <c r="L369" s="31">
        <f t="shared" si="400"/>
        <v>0</v>
      </c>
      <c r="M369" s="31">
        <f t="shared" si="401"/>
        <v>2.9862799999999998</v>
      </c>
      <c r="N369" s="31">
        <f t="shared" si="402"/>
        <v>0</v>
      </c>
      <c r="O369" s="31">
        <f t="shared" si="403"/>
        <v>0</v>
      </c>
      <c r="P369" s="31">
        <f t="shared" si="404"/>
        <v>0</v>
      </c>
      <c r="Q369" s="49">
        <f t="shared" si="405"/>
        <v>0</v>
      </c>
    </row>
    <row r="370" spans="4:17" s="16" customFormat="1" ht="13.2" x14ac:dyDescent="0.25">
      <c r="D370" s="307"/>
      <c r="E370" s="26"/>
      <c r="F370" s="206"/>
      <c r="G370" s="207"/>
      <c r="H370" s="207"/>
      <c r="I370" s="51"/>
      <c r="J370" s="308"/>
      <c r="K370" s="308"/>
      <c r="L370" s="308"/>
      <c r="M370" s="308"/>
      <c r="N370" s="308"/>
      <c r="O370" s="308"/>
      <c r="P370" s="308"/>
      <c r="Q370" s="309"/>
    </row>
    <row r="371" spans="4:17" s="16" customFormat="1" ht="13.2" x14ac:dyDescent="0.25">
      <c r="D371" s="814" t="s">
        <v>1421</v>
      </c>
      <c r="E371" s="815"/>
      <c r="F371" s="815"/>
      <c r="G371" s="815"/>
      <c r="H371" s="815"/>
      <c r="I371" s="175">
        <f t="shared" ref="I371:Q371" si="408">SUM(I372:I379)</f>
        <v>0</v>
      </c>
      <c r="J371" s="175">
        <f t="shared" si="408"/>
        <v>8.5146599999999992</v>
      </c>
      <c r="K371" s="175">
        <f t="shared" si="408"/>
        <v>0</v>
      </c>
      <c r="L371" s="175">
        <f t="shared" si="408"/>
        <v>6.3041999999999998</v>
      </c>
      <c r="M371" s="175">
        <f t="shared" si="408"/>
        <v>23.90258</v>
      </c>
      <c r="N371" s="175">
        <f t="shared" si="408"/>
        <v>0</v>
      </c>
      <c r="O371" s="175">
        <f t="shared" si="408"/>
        <v>0</v>
      </c>
      <c r="P371" s="175">
        <f t="shared" si="408"/>
        <v>0</v>
      </c>
      <c r="Q371" s="175">
        <f t="shared" si="408"/>
        <v>0</v>
      </c>
    </row>
    <row r="372" spans="4:17" s="16" customFormat="1" ht="13.2" x14ac:dyDescent="0.25">
      <c r="D372" s="235">
        <v>1</v>
      </c>
      <c r="E372" s="237">
        <v>57</v>
      </c>
      <c r="F372" s="238">
        <v>5</v>
      </c>
      <c r="G372" s="239">
        <v>0.97</v>
      </c>
      <c r="H372" s="239">
        <f t="shared" ref="H372:H379" si="409">E372*G372</f>
        <v>55.29</v>
      </c>
      <c r="I372" s="131">
        <f t="shared" ref="I372:I379" si="410">IF($F372=4.2,H372*$B$23,0)</f>
        <v>0</v>
      </c>
      <c r="J372" s="31">
        <f t="shared" ref="J372:J379" si="411">IF($F372=5,$H372*$B$24,0)</f>
        <v>8.5146599999999992</v>
      </c>
      <c r="K372" s="31">
        <f t="shared" ref="K372:K379" si="412">IF($F372=6.3,$H372*$B$25,0)</f>
        <v>0</v>
      </c>
      <c r="L372" s="31">
        <f t="shared" ref="L372:L379" si="413">IF($F372=8,$H372*$B$26,0)</f>
        <v>0</v>
      </c>
      <c r="M372" s="31">
        <f t="shared" ref="M372:M379" si="414">IF($F372=10,$H372*$B$27,0)</f>
        <v>0</v>
      </c>
      <c r="N372" s="31">
        <f t="shared" ref="N372:N379" si="415">IF($F372=12.5,$H372*$B$28,0)</f>
        <v>0</v>
      </c>
      <c r="O372" s="31">
        <f t="shared" ref="O372:O379" si="416">IF($F372=16,$H372*$B$29,0)</f>
        <v>0</v>
      </c>
      <c r="P372" s="31">
        <f t="shared" ref="P372:P379" si="417">IF($F372=20,$H372*$B$30,0)</f>
        <v>0</v>
      </c>
      <c r="Q372" s="49">
        <f t="shared" ref="Q372:Q379" si="418">IF($F372=25,$H372*$B$31,0)</f>
        <v>0</v>
      </c>
    </row>
    <row r="373" spans="4:17" s="16" customFormat="1" ht="13.2" x14ac:dyDescent="0.25">
      <c r="D373" s="235">
        <v>2</v>
      </c>
      <c r="E373" s="237">
        <v>1</v>
      </c>
      <c r="F373" s="238">
        <v>8</v>
      </c>
      <c r="G373" s="239">
        <v>1.46</v>
      </c>
      <c r="H373" s="239">
        <f t="shared" ref="H373:H375" si="419">E373*G373</f>
        <v>1.46</v>
      </c>
      <c r="I373" s="131">
        <f t="shared" ref="I373:I375" si="420">IF($F373=4.2,H373*$B$23,0)</f>
        <v>0</v>
      </c>
      <c r="J373" s="31">
        <f t="shared" si="411"/>
        <v>0</v>
      </c>
      <c r="K373" s="31">
        <f t="shared" si="412"/>
        <v>0</v>
      </c>
      <c r="L373" s="31">
        <f t="shared" si="413"/>
        <v>0.57669999999999999</v>
      </c>
      <c r="M373" s="31">
        <f t="shared" si="414"/>
        <v>0</v>
      </c>
      <c r="N373" s="31">
        <f t="shared" si="415"/>
        <v>0</v>
      </c>
      <c r="O373" s="31">
        <f t="shared" si="416"/>
        <v>0</v>
      </c>
      <c r="P373" s="31">
        <f t="shared" si="417"/>
        <v>0</v>
      </c>
      <c r="Q373" s="49">
        <f t="shared" si="418"/>
        <v>0</v>
      </c>
    </row>
    <row r="374" spans="4:17" s="16" customFormat="1" ht="13.2" x14ac:dyDescent="0.25">
      <c r="D374" s="235">
        <v>3</v>
      </c>
      <c r="E374" s="237">
        <v>1</v>
      </c>
      <c r="F374" s="238">
        <v>8</v>
      </c>
      <c r="G374" s="239">
        <v>1.5</v>
      </c>
      <c r="H374" s="239">
        <f t="shared" si="419"/>
        <v>1.5</v>
      </c>
      <c r="I374" s="131">
        <f t="shared" si="420"/>
        <v>0</v>
      </c>
      <c r="J374" s="31">
        <f t="shared" si="411"/>
        <v>0</v>
      </c>
      <c r="K374" s="31">
        <f t="shared" si="412"/>
        <v>0</v>
      </c>
      <c r="L374" s="31">
        <f t="shared" si="413"/>
        <v>0.59250000000000003</v>
      </c>
      <c r="M374" s="31">
        <f t="shared" si="414"/>
        <v>0</v>
      </c>
      <c r="N374" s="31">
        <f t="shared" si="415"/>
        <v>0</v>
      </c>
      <c r="O374" s="31">
        <f t="shared" si="416"/>
        <v>0</v>
      </c>
      <c r="P374" s="31">
        <f t="shared" si="417"/>
        <v>0</v>
      </c>
      <c r="Q374" s="49">
        <f t="shared" si="418"/>
        <v>0</v>
      </c>
    </row>
    <row r="375" spans="4:17" s="16" customFormat="1" ht="13.2" x14ac:dyDescent="0.25">
      <c r="D375" s="235">
        <v>4</v>
      </c>
      <c r="E375" s="237">
        <v>2</v>
      </c>
      <c r="F375" s="238">
        <v>8</v>
      </c>
      <c r="G375" s="239">
        <v>6.5</v>
      </c>
      <c r="H375" s="239">
        <f t="shared" si="419"/>
        <v>13</v>
      </c>
      <c r="I375" s="131">
        <f t="shared" si="420"/>
        <v>0</v>
      </c>
      <c r="J375" s="31">
        <f t="shared" si="411"/>
        <v>0</v>
      </c>
      <c r="K375" s="31">
        <f t="shared" si="412"/>
        <v>0</v>
      </c>
      <c r="L375" s="31">
        <f t="shared" si="413"/>
        <v>5.1349999999999998</v>
      </c>
      <c r="M375" s="31">
        <f t="shared" si="414"/>
        <v>0</v>
      </c>
      <c r="N375" s="31">
        <f t="shared" si="415"/>
        <v>0</v>
      </c>
      <c r="O375" s="31">
        <f t="shared" si="416"/>
        <v>0</v>
      </c>
      <c r="P375" s="31">
        <f t="shared" si="417"/>
        <v>0</v>
      </c>
      <c r="Q375" s="49">
        <f t="shared" si="418"/>
        <v>0</v>
      </c>
    </row>
    <row r="376" spans="4:17" s="16" customFormat="1" ht="13.2" x14ac:dyDescent="0.25">
      <c r="D376" s="235">
        <v>34</v>
      </c>
      <c r="E376" s="237">
        <v>2</v>
      </c>
      <c r="F376" s="238">
        <v>10</v>
      </c>
      <c r="G376" s="239">
        <v>8.07</v>
      </c>
      <c r="H376" s="239">
        <f t="shared" si="409"/>
        <v>16.14</v>
      </c>
      <c r="I376" s="131">
        <f t="shared" si="410"/>
        <v>0</v>
      </c>
      <c r="J376" s="31">
        <f t="shared" si="411"/>
        <v>0</v>
      </c>
      <c r="K376" s="31">
        <f t="shared" si="412"/>
        <v>0</v>
      </c>
      <c r="L376" s="31">
        <f t="shared" si="413"/>
        <v>0</v>
      </c>
      <c r="M376" s="31">
        <f t="shared" si="414"/>
        <v>9.95838</v>
      </c>
      <c r="N376" s="31">
        <f t="shared" si="415"/>
        <v>0</v>
      </c>
      <c r="O376" s="31">
        <f t="shared" si="416"/>
        <v>0</v>
      </c>
      <c r="P376" s="31">
        <f t="shared" si="417"/>
        <v>0</v>
      </c>
      <c r="Q376" s="49">
        <f t="shared" si="418"/>
        <v>0</v>
      </c>
    </row>
    <row r="377" spans="4:17" s="16" customFormat="1" ht="13.2" x14ac:dyDescent="0.25">
      <c r="D377" s="235">
        <v>35</v>
      </c>
      <c r="E377" s="237">
        <v>2</v>
      </c>
      <c r="F377" s="238">
        <v>10</v>
      </c>
      <c r="G377" s="239">
        <v>4.3499999999999996</v>
      </c>
      <c r="H377" s="239">
        <f t="shared" si="409"/>
        <v>8.6999999999999993</v>
      </c>
      <c r="I377" s="131">
        <f t="shared" si="410"/>
        <v>0</v>
      </c>
      <c r="J377" s="31">
        <f t="shared" si="411"/>
        <v>0</v>
      </c>
      <c r="K377" s="31">
        <f t="shared" si="412"/>
        <v>0</v>
      </c>
      <c r="L377" s="31">
        <f t="shared" si="413"/>
        <v>0</v>
      </c>
      <c r="M377" s="31">
        <f t="shared" si="414"/>
        <v>5.3678999999999997</v>
      </c>
      <c r="N377" s="31">
        <f t="shared" si="415"/>
        <v>0</v>
      </c>
      <c r="O377" s="31">
        <f t="shared" si="416"/>
        <v>0</v>
      </c>
      <c r="P377" s="31">
        <f t="shared" si="417"/>
        <v>0</v>
      </c>
      <c r="Q377" s="49">
        <f t="shared" si="418"/>
        <v>0</v>
      </c>
    </row>
    <row r="378" spans="4:17" s="16" customFormat="1" ht="13.2" x14ac:dyDescent="0.25">
      <c r="D378" s="235">
        <v>36</v>
      </c>
      <c r="E378" s="237">
        <v>1</v>
      </c>
      <c r="F378" s="238">
        <v>10</v>
      </c>
      <c r="G378" s="239">
        <v>1.7</v>
      </c>
      <c r="H378" s="239">
        <f t="shared" si="409"/>
        <v>1.7</v>
      </c>
      <c r="I378" s="131">
        <f t="shared" si="410"/>
        <v>0</v>
      </c>
      <c r="J378" s="31">
        <f t="shared" si="411"/>
        <v>0</v>
      </c>
      <c r="K378" s="31">
        <f t="shared" si="412"/>
        <v>0</v>
      </c>
      <c r="L378" s="31">
        <f t="shared" si="413"/>
        <v>0</v>
      </c>
      <c r="M378" s="31">
        <f t="shared" si="414"/>
        <v>1.0488999999999999</v>
      </c>
      <c r="N378" s="31">
        <f t="shared" si="415"/>
        <v>0</v>
      </c>
      <c r="O378" s="31">
        <f t="shared" si="416"/>
        <v>0</v>
      </c>
      <c r="P378" s="31">
        <f t="shared" si="417"/>
        <v>0</v>
      </c>
      <c r="Q378" s="49">
        <f t="shared" si="418"/>
        <v>0</v>
      </c>
    </row>
    <row r="379" spans="4:17" s="16" customFormat="1" ht="13.2" x14ac:dyDescent="0.25">
      <c r="D379" s="235">
        <v>37</v>
      </c>
      <c r="E379" s="237">
        <v>2</v>
      </c>
      <c r="F379" s="238">
        <v>10</v>
      </c>
      <c r="G379" s="239">
        <v>6.1</v>
      </c>
      <c r="H379" s="239">
        <f t="shared" si="409"/>
        <v>12.2</v>
      </c>
      <c r="I379" s="131">
        <f t="shared" si="410"/>
        <v>0</v>
      </c>
      <c r="J379" s="31">
        <f t="shared" si="411"/>
        <v>0</v>
      </c>
      <c r="K379" s="31">
        <f t="shared" si="412"/>
        <v>0</v>
      </c>
      <c r="L379" s="31">
        <f t="shared" si="413"/>
        <v>0</v>
      </c>
      <c r="M379" s="31">
        <f t="shared" si="414"/>
        <v>7.5273999999999992</v>
      </c>
      <c r="N379" s="31">
        <f t="shared" si="415"/>
        <v>0</v>
      </c>
      <c r="O379" s="31">
        <f t="shared" si="416"/>
        <v>0</v>
      </c>
      <c r="P379" s="31">
        <f t="shared" si="417"/>
        <v>0</v>
      </c>
      <c r="Q379" s="49">
        <f t="shared" si="418"/>
        <v>0</v>
      </c>
    </row>
    <row r="380" spans="4:17" s="16" customFormat="1" ht="13.2" x14ac:dyDescent="0.25">
      <c r="D380" s="307"/>
      <c r="E380" s="26"/>
      <c r="F380" s="206"/>
      <c r="G380" s="207"/>
      <c r="H380" s="207"/>
      <c r="I380" s="51"/>
      <c r="J380" s="308"/>
      <c r="K380" s="308"/>
      <c r="L380" s="308"/>
      <c r="M380" s="308"/>
      <c r="N380" s="308"/>
      <c r="O380" s="308"/>
      <c r="P380" s="308"/>
      <c r="Q380" s="309"/>
    </row>
    <row r="381" spans="4:17" s="16" customFormat="1" ht="13.2" x14ac:dyDescent="0.25">
      <c r="D381" s="814" t="s">
        <v>1422</v>
      </c>
      <c r="E381" s="815"/>
      <c r="F381" s="815"/>
      <c r="G381" s="815"/>
      <c r="H381" s="815"/>
      <c r="I381" s="175">
        <f t="shared" ref="I381:Q381" si="421">SUM(I382:I384)</f>
        <v>0</v>
      </c>
      <c r="J381" s="175">
        <f t="shared" si="421"/>
        <v>4.0332599999999994</v>
      </c>
      <c r="K381" s="175">
        <f t="shared" si="421"/>
        <v>0</v>
      </c>
      <c r="L381" s="175">
        <f t="shared" si="421"/>
        <v>5.1587000000000005</v>
      </c>
      <c r="M381" s="175">
        <f t="shared" si="421"/>
        <v>7.6384600000000002</v>
      </c>
      <c r="N381" s="175">
        <f t="shared" si="421"/>
        <v>0</v>
      </c>
      <c r="O381" s="175">
        <f t="shared" si="421"/>
        <v>0</v>
      </c>
      <c r="P381" s="175">
        <f t="shared" si="421"/>
        <v>0</v>
      </c>
      <c r="Q381" s="175">
        <f t="shared" si="421"/>
        <v>0</v>
      </c>
    </row>
    <row r="382" spans="4:17" s="16" customFormat="1" ht="13.2" x14ac:dyDescent="0.25">
      <c r="D382" s="235">
        <v>1</v>
      </c>
      <c r="E382" s="237">
        <v>27</v>
      </c>
      <c r="F382" s="238">
        <v>5</v>
      </c>
      <c r="G382" s="239">
        <v>0.97</v>
      </c>
      <c r="H382" s="239">
        <f t="shared" ref="H382:H384" si="422">E382*G382</f>
        <v>26.189999999999998</v>
      </c>
      <c r="I382" s="131">
        <f t="shared" ref="I382:I384" si="423">IF($F382=4.2,H382*$B$23,0)</f>
        <v>0</v>
      </c>
      <c r="J382" s="31">
        <f t="shared" ref="J382:J384" si="424">IF($F382=5,$H382*$B$24,0)</f>
        <v>4.0332599999999994</v>
      </c>
      <c r="K382" s="31">
        <f t="shared" ref="K382:K384" si="425">IF($F382=6.3,$H382*$B$25,0)</f>
        <v>0</v>
      </c>
      <c r="L382" s="31">
        <f t="shared" ref="L382:L384" si="426">IF($F382=8,$H382*$B$26,0)</f>
        <v>0</v>
      </c>
      <c r="M382" s="31">
        <f t="shared" ref="M382:M384" si="427">IF($F382=10,$H382*$B$27,0)</f>
        <v>0</v>
      </c>
      <c r="N382" s="31">
        <f t="shared" ref="N382:N384" si="428">IF($F382=12.5,$H382*$B$28,0)</f>
        <v>0</v>
      </c>
      <c r="O382" s="31">
        <f t="shared" ref="O382:O384" si="429">IF($F382=16,$H382*$B$29,0)</f>
        <v>0</v>
      </c>
      <c r="P382" s="31">
        <f t="shared" ref="P382:P384" si="430">IF($F382=20,$H382*$B$30,0)</f>
        <v>0</v>
      </c>
      <c r="Q382" s="49">
        <f t="shared" ref="Q382:Q384" si="431">IF($F382=25,$H382*$B$31,0)</f>
        <v>0</v>
      </c>
    </row>
    <row r="383" spans="4:17" s="16" customFormat="1" ht="13.2" x14ac:dyDescent="0.25">
      <c r="D383" s="235">
        <v>5</v>
      </c>
      <c r="E383" s="237">
        <v>2</v>
      </c>
      <c r="F383" s="238">
        <v>8</v>
      </c>
      <c r="G383" s="239">
        <v>6.53</v>
      </c>
      <c r="H383" s="239">
        <f t="shared" si="422"/>
        <v>13.06</v>
      </c>
      <c r="I383" s="131">
        <f t="shared" si="423"/>
        <v>0</v>
      </c>
      <c r="J383" s="31">
        <f t="shared" si="424"/>
        <v>0</v>
      </c>
      <c r="K383" s="31">
        <f t="shared" si="425"/>
        <v>0</v>
      </c>
      <c r="L383" s="31">
        <f t="shared" si="426"/>
        <v>5.1587000000000005</v>
      </c>
      <c r="M383" s="31">
        <f t="shared" si="427"/>
        <v>0</v>
      </c>
      <c r="N383" s="31">
        <f t="shared" si="428"/>
        <v>0</v>
      </c>
      <c r="O383" s="31">
        <f t="shared" si="429"/>
        <v>0</v>
      </c>
      <c r="P383" s="31">
        <f t="shared" si="430"/>
        <v>0</v>
      </c>
      <c r="Q383" s="49">
        <f t="shared" si="431"/>
        <v>0</v>
      </c>
    </row>
    <row r="384" spans="4:17" s="16" customFormat="1" ht="13.2" x14ac:dyDescent="0.25">
      <c r="D384" s="235">
        <v>38</v>
      </c>
      <c r="E384" s="237">
        <v>2</v>
      </c>
      <c r="F384" s="238">
        <v>10</v>
      </c>
      <c r="G384" s="239">
        <v>6.19</v>
      </c>
      <c r="H384" s="239">
        <f t="shared" si="422"/>
        <v>12.38</v>
      </c>
      <c r="I384" s="131">
        <f t="shared" si="423"/>
        <v>0</v>
      </c>
      <c r="J384" s="31">
        <f t="shared" si="424"/>
        <v>0</v>
      </c>
      <c r="K384" s="31">
        <f t="shared" si="425"/>
        <v>0</v>
      </c>
      <c r="L384" s="31">
        <f t="shared" si="426"/>
        <v>0</v>
      </c>
      <c r="M384" s="31">
        <f t="shared" si="427"/>
        <v>7.6384600000000002</v>
      </c>
      <c r="N384" s="31">
        <f t="shared" si="428"/>
        <v>0</v>
      </c>
      <c r="O384" s="31">
        <f t="shared" si="429"/>
        <v>0</v>
      </c>
      <c r="P384" s="31">
        <f t="shared" si="430"/>
        <v>0</v>
      </c>
      <c r="Q384" s="49">
        <f t="shared" si="431"/>
        <v>0</v>
      </c>
    </row>
    <row r="385" spans="4:17" s="16" customFormat="1" ht="13.2" x14ac:dyDescent="0.25">
      <c r="D385" s="307"/>
      <c r="E385" s="26"/>
      <c r="F385" s="206"/>
      <c r="G385" s="207"/>
      <c r="H385" s="207"/>
      <c r="I385" s="51"/>
      <c r="J385" s="308"/>
      <c r="K385" s="308"/>
      <c r="L385" s="308"/>
      <c r="M385" s="308"/>
      <c r="N385" s="308"/>
      <c r="O385" s="308"/>
      <c r="P385" s="308"/>
      <c r="Q385" s="309"/>
    </row>
    <row r="386" spans="4:17" s="16" customFormat="1" ht="13.2" x14ac:dyDescent="0.25">
      <c r="D386" s="814" t="s">
        <v>1423</v>
      </c>
      <c r="E386" s="815"/>
      <c r="F386" s="815"/>
      <c r="G386" s="815"/>
      <c r="H386" s="815"/>
      <c r="I386" s="175">
        <f t="shared" ref="I386:Q386" si="432">SUM(I387:I388)</f>
        <v>0</v>
      </c>
      <c r="J386" s="175">
        <f t="shared" si="432"/>
        <v>2.3900799999999998</v>
      </c>
      <c r="K386" s="175">
        <f t="shared" si="432"/>
        <v>0</v>
      </c>
      <c r="L386" s="175">
        <f t="shared" si="432"/>
        <v>6.4622000000000002</v>
      </c>
      <c r="M386" s="175">
        <f t="shared" si="432"/>
        <v>0</v>
      </c>
      <c r="N386" s="175">
        <f t="shared" si="432"/>
        <v>0</v>
      </c>
      <c r="O386" s="175">
        <f t="shared" si="432"/>
        <v>0</v>
      </c>
      <c r="P386" s="175">
        <f t="shared" si="432"/>
        <v>0</v>
      </c>
      <c r="Q386" s="175">
        <f t="shared" si="432"/>
        <v>0</v>
      </c>
    </row>
    <row r="387" spans="4:17" s="16" customFormat="1" ht="13.2" x14ac:dyDescent="0.25">
      <c r="D387" s="235">
        <v>1</v>
      </c>
      <c r="E387" s="237">
        <v>16</v>
      </c>
      <c r="F387" s="238">
        <v>5</v>
      </c>
      <c r="G387" s="239">
        <v>0.97</v>
      </c>
      <c r="H387" s="239">
        <f t="shared" ref="H387:H388" si="433">E387*G387</f>
        <v>15.52</v>
      </c>
      <c r="I387" s="131">
        <f t="shared" ref="I387:I388" si="434">IF($F387=4.2,H387*$B$23,0)</f>
        <v>0</v>
      </c>
      <c r="J387" s="31">
        <f t="shared" ref="J387:J388" si="435">IF($F387=5,$H387*$B$24,0)</f>
        <v>2.3900799999999998</v>
      </c>
      <c r="K387" s="31">
        <f t="shared" ref="K387:K388" si="436">IF($F387=6.3,$H387*$B$25,0)</f>
        <v>0</v>
      </c>
      <c r="L387" s="31">
        <f t="shared" ref="L387:L388" si="437">IF($F387=8,$H387*$B$26,0)</f>
        <v>0</v>
      </c>
      <c r="M387" s="31">
        <f t="shared" ref="M387:M388" si="438">IF($F387=10,$H387*$B$27,0)</f>
        <v>0</v>
      </c>
      <c r="N387" s="31">
        <f t="shared" ref="N387:N388" si="439">IF($F387=12.5,$H387*$B$28,0)</f>
        <v>0</v>
      </c>
      <c r="O387" s="31">
        <f t="shared" ref="O387:O388" si="440">IF($F387=16,$H387*$B$29,0)</f>
        <v>0</v>
      </c>
      <c r="P387" s="31">
        <f t="shared" ref="P387:P388" si="441">IF($F387=20,$H387*$B$30,0)</f>
        <v>0</v>
      </c>
      <c r="Q387" s="49">
        <f t="shared" ref="Q387:Q388" si="442">IF($F387=25,$H387*$B$31,0)</f>
        <v>0</v>
      </c>
    </row>
    <row r="388" spans="4:17" s="16" customFormat="1" ht="13.2" x14ac:dyDescent="0.25">
      <c r="D388" s="235">
        <v>6</v>
      </c>
      <c r="E388" s="237">
        <v>4</v>
      </c>
      <c r="F388" s="238">
        <v>8</v>
      </c>
      <c r="G388" s="239">
        <v>4.09</v>
      </c>
      <c r="H388" s="239">
        <f t="shared" si="433"/>
        <v>16.36</v>
      </c>
      <c r="I388" s="131">
        <f t="shared" si="434"/>
        <v>0</v>
      </c>
      <c r="J388" s="31">
        <f t="shared" si="435"/>
        <v>0</v>
      </c>
      <c r="K388" s="31">
        <f t="shared" si="436"/>
        <v>0</v>
      </c>
      <c r="L388" s="31">
        <f t="shared" si="437"/>
        <v>6.4622000000000002</v>
      </c>
      <c r="M388" s="31">
        <f t="shared" si="438"/>
        <v>0</v>
      </c>
      <c r="N388" s="31">
        <f t="shared" si="439"/>
        <v>0</v>
      </c>
      <c r="O388" s="31">
        <f t="shared" si="440"/>
        <v>0</v>
      </c>
      <c r="P388" s="31">
        <f t="shared" si="441"/>
        <v>0</v>
      </c>
      <c r="Q388" s="49">
        <f t="shared" si="442"/>
        <v>0</v>
      </c>
    </row>
    <row r="389" spans="4:17" s="16" customFormat="1" ht="13.2" x14ac:dyDescent="0.25">
      <c r="D389" s="307"/>
      <c r="E389" s="26"/>
      <c r="F389" s="206"/>
      <c r="G389" s="207"/>
      <c r="H389" s="207"/>
      <c r="I389" s="51"/>
      <c r="J389" s="308"/>
      <c r="K389" s="308"/>
      <c r="L389" s="308"/>
      <c r="M389" s="308"/>
      <c r="N389" s="308"/>
      <c r="O389" s="308"/>
      <c r="P389" s="308"/>
      <c r="Q389" s="309"/>
    </row>
    <row r="390" spans="4:17" s="16" customFormat="1" ht="13.2" x14ac:dyDescent="0.25">
      <c r="D390" s="814" t="s">
        <v>1424</v>
      </c>
      <c r="E390" s="815"/>
      <c r="F390" s="815"/>
      <c r="G390" s="815"/>
      <c r="H390" s="815"/>
      <c r="I390" s="175">
        <f t="shared" ref="I390:Q390" si="443">SUM(I391:I392)</f>
        <v>0</v>
      </c>
      <c r="J390" s="175">
        <f t="shared" si="443"/>
        <v>4.9295399999999994</v>
      </c>
      <c r="K390" s="175">
        <f t="shared" si="443"/>
        <v>0</v>
      </c>
      <c r="L390" s="175">
        <f t="shared" si="443"/>
        <v>12.7822</v>
      </c>
      <c r="M390" s="175">
        <f t="shared" si="443"/>
        <v>0</v>
      </c>
      <c r="N390" s="175">
        <f t="shared" si="443"/>
        <v>0</v>
      </c>
      <c r="O390" s="175">
        <f t="shared" si="443"/>
        <v>0</v>
      </c>
      <c r="P390" s="175">
        <f t="shared" si="443"/>
        <v>0</v>
      </c>
      <c r="Q390" s="175">
        <f t="shared" si="443"/>
        <v>0</v>
      </c>
    </row>
    <row r="391" spans="4:17" s="16" customFormat="1" ht="13.2" x14ac:dyDescent="0.25">
      <c r="D391" s="235">
        <v>1</v>
      </c>
      <c r="E391" s="237">
        <v>33</v>
      </c>
      <c r="F391" s="238">
        <v>5</v>
      </c>
      <c r="G391" s="239">
        <v>0.97</v>
      </c>
      <c r="H391" s="239">
        <f t="shared" ref="H391:H392" si="444">E391*G391</f>
        <v>32.01</v>
      </c>
      <c r="I391" s="131">
        <f t="shared" ref="I391:I392" si="445">IF($F391=4.2,H391*$B$23,0)</f>
        <v>0</v>
      </c>
      <c r="J391" s="31">
        <f t="shared" ref="J391:J392" si="446">IF($F391=5,$H391*$B$24,0)</f>
        <v>4.9295399999999994</v>
      </c>
      <c r="K391" s="31">
        <f t="shared" ref="K391:K392" si="447">IF($F391=6.3,$H391*$B$25,0)</f>
        <v>0</v>
      </c>
      <c r="L391" s="31">
        <f t="shared" ref="L391:L392" si="448">IF($F391=8,$H391*$B$26,0)</f>
        <v>0</v>
      </c>
      <c r="M391" s="31">
        <f t="shared" ref="M391:M392" si="449">IF($F391=10,$H391*$B$27,0)</f>
        <v>0</v>
      </c>
      <c r="N391" s="31">
        <f t="shared" ref="N391:N392" si="450">IF($F391=12.5,$H391*$B$28,0)</f>
        <v>0</v>
      </c>
      <c r="O391" s="31">
        <f t="shared" ref="O391:O392" si="451">IF($F391=16,$H391*$B$29,0)</f>
        <v>0</v>
      </c>
      <c r="P391" s="31">
        <f t="shared" ref="P391:P392" si="452">IF($F391=20,$H391*$B$30,0)</f>
        <v>0</v>
      </c>
      <c r="Q391" s="49">
        <f t="shared" ref="Q391:Q392" si="453">IF($F391=25,$H391*$B$31,0)</f>
        <v>0</v>
      </c>
    </row>
    <row r="392" spans="4:17" s="16" customFormat="1" ht="13.2" x14ac:dyDescent="0.25">
      <c r="D392" s="235">
        <v>7</v>
      </c>
      <c r="E392" s="237">
        <v>4</v>
      </c>
      <c r="F392" s="238">
        <v>8</v>
      </c>
      <c r="G392" s="239">
        <v>8.09</v>
      </c>
      <c r="H392" s="239">
        <f t="shared" si="444"/>
        <v>32.36</v>
      </c>
      <c r="I392" s="131">
        <f t="shared" si="445"/>
        <v>0</v>
      </c>
      <c r="J392" s="31">
        <f t="shared" si="446"/>
        <v>0</v>
      </c>
      <c r="K392" s="31">
        <f t="shared" si="447"/>
        <v>0</v>
      </c>
      <c r="L392" s="31">
        <f t="shared" si="448"/>
        <v>12.7822</v>
      </c>
      <c r="M392" s="31">
        <f t="shared" si="449"/>
        <v>0</v>
      </c>
      <c r="N392" s="31">
        <f t="shared" si="450"/>
        <v>0</v>
      </c>
      <c r="O392" s="31">
        <f t="shared" si="451"/>
        <v>0</v>
      </c>
      <c r="P392" s="31">
        <f t="shared" si="452"/>
        <v>0</v>
      </c>
      <c r="Q392" s="49">
        <f t="shared" si="453"/>
        <v>0</v>
      </c>
    </row>
    <row r="393" spans="4:17" s="16" customFormat="1" ht="13.2" x14ac:dyDescent="0.25">
      <c r="D393" s="307"/>
      <c r="E393" s="26"/>
      <c r="F393" s="206"/>
      <c r="G393" s="207"/>
      <c r="H393" s="207"/>
      <c r="I393" s="51"/>
      <c r="J393" s="308"/>
      <c r="K393" s="308"/>
      <c r="L393" s="308"/>
      <c r="M393" s="308"/>
      <c r="N393" s="308"/>
      <c r="O393" s="308"/>
      <c r="P393" s="308"/>
      <c r="Q393" s="309"/>
    </row>
    <row r="394" spans="4:17" s="16" customFormat="1" ht="13.2" x14ac:dyDescent="0.25">
      <c r="D394" s="814" t="s">
        <v>1425</v>
      </c>
      <c r="E394" s="815"/>
      <c r="F394" s="815"/>
      <c r="G394" s="815"/>
      <c r="H394" s="815"/>
      <c r="I394" s="175">
        <f t="shared" ref="I394:Q394" si="454">SUM(I395:I398)</f>
        <v>0</v>
      </c>
      <c r="J394" s="175">
        <f t="shared" si="454"/>
        <v>4.1826400000000001</v>
      </c>
      <c r="K394" s="175">
        <f t="shared" si="454"/>
        <v>0</v>
      </c>
      <c r="L394" s="175">
        <f t="shared" si="454"/>
        <v>2.4490000000000003</v>
      </c>
      <c r="M394" s="175">
        <f t="shared" si="454"/>
        <v>11.821719999999999</v>
      </c>
      <c r="N394" s="175">
        <f t="shared" si="454"/>
        <v>0</v>
      </c>
      <c r="O394" s="175">
        <f t="shared" si="454"/>
        <v>0</v>
      </c>
      <c r="P394" s="175">
        <f t="shared" si="454"/>
        <v>0</v>
      </c>
      <c r="Q394" s="175">
        <f t="shared" si="454"/>
        <v>0</v>
      </c>
    </row>
    <row r="395" spans="4:17" s="16" customFormat="1" ht="13.2" x14ac:dyDescent="0.25">
      <c r="D395" s="235">
        <v>1</v>
      </c>
      <c r="E395" s="237">
        <v>28</v>
      </c>
      <c r="F395" s="238">
        <v>5</v>
      </c>
      <c r="G395" s="239">
        <v>0.97</v>
      </c>
      <c r="H395" s="239">
        <f t="shared" ref="H395:H398" si="455">E395*G395</f>
        <v>27.16</v>
      </c>
      <c r="I395" s="131">
        <f t="shared" ref="I395:I398" si="456">IF($F395=4.2,H395*$B$23,0)</f>
        <v>0</v>
      </c>
      <c r="J395" s="31">
        <f t="shared" ref="J395:J398" si="457">IF($F395=5,$H395*$B$24,0)</f>
        <v>4.1826400000000001</v>
      </c>
      <c r="K395" s="31">
        <f t="shared" ref="K395:K398" si="458">IF($F395=6.3,$H395*$B$25,0)</f>
        <v>0</v>
      </c>
      <c r="L395" s="31">
        <f t="shared" ref="L395:L398" si="459">IF($F395=8,$H395*$B$26,0)</f>
        <v>0</v>
      </c>
      <c r="M395" s="31">
        <f t="shared" ref="M395:M398" si="460">IF($F395=10,$H395*$B$27,0)</f>
        <v>0</v>
      </c>
      <c r="N395" s="31">
        <f t="shared" ref="N395:N398" si="461">IF($F395=12.5,$H395*$B$28,0)</f>
        <v>0</v>
      </c>
      <c r="O395" s="31">
        <f t="shared" ref="O395:O398" si="462">IF($F395=16,$H395*$B$29,0)</f>
        <v>0</v>
      </c>
      <c r="P395" s="31">
        <f t="shared" ref="P395:P398" si="463">IF($F395=20,$H395*$B$30,0)</f>
        <v>0</v>
      </c>
      <c r="Q395" s="49">
        <f t="shared" ref="Q395:Q398" si="464">IF($F395=25,$H395*$B$31,0)</f>
        <v>0</v>
      </c>
    </row>
    <row r="396" spans="4:17" s="16" customFormat="1" ht="13.2" x14ac:dyDescent="0.25">
      <c r="D396" s="235">
        <v>8</v>
      </c>
      <c r="E396" s="237">
        <v>2</v>
      </c>
      <c r="F396" s="238">
        <v>8</v>
      </c>
      <c r="G396" s="239">
        <v>3.1</v>
      </c>
      <c r="H396" s="239">
        <f t="shared" si="455"/>
        <v>6.2</v>
      </c>
      <c r="I396" s="131">
        <f t="shared" si="456"/>
        <v>0</v>
      </c>
      <c r="J396" s="31">
        <f t="shared" si="457"/>
        <v>0</v>
      </c>
      <c r="K396" s="31">
        <f t="shared" si="458"/>
        <v>0</v>
      </c>
      <c r="L396" s="31">
        <f t="shared" si="459"/>
        <v>2.4490000000000003</v>
      </c>
      <c r="M396" s="31">
        <f t="shared" si="460"/>
        <v>0</v>
      </c>
      <c r="N396" s="31">
        <f t="shared" si="461"/>
        <v>0</v>
      </c>
      <c r="O396" s="31">
        <f t="shared" si="462"/>
        <v>0</v>
      </c>
      <c r="P396" s="31">
        <f t="shared" si="463"/>
        <v>0</v>
      </c>
      <c r="Q396" s="49">
        <f t="shared" si="464"/>
        <v>0</v>
      </c>
    </row>
    <row r="397" spans="4:17" s="16" customFormat="1" ht="13.2" x14ac:dyDescent="0.25">
      <c r="D397" s="235">
        <v>38</v>
      </c>
      <c r="E397" s="237">
        <v>2</v>
      </c>
      <c r="F397" s="238">
        <v>10</v>
      </c>
      <c r="G397" s="239">
        <v>6.19</v>
      </c>
      <c r="H397" s="239">
        <f t="shared" si="455"/>
        <v>12.38</v>
      </c>
      <c r="I397" s="131">
        <f t="shared" si="456"/>
        <v>0</v>
      </c>
      <c r="J397" s="31">
        <f t="shared" si="457"/>
        <v>0</v>
      </c>
      <c r="K397" s="31">
        <f t="shared" si="458"/>
        <v>0</v>
      </c>
      <c r="L397" s="31">
        <f t="shared" si="459"/>
        <v>0</v>
      </c>
      <c r="M397" s="31">
        <f t="shared" si="460"/>
        <v>7.6384600000000002</v>
      </c>
      <c r="N397" s="31">
        <f t="shared" si="461"/>
        <v>0</v>
      </c>
      <c r="O397" s="31">
        <f t="shared" si="462"/>
        <v>0</v>
      </c>
      <c r="P397" s="31">
        <f t="shared" si="463"/>
        <v>0</v>
      </c>
      <c r="Q397" s="49">
        <f t="shared" si="464"/>
        <v>0</v>
      </c>
    </row>
    <row r="398" spans="4:17" s="16" customFormat="1" ht="13.2" x14ac:dyDescent="0.25">
      <c r="D398" s="235">
        <v>39</v>
      </c>
      <c r="E398" s="237">
        <v>2</v>
      </c>
      <c r="F398" s="238">
        <v>10</v>
      </c>
      <c r="G398" s="239">
        <v>3.39</v>
      </c>
      <c r="H398" s="239">
        <f t="shared" si="455"/>
        <v>6.78</v>
      </c>
      <c r="I398" s="131">
        <f t="shared" si="456"/>
        <v>0</v>
      </c>
      <c r="J398" s="31">
        <f t="shared" si="457"/>
        <v>0</v>
      </c>
      <c r="K398" s="31">
        <f t="shared" si="458"/>
        <v>0</v>
      </c>
      <c r="L398" s="31">
        <f t="shared" si="459"/>
        <v>0</v>
      </c>
      <c r="M398" s="31">
        <f t="shared" si="460"/>
        <v>4.1832599999999998</v>
      </c>
      <c r="N398" s="31">
        <f t="shared" si="461"/>
        <v>0</v>
      </c>
      <c r="O398" s="31">
        <f t="shared" si="462"/>
        <v>0</v>
      </c>
      <c r="P398" s="31">
        <f t="shared" si="463"/>
        <v>0</v>
      </c>
      <c r="Q398" s="49">
        <f t="shared" si="464"/>
        <v>0</v>
      </c>
    </row>
    <row r="399" spans="4:17" s="16" customFormat="1" ht="13.2" x14ac:dyDescent="0.25">
      <c r="D399" s="307"/>
      <c r="E399" s="26"/>
      <c r="F399" s="206"/>
      <c r="G399" s="207"/>
      <c r="H399" s="207"/>
      <c r="I399" s="51"/>
      <c r="J399" s="308"/>
      <c r="K399" s="308"/>
      <c r="L399" s="308"/>
      <c r="M399" s="308"/>
      <c r="N399" s="308"/>
      <c r="O399" s="308"/>
      <c r="P399" s="308"/>
      <c r="Q399" s="309"/>
    </row>
    <row r="400" spans="4:17" s="16" customFormat="1" ht="13.2" x14ac:dyDescent="0.25">
      <c r="D400" s="814" t="s">
        <v>1426</v>
      </c>
      <c r="E400" s="815"/>
      <c r="F400" s="815"/>
      <c r="G400" s="815"/>
      <c r="H400" s="815"/>
      <c r="I400" s="175">
        <f t="shared" ref="I400:Q400" si="465">SUM(I401:I403)</f>
        <v>0</v>
      </c>
      <c r="J400" s="175">
        <f t="shared" si="465"/>
        <v>2.8382199999999997</v>
      </c>
      <c r="K400" s="175">
        <f t="shared" si="465"/>
        <v>0</v>
      </c>
      <c r="L400" s="175">
        <f t="shared" si="465"/>
        <v>3.2548000000000004</v>
      </c>
      <c r="M400" s="175">
        <f t="shared" si="465"/>
        <v>5.2074799999999994</v>
      </c>
      <c r="N400" s="175">
        <f t="shared" si="465"/>
        <v>0</v>
      </c>
      <c r="O400" s="175">
        <f t="shared" si="465"/>
        <v>0</v>
      </c>
      <c r="P400" s="175">
        <f t="shared" si="465"/>
        <v>0</v>
      </c>
      <c r="Q400" s="175">
        <f t="shared" si="465"/>
        <v>0</v>
      </c>
    </row>
    <row r="401" spans="4:17" s="16" customFormat="1" ht="13.2" x14ac:dyDescent="0.25">
      <c r="D401" s="235" t="s">
        <v>1427</v>
      </c>
      <c r="E401" s="237">
        <v>19</v>
      </c>
      <c r="F401" s="238">
        <v>5</v>
      </c>
      <c r="G401" s="239">
        <v>0.97</v>
      </c>
      <c r="H401" s="239">
        <f t="shared" ref="H401:H403" si="466">E401*G401</f>
        <v>18.43</v>
      </c>
      <c r="I401" s="131">
        <f t="shared" ref="I401:I403" si="467">IF($F401=4.2,H401*$B$23,0)</f>
        <v>0</v>
      </c>
      <c r="J401" s="31">
        <f t="shared" ref="J401:J403" si="468">IF($F401=5,$H401*$B$24,0)</f>
        <v>2.8382199999999997</v>
      </c>
      <c r="K401" s="31">
        <f t="shared" ref="K401:K403" si="469">IF($F401=6.3,$H401*$B$25,0)</f>
        <v>0</v>
      </c>
      <c r="L401" s="31">
        <f t="shared" ref="L401:L403" si="470">IF($F401=8,$H401*$B$26,0)</f>
        <v>0</v>
      </c>
      <c r="M401" s="31">
        <f t="shared" ref="M401:M403" si="471">IF($F401=10,$H401*$B$27,0)</f>
        <v>0</v>
      </c>
      <c r="N401" s="31">
        <f t="shared" ref="N401:N403" si="472">IF($F401=12.5,$H401*$B$28,0)</f>
        <v>0</v>
      </c>
      <c r="O401" s="31">
        <f t="shared" ref="O401:O403" si="473">IF($F401=16,$H401*$B$29,0)</f>
        <v>0</v>
      </c>
      <c r="P401" s="31">
        <f t="shared" ref="P401:P403" si="474">IF($F401=20,$H401*$B$30,0)</f>
        <v>0</v>
      </c>
      <c r="Q401" s="49">
        <f t="shared" ref="Q401:Q403" si="475">IF($F401=25,$H401*$B$31,0)</f>
        <v>0</v>
      </c>
    </row>
    <row r="402" spans="4:17" s="16" customFormat="1" ht="13.2" x14ac:dyDescent="0.25">
      <c r="D402" s="235">
        <v>9</v>
      </c>
      <c r="E402" s="237">
        <v>2</v>
      </c>
      <c r="F402" s="238">
        <v>8</v>
      </c>
      <c r="G402" s="239">
        <v>4.12</v>
      </c>
      <c r="H402" s="239">
        <f t="shared" si="466"/>
        <v>8.24</v>
      </c>
      <c r="I402" s="131">
        <f t="shared" si="467"/>
        <v>0</v>
      </c>
      <c r="J402" s="31">
        <f t="shared" si="468"/>
        <v>0</v>
      </c>
      <c r="K402" s="31">
        <f t="shared" si="469"/>
        <v>0</v>
      </c>
      <c r="L402" s="31">
        <f t="shared" si="470"/>
        <v>3.2548000000000004</v>
      </c>
      <c r="M402" s="31">
        <f t="shared" si="471"/>
        <v>0</v>
      </c>
      <c r="N402" s="31">
        <f t="shared" si="472"/>
        <v>0</v>
      </c>
      <c r="O402" s="31">
        <f t="shared" si="473"/>
        <v>0</v>
      </c>
      <c r="P402" s="31">
        <f t="shared" si="474"/>
        <v>0</v>
      </c>
      <c r="Q402" s="49">
        <f t="shared" si="475"/>
        <v>0</v>
      </c>
    </row>
    <row r="403" spans="4:17" s="16" customFormat="1" ht="13.2" x14ac:dyDescent="0.25">
      <c r="D403" s="235">
        <v>40</v>
      </c>
      <c r="E403" s="237">
        <v>2</v>
      </c>
      <c r="F403" s="238">
        <v>10</v>
      </c>
      <c r="G403" s="239">
        <v>4.22</v>
      </c>
      <c r="H403" s="239">
        <f t="shared" si="466"/>
        <v>8.44</v>
      </c>
      <c r="I403" s="131">
        <f t="shared" si="467"/>
        <v>0</v>
      </c>
      <c r="J403" s="31">
        <f t="shared" si="468"/>
        <v>0</v>
      </c>
      <c r="K403" s="31">
        <f t="shared" si="469"/>
        <v>0</v>
      </c>
      <c r="L403" s="31">
        <f t="shared" si="470"/>
        <v>0</v>
      </c>
      <c r="M403" s="31">
        <f t="shared" si="471"/>
        <v>5.2074799999999994</v>
      </c>
      <c r="N403" s="31">
        <f t="shared" si="472"/>
        <v>0</v>
      </c>
      <c r="O403" s="31">
        <f t="shared" si="473"/>
        <v>0</v>
      </c>
      <c r="P403" s="31">
        <f t="shared" si="474"/>
        <v>0</v>
      </c>
      <c r="Q403" s="49">
        <f t="shared" si="475"/>
        <v>0</v>
      </c>
    </row>
    <row r="404" spans="4:17" s="16" customFormat="1" ht="13.2" x14ac:dyDescent="0.25">
      <c r="D404" s="307"/>
      <c r="E404" s="26"/>
      <c r="F404" s="206"/>
      <c r="G404" s="207"/>
      <c r="H404" s="207"/>
      <c r="I404" s="51"/>
      <c r="J404" s="308"/>
      <c r="K404" s="308"/>
      <c r="L404" s="308"/>
      <c r="M404" s="308"/>
      <c r="N404" s="308"/>
      <c r="O404" s="308"/>
      <c r="P404" s="308"/>
      <c r="Q404" s="309"/>
    </row>
    <row r="405" spans="4:17" s="16" customFormat="1" ht="13.2" x14ac:dyDescent="0.25">
      <c r="D405" s="814" t="s">
        <v>1428</v>
      </c>
      <c r="E405" s="815"/>
      <c r="F405" s="815"/>
      <c r="G405" s="815"/>
      <c r="H405" s="815"/>
      <c r="I405" s="175">
        <f t="shared" ref="I405:Q405" si="476">SUM(I406:I413)</f>
        <v>0</v>
      </c>
      <c r="J405" s="175">
        <f t="shared" si="476"/>
        <v>5.0789199999999992</v>
      </c>
      <c r="K405" s="175">
        <f t="shared" si="476"/>
        <v>0</v>
      </c>
      <c r="L405" s="175">
        <f t="shared" si="476"/>
        <v>15.227250000000002</v>
      </c>
      <c r="M405" s="175">
        <f t="shared" si="476"/>
        <v>6.4970100000000004</v>
      </c>
      <c r="N405" s="175">
        <f t="shared" si="476"/>
        <v>0</v>
      </c>
      <c r="O405" s="175">
        <f t="shared" si="476"/>
        <v>0</v>
      </c>
      <c r="P405" s="175">
        <f t="shared" si="476"/>
        <v>0</v>
      </c>
      <c r="Q405" s="175">
        <f t="shared" si="476"/>
        <v>0</v>
      </c>
    </row>
    <row r="406" spans="4:17" s="16" customFormat="1" ht="13.2" x14ac:dyDescent="0.25">
      <c r="D406" s="235">
        <v>1</v>
      </c>
      <c r="E406" s="237">
        <v>34</v>
      </c>
      <c r="F406" s="238">
        <v>5</v>
      </c>
      <c r="G406" s="239">
        <v>0.97</v>
      </c>
      <c r="H406" s="239">
        <f t="shared" ref="H406:H413" si="477">E406*G406</f>
        <v>32.979999999999997</v>
      </c>
      <c r="I406" s="131">
        <f t="shared" ref="I406:I413" si="478">IF($F406=4.2,H406*$B$23,0)</f>
        <v>0</v>
      </c>
      <c r="J406" s="31">
        <f t="shared" ref="J406:J413" si="479">IF($F406=5,$H406*$B$24,0)</f>
        <v>5.0789199999999992</v>
      </c>
      <c r="K406" s="31">
        <f t="shared" ref="K406:K413" si="480">IF($F406=6.3,$H406*$B$25,0)</f>
        <v>0</v>
      </c>
      <c r="L406" s="31">
        <f t="shared" ref="L406:L413" si="481">IF($F406=8,$H406*$B$26,0)</f>
        <v>0</v>
      </c>
      <c r="M406" s="31">
        <f t="shared" ref="M406:M413" si="482">IF($F406=10,$H406*$B$27,0)</f>
        <v>0</v>
      </c>
      <c r="N406" s="31">
        <f t="shared" ref="N406:N413" si="483">IF($F406=12.5,$H406*$B$28,0)</f>
        <v>0</v>
      </c>
      <c r="O406" s="31">
        <f t="shared" ref="O406:O413" si="484">IF($F406=16,$H406*$B$29,0)</f>
        <v>0</v>
      </c>
      <c r="P406" s="31">
        <f t="shared" ref="P406:P413" si="485">IF($F406=20,$H406*$B$30,0)</f>
        <v>0</v>
      </c>
      <c r="Q406" s="49">
        <f t="shared" ref="Q406:Q413" si="486">IF($F406=25,$H406*$B$31,0)</f>
        <v>0</v>
      </c>
    </row>
    <row r="407" spans="4:17" s="16" customFormat="1" ht="13.2" x14ac:dyDescent="0.25">
      <c r="D407" s="235">
        <v>10</v>
      </c>
      <c r="E407" s="237">
        <v>2</v>
      </c>
      <c r="F407" s="238">
        <v>8</v>
      </c>
      <c r="G407" s="239">
        <v>2.97</v>
      </c>
      <c r="H407" s="239">
        <f t="shared" ref="H407:H409" si="487">E407*G407</f>
        <v>5.94</v>
      </c>
      <c r="I407" s="131">
        <f t="shared" ref="I407:I409" si="488">IF($F407=4.2,H407*$B$23,0)</f>
        <v>0</v>
      </c>
      <c r="J407" s="31">
        <f t="shared" si="479"/>
        <v>0</v>
      </c>
      <c r="K407" s="31">
        <f t="shared" si="480"/>
        <v>0</v>
      </c>
      <c r="L407" s="31">
        <f t="shared" si="481"/>
        <v>2.3463000000000003</v>
      </c>
      <c r="M407" s="31">
        <f t="shared" si="482"/>
        <v>0</v>
      </c>
      <c r="N407" s="31">
        <f t="shared" si="483"/>
        <v>0</v>
      </c>
      <c r="O407" s="31">
        <f t="shared" si="484"/>
        <v>0</v>
      </c>
      <c r="P407" s="31">
        <f t="shared" si="485"/>
        <v>0</v>
      </c>
      <c r="Q407" s="49">
        <f t="shared" si="486"/>
        <v>0</v>
      </c>
    </row>
    <row r="408" spans="4:17" s="16" customFormat="1" ht="13.2" x14ac:dyDescent="0.25">
      <c r="D408" s="235">
        <v>11</v>
      </c>
      <c r="E408" s="237">
        <v>2</v>
      </c>
      <c r="F408" s="238">
        <v>8</v>
      </c>
      <c r="G408" s="239">
        <v>2.77</v>
      </c>
      <c r="H408" s="239">
        <f t="shared" si="487"/>
        <v>5.54</v>
      </c>
      <c r="I408" s="131">
        <f t="shared" si="488"/>
        <v>0</v>
      </c>
      <c r="J408" s="31">
        <f t="shared" si="479"/>
        <v>0</v>
      </c>
      <c r="K408" s="31">
        <f t="shared" si="480"/>
        <v>0</v>
      </c>
      <c r="L408" s="31">
        <f t="shared" si="481"/>
        <v>2.1882999999999999</v>
      </c>
      <c r="M408" s="31">
        <f t="shared" si="482"/>
        <v>0</v>
      </c>
      <c r="N408" s="31">
        <f t="shared" si="483"/>
        <v>0</v>
      </c>
      <c r="O408" s="31">
        <f t="shared" si="484"/>
        <v>0</v>
      </c>
      <c r="P408" s="31">
        <f t="shared" si="485"/>
        <v>0</v>
      </c>
      <c r="Q408" s="49">
        <f t="shared" si="486"/>
        <v>0</v>
      </c>
    </row>
    <row r="409" spans="4:17" s="16" customFormat="1" ht="13.2" x14ac:dyDescent="0.25">
      <c r="D409" s="235">
        <v>12</v>
      </c>
      <c r="E409" s="237">
        <v>1</v>
      </c>
      <c r="F409" s="238">
        <v>8</v>
      </c>
      <c r="G409" s="239">
        <v>2.15</v>
      </c>
      <c r="H409" s="239">
        <f t="shared" si="487"/>
        <v>2.15</v>
      </c>
      <c r="I409" s="131">
        <f t="shared" si="488"/>
        <v>0</v>
      </c>
      <c r="J409" s="31">
        <f t="shared" si="479"/>
        <v>0</v>
      </c>
      <c r="K409" s="31">
        <f t="shared" si="480"/>
        <v>0</v>
      </c>
      <c r="L409" s="31">
        <f t="shared" si="481"/>
        <v>0.84924999999999995</v>
      </c>
      <c r="M409" s="31">
        <f t="shared" si="482"/>
        <v>0</v>
      </c>
      <c r="N409" s="31">
        <f t="shared" si="483"/>
        <v>0</v>
      </c>
      <c r="O409" s="31">
        <f t="shared" si="484"/>
        <v>0</v>
      </c>
      <c r="P409" s="31">
        <f t="shared" si="485"/>
        <v>0</v>
      </c>
      <c r="Q409" s="49">
        <f t="shared" si="486"/>
        <v>0</v>
      </c>
    </row>
    <row r="410" spans="4:17" s="16" customFormat="1" ht="13.2" x14ac:dyDescent="0.25">
      <c r="D410" s="235">
        <v>13</v>
      </c>
      <c r="E410" s="237">
        <v>2</v>
      </c>
      <c r="F410" s="238">
        <v>8</v>
      </c>
      <c r="G410" s="239">
        <v>4.24</v>
      </c>
      <c r="H410" s="239">
        <f t="shared" si="477"/>
        <v>8.48</v>
      </c>
      <c r="I410" s="131">
        <f t="shared" si="478"/>
        <v>0</v>
      </c>
      <c r="J410" s="31">
        <f t="shared" si="479"/>
        <v>0</v>
      </c>
      <c r="K410" s="31">
        <f t="shared" si="480"/>
        <v>0</v>
      </c>
      <c r="L410" s="31">
        <f t="shared" si="481"/>
        <v>3.3496000000000001</v>
      </c>
      <c r="M410" s="31">
        <f t="shared" si="482"/>
        <v>0</v>
      </c>
      <c r="N410" s="31">
        <f t="shared" si="483"/>
        <v>0</v>
      </c>
      <c r="O410" s="31">
        <f t="shared" si="484"/>
        <v>0</v>
      </c>
      <c r="P410" s="31">
        <f t="shared" si="485"/>
        <v>0</v>
      </c>
      <c r="Q410" s="49">
        <f t="shared" si="486"/>
        <v>0</v>
      </c>
    </row>
    <row r="411" spans="4:17" s="16" customFormat="1" ht="13.2" x14ac:dyDescent="0.25">
      <c r="D411" s="235">
        <v>14</v>
      </c>
      <c r="E411" s="237">
        <v>2</v>
      </c>
      <c r="F411" s="238">
        <v>8</v>
      </c>
      <c r="G411" s="239">
        <v>8.2200000000000006</v>
      </c>
      <c r="H411" s="239">
        <f t="shared" si="477"/>
        <v>16.440000000000001</v>
      </c>
      <c r="I411" s="131">
        <f t="shared" si="478"/>
        <v>0</v>
      </c>
      <c r="J411" s="31">
        <f t="shared" si="479"/>
        <v>0</v>
      </c>
      <c r="K411" s="31">
        <f t="shared" si="480"/>
        <v>0</v>
      </c>
      <c r="L411" s="31">
        <f t="shared" si="481"/>
        <v>6.4938000000000011</v>
      </c>
      <c r="M411" s="31">
        <f t="shared" si="482"/>
        <v>0</v>
      </c>
      <c r="N411" s="31">
        <f t="shared" si="483"/>
        <v>0</v>
      </c>
      <c r="O411" s="31">
        <f t="shared" si="484"/>
        <v>0</v>
      </c>
      <c r="P411" s="31">
        <f t="shared" si="485"/>
        <v>0</v>
      </c>
      <c r="Q411" s="49">
        <f t="shared" si="486"/>
        <v>0</v>
      </c>
    </row>
    <row r="412" spans="4:17" s="16" customFormat="1" ht="13.2" x14ac:dyDescent="0.25">
      <c r="D412" s="235">
        <v>41</v>
      </c>
      <c r="E412" s="237">
        <v>1</v>
      </c>
      <c r="F412" s="238">
        <v>10</v>
      </c>
      <c r="G412" s="239">
        <v>2.0299999999999998</v>
      </c>
      <c r="H412" s="239">
        <f t="shared" si="477"/>
        <v>2.0299999999999998</v>
      </c>
      <c r="I412" s="131">
        <f t="shared" si="478"/>
        <v>0</v>
      </c>
      <c r="J412" s="31">
        <f t="shared" si="479"/>
        <v>0</v>
      </c>
      <c r="K412" s="31">
        <f t="shared" si="480"/>
        <v>0</v>
      </c>
      <c r="L412" s="31">
        <f t="shared" si="481"/>
        <v>0</v>
      </c>
      <c r="M412" s="31">
        <f t="shared" si="482"/>
        <v>1.2525099999999998</v>
      </c>
      <c r="N412" s="31">
        <f t="shared" si="483"/>
        <v>0</v>
      </c>
      <c r="O412" s="31">
        <f t="shared" si="484"/>
        <v>0</v>
      </c>
      <c r="P412" s="31">
        <f t="shared" si="485"/>
        <v>0</v>
      </c>
      <c r="Q412" s="49">
        <f t="shared" si="486"/>
        <v>0</v>
      </c>
    </row>
    <row r="413" spans="4:17" s="16" customFormat="1" ht="13.2" x14ac:dyDescent="0.25">
      <c r="D413" s="235">
        <v>42</v>
      </c>
      <c r="E413" s="237">
        <v>2</v>
      </c>
      <c r="F413" s="238">
        <v>10</v>
      </c>
      <c r="G413" s="239">
        <v>4.25</v>
      </c>
      <c r="H413" s="239">
        <f t="shared" si="477"/>
        <v>8.5</v>
      </c>
      <c r="I413" s="131">
        <f t="shared" si="478"/>
        <v>0</v>
      </c>
      <c r="J413" s="31">
        <f t="shared" si="479"/>
        <v>0</v>
      </c>
      <c r="K413" s="31">
        <f t="shared" si="480"/>
        <v>0</v>
      </c>
      <c r="L413" s="31">
        <f t="shared" si="481"/>
        <v>0</v>
      </c>
      <c r="M413" s="31">
        <f t="shared" si="482"/>
        <v>5.2445000000000004</v>
      </c>
      <c r="N413" s="31">
        <f t="shared" si="483"/>
        <v>0</v>
      </c>
      <c r="O413" s="31">
        <f t="shared" si="484"/>
        <v>0</v>
      </c>
      <c r="P413" s="31">
        <f t="shared" si="485"/>
        <v>0</v>
      </c>
      <c r="Q413" s="49">
        <f t="shared" si="486"/>
        <v>0</v>
      </c>
    </row>
    <row r="414" spans="4:17" s="16" customFormat="1" ht="13.2" x14ac:dyDescent="0.25">
      <c r="D414" s="307"/>
      <c r="E414" s="26"/>
      <c r="F414" s="206"/>
      <c r="G414" s="207"/>
      <c r="H414" s="207"/>
      <c r="I414" s="51"/>
      <c r="J414" s="308"/>
      <c r="K414" s="308"/>
      <c r="L414" s="308"/>
      <c r="M414" s="308"/>
      <c r="N414" s="308"/>
      <c r="O414" s="308"/>
      <c r="P414" s="308"/>
      <c r="Q414" s="309"/>
    </row>
    <row r="415" spans="4:17" s="16" customFormat="1" ht="13.2" x14ac:dyDescent="0.25">
      <c r="D415" s="814" t="s">
        <v>1429</v>
      </c>
      <c r="E415" s="815"/>
      <c r="F415" s="815"/>
      <c r="G415" s="815"/>
      <c r="H415" s="815"/>
      <c r="I415" s="175">
        <f t="shared" ref="I415:Q415" si="489">SUM(I416:I422)</f>
        <v>0</v>
      </c>
      <c r="J415" s="175">
        <f t="shared" si="489"/>
        <v>5.2282999999999991</v>
      </c>
      <c r="K415" s="175">
        <f t="shared" si="489"/>
        <v>0</v>
      </c>
      <c r="L415" s="175">
        <f t="shared" si="489"/>
        <v>11.3681</v>
      </c>
      <c r="M415" s="175">
        <f t="shared" si="489"/>
        <v>13.043380000000001</v>
      </c>
      <c r="N415" s="175">
        <f t="shared" si="489"/>
        <v>0</v>
      </c>
      <c r="O415" s="175">
        <f t="shared" si="489"/>
        <v>0</v>
      </c>
      <c r="P415" s="175">
        <f t="shared" si="489"/>
        <v>0</v>
      </c>
      <c r="Q415" s="175">
        <f t="shared" si="489"/>
        <v>0</v>
      </c>
    </row>
    <row r="416" spans="4:17" s="16" customFormat="1" ht="13.2" x14ac:dyDescent="0.25">
      <c r="D416" s="235">
        <v>1</v>
      </c>
      <c r="E416" s="237">
        <v>35</v>
      </c>
      <c r="F416" s="238">
        <v>5</v>
      </c>
      <c r="G416" s="239">
        <v>0.97</v>
      </c>
      <c r="H416" s="239">
        <f t="shared" ref="H416:H422" si="490">E416*G416</f>
        <v>33.949999999999996</v>
      </c>
      <c r="I416" s="131">
        <f t="shared" ref="I416:I422" si="491">IF($F416=4.2,H416*$B$23,0)</f>
        <v>0</v>
      </c>
      <c r="J416" s="31">
        <f t="shared" ref="J416:J422" si="492">IF($F416=5,$H416*$B$24,0)</f>
        <v>5.2282999999999991</v>
      </c>
      <c r="K416" s="31">
        <f t="shared" ref="K416:K422" si="493">IF($F416=6.3,$H416*$B$25,0)</f>
        <v>0</v>
      </c>
      <c r="L416" s="31">
        <f t="shared" ref="L416:L422" si="494">IF($F416=8,$H416*$B$26,0)</f>
        <v>0</v>
      </c>
      <c r="M416" s="31">
        <f t="shared" ref="M416:M422" si="495">IF($F416=10,$H416*$B$27,0)</f>
        <v>0</v>
      </c>
      <c r="N416" s="31">
        <f t="shared" ref="N416:N422" si="496">IF($F416=12.5,$H416*$B$28,0)</f>
        <v>0</v>
      </c>
      <c r="O416" s="31">
        <f t="shared" ref="O416:O422" si="497">IF($F416=16,$H416*$B$29,0)</f>
        <v>0</v>
      </c>
      <c r="P416" s="31">
        <f t="shared" ref="P416:P422" si="498">IF($F416=20,$H416*$B$30,0)</f>
        <v>0</v>
      </c>
      <c r="Q416" s="49">
        <f t="shared" ref="Q416:Q422" si="499">IF($F416=25,$H416*$B$31,0)</f>
        <v>0</v>
      </c>
    </row>
    <row r="417" spans="4:17" s="16" customFormat="1" ht="13.2" x14ac:dyDescent="0.25">
      <c r="D417" s="235">
        <v>15</v>
      </c>
      <c r="E417" s="237">
        <v>2</v>
      </c>
      <c r="F417" s="238">
        <v>8</v>
      </c>
      <c r="G417" s="239">
        <v>2.89</v>
      </c>
      <c r="H417" s="239">
        <f t="shared" ref="H417:H419" si="500">E417*G417</f>
        <v>5.78</v>
      </c>
      <c r="I417" s="131">
        <f t="shared" ref="I417:I419" si="501">IF($F417=4.2,H417*$B$23,0)</f>
        <v>0</v>
      </c>
      <c r="J417" s="31">
        <f t="shared" si="492"/>
        <v>0</v>
      </c>
      <c r="K417" s="31">
        <f t="shared" si="493"/>
        <v>0</v>
      </c>
      <c r="L417" s="31">
        <f t="shared" si="494"/>
        <v>2.2831000000000001</v>
      </c>
      <c r="M417" s="31">
        <f t="shared" si="495"/>
        <v>0</v>
      </c>
      <c r="N417" s="31">
        <f t="shared" si="496"/>
        <v>0</v>
      </c>
      <c r="O417" s="31">
        <f t="shared" si="497"/>
        <v>0</v>
      </c>
      <c r="P417" s="31">
        <f t="shared" si="498"/>
        <v>0</v>
      </c>
      <c r="Q417" s="49">
        <f t="shared" si="499"/>
        <v>0</v>
      </c>
    </row>
    <row r="418" spans="4:17" s="16" customFormat="1" ht="13.2" x14ac:dyDescent="0.25">
      <c r="D418" s="235">
        <v>16</v>
      </c>
      <c r="E418" s="237">
        <v>2</v>
      </c>
      <c r="F418" s="238">
        <v>8</v>
      </c>
      <c r="G418" s="239">
        <v>3</v>
      </c>
      <c r="H418" s="239">
        <f t="shared" si="500"/>
        <v>6</v>
      </c>
      <c r="I418" s="131">
        <f t="shared" si="501"/>
        <v>0</v>
      </c>
      <c r="J418" s="31">
        <f t="shared" si="492"/>
        <v>0</v>
      </c>
      <c r="K418" s="31">
        <f t="shared" si="493"/>
        <v>0</v>
      </c>
      <c r="L418" s="31">
        <f t="shared" si="494"/>
        <v>2.37</v>
      </c>
      <c r="M418" s="31">
        <f t="shared" si="495"/>
        <v>0</v>
      </c>
      <c r="N418" s="31">
        <f t="shared" si="496"/>
        <v>0</v>
      </c>
      <c r="O418" s="31">
        <f t="shared" si="497"/>
        <v>0</v>
      </c>
      <c r="P418" s="31">
        <f t="shared" si="498"/>
        <v>0</v>
      </c>
      <c r="Q418" s="49">
        <f t="shared" si="499"/>
        <v>0</v>
      </c>
    </row>
    <row r="419" spans="4:17" s="16" customFormat="1" ht="13.2" x14ac:dyDescent="0.25">
      <c r="D419" s="235">
        <v>17</v>
      </c>
      <c r="E419" s="237">
        <v>2</v>
      </c>
      <c r="F419" s="238">
        <v>8</v>
      </c>
      <c r="G419" s="239">
        <v>8.5</v>
      </c>
      <c r="H419" s="239">
        <f t="shared" si="500"/>
        <v>17</v>
      </c>
      <c r="I419" s="131">
        <f t="shared" si="501"/>
        <v>0</v>
      </c>
      <c r="J419" s="31">
        <f t="shared" si="492"/>
        <v>0</v>
      </c>
      <c r="K419" s="31">
        <f t="shared" si="493"/>
        <v>0</v>
      </c>
      <c r="L419" s="31">
        <f t="shared" si="494"/>
        <v>6.7149999999999999</v>
      </c>
      <c r="M419" s="31">
        <f t="shared" si="495"/>
        <v>0</v>
      </c>
      <c r="N419" s="31">
        <f t="shared" si="496"/>
        <v>0</v>
      </c>
      <c r="O419" s="31">
        <f t="shared" si="497"/>
        <v>0</v>
      </c>
      <c r="P419" s="31">
        <f t="shared" si="498"/>
        <v>0</v>
      </c>
      <c r="Q419" s="49">
        <f t="shared" si="499"/>
        <v>0</v>
      </c>
    </row>
    <row r="420" spans="4:17" s="16" customFormat="1" ht="13.2" x14ac:dyDescent="0.25">
      <c r="D420" s="235">
        <v>43</v>
      </c>
      <c r="E420" s="237">
        <v>1</v>
      </c>
      <c r="F420" s="238">
        <v>10</v>
      </c>
      <c r="G420" s="239">
        <v>2.2000000000000002</v>
      </c>
      <c r="H420" s="239">
        <f t="shared" si="490"/>
        <v>2.2000000000000002</v>
      </c>
      <c r="I420" s="131">
        <f t="shared" si="491"/>
        <v>0</v>
      </c>
      <c r="J420" s="31">
        <f t="shared" si="492"/>
        <v>0</v>
      </c>
      <c r="K420" s="31">
        <f t="shared" si="493"/>
        <v>0</v>
      </c>
      <c r="L420" s="31">
        <f t="shared" si="494"/>
        <v>0</v>
      </c>
      <c r="M420" s="31">
        <f t="shared" si="495"/>
        <v>1.3574000000000002</v>
      </c>
      <c r="N420" s="31">
        <f t="shared" si="496"/>
        <v>0</v>
      </c>
      <c r="O420" s="31">
        <f t="shared" si="497"/>
        <v>0</v>
      </c>
      <c r="P420" s="31">
        <f t="shared" si="498"/>
        <v>0</v>
      </c>
      <c r="Q420" s="49">
        <f t="shared" si="499"/>
        <v>0</v>
      </c>
    </row>
    <row r="421" spans="4:17" s="16" customFormat="1" ht="13.2" x14ac:dyDescent="0.25">
      <c r="D421" s="235">
        <v>44</v>
      </c>
      <c r="E421" s="237">
        <v>1</v>
      </c>
      <c r="F421" s="238">
        <v>10</v>
      </c>
      <c r="G421" s="239">
        <v>2.1</v>
      </c>
      <c r="H421" s="239">
        <f t="shared" si="490"/>
        <v>2.1</v>
      </c>
      <c r="I421" s="131">
        <f t="shared" si="491"/>
        <v>0</v>
      </c>
      <c r="J421" s="31">
        <f t="shared" si="492"/>
        <v>0</v>
      </c>
      <c r="K421" s="31">
        <f t="shared" si="493"/>
        <v>0</v>
      </c>
      <c r="L421" s="31">
        <f t="shared" si="494"/>
        <v>0</v>
      </c>
      <c r="M421" s="31">
        <f t="shared" si="495"/>
        <v>1.2957000000000001</v>
      </c>
      <c r="N421" s="31">
        <f t="shared" si="496"/>
        <v>0</v>
      </c>
      <c r="O421" s="31">
        <f t="shared" si="497"/>
        <v>0</v>
      </c>
      <c r="P421" s="31">
        <f t="shared" si="498"/>
        <v>0</v>
      </c>
      <c r="Q421" s="49">
        <f t="shared" si="499"/>
        <v>0</v>
      </c>
    </row>
    <row r="422" spans="4:17" s="16" customFormat="1" ht="13.2" x14ac:dyDescent="0.25">
      <c r="D422" s="235">
        <v>45</v>
      </c>
      <c r="E422" s="237">
        <v>2</v>
      </c>
      <c r="F422" s="238">
        <v>10</v>
      </c>
      <c r="G422" s="239">
        <v>8.42</v>
      </c>
      <c r="H422" s="239">
        <f t="shared" si="490"/>
        <v>16.84</v>
      </c>
      <c r="I422" s="131">
        <f t="shared" si="491"/>
        <v>0</v>
      </c>
      <c r="J422" s="31">
        <f t="shared" si="492"/>
        <v>0</v>
      </c>
      <c r="K422" s="31">
        <f t="shared" si="493"/>
        <v>0</v>
      </c>
      <c r="L422" s="31">
        <f t="shared" si="494"/>
        <v>0</v>
      </c>
      <c r="M422" s="31">
        <f t="shared" si="495"/>
        <v>10.390280000000001</v>
      </c>
      <c r="N422" s="31">
        <f t="shared" si="496"/>
        <v>0</v>
      </c>
      <c r="O422" s="31">
        <f t="shared" si="497"/>
        <v>0</v>
      </c>
      <c r="P422" s="31">
        <f t="shared" si="498"/>
        <v>0</v>
      </c>
      <c r="Q422" s="49">
        <f t="shared" si="499"/>
        <v>0</v>
      </c>
    </row>
    <row r="423" spans="4:17" s="16" customFormat="1" ht="13.2" x14ac:dyDescent="0.25">
      <c r="D423" s="307"/>
      <c r="E423" s="26"/>
      <c r="F423" s="206"/>
      <c r="G423" s="207"/>
      <c r="H423" s="207"/>
      <c r="I423" s="51"/>
      <c r="J423" s="308"/>
      <c r="K423" s="308"/>
      <c r="L423" s="308"/>
      <c r="M423" s="308"/>
      <c r="N423" s="308"/>
      <c r="O423" s="308"/>
      <c r="P423" s="308"/>
      <c r="Q423" s="309"/>
    </row>
    <row r="424" spans="4:17" s="16" customFormat="1" ht="13.2" x14ac:dyDescent="0.25">
      <c r="D424" s="814" t="s">
        <v>1430</v>
      </c>
      <c r="E424" s="815"/>
      <c r="F424" s="815"/>
      <c r="G424" s="815"/>
      <c r="H424" s="815"/>
      <c r="I424" s="175">
        <f t="shared" ref="I424:Q424" si="502">SUM(I425:I432)</f>
        <v>0</v>
      </c>
      <c r="J424" s="175">
        <f t="shared" si="502"/>
        <v>5.2282999999999991</v>
      </c>
      <c r="K424" s="175">
        <f t="shared" si="502"/>
        <v>0</v>
      </c>
      <c r="L424" s="175">
        <f t="shared" si="502"/>
        <v>13.524799999999999</v>
      </c>
      <c r="M424" s="175">
        <f t="shared" si="502"/>
        <v>14.524179999999999</v>
      </c>
      <c r="N424" s="175">
        <f t="shared" si="502"/>
        <v>0</v>
      </c>
      <c r="O424" s="175">
        <f t="shared" si="502"/>
        <v>0</v>
      </c>
      <c r="P424" s="175">
        <f t="shared" si="502"/>
        <v>0</v>
      </c>
      <c r="Q424" s="175">
        <f t="shared" si="502"/>
        <v>0</v>
      </c>
    </row>
    <row r="425" spans="4:17" s="16" customFormat="1" ht="13.2" x14ac:dyDescent="0.25">
      <c r="D425" s="235">
        <v>1</v>
      </c>
      <c r="E425" s="237">
        <v>35</v>
      </c>
      <c r="F425" s="238">
        <v>5</v>
      </c>
      <c r="G425" s="239">
        <v>0.97</v>
      </c>
      <c r="H425" s="239">
        <f t="shared" ref="H425:H432" si="503">E425*G425</f>
        <v>33.949999999999996</v>
      </c>
      <c r="I425" s="131">
        <f t="shared" ref="I425:I432" si="504">IF($F425=4.2,H425*$B$23,0)</f>
        <v>0</v>
      </c>
      <c r="J425" s="31">
        <f t="shared" ref="J425:J432" si="505">IF($F425=5,$H425*$B$24,0)</f>
        <v>5.2282999999999991</v>
      </c>
      <c r="K425" s="31">
        <f t="shared" ref="K425:K432" si="506">IF($F425=6.3,$H425*$B$25,0)</f>
        <v>0</v>
      </c>
      <c r="L425" s="31">
        <f t="shared" ref="L425:L432" si="507">IF($F425=8,$H425*$B$26,0)</f>
        <v>0</v>
      </c>
      <c r="M425" s="31">
        <f t="shared" ref="M425:M432" si="508">IF($F425=10,$H425*$B$27,0)</f>
        <v>0</v>
      </c>
      <c r="N425" s="31">
        <f t="shared" ref="N425:N432" si="509">IF($F425=12.5,$H425*$B$28,0)</f>
        <v>0</v>
      </c>
      <c r="O425" s="31">
        <f t="shared" ref="O425:O432" si="510">IF($F425=16,$H425*$B$29,0)</f>
        <v>0</v>
      </c>
      <c r="P425" s="31">
        <f t="shared" ref="P425:P432" si="511">IF($F425=20,$H425*$B$30,0)</f>
        <v>0</v>
      </c>
      <c r="Q425" s="49">
        <f t="shared" ref="Q425:Q432" si="512">IF($F425=25,$H425*$B$31,0)</f>
        <v>0</v>
      </c>
    </row>
    <row r="426" spans="4:17" s="16" customFormat="1" ht="13.2" x14ac:dyDescent="0.25">
      <c r="D426" s="235">
        <v>17</v>
      </c>
      <c r="E426" s="237">
        <v>3</v>
      </c>
      <c r="F426" s="238">
        <v>8</v>
      </c>
      <c r="G426" s="239">
        <v>8.5</v>
      </c>
      <c r="H426" s="239">
        <f t="shared" ref="H426:H428" si="513">E426*G426</f>
        <v>25.5</v>
      </c>
      <c r="I426" s="131">
        <f t="shared" ref="I426:I428" si="514">IF($F426=4.2,H426*$B$23,0)</f>
        <v>0</v>
      </c>
      <c r="J426" s="31">
        <f t="shared" si="505"/>
        <v>0</v>
      </c>
      <c r="K426" s="31">
        <f t="shared" si="506"/>
        <v>0</v>
      </c>
      <c r="L426" s="31">
        <f t="shared" si="507"/>
        <v>10.0725</v>
      </c>
      <c r="M426" s="31">
        <f t="shared" si="508"/>
        <v>0</v>
      </c>
      <c r="N426" s="31">
        <f t="shared" si="509"/>
        <v>0</v>
      </c>
      <c r="O426" s="31">
        <f t="shared" si="510"/>
        <v>0</v>
      </c>
      <c r="P426" s="31">
        <f t="shared" si="511"/>
        <v>0</v>
      </c>
      <c r="Q426" s="49">
        <f t="shared" si="512"/>
        <v>0</v>
      </c>
    </row>
    <row r="427" spans="4:17" s="16" customFormat="1" ht="13.2" x14ac:dyDescent="0.25">
      <c r="D427" s="235">
        <v>18</v>
      </c>
      <c r="E427" s="237">
        <v>1</v>
      </c>
      <c r="F427" s="238">
        <v>8</v>
      </c>
      <c r="G427" s="239">
        <v>2.3199999999999998</v>
      </c>
      <c r="H427" s="239">
        <f t="shared" si="513"/>
        <v>2.3199999999999998</v>
      </c>
      <c r="I427" s="131">
        <f t="shared" si="514"/>
        <v>0</v>
      </c>
      <c r="J427" s="31">
        <f t="shared" si="505"/>
        <v>0</v>
      </c>
      <c r="K427" s="31">
        <f t="shared" si="506"/>
        <v>0</v>
      </c>
      <c r="L427" s="31">
        <f t="shared" si="507"/>
        <v>0.91639999999999999</v>
      </c>
      <c r="M427" s="31">
        <f t="shared" si="508"/>
        <v>0</v>
      </c>
      <c r="N427" s="31">
        <f t="shared" si="509"/>
        <v>0</v>
      </c>
      <c r="O427" s="31">
        <f t="shared" si="510"/>
        <v>0</v>
      </c>
      <c r="P427" s="31">
        <f t="shared" si="511"/>
        <v>0</v>
      </c>
      <c r="Q427" s="49">
        <f t="shared" si="512"/>
        <v>0</v>
      </c>
    </row>
    <row r="428" spans="4:17" s="16" customFormat="1" ht="13.2" x14ac:dyDescent="0.25">
      <c r="D428" s="235">
        <v>19</v>
      </c>
      <c r="E428" s="237">
        <v>1</v>
      </c>
      <c r="F428" s="238">
        <v>8</v>
      </c>
      <c r="G428" s="239">
        <v>1.29</v>
      </c>
      <c r="H428" s="239">
        <f t="shared" si="513"/>
        <v>1.29</v>
      </c>
      <c r="I428" s="131">
        <f t="shared" si="514"/>
        <v>0</v>
      </c>
      <c r="J428" s="31">
        <f t="shared" si="505"/>
        <v>0</v>
      </c>
      <c r="K428" s="31">
        <f t="shared" si="506"/>
        <v>0</v>
      </c>
      <c r="L428" s="31">
        <f t="shared" si="507"/>
        <v>0.50955000000000006</v>
      </c>
      <c r="M428" s="31">
        <f t="shared" si="508"/>
        <v>0</v>
      </c>
      <c r="N428" s="31">
        <f t="shared" si="509"/>
        <v>0</v>
      </c>
      <c r="O428" s="31">
        <f t="shared" si="510"/>
        <v>0</v>
      </c>
      <c r="P428" s="31">
        <f t="shared" si="511"/>
        <v>0</v>
      </c>
      <c r="Q428" s="49">
        <f t="shared" si="512"/>
        <v>0</v>
      </c>
    </row>
    <row r="429" spans="4:17" s="16" customFormat="1" ht="13.2" x14ac:dyDescent="0.25">
      <c r="D429" s="235">
        <v>20</v>
      </c>
      <c r="E429" s="237">
        <v>1</v>
      </c>
      <c r="F429" s="238">
        <v>8</v>
      </c>
      <c r="G429" s="239">
        <v>5.13</v>
      </c>
      <c r="H429" s="239">
        <f t="shared" si="503"/>
        <v>5.13</v>
      </c>
      <c r="I429" s="131">
        <f t="shared" si="504"/>
        <v>0</v>
      </c>
      <c r="J429" s="31">
        <f t="shared" si="505"/>
        <v>0</v>
      </c>
      <c r="K429" s="31">
        <f t="shared" si="506"/>
        <v>0</v>
      </c>
      <c r="L429" s="31">
        <f t="shared" si="507"/>
        <v>2.0263499999999999</v>
      </c>
      <c r="M429" s="31">
        <f t="shared" si="508"/>
        <v>0</v>
      </c>
      <c r="N429" s="31">
        <f t="shared" si="509"/>
        <v>0</v>
      </c>
      <c r="O429" s="31">
        <f t="shared" si="510"/>
        <v>0</v>
      </c>
      <c r="P429" s="31">
        <f t="shared" si="511"/>
        <v>0</v>
      </c>
      <c r="Q429" s="49">
        <f t="shared" si="512"/>
        <v>0</v>
      </c>
    </row>
    <row r="430" spans="4:17" s="16" customFormat="1" ht="13.2" x14ac:dyDescent="0.25">
      <c r="D430" s="235">
        <v>44</v>
      </c>
      <c r="E430" s="237">
        <v>1</v>
      </c>
      <c r="F430" s="238">
        <v>10</v>
      </c>
      <c r="G430" s="239">
        <v>2.1</v>
      </c>
      <c r="H430" s="239">
        <f t="shared" si="503"/>
        <v>2.1</v>
      </c>
      <c r="I430" s="131">
        <f t="shared" si="504"/>
        <v>0</v>
      </c>
      <c r="J430" s="31">
        <f t="shared" si="505"/>
        <v>0</v>
      </c>
      <c r="K430" s="31">
        <f t="shared" si="506"/>
        <v>0</v>
      </c>
      <c r="L430" s="31">
        <f t="shared" si="507"/>
        <v>0</v>
      </c>
      <c r="M430" s="31">
        <f t="shared" si="508"/>
        <v>1.2957000000000001</v>
      </c>
      <c r="N430" s="31">
        <f t="shared" si="509"/>
        <v>0</v>
      </c>
      <c r="O430" s="31">
        <f t="shared" si="510"/>
        <v>0</v>
      </c>
      <c r="P430" s="31">
        <f t="shared" si="511"/>
        <v>0</v>
      </c>
      <c r="Q430" s="49">
        <f t="shared" si="512"/>
        <v>0</v>
      </c>
    </row>
    <row r="431" spans="4:17" s="16" customFormat="1" ht="13.2" x14ac:dyDescent="0.25">
      <c r="D431" s="235">
        <v>46</v>
      </c>
      <c r="E431" s="237">
        <v>1</v>
      </c>
      <c r="F431" s="238">
        <v>10</v>
      </c>
      <c r="G431" s="239">
        <v>4.4000000000000004</v>
      </c>
      <c r="H431" s="239">
        <f t="shared" si="503"/>
        <v>4.4000000000000004</v>
      </c>
      <c r="I431" s="131">
        <f t="shared" si="504"/>
        <v>0</v>
      </c>
      <c r="J431" s="31">
        <f t="shared" si="505"/>
        <v>0</v>
      </c>
      <c r="K431" s="31">
        <f t="shared" si="506"/>
        <v>0</v>
      </c>
      <c r="L431" s="31">
        <f t="shared" si="507"/>
        <v>0</v>
      </c>
      <c r="M431" s="31">
        <f t="shared" si="508"/>
        <v>2.7148000000000003</v>
      </c>
      <c r="N431" s="31">
        <f t="shared" si="509"/>
        <v>0</v>
      </c>
      <c r="O431" s="31">
        <f t="shared" si="510"/>
        <v>0</v>
      </c>
      <c r="P431" s="31">
        <f t="shared" si="511"/>
        <v>0</v>
      </c>
      <c r="Q431" s="49">
        <f t="shared" si="512"/>
        <v>0</v>
      </c>
    </row>
    <row r="432" spans="4:17" s="16" customFormat="1" ht="13.2" x14ac:dyDescent="0.25">
      <c r="D432" s="235">
        <v>47</v>
      </c>
      <c r="E432" s="237">
        <v>2</v>
      </c>
      <c r="F432" s="238">
        <v>10</v>
      </c>
      <c r="G432" s="239">
        <v>8.52</v>
      </c>
      <c r="H432" s="239">
        <f t="shared" si="503"/>
        <v>17.04</v>
      </c>
      <c r="I432" s="131">
        <f t="shared" si="504"/>
        <v>0</v>
      </c>
      <c r="J432" s="31">
        <f t="shared" si="505"/>
        <v>0</v>
      </c>
      <c r="K432" s="31">
        <f t="shared" si="506"/>
        <v>0</v>
      </c>
      <c r="L432" s="31">
        <f t="shared" si="507"/>
        <v>0</v>
      </c>
      <c r="M432" s="31">
        <f t="shared" si="508"/>
        <v>10.513679999999999</v>
      </c>
      <c r="N432" s="31">
        <f t="shared" si="509"/>
        <v>0</v>
      </c>
      <c r="O432" s="31">
        <f t="shared" si="510"/>
        <v>0</v>
      </c>
      <c r="P432" s="31">
        <f t="shared" si="511"/>
        <v>0</v>
      </c>
      <c r="Q432" s="49">
        <f t="shared" si="512"/>
        <v>0</v>
      </c>
    </row>
    <row r="433" spans="4:17" s="16" customFormat="1" ht="13.2" x14ac:dyDescent="0.25">
      <c r="D433" s="307"/>
      <c r="E433" s="26"/>
      <c r="F433" s="206"/>
      <c r="G433" s="207"/>
      <c r="H433" s="207"/>
      <c r="I433" s="51"/>
      <c r="J433" s="308"/>
      <c r="K433" s="308"/>
      <c r="L433" s="308"/>
      <c r="M433" s="308"/>
      <c r="N433" s="308"/>
      <c r="O433" s="308"/>
      <c r="P433" s="308"/>
      <c r="Q433" s="309"/>
    </row>
    <row r="434" spans="4:17" s="16" customFormat="1" ht="13.2" x14ac:dyDescent="0.25">
      <c r="D434" s="814" t="s">
        <v>1431</v>
      </c>
      <c r="E434" s="815"/>
      <c r="F434" s="815"/>
      <c r="G434" s="815"/>
      <c r="H434" s="815"/>
      <c r="I434" s="175">
        <f t="shared" ref="I434:Q434" si="515">SUM(I435:I438)</f>
        <v>0</v>
      </c>
      <c r="J434" s="175">
        <f t="shared" si="515"/>
        <v>4.6307799999999997</v>
      </c>
      <c r="K434" s="175">
        <f t="shared" si="515"/>
        <v>0</v>
      </c>
      <c r="L434" s="175">
        <f t="shared" si="515"/>
        <v>6.9756999999999998</v>
      </c>
      <c r="M434" s="175">
        <f t="shared" si="515"/>
        <v>8.3171599999999994</v>
      </c>
      <c r="N434" s="175">
        <f t="shared" si="515"/>
        <v>0</v>
      </c>
      <c r="O434" s="175">
        <f t="shared" si="515"/>
        <v>0</v>
      </c>
      <c r="P434" s="175">
        <f t="shared" si="515"/>
        <v>0</v>
      </c>
      <c r="Q434" s="175">
        <f t="shared" si="515"/>
        <v>0</v>
      </c>
    </row>
    <row r="435" spans="4:17" s="16" customFormat="1" ht="13.2" x14ac:dyDescent="0.25">
      <c r="D435" s="235">
        <v>1</v>
      </c>
      <c r="E435" s="237">
        <v>31</v>
      </c>
      <c r="F435" s="238">
        <v>5</v>
      </c>
      <c r="G435" s="239">
        <v>0.97</v>
      </c>
      <c r="H435" s="239">
        <f t="shared" ref="H435:H438" si="516">E435*G435</f>
        <v>30.07</v>
      </c>
      <c r="I435" s="131">
        <f t="shared" ref="I435:I438" si="517">IF($F435=4.2,H435*$B$23,0)</f>
        <v>0</v>
      </c>
      <c r="J435" s="31">
        <f t="shared" ref="J435:J438" si="518">IF($F435=5,$H435*$B$24,0)</f>
        <v>4.6307799999999997</v>
      </c>
      <c r="K435" s="31">
        <f t="shared" ref="K435:K438" si="519">IF($F435=6.3,$H435*$B$25,0)</f>
        <v>0</v>
      </c>
      <c r="L435" s="31">
        <f t="shared" ref="L435:L438" si="520">IF($F435=8,$H435*$B$26,0)</f>
        <v>0</v>
      </c>
      <c r="M435" s="31">
        <f t="shared" ref="M435:M438" si="521">IF($F435=10,$H435*$B$27,0)</f>
        <v>0</v>
      </c>
      <c r="N435" s="31">
        <f t="shared" ref="N435:N438" si="522">IF($F435=12.5,$H435*$B$28,0)</f>
        <v>0</v>
      </c>
      <c r="O435" s="31">
        <f t="shared" ref="O435:O438" si="523">IF($F435=16,$H435*$B$29,0)</f>
        <v>0</v>
      </c>
      <c r="P435" s="31">
        <f t="shared" ref="P435:P438" si="524">IF($F435=20,$H435*$B$30,0)</f>
        <v>0</v>
      </c>
      <c r="Q435" s="49">
        <f t="shared" ref="Q435:Q438" si="525">IF($F435=25,$H435*$B$31,0)</f>
        <v>0</v>
      </c>
    </row>
    <row r="436" spans="4:17" s="16" customFormat="1" ht="13.2" x14ac:dyDescent="0.25">
      <c r="D436" s="235">
        <v>21</v>
      </c>
      <c r="E436" s="237">
        <v>2</v>
      </c>
      <c r="F436" s="238">
        <v>8</v>
      </c>
      <c r="G436" s="239">
        <v>1.65</v>
      </c>
      <c r="H436" s="239">
        <f t="shared" si="516"/>
        <v>3.3</v>
      </c>
      <c r="I436" s="131">
        <f t="shared" si="517"/>
        <v>0</v>
      </c>
      <c r="J436" s="31">
        <f t="shared" si="518"/>
        <v>0</v>
      </c>
      <c r="K436" s="31">
        <f t="shared" si="519"/>
        <v>0</v>
      </c>
      <c r="L436" s="31">
        <f t="shared" si="520"/>
        <v>1.3034999999999999</v>
      </c>
      <c r="M436" s="31">
        <f t="shared" si="521"/>
        <v>0</v>
      </c>
      <c r="N436" s="31">
        <f t="shared" si="522"/>
        <v>0</v>
      </c>
      <c r="O436" s="31">
        <f t="shared" si="523"/>
        <v>0</v>
      </c>
      <c r="P436" s="31">
        <f t="shared" si="524"/>
        <v>0</v>
      </c>
      <c r="Q436" s="49">
        <f t="shared" si="525"/>
        <v>0</v>
      </c>
    </row>
    <row r="437" spans="4:17" s="16" customFormat="1" ht="13.2" x14ac:dyDescent="0.25">
      <c r="D437" s="235">
        <v>22</v>
      </c>
      <c r="E437" s="237">
        <v>2</v>
      </c>
      <c r="F437" s="238">
        <v>8</v>
      </c>
      <c r="G437" s="239">
        <v>7.18</v>
      </c>
      <c r="H437" s="239">
        <f t="shared" si="516"/>
        <v>14.36</v>
      </c>
      <c r="I437" s="131">
        <f t="shared" si="517"/>
        <v>0</v>
      </c>
      <c r="J437" s="31">
        <f t="shared" si="518"/>
        <v>0</v>
      </c>
      <c r="K437" s="31">
        <f t="shared" si="519"/>
        <v>0</v>
      </c>
      <c r="L437" s="31">
        <f t="shared" si="520"/>
        <v>5.6722000000000001</v>
      </c>
      <c r="M437" s="31">
        <f t="shared" si="521"/>
        <v>0</v>
      </c>
      <c r="N437" s="31">
        <f t="shared" si="522"/>
        <v>0</v>
      </c>
      <c r="O437" s="31">
        <f t="shared" si="523"/>
        <v>0</v>
      </c>
      <c r="P437" s="31">
        <f t="shared" si="524"/>
        <v>0</v>
      </c>
      <c r="Q437" s="49">
        <f t="shared" si="525"/>
        <v>0</v>
      </c>
    </row>
    <row r="438" spans="4:17" s="16" customFormat="1" ht="13.2" x14ac:dyDescent="0.25">
      <c r="D438" s="235">
        <v>48</v>
      </c>
      <c r="E438" s="237">
        <v>2</v>
      </c>
      <c r="F438" s="238">
        <v>10</v>
      </c>
      <c r="G438" s="239">
        <v>6.74</v>
      </c>
      <c r="H438" s="239">
        <f t="shared" si="516"/>
        <v>13.48</v>
      </c>
      <c r="I438" s="131">
        <f t="shared" si="517"/>
        <v>0</v>
      </c>
      <c r="J438" s="31">
        <f t="shared" si="518"/>
        <v>0</v>
      </c>
      <c r="K438" s="31">
        <f t="shared" si="519"/>
        <v>0</v>
      </c>
      <c r="L438" s="31">
        <f t="shared" si="520"/>
        <v>0</v>
      </c>
      <c r="M438" s="31">
        <f t="shared" si="521"/>
        <v>8.3171599999999994</v>
      </c>
      <c r="N438" s="31">
        <f t="shared" si="522"/>
        <v>0</v>
      </c>
      <c r="O438" s="31">
        <f t="shared" si="523"/>
        <v>0</v>
      </c>
      <c r="P438" s="31">
        <f t="shared" si="524"/>
        <v>0</v>
      </c>
      <c r="Q438" s="49">
        <f t="shared" si="525"/>
        <v>0</v>
      </c>
    </row>
    <row r="439" spans="4:17" s="16" customFormat="1" ht="13.2" x14ac:dyDescent="0.25">
      <c r="D439" s="307"/>
      <c r="E439" s="26"/>
      <c r="F439" s="206"/>
      <c r="G439" s="207"/>
      <c r="H439" s="207"/>
      <c r="I439" s="51"/>
      <c r="J439" s="308"/>
      <c r="K439" s="308"/>
      <c r="L439" s="308"/>
      <c r="M439" s="308"/>
      <c r="N439" s="308"/>
      <c r="O439" s="308"/>
      <c r="P439" s="308"/>
      <c r="Q439" s="309"/>
    </row>
    <row r="440" spans="4:17" s="16" customFormat="1" ht="13.2" x14ac:dyDescent="0.25">
      <c r="D440" s="814" t="s">
        <v>1432</v>
      </c>
      <c r="E440" s="815"/>
      <c r="F440" s="815"/>
      <c r="G440" s="815"/>
      <c r="H440" s="815"/>
      <c r="I440" s="175">
        <f t="shared" ref="I440:Q440" si="526">SUM(I441:I443)</f>
        <v>0</v>
      </c>
      <c r="J440" s="175">
        <f t="shared" si="526"/>
        <v>1.6431799999999999</v>
      </c>
      <c r="K440" s="175">
        <f t="shared" si="526"/>
        <v>0</v>
      </c>
      <c r="L440" s="175">
        <f t="shared" si="526"/>
        <v>3.6181999999999999</v>
      </c>
      <c r="M440" s="175">
        <f t="shared" si="526"/>
        <v>0</v>
      </c>
      <c r="N440" s="175">
        <f t="shared" si="526"/>
        <v>0</v>
      </c>
      <c r="O440" s="175">
        <f t="shared" si="526"/>
        <v>0</v>
      </c>
      <c r="P440" s="175">
        <f t="shared" si="526"/>
        <v>0</v>
      </c>
      <c r="Q440" s="175">
        <f t="shared" si="526"/>
        <v>0</v>
      </c>
    </row>
    <row r="441" spans="4:17" s="16" customFormat="1" ht="13.2" x14ac:dyDescent="0.25">
      <c r="D441" s="235">
        <v>1</v>
      </c>
      <c r="E441" s="237">
        <v>11</v>
      </c>
      <c r="F441" s="238">
        <v>5</v>
      </c>
      <c r="G441" s="239">
        <v>0.97</v>
      </c>
      <c r="H441" s="239">
        <f t="shared" ref="H441:H443" si="527">E441*G441</f>
        <v>10.67</v>
      </c>
      <c r="I441" s="131">
        <f t="shared" ref="I441:I443" si="528">IF($F441=4.2,H441*$B$23,0)</f>
        <v>0</v>
      </c>
      <c r="J441" s="31">
        <f t="shared" ref="J441:J443" si="529">IF($F441=5,$H441*$B$24,0)</f>
        <v>1.6431799999999999</v>
      </c>
      <c r="K441" s="31">
        <f t="shared" ref="K441:K443" si="530">IF($F441=6.3,$H441*$B$25,0)</f>
        <v>0</v>
      </c>
      <c r="L441" s="31">
        <f t="shared" ref="L441:L443" si="531">IF($F441=8,$H441*$B$26,0)</f>
        <v>0</v>
      </c>
      <c r="M441" s="31">
        <f t="shared" ref="M441:M443" si="532">IF($F441=10,$H441*$B$27,0)</f>
        <v>0</v>
      </c>
      <c r="N441" s="31">
        <f t="shared" ref="N441:N443" si="533">IF($F441=12.5,$H441*$B$28,0)</f>
        <v>0</v>
      </c>
      <c r="O441" s="31">
        <f t="shared" ref="O441:O443" si="534">IF($F441=16,$H441*$B$29,0)</f>
        <v>0</v>
      </c>
      <c r="P441" s="31">
        <f t="shared" ref="P441:P443" si="535">IF($F441=20,$H441*$B$30,0)</f>
        <v>0</v>
      </c>
      <c r="Q441" s="49">
        <f t="shared" ref="Q441:Q443" si="536">IF($F441=25,$H441*$B$31,0)</f>
        <v>0</v>
      </c>
    </row>
    <row r="442" spans="4:17" s="16" customFormat="1" ht="13.2" x14ac:dyDescent="0.25">
      <c r="D442" s="235">
        <v>23</v>
      </c>
      <c r="E442" s="237">
        <v>2</v>
      </c>
      <c r="F442" s="238">
        <v>8</v>
      </c>
      <c r="G442" s="239">
        <v>2.0699999999999998</v>
      </c>
      <c r="H442" s="239">
        <f t="shared" si="527"/>
        <v>4.1399999999999997</v>
      </c>
      <c r="I442" s="131">
        <f t="shared" si="528"/>
        <v>0</v>
      </c>
      <c r="J442" s="31">
        <f t="shared" si="529"/>
        <v>0</v>
      </c>
      <c r="K442" s="31">
        <f t="shared" si="530"/>
        <v>0</v>
      </c>
      <c r="L442" s="31">
        <f t="shared" si="531"/>
        <v>1.6353</v>
      </c>
      <c r="M442" s="31">
        <f t="shared" si="532"/>
        <v>0</v>
      </c>
      <c r="N442" s="31">
        <f t="shared" si="533"/>
        <v>0</v>
      </c>
      <c r="O442" s="31">
        <f t="shared" si="534"/>
        <v>0</v>
      </c>
      <c r="P442" s="31">
        <f t="shared" si="535"/>
        <v>0</v>
      </c>
      <c r="Q442" s="49">
        <f t="shared" si="536"/>
        <v>0</v>
      </c>
    </row>
    <row r="443" spans="4:17" s="16" customFormat="1" ht="13.2" x14ac:dyDescent="0.25">
      <c r="D443" s="235">
        <v>24</v>
      </c>
      <c r="E443" s="237">
        <v>2</v>
      </c>
      <c r="F443" s="238">
        <v>8</v>
      </c>
      <c r="G443" s="239">
        <v>2.5099999999999998</v>
      </c>
      <c r="H443" s="239">
        <f t="shared" si="527"/>
        <v>5.0199999999999996</v>
      </c>
      <c r="I443" s="131">
        <f t="shared" si="528"/>
        <v>0</v>
      </c>
      <c r="J443" s="31">
        <f t="shared" si="529"/>
        <v>0</v>
      </c>
      <c r="K443" s="31">
        <f t="shared" si="530"/>
        <v>0</v>
      </c>
      <c r="L443" s="31">
        <f t="shared" si="531"/>
        <v>1.9828999999999999</v>
      </c>
      <c r="M443" s="31">
        <f t="shared" si="532"/>
        <v>0</v>
      </c>
      <c r="N443" s="31">
        <f t="shared" si="533"/>
        <v>0</v>
      </c>
      <c r="O443" s="31">
        <f t="shared" si="534"/>
        <v>0</v>
      </c>
      <c r="P443" s="31">
        <f t="shared" si="535"/>
        <v>0</v>
      </c>
      <c r="Q443" s="49">
        <f t="shared" si="536"/>
        <v>0</v>
      </c>
    </row>
    <row r="444" spans="4:17" s="16" customFormat="1" ht="13.2" x14ac:dyDescent="0.25">
      <c r="D444" s="307"/>
      <c r="E444" s="26"/>
      <c r="F444" s="206"/>
      <c r="G444" s="207"/>
      <c r="H444" s="207"/>
      <c r="I444" s="51"/>
      <c r="J444" s="308"/>
      <c r="K444" s="308"/>
      <c r="L444" s="308"/>
      <c r="M444" s="308"/>
      <c r="N444" s="308"/>
      <c r="O444" s="308"/>
      <c r="P444" s="308"/>
      <c r="Q444" s="309"/>
    </row>
    <row r="445" spans="4:17" s="16" customFormat="1" ht="13.2" x14ac:dyDescent="0.25">
      <c r="D445" s="814" t="s">
        <v>1433</v>
      </c>
      <c r="E445" s="815"/>
      <c r="F445" s="815"/>
      <c r="G445" s="815"/>
      <c r="H445" s="815"/>
      <c r="I445" s="175">
        <f t="shared" ref="I445:Q445" si="537">SUM(I446:I448)</f>
        <v>0</v>
      </c>
      <c r="J445" s="175">
        <f t="shared" si="537"/>
        <v>4.1826400000000001</v>
      </c>
      <c r="K445" s="175">
        <f t="shared" si="537"/>
        <v>0</v>
      </c>
      <c r="L445" s="175">
        <f t="shared" si="537"/>
        <v>5.1587000000000005</v>
      </c>
      <c r="M445" s="175">
        <f t="shared" si="537"/>
        <v>7.5150600000000001</v>
      </c>
      <c r="N445" s="175">
        <f t="shared" si="537"/>
        <v>0</v>
      </c>
      <c r="O445" s="175">
        <f t="shared" si="537"/>
        <v>0</v>
      </c>
      <c r="P445" s="175">
        <f t="shared" si="537"/>
        <v>0</v>
      </c>
      <c r="Q445" s="175">
        <f t="shared" si="537"/>
        <v>0</v>
      </c>
    </row>
    <row r="446" spans="4:17" s="16" customFormat="1" ht="13.2" x14ac:dyDescent="0.25">
      <c r="D446" s="235">
        <v>1</v>
      </c>
      <c r="E446" s="237">
        <v>28</v>
      </c>
      <c r="F446" s="238">
        <v>5</v>
      </c>
      <c r="G446" s="239">
        <v>0.97</v>
      </c>
      <c r="H446" s="239">
        <f t="shared" ref="H446:H448" si="538">E446*G446</f>
        <v>27.16</v>
      </c>
      <c r="I446" s="131">
        <f t="shared" ref="I446:I448" si="539">IF($F446=4.2,H446*$B$23,0)</f>
        <v>0</v>
      </c>
      <c r="J446" s="31">
        <f t="shared" ref="J446:J448" si="540">IF($F446=5,$H446*$B$24,0)</f>
        <v>4.1826400000000001</v>
      </c>
      <c r="K446" s="31">
        <f t="shared" ref="K446:K448" si="541">IF($F446=6.3,$H446*$B$25,0)</f>
        <v>0</v>
      </c>
      <c r="L446" s="31">
        <f t="shared" ref="L446:L448" si="542">IF($F446=8,$H446*$B$26,0)</f>
        <v>0</v>
      </c>
      <c r="M446" s="31">
        <f t="shared" ref="M446:M448" si="543">IF($F446=10,$H446*$B$27,0)</f>
        <v>0</v>
      </c>
      <c r="N446" s="31">
        <f t="shared" ref="N446:N448" si="544">IF($F446=12.5,$H446*$B$28,0)</f>
        <v>0</v>
      </c>
      <c r="O446" s="31">
        <f t="shared" ref="O446:O448" si="545">IF($F446=16,$H446*$B$29,0)</f>
        <v>0</v>
      </c>
      <c r="P446" s="31">
        <f t="shared" ref="P446:P448" si="546">IF($F446=20,$H446*$B$30,0)</f>
        <v>0</v>
      </c>
      <c r="Q446" s="49">
        <f t="shared" ref="Q446:Q448" si="547">IF($F446=25,$H446*$B$31,0)</f>
        <v>0</v>
      </c>
    </row>
    <row r="447" spans="4:17" s="16" customFormat="1" ht="13.2" x14ac:dyDescent="0.25">
      <c r="D447" s="235">
        <v>5</v>
      </c>
      <c r="E447" s="237">
        <v>2</v>
      </c>
      <c r="F447" s="238">
        <v>8</v>
      </c>
      <c r="G447" s="239">
        <v>6.53</v>
      </c>
      <c r="H447" s="239">
        <f t="shared" si="538"/>
        <v>13.06</v>
      </c>
      <c r="I447" s="131">
        <f t="shared" si="539"/>
        <v>0</v>
      </c>
      <c r="J447" s="31">
        <f t="shared" si="540"/>
        <v>0</v>
      </c>
      <c r="K447" s="31">
        <f t="shared" si="541"/>
        <v>0</v>
      </c>
      <c r="L447" s="31">
        <f t="shared" si="542"/>
        <v>5.1587000000000005</v>
      </c>
      <c r="M447" s="31">
        <f t="shared" si="543"/>
        <v>0</v>
      </c>
      <c r="N447" s="31">
        <f t="shared" si="544"/>
        <v>0</v>
      </c>
      <c r="O447" s="31">
        <f t="shared" si="545"/>
        <v>0</v>
      </c>
      <c r="P447" s="31">
        <f t="shared" si="546"/>
        <v>0</v>
      </c>
      <c r="Q447" s="49">
        <f t="shared" si="547"/>
        <v>0</v>
      </c>
    </row>
    <row r="448" spans="4:17" s="16" customFormat="1" ht="13.2" x14ac:dyDescent="0.25">
      <c r="D448" s="235">
        <v>49</v>
      </c>
      <c r="E448" s="237">
        <v>2</v>
      </c>
      <c r="F448" s="238">
        <v>10</v>
      </c>
      <c r="G448" s="239">
        <v>6.09</v>
      </c>
      <c r="H448" s="239">
        <f t="shared" si="538"/>
        <v>12.18</v>
      </c>
      <c r="I448" s="131">
        <f t="shared" si="539"/>
        <v>0</v>
      </c>
      <c r="J448" s="31">
        <f t="shared" si="540"/>
        <v>0</v>
      </c>
      <c r="K448" s="31">
        <f t="shared" si="541"/>
        <v>0</v>
      </c>
      <c r="L448" s="31">
        <f t="shared" si="542"/>
        <v>0</v>
      </c>
      <c r="M448" s="31">
        <f t="shared" si="543"/>
        <v>7.5150600000000001</v>
      </c>
      <c r="N448" s="31">
        <f t="shared" si="544"/>
        <v>0</v>
      </c>
      <c r="O448" s="31">
        <f t="shared" si="545"/>
        <v>0</v>
      </c>
      <c r="P448" s="31">
        <f t="shared" si="546"/>
        <v>0</v>
      </c>
      <c r="Q448" s="49">
        <f t="shared" si="547"/>
        <v>0</v>
      </c>
    </row>
    <row r="449" spans="4:17" s="16" customFormat="1" ht="13.2" x14ac:dyDescent="0.25">
      <c r="D449" s="307"/>
      <c r="E449" s="26"/>
      <c r="F449" s="206"/>
      <c r="G449" s="207"/>
      <c r="H449" s="207"/>
      <c r="I449" s="51"/>
      <c r="J449" s="308"/>
      <c r="K449" s="308"/>
      <c r="L449" s="308"/>
      <c r="M449" s="308"/>
      <c r="N449" s="308"/>
      <c r="O449" s="308"/>
      <c r="P449" s="308"/>
      <c r="Q449" s="309"/>
    </row>
    <row r="450" spans="4:17" s="16" customFormat="1" ht="13.2" x14ac:dyDescent="0.25">
      <c r="D450" s="814" t="s">
        <v>1434</v>
      </c>
      <c r="E450" s="815"/>
      <c r="F450" s="815"/>
      <c r="G450" s="815"/>
      <c r="H450" s="815"/>
      <c r="I450" s="175">
        <f t="shared" ref="I450:Q450" si="548">SUM(I451:I453)</f>
        <v>0</v>
      </c>
      <c r="J450" s="175">
        <f t="shared" si="548"/>
        <v>5.6764399999999995</v>
      </c>
      <c r="K450" s="175">
        <f t="shared" si="548"/>
        <v>0</v>
      </c>
      <c r="L450" s="175">
        <f t="shared" si="548"/>
        <v>13.193</v>
      </c>
      <c r="M450" s="175">
        <f t="shared" si="548"/>
        <v>0</v>
      </c>
      <c r="N450" s="175">
        <f t="shared" si="548"/>
        <v>0</v>
      </c>
      <c r="O450" s="175">
        <f t="shared" si="548"/>
        <v>0</v>
      </c>
      <c r="P450" s="175">
        <f t="shared" si="548"/>
        <v>0</v>
      </c>
      <c r="Q450" s="175">
        <f t="shared" si="548"/>
        <v>0</v>
      </c>
    </row>
    <row r="451" spans="4:17" s="16" customFormat="1" ht="13.2" x14ac:dyDescent="0.25">
      <c r="D451" s="235">
        <v>1</v>
      </c>
      <c r="E451" s="237">
        <v>38</v>
      </c>
      <c r="F451" s="238">
        <v>5</v>
      </c>
      <c r="G451" s="239">
        <v>0.97</v>
      </c>
      <c r="H451" s="239">
        <f t="shared" ref="H451:H453" si="549">E451*G451</f>
        <v>36.86</v>
      </c>
      <c r="I451" s="131">
        <f t="shared" ref="I451:I453" si="550">IF($F451=4.2,H451*$B$23,0)</f>
        <v>0</v>
      </c>
      <c r="J451" s="31">
        <f t="shared" ref="J451:J453" si="551">IF($F451=5,$H451*$B$24,0)</f>
        <v>5.6764399999999995</v>
      </c>
      <c r="K451" s="31">
        <f t="shared" ref="K451:K453" si="552">IF($F451=6.3,$H451*$B$25,0)</f>
        <v>0</v>
      </c>
      <c r="L451" s="31">
        <f t="shared" ref="L451:L453" si="553">IF($F451=8,$H451*$B$26,0)</f>
        <v>0</v>
      </c>
      <c r="M451" s="31">
        <f t="shared" ref="M451:M453" si="554">IF($F451=10,$H451*$B$27,0)</f>
        <v>0</v>
      </c>
      <c r="N451" s="31">
        <f t="shared" ref="N451:N453" si="555">IF($F451=12.5,$H451*$B$28,0)</f>
        <v>0</v>
      </c>
      <c r="O451" s="31">
        <f t="shared" ref="O451:O453" si="556">IF($F451=16,$H451*$B$29,0)</f>
        <v>0</v>
      </c>
      <c r="P451" s="31">
        <f t="shared" ref="P451:P453" si="557">IF($F451=20,$H451*$B$30,0)</f>
        <v>0</v>
      </c>
      <c r="Q451" s="49">
        <f t="shared" ref="Q451:Q453" si="558">IF($F451=25,$H451*$B$31,0)</f>
        <v>0</v>
      </c>
    </row>
    <row r="452" spans="4:17" s="16" customFormat="1" ht="13.2" x14ac:dyDescent="0.25">
      <c r="D452" s="235">
        <v>25</v>
      </c>
      <c r="E452" s="237">
        <v>2</v>
      </c>
      <c r="F452" s="238">
        <v>8</v>
      </c>
      <c r="G452" s="239">
        <v>8.17</v>
      </c>
      <c r="H452" s="239">
        <f t="shared" si="549"/>
        <v>16.34</v>
      </c>
      <c r="I452" s="131">
        <f t="shared" si="550"/>
        <v>0</v>
      </c>
      <c r="J452" s="31">
        <f t="shared" si="551"/>
        <v>0</v>
      </c>
      <c r="K452" s="31">
        <f t="shared" si="552"/>
        <v>0</v>
      </c>
      <c r="L452" s="31">
        <f t="shared" si="553"/>
        <v>6.4542999999999999</v>
      </c>
      <c r="M452" s="31">
        <f t="shared" si="554"/>
        <v>0</v>
      </c>
      <c r="N452" s="31">
        <f t="shared" si="555"/>
        <v>0</v>
      </c>
      <c r="O452" s="31">
        <f t="shared" si="556"/>
        <v>0</v>
      </c>
      <c r="P452" s="31">
        <f t="shared" si="557"/>
        <v>0</v>
      </c>
      <c r="Q452" s="49">
        <f t="shared" si="558"/>
        <v>0</v>
      </c>
    </row>
    <row r="453" spans="4:17" s="16" customFormat="1" ht="13.2" x14ac:dyDescent="0.25">
      <c r="D453" s="235">
        <v>26</v>
      </c>
      <c r="E453" s="237">
        <v>2</v>
      </c>
      <c r="F453" s="238">
        <v>8</v>
      </c>
      <c r="G453" s="239">
        <v>8.5299999999999994</v>
      </c>
      <c r="H453" s="239">
        <f t="shared" si="549"/>
        <v>17.059999999999999</v>
      </c>
      <c r="I453" s="131">
        <f t="shared" si="550"/>
        <v>0</v>
      </c>
      <c r="J453" s="31">
        <f t="shared" si="551"/>
        <v>0</v>
      </c>
      <c r="K453" s="31">
        <f t="shared" si="552"/>
        <v>0</v>
      </c>
      <c r="L453" s="31">
        <f t="shared" si="553"/>
        <v>6.7386999999999997</v>
      </c>
      <c r="M453" s="31">
        <f t="shared" si="554"/>
        <v>0</v>
      </c>
      <c r="N453" s="31">
        <f t="shared" si="555"/>
        <v>0</v>
      </c>
      <c r="O453" s="31">
        <f t="shared" si="556"/>
        <v>0</v>
      </c>
      <c r="P453" s="31">
        <f t="shared" si="557"/>
        <v>0</v>
      </c>
      <c r="Q453" s="49">
        <f t="shared" si="558"/>
        <v>0</v>
      </c>
    </row>
    <row r="454" spans="4:17" s="16" customFormat="1" ht="13.2" x14ac:dyDescent="0.25">
      <c r="D454" s="307"/>
      <c r="E454" s="26"/>
      <c r="F454" s="206"/>
      <c r="G454" s="207"/>
      <c r="H454" s="207"/>
      <c r="I454" s="51"/>
      <c r="J454" s="308"/>
      <c r="K454" s="308"/>
      <c r="L454" s="308"/>
      <c r="M454" s="308"/>
      <c r="N454" s="308"/>
      <c r="O454" s="308"/>
      <c r="P454" s="308"/>
      <c r="Q454" s="309"/>
    </row>
    <row r="455" spans="4:17" s="16" customFormat="1" ht="13.2" x14ac:dyDescent="0.25">
      <c r="D455" s="814" t="s">
        <v>1435</v>
      </c>
      <c r="E455" s="815"/>
      <c r="F455" s="815"/>
      <c r="G455" s="815"/>
      <c r="H455" s="815"/>
      <c r="I455" s="175">
        <f t="shared" ref="I455:Q455" si="559">SUM(I456:I458)</f>
        <v>0</v>
      </c>
      <c r="J455" s="175">
        <f t="shared" si="559"/>
        <v>5.5270599999999996</v>
      </c>
      <c r="K455" s="175">
        <f t="shared" si="559"/>
        <v>0</v>
      </c>
      <c r="L455" s="175">
        <f t="shared" si="559"/>
        <v>13.398399999999999</v>
      </c>
      <c r="M455" s="175">
        <f t="shared" si="559"/>
        <v>0</v>
      </c>
      <c r="N455" s="175">
        <f t="shared" si="559"/>
        <v>0</v>
      </c>
      <c r="O455" s="175">
        <f t="shared" si="559"/>
        <v>0</v>
      </c>
      <c r="P455" s="175">
        <f t="shared" si="559"/>
        <v>0</v>
      </c>
      <c r="Q455" s="175">
        <f t="shared" si="559"/>
        <v>0</v>
      </c>
    </row>
    <row r="456" spans="4:17" s="16" customFormat="1" ht="13.2" x14ac:dyDescent="0.25">
      <c r="D456" s="235">
        <v>1</v>
      </c>
      <c r="E456" s="237">
        <v>37</v>
      </c>
      <c r="F456" s="238">
        <v>5</v>
      </c>
      <c r="G456" s="239">
        <v>0.97</v>
      </c>
      <c r="H456" s="239">
        <f t="shared" ref="H456:H458" si="560">E456*G456</f>
        <v>35.89</v>
      </c>
      <c r="I456" s="131">
        <f t="shared" ref="I456:I458" si="561">IF($F456=4.2,H456*$B$23,0)</f>
        <v>0</v>
      </c>
      <c r="J456" s="31">
        <f t="shared" ref="J456:J458" si="562">IF($F456=5,$H456*$B$24,0)</f>
        <v>5.5270599999999996</v>
      </c>
      <c r="K456" s="31">
        <f t="shared" ref="K456:K458" si="563">IF($F456=6.3,$H456*$B$25,0)</f>
        <v>0</v>
      </c>
      <c r="L456" s="31">
        <f t="shared" ref="L456:L458" si="564">IF($F456=8,$H456*$B$26,0)</f>
        <v>0</v>
      </c>
      <c r="M456" s="31">
        <f t="shared" ref="M456:M458" si="565">IF($F456=10,$H456*$B$27,0)</f>
        <v>0</v>
      </c>
      <c r="N456" s="31">
        <f t="shared" ref="N456:N458" si="566">IF($F456=12.5,$H456*$B$28,0)</f>
        <v>0</v>
      </c>
      <c r="O456" s="31">
        <f t="shared" ref="O456:O458" si="567">IF($F456=16,$H456*$B$29,0)</f>
        <v>0</v>
      </c>
      <c r="P456" s="31">
        <f t="shared" ref="P456:P458" si="568">IF($F456=20,$H456*$B$30,0)</f>
        <v>0</v>
      </c>
      <c r="Q456" s="49">
        <f t="shared" ref="Q456:Q458" si="569">IF($F456=25,$H456*$B$31,0)</f>
        <v>0</v>
      </c>
    </row>
    <row r="457" spans="4:17" s="16" customFormat="1" ht="13.2" x14ac:dyDescent="0.25">
      <c r="D457" s="235">
        <v>27</v>
      </c>
      <c r="E457" s="237">
        <v>2</v>
      </c>
      <c r="F457" s="238">
        <v>8</v>
      </c>
      <c r="G457" s="239">
        <v>8.3699999999999992</v>
      </c>
      <c r="H457" s="239">
        <f t="shared" si="560"/>
        <v>16.739999999999998</v>
      </c>
      <c r="I457" s="131">
        <f t="shared" si="561"/>
        <v>0</v>
      </c>
      <c r="J457" s="31">
        <f t="shared" si="562"/>
        <v>0</v>
      </c>
      <c r="K457" s="31">
        <f t="shared" si="563"/>
        <v>0</v>
      </c>
      <c r="L457" s="31">
        <f t="shared" si="564"/>
        <v>6.6122999999999994</v>
      </c>
      <c r="M457" s="31">
        <f t="shared" si="565"/>
        <v>0</v>
      </c>
      <c r="N457" s="31">
        <f t="shared" si="566"/>
        <v>0</v>
      </c>
      <c r="O457" s="31">
        <f t="shared" si="567"/>
        <v>0</v>
      </c>
      <c r="P457" s="31">
        <f t="shared" si="568"/>
        <v>0</v>
      </c>
      <c r="Q457" s="49">
        <f t="shared" si="569"/>
        <v>0</v>
      </c>
    </row>
    <row r="458" spans="4:17" s="16" customFormat="1" ht="13.2" x14ac:dyDescent="0.25">
      <c r="D458" s="235">
        <v>28</v>
      </c>
      <c r="E458" s="237">
        <v>2</v>
      </c>
      <c r="F458" s="238">
        <v>8</v>
      </c>
      <c r="G458" s="239">
        <v>8.59</v>
      </c>
      <c r="H458" s="239">
        <f t="shared" si="560"/>
        <v>17.18</v>
      </c>
      <c r="I458" s="131">
        <f t="shared" si="561"/>
        <v>0</v>
      </c>
      <c r="J458" s="31">
        <f t="shared" si="562"/>
        <v>0</v>
      </c>
      <c r="K458" s="31">
        <f t="shared" si="563"/>
        <v>0</v>
      </c>
      <c r="L458" s="31">
        <f t="shared" si="564"/>
        <v>6.7861000000000002</v>
      </c>
      <c r="M458" s="31">
        <f t="shared" si="565"/>
        <v>0</v>
      </c>
      <c r="N458" s="31">
        <f t="shared" si="566"/>
        <v>0</v>
      </c>
      <c r="O458" s="31">
        <f t="shared" si="567"/>
        <v>0</v>
      </c>
      <c r="P458" s="31">
        <f t="shared" si="568"/>
        <v>0</v>
      </c>
      <c r="Q458" s="49">
        <f t="shared" si="569"/>
        <v>0</v>
      </c>
    </row>
    <row r="459" spans="4:17" s="16" customFormat="1" ht="13.2" x14ac:dyDescent="0.25">
      <c r="D459" s="307"/>
      <c r="E459" s="26"/>
      <c r="F459" s="206"/>
      <c r="G459" s="207"/>
      <c r="H459" s="207"/>
      <c r="I459" s="51"/>
      <c r="J459" s="308"/>
      <c r="K459" s="308"/>
      <c r="L459" s="308"/>
      <c r="M459" s="308"/>
      <c r="N459" s="308"/>
      <c r="O459" s="308"/>
      <c r="P459" s="308"/>
      <c r="Q459" s="309"/>
    </row>
    <row r="460" spans="4:17" s="16" customFormat="1" ht="13.2" x14ac:dyDescent="0.25">
      <c r="D460" s="814" t="s">
        <v>1436</v>
      </c>
      <c r="E460" s="815"/>
      <c r="F460" s="815"/>
      <c r="G460" s="815"/>
      <c r="H460" s="815"/>
      <c r="I460" s="175">
        <f t="shared" ref="I460:Q460" si="570">SUM(I461:I464)</f>
        <v>0</v>
      </c>
      <c r="J460" s="175">
        <f t="shared" si="570"/>
        <v>5.5270599999999996</v>
      </c>
      <c r="K460" s="175">
        <f t="shared" si="570"/>
        <v>0</v>
      </c>
      <c r="L460" s="175">
        <f t="shared" si="570"/>
        <v>13.663050000000002</v>
      </c>
      <c r="M460" s="175">
        <f t="shared" si="570"/>
        <v>0</v>
      </c>
      <c r="N460" s="175">
        <f t="shared" si="570"/>
        <v>0</v>
      </c>
      <c r="O460" s="175">
        <f t="shared" si="570"/>
        <v>0</v>
      </c>
      <c r="P460" s="175">
        <f t="shared" si="570"/>
        <v>0</v>
      </c>
      <c r="Q460" s="175">
        <f t="shared" si="570"/>
        <v>0</v>
      </c>
    </row>
    <row r="461" spans="4:17" s="16" customFormat="1" ht="13.2" x14ac:dyDescent="0.25">
      <c r="D461" s="235">
        <v>1</v>
      </c>
      <c r="E461" s="237">
        <v>37</v>
      </c>
      <c r="F461" s="238">
        <v>5</v>
      </c>
      <c r="G461" s="239">
        <v>0.97</v>
      </c>
      <c r="H461" s="239">
        <f t="shared" ref="H461:H464" si="571">E461*G461</f>
        <v>35.89</v>
      </c>
      <c r="I461" s="131">
        <f t="shared" ref="I461:I464" si="572">IF($F461=4.2,H461*$B$23,0)</f>
        <v>0</v>
      </c>
      <c r="J461" s="31">
        <f t="shared" ref="J461:J464" si="573">IF($F461=5,$H461*$B$24,0)</f>
        <v>5.5270599999999996</v>
      </c>
      <c r="K461" s="31">
        <f t="shared" ref="K461:K464" si="574">IF($F461=6.3,$H461*$B$25,0)</f>
        <v>0</v>
      </c>
      <c r="L461" s="31">
        <f t="shared" ref="L461:L464" si="575">IF($F461=8,$H461*$B$26,0)</f>
        <v>0</v>
      </c>
      <c r="M461" s="31">
        <f t="shared" ref="M461:M464" si="576">IF($F461=10,$H461*$B$27,0)</f>
        <v>0</v>
      </c>
      <c r="N461" s="31">
        <f t="shared" ref="N461:N464" si="577">IF($F461=12.5,$H461*$B$28,0)</f>
        <v>0</v>
      </c>
      <c r="O461" s="31">
        <f t="shared" ref="O461:O464" si="578">IF($F461=16,$H461*$B$29,0)</f>
        <v>0</v>
      </c>
      <c r="P461" s="31">
        <f t="shared" ref="P461:P464" si="579">IF($F461=20,$H461*$B$30,0)</f>
        <v>0</v>
      </c>
      <c r="Q461" s="49">
        <f t="shared" ref="Q461:Q464" si="580">IF($F461=25,$H461*$B$31,0)</f>
        <v>0</v>
      </c>
    </row>
    <row r="462" spans="4:17" s="16" customFormat="1" ht="13.2" x14ac:dyDescent="0.25">
      <c r="D462" s="235">
        <v>29</v>
      </c>
      <c r="E462" s="237">
        <v>2</v>
      </c>
      <c r="F462" s="238">
        <v>8</v>
      </c>
      <c r="G462" s="239">
        <v>8.32</v>
      </c>
      <c r="H462" s="239">
        <f t="shared" si="571"/>
        <v>16.64</v>
      </c>
      <c r="I462" s="131">
        <f t="shared" si="572"/>
        <v>0</v>
      </c>
      <c r="J462" s="31">
        <f t="shared" si="573"/>
        <v>0</v>
      </c>
      <c r="K462" s="31">
        <f t="shared" si="574"/>
        <v>0</v>
      </c>
      <c r="L462" s="31">
        <f t="shared" si="575"/>
        <v>6.5728000000000009</v>
      </c>
      <c r="M462" s="31">
        <f t="shared" si="576"/>
        <v>0</v>
      </c>
      <c r="N462" s="31">
        <f t="shared" si="577"/>
        <v>0</v>
      </c>
      <c r="O462" s="31">
        <f t="shared" si="578"/>
        <v>0</v>
      </c>
      <c r="P462" s="31">
        <f t="shared" si="579"/>
        <v>0</v>
      </c>
      <c r="Q462" s="49">
        <f t="shared" si="580"/>
        <v>0</v>
      </c>
    </row>
    <row r="463" spans="4:17" s="16" customFormat="1" ht="13.2" x14ac:dyDescent="0.25">
      <c r="D463" s="235">
        <v>30</v>
      </c>
      <c r="E463" s="237">
        <v>1</v>
      </c>
      <c r="F463" s="238">
        <v>8</v>
      </c>
      <c r="G463" s="239">
        <v>1.1499999999999999</v>
      </c>
      <c r="H463" s="239">
        <f t="shared" si="571"/>
        <v>1.1499999999999999</v>
      </c>
      <c r="I463" s="131">
        <f t="shared" si="572"/>
        <v>0</v>
      </c>
      <c r="J463" s="31">
        <f t="shared" si="573"/>
        <v>0</v>
      </c>
      <c r="K463" s="31">
        <f t="shared" si="574"/>
        <v>0</v>
      </c>
      <c r="L463" s="31">
        <f t="shared" si="575"/>
        <v>0.45424999999999999</v>
      </c>
      <c r="M463" s="31">
        <f t="shared" si="576"/>
        <v>0</v>
      </c>
      <c r="N463" s="31">
        <f t="shared" si="577"/>
        <v>0</v>
      </c>
      <c r="O463" s="31">
        <f t="shared" si="578"/>
        <v>0</v>
      </c>
      <c r="P463" s="31">
        <f t="shared" si="579"/>
        <v>0</v>
      </c>
      <c r="Q463" s="49">
        <f t="shared" si="580"/>
        <v>0</v>
      </c>
    </row>
    <row r="464" spans="4:17" s="16" customFormat="1" ht="13.2" x14ac:dyDescent="0.25">
      <c r="D464" s="235">
        <v>31</v>
      </c>
      <c r="E464" s="237">
        <v>2</v>
      </c>
      <c r="F464" s="238">
        <v>8</v>
      </c>
      <c r="G464" s="239">
        <v>8.4</v>
      </c>
      <c r="H464" s="239">
        <f t="shared" si="571"/>
        <v>16.8</v>
      </c>
      <c r="I464" s="131">
        <f t="shared" si="572"/>
        <v>0</v>
      </c>
      <c r="J464" s="31">
        <f t="shared" si="573"/>
        <v>0</v>
      </c>
      <c r="K464" s="31">
        <f t="shared" si="574"/>
        <v>0</v>
      </c>
      <c r="L464" s="31">
        <f t="shared" si="575"/>
        <v>6.636000000000001</v>
      </c>
      <c r="M464" s="31">
        <f t="shared" si="576"/>
        <v>0</v>
      </c>
      <c r="N464" s="31">
        <f t="shared" si="577"/>
        <v>0</v>
      </c>
      <c r="O464" s="31">
        <f t="shared" si="578"/>
        <v>0</v>
      </c>
      <c r="P464" s="31">
        <f t="shared" si="579"/>
        <v>0</v>
      </c>
      <c r="Q464" s="49">
        <f t="shared" si="580"/>
        <v>0</v>
      </c>
    </row>
    <row r="465" spans="4:17" s="16" customFormat="1" ht="13.2" x14ac:dyDescent="0.25">
      <c r="D465" s="307"/>
      <c r="E465" s="26"/>
      <c r="F465" s="206"/>
      <c r="G465" s="207"/>
      <c r="H465" s="207"/>
      <c r="I465" s="51"/>
      <c r="J465" s="308"/>
      <c r="K465" s="308"/>
      <c r="L465" s="308"/>
      <c r="M465" s="308"/>
      <c r="N465" s="308"/>
      <c r="O465" s="308"/>
      <c r="P465" s="308"/>
      <c r="Q465" s="309"/>
    </row>
    <row r="466" spans="4:17" s="16" customFormat="1" ht="13.2" x14ac:dyDescent="0.25">
      <c r="D466" s="814" t="s">
        <v>1437</v>
      </c>
      <c r="E466" s="815"/>
      <c r="F466" s="815"/>
      <c r="G466" s="815"/>
      <c r="H466" s="815"/>
      <c r="I466" s="175">
        <f t="shared" ref="I466:Q466" si="581">SUM(I467:I474)</f>
        <v>0</v>
      </c>
      <c r="J466" s="175">
        <f t="shared" si="581"/>
        <v>8.5146599999999992</v>
      </c>
      <c r="K466" s="175">
        <f t="shared" si="581"/>
        <v>0</v>
      </c>
      <c r="L466" s="175">
        <f t="shared" si="581"/>
        <v>10.2858</v>
      </c>
      <c r="M466" s="175">
        <f t="shared" si="581"/>
        <v>19.022109999999998</v>
      </c>
      <c r="N466" s="175">
        <f t="shared" si="581"/>
        <v>0</v>
      </c>
      <c r="O466" s="175">
        <f t="shared" si="581"/>
        <v>0</v>
      </c>
      <c r="P466" s="175">
        <f t="shared" si="581"/>
        <v>0</v>
      </c>
      <c r="Q466" s="175">
        <f t="shared" si="581"/>
        <v>0</v>
      </c>
    </row>
    <row r="467" spans="4:17" s="16" customFormat="1" ht="13.2" x14ac:dyDescent="0.25">
      <c r="D467" s="235">
        <v>1</v>
      </c>
      <c r="E467" s="237">
        <v>57</v>
      </c>
      <c r="F467" s="238">
        <v>5</v>
      </c>
      <c r="G467" s="239">
        <v>0.97</v>
      </c>
      <c r="H467" s="239">
        <f t="shared" ref="H467:H474" si="582">E467*G467</f>
        <v>55.29</v>
      </c>
      <c r="I467" s="131">
        <f t="shared" ref="I467:I474" si="583">IF($F467=4.2,H467*$B$23,0)</f>
        <v>0</v>
      </c>
      <c r="J467" s="31">
        <f t="shared" ref="J467:J474" si="584">IF($F467=5,$H467*$B$24,0)</f>
        <v>8.5146599999999992</v>
      </c>
      <c r="K467" s="31">
        <f t="shared" ref="K467:K474" si="585">IF($F467=6.3,$H467*$B$25,0)</f>
        <v>0</v>
      </c>
      <c r="L467" s="31">
        <f t="shared" ref="L467:L474" si="586">IF($F467=8,$H467*$B$26,0)</f>
        <v>0</v>
      </c>
      <c r="M467" s="31">
        <f t="shared" ref="M467:M474" si="587">IF($F467=10,$H467*$B$27,0)</f>
        <v>0</v>
      </c>
      <c r="N467" s="31">
        <f t="shared" ref="N467:N474" si="588">IF($F467=12.5,$H467*$B$28,0)</f>
        <v>0</v>
      </c>
      <c r="O467" s="31">
        <f t="shared" ref="O467:O474" si="589">IF($F467=16,$H467*$B$29,0)</f>
        <v>0</v>
      </c>
      <c r="P467" s="31">
        <f t="shared" ref="P467:P474" si="590">IF($F467=20,$H467*$B$30,0)</f>
        <v>0</v>
      </c>
      <c r="Q467" s="49">
        <f t="shared" ref="Q467:Q474" si="591">IF($F467=25,$H467*$B$31,0)</f>
        <v>0</v>
      </c>
    </row>
    <row r="468" spans="4:17" s="16" customFormat="1" ht="13.2" x14ac:dyDescent="0.25">
      <c r="D468" s="235">
        <v>32</v>
      </c>
      <c r="E468" s="237">
        <v>2</v>
      </c>
      <c r="F468" s="238">
        <v>8</v>
      </c>
      <c r="G468" s="239">
        <v>11.11</v>
      </c>
      <c r="H468" s="239">
        <f t="shared" ref="H468:H470" si="592">E468*G468</f>
        <v>22.22</v>
      </c>
      <c r="I468" s="131">
        <f t="shared" ref="I468:I470" si="593">IF($F468=4.2,H468*$B$23,0)</f>
        <v>0</v>
      </c>
      <c r="J468" s="31">
        <f t="shared" si="584"/>
        <v>0</v>
      </c>
      <c r="K468" s="31">
        <f t="shared" si="585"/>
        <v>0</v>
      </c>
      <c r="L468" s="31">
        <f t="shared" si="586"/>
        <v>8.7768999999999995</v>
      </c>
      <c r="M468" s="31">
        <f t="shared" si="587"/>
        <v>0</v>
      </c>
      <c r="N468" s="31">
        <f t="shared" si="588"/>
        <v>0</v>
      </c>
      <c r="O468" s="31">
        <f t="shared" si="589"/>
        <v>0</v>
      </c>
      <c r="P468" s="31">
        <f t="shared" si="590"/>
        <v>0</v>
      </c>
      <c r="Q468" s="49">
        <f t="shared" si="591"/>
        <v>0</v>
      </c>
    </row>
    <row r="469" spans="4:17" s="16" customFormat="1" ht="13.2" x14ac:dyDescent="0.25">
      <c r="D469" s="235">
        <v>33</v>
      </c>
      <c r="E469" s="237">
        <v>2</v>
      </c>
      <c r="F469" s="238">
        <v>8</v>
      </c>
      <c r="G469" s="239">
        <v>1.91</v>
      </c>
      <c r="H469" s="239">
        <f t="shared" si="592"/>
        <v>3.82</v>
      </c>
      <c r="I469" s="131">
        <f t="shared" si="593"/>
        <v>0</v>
      </c>
      <c r="J469" s="31">
        <f t="shared" si="584"/>
        <v>0</v>
      </c>
      <c r="K469" s="31">
        <f t="shared" si="585"/>
        <v>0</v>
      </c>
      <c r="L469" s="31">
        <f t="shared" si="586"/>
        <v>1.5088999999999999</v>
      </c>
      <c r="M469" s="31">
        <f t="shared" si="587"/>
        <v>0</v>
      </c>
      <c r="N469" s="31">
        <f t="shared" si="588"/>
        <v>0</v>
      </c>
      <c r="O469" s="31">
        <f t="shared" si="589"/>
        <v>0</v>
      </c>
      <c r="P469" s="31">
        <f t="shared" si="590"/>
        <v>0</v>
      </c>
      <c r="Q469" s="49">
        <f t="shared" si="591"/>
        <v>0</v>
      </c>
    </row>
    <row r="470" spans="4:17" s="16" customFormat="1" ht="13.2" x14ac:dyDescent="0.25">
      <c r="D470" s="235">
        <v>34</v>
      </c>
      <c r="E470" s="237">
        <v>2</v>
      </c>
      <c r="F470" s="238">
        <v>10</v>
      </c>
      <c r="G470" s="239">
        <v>8.07</v>
      </c>
      <c r="H470" s="239">
        <f t="shared" si="592"/>
        <v>16.14</v>
      </c>
      <c r="I470" s="131">
        <f t="shared" si="593"/>
        <v>0</v>
      </c>
      <c r="J470" s="31">
        <f t="shared" si="584"/>
        <v>0</v>
      </c>
      <c r="K470" s="31">
        <f t="shared" si="585"/>
        <v>0</v>
      </c>
      <c r="L470" s="31">
        <f t="shared" si="586"/>
        <v>0</v>
      </c>
      <c r="M470" s="31">
        <f t="shared" si="587"/>
        <v>9.95838</v>
      </c>
      <c r="N470" s="31">
        <f t="shared" si="588"/>
        <v>0</v>
      </c>
      <c r="O470" s="31">
        <f t="shared" si="589"/>
        <v>0</v>
      </c>
      <c r="P470" s="31">
        <f t="shared" si="590"/>
        <v>0</v>
      </c>
      <c r="Q470" s="49">
        <f t="shared" si="591"/>
        <v>0</v>
      </c>
    </row>
    <row r="471" spans="4:17" s="16" customFormat="1" ht="13.2" x14ac:dyDescent="0.25">
      <c r="D471" s="235">
        <v>43</v>
      </c>
      <c r="E471" s="237">
        <v>1</v>
      </c>
      <c r="F471" s="238">
        <v>10</v>
      </c>
      <c r="G471" s="239">
        <v>2.2000000000000002</v>
      </c>
      <c r="H471" s="239">
        <f t="shared" si="582"/>
        <v>2.2000000000000002</v>
      </c>
      <c r="I471" s="131">
        <f t="shared" si="583"/>
        <v>0</v>
      </c>
      <c r="J471" s="31">
        <f t="shared" si="584"/>
        <v>0</v>
      </c>
      <c r="K471" s="31">
        <f t="shared" si="585"/>
        <v>0</v>
      </c>
      <c r="L471" s="31">
        <f t="shared" si="586"/>
        <v>0</v>
      </c>
      <c r="M471" s="31">
        <f t="shared" si="587"/>
        <v>1.3574000000000002</v>
      </c>
      <c r="N471" s="31">
        <f t="shared" si="588"/>
        <v>0</v>
      </c>
      <c r="O471" s="31">
        <f t="shared" si="589"/>
        <v>0</v>
      </c>
      <c r="P471" s="31">
        <f t="shared" si="590"/>
        <v>0</v>
      </c>
      <c r="Q471" s="49">
        <f t="shared" si="591"/>
        <v>0</v>
      </c>
    </row>
    <row r="472" spans="4:17" s="16" customFormat="1" ht="13.2" x14ac:dyDescent="0.25">
      <c r="D472" s="235">
        <v>44</v>
      </c>
      <c r="E472" s="237">
        <v>1</v>
      </c>
      <c r="F472" s="238">
        <v>10</v>
      </c>
      <c r="G472" s="239">
        <v>2.1</v>
      </c>
      <c r="H472" s="239">
        <f t="shared" si="582"/>
        <v>2.1</v>
      </c>
      <c r="I472" s="131">
        <f t="shared" si="583"/>
        <v>0</v>
      </c>
      <c r="J472" s="31">
        <f t="shared" si="584"/>
        <v>0</v>
      </c>
      <c r="K472" s="31">
        <f t="shared" si="585"/>
        <v>0</v>
      </c>
      <c r="L472" s="31">
        <f t="shared" si="586"/>
        <v>0</v>
      </c>
      <c r="M472" s="31">
        <f t="shared" si="587"/>
        <v>1.2957000000000001</v>
      </c>
      <c r="N472" s="31">
        <f t="shared" si="588"/>
        <v>0</v>
      </c>
      <c r="O472" s="31">
        <f t="shared" si="589"/>
        <v>0</v>
      </c>
      <c r="P472" s="31">
        <f t="shared" si="590"/>
        <v>0</v>
      </c>
      <c r="Q472" s="49">
        <f t="shared" si="591"/>
        <v>0</v>
      </c>
    </row>
    <row r="473" spans="4:17" s="16" customFormat="1" ht="13.2" x14ac:dyDescent="0.25">
      <c r="D473" s="235">
        <v>50</v>
      </c>
      <c r="E473" s="237">
        <v>1</v>
      </c>
      <c r="F473" s="238">
        <v>10</v>
      </c>
      <c r="G473" s="239">
        <v>2.25</v>
      </c>
      <c r="H473" s="239">
        <f t="shared" si="582"/>
        <v>2.25</v>
      </c>
      <c r="I473" s="131">
        <f t="shared" si="583"/>
        <v>0</v>
      </c>
      <c r="J473" s="31">
        <f t="shared" si="584"/>
        <v>0</v>
      </c>
      <c r="K473" s="31">
        <f t="shared" si="585"/>
        <v>0</v>
      </c>
      <c r="L473" s="31">
        <f t="shared" si="586"/>
        <v>0</v>
      </c>
      <c r="M473" s="31">
        <f t="shared" si="587"/>
        <v>1.38825</v>
      </c>
      <c r="N473" s="31">
        <f t="shared" si="588"/>
        <v>0</v>
      </c>
      <c r="O473" s="31">
        <f t="shared" si="589"/>
        <v>0</v>
      </c>
      <c r="P473" s="31">
        <f t="shared" si="590"/>
        <v>0</v>
      </c>
      <c r="Q473" s="49">
        <f t="shared" si="591"/>
        <v>0</v>
      </c>
    </row>
    <row r="474" spans="4:17" s="16" customFormat="1" ht="13.2" x14ac:dyDescent="0.25">
      <c r="D474" s="235">
        <v>51</v>
      </c>
      <c r="E474" s="237">
        <v>2</v>
      </c>
      <c r="F474" s="238">
        <v>10</v>
      </c>
      <c r="G474" s="239">
        <v>4.07</v>
      </c>
      <c r="H474" s="239">
        <f t="shared" si="582"/>
        <v>8.14</v>
      </c>
      <c r="I474" s="131">
        <f t="shared" si="583"/>
        <v>0</v>
      </c>
      <c r="J474" s="31">
        <f t="shared" si="584"/>
        <v>0</v>
      </c>
      <c r="K474" s="31">
        <f t="shared" si="585"/>
        <v>0</v>
      </c>
      <c r="L474" s="31">
        <f t="shared" si="586"/>
        <v>0</v>
      </c>
      <c r="M474" s="31">
        <f t="shared" si="587"/>
        <v>5.0223800000000001</v>
      </c>
      <c r="N474" s="31">
        <f t="shared" si="588"/>
        <v>0</v>
      </c>
      <c r="O474" s="31">
        <f t="shared" si="589"/>
        <v>0</v>
      </c>
      <c r="P474" s="31">
        <f t="shared" si="590"/>
        <v>0</v>
      </c>
      <c r="Q474" s="49">
        <f t="shared" si="591"/>
        <v>0</v>
      </c>
    </row>
    <row r="475" spans="4:17" s="16" customFormat="1" ht="13.2" x14ac:dyDescent="0.25">
      <c r="D475" s="307"/>
      <c r="E475" s="26"/>
      <c r="F475" s="206"/>
      <c r="G475" s="207"/>
      <c r="H475" s="207"/>
      <c r="I475" s="51"/>
      <c r="J475" s="308"/>
      <c r="K475" s="308"/>
      <c r="L475" s="308"/>
      <c r="M475" s="308"/>
      <c r="N475" s="308"/>
      <c r="O475" s="308"/>
      <c r="P475" s="308"/>
      <c r="Q475" s="309"/>
    </row>
    <row r="476" spans="4:17" s="16" customFormat="1" ht="13.2" x14ac:dyDescent="0.25">
      <c r="D476" s="814" t="s">
        <v>1438</v>
      </c>
      <c r="E476" s="815"/>
      <c r="F476" s="815"/>
      <c r="G476" s="815"/>
      <c r="H476" s="815"/>
      <c r="I476" s="175">
        <f t="shared" ref="I476:Q476" si="594">SUM(I477:I486)</f>
        <v>0</v>
      </c>
      <c r="J476" s="175">
        <f t="shared" si="594"/>
        <v>8.5146599999999992</v>
      </c>
      <c r="K476" s="175">
        <f t="shared" si="594"/>
        <v>0</v>
      </c>
      <c r="L476" s="175">
        <f t="shared" si="594"/>
        <v>3.6419000000000006</v>
      </c>
      <c r="M476" s="175">
        <f t="shared" si="594"/>
        <v>23.075800000000001</v>
      </c>
      <c r="N476" s="175">
        <f t="shared" si="594"/>
        <v>13.72275</v>
      </c>
      <c r="O476" s="175">
        <f t="shared" si="594"/>
        <v>0</v>
      </c>
      <c r="P476" s="175">
        <f t="shared" si="594"/>
        <v>0</v>
      </c>
      <c r="Q476" s="175">
        <f t="shared" si="594"/>
        <v>0</v>
      </c>
    </row>
    <row r="477" spans="4:17" s="16" customFormat="1" ht="13.2" x14ac:dyDescent="0.25">
      <c r="D477" s="235">
        <v>1</v>
      </c>
      <c r="E477" s="237">
        <v>57</v>
      </c>
      <c r="F477" s="238">
        <v>5</v>
      </c>
      <c r="G477" s="239">
        <v>0.97</v>
      </c>
      <c r="H477" s="239">
        <f t="shared" ref="H477:H486" si="595">E477*G477</f>
        <v>55.29</v>
      </c>
      <c r="I477" s="131">
        <f t="shared" ref="I477:I486" si="596">IF($F477=4.2,H477*$B$23,0)</f>
        <v>0</v>
      </c>
      <c r="J477" s="31">
        <f t="shared" ref="J477:J486" si="597">IF($F477=5,$H477*$B$24,0)</f>
        <v>8.5146599999999992</v>
      </c>
      <c r="K477" s="31">
        <f t="shared" ref="K477:K486" si="598">IF($F477=6.3,$H477*$B$25,0)</f>
        <v>0</v>
      </c>
      <c r="L477" s="31">
        <f t="shared" ref="L477:L486" si="599">IF($F477=8,$H477*$B$26,0)</f>
        <v>0</v>
      </c>
      <c r="M477" s="31">
        <f t="shared" ref="M477:M486" si="600">IF($F477=10,$H477*$B$27,0)</f>
        <v>0</v>
      </c>
      <c r="N477" s="31">
        <f t="shared" ref="N477:N486" si="601">IF($F477=12.5,$H477*$B$28,0)</f>
        <v>0</v>
      </c>
      <c r="O477" s="31">
        <f t="shared" ref="O477:O486" si="602">IF($F477=16,$H477*$B$29,0)</f>
        <v>0</v>
      </c>
      <c r="P477" s="31">
        <f t="shared" ref="P477:P486" si="603">IF($F477=20,$H477*$B$30,0)</f>
        <v>0</v>
      </c>
      <c r="Q477" s="49">
        <f t="shared" ref="Q477:Q486" si="604">IF($F477=25,$H477*$B$31,0)</f>
        <v>0</v>
      </c>
    </row>
    <row r="478" spans="4:17" s="16" customFormat="1" ht="13.2" x14ac:dyDescent="0.25">
      <c r="D478" s="235">
        <v>2</v>
      </c>
      <c r="E478" s="237">
        <v>2</v>
      </c>
      <c r="F478" s="238">
        <v>8</v>
      </c>
      <c r="G478" s="239">
        <v>4.6100000000000003</v>
      </c>
      <c r="H478" s="239">
        <f t="shared" si="595"/>
        <v>9.2200000000000006</v>
      </c>
      <c r="I478" s="131">
        <f t="shared" si="596"/>
        <v>0</v>
      </c>
      <c r="J478" s="31">
        <f t="shared" si="597"/>
        <v>0</v>
      </c>
      <c r="K478" s="31">
        <f t="shared" si="598"/>
        <v>0</v>
      </c>
      <c r="L478" s="31">
        <f t="shared" si="599"/>
        <v>3.6419000000000006</v>
      </c>
      <c r="M478" s="31">
        <f t="shared" si="600"/>
        <v>0</v>
      </c>
      <c r="N478" s="31">
        <f t="shared" si="601"/>
        <v>0</v>
      </c>
      <c r="O478" s="31">
        <f t="shared" si="602"/>
        <v>0</v>
      </c>
      <c r="P478" s="31">
        <f t="shared" si="603"/>
        <v>0</v>
      </c>
      <c r="Q478" s="49">
        <f t="shared" si="604"/>
        <v>0</v>
      </c>
    </row>
    <row r="479" spans="4:17" s="16" customFormat="1" ht="13.2" x14ac:dyDescent="0.25">
      <c r="D479" s="235">
        <v>25</v>
      </c>
      <c r="E479" s="237">
        <v>1</v>
      </c>
      <c r="F479" s="238">
        <v>10</v>
      </c>
      <c r="G479" s="239">
        <v>4.3</v>
      </c>
      <c r="H479" s="239">
        <f t="shared" si="595"/>
        <v>4.3</v>
      </c>
      <c r="I479" s="131">
        <f t="shared" si="596"/>
        <v>0</v>
      </c>
      <c r="J479" s="31">
        <f t="shared" si="597"/>
        <v>0</v>
      </c>
      <c r="K479" s="31">
        <f t="shared" si="598"/>
        <v>0</v>
      </c>
      <c r="L479" s="31">
        <f t="shared" si="599"/>
        <v>0</v>
      </c>
      <c r="M479" s="31">
        <f t="shared" si="600"/>
        <v>2.6530999999999998</v>
      </c>
      <c r="N479" s="31">
        <f t="shared" si="601"/>
        <v>0</v>
      </c>
      <c r="O479" s="31">
        <f t="shared" si="602"/>
        <v>0</v>
      </c>
      <c r="P479" s="31">
        <f t="shared" si="603"/>
        <v>0</v>
      </c>
      <c r="Q479" s="49">
        <f t="shared" si="604"/>
        <v>0</v>
      </c>
    </row>
    <row r="480" spans="4:17" s="16" customFormat="1" ht="13.2" x14ac:dyDescent="0.25">
      <c r="D480" s="235">
        <v>26</v>
      </c>
      <c r="E480" s="237">
        <v>2</v>
      </c>
      <c r="F480" s="238">
        <v>10</v>
      </c>
      <c r="G480" s="239">
        <v>8.17</v>
      </c>
      <c r="H480" s="239">
        <f t="shared" ref="H480:H482" si="605">E480*G480</f>
        <v>16.34</v>
      </c>
      <c r="I480" s="131">
        <f t="shared" ref="I480:I482" si="606">IF($F480=4.2,H480*$B$23,0)</f>
        <v>0</v>
      </c>
      <c r="J480" s="31">
        <f t="shared" si="597"/>
        <v>0</v>
      </c>
      <c r="K480" s="31">
        <f t="shared" si="598"/>
        <v>0</v>
      </c>
      <c r="L480" s="31">
        <f t="shared" si="599"/>
        <v>0</v>
      </c>
      <c r="M480" s="31">
        <f t="shared" si="600"/>
        <v>10.08178</v>
      </c>
      <c r="N480" s="31">
        <f t="shared" si="601"/>
        <v>0</v>
      </c>
      <c r="O480" s="31">
        <f t="shared" si="602"/>
        <v>0</v>
      </c>
      <c r="P480" s="31">
        <f t="shared" si="603"/>
        <v>0</v>
      </c>
      <c r="Q480" s="49">
        <f t="shared" si="604"/>
        <v>0</v>
      </c>
    </row>
    <row r="481" spans="4:17" s="16" customFormat="1" ht="13.2" x14ac:dyDescent="0.25">
      <c r="D481" s="235">
        <v>27</v>
      </c>
      <c r="E481" s="237">
        <v>1</v>
      </c>
      <c r="F481" s="238">
        <v>10</v>
      </c>
      <c r="G481" s="239">
        <v>2.08</v>
      </c>
      <c r="H481" s="239">
        <f t="shared" si="605"/>
        <v>2.08</v>
      </c>
      <c r="I481" s="131">
        <f t="shared" si="606"/>
        <v>0</v>
      </c>
      <c r="J481" s="31">
        <f t="shared" si="597"/>
        <v>0</v>
      </c>
      <c r="K481" s="31">
        <f t="shared" si="598"/>
        <v>0</v>
      </c>
      <c r="L481" s="31">
        <f t="shared" si="599"/>
        <v>0</v>
      </c>
      <c r="M481" s="31">
        <f t="shared" si="600"/>
        <v>1.2833600000000001</v>
      </c>
      <c r="N481" s="31">
        <f t="shared" si="601"/>
        <v>0</v>
      </c>
      <c r="O481" s="31">
        <f t="shared" si="602"/>
        <v>0</v>
      </c>
      <c r="P481" s="31">
        <f t="shared" si="603"/>
        <v>0</v>
      </c>
      <c r="Q481" s="49">
        <f t="shared" si="604"/>
        <v>0</v>
      </c>
    </row>
    <row r="482" spans="4:17" s="16" customFormat="1" ht="13.2" x14ac:dyDescent="0.25">
      <c r="D482" s="235">
        <v>28</v>
      </c>
      <c r="E482" s="237">
        <v>2</v>
      </c>
      <c r="F482" s="238">
        <v>10</v>
      </c>
      <c r="G482" s="239">
        <v>4.3499999999999996</v>
      </c>
      <c r="H482" s="239">
        <f t="shared" si="605"/>
        <v>8.6999999999999993</v>
      </c>
      <c r="I482" s="131">
        <f t="shared" si="606"/>
        <v>0</v>
      </c>
      <c r="J482" s="31">
        <f t="shared" si="597"/>
        <v>0</v>
      </c>
      <c r="K482" s="31">
        <f t="shared" si="598"/>
        <v>0</v>
      </c>
      <c r="L482" s="31">
        <f t="shared" si="599"/>
        <v>0</v>
      </c>
      <c r="M482" s="31">
        <f t="shared" si="600"/>
        <v>5.3678999999999997</v>
      </c>
      <c r="N482" s="31">
        <f t="shared" si="601"/>
        <v>0</v>
      </c>
      <c r="O482" s="31">
        <f t="shared" si="602"/>
        <v>0</v>
      </c>
      <c r="P482" s="31">
        <f t="shared" si="603"/>
        <v>0</v>
      </c>
      <c r="Q482" s="49">
        <f t="shared" si="604"/>
        <v>0</v>
      </c>
    </row>
    <row r="483" spans="4:17" s="16" customFormat="1" ht="13.2" x14ac:dyDescent="0.25">
      <c r="D483" s="235">
        <v>29</v>
      </c>
      <c r="E483" s="237">
        <v>1</v>
      </c>
      <c r="F483" s="238">
        <v>10</v>
      </c>
      <c r="G483" s="239">
        <v>1.56</v>
      </c>
      <c r="H483" s="239">
        <f t="shared" si="595"/>
        <v>1.56</v>
      </c>
      <c r="I483" s="131">
        <f t="shared" si="596"/>
        <v>0</v>
      </c>
      <c r="J483" s="31">
        <f t="shared" si="597"/>
        <v>0</v>
      </c>
      <c r="K483" s="31">
        <f t="shared" si="598"/>
        <v>0</v>
      </c>
      <c r="L483" s="31">
        <f t="shared" si="599"/>
        <v>0</v>
      </c>
      <c r="M483" s="31">
        <f t="shared" si="600"/>
        <v>0.96252000000000004</v>
      </c>
      <c r="N483" s="31">
        <f t="shared" si="601"/>
        <v>0</v>
      </c>
      <c r="O483" s="31">
        <f t="shared" si="602"/>
        <v>0</v>
      </c>
      <c r="P483" s="31">
        <f t="shared" si="603"/>
        <v>0</v>
      </c>
      <c r="Q483" s="49">
        <f t="shared" si="604"/>
        <v>0</v>
      </c>
    </row>
    <row r="484" spans="4:17" s="16" customFormat="1" ht="13.2" x14ac:dyDescent="0.25">
      <c r="D484" s="235">
        <v>30</v>
      </c>
      <c r="E484" s="237">
        <v>2</v>
      </c>
      <c r="F484" s="238">
        <v>10</v>
      </c>
      <c r="G484" s="239">
        <v>2.21</v>
      </c>
      <c r="H484" s="239">
        <f t="shared" si="595"/>
        <v>4.42</v>
      </c>
      <c r="I484" s="131">
        <f t="shared" si="596"/>
        <v>0</v>
      </c>
      <c r="J484" s="31">
        <f t="shared" si="597"/>
        <v>0</v>
      </c>
      <c r="K484" s="31">
        <f t="shared" si="598"/>
        <v>0</v>
      </c>
      <c r="L484" s="31">
        <f t="shared" si="599"/>
        <v>0</v>
      </c>
      <c r="M484" s="31">
        <f t="shared" si="600"/>
        <v>2.7271399999999999</v>
      </c>
      <c r="N484" s="31">
        <f t="shared" si="601"/>
        <v>0</v>
      </c>
      <c r="O484" s="31">
        <f t="shared" si="602"/>
        <v>0</v>
      </c>
      <c r="P484" s="31">
        <f t="shared" si="603"/>
        <v>0</v>
      </c>
      <c r="Q484" s="49">
        <f t="shared" si="604"/>
        <v>0</v>
      </c>
    </row>
    <row r="485" spans="4:17" s="16" customFormat="1" ht="13.2" x14ac:dyDescent="0.25">
      <c r="D485" s="235">
        <v>39</v>
      </c>
      <c r="E485" s="237">
        <v>1</v>
      </c>
      <c r="F485" s="238">
        <v>12.5</v>
      </c>
      <c r="G485" s="239">
        <v>2.0499999999999998</v>
      </c>
      <c r="H485" s="239">
        <f t="shared" si="595"/>
        <v>2.0499999999999998</v>
      </c>
      <c r="I485" s="131">
        <f t="shared" si="596"/>
        <v>0</v>
      </c>
      <c r="J485" s="31">
        <f t="shared" si="597"/>
        <v>0</v>
      </c>
      <c r="K485" s="31">
        <f t="shared" si="598"/>
        <v>0</v>
      </c>
      <c r="L485" s="31">
        <f t="shared" si="599"/>
        <v>0</v>
      </c>
      <c r="M485" s="31">
        <f t="shared" si="600"/>
        <v>0</v>
      </c>
      <c r="N485" s="31">
        <f t="shared" si="601"/>
        <v>1.9741499999999998</v>
      </c>
      <c r="O485" s="31">
        <f t="shared" si="602"/>
        <v>0</v>
      </c>
      <c r="P485" s="31">
        <f t="shared" si="603"/>
        <v>0</v>
      </c>
      <c r="Q485" s="49">
        <f t="shared" si="604"/>
        <v>0</v>
      </c>
    </row>
    <row r="486" spans="4:17" s="16" customFormat="1" ht="13.2" x14ac:dyDescent="0.25">
      <c r="D486" s="235">
        <v>40</v>
      </c>
      <c r="E486" s="237">
        <v>2</v>
      </c>
      <c r="F486" s="238">
        <v>12.5</v>
      </c>
      <c r="G486" s="239">
        <v>6.1</v>
      </c>
      <c r="H486" s="239">
        <f t="shared" si="595"/>
        <v>12.2</v>
      </c>
      <c r="I486" s="131">
        <f t="shared" si="596"/>
        <v>0</v>
      </c>
      <c r="J486" s="31">
        <f t="shared" si="597"/>
        <v>0</v>
      </c>
      <c r="K486" s="31">
        <f t="shared" si="598"/>
        <v>0</v>
      </c>
      <c r="L486" s="31">
        <f t="shared" si="599"/>
        <v>0</v>
      </c>
      <c r="M486" s="31">
        <f t="shared" si="600"/>
        <v>0</v>
      </c>
      <c r="N486" s="31">
        <f t="shared" si="601"/>
        <v>11.7486</v>
      </c>
      <c r="O486" s="31">
        <f t="shared" si="602"/>
        <v>0</v>
      </c>
      <c r="P486" s="31">
        <f t="shared" si="603"/>
        <v>0</v>
      </c>
      <c r="Q486" s="49">
        <f t="shared" si="604"/>
        <v>0</v>
      </c>
    </row>
    <row r="487" spans="4:17" s="16" customFormat="1" ht="13.2" x14ac:dyDescent="0.25">
      <c r="D487" s="307"/>
      <c r="E487" s="26"/>
      <c r="F487" s="206"/>
      <c r="G487" s="207"/>
      <c r="H487" s="207"/>
      <c r="I487" s="51"/>
      <c r="J487" s="308"/>
      <c r="K487" s="308"/>
      <c r="L487" s="308"/>
      <c r="M487" s="308"/>
      <c r="N487" s="308"/>
      <c r="O487" s="308"/>
      <c r="P487" s="308"/>
      <c r="Q487" s="309"/>
    </row>
    <row r="488" spans="4:17" s="16" customFormat="1" ht="13.2" x14ac:dyDescent="0.25">
      <c r="D488" s="814" t="s">
        <v>1439</v>
      </c>
      <c r="E488" s="815"/>
      <c r="F488" s="815"/>
      <c r="G488" s="815"/>
      <c r="H488" s="815"/>
      <c r="I488" s="175">
        <f t="shared" ref="I488:Q488" si="607">SUM(I489:I490)</f>
        <v>0</v>
      </c>
      <c r="J488" s="175">
        <f t="shared" si="607"/>
        <v>1.3444199999999999</v>
      </c>
      <c r="K488" s="175">
        <f t="shared" si="607"/>
        <v>0</v>
      </c>
      <c r="L488" s="175">
        <f t="shared" si="607"/>
        <v>4.5662000000000003</v>
      </c>
      <c r="M488" s="175">
        <f t="shared" si="607"/>
        <v>0</v>
      </c>
      <c r="N488" s="175">
        <f t="shared" si="607"/>
        <v>0</v>
      </c>
      <c r="O488" s="175">
        <f t="shared" si="607"/>
        <v>0</v>
      </c>
      <c r="P488" s="175">
        <f t="shared" si="607"/>
        <v>0</v>
      </c>
      <c r="Q488" s="175">
        <f t="shared" si="607"/>
        <v>0</v>
      </c>
    </row>
    <row r="489" spans="4:17" s="16" customFormat="1" ht="13.2" x14ac:dyDescent="0.25">
      <c r="D489" s="235">
        <v>1</v>
      </c>
      <c r="E489" s="237">
        <v>9</v>
      </c>
      <c r="F489" s="238">
        <v>5</v>
      </c>
      <c r="G489" s="239">
        <v>0.97</v>
      </c>
      <c r="H489" s="239">
        <f t="shared" ref="H489:H490" si="608">E489*G489</f>
        <v>8.73</v>
      </c>
      <c r="I489" s="131">
        <f t="shared" ref="I489:I490" si="609">IF($F489=4.2,H489*$B$23,0)</f>
        <v>0</v>
      </c>
      <c r="J489" s="31">
        <f t="shared" ref="J489:J490" si="610">IF($F489=5,$H489*$B$24,0)</f>
        <v>1.3444199999999999</v>
      </c>
      <c r="K489" s="31">
        <f t="shared" ref="K489:K490" si="611">IF($F489=6.3,$H489*$B$25,0)</f>
        <v>0</v>
      </c>
      <c r="L489" s="31">
        <f t="shared" ref="L489:L490" si="612">IF($F489=8,$H489*$B$26,0)</f>
        <v>0</v>
      </c>
      <c r="M489" s="31">
        <f t="shared" ref="M489:M490" si="613">IF($F489=10,$H489*$B$27,0)</f>
        <v>0</v>
      </c>
      <c r="N489" s="31">
        <f t="shared" ref="N489:N490" si="614">IF($F489=12.5,$H489*$B$28,0)</f>
        <v>0</v>
      </c>
      <c r="O489" s="31">
        <f t="shared" ref="O489:O490" si="615">IF($F489=16,$H489*$B$29,0)</f>
        <v>0</v>
      </c>
      <c r="P489" s="31">
        <f t="shared" ref="P489:P490" si="616">IF($F489=20,$H489*$B$30,0)</f>
        <v>0</v>
      </c>
      <c r="Q489" s="49">
        <f t="shared" ref="Q489:Q490" si="617">IF($F489=25,$H489*$B$31,0)</f>
        <v>0</v>
      </c>
    </row>
    <row r="490" spans="4:17" s="16" customFormat="1" ht="13.2" x14ac:dyDescent="0.25">
      <c r="D490" s="235">
        <v>3</v>
      </c>
      <c r="E490" s="237">
        <v>4</v>
      </c>
      <c r="F490" s="238">
        <v>8</v>
      </c>
      <c r="G490" s="239">
        <v>2.89</v>
      </c>
      <c r="H490" s="239">
        <f t="shared" si="608"/>
        <v>11.56</v>
      </c>
      <c r="I490" s="131">
        <f t="shared" si="609"/>
        <v>0</v>
      </c>
      <c r="J490" s="31">
        <f t="shared" si="610"/>
        <v>0</v>
      </c>
      <c r="K490" s="31">
        <f t="shared" si="611"/>
        <v>0</v>
      </c>
      <c r="L490" s="31">
        <f t="shared" si="612"/>
        <v>4.5662000000000003</v>
      </c>
      <c r="M490" s="31">
        <f t="shared" si="613"/>
        <v>0</v>
      </c>
      <c r="N490" s="31">
        <f t="shared" si="614"/>
        <v>0</v>
      </c>
      <c r="O490" s="31">
        <f t="shared" si="615"/>
        <v>0</v>
      </c>
      <c r="P490" s="31">
        <f t="shared" si="616"/>
        <v>0</v>
      </c>
      <c r="Q490" s="49">
        <f t="shared" si="617"/>
        <v>0</v>
      </c>
    </row>
    <row r="491" spans="4:17" s="16" customFormat="1" ht="13.2" x14ac:dyDescent="0.25">
      <c r="D491" s="307"/>
      <c r="E491" s="26"/>
      <c r="F491" s="206"/>
      <c r="G491" s="207"/>
      <c r="H491" s="207"/>
      <c r="I491" s="51"/>
      <c r="J491" s="308"/>
      <c r="K491" s="308"/>
      <c r="L491" s="308"/>
      <c r="M491" s="308"/>
      <c r="N491" s="308"/>
      <c r="O491" s="308"/>
      <c r="P491" s="308"/>
      <c r="Q491" s="309"/>
    </row>
    <row r="492" spans="4:17" s="16" customFormat="1" ht="13.2" x14ac:dyDescent="0.25">
      <c r="D492" s="814" t="s">
        <v>1440</v>
      </c>
      <c r="E492" s="815"/>
      <c r="F492" s="815"/>
      <c r="G492" s="815"/>
      <c r="H492" s="815"/>
      <c r="I492" s="175">
        <f t="shared" ref="I492:Q492" si="618">SUM(I493:I494)</f>
        <v>0</v>
      </c>
      <c r="J492" s="175">
        <f t="shared" si="618"/>
        <v>1.3444199999999999</v>
      </c>
      <c r="K492" s="175">
        <f t="shared" si="618"/>
        <v>0</v>
      </c>
      <c r="L492" s="175">
        <f t="shared" si="618"/>
        <v>4.4871999999999996</v>
      </c>
      <c r="M492" s="175">
        <f t="shared" si="618"/>
        <v>0</v>
      </c>
      <c r="N492" s="175">
        <f t="shared" si="618"/>
        <v>0</v>
      </c>
      <c r="O492" s="175">
        <f t="shared" si="618"/>
        <v>0</v>
      </c>
      <c r="P492" s="175">
        <f t="shared" si="618"/>
        <v>0</v>
      </c>
      <c r="Q492" s="175">
        <f t="shared" si="618"/>
        <v>0</v>
      </c>
    </row>
    <row r="493" spans="4:17" s="16" customFormat="1" ht="13.2" x14ac:dyDescent="0.25">
      <c r="D493" s="235">
        <v>1</v>
      </c>
      <c r="E493" s="237">
        <v>9</v>
      </c>
      <c r="F493" s="238">
        <v>5</v>
      </c>
      <c r="G493" s="239">
        <v>0.97</v>
      </c>
      <c r="H493" s="239">
        <f t="shared" ref="H493:H494" si="619">E493*G493</f>
        <v>8.73</v>
      </c>
      <c r="I493" s="131">
        <f t="shared" ref="I493:I494" si="620">IF($F493=4.2,H493*$B$23,0)</f>
        <v>0</v>
      </c>
      <c r="J493" s="31">
        <f t="shared" ref="J493:J494" si="621">IF($F493=5,$H493*$B$24,0)</f>
        <v>1.3444199999999999</v>
      </c>
      <c r="K493" s="31">
        <f t="shared" ref="K493:K494" si="622">IF($F493=6.3,$H493*$B$25,0)</f>
        <v>0</v>
      </c>
      <c r="L493" s="31">
        <f t="shared" ref="L493:L494" si="623">IF($F493=8,$H493*$B$26,0)</f>
        <v>0</v>
      </c>
      <c r="M493" s="31">
        <f t="shared" ref="M493:M494" si="624">IF($F493=10,$H493*$B$27,0)</f>
        <v>0</v>
      </c>
      <c r="N493" s="31">
        <f t="shared" ref="N493:N494" si="625">IF($F493=12.5,$H493*$B$28,0)</f>
        <v>0</v>
      </c>
      <c r="O493" s="31">
        <f t="shared" ref="O493:O494" si="626">IF($F493=16,$H493*$B$29,0)</f>
        <v>0</v>
      </c>
      <c r="P493" s="31">
        <f t="shared" ref="P493:P494" si="627">IF($F493=20,$H493*$B$30,0)</f>
        <v>0</v>
      </c>
      <c r="Q493" s="49">
        <f t="shared" ref="Q493:Q494" si="628">IF($F493=25,$H493*$B$31,0)</f>
        <v>0</v>
      </c>
    </row>
    <row r="494" spans="4:17" s="16" customFormat="1" ht="13.2" x14ac:dyDescent="0.25">
      <c r="D494" s="235">
        <v>4</v>
      </c>
      <c r="E494" s="237">
        <v>4</v>
      </c>
      <c r="F494" s="238">
        <v>8</v>
      </c>
      <c r="G494" s="239">
        <v>2.84</v>
      </c>
      <c r="H494" s="239">
        <f t="shared" si="619"/>
        <v>11.36</v>
      </c>
      <c r="I494" s="131">
        <f t="shared" si="620"/>
        <v>0</v>
      </c>
      <c r="J494" s="31">
        <f t="shared" si="621"/>
        <v>0</v>
      </c>
      <c r="K494" s="31">
        <f t="shared" si="622"/>
        <v>0</v>
      </c>
      <c r="L494" s="31">
        <f t="shared" si="623"/>
        <v>4.4871999999999996</v>
      </c>
      <c r="M494" s="31">
        <f t="shared" si="624"/>
        <v>0</v>
      </c>
      <c r="N494" s="31">
        <f t="shared" si="625"/>
        <v>0</v>
      </c>
      <c r="O494" s="31">
        <f t="shared" si="626"/>
        <v>0</v>
      </c>
      <c r="P494" s="31">
        <f t="shared" si="627"/>
        <v>0</v>
      </c>
      <c r="Q494" s="49">
        <f t="shared" si="628"/>
        <v>0</v>
      </c>
    </row>
    <row r="495" spans="4:17" s="16" customFormat="1" ht="13.2" x14ac:dyDescent="0.25">
      <c r="D495" s="307"/>
      <c r="E495" s="26"/>
      <c r="F495" s="206"/>
      <c r="G495" s="207"/>
      <c r="H495" s="207"/>
      <c r="I495" s="51"/>
      <c r="J495" s="308"/>
      <c r="K495" s="308"/>
      <c r="L495" s="308"/>
      <c r="M495" s="308"/>
      <c r="N495" s="308"/>
      <c r="O495" s="308"/>
      <c r="P495" s="308"/>
      <c r="Q495" s="309"/>
    </row>
    <row r="496" spans="4:17" s="16" customFormat="1" ht="13.2" x14ac:dyDescent="0.25">
      <c r="D496" s="814" t="s">
        <v>1441</v>
      </c>
      <c r="E496" s="815"/>
      <c r="F496" s="815"/>
      <c r="G496" s="815"/>
      <c r="H496" s="815"/>
      <c r="I496" s="175">
        <f t="shared" ref="I496:Q496" si="629">SUM(I497:I499)</f>
        <v>0</v>
      </c>
      <c r="J496" s="175">
        <f t="shared" si="629"/>
        <v>2.9875999999999996</v>
      </c>
      <c r="K496" s="175">
        <f t="shared" si="629"/>
        <v>0</v>
      </c>
      <c r="L496" s="175">
        <f t="shared" si="629"/>
        <v>4.1238000000000001</v>
      </c>
      <c r="M496" s="175">
        <f t="shared" si="629"/>
        <v>0</v>
      </c>
      <c r="N496" s="175">
        <f t="shared" si="629"/>
        <v>10.496700000000001</v>
      </c>
      <c r="O496" s="175">
        <f t="shared" si="629"/>
        <v>0</v>
      </c>
      <c r="P496" s="175">
        <f t="shared" si="629"/>
        <v>0</v>
      </c>
      <c r="Q496" s="175">
        <f t="shared" si="629"/>
        <v>0</v>
      </c>
    </row>
    <row r="497" spans="4:17" s="16" customFormat="1" ht="13.2" x14ac:dyDescent="0.25">
      <c r="D497" s="235">
        <v>1</v>
      </c>
      <c r="E497" s="237">
        <v>20</v>
      </c>
      <c r="F497" s="238">
        <v>5</v>
      </c>
      <c r="G497" s="239">
        <v>0.97</v>
      </c>
      <c r="H497" s="239">
        <f t="shared" ref="H497:H499" si="630">E497*G497</f>
        <v>19.399999999999999</v>
      </c>
      <c r="I497" s="131">
        <f t="shared" ref="I497:I499" si="631">IF($F497=4.2,H497*$B$23,0)</f>
        <v>0</v>
      </c>
      <c r="J497" s="31">
        <f t="shared" ref="J497:J499" si="632">IF($F497=5,$H497*$B$24,0)</f>
        <v>2.9875999999999996</v>
      </c>
      <c r="K497" s="31">
        <f t="shared" ref="K497:K499" si="633">IF($F497=6.3,$H497*$B$25,0)</f>
        <v>0</v>
      </c>
      <c r="L497" s="31">
        <f t="shared" ref="L497:L499" si="634">IF($F497=8,$H497*$B$26,0)</f>
        <v>0</v>
      </c>
      <c r="M497" s="31">
        <f t="shared" ref="M497:M499" si="635">IF($F497=10,$H497*$B$27,0)</f>
        <v>0</v>
      </c>
      <c r="N497" s="31">
        <f t="shared" ref="N497:N499" si="636">IF($F497=12.5,$H497*$B$28,0)</f>
        <v>0</v>
      </c>
      <c r="O497" s="31">
        <f t="shared" ref="O497:O499" si="637">IF($F497=16,$H497*$B$29,0)</f>
        <v>0</v>
      </c>
      <c r="P497" s="31">
        <f t="shared" ref="P497:P499" si="638">IF($F497=20,$H497*$B$30,0)</f>
        <v>0</v>
      </c>
      <c r="Q497" s="49">
        <f t="shared" ref="Q497:Q499" si="639">IF($F497=25,$H497*$B$31,0)</f>
        <v>0</v>
      </c>
    </row>
    <row r="498" spans="4:17" s="16" customFormat="1" ht="13.2" x14ac:dyDescent="0.25">
      <c r="D498" s="235">
        <v>5</v>
      </c>
      <c r="E498" s="237">
        <v>2</v>
      </c>
      <c r="F498" s="238">
        <v>8</v>
      </c>
      <c r="G498" s="239">
        <v>5.22</v>
      </c>
      <c r="H498" s="239">
        <f t="shared" si="630"/>
        <v>10.44</v>
      </c>
      <c r="I498" s="131">
        <f t="shared" si="631"/>
        <v>0</v>
      </c>
      <c r="J498" s="31">
        <f t="shared" si="632"/>
        <v>0</v>
      </c>
      <c r="K498" s="31">
        <f t="shared" si="633"/>
        <v>0</v>
      </c>
      <c r="L498" s="31">
        <f t="shared" si="634"/>
        <v>4.1238000000000001</v>
      </c>
      <c r="M498" s="31">
        <f t="shared" si="635"/>
        <v>0</v>
      </c>
      <c r="N498" s="31">
        <f t="shared" si="636"/>
        <v>0</v>
      </c>
      <c r="O498" s="31">
        <f t="shared" si="637"/>
        <v>0</v>
      </c>
      <c r="P498" s="31">
        <f t="shared" si="638"/>
        <v>0</v>
      </c>
      <c r="Q498" s="49">
        <f t="shared" si="639"/>
        <v>0</v>
      </c>
    </row>
    <row r="499" spans="4:17" s="16" customFormat="1" ht="13.2" x14ac:dyDescent="0.25">
      <c r="D499" s="235">
        <v>41</v>
      </c>
      <c r="E499" s="237">
        <v>2</v>
      </c>
      <c r="F499" s="238">
        <v>12.5</v>
      </c>
      <c r="G499" s="239">
        <v>5.45</v>
      </c>
      <c r="H499" s="239">
        <f t="shared" si="630"/>
        <v>10.9</v>
      </c>
      <c r="I499" s="131">
        <f t="shared" si="631"/>
        <v>0</v>
      </c>
      <c r="J499" s="31">
        <f t="shared" si="632"/>
        <v>0</v>
      </c>
      <c r="K499" s="31">
        <f t="shared" si="633"/>
        <v>0</v>
      </c>
      <c r="L499" s="31">
        <f t="shared" si="634"/>
        <v>0</v>
      </c>
      <c r="M499" s="31">
        <f t="shared" si="635"/>
        <v>0</v>
      </c>
      <c r="N499" s="31">
        <f t="shared" si="636"/>
        <v>10.496700000000001</v>
      </c>
      <c r="O499" s="31">
        <f t="shared" si="637"/>
        <v>0</v>
      </c>
      <c r="P499" s="31">
        <f t="shared" si="638"/>
        <v>0</v>
      </c>
      <c r="Q499" s="49">
        <f t="shared" si="639"/>
        <v>0</v>
      </c>
    </row>
    <row r="500" spans="4:17" s="16" customFormat="1" ht="13.2" x14ac:dyDescent="0.25">
      <c r="D500" s="307"/>
      <c r="E500" s="26"/>
      <c r="F500" s="206"/>
      <c r="G500" s="207"/>
      <c r="H500" s="207"/>
      <c r="I500" s="51"/>
      <c r="J500" s="308"/>
      <c r="K500" s="308"/>
      <c r="L500" s="308"/>
      <c r="M500" s="308"/>
      <c r="N500" s="308"/>
      <c r="O500" s="308"/>
      <c r="P500" s="308"/>
      <c r="Q500" s="309"/>
    </row>
    <row r="501" spans="4:17" s="16" customFormat="1" ht="13.2" x14ac:dyDescent="0.25">
      <c r="D501" s="814" t="s">
        <v>1442</v>
      </c>
      <c r="E501" s="815"/>
      <c r="F501" s="815"/>
      <c r="G501" s="815"/>
      <c r="H501" s="815"/>
      <c r="I501" s="175">
        <f t="shared" ref="I501:Q501" si="640">SUM(I502:I504)</f>
        <v>0</v>
      </c>
      <c r="J501" s="175">
        <f t="shared" si="640"/>
        <v>2.9875999999999996</v>
      </c>
      <c r="K501" s="175">
        <f t="shared" si="640"/>
        <v>0</v>
      </c>
      <c r="L501" s="175">
        <f t="shared" si="640"/>
        <v>3.6735000000000007</v>
      </c>
      <c r="M501" s="175">
        <f t="shared" si="640"/>
        <v>0</v>
      </c>
      <c r="N501" s="175">
        <f t="shared" si="640"/>
        <v>9.2447999999999997</v>
      </c>
      <c r="O501" s="175">
        <f t="shared" si="640"/>
        <v>0</v>
      </c>
      <c r="P501" s="175">
        <f t="shared" si="640"/>
        <v>0</v>
      </c>
      <c r="Q501" s="175">
        <f t="shared" si="640"/>
        <v>0</v>
      </c>
    </row>
    <row r="502" spans="4:17" s="16" customFormat="1" ht="13.2" x14ac:dyDescent="0.25">
      <c r="D502" s="235">
        <v>1</v>
      </c>
      <c r="E502" s="237">
        <v>20</v>
      </c>
      <c r="F502" s="238">
        <v>5</v>
      </c>
      <c r="G502" s="239">
        <v>0.97</v>
      </c>
      <c r="H502" s="239">
        <f t="shared" ref="H502:H504" si="641">E502*G502</f>
        <v>19.399999999999999</v>
      </c>
      <c r="I502" s="131">
        <f t="shared" ref="I502:I504" si="642">IF($F502=4.2,H502*$B$23,0)</f>
        <v>0</v>
      </c>
      <c r="J502" s="31">
        <f t="shared" ref="J502:J504" si="643">IF($F502=5,$H502*$B$24,0)</f>
        <v>2.9875999999999996</v>
      </c>
      <c r="K502" s="31">
        <f t="shared" ref="K502:K504" si="644">IF($F502=6.3,$H502*$B$25,0)</f>
        <v>0</v>
      </c>
      <c r="L502" s="31">
        <f t="shared" ref="L502:L504" si="645">IF($F502=8,$H502*$B$26,0)</f>
        <v>0</v>
      </c>
      <c r="M502" s="31">
        <f t="shared" ref="M502:M504" si="646">IF($F502=10,$H502*$B$27,0)</f>
        <v>0</v>
      </c>
      <c r="N502" s="31">
        <f t="shared" ref="N502:N504" si="647">IF($F502=12.5,$H502*$B$28,0)</f>
        <v>0</v>
      </c>
      <c r="O502" s="31">
        <f t="shared" ref="O502:O504" si="648">IF($F502=16,$H502*$B$29,0)</f>
        <v>0</v>
      </c>
      <c r="P502" s="31">
        <f t="shared" ref="P502:P504" si="649">IF($F502=20,$H502*$B$30,0)</f>
        <v>0</v>
      </c>
      <c r="Q502" s="49">
        <f t="shared" ref="Q502:Q504" si="650">IF($F502=25,$H502*$B$31,0)</f>
        <v>0</v>
      </c>
    </row>
    <row r="503" spans="4:17" s="16" customFormat="1" ht="13.2" x14ac:dyDescent="0.25">
      <c r="D503" s="235">
        <v>6</v>
      </c>
      <c r="E503" s="237">
        <v>2</v>
      </c>
      <c r="F503" s="238">
        <v>8</v>
      </c>
      <c r="G503" s="239">
        <v>4.6500000000000004</v>
      </c>
      <c r="H503" s="239">
        <f t="shared" si="641"/>
        <v>9.3000000000000007</v>
      </c>
      <c r="I503" s="131">
        <f t="shared" si="642"/>
        <v>0</v>
      </c>
      <c r="J503" s="31">
        <f t="shared" si="643"/>
        <v>0</v>
      </c>
      <c r="K503" s="31">
        <f t="shared" si="644"/>
        <v>0</v>
      </c>
      <c r="L503" s="31">
        <f t="shared" si="645"/>
        <v>3.6735000000000007</v>
      </c>
      <c r="M503" s="31">
        <f t="shared" si="646"/>
        <v>0</v>
      </c>
      <c r="N503" s="31">
        <f t="shared" si="647"/>
        <v>0</v>
      </c>
      <c r="O503" s="31">
        <f t="shared" si="648"/>
        <v>0</v>
      </c>
      <c r="P503" s="31">
        <f t="shared" si="649"/>
        <v>0</v>
      </c>
      <c r="Q503" s="49">
        <f t="shared" si="650"/>
        <v>0</v>
      </c>
    </row>
    <row r="504" spans="4:17" s="16" customFormat="1" ht="13.2" x14ac:dyDescent="0.25">
      <c r="D504" s="235">
        <v>42</v>
      </c>
      <c r="E504" s="237">
        <v>2</v>
      </c>
      <c r="F504" s="238">
        <v>12.5</v>
      </c>
      <c r="G504" s="239">
        <v>4.8</v>
      </c>
      <c r="H504" s="239">
        <f t="shared" si="641"/>
        <v>9.6</v>
      </c>
      <c r="I504" s="131">
        <f t="shared" si="642"/>
        <v>0</v>
      </c>
      <c r="J504" s="31">
        <f t="shared" si="643"/>
        <v>0</v>
      </c>
      <c r="K504" s="31">
        <f t="shared" si="644"/>
        <v>0</v>
      </c>
      <c r="L504" s="31">
        <f t="shared" si="645"/>
        <v>0</v>
      </c>
      <c r="M504" s="31">
        <f t="shared" si="646"/>
        <v>0</v>
      </c>
      <c r="N504" s="31">
        <f t="shared" si="647"/>
        <v>9.2447999999999997</v>
      </c>
      <c r="O504" s="31">
        <f t="shared" si="648"/>
        <v>0</v>
      </c>
      <c r="P504" s="31">
        <f t="shared" si="649"/>
        <v>0</v>
      </c>
      <c r="Q504" s="49">
        <f t="shared" si="650"/>
        <v>0</v>
      </c>
    </row>
    <row r="505" spans="4:17" s="16" customFormat="1" ht="13.2" x14ac:dyDescent="0.25">
      <c r="D505" s="307"/>
      <c r="E505" s="26"/>
      <c r="F505" s="206"/>
      <c r="G505" s="207"/>
      <c r="H505" s="207"/>
      <c r="I505" s="51"/>
      <c r="J505" s="308"/>
      <c r="K505" s="308"/>
      <c r="L505" s="308"/>
      <c r="M505" s="308"/>
      <c r="N505" s="308"/>
      <c r="O505" s="308"/>
      <c r="P505" s="308"/>
      <c r="Q505" s="309"/>
    </row>
    <row r="506" spans="4:17" s="16" customFormat="1" ht="13.2" x14ac:dyDescent="0.25">
      <c r="D506" s="814" t="s">
        <v>1443</v>
      </c>
      <c r="E506" s="815"/>
      <c r="F506" s="815"/>
      <c r="G506" s="815"/>
      <c r="H506" s="815"/>
      <c r="I506" s="175">
        <f t="shared" ref="I506:Q506" si="651">SUM(I507:I509)</f>
        <v>0</v>
      </c>
      <c r="J506" s="175">
        <f t="shared" si="651"/>
        <v>3.1369800000000003</v>
      </c>
      <c r="K506" s="175">
        <f t="shared" si="651"/>
        <v>0</v>
      </c>
      <c r="L506" s="175">
        <f t="shared" si="651"/>
        <v>3.6261000000000001</v>
      </c>
      <c r="M506" s="175">
        <f t="shared" si="651"/>
        <v>5.6640600000000001</v>
      </c>
      <c r="N506" s="175">
        <f t="shared" si="651"/>
        <v>0</v>
      </c>
      <c r="O506" s="175">
        <f t="shared" si="651"/>
        <v>0</v>
      </c>
      <c r="P506" s="175">
        <f t="shared" si="651"/>
        <v>0</v>
      </c>
      <c r="Q506" s="175">
        <f t="shared" si="651"/>
        <v>0</v>
      </c>
    </row>
    <row r="507" spans="4:17" s="16" customFormat="1" ht="13.2" x14ac:dyDescent="0.25">
      <c r="D507" s="235">
        <v>1</v>
      </c>
      <c r="E507" s="237">
        <v>21</v>
      </c>
      <c r="F507" s="238">
        <v>5</v>
      </c>
      <c r="G507" s="239">
        <v>0.97</v>
      </c>
      <c r="H507" s="239">
        <f t="shared" ref="H507:H509" si="652">E507*G507</f>
        <v>20.37</v>
      </c>
      <c r="I507" s="131">
        <f t="shared" ref="I507:I509" si="653">IF($F507=4.2,H507*$B$23,0)</f>
        <v>0</v>
      </c>
      <c r="J507" s="31">
        <f t="shared" ref="J507:J509" si="654">IF($F507=5,$H507*$B$24,0)</f>
        <v>3.1369800000000003</v>
      </c>
      <c r="K507" s="31">
        <f t="shared" ref="K507:K509" si="655">IF($F507=6.3,$H507*$B$25,0)</f>
        <v>0</v>
      </c>
      <c r="L507" s="31">
        <f t="shared" ref="L507:L509" si="656">IF($F507=8,$H507*$B$26,0)</f>
        <v>0</v>
      </c>
      <c r="M507" s="31">
        <f t="shared" ref="M507:M509" si="657">IF($F507=10,$H507*$B$27,0)</f>
        <v>0</v>
      </c>
      <c r="N507" s="31">
        <f t="shared" ref="N507:N509" si="658">IF($F507=12.5,$H507*$B$28,0)</f>
        <v>0</v>
      </c>
      <c r="O507" s="31">
        <f t="shared" ref="O507:O509" si="659">IF($F507=16,$H507*$B$29,0)</f>
        <v>0</v>
      </c>
      <c r="P507" s="31">
        <f t="shared" ref="P507:P509" si="660">IF($F507=20,$H507*$B$30,0)</f>
        <v>0</v>
      </c>
      <c r="Q507" s="49">
        <f t="shared" ref="Q507:Q509" si="661">IF($F507=25,$H507*$B$31,0)</f>
        <v>0</v>
      </c>
    </row>
    <row r="508" spans="4:17" s="16" customFormat="1" ht="13.2" x14ac:dyDescent="0.25">
      <c r="D508" s="235">
        <v>7</v>
      </c>
      <c r="E508" s="237">
        <v>2</v>
      </c>
      <c r="F508" s="238">
        <v>8</v>
      </c>
      <c r="G508" s="239">
        <v>4.59</v>
      </c>
      <c r="H508" s="239">
        <f t="shared" si="652"/>
        <v>9.18</v>
      </c>
      <c r="I508" s="131">
        <f t="shared" si="653"/>
        <v>0</v>
      </c>
      <c r="J508" s="31">
        <f t="shared" si="654"/>
        <v>0</v>
      </c>
      <c r="K508" s="31">
        <f t="shared" si="655"/>
        <v>0</v>
      </c>
      <c r="L508" s="31">
        <f t="shared" si="656"/>
        <v>3.6261000000000001</v>
      </c>
      <c r="M508" s="31">
        <f t="shared" si="657"/>
        <v>0</v>
      </c>
      <c r="N508" s="31">
        <f t="shared" si="658"/>
        <v>0</v>
      </c>
      <c r="O508" s="31">
        <f t="shared" si="659"/>
        <v>0</v>
      </c>
      <c r="P508" s="31">
        <f t="shared" si="660"/>
        <v>0</v>
      </c>
      <c r="Q508" s="49">
        <f t="shared" si="661"/>
        <v>0</v>
      </c>
    </row>
    <row r="509" spans="4:17" s="16" customFormat="1" ht="13.2" x14ac:dyDescent="0.25">
      <c r="D509" s="235">
        <v>31</v>
      </c>
      <c r="E509" s="237">
        <v>2</v>
      </c>
      <c r="F509" s="238">
        <v>10</v>
      </c>
      <c r="G509" s="239">
        <v>4.59</v>
      </c>
      <c r="H509" s="239">
        <f t="shared" si="652"/>
        <v>9.18</v>
      </c>
      <c r="I509" s="131">
        <f t="shared" si="653"/>
        <v>0</v>
      </c>
      <c r="J509" s="31">
        <f t="shared" si="654"/>
        <v>0</v>
      </c>
      <c r="K509" s="31">
        <f t="shared" si="655"/>
        <v>0</v>
      </c>
      <c r="L509" s="31">
        <f t="shared" si="656"/>
        <v>0</v>
      </c>
      <c r="M509" s="31">
        <f t="shared" si="657"/>
        <v>5.6640600000000001</v>
      </c>
      <c r="N509" s="31">
        <f t="shared" si="658"/>
        <v>0</v>
      </c>
      <c r="O509" s="31">
        <f t="shared" si="659"/>
        <v>0</v>
      </c>
      <c r="P509" s="31">
        <f t="shared" si="660"/>
        <v>0</v>
      </c>
      <c r="Q509" s="49">
        <f t="shared" si="661"/>
        <v>0</v>
      </c>
    </row>
    <row r="510" spans="4:17" s="16" customFormat="1" ht="13.2" x14ac:dyDescent="0.25">
      <c r="D510" s="307"/>
      <c r="E510" s="26"/>
      <c r="F510" s="206"/>
      <c r="G510" s="207"/>
      <c r="H510" s="207"/>
      <c r="I510" s="51"/>
      <c r="J510" s="308"/>
      <c r="K510" s="308"/>
      <c r="L510" s="308"/>
      <c r="M510" s="308"/>
      <c r="N510" s="308"/>
      <c r="O510" s="308"/>
      <c r="P510" s="308"/>
      <c r="Q510" s="309"/>
    </row>
    <row r="511" spans="4:17" s="16" customFormat="1" ht="13.2" x14ac:dyDescent="0.25">
      <c r="D511" s="814" t="s">
        <v>1444</v>
      </c>
      <c r="E511" s="815"/>
      <c r="F511" s="815"/>
      <c r="G511" s="815"/>
      <c r="H511" s="815"/>
      <c r="I511" s="175">
        <f>SUM(I512:I514)</f>
        <v>0</v>
      </c>
      <c r="J511" s="175">
        <f t="shared" ref="J511:Q511" si="662">SUM(J512:J514)</f>
        <v>2.6888399999999999</v>
      </c>
      <c r="K511" s="175">
        <f t="shared" si="662"/>
        <v>0</v>
      </c>
      <c r="L511" s="175">
        <f t="shared" si="662"/>
        <v>5.0954999999999995</v>
      </c>
      <c r="M511" s="175">
        <f t="shared" si="662"/>
        <v>5.2321600000000004</v>
      </c>
      <c r="N511" s="175">
        <f t="shared" si="662"/>
        <v>0</v>
      </c>
      <c r="O511" s="175">
        <f t="shared" si="662"/>
        <v>0</v>
      </c>
      <c r="P511" s="175">
        <f t="shared" si="662"/>
        <v>0</v>
      </c>
      <c r="Q511" s="175">
        <f t="shared" si="662"/>
        <v>0</v>
      </c>
    </row>
    <row r="512" spans="4:17" s="16" customFormat="1" ht="13.2" x14ac:dyDescent="0.25">
      <c r="D512" s="235">
        <v>1</v>
      </c>
      <c r="E512" s="237">
        <v>18</v>
      </c>
      <c r="F512" s="238">
        <v>5</v>
      </c>
      <c r="G512" s="239">
        <v>0.97</v>
      </c>
      <c r="H512" s="239">
        <f t="shared" ref="H512:H514" si="663">E512*G512</f>
        <v>17.46</v>
      </c>
      <c r="I512" s="131">
        <f t="shared" ref="I512:I514" si="664">IF($F512=4.2,H512*$B$23,0)</f>
        <v>0</v>
      </c>
      <c r="J512" s="31">
        <f t="shared" ref="J512:J514" si="665">IF($F512=5,$H512*$B$24,0)</f>
        <v>2.6888399999999999</v>
      </c>
      <c r="K512" s="31">
        <f t="shared" ref="K512:K514" si="666">IF($F512=6.3,$H512*$B$25,0)</f>
        <v>0</v>
      </c>
      <c r="L512" s="31">
        <f t="shared" ref="L512:L514" si="667">IF($F512=8,$H512*$B$26,0)</f>
        <v>0</v>
      </c>
      <c r="M512" s="31">
        <f t="shared" ref="M512:M514" si="668">IF($F512=10,$H512*$B$27,0)</f>
        <v>0</v>
      </c>
      <c r="N512" s="31">
        <f t="shared" ref="N512:N514" si="669">IF($F512=12.5,$H512*$B$28,0)</f>
        <v>0</v>
      </c>
      <c r="O512" s="31">
        <f t="shared" ref="O512:O514" si="670">IF($F512=16,$H512*$B$29,0)</f>
        <v>0</v>
      </c>
      <c r="P512" s="31">
        <f t="shared" ref="P512:P514" si="671">IF($F512=20,$H512*$B$30,0)</f>
        <v>0</v>
      </c>
      <c r="Q512" s="49">
        <f t="shared" ref="Q512:Q514" si="672">IF($F512=25,$H512*$B$31,0)</f>
        <v>0</v>
      </c>
    </row>
    <row r="513" spans="4:17" s="16" customFormat="1" ht="13.2" x14ac:dyDescent="0.25">
      <c r="D513" s="235">
        <v>8</v>
      </c>
      <c r="E513" s="237">
        <v>3</v>
      </c>
      <c r="F513" s="238">
        <v>8</v>
      </c>
      <c r="G513" s="239">
        <v>4.3</v>
      </c>
      <c r="H513" s="239">
        <f t="shared" si="663"/>
        <v>12.899999999999999</v>
      </c>
      <c r="I513" s="131">
        <f t="shared" si="664"/>
        <v>0</v>
      </c>
      <c r="J513" s="31">
        <f t="shared" si="665"/>
        <v>0</v>
      </c>
      <c r="K513" s="31">
        <f t="shared" si="666"/>
        <v>0</v>
      </c>
      <c r="L513" s="31">
        <f t="shared" si="667"/>
        <v>5.0954999999999995</v>
      </c>
      <c r="M513" s="31">
        <f t="shared" si="668"/>
        <v>0</v>
      </c>
      <c r="N513" s="31">
        <f t="shared" si="669"/>
        <v>0</v>
      </c>
      <c r="O513" s="31">
        <f t="shared" si="670"/>
        <v>0</v>
      </c>
      <c r="P513" s="31">
        <f t="shared" si="671"/>
        <v>0</v>
      </c>
      <c r="Q513" s="49">
        <f t="shared" si="672"/>
        <v>0</v>
      </c>
    </row>
    <row r="514" spans="4:17" s="16" customFormat="1" ht="13.2" x14ac:dyDescent="0.25">
      <c r="D514" s="235">
        <v>32</v>
      </c>
      <c r="E514" s="237">
        <v>2</v>
      </c>
      <c r="F514" s="238">
        <v>10</v>
      </c>
      <c r="G514" s="239">
        <v>4.24</v>
      </c>
      <c r="H514" s="239">
        <f t="shared" si="663"/>
        <v>8.48</v>
      </c>
      <c r="I514" s="131">
        <f t="shared" si="664"/>
        <v>0</v>
      </c>
      <c r="J514" s="31">
        <f t="shared" si="665"/>
        <v>0</v>
      </c>
      <c r="K514" s="31">
        <f t="shared" si="666"/>
        <v>0</v>
      </c>
      <c r="L514" s="31">
        <f t="shared" si="667"/>
        <v>0</v>
      </c>
      <c r="M514" s="31">
        <f t="shared" si="668"/>
        <v>5.2321600000000004</v>
      </c>
      <c r="N514" s="31">
        <f t="shared" si="669"/>
        <v>0</v>
      </c>
      <c r="O514" s="31">
        <f t="shared" si="670"/>
        <v>0</v>
      </c>
      <c r="P514" s="31">
        <f t="shared" si="671"/>
        <v>0</v>
      </c>
      <c r="Q514" s="49">
        <f t="shared" si="672"/>
        <v>0</v>
      </c>
    </row>
    <row r="515" spans="4:17" s="16" customFormat="1" ht="13.2" x14ac:dyDescent="0.25">
      <c r="D515" s="307"/>
      <c r="E515" s="26"/>
      <c r="F515" s="206"/>
      <c r="G515" s="207"/>
      <c r="H515" s="207"/>
      <c r="I515" s="51"/>
      <c r="J515" s="308"/>
      <c r="K515" s="308"/>
      <c r="L515" s="308"/>
      <c r="M515" s="308"/>
      <c r="N515" s="308"/>
      <c r="O515" s="308"/>
      <c r="P515" s="308"/>
      <c r="Q515" s="309"/>
    </row>
    <row r="516" spans="4:17" s="16" customFormat="1" ht="13.2" x14ac:dyDescent="0.25">
      <c r="D516" s="814" t="s">
        <v>1445</v>
      </c>
      <c r="E516" s="815"/>
      <c r="F516" s="815"/>
      <c r="G516" s="815"/>
      <c r="H516" s="815"/>
      <c r="I516" s="175">
        <f>SUM(I517:I519)</f>
        <v>0</v>
      </c>
      <c r="J516" s="175">
        <f t="shared" ref="J516:Q516" si="673">SUM(J517:J519)</f>
        <v>0.89628000000000008</v>
      </c>
      <c r="K516" s="175">
        <f t="shared" si="673"/>
        <v>0</v>
      </c>
      <c r="L516" s="175">
        <f t="shared" si="673"/>
        <v>1.7538000000000002</v>
      </c>
      <c r="M516" s="175">
        <f t="shared" si="673"/>
        <v>2.6407600000000002</v>
      </c>
      <c r="N516" s="175">
        <f t="shared" si="673"/>
        <v>0</v>
      </c>
      <c r="O516" s="175">
        <f t="shared" si="673"/>
        <v>0</v>
      </c>
      <c r="P516" s="175">
        <f t="shared" si="673"/>
        <v>0</v>
      </c>
      <c r="Q516" s="175">
        <f t="shared" si="673"/>
        <v>0</v>
      </c>
    </row>
    <row r="517" spans="4:17" s="16" customFormat="1" ht="13.2" x14ac:dyDescent="0.25">
      <c r="D517" s="235">
        <v>1</v>
      </c>
      <c r="E517" s="237">
        <v>6</v>
      </c>
      <c r="F517" s="238">
        <v>5</v>
      </c>
      <c r="G517" s="239">
        <v>0.97</v>
      </c>
      <c r="H517" s="239">
        <f t="shared" ref="H517:H519" si="674">E517*G517</f>
        <v>5.82</v>
      </c>
      <c r="I517" s="131">
        <f t="shared" ref="I517:I519" si="675">IF($F517=4.2,H517*$B$23,0)</f>
        <v>0</v>
      </c>
      <c r="J517" s="31">
        <f t="shared" ref="J517:J519" si="676">IF($F517=5,$H517*$B$24,0)</f>
        <v>0.89628000000000008</v>
      </c>
      <c r="K517" s="31">
        <f t="shared" ref="K517:K519" si="677">IF($F517=6.3,$H517*$B$25,0)</f>
        <v>0</v>
      </c>
      <c r="L517" s="31">
        <f t="shared" ref="L517:L519" si="678">IF($F517=8,$H517*$B$26,0)</f>
        <v>0</v>
      </c>
      <c r="M517" s="31">
        <f t="shared" ref="M517:M519" si="679">IF($F517=10,$H517*$B$27,0)</f>
        <v>0</v>
      </c>
      <c r="N517" s="31">
        <f t="shared" ref="N517:N519" si="680">IF($F517=12.5,$H517*$B$28,0)</f>
        <v>0</v>
      </c>
      <c r="O517" s="31">
        <f t="shared" ref="O517:O519" si="681">IF($F517=16,$H517*$B$29,0)</f>
        <v>0</v>
      </c>
      <c r="P517" s="31">
        <f t="shared" ref="P517:P519" si="682">IF($F517=20,$H517*$B$30,0)</f>
        <v>0</v>
      </c>
      <c r="Q517" s="49">
        <f t="shared" ref="Q517:Q519" si="683">IF($F517=25,$H517*$B$31,0)</f>
        <v>0</v>
      </c>
    </row>
    <row r="518" spans="4:17" s="16" customFormat="1" ht="13.2" x14ac:dyDescent="0.25">
      <c r="D518" s="235">
        <v>9</v>
      </c>
      <c r="E518" s="237">
        <v>2</v>
      </c>
      <c r="F518" s="238">
        <v>8</v>
      </c>
      <c r="G518" s="239">
        <v>2.2200000000000002</v>
      </c>
      <c r="H518" s="239">
        <f t="shared" si="674"/>
        <v>4.4400000000000004</v>
      </c>
      <c r="I518" s="131">
        <f t="shared" si="675"/>
        <v>0</v>
      </c>
      <c r="J518" s="31">
        <f t="shared" si="676"/>
        <v>0</v>
      </c>
      <c r="K518" s="31">
        <f t="shared" si="677"/>
        <v>0</v>
      </c>
      <c r="L518" s="31">
        <f t="shared" si="678"/>
        <v>1.7538000000000002</v>
      </c>
      <c r="M518" s="31">
        <f t="shared" si="679"/>
        <v>0</v>
      </c>
      <c r="N518" s="31">
        <f t="shared" si="680"/>
        <v>0</v>
      </c>
      <c r="O518" s="31">
        <f t="shared" si="681"/>
        <v>0</v>
      </c>
      <c r="P518" s="31">
        <f t="shared" si="682"/>
        <v>0</v>
      </c>
      <c r="Q518" s="49">
        <f t="shared" si="683"/>
        <v>0</v>
      </c>
    </row>
    <row r="519" spans="4:17" s="16" customFormat="1" ht="13.2" x14ac:dyDescent="0.25">
      <c r="D519" s="235">
        <v>33</v>
      </c>
      <c r="E519" s="237">
        <v>2</v>
      </c>
      <c r="F519" s="238">
        <v>10</v>
      </c>
      <c r="G519" s="239">
        <v>2.14</v>
      </c>
      <c r="H519" s="239">
        <f t="shared" si="674"/>
        <v>4.28</v>
      </c>
      <c r="I519" s="131">
        <f t="shared" si="675"/>
        <v>0</v>
      </c>
      <c r="J519" s="31">
        <f t="shared" si="676"/>
        <v>0</v>
      </c>
      <c r="K519" s="31">
        <f t="shared" si="677"/>
        <v>0</v>
      </c>
      <c r="L519" s="31">
        <f t="shared" si="678"/>
        <v>0</v>
      </c>
      <c r="M519" s="31">
        <f t="shared" si="679"/>
        <v>2.6407600000000002</v>
      </c>
      <c r="N519" s="31">
        <f t="shared" si="680"/>
        <v>0</v>
      </c>
      <c r="O519" s="31">
        <f t="shared" si="681"/>
        <v>0</v>
      </c>
      <c r="P519" s="31">
        <f t="shared" si="682"/>
        <v>0</v>
      </c>
      <c r="Q519" s="49">
        <f t="shared" si="683"/>
        <v>0</v>
      </c>
    </row>
    <row r="520" spans="4:17" s="16" customFormat="1" ht="13.2" x14ac:dyDescent="0.25">
      <c r="D520" s="307"/>
      <c r="E520" s="26"/>
      <c r="F520" s="206"/>
      <c r="G520" s="207"/>
      <c r="H520" s="207"/>
      <c r="I520" s="51"/>
      <c r="J520" s="308"/>
      <c r="K520" s="308"/>
      <c r="L520" s="308"/>
      <c r="M520" s="308"/>
      <c r="N520" s="308"/>
      <c r="O520" s="308"/>
      <c r="P520" s="308"/>
      <c r="Q520" s="309"/>
    </row>
    <row r="521" spans="4:17" s="16" customFormat="1" ht="13.2" x14ac:dyDescent="0.25">
      <c r="D521" s="814" t="s">
        <v>1446</v>
      </c>
      <c r="E521" s="815"/>
      <c r="F521" s="815"/>
      <c r="G521" s="815"/>
      <c r="H521" s="815"/>
      <c r="I521" s="175">
        <f>SUM(I522:I526)</f>
        <v>0</v>
      </c>
      <c r="J521" s="175">
        <f t="shared" ref="J521:Q521" si="684">SUM(J522:J526)</f>
        <v>2.8382199999999997</v>
      </c>
      <c r="K521" s="175">
        <f t="shared" si="684"/>
        <v>0</v>
      </c>
      <c r="L521" s="175">
        <f t="shared" si="684"/>
        <v>4.5030000000000001</v>
      </c>
      <c r="M521" s="175">
        <f t="shared" si="684"/>
        <v>5.1087599999999993</v>
      </c>
      <c r="N521" s="175">
        <f t="shared" si="684"/>
        <v>0</v>
      </c>
      <c r="O521" s="175">
        <f t="shared" si="684"/>
        <v>0</v>
      </c>
      <c r="P521" s="175">
        <f t="shared" si="684"/>
        <v>0</v>
      </c>
      <c r="Q521" s="175">
        <f t="shared" si="684"/>
        <v>0</v>
      </c>
    </row>
    <row r="522" spans="4:17" s="16" customFormat="1" ht="13.2" x14ac:dyDescent="0.25">
      <c r="D522" s="235">
        <v>1</v>
      </c>
      <c r="E522" s="237">
        <v>19</v>
      </c>
      <c r="F522" s="238">
        <v>5</v>
      </c>
      <c r="G522" s="239">
        <v>0.97</v>
      </c>
      <c r="H522" s="239">
        <f t="shared" ref="H522:H526" si="685">E522*G522</f>
        <v>18.43</v>
      </c>
      <c r="I522" s="131">
        <f t="shared" ref="I522:I526" si="686">IF($F522=4.2,H522*$B$23,0)</f>
        <v>0</v>
      </c>
      <c r="J522" s="31">
        <f t="shared" ref="J522:J526" si="687">IF($F522=5,$H522*$B$24,0)</f>
        <v>2.8382199999999997</v>
      </c>
      <c r="K522" s="31">
        <f t="shared" ref="K522:K526" si="688">IF($F522=6.3,$H522*$B$25,0)</f>
        <v>0</v>
      </c>
      <c r="L522" s="31">
        <f t="shared" ref="L522:L526" si="689">IF($F522=8,$H522*$B$26,0)</f>
        <v>0</v>
      </c>
      <c r="M522" s="31">
        <f t="shared" ref="M522:M526" si="690">IF($F522=10,$H522*$B$27,0)</f>
        <v>0</v>
      </c>
      <c r="N522" s="31">
        <f t="shared" ref="N522:N526" si="691">IF($F522=12.5,$H522*$B$28,0)</f>
        <v>0</v>
      </c>
      <c r="O522" s="31">
        <f t="shared" ref="O522:O526" si="692">IF($F522=16,$H522*$B$29,0)</f>
        <v>0</v>
      </c>
      <c r="P522" s="31">
        <f t="shared" ref="P522:P526" si="693">IF($F522=20,$H522*$B$30,0)</f>
        <v>0</v>
      </c>
      <c r="Q522" s="49">
        <f t="shared" ref="Q522:Q526" si="694">IF($F522=25,$H522*$B$31,0)</f>
        <v>0</v>
      </c>
    </row>
    <row r="523" spans="4:17" s="16" customFormat="1" ht="13.2" x14ac:dyDescent="0.25">
      <c r="D523" s="235">
        <v>10</v>
      </c>
      <c r="E523" s="237">
        <v>1</v>
      </c>
      <c r="F523" s="238">
        <v>8</v>
      </c>
      <c r="G523" s="239">
        <v>1.1399999999999999</v>
      </c>
      <c r="H523" s="239">
        <f t="shared" si="685"/>
        <v>1.1399999999999999</v>
      </c>
      <c r="I523" s="131">
        <f t="shared" si="686"/>
        <v>0</v>
      </c>
      <c r="J523" s="31">
        <f t="shared" si="687"/>
        <v>0</v>
      </c>
      <c r="K523" s="31">
        <f t="shared" si="688"/>
        <v>0</v>
      </c>
      <c r="L523" s="31">
        <f t="shared" si="689"/>
        <v>0.45029999999999998</v>
      </c>
      <c r="M523" s="31">
        <f t="shared" si="690"/>
        <v>0</v>
      </c>
      <c r="N523" s="31">
        <f t="shared" si="691"/>
        <v>0</v>
      </c>
      <c r="O523" s="31">
        <f t="shared" si="692"/>
        <v>0</v>
      </c>
      <c r="P523" s="31">
        <f t="shared" si="693"/>
        <v>0</v>
      </c>
      <c r="Q523" s="49">
        <f t="shared" si="694"/>
        <v>0</v>
      </c>
    </row>
    <row r="524" spans="4:17" s="16" customFormat="1" ht="13.2" x14ac:dyDescent="0.25">
      <c r="D524" s="235">
        <v>11</v>
      </c>
      <c r="E524" s="237">
        <v>1</v>
      </c>
      <c r="F524" s="238">
        <v>8</v>
      </c>
      <c r="G524" s="239">
        <v>1.18</v>
      </c>
      <c r="H524" s="239">
        <f t="shared" si="685"/>
        <v>1.18</v>
      </c>
      <c r="I524" s="131">
        <f t="shared" si="686"/>
        <v>0</v>
      </c>
      <c r="J524" s="31">
        <f t="shared" si="687"/>
        <v>0</v>
      </c>
      <c r="K524" s="31">
        <f t="shared" si="688"/>
        <v>0</v>
      </c>
      <c r="L524" s="31">
        <f t="shared" si="689"/>
        <v>0.46610000000000001</v>
      </c>
      <c r="M524" s="31">
        <f t="shared" si="690"/>
        <v>0</v>
      </c>
      <c r="N524" s="31">
        <f t="shared" si="691"/>
        <v>0</v>
      </c>
      <c r="O524" s="31">
        <f t="shared" si="692"/>
        <v>0</v>
      </c>
      <c r="P524" s="31">
        <f t="shared" si="693"/>
        <v>0</v>
      </c>
      <c r="Q524" s="49">
        <f t="shared" si="694"/>
        <v>0</v>
      </c>
    </row>
    <row r="525" spans="4:17" s="16" customFormat="1" ht="13.2" x14ac:dyDescent="0.25">
      <c r="D525" s="235">
        <v>12</v>
      </c>
      <c r="E525" s="237">
        <v>2</v>
      </c>
      <c r="F525" s="238">
        <v>8</v>
      </c>
      <c r="G525" s="239">
        <v>4.54</v>
      </c>
      <c r="H525" s="239">
        <f t="shared" si="685"/>
        <v>9.08</v>
      </c>
      <c r="I525" s="131">
        <f t="shared" si="686"/>
        <v>0</v>
      </c>
      <c r="J525" s="31">
        <f t="shared" si="687"/>
        <v>0</v>
      </c>
      <c r="K525" s="31">
        <f t="shared" si="688"/>
        <v>0</v>
      </c>
      <c r="L525" s="31">
        <f t="shared" si="689"/>
        <v>3.5866000000000002</v>
      </c>
      <c r="M525" s="31">
        <f t="shared" si="690"/>
        <v>0</v>
      </c>
      <c r="N525" s="31">
        <f t="shared" si="691"/>
        <v>0</v>
      </c>
      <c r="O525" s="31">
        <f t="shared" si="692"/>
        <v>0</v>
      </c>
      <c r="P525" s="31">
        <f t="shared" si="693"/>
        <v>0</v>
      </c>
      <c r="Q525" s="49">
        <f t="shared" si="694"/>
        <v>0</v>
      </c>
    </row>
    <row r="526" spans="4:17" s="16" customFormat="1" ht="13.2" x14ac:dyDescent="0.25">
      <c r="D526" s="235">
        <v>34</v>
      </c>
      <c r="E526" s="237">
        <v>2</v>
      </c>
      <c r="F526" s="238">
        <v>10</v>
      </c>
      <c r="G526" s="239">
        <v>4.1399999999999997</v>
      </c>
      <c r="H526" s="239">
        <f t="shared" si="685"/>
        <v>8.2799999999999994</v>
      </c>
      <c r="I526" s="131">
        <f t="shared" si="686"/>
        <v>0</v>
      </c>
      <c r="J526" s="31">
        <f t="shared" si="687"/>
        <v>0</v>
      </c>
      <c r="K526" s="31">
        <f t="shared" si="688"/>
        <v>0</v>
      </c>
      <c r="L526" s="31">
        <f t="shared" si="689"/>
        <v>0</v>
      </c>
      <c r="M526" s="31">
        <f t="shared" si="690"/>
        <v>5.1087599999999993</v>
      </c>
      <c r="N526" s="31">
        <f t="shared" si="691"/>
        <v>0</v>
      </c>
      <c r="O526" s="31">
        <f t="shared" si="692"/>
        <v>0</v>
      </c>
      <c r="P526" s="31">
        <f t="shared" si="693"/>
        <v>0</v>
      </c>
      <c r="Q526" s="49">
        <f t="shared" si="694"/>
        <v>0</v>
      </c>
    </row>
    <row r="527" spans="4:17" s="16" customFormat="1" ht="13.2" x14ac:dyDescent="0.25">
      <c r="D527" s="307"/>
      <c r="E527" s="26"/>
      <c r="F527" s="206"/>
      <c r="G527" s="207"/>
      <c r="H527" s="207"/>
      <c r="I527" s="51"/>
      <c r="J527" s="308"/>
      <c r="K527" s="308"/>
      <c r="L527" s="308"/>
      <c r="M527" s="308"/>
      <c r="N527" s="308"/>
      <c r="O527" s="308"/>
      <c r="P527" s="308"/>
      <c r="Q527" s="309"/>
    </row>
    <row r="528" spans="4:17" s="16" customFormat="1" ht="30" customHeight="1" x14ac:dyDescent="0.25">
      <c r="D528" s="841" t="s">
        <v>1447</v>
      </c>
      <c r="E528" s="842"/>
      <c r="F528" s="842"/>
      <c r="G528" s="842"/>
      <c r="H528" s="842"/>
      <c r="I528" s="175">
        <f t="shared" ref="I528:Q528" si="695">SUM(I529:I530)</f>
        <v>0</v>
      </c>
      <c r="J528" s="175">
        <f t="shared" si="695"/>
        <v>4.7801599999999995</v>
      </c>
      <c r="K528" s="175">
        <f t="shared" si="695"/>
        <v>0</v>
      </c>
      <c r="L528" s="175">
        <f t="shared" si="695"/>
        <v>14.062000000000001</v>
      </c>
      <c r="M528" s="175">
        <f t="shared" si="695"/>
        <v>0</v>
      </c>
      <c r="N528" s="175">
        <f t="shared" si="695"/>
        <v>0</v>
      </c>
      <c r="O528" s="175">
        <f t="shared" si="695"/>
        <v>0</v>
      </c>
      <c r="P528" s="175">
        <f t="shared" si="695"/>
        <v>0</v>
      </c>
      <c r="Q528" s="175">
        <f t="shared" si="695"/>
        <v>0</v>
      </c>
    </row>
    <row r="529" spans="4:17" s="16" customFormat="1" ht="13.2" x14ac:dyDescent="0.25">
      <c r="D529" s="235">
        <v>1</v>
      </c>
      <c r="E529" s="237">
        <f>8*4</f>
        <v>32</v>
      </c>
      <c r="F529" s="238">
        <v>5</v>
      </c>
      <c r="G529" s="239">
        <v>0.97</v>
      </c>
      <c r="H529" s="239">
        <f t="shared" ref="H529:H530" si="696">E529*G529</f>
        <v>31.04</v>
      </c>
      <c r="I529" s="131">
        <f t="shared" ref="I529:I530" si="697">IF($F529=4.2,H529*$B$23,0)</f>
        <v>0</v>
      </c>
      <c r="J529" s="31">
        <f t="shared" ref="J529:J530" si="698">IF($F529=5,$H529*$B$24,0)</f>
        <v>4.7801599999999995</v>
      </c>
      <c r="K529" s="31">
        <f t="shared" ref="K529:K530" si="699">IF($F529=6.3,$H529*$B$25,0)</f>
        <v>0</v>
      </c>
      <c r="L529" s="31">
        <f t="shared" ref="L529:L530" si="700">IF($F529=8,$H529*$B$26,0)</f>
        <v>0</v>
      </c>
      <c r="M529" s="31">
        <f t="shared" ref="M529:M530" si="701">IF($F529=10,$H529*$B$27,0)</f>
        <v>0</v>
      </c>
      <c r="N529" s="31">
        <f t="shared" ref="N529:N530" si="702">IF($F529=12.5,$H529*$B$28,0)</f>
        <v>0</v>
      </c>
      <c r="O529" s="31">
        <f t="shared" ref="O529:O530" si="703">IF($F529=16,$H529*$B$29,0)</f>
        <v>0</v>
      </c>
      <c r="P529" s="31">
        <f t="shared" ref="P529:P530" si="704">IF($F529=20,$H529*$B$30,0)</f>
        <v>0</v>
      </c>
      <c r="Q529" s="49">
        <f t="shared" ref="Q529:Q530" si="705">IF($F529=25,$H529*$B$31,0)</f>
        <v>0</v>
      </c>
    </row>
    <row r="530" spans="4:17" s="16" customFormat="1" ht="13.2" x14ac:dyDescent="0.25">
      <c r="D530" s="235">
        <v>13</v>
      </c>
      <c r="E530" s="237">
        <f>8*5</f>
        <v>40</v>
      </c>
      <c r="F530" s="238">
        <v>8</v>
      </c>
      <c r="G530" s="239">
        <v>0.89</v>
      </c>
      <c r="H530" s="239">
        <f t="shared" si="696"/>
        <v>35.6</v>
      </c>
      <c r="I530" s="131">
        <f t="shared" si="697"/>
        <v>0</v>
      </c>
      <c r="J530" s="31">
        <f t="shared" si="698"/>
        <v>0</v>
      </c>
      <c r="K530" s="31">
        <f t="shared" si="699"/>
        <v>0</v>
      </c>
      <c r="L530" s="31">
        <f t="shared" si="700"/>
        <v>14.062000000000001</v>
      </c>
      <c r="M530" s="31">
        <f t="shared" si="701"/>
        <v>0</v>
      </c>
      <c r="N530" s="31">
        <f t="shared" si="702"/>
        <v>0</v>
      </c>
      <c r="O530" s="31">
        <f t="shared" si="703"/>
        <v>0</v>
      </c>
      <c r="P530" s="31">
        <f t="shared" si="704"/>
        <v>0</v>
      </c>
      <c r="Q530" s="49">
        <f t="shared" si="705"/>
        <v>0</v>
      </c>
    </row>
    <row r="531" spans="4:17" s="16" customFormat="1" ht="13.2" x14ac:dyDescent="0.25">
      <c r="D531" s="307"/>
      <c r="E531" s="26"/>
      <c r="F531" s="206"/>
      <c r="G531" s="207"/>
      <c r="H531" s="207"/>
      <c r="I531" s="51"/>
      <c r="J531" s="308"/>
      <c r="K531" s="308"/>
      <c r="L531" s="308"/>
      <c r="M531" s="308"/>
      <c r="N531" s="308"/>
      <c r="O531" s="308"/>
      <c r="P531" s="308"/>
      <c r="Q531" s="309"/>
    </row>
    <row r="532" spans="4:17" s="16" customFormat="1" ht="13.2" x14ac:dyDescent="0.25">
      <c r="D532" s="814" t="s">
        <v>1448</v>
      </c>
      <c r="E532" s="815"/>
      <c r="F532" s="815"/>
      <c r="G532" s="815"/>
      <c r="H532" s="815"/>
      <c r="I532" s="175">
        <f t="shared" ref="I532:Q532" si="706">SUM(I533:I535)</f>
        <v>0</v>
      </c>
      <c r="J532" s="175">
        <f t="shared" si="706"/>
        <v>6.8714799999999991</v>
      </c>
      <c r="K532" s="175">
        <f t="shared" si="706"/>
        <v>0</v>
      </c>
      <c r="L532" s="175">
        <f t="shared" si="706"/>
        <v>8.4846000000000004</v>
      </c>
      <c r="M532" s="175">
        <f t="shared" si="706"/>
        <v>13.253159999999999</v>
      </c>
      <c r="N532" s="175">
        <f t="shared" si="706"/>
        <v>0</v>
      </c>
      <c r="O532" s="175">
        <f t="shared" si="706"/>
        <v>0</v>
      </c>
      <c r="P532" s="175">
        <f t="shared" si="706"/>
        <v>0</v>
      </c>
      <c r="Q532" s="175">
        <f t="shared" si="706"/>
        <v>0</v>
      </c>
    </row>
    <row r="533" spans="4:17" s="16" customFormat="1" ht="13.2" x14ac:dyDescent="0.25">
      <c r="D533" s="235">
        <v>1</v>
      </c>
      <c r="E533" s="237">
        <v>46</v>
      </c>
      <c r="F533" s="238">
        <v>5</v>
      </c>
      <c r="G533" s="239">
        <v>0.97</v>
      </c>
      <c r="H533" s="239">
        <f t="shared" ref="H533:H535" si="707">E533*G533</f>
        <v>44.62</v>
      </c>
      <c r="I533" s="131">
        <f t="shared" ref="I533:I535" si="708">IF($F533=4.2,H533*$B$23,0)</f>
        <v>0</v>
      </c>
      <c r="J533" s="31">
        <f t="shared" ref="J533:J535" si="709">IF($F533=5,$H533*$B$24,0)</f>
        <v>6.8714799999999991</v>
      </c>
      <c r="K533" s="31">
        <f t="shared" ref="K533:K535" si="710">IF($F533=6.3,$H533*$B$25,0)</f>
        <v>0</v>
      </c>
      <c r="L533" s="31">
        <f t="shared" ref="L533:L535" si="711">IF($F533=8,$H533*$B$26,0)</f>
        <v>0</v>
      </c>
      <c r="M533" s="31">
        <f t="shared" ref="M533:M535" si="712">IF($F533=10,$H533*$B$27,0)</f>
        <v>0</v>
      </c>
      <c r="N533" s="31">
        <f t="shared" ref="N533:N535" si="713">IF($F533=12.5,$H533*$B$28,0)</f>
        <v>0</v>
      </c>
      <c r="O533" s="31">
        <f t="shared" ref="O533:O535" si="714">IF($F533=16,$H533*$B$29,0)</f>
        <v>0</v>
      </c>
      <c r="P533" s="31">
        <f t="shared" ref="P533:P535" si="715">IF($F533=20,$H533*$B$30,0)</f>
        <v>0</v>
      </c>
      <c r="Q533" s="49">
        <f t="shared" ref="Q533:Q535" si="716">IF($F533=25,$H533*$B$31,0)</f>
        <v>0</v>
      </c>
    </row>
    <row r="534" spans="4:17" s="16" customFormat="1" ht="13.2" x14ac:dyDescent="0.25">
      <c r="D534" s="235">
        <v>14</v>
      </c>
      <c r="E534" s="237">
        <v>2</v>
      </c>
      <c r="F534" s="238">
        <v>8</v>
      </c>
      <c r="G534" s="239">
        <v>10.74</v>
      </c>
      <c r="H534" s="239">
        <f t="shared" si="707"/>
        <v>21.48</v>
      </c>
      <c r="I534" s="131">
        <f t="shared" si="708"/>
        <v>0</v>
      </c>
      <c r="J534" s="31">
        <f t="shared" si="709"/>
        <v>0</v>
      </c>
      <c r="K534" s="31">
        <f t="shared" si="710"/>
        <v>0</v>
      </c>
      <c r="L534" s="31">
        <f t="shared" si="711"/>
        <v>8.4846000000000004</v>
      </c>
      <c r="M534" s="31">
        <f t="shared" si="712"/>
        <v>0</v>
      </c>
      <c r="N534" s="31">
        <f t="shared" si="713"/>
        <v>0</v>
      </c>
      <c r="O534" s="31">
        <f t="shared" si="714"/>
        <v>0</v>
      </c>
      <c r="P534" s="31">
        <f t="shared" si="715"/>
        <v>0</v>
      </c>
      <c r="Q534" s="49">
        <f t="shared" si="716"/>
        <v>0</v>
      </c>
    </row>
    <row r="535" spans="4:17" s="16" customFormat="1" ht="13.2" x14ac:dyDescent="0.25">
      <c r="D535" s="235">
        <v>35</v>
      </c>
      <c r="E535" s="237">
        <v>2</v>
      </c>
      <c r="F535" s="238">
        <v>10</v>
      </c>
      <c r="G535" s="239">
        <v>10.74</v>
      </c>
      <c r="H535" s="239">
        <f t="shared" si="707"/>
        <v>21.48</v>
      </c>
      <c r="I535" s="131">
        <f t="shared" si="708"/>
        <v>0</v>
      </c>
      <c r="J535" s="31">
        <f t="shared" si="709"/>
        <v>0</v>
      </c>
      <c r="K535" s="31">
        <f t="shared" si="710"/>
        <v>0</v>
      </c>
      <c r="L535" s="31">
        <f t="shared" si="711"/>
        <v>0</v>
      </c>
      <c r="M535" s="31">
        <f t="shared" si="712"/>
        <v>13.253159999999999</v>
      </c>
      <c r="N535" s="31">
        <f t="shared" si="713"/>
        <v>0</v>
      </c>
      <c r="O535" s="31">
        <f t="shared" si="714"/>
        <v>0</v>
      </c>
      <c r="P535" s="31">
        <f t="shared" si="715"/>
        <v>0</v>
      </c>
      <c r="Q535" s="49">
        <f t="shared" si="716"/>
        <v>0</v>
      </c>
    </row>
    <row r="536" spans="4:17" s="16" customFormat="1" ht="13.2" x14ac:dyDescent="0.25">
      <c r="D536" s="307"/>
      <c r="E536" s="26"/>
      <c r="F536" s="206"/>
      <c r="G536" s="207"/>
      <c r="H536" s="207"/>
      <c r="I536" s="51"/>
      <c r="J536" s="308"/>
      <c r="K536" s="308"/>
      <c r="L536" s="308"/>
      <c r="M536" s="308"/>
      <c r="N536" s="308"/>
      <c r="O536" s="308"/>
      <c r="P536" s="308"/>
      <c r="Q536" s="309"/>
    </row>
    <row r="537" spans="4:17" s="16" customFormat="1" ht="13.2" x14ac:dyDescent="0.25">
      <c r="D537" s="814" t="s">
        <v>1449</v>
      </c>
      <c r="E537" s="815"/>
      <c r="F537" s="815"/>
      <c r="G537" s="815"/>
      <c r="H537" s="815"/>
      <c r="I537" s="175">
        <f t="shared" ref="I537:Q537" si="717">SUM(I538:I543)</f>
        <v>0</v>
      </c>
      <c r="J537" s="175">
        <f t="shared" si="717"/>
        <v>6.7220999999999993</v>
      </c>
      <c r="K537" s="175">
        <f t="shared" si="717"/>
        <v>0</v>
      </c>
      <c r="L537" s="175">
        <f t="shared" si="717"/>
        <v>4.7834500000000002</v>
      </c>
      <c r="M537" s="175">
        <f t="shared" si="717"/>
        <v>20.96566</v>
      </c>
      <c r="N537" s="175">
        <f t="shared" si="717"/>
        <v>0</v>
      </c>
      <c r="O537" s="175">
        <f t="shared" si="717"/>
        <v>0</v>
      </c>
      <c r="P537" s="175">
        <f t="shared" si="717"/>
        <v>0</v>
      </c>
      <c r="Q537" s="175">
        <f t="shared" si="717"/>
        <v>0</v>
      </c>
    </row>
    <row r="538" spans="4:17" s="16" customFormat="1" ht="13.2" x14ac:dyDescent="0.25">
      <c r="D538" s="235">
        <v>1</v>
      </c>
      <c r="E538" s="237">
        <v>45</v>
      </c>
      <c r="F538" s="238">
        <v>5</v>
      </c>
      <c r="G538" s="239">
        <v>0.97</v>
      </c>
      <c r="H538" s="239">
        <f t="shared" ref="H538:H543" si="718">E538*G538</f>
        <v>43.65</v>
      </c>
      <c r="I538" s="131">
        <f t="shared" ref="I538:I543" si="719">IF($F538=4.2,H538*$B$23,0)</f>
        <v>0</v>
      </c>
      <c r="J538" s="31">
        <f t="shared" ref="J538:J543" si="720">IF($F538=5,$H538*$B$24,0)</f>
        <v>6.7220999999999993</v>
      </c>
      <c r="K538" s="31">
        <f t="shared" ref="K538:K543" si="721">IF($F538=6.3,$H538*$B$25,0)</f>
        <v>0</v>
      </c>
      <c r="L538" s="31">
        <f t="shared" ref="L538:L543" si="722">IF($F538=8,$H538*$B$26,0)</f>
        <v>0</v>
      </c>
      <c r="M538" s="31">
        <f t="shared" ref="M538:M543" si="723">IF($F538=10,$H538*$B$27,0)</f>
        <v>0</v>
      </c>
      <c r="N538" s="31">
        <f t="shared" ref="N538:N543" si="724">IF($F538=12.5,$H538*$B$28,0)</f>
        <v>0</v>
      </c>
      <c r="O538" s="31">
        <f t="shared" ref="O538:O543" si="725">IF($F538=16,$H538*$B$29,0)</f>
        <v>0</v>
      </c>
      <c r="P538" s="31">
        <f t="shared" ref="P538:P543" si="726">IF($F538=20,$H538*$B$30,0)</f>
        <v>0</v>
      </c>
      <c r="Q538" s="49">
        <f t="shared" ref="Q538:Q543" si="727">IF($F538=25,$H538*$B$31,0)</f>
        <v>0</v>
      </c>
    </row>
    <row r="539" spans="4:17" s="16" customFormat="1" ht="13.2" x14ac:dyDescent="0.25">
      <c r="D539" s="235">
        <v>15</v>
      </c>
      <c r="E539" s="237">
        <v>1</v>
      </c>
      <c r="F539" s="238">
        <v>8</v>
      </c>
      <c r="G539" s="239">
        <v>1.1000000000000001</v>
      </c>
      <c r="H539" s="239">
        <f t="shared" ref="H539:H541" si="728">E539*G539</f>
        <v>1.1000000000000001</v>
      </c>
      <c r="I539" s="131">
        <f t="shared" ref="I539:I541" si="729">IF($F539=4.2,H539*$B$23,0)</f>
        <v>0</v>
      </c>
      <c r="J539" s="31">
        <f t="shared" si="720"/>
        <v>0</v>
      </c>
      <c r="K539" s="31">
        <f t="shared" si="721"/>
        <v>0</v>
      </c>
      <c r="L539" s="31">
        <f t="shared" si="722"/>
        <v>0.43450000000000005</v>
      </c>
      <c r="M539" s="31">
        <f t="shared" si="723"/>
        <v>0</v>
      </c>
      <c r="N539" s="31">
        <f t="shared" si="724"/>
        <v>0</v>
      </c>
      <c r="O539" s="31">
        <f t="shared" si="725"/>
        <v>0</v>
      </c>
      <c r="P539" s="31">
        <f t="shared" si="726"/>
        <v>0</v>
      </c>
      <c r="Q539" s="49">
        <f t="shared" si="727"/>
        <v>0</v>
      </c>
    </row>
    <row r="540" spans="4:17" s="16" customFormat="1" ht="13.2" x14ac:dyDescent="0.25">
      <c r="D540" s="235">
        <v>16</v>
      </c>
      <c r="E540" s="237">
        <v>1</v>
      </c>
      <c r="F540" s="238">
        <v>8</v>
      </c>
      <c r="G540" s="239">
        <v>1.65</v>
      </c>
      <c r="H540" s="239">
        <f t="shared" si="728"/>
        <v>1.65</v>
      </c>
      <c r="I540" s="131">
        <f t="shared" si="729"/>
        <v>0</v>
      </c>
      <c r="J540" s="31">
        <f t="shared" si="720"/>
        <v>0</v>
      </c>
      <c r="K540" s="31">
        <f t="shared" si="721"/>
        <v>0</v>
      </c>
      <c r="L540" s="31">
        <f t="shared" si="722"/>
        <v>0.65174999999999994</v>
      </c>
      <c r="M540" s="31">
        <f t="shared" si="723"/>
        <v>0</v>
      </c>
      <c r="N540" s="31">
        <f t="shared" si="724"/>
        <v>0</v>
      </c>
      <c r="O540" s="31">
        <f t="shared" si="725"/>
        <v>0</v>
      </c>
      <c r="P540" s="31">
        <f t="shared" si="726"/>
        <v>0</v>
      </c>
      <c r="Q540" s="49">
        <f t="shared" si="727"/>
        <v>0</v>
      </c>
    </row>
    <row r="541" spans="4:17" s="16" customFormat="1" ht="13.2" x14ac:dyDescent="0.25">
      <c r="D541" s="235">
        <v>17</v>
      </c>
      <c r="E541" s="237">
        <v>2</v>
      </c>
      <c r="F541" s="238">
        <v>8</v>
      </c>
      <c r="G541" s="239">
        <v>4.68</v>
      </c>
      <c r="H541" s="239">
        <f t="shared" si="728"/>
        <v>9.36</v>
      </c>
      <c r="I541" s="131">
        <f t="shared" si="729"/>
        <v>0</v>
      </c>
      <c r="J541" s="31">
        <f t="shared" si="720"/>
        <v>0</v>
      </c>
      <c r="K541" s="31">
        <f t="shared" si="721"/>
        <v>0</v>
      </c>
      <c r="L541" s="31">
        <f t="shared" si="722"/>
        <v>3.6972</v>
      </c>
      <c r="M541" s="31">
        <f t="shared" si="723"/>
        <v>0</v>
      </c>
      <c r="N541" s="31">
        <f t="shared" si="724"/>
        <v>0</v>
      </c>
      <c r="O541" s="31">
        <f t="shared" si="725"/>
        <v>0</v>
      </c>
      <c r="P541" s="31">
        <f t="shared" si="726"/>
        <v>0</v>
      </c>
      <c r="Q541" s="49">
        <f t="shared" si="727"/>
        <v>0</v>
      </c>
    </row>
    <row r="542" spans="4:17" s="16" customFormat="1" ht="13.2" x14ac:dyDescent="0.25">
      <c r="D542" s="235">
        <v>35</v>
      </c>
      <c r="E542" s="237">
        <v>2</v>
      </c>
      <c r="F542" s="238">
        <v>10</v>
      </c>
      <c r="G542" s="239">
        <v>10.74</v>
      </c>
      <c r="H542" s="239">
        <f t="shared" si="718"/>
        <v>21.48</v>
      </c>
      <c r="I542" s="131">
        <f t="shared" si="719"/>
        <v>0</v>
      </c>
      <c r="J542" s="31">
        <f t="shared" si="720"/>
        <v>0</v>
      </c>
      <c r="K542" s="31">
        <f t="shared" si="721"/>
        <v>0</v>
      </c>
      <c r="L542" s="31">
        <f t="shared" si="722"/>
        <v>0</v>
      </c>
      <c r="M542" s="31">
        <f t="shared" si="723"/>
        <v>13.253159999999999</v>
      </c>
      <c r="N542" s="31">
        <f t="shared" si="724"/>
        <v>0</v>
      </c>
      <c r="O542" s="31">
        <f t="shared" si="725"/>
        <v>0</v>
      </c>
      <c r="P542" s="31">
        <f t="shared" si="726"/>
        <v>0</v>
      </c>
      <c r="Q542" s="49">
        <f t="shared" si="727"/>
        <v>0</v>
      </c>
    </row>
    <row r="543" spans="4:17" s="16" customFormat="1" ht="13.2" x14ac:dyDescent="0.25">
      <c r="D543" s="235">
        <v>36</v>
      </c>
      <c r="E543" s="237">
        <v>2</v>
      </c>
      <c r="F543" s="238">
        <v>10</v>
      </c>
      <c r="G543" s="239">
        <v>6.25</v>
      </c>
      <c r="H543" s="239">
        <f t="shared" si="718"/>
        <v>12.5</v>
      </c>
      <c r="I543" s="131">
        <f t="shared" si="719"/>
        <v>0</v>
      </c>
      <c r="J543" s="31">
        <f t="shared" si="720"/>
        <v>0</v>
      </c>
      <c r="K543" s="31">
        <f t="shared" si="721"/>
        <v>0</v>
      </c>
      <c r="L543" s="31">
        <f t="shared" si="722"/>
        <v>0</v>
      </c>
      <c r="M543" s="31">
        <f t="shared" si="723"/>
        <v>7.7125000000000004</v>
      </c>
      <c r="N543" s="31">
        <f t="shared" si="724"/>
        <v>0</v>
      </c>
      <c r="O543" s="31">
        <f t="shared" si="725"/>
        <v>0</v>
      </c>
      <c r="P543" s="31">
        <f t="shared" si="726"/>
        <v>0</v>
      </c>
      <c r="Q543" s="49">
        <f t="shared" si="727"/>
        <v>0</v>
      </c>
    </row>
    <row r="544" spans="4:17" s="16" customFormat="1" ht="13.2" x14ac:dyDescent="0.25">
      <c r="D544" s="307"/>
      <c r="E544" s="26"/>
      <c r="F544" s="206"/>
      <c r="G544" s="207"/>
      <c r="H544" s="207"/>
      <c r="I544" s="51"/>
      <c r="J544" s="308"/>
      <c r="K544" s="308"/>
      <c r="L544" s="308"/>
      <c r="M544" s="308"/>
      <c r="N544" s="308"/>
      <c r="O544" s="308"/>
      <c r="P544" s="308"/>
      <c r="Q544" s="309"/>
    </row>
    <row r="545" spans="4:17" s="16" customFormat="1" ht="13.2" x14ac:dyDescent="0.25">
      <c r="D545" s="814" t="s">
        <v>1450</v>
      </c>
      <c r="E545" s="815"/>
      <c r="F545" s="815"/>
      <c r="G545" s="815"/>
      <c r="H545" s="815"/>
      <c r="I545" s="175">
        <f t="shared" ref="I545:Q545" si="730">SUM(I546:I548)</f>
        <v>0</v>
      </c>
      <c r="J545" s="175">
        <f t="shared" si="730"/>
        <v>13.742959999999998</v>
      </c>
      <c r="K545" s="175">
        <f t="shared" si="730"/>
        <v>0</v>
      </c>
      <c r="L545" s="175">
        <f t="shared" si="730"/>
        <v>16.969200000000001</v>
      </c>
      <c r="M545" s="175">
        <f t="shared" si="730"/>
        <v>26.506319999999999</v>
      </c>
      <c r="N545" s="175">
        <f t="shared" si="730"/>
        <v>0</v>
      </c>
      <c r="O545" s="175">
        <f t="shared" si="730"/>
        <v>0</v>
      </c>
      <c r="P545" s="175">
        <f t="shared" si="730"/>
        <v>0</v>
      </c>
      <c r="Q545" s="175">
        <f t="shared" si="730"/>
        <v>0</v>
      </c>
    </row>
    <row r="546" spans="4:17" s="16" customFormat="1" ht="13.2" x14ac:dyDescent="0.25">
      <c r="D546" s="235">
        <v>1</v>
      </c>
      <c r="E546" s="237">
        <f>2*46</f>
        <v>92</v>
      </c>
      <c r="F546" s="238">
        <v>5</v>
      </c>
      <c r="G546" s="239">
        <v>0.97</v>
      </c>
      <c r="H546" s="239">
        <f t="shared" ref="H546:H548" si="731">E546*G546</f>
        <v>89.24</v>
      </c>
      <c r="I546" s="131">
        <f t="shared" ref="I546:I548" si="732">IF($F546=4.2,H546*$B$23,0)</f>
        <v>0</v>
      </c>
      <c r="J546" s="31">
        <f t="shared" ref="J546:J548" si="733">IF($F546=5,$H546*$B$24,0)</f>
        <v>13.742959999999998</v>
      </c>
      <c r="K546" s="31">
        <f t="shared" ref="K546:K548" si="734">IF($F546=6.3,$H546*$B$25,0)</f>
        <v>0</v>
      </c>
      <c r="L546" s="31">
        <f t="shared" ref="L546:L548" si="735">IF($F546=8,$H546*$B$26,0)</f>
        <v>0</v>
      </c>
      <c r="M546" s="31">
        <f t="shared" ref="M546:M548" si="736">IF($F546=10,$H546*$B$27,0)</f>
        <v>0</v>
      </c>
      <c r="N546" s="31">
        <f t="shared" ref="N546:N548" si="737">IF($F546=12.5,$H546*$B$28,0)</f>
        <v>0</v>
      </c>
      <c r="O546" s="31">
        <f t="shared" ref="O546:O548" si="738">IF($F546=16,$H546*$B$29,0)</f>
        <v>0</v>
      </c>
      <c r="P546" s="31">
        <f t="shared" ref="P546:P548" si="739">IF($F546=20,$H546*$B$30,0)</f>
        <v>0</v>
      </c>
      <c r="Q546" s="49">
        <f t="shared" ref="Q546:Q548" si="740">IF($F546=25,$H546*$B$31,0)</f>
        <v>0</v>
      </c>
    </row>
    <row r="547" spans="4:17" s="16" customFormat="1" ht="13.2" x14ac:dyDescent="0.25">
      <c r="D547" s="235">
        <v>14</v>
      </c>
      <c r="E547" s="237">
        <f>2*2</f>
        <v>4</v>
      </c>
      <c r="F547" s="238">
        <v>8</v>
      </c>
      <c r="G547" s="239">
        <v>10.74</v>
      </c>
      <c r="H547" s="239">
        <f t="shared" si="731"/>
        <v>42.96</v>
      </c>
      <c r="I547" s="131">
        <f t="shared" si="732"/>
        <v>0</v>
      </c>
      <c r="J547" s="31">
        <f t="shared" si="733"/>
        <v>0</v>
      </c>
      <c r="K547" s="31">
        <f t="shared" si="734"/>
        <v>0</v>
      </c>
      <c r="L547" s="31">
        <f t="shared" si="735"/>
        <v>16.969200000000001</v>
      </c>
      <c r="M547" s="31">
        <f t="shared" si="736"/>
        <v>0</v>
      </c>
      <c r="N547" s="31">
        <f t="shared" si="737"/>
        <v>0</v>
      </c>
      <c r="O547" s="31">
        <f t="shared" si="738"/>
        <v>0</v>
      </c>
      <c r="P547" s="31">
        <f t="shared" si="739"/>
        <v>0</v>
      </c>
      <c r="Q547" s="49">
        <f t="shared" si="740"/>
        <v>0</v>
      </c>
    </row>
    <row r="548" spans="4:17" s="16" customFormat="1" ht="13.2" x14ac:dyDescent="0.25">
      <c r="D548" s="235">
        <v>35</v>
      </c>
      <c r="E548" s="237">
        <f>2*2</f>
        <v>4</v>
      </c>
      <c r="F548" s="238">
        <v>10</v>
      </c>
      <c r="G548" s="239">
        <v>10.74</v>
      </c>
      <c r="H548" s="239">
        <f t="shared" si="731"/>
        <v>42.96</v>
      </c>
      <c r="I548" s="131">
        <f t="shared" si="732"/>
        <v>0</v>
      </c>
      <c r="J548" s="31">
        <f t="shared" si="733"/>
        <v>0</v>
      </c>
      <c r="K548" s="31">
        <f t="shared" si="734"/>
        <v>0</v>
      </c>
      <c r="L548" s="31">
        <f t="shared" si="735"/>
        <v>0</v>
      </c>
      <c r="M548" s="31">
        <f t="shared" si="736"/>
        <v>26.506319999999999</v>
      </c>
      <c r="N548" s="31">
        <f t="shared" si="737"/>
        <v>0</v>
      </c>
      <c r="O548" s="31">
        <f t="shared" si="738"/>
        <v>0</v>
      </c>
      <c r="P548" s="31">
        <f t="shared" si="739"/>
        <v>0</v>
      </c>
      <c r="Q548" s="49">
        <f t="shared" si="740"/>
        <v>0</v>
      </c>
    </row>
    <row r="549" spans="4:17" s="16" customFormat="1" ht="13.2" x14ac:dyDescent="0.25">
      <c r="D549" s="307"/>
      <c r="E549" s="26"/>
      <c r="F549" s="206"/>
      <c r="G549" s="207"/>
      <c r="H549" s="207"/>
      <c r="I549" s="51"/>
      <c r="J549" s="308"/>
      <c r="K549" s="308"/>
      <c r="L549" s="308"/>
      <c r="M549" s="308"/>
      <c r="N549" s="308"/>
      <c r="O549" s="308"/>
      <c r="P549" s="308"/>
      <c r="Q549" s="309"/>
    </row>
    <row r="550" spans="4:17" s="16" customFormat="1" ht="13.2" x14ac:dyDescent="0.25">
      <c r="D550" s="814" t="s">
        <v>1451</v>
      </c>
      <c r="E550" s="815"/>
      <c r="F550" s="815"/>
      <c r="G550" s="815"/>
      <c r="H550" s="815"/>
      <c r="I550" s="175">
        <f t="shared" ref="I550:Q550" si="741">SUM(I551:I553)</f>
        <v>0</v>
      </c>
      <c r="J550" s="175">
        <f t="shared" si="741"/>
        <v>2.6888399999999999</v>
      </c>
      <c r="K550" s="175">
        <f t="shared" si="741"/>
        <v>0</v>
      </c>
      <c r="L550" s="175">
        <f t="shared" si="741"/>
        <v>6.7387000000000006</v>
      </c>
      <c r="M550" s="175">
        <f t="shared" si="741"/>
        <v>0</v>
      </c>
      <c r="N550" s="175">
        <f t="shared" si="741"/>
        <v>0</v>
      </c>
      <c r="O550" s="175">
        <f t="shared" si="741"/>
        <v>0</v>
      </c>
      <c r="P550" s="175">
        <f t="shared" si="741"/>
        <v>0</v>
      </c>
      <c r="Q550" s="175">
        <f t="shared" si="741"/>
        <v>0</v>
      </c>
    </row>
    <row r="551" spans="4:17" s="16" customFormat="1" ht="13.2" x14ac:dyDescent="0.25">
      <c r="D551" s="235">
        <v>1</v>
      </c>
      <c r="E551" s="237">
        <f>2*9</f>
        <v>18</v>
      </c>
      <c r="F551" s="238">
        <v>5</v>
      </c>
      <c r="G551" s="239">
        <v>0.97</v>
      </c>
      <c r="H551" s="239">
        <f t="shared" ref="H551:H553" si="742">E551*G551</f>
        <v>17.46</v>
      </c>
      <c r="I551" s="131">
        <f t="shared" ref="I551:I553" si="743">IF($F551=4.2,H551*$B$23,0)</f>
        <v>0</v>
      </c>
      <c r="J551" s="31">
        <f t="shared" ref="J551:J553" si="744">IF($F551=5,$H551*$B$24,0)</f>
        <v>2.6888399999999999</v>
      </c>
      <c r="K551" s="31">
        <f t="shared" ref="K551:K553" si="745">IF($F551=6.3,$H551*$B$25,0)</f>
        <v>0</v>
      </c>
      <c r="L551" s="31">
        <f t="shared" ref="L551:L553" si="746">IF($F551=8,$H551*$B$26,0)</f>
        <v>0</v>
      </c>
      <c r="M551" s="31">
        <f t="shared" ref="M551:M553" si="747">IF($F551=10,$H551*$B$27,0)</f>
        <v>0</v>
      </c>
      <c r="N551" s="31">
        <f t="shared" ref="N551:N553" si="748">IF($F551=12.5,$H551*$B$28,0)</f>
        <v>0</v>
      </c>
      <c r="O551" s="31">
        <f t="shared" ref="O551:O553" si="749">IF($F551=16,$H551*$B$29,0)</f>
        <v>0</v>
      </c>
      <c r="P551" s="31">
        <f t="shared" ref="P551:P553" si="750">IF($F551=20,$H551*$B$30,0)</f>
        <v>0</v>
      </c>
      <c r="Q551" s="49">
        <f t="shared" ref="Q551:Q553" si="751">IF($F551=25,$H551*$B$31,0)</f>
        <v>0</v>
      </c>
    </row>
    <row r="552" spans="4:17" s="16" customFormat="1" ht="13.2" x14ac:dyDescent="0.25">
      <c r="D552" s="235">
        <v>13</v>
      </c>
      <c r="E552" s="237">
        <f>2*5</f>
        <v>10</v>
      </c>
      <c r="F552" s="238">
        <v>8</v>
      </c>
      <c r="G552" s="239">
        <v>0.89</v>
      </c>
      <c r="H552" s="239">
        <f t="shared" si="742"/>
        <v>8.9</v>
      </c>
      <c r="I552" s="131">
        <f t="shared" si="743"/>
        <v>0</v>
      </c>
      <c r="J552" s="31">
        <f t="shared" si="744"/>
        <v>0</v>
      </c>
      <c r="K552" s="31">
        <f t="shared" si="745"/>
        <v>0</v>
      </c>
      <c r="L552" s="31">
        <f t="shared" si="746"/>
        <v>3.5155000000000003</v>
      </c>
      <c r="M552" s="31">
        <f t="shared" si="747"/>
        <v>0</v>
      </c>
      <c r="N552" s="31">
        <f t="shared" si="748"/>
        <v>0</v>
      </c>
      <c r="O552" s="31">
        <f t="shared" si="749"/>
        <v>0</v>
      </c>
      <c r="P552" s="31">
        <f t="shared" si="750"/>
        <v>0</v>
      </c>
      <c r="Q552" s="49">
        <f t="shared" si="751"/>
        <v>0</v>
      </c>
    </row>
    <row r="553" spans="4:17" s="16" customFormat="1" ht="13.2" x14ac:dyDescent="0.25">
      <c r="D553" s="235">
        <v>18</v>
      </c>
      <c r="E553" s="237">
        <f>2*4</f>
        <v>8</v>
      </c>
      <c r="F553" s="238">
        <v>8</v>
      </c>
      <c r="G553" s="239">
        <v>1.02</v>
      </c>
      <c r="H553" s="239">
        <f t="shared" si="742"/>
        <v>8.16</v>
      </c>
      <c r="I553" s="131">
        <f t="shared" si="743"/>
        <v>0</v>
      </c>
      <c r="J553" s="31">
        <f t="shared" si="744"/>
        <v>0</v>
      </c>
      <c r="K553" s="31">
        <f t="shared" si="745"/>
        <v>0</v>
      </c>
      <c r="L553" s="31">
        <f t="shared" si="746"/>
        <v>3.2232000000000003</v>
      </c>
      <c r="M553" s="31">
        <f t="shared" si="747"/>
        <v>0</v>
      </c>
      <c r="N553" s="31">
        <f t="shared" si="748"/>
        <v>0</v>
      </c>
      <c r="O553" s="31">
        <f t="shared" si="749"/>
        <v>0</v>
      </c>
      <c r="P553" s="31">
        <f t="shared" si="750"/>
        <v>0</v>
      </c>
      <c r="Q553" s="49">
        <f t="shared" si="751"/>
        <v>0</v>
      </c>
    </row>
    <row r="554" spans="4:17" s="16" customFormat="1" ht="13.2" x14ac:dyDescent="0.25">
      <c r="D554" s="307"/>
      <c r="E554" s="26"/>
      <c r="F554" s="206"/>
      <c r="G554" s="207"/>
      <c r="H554" s="207"/>
      <c r="I554" s="51"/>
      <c r="J554" s="308"/>
      <c r="K554" s="308"/>
      <c r="L554" s="308"/>
      <c r="M554" s="308"/>
      <c r="N554" s="308"/>
      <c r="O554" s="308"/>
      <c r="P554" s="308"/>
      <c r="Q554" s="309"/>
    </row>
    <row r="555" spans="4:17" s="16" customFormat="1" ht="13.2" x14ac:dyDescent="0.25">
      <c r="D555" s="814" t="s">
        <v>1455</v>
      </c>
      <c r="E555" s="815"/>
      <c r="F555" s="815"/>
      <c r="G555" s="815"/>
      <c r="H555" s="815"/>
      <c r="I555" s="175">
        <f t="shared" ref="I555" si="752">SUM(I556:I558)</f>
        <v>0</v>
      </c>
      <c r="J555" s="175">
        <f t="shared" ref="J555" si="753">SUM(J556:J558)</f>
        <v>2.3900799999999998</v>
      </c>
      <c r="K555" s="175">
        <f t="shared" ref="K555" si="754">SUM(K556:K558)</f>
        <v>0</v>
      </c>
      <c r="L555" s="175">
        <f t="shared" ref="L555" si="755">SUM(L556:L558)</f>
        <v>6.7387000000000006</v>
      </c>
      <c r="M555" s="175">
        <f t="shared" ref="M555" si="756">SUM(M556:M558)</f>
        <v>0</v>
      </c>
      <c r="N555" s="175">
        <f t="shared" ref="N555" si="757">SUM(N556:N558)</f>
        <v>0</v>
      </c>
      <c r="O555" s="175">
        <f t="shared" ref="O555" si="758">SUM(O556:O558)</f>
        <v>0</v>
      </c>
      <c r="P555" s="175">
        <f t="shared" ref="P555" si="759">SUM(P556:P558)</f>
        <v>0</v>
      </c>
      <c r="Q555" s="175">
        <f t="shared" ref="Q555" si="760">SUM(Q556:Q558)</f>
        <v>0</v>
      </c>
    </row>
    <row r="556" spans="4:17" s="16" customFormat="1" ht="13.2" x14ac:dyDescent="0.25">
      <c r="D556" s="235">
        <v>1</v>
      </c>
      <c r="E556" s="237">
        <f>2*8</f>
        <v>16</v>
      </c>
      <c r="F556" s="238">
        <v>5</v>
      </c>
      <c r="G556" s="239">
        <v>0.97</v>
      </c>
      <c r="H556" s="239">
        <f t="shared" ref="H556:H558" si="761">E556*G556</f>
        <v>15.52</v>
      </c>
      <c r="I556" s="131">
        <f t="shared" ref="I556:I558" si="762">IF($F556=4.2,H556*$B$23,0)</f>
        <v>0</v>
      </c>
      <c r="J556" s="31">
        <f t="shared" ref="J556:J558" si="763">IF($F556=5,$H556*$B$24,0)</f>
        <v>2.3900799999999998</v>
      </c>
      <c r="K556" s="31">
        <f t="shared" ref="K556:K558" si="764">IF($F556=6.3,$H556*$B$25,0)</f>
        <v>0</v>
      </c>
      <c r="L556" s="31">
        <f t="shared" ref="L556:L558" si="765">IF($F556=8,$H556*$B$26,0)</f>
        <v>0</v>
      </c>
      <c r="M556" s="31">
        <f t="shared" ref="M556:M558" si="766">IF($F556=10,$H556*$B$27,0)</f>
        <v>0</v>
      </c>
      <c r="N556" s="31">
        <f t="shared" ref="N556:N558" si="767">IF($F556=12.5,$H556*$B$28,0)</f>
        <v>0</v>
      </c>
      <c r="O556" s="31">
        <f t="shared" ref="O556:O558" si="768">IF($F556=16,$H556*$B$29,0)</f>
        <v>0</v>
      </c>
      <c r="P556" s="31">
        <f t="shared" ref="P556:P558" si="769">IF($F556=20,$H556*$B$30,0)</f>
        <v>0</v>
      </c>
      <c r="Q556" s="49">
        <f t="shared" ref="Q556:Q558" si="770">IF($F556=25,$H556*$B$31,0)</f>
        <v>0</v>
      </c>
    </row>
    <row r="557" spans="4:17" s="16" customFormat="1" ht="13.2" x14ac:dyDescent="0.25">
      <c r="D557" s="235">
        <v>13</v>
      </c>
      <c r="E557" s="237">
        <f>2*5</f>
        <v>10</v>
      </c>
      <c r="F557" s="238">
        <v>8</v>
      </c>
      <c r="G557" s="239">
        <v>0.89</v>
      </c>
      <c r="H557" s="239">
        <f t="shared" si="761"/>
        <v>8.9</v>
      </c>
      <c r="I557" s="131">
        <f t="shared" si="762"/>
        <v>0</v>
      </c>
      <c r="J557" s="31">
        <f t="shared" si="763"/>
        <v>0</v>
      </c>
      <c r="K557" s="31">
        <f t="shared" si="764"/>
        <v>0</v>
      </c>
      <c r="L557" s="31">
        <f t="shared" si="765"/>
        <v>3.5155000000000003</v>
      </c>
      <c r="M557" s="31">
        <f t="shared" si="766"/>
        <v>0</v>
      </c>
      <c r="N557" s="31">
        <f t="shared" si="767"/>
        <v>0</v>
      </c>
      <c r="O557" s="31">
        <f t="shared" si="768"/>
        <v>0</v>
      </c>
      <c r="P557" s="31">
        <f t="shared" si="769"/>
        <v>0</v>
      </c>
      <c r="Q557" s="49">
        <f t="shared" si="770"/>
        <v>0</v>
      </c>
    </row>
    <row r="558" spans="4:17" s="16" customFormat="1" ht="13.2" x14ac:dyDescent="0.25">
      <c r="D558" s="235">
        <v>18</v>
      </c>
      <c r="E558" s="237">
        <f>2*4</f>
        <v>8</v>
      </c>
      <c r="F558" s="238">
        <v>8</v>
      </c>
      <c r="G558" s="239">
        <v>1.02</v>
      </c>
      <c r="H558" s="239">
        <f t="shared" si="761"/>
        <v>8.16</v>
      </c>
      <c r="I558" s="131">
        <f t="shared" si="762"/>
        <v>0</v>
      </c>
      <c r="J558" s="31">
        <f t="shared" si="763"/>
        <v>0</v>
      </c>
      <c r="K558" s="31">
        <f t="shared" si="764"/>
        <v>0</v>
      </c>
      <c r="L558" s="31">
        <f t="shared" si="765"/>
        <v>3.2232000000000003</v>
      </c>
      <c r="M558" s="31">
        <f t="shared" si="766"/>
        <v>0</v>
      </c>
      <c r="N558" s="31">
        <f t="shared" si="767"/>
        <v>0</v>
      </c>
      <c r="O558" s="31">
        <f t="shared" si="768"/>
        <v>0</v>
      </c>
      <c r="P558" s="31">
        <f t="shared" si="769"/>
        <v>0</v>
      </c>
      <c r="Q558" s="49">
        <f t="shared" si="770"/>
        <v>0</v>
      </c>
    </row>
    <row r="559" spans="4:17" s="16" customFormat="1" ht="13.2" x14ac:dyDescent="0.25">
      <c r="D559" s="307"/>
      <c r="E559" s="26"/>
      <c r="F559" s="206"/>
      <c r="G559" s="207"/>
      <c r="H559" s="207"/>
      <c r="I559" s="51"/>
      <c r="J559" s="308"/>
      <c r="K559" s="308"/>
      <c r="L559" s="308"/>
      <c r="M559" s="308"/>
      <c r="N559" s="308"/>
      <c r="O559" s="308"/>
      <c r="P559" s="308"/>
      <c r="Q559" s="309"/>
    </row>
    <row r="560" spans="4:17" s="16" customFormat="1" ht="13.2" x14ac:dyDescent="0.25">
      <c r="D560" s="814" t="s">
        <v>1452</v>
      </c>
      <c r="E560" s="815"/>
      <c r="F560" s="815"/>
      <c r="G560" s="815"/>
      <c r="H560" s="815"/>
      <c r="I560" s="175">
        <f t="shared" ref="I560:Q560" si="771">SUM(I561:I565)</f>
        <v>0</v>
      </c>
      <c r="J560" s="175">
        <f t="shared" si="771"/>
        <v>4.1826400000000001</v>
      </c>
      <c r="K560" s="175">
        <f t="shared" si="771"/>
        <v>0</v>
      </c>
      <c r="L560" s="175">
        <f t="shared" si="771"/>
        <v>9.4128499999999988</v>
      </c>
      <c r="M560" s="175">
        <f t="shared" si="771"/>
        <v>7.6754799999999994</v>
      </c>
      <c r="N560" s="175">
        <f t="shared" si="771"/>
        <v>0</v>
      </c>
      <c r="O560" s="175">
        <f t="shared" si="771"/>
        <v>0</v>
      </c>
      <c r="P560" s="175">
        <f t="shared" si="771"/>
        <v>0</v>
      </c>
      <c r="Q560" s="175">
        <f t="shared" si="771"/>
        <v>0</v>
      </c>
    </row>
    <row r="561" spans="4:17" s="16" customFormat="1" ht="13.2" x14ac:dyDescent="0.25">
      <c r="D561" s="235">
        <v>1</v>
      </c>
      <c r="E561" s="237">
        <v>28</v>
      </c>
      <c r="F561" s="238">
        <v>5</v>
      </c>
      <c r="G561" s="239">
        <v>0.97</v>
      </c>
      <c r="H561" s="239">
        <f t="shared" ref="H561:H565" si="772">E561*G561</f>
        <v>27.16</v>
      </c>
      <c r="I561" s="131">
        <f t="shared" ref="I561:I565" si="773">IF($F561=4.2,H561*$B$23,0)</f>
        <v>0</v>
      </c>
      <c r="J561" s="31">
        <f t="shared" ref="J561:J565" si="774">IF($F561=5,$H561*$B$24,0)</f>
        <v>4.1826400000000001</v>
      </c>
      <c r="K561" s="31">
        <f t="shared" ref="K561:K565" si="775">IF($F561=6.3,$H561*$B$25,0)</f>
        <v>0</v>
      </c>
      <c r="L561" s="31">
        <f t="shared" ref="L561:L565" si="776">IF($F561=8,$H561*$B$26,0)</f>
        <v>0</v>
      </c>
      <c r="M561" s="31">
        <f t="shared" ref="M561:M565" si="777">IF($F561=10,$H561*$B$27,0)</f>
        <v>0</v>
      </c>
      <c r="N561" s="31">
        <f t="shared" ref="N561:N565" si="778">IF($F561=12.5,$H561*$B$28,0)</f>
        <v>0</v>
      </c>
      <c r="O561" s="31">
        <f t="shared" ref="O561:O565" si="779">IF($F561=16,$H561*$B$29,0)</f>
        <v>0</v>
      </c>
      <c r="P561" s="31">
        <f t="shared" ref="P561:P565" si="780">IF($F561=20,$H561*$B$30,0)</f>
        <v>0</v>
      </c>
      <c r="Q561" s="49">
        <f t="shared" ref="Q561:Q565" si="781">IF($F561=25,$H561*$B$31,0)</f>
        <v>0</v>
      </c>
    </row>
    <row r="562" spans="4:17" s="16" customFormat="1" ht="13.2" x14ac:dyDescent="0.25">
      <c r="D562" s="235">
        <v>19</v>
      </c>
      <c r="E562" s="237">
        <v>3</v>
      </c>
      <c r="F562" s="238">
        <v>8</v>
      </c>
      <c r="G562" s="239">
        <v>1.95</v>
      </c>
      <c r="H562" s="239">
        <f t="shared" si="772"/>
        <v>5.85</v>
      </c>
      <c r="I562" s="131">
        <f t="shared" si="773"/>
        <v>0</v>
      </c>
      <c r="J562" s="31">
        <f t="shared" si="774"/>
        <v>0</v>
      </c>
      <c r="K562" s="31">
        <f t="shared" si="775"/>
        <v>0</v>
      </c>
      <c r="L562" s="31">
        <f t="shared" si="776"/>
        <v>2.3107500000000001</v>
      </c>
      <c r="M562" s="31">
        <f t="shared" si="777"/>
        <v>0</v>
      </c>
      <c r="N562" s="31">
        <f t="shared" si="778"/>
        <v>0</v>
      </c>
      <c r="O562" s="31">
        <f t="shared" si="779"/>
        <v>0</v>
      </c>
      <c r="P562" s="31">
        <f t="shared" si="780"/>
        <v>0</v>
      </c>
      <c r="Q562" s="49">
        <f t="shared" si="781"/>
        <v>0</v>
      </c>
    </row>
    <row r="563" spans="4:17" s="16" customFormat="1" ht="13.2" x14ac:dyDescent="0.25">
      <c r="D563" s="235">
        <v>20</v>
      </c>
      <c r="E563" s="237">
        <v>2</v>
      </c>
      <c r="F563" s="238">
        <v>8</v>
      </c>
      <c r="G563" s="239">
        <v>2.4500000000000002</v>
      </c>
      <c r="H563" s="239">
        <f t="shared" si="772"/>
        <v>4.9000000000000004</v>
      </c>
      <c r="I563" s="131">
        <f t="shared" si="773"/>
        <v>0</v>
      </c>
      <c r="J563" s="31">
        <f t="shared" si="774"/>
        <v>0</v>
      </c>
      <c r="K563" s="31">
        <f t="shared" si="775"/>
        <v>0</v>
      </c>
      <c r="L563" s="31">
        <f t="shared" si="776"/>
        <v>1.9355000000000002</v>
      </c>
      <c r="M563" s="31">
        <f t="shared" si="777"/>
        <v>0</v>
      </c>
      <c r="N563" s="31">
        <f t="shared" si="778"/>
        <v>0</v>
      </c>
      <c r="O563" s="31">
        <f t="shared" si="779"/>
        <v>0</v>
      </c>
      <c r="P563" s="31">
        <f t="shared" si="780"/>
        <v>0</v>
      </c>
      <c r="Q563" s="49">
        <f t="shared" si="781"/>
        <v>0</v>
      </c>
    </row>
    <row r="564" spans="4:17" s="16" customFormat="1" ht="13.2" x14ac:dyDescent="0.25">
      <c r="D564" s="235">
        <v>21</v>
      </c>
      <c r="E564" s="237">
        <v>2</v>
      </c>
      <c r="F564" s="238">
        <v>8</v>
      </c>
      <c r="G564" s="239">
        <v>6.54</v>
      </c>
      <c r="H564" s="239">
        <f t="shared" si="772"/>
        <v>13.08</v>
      </c>
      <c r="I564" s="131">
        <f t="shared" si="773"/>
        <v>0</v>
      </c>
      <c r="J564" s="31">
        <f t="shared" si="774"/>
        <v>0</v>
      </c>
      <c r="K564" s="31">
        <f t="shared" si="775"/>
        <v>0</v>
      </c>
      <c r="L564" s="31">
        <f t="shared" si="776"/>
        <v>5.1665999999999999</v>
      </c>
      <c r="M564" s="31">
        <f t="shared" si="777"/>
        <v>0</v>
      </c>
      <c r="N564" s="31">
        <f t="shared" si="778"/>
        <v>0</v>
      </c>
      <c r="O564" s="31">
        <f t="shared" si="779"/>
        <v>0</v>
      </c>
      <c r="P564" s="31">
        <f t="shared" si="780"/>
        <v>0</v>
      </c>
      <c r="Q564" s="49">
        <f t="shared" si="781"/>
        <v>0</v>
      </c>
    </row>
    <row r="565" spans="4:17" s="16" customFormat="1" ht="13.2" x14ac:dyDescent="0.25">
      <c r="D565" s="235">
        <v>37</v>
      </c>
      <c r="E565" s="237">
        <v>2</v>
      </c>
      <c r="F565" s="238">
        <v>10</v>
      </c>
      <c r="G565" s="239">
        <v>6.22</v>
      </c>
      <c r="H565" s="239">
        <f t="shared" si="772"/>
        <v>12.44</v>
      </c>
      <c r="I565" s="131">
        <f t="shared" si="773"/>
        <v>0</v>
      </c>
      <c r="J565" s="31">
        <f t="shared" si="774"/>
        <v>0</v>
      </c>
      <c r="K565" s="31">
        <f t="shared" si="775"/>
        <v>0</v>
      </c>
      <c r="L565" s="31">
        <f t="shared" si="776"/>
        <v>0</v>
      </c>
      <c r="M565" s="31">
        <f t="shared" si="777"/>
        <v>7.6754799999999994</v>
      </c>
      <c r="N565" s="31">
        <f t="shared" si="778"/>
        <v>0</v>
      </c>
      <c r="O565" s="31">
        <f t="shared" si="779"/>
        <v>0</v>
      </c>
      <c r="P565" s="31">
        <f t="shared" si="780"/>
        <v>0</v>
      </c>
      <c r="Q565" s="49">
        <f t="shared" si="781"/>
        <v>0</v>
      </c>
    </row>
    <row r="566" spans="4:17" s="16" customFormat="1" ht="13.2" x14ac:dyDescent="0.25">
      <c r="D566" s="307"/>
      <c r="E566" s="26"/>
      <c r="F566" s="206"/>
      <c r="G566" s="207"/>
      <c r="H566" s="207"/>
      <c r="I566" s="51"/>
      <c r="J566" s="308"/>
      <c r="K566" s="308"/>
      <c r="L566" s="308"/>
      <c r="M566" s="308"/>
      <c r="N566" s="308"/>
      <c r="O566" s="308"/>
      <c r="P566" s="308"/>
      <c r="Q566" s="309"/>
    </row>
    <row r="567" spans="4:17" s="16" customFormat="1" ht="13.2" x14ac:dyDescent="0.25">
      <c r="D567" s="814" t="s">
        <v>1453</v>
      </c>
      <c r="E567" s="815"/>
      <c r="F567" s="815"/>
      <c r="G567" s="815"/>
      <c r="H567" s="815"/>
      <c r="I567" s="175">
        <f t="shared" ref="I567:Q567" si="782">SUM(I568:I570)</f>
        <v>0</v>
      </c>
      <c r="J567" s="175">
        <f t="shared" si="782"/>
        <v>2.8382199999999997</v>
      </c>
      <c r="K567" s="175">
        <f t="shared" si="782"/>
        <v>0</v>
      </c>
      <c r="L567" s="175">
        <f t="shared" si="782"/>
        <v>3.4364999999999997</v>
      </c>
      <c r="M567" s="175">
        <f t="shared" si="782"/>
        <v>5.1704600000000003</v>
      </c>
      <c r="N567" s="175">
        <f t="shared" si="782"/>
        <v>0</v>
      </c>
      <c r="O567" s="175">
        <f t="shared" si="782"/>
        <v>0</v>
      </c>
      <c r="P567" s="175">
        <f t="shared" si="782"/>
        <v>0</v>
      </c>
      <c r="Q567" s="175">
        <f t="shared" si="782"/>
        <v>0</v>
      </c>
    </row>
    <row r="568" spans="4:17" s="16" customFormat="1" ht="13.2" x14ac:dyDescent="0.25">
      <c r="D568" s="235">
        <v>1</v>
      </c>
      <c r="E568" s="237">
        <v>19</v>
      </c>
      <c r="F568" s="238">
        <v>5</v>
      </c>
      <c r="G568" s="239">
        <v>0.97</v>
      </c>
      <c r="H568" s="239">
        <f t="shared" ref="H568:H570" si="783">E568*G568</f>
        <v>18.43</v>
      </c>
      <c r="I568" s="131">
        <f t="shared" ref="I568:I570" si="784">IF($F568=4.2,H568*$B$23,0)</f>
        <v>0</v>
      </c>
      <c r="J568" s="31">
        <f t="shared" ref="J568:J570" si="785">IF($F568=5,$H568*$B$24,0)</f>
        <v>2.8382199999999997</v>
      </c>
      <c r="K568" s="31">
        <f t="shared" ref="K568:K570" si="786">IF($F568=6.3,$H568*$B$25,0)</f>
        <v>0</v>
      </c>
      <c r="L568" s="31">
        <f t="shared" ref="L568:L570" si="787">IF($F568=8,$H568*$B$26,0)</f>
        <v>0</v>
      </c>
      <c r="M568" s="31">
        <f t="shared" ref="M568:M570" si="788">IF($F568=10,$H568*$B$27,0)</f>
        <v>0</v>
      </c>
      <c r="N568" s="31">
        <f t="shared" ref="N568:N570" si="789">IF($F568=12.5,$H568*$B$28,0)</f>
        <v>0</v>
      </c>
      <c r="O568" s="31">
        <f t="shared" ref="O568:O570" si="790">IF($F568=16,$H568*$B$29,0)</f>
        <v>0</v>
      </c>
      <c r="P568" s="31">
        <f t="shared" ref="P568:P570" si="791">IF($F568=20,$H568*$B$30,0)</f>
        <v>0</v>
      </c>
      <c r="Q568" s="49">
        <f t="shared" ref="Q568:Q570" si="792">IF($F568=25,$H568*$B$31,0)</f>
        <v>0</v>
      </c>
    </row>
    <row r="569" spans="4:17" s="16" customFormat="1" ht="13.2" x14ac:dyDescent="0.25">
      <c r="D569" s="235">
        <v>22</v>
      </c>
      <c r="E569" s="237">
        <v>2</v>
      </c>
      <c r="F569" s="238">
        <v>8</v>
      </c>
      <c r="G569" s="239">
        <v>4.3499999999999996</v>
      </c>
      <c r="H569" s="239">
        <f t="shared" si="783"/>
        <v>8.6999999999999993</v>
      </c>
      <c r="I569" s="131">
        <f t="shared" si="784"/>
        <v>0</v>
      </c>
      <c r="J569" s="31">
        <f t="shared" si="785"/>
        <v>0</v>
      </c>
      <c r="K569" s="31">
        <f t="shared" si="786"/>
        <v>0</v>
      </c>
      <c r="L569" s="31">
        <f t="shared" si="787"/>
        <v>3.4364999999999997</v>
      </c>
      <c r="M569" s="31">
        <f t="shared" si="788"/>
        <v>0</v>
      </c>
      <c r="N569" s="31">
        <f t="shared" si="789"/>
        <v>0</v>
      </c>
      <c r="O569" s="31">
        <f t="shared" si="790"/>
        <v>0</v>
      </c>
      <c r="P569" s="31">
        <f t="shared" si="791"/>
        <v>0</v>
      </c>
      <c r="Q569" s="49">
        <f t="shared" si="792"/>
        <v>0</v>
      </c>
    </row>
    <row r="570" spans="4:17" s="16" customFormat="1" ht="13.2" x14ac:dyDescent="0.25">
      <c r="D570" s="235">
        <v>38</v>
      </c>
      <c r="E570" s="237">
        <v>2</v>
      </c>
      <c r="F570" s="238">
        <v>10</v>
      </c>
      <c r="G570" s="239">
        <v>4.1900000000000004</v>
      </c>
      <c r="H570" s="239">
        <f t="shared" si="783"/>
        <v>8.3800000000000008</v>
      </c>
      <c r="I570" s="131">
        <f t="shared" si="784"/>
        <v>0</v>
      </c>
      <c r="J570" s="31">
        <f t="shared" si="785"/>
        <v>0</v>
      </c>
      <c r="K570" s="31">
        <f t="shared" si="786"/>
        <v>0</v>
      </c>
      <c r="L570" s="31">
        <f t="shared" si="787"/>
        <v>0</v>
      </c>
      <c r="M570" s="31">
        <f t="shared" si="788"/>
        <v>5.1704600000000003</v>
      </c>
      <c r="N570" s="31">
        <f t="shared" si="789"/>
        <v>0</v>
      </c>
      <c r="O570" s="31">
        <f t="shared" si="790"/>
        <v>0</v>
      </c>
      <c r="P570" s="31">
        <f t="shared" si="791"/>
        <v>0</v>
      </c>
      <c r="Q570" s="49">
        <f t="shared" si="792"/>
        <v>0</v>
      </c>
    </row>
    <row r="571" spans="4:17" s="16" customFormat="1" ht="13.2" x14ac:dyDescent="0.25">
      <c r="D571" s="307"/>
      <c r="E571" s="26"/>
      <c r="F571" s="206"/>
      <c r="G571" s="207"/>
      <c r="H571" s="207"/>
      <c r="I571" s="51"/>
      <c r="J571" s="308"/>
      <c r="K571" s="308"/>
      <c r="L571" s="308"/>
      <c r="M571" s="308"/>
      <c r="N571" s="308"/>
      <c r="O571" s="308"/>
      <c r="P571" s="308"/>
      <c r="Q571" s="309"/>
    </row>
    <row r="572" spans="4:17" s="16" customFormat="1" ht="13.2" x14ac:dyDescent="0.25">
      <c r="D572" s="814" t="s">
        <v>1454</v>
      </c>
      <c r="E572" s="815"/>
      <c r="F572" s="815"/>
      <c r="G572" s="815"/>
      <c r="H572" s="815"/>
      <c r="I572" s="175">
        <f t="shared" ref="I572:Q572" si="793">SUM(I573:I577)</f>
        <v>0</v>
      </c>
      <c r="J572" s="175">
        <f t="shared" si="793"/>
        <v>6.4233399999999996</v>
      </c>
      <c r="K572" s="175">
        <f t="shared" si="793"/>
        <v>0</v>
      </c>
      <c r="L572" s="175">
        <f t="shared" si="793"/>
        <v>9.7170000000000005</v>
      </c>
      <c r="M572" s="175">
        <f t="shared" si="793"/>
        <v>13.253159999999999</v>
      </c>
      <c r="N572" s="175">
        <f t="shared" si="793"/>
        <v>0</v>
      </c>
      <c r="O572" s="175">
        <f t="shared" si="793"/>
        <v>0</v>
      </c>
      <c r="P572" s="175">
        <f t="shared" si="793"/>
        <v>0</v>
      </c>
      <c r="Q572" s="175">
        <f t="shared" si="793"/>
        <v>0</v>
      </c>
    </row>
    <row r="573" spans="4:17" s="16" customFormat="1" ht="13.2" x14ac:dyDescent="0.25">
      <c r="D573" s="235">
        <v>1</v>
      </c>
      <c r="E573" s="237">
        <v>43</v>
      </c>
      <c r="F573" s="238">
        <v>5</v>
      </c>
      <c r="G573" s="239">
        <v>0.97</v>
      </c>
      <c r="H573" s="239">
        <f t="shared" ref="H573:H577" si="794">E573*G573</f>
        <v>41.71</v>
      </c>
      <c r="I573" s="131">
        <f t="shared" ref="I573:I577" si="795">IF($F573=4.2,H573*$B$23,0)</f>
        <v>0</v>
      </c>
      <c r="J573" s="31">
        <f t="shared" ref="J573:J577" si="796">IF($F573=5,$H573*$B$24,0)</f>
        <v>6.4233399999999996</v>
      </c>
      <c r="K573" s="31">
        <f t="shared" ref="K573:K577" si="797">IF($F573=6.3,$H573*$B$25,0)</f>
        <v>0</v>
      </c>
      <c r="L573" s="31">
        <f t="shared" ref="L573:L577" si="798">IF($F573=8,$H573*$B$26,0)</f>
        <v>0</v>
      </c>
      <c r="M573" s="31">
        <f t="shared" ref="M573:M577" si="799">IF($F573=10,$H573*$B$27,0)</f>
        <v>0</v>
      </c>
      <c r="N573" s="31">
        <f t="shared" ref="N573:N577" si="800">IF($F573=12.5,$H573*$B$28,0)</f>
        <v>0</v>
      </c>
      <c r="O573" s="31">
        <f t="shared" ref="O573:O577" si="801">IF($F573=16,$H573*$B$29,0)</f>
        <v>0</v>
      </c>
      <c r="P573" s="31">
        <f t="shared" ref="P573:P577" si="802">IF($F573=20,$H573*$B$30,0)</f>
        <v>0</v>
      </c>
      <c r="Q573" s="49">
        <f t="shared" ref="Q573:Q577" si="803">IF($F573=25,$H573*$B$31,0)</f>
        <v>0</v>
      </c>
    </row>
    <row r="574" spans="4:17" s="16" customFormat="1" ht="13.2" x14ac:dyDescent="0.25">
      <c r="D574" s="235">
        <v>14</v>
      </c>
      <c r="E574" s="237">
        <v>2</v>
      </c>
      <c r="F574" s="238">
        <v>8</v>
      </c>
      <c r="G574" s="239">
        <v>10.74</v>
      </c>
      <c r="H574" s="239">
        <f t="shared" si="794"/>
        <v>21.48</v>
      </c>
      <c r="I574" s="131">
        <f t="shared" si="795"/>
        <v>0</v>
      </c>
      <c r="J574" s="31">
        <f t="shared" si="796"/>
        <v>0</v>
      </c>
      <c r="K574" s="31">
        <f t="shared" si="797"/>
        <v>0</v>
      </c>
      <c r="L574" s="31">
        <f t="shared" si="798"/>
        <v>8.4846000000000004</v>
      </c>
      <c r="M574" s="31">
        <f t="shared" si="799"/>
        <v>0</v>
      </c>
      <c r="N574" s="31">
        <f t="shared" si="800"/>
        <v>0</v>
      </c>
      <c r="O574" s="31">
        <f t="shared" si="801"/>
        <v>0</v>
      </c>
      <c r="P574" s="31">
        <f t="shared" si="802"/>
        <v>0</v>
      </c>
      <c r="Q574" s="49">
        <f t="shared" si="803"/>
        <v>0</v>
      </c>
    </row>
    <row r="575" spans="4:17" s="16" customFormat="1" ht="13.2" x14ac:dyDescent="0.25">
      <c r="D575" s="235">
        <v>23</v>
      </c>
      <c r="E575" s="237">
        <v>1</v>
      </c>
      <c r="F575" s="238">
        <v>8</v>
      </c>
      <c r="G575" s="239">
        <v>1.85</v>
      </c>
      <c r="H575" s="239">
        <f t="shared" si="794"/>
        <v>1.85</v>
      </c>
      <c r="I575" s="131">
        <f t="shared" si="795"/>
        <v>0</v>
      </c>
      <c r="J575" s="31">
        <f t="shared" si="796"/>
        <v>0</v>
      </c>
      <c r="K575" s="31">
        <f t="shared" si="797"/>
        <v>0</v>
      </c>
      <c r="L575" s="31">
        <f t="shared" si="798"/>
        <v>0.73075000000000012</v>
      </c>
      <c r="M575" s="31">
        <f t="shared" si="799"/>
        <v>0</v>
      </c>
      <c r="N575" s="31">
        <f t="shared" si="800"/>
        <v>0</v>
      </c>
      <c r="O575" s="31">
        <f t="shared" si="801"/>
        <v>0</v>
      </c>
      <c r="P575" s="31">
        <f t="shared" si="802"/>
        <v>0</v>
      </c>
      <c r="Q575" s="49">
        <f t="shared" si="803"/>
        <v>0</v>
      </c>
    </row>
    <row r="576" spans="4:17" s="16" customFormat="1" ht="13.2" x14ac:dyDescent="0.25">
      <c r="D576" s="235">
        <v>24</v>
      </c>
      <c r="E576" s="237">
        <v>1</v>
      </c>
      <c r="F576" s="238">
        <v>8</v>
      </c>
      <c r="G576" s="239">
        <v>1.27</v>
      </c>
      <c r="H576" s="239">
        <f t="shared" si="794"/>
        <v>1.27</v>
      </c>
      <c r="I576" s="131">
        <f t="shared" si="795"/>
        <v>0</v>
      </c>
      <c r="J576" s="31">
        <f t="shared" si="796"/>
        <v>0</v>
      </c>
      <c r="K576" s="31">
        <f t="shared" si="797"/>
        <v>0</v>
      </c>
      <c r="L576" s="31">
        <f t="shared" si="798"/>
        <v>0.50165000000000004</v>
      </c>
      <c r="M576" s="31">
        <f t="shared" si="799"/>
        <v>0</v>
      </c>
      <c r="N576" s="31">
        <f t="shared" si="800"/>
        <v>0</v>
      </c>
      <c r="O576" s="31">
        <f t="shared" si="801"/>
        <v>0</v>
      </c>
      <c r="P576" s="31">
        <f t="shared" si="802"/>
        <v>0</v>
      </c>
      <c r="Q576" s="49">
        <f t="shared" si="803"/>
        <v>0</v>
      </c>
    </row>
    <row r="577" spans="2:20" s="16" customFormat="1" ht="13.2" x14ac:dyDescent="0.25">
      <c r="D577" s="235">
        <v>35</v>
      </c>
      <c r="E577" s="237">
        <v>2</v>
      </c>
      <c r="F577" s="238">
        <v>10</v>
      </c>
      <c r="G577" s="239">
        <v>10.74</v>
      </c>
      <c r="H577" s="239">
        <f t="shared" si="794"/>
        <v>21.48</v>
      </c>
      <c r="I577" s="131">
        <f t="shared" si="795"/>
        <v>0</v>
      </c>
      <c r="J577" s="31">
        <f t="shared" si="796"/>
        <v>0</v>
      </c>
      <c r="K577" s="31">
        <f t="shared" si="797"/>
        <v>0</v>
      </c>
      <c r="L577" s="31">
        <f t="shared" si="798"/>
        <v>0</v>
      </c>
      <c r="M577" s="31">
        <f t="shared" si="799"/>
        <v>13.253159999999999</v>
      </c>
      <c r="N577" s="31">
        <f t="shared" si="800"/>
        <v>0</v>
      </c>
      <c r="O577" s="31">
        <f t="shared" si="801"/>
        <v>0</v>
      </c>
      <c r="P577" s="31">
        <f t="shared" si="802"/>
        <v>0</v>
      </c>
      <c r="Q577" s="49">
        <f t="shared" si="803"/>
        <v>0</v>
      </c>
    </row>
    <row r="578" spans="2:20" s="16" customFormat="1" ht="13.8" thickBot="1" x14ac:dyDescent="0.3">
      <c r="D578" s="307"/>
      <c r="E578" s="26"/>
      <c r="F578" s="206"/>
      <c r="G578" s="207"/>
      <c r="H578" s="207"/>
      <c r="I578" s="51"/>
      <c r="J578" s="308"/>
      <c r="K578" s="308"/>
      <c r="L578" s="308"/>
      <c r="M578" s="308"/>
      <c r="N578" s="308"/>
      <c r="O578" s="308"/>
      <c r="P578" s="308"/>
      <c r="Q578" s="309"/>
    </row>
    <row r="579" spans="2:20" s="16" customFormat="1" ht="15" customHeight="1" thickBot="1" x14ac:dyDescent="0.3">
      <c r="B579" s="34"/>
      <c r="D579" s="792" t="s">
        <v>583</v>
      </c>
      <c r="E579" s="793"/>
      <c r="F579" s="793"/>
      <c r="G579" s="793"/>
      <c r="H579" s="793"/>
      <c r="I579" s="793"/>
      <c r="J579" s="793"/>
      <c r="K579" s="793"/>
      <c r="L579" s="793"/>
      <c r="M579" s="793"/>
      <c r="N579" s="793"/>
      <c r="O579" s="793"/>
      <c r="P579" s="793"/>
      <c r="Q579" s="794"/>
      <c r="S579" s="795"/>
      <c r="T579" s="795"/>
    </row>
    <row r="580" spans="2:20" s="16" customFormat="1" ht="13.2" x14ac:dyDescent="0.25">
      <c r="D580" s="814" t="s">
        <v>1532</v>
      </c>
      <c r="E580" s="815"/>
      <c r="F580" s="815"/>
      <c r="G580" s="815"/>
      <c r="H580" s="815"/>
      <c r="I580" s="175">
        <f t="shared" ref="I580:Q580" si="804">SUM(I581:I585)</f>
        <v>0</v>
      </c>
      <c r="J580" s="175">
        <f t="shared" si="804"/>
        <v>2.8382199999999997</v>
      </c>
      <c r="K580" s="175">
        <f t="shared" si="804"/>
        <v>0</v>
      </c>
      <c r="L580" s="175">
        <f t="shared" si="804"/>
        <v>3.9184000000000001</v>
      </c>
      <c r="M580" s="175">
        <f t="shared" si="804"/>
        <v>6.2995700000000001</v>
      </c>
      <c r="N580" s="175">
        <f t="shared" si="804"/>
        <v>0</v>
      </c>
      <c r="O580" s="175">
        <f t="shared" si="804"/>
        <v>0</v>
      </c>
      <c r="P580" s="175">
        <f t="shared" si="804"/>
        <v>0</v>
      </c>
      <c r="Q580" s="175">
        <f t="shared" si="804"/>
        <v>0</v>
      </c>
    </row>
    <row r="581" spans="2:20" s="16" customFormat="1" ht="13.2" x14ac:dyDescent="0.25">
      <c r="D581" s="235">
        <v>2</v>
      </c>
      <c r="E581" s="237">
        <v>19</v>
      </c>
      <c r="F581" s="238">
        <v>5</v>
      </c>
      <c r="G581" s="239">
        <v>0.97</v>
      </c>
      <c r="H581" s="239">
        <f t="shared" ref="H581:H585" si="805">E581*G581</f>
        <v>18.43</v>
      </c>
      <c r="I581" s="131">
        <f t="shared" ref="I581:I585" si="806">IF($F581=4.2,H581*$B$23,0)</f>
        <v>0</v>
      </c>
      <c r="J581" s="31">
        <f t="shared" ref="J581:J585" si="807">IF($F581=5,$H581*$B$24,0)</f>
        <v>2.8382199999999997</v>
      </c>
      <c r="K581" s="31">
        <f t="shared" ref="K581:K585" si="808">IF($F581=6.3,$H581*$B$25,0)</f>
        <v>0</v>
      </c>
      <c r="L581" s="31">
        <f t="shared" ref="L581:L585" si="809">IF($F581=8,$H581*$B$26,0)</f>
        <v>0</v>
      </c>
      <c r="M581" s="31">
        <f t="shared" ref="M581:M585" si="810">IF($F581=10,$H581*$B$27,0)</f>
        <v>0</v>
      </c>
      <c r="N581" s="31">
        <f t="shared" ref="N581:N585" si="811">IF($F581=12.5,$H581*$B$28,0)</f>
        <v>0</v>
      </c>
      <c r="O581" s="31">
        <f t="shared" ref="O581:O585" si="812">IF($F581=16,$H581*$B$29,0)</f>
        <v>0</v>
      </c>
      <c r="P581" s="31">
        <f t="shared" ref="P581:P585" si="813">IF($F581=20,$H581*$B$30,0)</f>
        <v>0</v>
      </c>
      <c r="Q581" s="49">
        <f t="shared" ref="Q581:Q585" si="814">IF($F581=25,$H581*$B$31,0)</f>
        <v>0</v>
      </c>
    </row>
    <row r="582" spans="2:20" s="16" customFormat="1" ht="13.2" x14ac:dyDescent="0.25">
      <c r="D582" s="235">
        <v>21</v>
      </c>
      <c r="E582" s="237">
        <v>1</v>
      </c>
      <c r="F582" s="238">
        <v>8</v>
      </c>
      <c r="G582" s="239">
        <v>1.1599999999999999</v>
      </c>
      <c r="H582" s="239">
        <f t="shared" si="805"/>
        <v>1.1599999999999999</v>
      </c>
      <c r="I582" s="131">
        <f t="shared" si="806"/>
        <v>0</v>
      </c>
      <c r="J582" s="31">
        <f t="shared" si="807"/>
        <v>0</v>
      </c>
      <c r="K582" s="31">
        <f t="shared" si="808"/>
        <v>0</v>
      </c>
      <c r="L582" s="31">
        <f t="shared" si="809"/>
        <v>0.4582</v>
      </c>
      <c r="M582" s="31">
        <f t="shared" si="810"/>
        <v>0</v>
      </c>
      <c r="N582" s="31">
        <f t="shared" si="811"/>
        <v>0</v>
      </c>
      <c r="O582" s="31">
        <f t="shared" si="812"/>
        <v>0</v>
      </c>
      <c r="P582" s="31">
        <f t="shared" si="813"/>
        <v>0</v>
      </c>
      <c r="Q582" s="49">
        <f t="shared" si="814"/>
        <v>0</v>
      </c>
    </row>
    <row r="583" spans="2:20" s="16" customFormat="1" ht="13.2" x14ac:dyDescent="0.25">
      <c r="D583" s="235">
        <v>22</v>
      </c>
      <c r="E583" s="237">
        <v>2</v>
      </c>
      <c r="F583" s="238">
        <v>8</v>
      </c>
      <c r="G583" s="239">
        <v>4.38</v>
      </c>
      <c r="H583" s="239">
        <f t="shared" si="805"/>
        <v>8.76</v>
      </c>
      <c r="I583" s="131">
        <f t="shared" si="806"/>
        <v>0</v>
      </c>
      <c r="J583" s="31">
        <f t="shared" si="807"/>
        <v>0</v>
      </c>
      <c r="K583" s="31">
        <f t="shared" si="808"/>
        <v>0</v>
      </c>
      <c r="L583" s="31">
        <f t="shared" si="809"/>
        <v>3.4601999999999999</v>
      </c>
      <c r="M583" s="31">
        <f t="shared" si="810"/>
        <v>0</v>
      </c>
      <c r="N583" s="31">
        <f t="shared" si="811"/>
        <v>0</v>
      </c>
      <c r="O583" s="31">
        <f t="shared" si="812"/>
        <v>0</v>
      </c>
      <c r="P583" s="31">
        <f t="shared" si="813"/>
        <v>0</v>
      </c>
      <c r="Q583" s="49">
        <f t="shared" si="814"/>
        <v>0</v>
      </c>
    </row>
    <row r="584" spans="2:20" s="16" customFormat="1" ht="13.2" x14ac:dyDescent="0.25">
      <c r="D584" s="235">
        <v>25</v>
      </c>
      <c r="E584" s="237">
        <v>1</v>
      </c>
      <c r="F584" s="238">
        <v>10</v>
      </c>
      <c r="G584" s="239">
        <v>2.0299999999999998</v>
      </c>
      <c r="H584" s="239">
        <f t="shared" si="805"/>
        <v>2.0299999999999998</v>
      </c>
      <c r="I584" s="131">
        <f t="shared" si="806"/>
        <v>0</v>
      </c>
      <c r="J584" s="31">
        <f t="shared" si="807"/>
        <v>0</v>
      </c>
      <c r="K584" s="31">
        <f t="shared" si="808"/>
        <v>0</v>
      </c>
      <c r="L584" s="31">
        <f t="shared" si="809"/>
        <v>0</v>
      </c>
      <c r="M584" s="31">
        <f t="shared" si="810"/>
        <v>1.2525099999999998</v>
      </c>
      <c r="N584" s="31">
        <f t="shared" si="811"/>
        <v>0</v>
      </c>
      <c r="O584" s="31">
        <f t="shared" si="812"/>
        <v>0</v>
      </c>
      <c r="P584" s="31">
        <f t="shared" si="813"/>
        <v>0</v>
      </c>
      <c r="Q584" s="49">
        <f t="shared" si="814"/>
        <v>0</v>
      </c>
    </row>
    <row r="585" spans="2:20" s="16" customFormat="1" ht="13.2" x14ac:dyDescent="0.25">
      <c r="D585" s="235">
        <v>26</v>
      </c>
      <c r="E585" s="237">
        <v>2</v>
      </c>
      <c r="F585" s="238">
        <v>10</v>
      </c>
      <c r="G585" s="239">
        <v>4.09</v>
      </c>
      <c r="H585" s="239">
        <f t="shared" si="805"/>
        <v>8.18</v>
      </c>
      <c r="I585" s="131">
        <f t="shared" si="806"/>
        <v>0</v>
      </c>
      <c r="J585" s="31">
        <f t="shared" si="807"/>
        <v>0</v>
      </c>
      <c r="K585" s="31">
        <f t="shared" si="808"/>
        <v>0</v>
      </c>
      <c r="L585" s="31">
        <f t="shared" si="809"/>
        <v>0</v>
      </c>
      <c r="M585" s="31">
        <f t="shared" si="810"/>
        <v>5.0470600000000001</v>
      </c>
      <c r="N585" s="31">
        <f t="shared" si="811"/>
        <v>0</v>
      </c>
      <c r="O585" s="31">
        <f t="shared" si="812"/>
        <v>0</v>
      </c>
      <c r="P585" s="31">
        <f t="shared" si="813"/>
        <v>0</v>
      </c>
      <c r="Q585" s="49">
        <f t="shared" si="814"/>
        <v>0</v>
      </c>
    </row>
    <row r="586" spans="2:20" s="16" customFormat="1" ht="13.2" x14ac:dyDescent="0.25">
      <c r="D586" s="307"/>
      <c r="E586" s="26"/>
      <c r="F586" s="206"/>
      <c r="G586" s="207"/>
      <c r="H586" s="207"/>
      <c r="I586" s="51"/>
      <c r="J586" s="308"/>
      <c r="K586" s="308"/>
      <c r="L586" s="308"/>
      <c r="M586" s="308"/>
      <c r="N586" s="308"/>
      <c r="O586" s="308"/>
      <c r="P586" s="308"/>
      <c r="Q586" s="309"/>
    </row>
    <row r="587" spans="2:20" s="16" customFormat="1" ht="13.2" x14ac:dyDescent="0.25">
      <c r="D587" s="814" t="s">
        <v>1533</v>
      </c>
      <c r="E587" s="815"/>
      <c r="F587" s="815"/>
      <c r="G587" s="815"/>
      <c r="H587" s="815"/>
      <c r="I587" s="175">
        <f t="shared" ref="I587:Q587" si="815">SUM(I588:I593)</f>
        <v>0</v>
      </c>
      <c r="J587" s="175">
        <f t="shared" si="815"/>
        <v>5.6764399999999995</v>
      </c>
      <c r="K587" s="175">
        <f t="shared" si="815"/>
        <v>0</v>
      </c>
      <c r="L587" s="175">
        <f t="shared" si="815"/>
        <v>12.063300000000002</v>
      </c>
      <c r="M587" s="175">
        <f t="shared" si="815"/>
        <v>12.623819999999998</v>
      </c>
      <c r="N587" s="175">
        <f t="shared" si="815"/>
        <v>0</v>
      </c>
      <c r="O587" s="175">
        <f t="shared" si="815"/>
        <v>0</v>
      </c>
      <c r="P587" s="175">
        <f t="shared" si="815"/>
        <v>0</v>
      </c>
      <c r="Q587" s="175">
        <f t="shared" si="815"/>
        <v>0</v>
      </c>
    </row>
    <row r="588" spans="2:20" s="16" customFormat="1" ht="13.2" x14ac:dyDescent="0.25">
      <c r="D588" s="235">
        <v>1</v>
      </c>
      <c r="E588" s="237">
        <v>38</v>
      </c>
      <c r="F588" s="238">
        <v>5</v>
      </c>
      <c r="G588" s="239">
        <v>0.97</v>
      </c>
      <c r="H588" s="239">
        <f t="shared" ref="H588:H593" si="816">E588*G588</f>
        <v>36.86</v>
      </c>
      <c r="I588" s="131">
        <f t="shared" ref="I588:I593" si="817">IF($F588=4.2,H588*$B$23,0)</f>
        <v>0</v>
      </c>
      <c r="J588" s="31">
        <f t="shared" ref="J588:J593" si="818">IF($F588=5,$H588*$B$24,0)</f>
        <v>5.6764399999999995</v>
      </c>
      <c r="K588" s="31">
        <f t="shared" ref="K588:K593" si="819">IF($F588=6.3,$H588*$B$25,0)</f>
        <v>0</v>
      </c>
      <c r="L588" s="31">
        <f t="shared" ref="L588:L593" si="820">IF($F588=8,$H588*$B$26,0)</f>
        <v>0</v>
      </c>
      <c r="M588" s="31">
        <f t="shared" ref="M588:M593" si="821">IF($F588=10,$H588*$B$27,0)</f>
        <v>0</v>
      </c>
      <c r="N588" s="31">
        <f t="shared" ref="N588:N593" si="822">IF($F588=12.5,$H588*$B$28,0)</f>
        <v>0</v>
      </c>
      <c r="O588" s="31">
        <f t="shared" ref="O588:O593" si="823">IF($F588=16,$H588*$B$29,0)</f>
        <v>0</v>
      </c>
      <c r="P588" s="31">
        <f t="shared" ref="P588:P593" si="824">IF($F588=20,$H588*$B$30,0)</f>
        <v>0</v>
      </c>
      <c r="Q588" s="49">
        <f t="shared" ref="Q588:Q593" si="825">IF($F588=25,$H588*$B$31,0)</f>
        <v>0</v>
      </c>
    </row>
    <row r="589" spans="2:20" s="16" customFormat="1" ht="13.2" x14ac:dyDescent="0.25">
      <c r="D589" s="235">
        <v>2</v>
      </c>
      <c r="E589" s="237">
        <v>6</v>
      </c>
      <c r="F589" s="238">
        <v>8</v>
      </c>
      <c r="G589" s="239">
        <v>1.48</v>
      </c>
      <c r="H589" s="239">
        <f t="shared" ref="H589:H591" si="826">E589*G589</f>
        <v>8.879999999999999</v>
      </c>
      <c r="I589" s="131">
        <f t="shared" ref="I589:I591" si="827">IF($F589=4.2,H589*$B$23,0)</f>
        <v>0</v>
      </c>
      <c r="J589" s="31">
        <f t="shared" si="818"/>
        <v>0</v>
      </c>
      <c r="K589" s="31">
        <f t="shared" si="819"/>
        <v>0</v>
      </c>
      <c r="L589" s="31">
        <f t="shared" si="820"/>
        <v>3.5075999999999996</v>
      </c>
      <c r="M589" s="31">
        <f t="shared" si="821"/>
        <v>0</v>
      </c>
      <c r="N589" s="31">
        <f t="shared" si="822"/>
        <v>0</v>
      </c>
      <c r="O589" s="31">
        <f t="shared" si="823"/>
        <v>0</v>
      </c>
      <c r="P589" s="31">
        <f t="shared" si="824"/>
        <v>0</v>
      </c>
      <c r="Q589" s="49">
        <f t="shared" si="825"/>
        <v>0</v>
      </c>
    </row>
    <row r="590" spans="2:20" s="16" customFormat="1" ht="13.2" x14ac:dyDescent="0.25">
      <c r="D590" s="235">
        <v>3</v>
      </c>
      <c r="E590" s="237">
        <v>2</v>
      </c>
      <c r="F590" s="238">
        <v>8</v>
      </c>
      <c r="G590" s="239">
        <v>2.2799999999999998</v>
      </c>
      <c r="H590" s="239">
        <f t="shared" si="826"/>
        <v>4.5599999999999996</v>
      </c>
      <c r="I590" s="131">
        <f t="shared" si="827"/>
        <v>0</v>
      </c>
      <c r="J590" s="31">
        <f t="shared" si="818"/>
        <v>0</v>
      </c>
      <c r="K590" s="31">
        <f t="shared" si="819"/>
        <v>0</v>
      </c>
      <c r="L590" s="31">
        <f t="shared" si="820"/>
        <v>1.8011999999999999</v>
      </c>
      <c r="M590" s="31">
        <f t="shared" si="821"/>
        <v>0</v>
      </c>
      <c r="N590" s="31">
        <f t="shared" si="822"/>
        <v>0</v>
      </c>
      <c r="O590" s="31">
        <f t="shared" si="823"/>
        <v>0</v>
      </c>
      <c r="P590" s="31">
        <f t="shared" si="824"/>
        <v>0</v>
      </c>
      <c r="Q590" s="49">
        <f t="shared" si="825"/>
        <v>0</v>
      </c>
    </row>
    <row r="591" spans="2:20" s="16" customFormat="1" ht="13.2" x14ac:dyDescent="0.25">
      <c r="D591" s="235">
        <v>4</v>
      </c>
      <c r="E591" s="237">
        <v>2</v>
      </c>
      <c r="F591" s="238">
        <v>8</v>
      </c>
      <c r="G591" s="239">
        <v>8.5500000000000007</v>
      </c>
      <c r="H591" s="239">
        <f t="shared" si="826"/>
        <v>17.100000000000001</v>
      </c>
      <c r="I591" s="131">
        <f t="shared" si="827"/>
        <v>0</v>
      </c>
      <c r="J591" s="31">
        <f t="shared" si="818"/>
        <v>0</v>
      </c>
      <c r="K591" s="31">
        <f t="shared" si="819"/>
        <v>0</v>
      </c>
      <c r="L591" s="31">
        <f t="shared" si="820"/>
        <v>6.7545000000000011</v>
      </c>
      <c r="M591" s="31">
        <f t="shared" si="821"/>
        <v>0</v>
      </c>
      <c r="N591" s="31">
        <f t="shared" si="822"/>
        <v>0</v>
      </c>
      <c r="O591" s="31">
        <f t="shared" si="823"/>
        <v>0</v>
      </c>
      <c r="P591" s="31">
        <f t="shared" si="824"/>
        <v>0</v>
      </c>
      <c r="Q591" s="49">
        <f t="shared" si="825"/>
        <v>0</v>
      </c>
    </row>
    <row r="592" spans="2:20" s="16" customFormat="1" ht="13.2" x14ac:dyDescent="0.25">
      <c r="D592" s="235">
        <v>36</v>
      </c>
      <c r="E592" s="237">
        <v>1</v>
      </c>
      <c r="F592" s="238">
        <v>10</v>
      </c>
      <c r="G592" s="239">
        <v>3.9</v>
      </c>
      <c r="H592" s="239">
        <f t="shared" si="816"/>
        <v>3.9</v>
      </c>
      <c r="I592" s="131">
        <f t="shared" si="817"/>
        <v>0</v>
      </c>
      <c r="J592" s="31">
        <f t="shared" si="818"/>
        <v>0</v>
      </c>
      <c r="K592" s="31">
        <f t="shared" si="819"/>
        <v>0</v>
      </c>
      <c r="L592" s="31">
        <f t="shared" si="820"/>
        <v>0</v>
      </c>
      <c r="M592" s="31">
        <f t="shared" si="821"/>
        <v>2.4062999999999999</v>
      </c>
      <c r="N592" s="31">
        <f t="shared" si="822"/>
        <v>0</v>
      </c>
      <c r="O592" s="31">
        <f t="shared" si="823"/>
        <v>0</v>
      </c>
      <c r="P592" s="31">
        <f t="shared" si="824"/>
        <v>0</v>
      </c>
      <c r="Q592" s="49">
        <f t="shared" si="825"/>
        <v>0</v>
      </c>
    </row>
    <row r="593" spans="4:17" s="16" customFormat="1" ht="13.2" x14ac:dyDescent="0.25">
      <c r="D593" s="235">
        <v>37</v>
      </c>
      <c r="E593" s="237">
        <v>2</v>
      </c>
      <c r="F593" s="238">
        <v>10</v>
      </c>
      <c r="G593" s="239">
        <v>8.2799999999999994</v>
      </c>
      <c r="H593" s="239">
        <f t="shared" si="816"/>
        <v>16.559999999999999</v>
      </c>
      <c r="I593" s="131">
        <f t="shared" si="817"/>
        <v>0</v>
      </c>
      <c r="J593" s="31">
        <f t="shared" si="818"/>
        <v>0</v>
      </c>
      <c r="K593" s="31">
        <f t="shared" si="819"/>
        <v>0</v>
      </c>
      <c r="L593" s="31">
        <f t="shared" si="820"/>
        <v>0</v>
      </c>
      <c r="M593" s="31">
        <f t="shared" si="821"/>
        <v>10.217519999999999</v>
      </c>
      <c r="N593" s="31">
        <f t="shared" si="822"/>
        <v>0</v>
      </c>
      <c r="O593" s="31">
        <f t="shared" si="823"/>
        <v>0</v>
      </c>
      <c r="P593" s="31">
        <f t="shared" si="824"/>
        <v>0</v>
      </c>
      <c r="Q593" s="49">
        <f t="shared" si="825"/>
        <v>0</v>
      </c>
    </row>
    <row r="594" spans="4:17" s="16" customFormat="1" ht="13.2" x14ac:dyDescent="0.25">
      <c r="D594" s="307"/>
      <c r="E594" s="26"/>
      <c r="F594" s="206"/>
      <c r="G594" s="207"/>
      <c r="H594" s="207"/>
      <c r="I594" s="51"/>
      <c r="J594" s="308"/>
      <c r="K594" s="308"/>
      <c r="L594" s="308"/>
      <c r="M594" s="308"/>
      <c r="N594" s="308"/>
      <c r="O594" s="308"/>
      <c r="P594" s="308"/>
      <c r="Q594" s="309"/>
    </row>
    <row r="595" spans="4:17" s="16" customFormat="1" ht="13.2" x14ac:dyDescent="0.25">
      <c r="D595" s="814" t="s">
        <v>1534</v>
      </c>
      <c r="E595" s="815"/>
      <c r="F595" s="815"/>
      <c r="G595" s="815"/>
      <c r="H595" s="815"/>
      <c r="I595" s="175">
        <f t="shared" ref="I595:Q595" si="828">SUM(I596:I600)</f>
        <v>0</v>
      </c>
      <c r="J595" s="175">
        <f t="shared" si="828"/>
        <v>2.8382199999999997</v>
      </c>
      <c r="K595" s="175">
        <f t="shared" si="828"/>
        <v>0</v>
      </c>
      <c r="L595" s="175">
        <f t="shared" si="828"/>
        <v>3.9697500000000003</v>
      </c>
      <c r="M595" s="175">
        <f t="shared" si="828"/>
        <v>6.4846700000000004</v>
      </c>
      <c r="N595" s="175">
        <f t="shared" si="828"/>
        <v>0</v>
      </c>
      <c r="O595" s="175">
        <f t="shared" si="828"/>
        <v>0</v>
      </c>
      <c r="P595" s="175">
        <f t="shared" si="828"/>
        <v>0</v>
      </c>
      <c r="Q595" s="175">
        <f t="shared" si="828"/>
        <v>0</v>
      </c>
    </row>
    <row r="596" spans="4:17" s="16" customFormat="1" ht="13.2" x14ac:dyDescent="0.25">
      <c r="D596" s="235">
        <v>1</v>
      </c>
      <c r="E596" s="237">
        <v>19</v>
      </c>
      <c r="F596" s="238">
        <v>5</v>
      </c>
      <c r="G596" s="239">
        <v>0.97</v>
      </c>
      <c r="H596" s="239">
        <f t="shared" ref="H596:H600" si="829">E596*G596</f>
        <v>18.43</v>
      </c>
      <c r="I596" s="131">
        <f t="shared" ref="I596:I600" si="830">IF($F596=4.2,H596*$B$23,0)</f>
        <v>0</v>
      </c>
      <c r="J596" s="31">
        <f t="shared" ref="J596:J600" si="831">IF($F596=5,$H596*$B$24,0)</f>
        <v>2.8382199999999997</v>
      </c>
      <c r="K596" s="31">
        <f t="shared" ref="K596:K600" si="832">IF($F596=6.3,$H596*$B$25,0)</f>
        <v>0</v>
      </c>
      <c r="L596" s="31">
        <f t="shared" ref="L596:L600" si="833">IF($F596=8,$H596*$B$26,0)</f>
        <v>0</v>
      </c>
      <c r="M596" s="31">
        <f t="shared" ref="M596:M600" si="834">IF($F596=10,$H596*$B$27,0)</f>
        <v>0</v>
      </c>
      <c r="N596" s="31">
        <f t="shared" ref="N596:N600" si="835">IF($F596=12.5,$H596*$B$28,0)</f>
        <v>0</v>
      </c>
      <c r="O596" s="31">
        <f t="shared" ref="O596:O600" si="836">IF($F596=16,$H596*$B$29,0)</f>
        <v>0</v>
      </c>
      <c r="P596" s="31">
        <f t="shared" ref="P596:P600" si="837">IF($F596=20,$H596*$B$30,0)</f>
        <v>0</v>
      </c>
      <c r="Q596" s="49">
        <f t="shared" ref="Q596:Q600" si="838">IF($F596=25,$H596*$B$31,0)</f>
        <v>0</v>
      </c>
    </row>
    <row r="597" spans="4:17" s="16" customFormat="1" ht="13.2" x14ac:dyDescent="0.25">
      <c r="D597" s="235">
        <v>5</v>
      </c>
      <c r="E597" s="237">
        <v>1</v>
      </c>
      <c r="F597" s="238">
        <v>8</v>
      </c>
      <c r="G597" s="239">
        <v>1.17</v>
      </c>
      <c r="H597" s="239">
        <f t="shared" si="829"/>
        <v>1.17</v>
      </c>
      <c r="I597" s="131">
        <f t="shared" si="830"/>
        <v>0</v>
      </c>
      <c r="J597" s="31">
        <f t="shared" si="831"/>
        <v>0</v>
      </c>
      <c r="K597" s="31">
        <f t="shared" si="832"/>
        <v>0</v>
      </c>
      <c r="L597" s="31">
        <f t="shared" si="833"/>
        <v>0.46215000000000001</v>
      </c>
      <c r="M597" s="31">
        <f t="shared" si="834"/>
        <v>0</v>
      </c>
      <c r="N597" s="31">
        <f t="shared" si="835"/>
        <v>0</v>
      </c>
      <c r="O597" s="31">
        <f t="shared" si="836"/>
        <v>0</v>
      </c>
      <c r="P597" s="31">
        <f t="shared" si="837"/>
        <v>0</v>
      </c>
      <c r="Q597" s="49">
        <f t="shared" si="838"/>
        <v>0</v>
      </c>
    </row>
    <row r="598" spans="4:17" s="16" customFormat="1" ht="13.2" x14ac:dyDescent="0.25">
      <c r="D598" s="235">
        <v>6</v>
      </c>
      <c r="E598" s="237">
        <v>2</v>
      </c>
      <c r="F598" s="238">
        <v>8</v>
      </c>
      <c r="G598" s="239">
        <v>4.4400000000000004</v>
      </c>
      <c r="H598" s="239">
        <f t="shared" si="829"/>
        <v>8.8800000000000008</v>
      </c>
      <c r="I598" s="131">
        <f t="shared" si="830"/>
        <v>0</v>
      </c>
      <c r="J598" s="31">
        <f t="shared" si="831"/>
        <v>0</v>
      </c>
      <c r="K598" s="31">
        <f t="shared" si="832"/>
        <v>0</v>
      </c>
      <c r="L598" s="31">
        <f t="shared" si="833"/>
        <v>3.5076000000000005</v>
      </c>
      <c r="M598" s="31">
        <f t="shared" si="834"/>
        <v>0</v>
      </c>
      <c r="N598" s="31">
        <f t="shared" si="835"/>
        <v>0</v>
      </c>
      <c r="O598" s="31">
        <f t="shared" si="836"/>
        <v>0</v>
      </c>
      <c r="P598" s="31">
        <f t="shared" si="837"/>
        <v>0</v>
      </c>
      <c r="Q598" s="49">
        <f t="shared" si="838"/>
        <v>0</v>
      </c>
    </row>
    <row r="599" spans="4:17" s="16" customFormat="1" ht="13.2" x14ac:dyDescent="0.25">
      <c r="D599" s="235">
        <v>38</v>
      </c>
      <c r="E599" s="237">
        <v>1</v>
      </c>
      <c r="F599" s="238">
        <v>10</v>
      </c>
      <c r="G599" s="239">
        <v>2.0299999999999998</v>
      </c>
      <c r="H599" s="239">
        <f t="shared" si="829"/>
        <v>2.0299999999999998</v>
      </c>
      <c r="I599" s="131">
        <f t="shared" si="830"/>
        <v>0</v>
      </c>
      <c r="J599" s="31">
        <f t="shared" si="831"/>
        <v>0</v>
      </c>
      <c r="K599" s="31">
        <f t="shared" si="832"/>
        <v>0</v>
      </c>
      <c r="L599" s="31">
        <f t="shared" si="833"/>
        <v>0</v>
      </c>
      <c r="M599" s="31">
        <f t="shared" si="834"/>
        <v>1.2525099999999998</v>
      </c>
      <c r="N599" s="31">
        <f t="shared" si="835"/>
        <v>0</v>
      </c>
      <c r="O599" s="31">
        <f t="shared" si="836"/>
        <v>0</v>
      </c>
      <c r="P599" s="31">
        <f t="shared" si="837"/>
        <v>0</v>
      </c>
      <c r="Q599" s="49">
        <f t="shared" si="838"/>
        <v>0</v>
      </c>
    </row>
    <row r="600" spans="4:17" s="16" customFormat="1" ht="13.2" x14ac:dyDescent="0.25">
      <c r="D600" s="235">
        <v>39</v>
      </c>
      <c r="E600" s="237">
        <v>2</v>
      </c>
      <c r="F600" s="238">
        <v>10</v>
      </c>
      <c r="G600" s="239">
        <v>4.24</v>
      </c>
      <c r="H600" s="239">
        <f t="shared" si="829"/>
        <v>8.48</v>
      </c>
      <c r="I600" s="131">
        <f t="shared" si="830"/>
        <v>0</v>
      </c>
      <c r="J600" s="31">
        <f t="shared" si="831"/>
        <v>0</v>
      </c>
      <c r="K600" s="31">
        <f t="shared" si="832"/>
        <v>0</v>
      </c>
      <c r="L600" s="31">
        <f t="shared" si="833"/>
        <v>0</v>
      </c>
      <c r="M600" s="31">
        <f t="shared" si="834"/>
        <v>5.2321600000000004</v>
      </c>
      <c r="N600" s="31">
        <f t="shared" si="835"/>
        <v>0</v>
      </c>
      <c r="O600" s="31">
        <f t="shared" si="836"/>
        <v>0</v>
      </c>
      <c r="P600" s="31">
        <f t="shared" si="837"/>
        <v>0</v>
      </c>
      <c r="Q600" s="49">
        <f t="shared" si="838"/>
        <v>0</v>
      </c>
    </row>
    <row r="601" spans="4:17" s="16" customFormat="1" ht="13.2" x14ac:dyDescent="0.25">
      <c r="D601" s="307"/>
      <c r="E601" s="26"/>
      <c r="F601" s="206"/>
      <c r="G601" s="207"/>
      <c r="H601" s="207"/>
      <c r="I601" s="51"/>
      <c r="J601" s="308"/>
      <c r="K601" s="308"/>
      <c r="L601" s="308"/>
      <c r="M601" s="308"/>
      <c r="N601" s="308"/>
      <c r="O601" s="308"/>
      <c r="P601" s="308"/>
      <c r="Q601" s="309"/>
    </row>
    <row r="602" spans="4:17" s="16" customFormat="1" ht="13.2" x14ac:dyDescent="0.25">
      <c r="D602" s="814" t="s">
        <v>1535</v>
      </c>
      <c r="E602" s="815"/>
      <c r="F602" s="815"/>
      <c r="G602" s="815"/>
      <c r="H602" s="815"/>
      <c r="I602" s="175">
        <f t="shared" ref="I602:Q602" si="839">SUM(I603:I607)</f>
        <v>0</v>
      </c>
      <c r="J602" s="175">
        <f t="shared" si="839"/>
        <v>2.8382199999999997</v>
      </c>
      <c r="K602" s="175">
        <f t="shared" si="839"/>
        <v>0</v>
      </c>
      <c r="L602" s="175">
        <f t="shared" si="839"/>
        <v>3.9499999999999997</v>
      </c>
      <c r="M602" s="175">
        <f t="shared" si="839"/>
        <v>6.3921200000000002</v>
      </c>
      <c r="N602" s="175">
        <f t="shared" si="839"/>
        <v>0</v>
      </c>
      <c r="O602" s="175">
        <f t="shared" si="839"/>
        <v>0</v>
      </c>
      <c r="P602" s="175">
        <f t="shared" si="839"/>
        <v>0</v>
      </c>
      <c r="Q602" s="175">
        <f t="shared" si="839"/>
        <v>0</v>
      </c>
    </row>
    <row r="603" spans="4:17" s="16" customFormat="1" ht="13.2" x14ac:dyDescent="0.25">
      <c r="D603" s="235">
        <v>1</v>
      </c>
      <c r="E603" s="237">
        <v>19</v>
      </c>
      <c r="F603" s="238">
        <v>5</v>
      </c>
      <c r="G603" s="239">
        <v>0.97</v>
      </c>
      <c r="H603" s="239">
        <f t="shared" ref="H603:H607" si="840">E603*G603</f>
        <v>18.43</v>
      </c>
      <c r="I603" s="131">
        <f t="shared" ref="I603:I607" si="841">IF($F603=4.2,H603*$B$23,0)</f>
        <v>0</v>
      </c>
      <c r="J603" s="31">
        <f t="shared" ref="J603:J607" si="842">IF($F603=5,$H603*$B$24,0)</f>
        <v>2.8382199999999997</v>
      </c>
      <c r="K603" s="31">
        <f t="shared" ref="K603:K607" si="843">IF($F603=6.3,$H603*$B$25,0)</f>
        <v>0</v>
      </c>
      <c r="L603" s="31">
        <f t="shared" ref="L603:L607" si="844">IF($F603=8,$H603*$B$26,0)</f>
        <v>0</v>
      </c>
      <c r="M603" s="31">
        <f t="shared" ref="M603:M607" si="845">IF($F603=10,$H603*$B$27,0)</f>
        <v>0</v>
      </c>
      <c r="N603" s="31">
        <f t="shared" ref="N603:N607" si="846">IF($F603=12.5,$H603*$B$28,0)</f>
        <v>0</v>
      </c>
      <c r="O603" s="31">
        <f t="shared" ref="O603:O607" si="847">IF($F603=16,$H603*$B$29,0)</f>
        <v>0</v>
      </c>
      <c r="P603" s="31">
        <f t="shared" ref="P603:P607" si="848">IF($F603=20,$H603*$B$30,0)</f>
        <v>0</v>
      </c>
      <c r="Q603" s="49">
        <f t="shared" ref="Q603:Q607" si="849">IF($F603=25,$H603*$B$31,0)</f>
        <v>0</v>
      </c>
    </row>
    <row r="604" spans="4:17" s="16" customFormat="1" ht="13.2" x14ac:dyDescent="0.25">
      <c r="D604" s="235">
        <v>7</v>
      </c>
      <c r="E604" s="237">
        <v>1</v>
      </c>
      <c r="F604" s="238">
        <v>8</v>
      </c>
      <c r="G604" s="239">
        <v>1.22</v>
      </c>
      <c r="H604" s="239">
        <f t="shared" si="840"/>
        <v>1.22</v>
      </c>
      <c r="I604" s="131">
        <f t="shared" si="841"/>
        <v>0</v>
      </c>
      <c r="J604" s="31">
        <f t="shared" si="842"/>
        <v>0</v>
      </c>
      <c r="K604" s="31">
        <f t="shared" si="843"/>
        <v>0</v>
      </c>
      <c r="L604" s="31">
        <f t="shared" si="844"/>
        <v>0.4819</v>
      </c>
      <c r="M604" s="31">
        <f t="shared" si="845"/>
        <v>0</v>
      </c>
      <c r="N604" s="31">
        <f t="shared" si="846"/>
        <v>0</v>
      </c>
      <c r="O604" s="31">
        <f t="shared" si="847"/>
        <v>0</v>
      </c>
      <c r="P604" s="31">
        <f t="shared" si="848"/>
        <v>0</v>
      </c>
      <c r="Q604" s="49">
        <f t="shared" si="849"/>
        <v>0</v>
      </c>
    </row>
    <row r="605" spans="4:17" s="16" customFormat="1" ht="13.2" x14ac:dyDescent="0.25">
      <c r="D605" s="235">
        <v>8</v>
      </c>
      <c r="E605" s="237">
        <v>2</v>
      </c>
      <c r="F605" s="238">
        <v>8</v>
      </c>
      <c r="G605" s="239">
        <v>4.3899999999999997</v>
      </c>
      <c r="H605" s="239">
        <f t="shared" si="840"/>
        <v>8.7799999999999994</v>
      </c>
      <c r="I605" s="131">
        <f t="shared" si="841"/>
        <v>0</v>
      </c>
      <c r="J605" s="31">
        <f t="shared" si="842"/>
        <v>0</v>
      </c>
      <c r="K605" s="31">
        <f t="shared" si="843"/>
        <v>0</v>
      </c>
      <c r="L605" s="31">
        <f t="shared" si="844"/>
        <v>3.4680999999999997</v>
      </c>
      <c r="M605" s="31">
        <f t="shared" si="845"/>
        <v>0</v>
      </c>
      <c r="N605" s="31">
        <f t="shared" si="846"/>
        <v>0</v>
      </c>
      <c r="O605" s="31">
        <f t="shared" si="847"/>
        <v>0</v>
      </c>
      <c r="P605" s="31">
        <f t="shared" si="848"/>
        <v>0</v>
      </c>
      <c r="Q605" s="49">
        <f t="shared" si="849"/>
        <v>0</v>
      </c>
    </row>
    <row r="606" spans="4:17" s="16" customFormat="1" ht="13.2" x14ac:dyDescent="0.25">
      <c r="D606" s="235">
        <v>40</v>
      </c>
      <c r="E606" s="237">
        <v>1</v>
      </c>
      <c r="F606" s="238">
        <v>10</v>
      </c>
      <c r="G606" s="239">
        <v>1.98</v>
      </c>
      <c r="H606" s="239">
        <f t="shared" si="840"/>
        <v>1.98</v>
      </c>
      <c r="I606" s="131">
        <f t="shared" si="841"/>
        <v>0</v>
      </c>
      <c r="J606" s="31">
        <f t="shared" si="842"/>
        <v>0</v>
      </c>
      <c r="K606" s="31">
        <f t="shared" si="843"/>
        <v>0</v>
      </c>
      <c r="L606" s="31">
        <f t="shared" si="844"/>
        <v>0</v>
      </c>
      <c r="M606" s="31">
        <f t="shared" si="845"/>
        <v>1.22166</v>
      </c>
      <c r="N606" s="31">
        <f t="shared" si="846"/>
        <v>0</v>
      </c>
      <c r="O606" s="31">
        <f t="shared" si="847"/>
        <v>0</v>
      </c>
      <c r="P606" s="31">
        <f t="shared" si="848"/>
        <v>0</v>
      </c>
      <c r="Q606" s="49">
        <f t="shared" si="849"/>
        <v>0</v>
      </c>
    </row>
    <row r="607" spans="4:17" s="16" customFormat="1" ht="13.2" x14ac:dyDescent="0.25">
      <c r="D607" s="235">
        <v>41</v>
      </c>
      <c r="E607" s="237">
        <v>2</v>
      </c>
      <c r="F607" s="238">
        <v>10</v>
      </c>
      <c r="G607" s="239">
        <v>4.1900000000000004</v>
      </c>
      <c r="H607" s="239">
        <f t="shared" si="840"/>
        <v>8.3800000000000008</v>
      </c>
      <c r="I607" s="131">
        <f t="shared" si="841"/>
        <v>0</v>
      </c>
      <c r="J607" s="31">
        <f t="shared" si="842"/>
        <v>0</v>
      </c>
      <c r="K607" s="31">
        <f t="shared" si="843"/>
        <v>0</v>
      </c>
      <c r="L607" s="31">
        <f t="shared" si="844"/>
        <v>0</v>
      </c>
      <c r="M607" s="31">
        <f t="shared" si="845"/>
        <v>5.1704600000000003</v>
      </c>
      <c r="N607" s="31">
        <f t="shared" si="846"/>
        <v>0</v>
      </c>
      <c r="O607" s="31">
        <f t="shared" si="847"/>
        <v>0</v>
      </c>
      <c r="P607" s="31">
        <f t="shared" si="848"/>
        <v>0</v>
      </c>
      <c r="Q607" s="49">
        <f t="shared" si="849"/>
        <v>0</v>
      </c>
    </row>
    <row r="608" spans="4:17" s="16" customFormat="1" ht="13.2" x14ac:dyDescent="0.25">
      <c r="D608" s="307"/>
      <c r="E608" s="26"/>
      <c r="F608" s="206"/>
      <c r="G608" s="207"/>
      <c r="H608" s="207"/>
      <c r="I608" s="51"/>
      <c r="J608" s="308"/>
      <c r="K608" s="308"/>
      <c r="L608" s="308"/>
      <c r="M608" s="308"/>
      <c r="N608" s="308"/>
      <c r="O608" s="308"/>
      <c r="P608" s="308"/>
      <c r="Q608" s="309"/>
    </row>
    <row r="609" spans="4:17" s="16" customFormat="1" ht="13.2" x14ac:dyDescent="0.25">
      <c r="D609" s="814" t="s">
        <v>1536</v>
      </c>
      <c r="E609" s="815"/>
      <c r="F609" s="815"/>
      <c r="G609" s="815"/>
      <c r="H609" s="815"/>
      <c r="I609" s="175">
        <f t="shared" ref="I609:Q609" si="850">SUM(I610:I617)</f>
        <v>0</v>
      </c>
      <c r="J609" s="175">
        <f t="shared" si="850"/>
        <v>5.6764399999999995</v>
      </c>
      <c r="K609" s="175">
        <f t="shared" si="850"/>
        <v>0</v>
      </c>
      <c r="L609" s="175">
        <f t="shared" si="850"/>
        <v>12.0396</v>
      </c>
      <c r="M609" s="175">
        <f t="shared" si="850"/>
        <v>12.592969999999998</v>
      </c>
      <c r="N609" s="175">
        <f t="shared" si="850"/>
        <v>0</v>
      </c>
      <c r="O609" s="175">
        <f t="shared" si="850"/>
        <v>0</v>
      </c>
      <c r="P609" s="175">
        <f t="shared" si="850"/>
        <v>0</v>
      </c>
      <c r="Q609" s="175">
        <f t="shared" si="850"/>
        <v>0</v>
      </c>
    </row>
    <row r="610" spans="4:17" s="16" customFormat="1" ht="13.2" x14ac:dyDescent="0.25">
      <c r="D610" s="235">
        <v>1</v>
      </c>
      <c r="E610" s="237">
        <v>38</v>
      </c>
      <c r="F610" s="238">
        <v>5</v>
      </c>
      <c r="G610" s="239">
        <v>0.97</v>
      </c>
      <c r="H610" s="239">
        <f t="shared" ref="H610:H617" si="851">E610*G610</f>
        <v>36.86</v>
      </c>
      <c r="I610" s="131">
        <f t="shared" ref="I610:I617" si="852">IF($F610=4.2,H610*$B$23,0)</f>
        <v>0</v>
      </c>
      <c r="J610" s="31">
        <f t="shared" ref="J610:J617" si="853">IF($F610=5,$H610*$B$24,0)</f>
        <v>5.6764399999999995</v>
      </c>
      <c r="K610" s="31">
        <f t="shared" ref="K610:K617" si="854">IF($F610=6.3,$H610*$B$25,0)</f>
        <v>0</v>
      </c>
      <c r="L610" s="31">
        <f t="shared" ref="L610:L617" si="855">IF($F610=8,$H610*$B$26,0)</f>
        <v>0</v>
      </c>
      <c r="M610" s="31">
        <f t="shared" ref="M610:M617" si="856">IF($F610=10,$H610*$B$27,0)</f>
        <v>0</v>
      </c>
      <c r="N610" s="31">
        <f t="shared" ref="N610:N617" si="857">IF($F610=12.5,$H610*$B$28,0)</f>
        <v>0</v>
      </c>
      <c r="O610" s="31">
        <f t="shared" ref="O610:O617" si="858">IF($F610=16,$H610*$B$29,0)</f>
        <v>0</v>
      </c>
      <c r="P610" s="31">
        <f t="shared" ref="P610:P617" si="859">IF($F610=20,$H610*$B$30,0)</f>
        <v>0</v>
      </c>
      <c r="Q610" s="49">
        <f t="shared" ref="Q610:Q617" si="860">IF($F610=25,$H610*$B$31,0)</f>
        <v>0</v>
      </c>
    </row>
    <row r="611" spans="4:17" s="16" customFormat="1" ht="13.2" x14ac:dyDescent="0.25">
      <c r="D611" s="235">
        <v>9</v>
      </c>
      <c r="E611" s="237">
        <v>3</v>
      </c>
      <c r="F611" s="238">
        <v>8</v>
      </c>
      <c r="G611" s="239">
        <v>1.48</v>
      </c>
      <c r="H611" s="239">
        <f t="shared" ref="H611:H613" si="861">E611*G611</f>
        <v>4.4399999999999995</v>
      </c>
      <c r="I611" s="131">
        <f t="shared" ref="I611:I613" si="862">IF($F611=4.2,H611*$B$23,0)</f>
        <v>0</v>
      </c>
      <c r="J611" s="31">
        <f t="shared" si="853"/>
        <v>0</v>
      </c>
      <c r="K611" s="31">
        <f t="shared" si="854"/>
        <v>0</v>
      </c>
      <c r="L611" s="31">
        <f t="shared" si="855"/>
        <v>1.7537999999999998</v>
      </c>
      <c r="M611" s="31">
        <f t="shared" si="856"/>
        <v>0</v>
      </c>
      <c r="N611" s="31">
        <f t="shared" si="857"/>
        <v>0</v>
      </c>
      <c r="O611" s="31">
        <f t="shared" si="858"/>
        <v>0</v>
      </c>
      <c r="P611" s="31">
        <f t="shared" si="859"/>
        <v>0</v>
      </c>
      <c r="Q611" s="49">
        <f t="shared" si="860"/>
        <v>0</v>
      </c>
    </row>
    <row r="612" spans="4:17" s="16" customFormat="1" ht="13.2" x14ac:dyDescent="0.25">
      <c r="D612" s="235">
        <v>10</v>
      </c>
      <c r="E612" s="237">
        <v>1</v>
      </c>
      <c r="F612" s="238">
        <v>8</v>
      </c>
      <c r="G612" s="239">
        <v>2.2799999999999998</v>
      </c>
      <c r="H612" s="239">
        <f t="shared" si="861"/>
        <v>2.2799999999999998</v>
      </c>
      <c r="I612" s="131">
        <f t="shared" si="862"/>
        <v>0</v>
      </c>
      <c r="J612" s="31">
        <f t="shared" si="853"/>
        <v>0</v>
      </c>
      <c r="K612" s="31">
        <f t="shared" si="854"/>
        <v>0</v>
      </c>
      <c r="L612" s="31">
        <f t="shared" si="855"/>
        <v>0.90059999999999996</v>
      </c>
      <c r="M612" s="31">
        <f t="shared" si="856"/>
        <v>0</v>
      </c>
      <c r="N612" s="31">
        <f t="shared" si="857"/>
        <v>0</v>
      </c>
      <c r="O612" s="31">
        <f t="shared" si="858"/>
        <v>0</v>
      </c>
      <c r="P612" s="31">
        <f t="shared" si="859"/>
        <v>0</v>
      </c>
      <c r="Q612" s="49">
        <f t="shared" si="860"/>
        <v>0</v>
      </c>
    </row>
    <row r="613" spans="4:17" s="16" customFormat="1" ht="13.2" x14ac:dyDescent="0.25">
      <c r="D613" s="235">
        <v>11</v>
      </c>
      <c r="E613" s="237">
        <v>3</v>
      </c>
      <c r="F613" s="238">
        <v>8</v>
      </c>
      <c r="G613" s="239">
        <v>1.47</v>
      </c>
      <c r="H613" s="239">
        <f t="shared" si="861"/>
        <v>4.41</v>
      </c>
      <c r="I613" s="131">
        <f t="shared" si="862"/>
        <v>0</v>
      </c>
      <c r="J613" s="31">
        <f t="shared" si="853"/>
        <v>0</v>
      </c>
      <c r="K613" s="31">
        <f t="shared" si="854"/>
        <v>0</v>
      </c>
      <c r="L613" s="31">
        <f t="shared" si="855"/>
        <v>1.7419500000000001</v>
      </c>
      <c r="M613" s="31">
        <f t="shared" si="856"/>
        <v>0</v>
      </c>
      <c r="N613" s="31">
        <f t="shared" si="857"/>
        <v>0</v>
      </c>
      <c r="O613" s="31">
        <f t="shared" si="858"/>
        <v>0</v>
      </c>
      <c r="P613" s="31">
        <f t="shared" si="859"/>
        <v>0</v>
      </c>
      <c r="Q613" s="49">
        <f t="shared" si="860"/>
        <v>0</v>
      </c>
    </row>
    <row r="614" spans="4:17" s="16" customFormat="1" ht="13.2" x14ac:dyDescent="0.25">
      <c r="D614" s="235">
        <v>12</v>
      </c>
      <c r="E614" s="237">
        <v>1</v>
      </c>
      <c r="F614" s="238">
        <v>8</v>
      </c>
      <c r="G614" s="239">
        <v>2.27</v>
      </c>
      <c r="H614" s="239">
        <f t="shared" si="851"/>
        <v>2.27</v>
      </c>
      <c r="I614" s="131">
        <f t="shared" si="852"/>
        <v>0</v>
      </c>
      <c r="J614" s="31">
        <f t="shared" si="853"/>
        <v>0</v>
      </c>
      <c r="K614" s="31">
        <f t="shared" si="854"/>
        <v>0</v>
      </c>
      <c r="L614" s="31">
        <f t="shared" si="855"/>
        <v>0.89665000000000006</v>
      </c>
      <c r="M614" s="31">
        <f t="shared" si="856"/>
        <v>0</v>
      </c>
      <c r="N614" s="31">
        <f t="shared" si="857"/>
        <v>0</v>
      </c>
      <c r="O614" s="31">
        <f t="shared" si="858"/>
        <v>0</v>
      </c>
      <c r="P614" s="31">
        <f t="shared" si="859"/>
        <v>0</v>
      </c>
      <c r="Q614" s="49">
        <f t="shared" si="860"/>
        <v>0</v>
      </c>
    </row>
    <row r="615" spans="4:17" s="16" customFormat="1" ht="13.2" x14ac:dyDescent="0.25">
      <c r="D615" s="235">
        <v>13</v>
      </c>
      <c r="E615" s="237">
        <v>2</v>
      </c>
      <c r="F615" s="238">
        <v>8</v>
      </c>
      <c r="G615" s="239">
        <v>8.5399999999999991</v>
      </c>
      <c r="H615" s="239">
        <f t="shared" si="851"/>
        <v>17.079999999999998</v>
      </c>
      <c r="I615" s="131">
        <f t="shared" si="852"/>
        <v>0</v>
      </c>
      <c r="J615" s="31">
        <f t="shared" si="853"/>
        <v>0</v>
      </c>
      <c r="K615" s="31">
        <f t="shared" si="854"/>
        <v>0</v>
      </c>
      <c r="L615" s="31">
        <f t="shared" si="855"/>
        <v>6.7465999999999999</v>
      </c>
      <c r="M615" s="31">
        <f t="shared" si="856"/>
        <v>0</v>
      </c>
      <c r="N615" s="31">
        <f t="shared" si="857"/>
        <v>0</v>
      </c>
      <c r="O615" s="31">
        <f t="shared" si="858"/>
        <v>0</v>
      </c>
      <c r="P615" s="31">
        <f t="shared" si="859"/>
        <v>0</v>
      </c>
      <c r="Q615" s="49">
        <f t="shared" si="860"/>
        <v>0</v>
      </c>
    </row>
    <row r="616" spans="4:17" s="16" customFormat="1" ht="13.2" x14ac:dyDescent="0.25">
      <c r="D616" s="235">
        <v>37</v>
      </c>
      <c r="E616" s="237">
        <v>2</v>
      </c>
      <c r="F616" s="238">
        <v>10</v>
      </c>
      <c r="G616" s="239">
        <v>8.2799999999999994</v>
      </c>
      <c r="H616" s="239">
        <f t="shared" si="851"/>
        <v>16.559999999999999</v>
      </c>
      <c r="I616" s="131">
        <f t="shared" si="852"/>
        <v>0</v>
      </c>
      <c r="J616" s="31">
        <f t="shared" si="853"/>
        <v>0</v>
      </c>
      <c r="K616" s="31">
        <f t="shared" si="854"/>
        <v>0</v>
      </c>
      <c r="L616" s="31">
        <f t="shared" si="855"/>
        <v>0</v>
      </c>
      <c r="M616" s="31">
        <f t="shared" si="856"/>
        <v>10.217519999999999</v>
      </c>
      <c r="N616" s="31">
        <f t="shared" si="857"/>
        <v>0</v>
      </c>
      <c r="O616" s="31">
        <f t="shared" si="858"/>
        <v>0</v>
      </c>
      <c r="P616" s="31">
        <f t="shared" si="859"/>
        <v>0</v>
      </c>
      <c r="Q616" s="49">
        <f t="shared" si="860"/>
        <v>0</v>
      </c>
    </row>
    <row r="617" spans="4:17" s="16" customFormat="1" ht="13.2" x14ac:dyDescent="0.25">
      <c r="D617" s="235">
        <v>42</v>
      </c>
      <c r="E617" s="237">
        <v>1</v>
      </c>
      <c r="F617" s="238">
        <v>10</v>
      </c>
      <c r="G617" s="239">
        <v>3.85</v>
      </c>
      <c r="H617" s="239">
        <f t="shared" si="851"/>
        <v>3.85</v>
      </c>
      <c r="I617" s="131">
        <f t="shared" si="852"/>
        <v>0</v>
      </c>
      <c r="J617" s="31">
        <f t="shared" si="853"/>
        <v>0</v>
      </c>
      <c r="K617" s="31">
        <f t="shared" si="854"/>
        <v>0</v>
      </c>
      <c r="L617" s="31">
        <f t="shared" si="855"/>
        <v>0</v>
      </c>
      <c r="M617" s="31">
        <f t="shared" si="856"/>
        <v>2.3754499999999998</v>
      </c>
      <c r="N617" s="31">
        <f t="shared" si="857"/>
        <v>0</v>
      </c>
      <c r="O617" s="31">
        <f t="shared" si="858"/>
        <v>0</v>
      </c>
      <c r="P617" s="31">
        <f t="shared" si="859"/>
        <v>0</v>
      </c>
      <c r="Q617" s="49">
        <f t="shared" si="860"/>
        <v>0</v>
      </c>
    </row>
    <row r="618" spans="4:17" s="16" customFormat="1" ht="13.2" x14ac:dyDescent="0.25">
      <c r="D618" s="307"/>
      <c r="E618" s="26"/>
      <c r="F618" s="206"/>
      <c r="G618" s="207"/>
      <c r="H618" s="207"/>
      <c r="I618" s="51"/>
      <c r="J618" s="308"/>
      <c r="K618" s="308"/>
      <c r="L618" s="308"/>
      <c r="M618" s="308"/>
      <c r="N618" s="308"/>
      <c r="O618" s="308"/>
      <c r="P618" s="308"/>
      <c r="Q618" s="309"/>
    </row>
    <row r="619" spans="4:17" s="16" customFormat="1" ht="13.2" x14ac:dyDescent="0.25">
      <c r="D619" s="814" t="s">
        <v>1537</v>
      </c>
      <c r="E619" s="815"/>
      <c r="F619" s="815"/>
      <c r="G619" s="815"/>
      <c r="H619" s="815"/>
      <c r="I619" s="175">
        <f t="shared" ref="I619:Q619" si="863">SUM(I620:I624)</f>
        <v>0</v>
      </c>
      <c r="J619" s="175">
        <f t="shared" si="863"/>
        <v>2.8382199999999997</v>
      </c>
      <c r="K619" s="175">
        <f t="shared" si="863"/>
        <v>0</v>
      </c>
      <c r="L619" s="175">
        <f t="shared" si="863"/>
        <v>4.0289999999999999</v>
      </c>
      <c r="M619" s="175">
        <f t="shared" si="863"/>
        <v>6.5587099999999996</v>
      </c>
      <c r="N619" s="175">
        <f t="shared" si="863"/>
        <v>0</v>
      </c>
      <c r="O619" s="175">
        <f t="shared" si="863"/>
        <v>0</v>
      </c>
      <c r="P619" s="175">
        <f t="shared" si="863"/>
        <v>0</v>
      </c>
      <c r="Q619" s="175">
        <f t="shared" si="863"/>
        <v>0</v>
      </c>
    </row>
    <row r="620" spans="4:17" s="16" customFormat="1" ht="13.2" x14ac:dyDescent="0.25">
      <c r="D620" s="235">
        <v>1</v>
      </c>
      <c r="E620" s="237">
        <v>19</v>
      </c>
      <c r="F620" s="238">
        <v>5</v>
      </c>
      <c r="G620" s="239">
        <v>0.97</v>
      </c>
      <c r="H620" s="239">
        <f t="shared" ref="H620:H624" si="864">E620*G620</f>
        <v>18.43</v>
      </c>
      <c r="I620" s="131">
        <f t="shared" ref="I620:I624" si="865">IF($F620=4.2,H620*$B$23,0)</f>
        <v>0</v>
      </c>
      <c r="J620" s="31">
        <f t="shared" ref="J620:J624" si="866">IF($F620=5,$H620*$B$24,0)</f>
        <v>2.8382199999999997</v>
      </c>
      <c r="K620" s="31">
        <f t="shared" ref="K620:K624" si="867">IF($F620=6.3,$H620*$B$25,0)</f>
        <v>0</v>
      </c>
      <c r="L620" s="31">
        <f t="shared" ref="L620:L624" si="868">IF($F620=8,$H620*$B$26,0)</f>
        <v>0</v>
      </c>
      <c r="M620" s="31">
        <f t="shared" ref="M620:M624" si="869">IF($F620=10,$H620*$B$27,0)</f>
        <v>0</v>
      </c>
      <c r="N620" s="31">
        <f t="shared" ref="N620:N624" si="870">IF($F620=12.5,$H620*$B$28,0)</f>
        <v>0</v>
      </c>
      <c r="O620" s="31">
        <f t="shared" ref="O620:O624" si="871">IF($F620=16,$H620*$B$29,0)</f>
        <v>0</v>
      </c>
      <c r="P620" s="31">
        <f t="shared" ref="P620:P624" si="872">IF($F620=20,$H620*$B$30,0)</f>
        <v>0</v>
      </c>
      <c r="Q620" s="49">
        <f t="shared" ref="Q620:Q624" si="873">IF($F620=25,$H620*$B$31,0)</f>
        <v>0</v>
      </c>
    </row>
    <row r="621" spans="4:17" s="16" customFormat="1" ht="13.2" x14ac:dyDescent="0.25">
      <c r="D621" s="235">
        <v>14</v>
      </c>
      <c r="E621" s="237">
        <v>1</v>
      </c>
      <c r="F621" s="238">
        <v>8</v>
      </c>
      <c r="G621" s="239">
        <v>1.22</v>
      </c>
      <c r="H621" s="239">
        <f t="shared" si="864"/>
        <v>1.22</v>
      </c>
      <c r="I621" s="131">
        <f t="shared" si="865"/>
        <v>0</v>
      </c>
      <c r="J621" s="31">
        <f t="shared" si="866"/>
        <v>0</v>
      </c>
      <c r="K621" s="31">
        <f t="shared" si="867"/>
        <v>0</v>
      </c>
      <c r="L621" s="31">
        <f t="shared" si="868"/>
        <v>0.4819</v>
      </c>
      <c r="M621" s="31">
        <f t="shared" si="869"/>
        <v>0</v>
      </c>
      <c r="N621" s="31">
        <f t="shared" si="870"/>
        <v>0</v>
      </c>
      <c r="O621" s="31">
        <f t="shared" si="871"/>
        <v>0</v>
      </c>
      <c r="P621" s="31">
        <f t="shared" si="872"/>
        <v>0</v>
      </c>
      <c r="Q621" s="49">
        <f t="shared" si="873"/>
        <v>0</v>
      </c>
    </row>
    <row r="622" spans="4:17" s="16" customFormat="1" ht="13.2" x14ac:dyDescent="0.25">
      <c r="D622" s="235">
        <v>15</v>
      </c>
      <c r="E622" s="237">
        <v>2</v>
      </c>
      <c r="F622" s="238">
        <v>8</v>
      </c>
      <c r="G622" s="239">
        <v>4.49</v>
      </c>
      <c r="H622" s="239">
        <f t="shared" si="864"/>
        <v>8.98</v>
      </c>
      <c r="I622" s="131">
        <f t="shared" si="865"/>
        <v>0</v>
      </c>
      <c r="J622" s="31">
        <f t="shared" si="866"/>
        <v>0</v>
      </c>
      <c r="K622" s="31">
        <f t="shared" si="867"/>
        <v>0</v>
      </c>
      <c r="L622" s="31">
        <f t="shared" si="868"/>
        <v>3.5471000000000004</v>
      </c>
      <c r="M622" s="31">
        <f t="shared" si="869"/>
        <v>0</v>
      </c>
      <c r="N622" s="31">
        <f t="shared" si="870"/>
        <v>0</v>
      </c>
      <c r="O622" s="31">
        <f t="shared" si="871"/>
        <v>0</v>
      </c>
      <c r="P622" s="31">
        <f t="shared" si="872"/>
        <v>0</v>
      </c>
      <c r="Q622" s="49">
        <f t="shared" si="873"/>
        <v>0</v>
      </c>
    </row>
    <row r="623" spans="4:17" s="16" customFormat="1" ht="13.2" x14ac:dyDescent="0.25">
      <c r="D623" s="235">
        <v>43</v>
      </c>
      <c r="E623" s="237">
        <v>1</v>
      </c>
      <c r="F623" s="238">
        <v>10</v>
      </c>
      <c r="G623" s="239">
        <v>2.0499999999999998</v>
      </c>
      <c r="H623" s="239">
        <f t="shared" si="864"/>
        <v>2.0499999999999998</v>
      </c>
      <c r="I623" s="131">
        <f t="shared" si="865"/>
        <v>0</v>
      </c>
      <c r="J623" s="31">
        <f t="shared" si="866"/>
        <v>0</v>
      </c>
      <c r="K623" s="31">
        <f t="shared" si="867"/>
        <v>0</v>
      </c>
      <c r="L623" s="31">
        <f t="shared" si="868"/>
        <v>0</v>
      </c>
      <c r="M623" s="31">
        <f t="shared" si="869"/>
        <v>1.2648499999999998</v>
      </c>
      <c r="N623" s="31">
        <f t="shared" si="870"/>
        <v>0</v>
      </c>
      <c r="O623" s="31">
        <f t="shared" si="871"/>
        <v>0</v>
      </c>
      <c r="P623" s="31">
        <f t="shared" si="872"/>
        <v>0</v>
      </c>
      <c r="Q623" s="49">
        <f t="shared" si="873"/>
        <v>0</v>
      </c>
    </row>
    <row r="624" spans="4:17" s="16" customFormat="1" ht="13.2" x14ac:dyDescent="0.25">
      <c r="D624" s="235">
        <v>44</v>
      </c>
      <c r="E624" s="237">
        <v>2</v>
      </c>
      <c r="F624" s="238">
        <v>10</v>
      </c>
      <c r="G624" s="239">
        <v>4.29</v>
      </c>
      <c r="H624" s="239">
        <f t="shared" si="864"/>
        <v>8.58</v>
      </c>
      <c r="I624" s="131">
        <f t="shared" si="865"/>
        <v>0</v>
      </c>
      <c r="J624" s="31">
        <f t="shared" si="866"/>
        <v>0</v>
      </c>
      <c r="K624" s="31">
        <f t="shared" si="867"/>
        <v>0</v>
      </c>
      <c r="L624" s="31">
        <f t="shared" si="868"/>
        <v>0</v>
      </c>
      <c r="M624" s="31">
        <f t="shared" si="869"/>
        <v>5.2938599999999996</v>
      </c>
      <c r="N624" s="31">
        <f t="shared" si="870"/>
        <v>0</v>
      </c>
      <c r="O624" s="31">
        <f t="shared" si="871"/>
        <v>0</v>
      </c>
      <c r="P624" s="31">
        <f t="shared" si="872"/>
        <v>0</v>
      </c>
      <c r="Q624" s="49">
        <f t="shared" si="873"/>
        <v>0</v>
      </c>
    </row>
    <row r="625" spans="4:17" s="16" customFormat="1" ht="13.2" x14ac:dyDescent="0.25">
      <c r="D625" s="307"/>
      <c r="E625" s="26"/>
      <c r="F625" s="206"/>
      <c r="G625" s="207"/>
      <c r="H625" s="207"/>
      <c r="I625" s="51"/>
      <c r="J625" s="308"/>
      <c r="K625" s="308"/>
      <c r="L625" s="308"/>
      <c r="M625" s="308"/>
      <c r="N625" s="308"/>
      <c r="O625" s="308"/>
      <c r="P625" s="308"/>
      <c r="Q625" s="309"/>
    </row>
    <row r="626" spans="4:17" s="16" customFormat="1" ht="13.2" x14ac:dyDescent="0.25">
      <c r="D626" s="814" t="s">
        <v>1538</v>
      </c>
      <c r="E626" s="815"/>
      <c r="F626" s="815"/>
      <c r="G626" s="815"/>
      <c r="H626" s="815"/>
      <c r="I626" s="175">
        <f t="shared" ref="I626:Q626" si="874">SUM(I627:I628)</f>
        <v>0</v>
      </c>
      <c r="J626" s="175">
        <f t="shared" si="874"/>
        <v>5.0789199999999992</v>
      </c>
      <c r="K626" s="175">
        <f t="shared" si="874"/>
        <v>0</v>
      </c>
      <c r="L626" s="175">
        <f t="shared" si="874"/>
        <v>13.809200000000001</v>
      </c>
      <c r="M626" s="175">
        <f t="shared" si="874"/>
        <v>0</v>
      </c>
      <c r="N626" s="175">
        <f t="shared" si="874"/>
        <v>0</v>
      </c>
      <c r="O626" s="175">
        <f t="shared" si="874"/>
        <v>0</v>
      </c>
      <c r="P626" s="175">
        <f t="shared" si="874"/>
        <v>0</v>
      </c>
      <c r="Q626" s="175">
        <f t="shared" si="874"/>
        <v>0</v>
      </c>
    </row>
    <row r="627" spans="4:17" s="16" customFormat="1" ht="13.2" x14ac:dyDescent="0.25">
      <c r="D627" s="235">
        <v>1</v>
      </c>
      <c r="E627" s="237">
        <f>2*17</f>
        <v>34</v>
      </c>
      <c r="F627" s="238">
        <v>5</v>
      </c>
      <c r="G627" s="239">
        <v>0.97</v>
      </c>
      <c r="H627" s="239">
        <f t="shared" ref="H627:H628" si="875">E627*G627</f>
        <v>32.979999999999997</v>
      </c>
      <c r="I627" s="131">
        <f t="shared" ref="I627:I628" si="876">IF($F627=4.2,H627*$B$23,0)</f>
        <v>0</v>
      </c>
      <c r="J627" s="31">
        <f t="shared" ref="J627:J628" si="877">IF($F627=5,$H627*$B$24,0)</f>
        <v>5.0789199999999992</v>
      </c>
      <c r="K627" s="31">
        <f t="shared" ref="K627:K628" si="878">IF($F627=6.3,$H627*$B$25,0)</f>
        <v>0</v>
      </c>
      <c r="L627" s="31">
        <f t="shared" ref="L627:L628" si="879">IF($F627=8,$H627*$B$26,0)</f>
        <v>0</v>
      </c>
      <c r="M627" s="31">
        <f t="shared" ref="M627:M628" si="880">IF($F627=10,$H627*$B$27,0)</f>
        <v>0</v>
      </c>
      <c r="N627" s="31">
        <f t="shared" ref="N627:N628" si="881">IF($F627=12.5,$H627*$B$28,0)</f>
        <v>0</v>
      </c>
      <c r="O627" s="31">
        <f t="shared" ref="O627:O628" si="882">IF($F627=16,$H627*$B$29,0)</f>
        <v>0</v>
      </c>
      <c r="P627" s="31">
        <f t="shared" ref="P627:P628" si="883">IF($F627=20,$H627*$B$30,0)</f>
        <v>0</v>
      </c>
      <c r="Q627" s="49">
        <f t="shared" ref="Q627:Q628" si="884">IF($F627=25,$H627*$B$31,0)</f>
        <v>0</v>
      </c>
    </row>
    <row r="628" spans="4:17" s="16" customFormat="1" ht="13.2" x14ac:dyDescent="0.25">
      <c r="D628" s="235">
        <v>16</v>
      </c>
      <c r="E628" s="237">
        <f>2*4</f>
        <v>8</v>
      </c>
      <c r="F628" s="238">
        <v>8</v>
      </c>
      <c r="G628" s="239">
        <v>4.37</v>
      </c>
      <c r="H628" s="239">
        <f t="shared" si="875"/>
        <v>34.96</v>
      </c>
      <c r="I628" s="131">
        <f t="shared" si="876"/>
        <v>0</v>
      </c>
      <c r="J628" s="31">
        <f t="shared" si="877"/>
        <v>0</v>
      </c>
      <c r="K628" s="31">
        <f t="shared" si="878"/>
        <v>0</v>
      </c>
      <c r="L628" s="31">
        <f t="shared" si="879"/>
        <v>13.809200000000001</v>
      </c>
      <c r="M628" s="31">
        <f t="shared" si="880"/>
        <v>0</v>
      </c>
      <c r="N628" s="31">
        <f t="shared" si="881"/>
        <v>0</v>
      </c>
      <c r="O628" s="31">
        <f t="shared" si="882"/>
        <v>0</v>
      </c>
      <c r="P628" s="31">
        <f t="shared" si="883"/>
        <v>0</v>
      </c>
      <c r="Q628" s="49">
        <f t="shared" si="884"/>
        <v>0</v>
      </c>
    </row>
    <row r="629" spans="4:17" s="16" customFormat="1" ht="13.2" x14ac:dyDescent="0.25">
      <c r="D629" s="307"/>
      <c r="E629" s="26"/>
      <c r="F629" s="206"/>
      <c r="G629" s="207"/>
      <c r="H629" s="207"/>
      <c r="I629" s="51"/>
      <c r="J629" s="308"/>
      <c r="K629" s="308"/>
      <c r="L629" s="308"/>
      <c r="M629" s="308"/>
      <c r="N629" s="308"/>
      <c r="O629" s="308"/>
      <c r="P629" s="308"/>
      <c r="Q629" s="309"/>
    </row>
    <row r="630" spans="4:17" s="16" customFormat="1" ht="13.2" x14ac:dyDescent="0.25">
      <c r="D630" s="814" t="s">
        <v>1539</v>
      </c>
      <c r="E630" s="815"/>
      <c r="F630" s="815"/>
      <c r="G630" s="815"/>
      <c r="H630" s="815"/>
      <c r="I630" s="175">
        <f t="shared" ref="I630:Q630" si="885">SUM(I631:I632)</f>
        <v>0</v>
      </c>
      <c r="J630" s="175">
        <f t="shared" si="885"/>
        <v>5.0789199999999992</v>
      </c>
      <c r="K630" s="175">
        <f t="shared" si="885"/>
        <v>0</v>
      </c>
      <c r="L630" s="175">
        <f t="shared" si="885"/>
        <v>13.809200000000001</v>
      </c>
      <c r="M630" s="175">
        <f t="shared" si="885"/>
        <v>0</v>
      </c>
      <c r="N630" s="175">
        <f t="shared" si="885"/>
        <v>0</v>
      </c>
      <c r="O630" s="175">
        <f t="shared" si="885"/>
        <v>0</v>
      </c>
      <c r="P630" s="175">
        <f t="shared" si="885"/>
        <v>0</v>
      </c>
      <c r="Q630" s="175">
        <f t="shared" si="885"/>
        <v>0</v>
      </c>
    </row>
    <row r="631" spans="4:17" s="16" customFormat="1" ht="13.2" x14ac:dyDescent="0.25">
      <c r="D631" s="235">
        <v>1</v>
      </c>
      <c r="E631" s="237">
        <f>2*17</f>
        <v>34</v>
      </c>
      <c r="F631" s="238">
        <v>5</v>
      </c>
      <c r="G631" s="239">
        <v>0.97</v>
      </c>
      <c r="H631" s="239">
        <f t="shared" ref="H631:H632" si="886">E631*G631</f>
        <v>32.979999999999997</v>
      </c>
      <c r="I631" s="131">
        <f t="shared" ref="I631:I632" si="887">IF($F631=4.2,H631*$B$23,0)</f>
        <v>0</v>
      </c>
      <c r="J631" s="31">
        <f t="shared" ref="J631:J632" si="888">IF($F631=5,$H631*$B$24,0)</f>
        <v>5.0789199999999992</v>
      </c>
      <c r="K631" s="31">
        <f t="shared" ref="K631:K632" si="889">IF($F631=6.3,$H631*$B$25,0)</f>
        <v>0</v>
      </c>
      <c r="L631" s="31">
        <f t="shared" ref="L631:L632" si="890">IF($F631=8,$H631*$B$26,0)</f>
        <v>0</v>
      </c>
      <c r="M631" s="31">
        <f t="shared" ref="M631:M632" si="891">IF($F631=10,$H631*$B$27,0)</f>
        <v>0</v>
      </c>
      <c r="N631" s="31">
        <f t="shared" ref="N631:N632" si="892">IF($F631=12.5,$H631*$B$28,0)</f>
        <v>0</v>
      </c>
      <c r="O631" s="31">
        <f t="shared" ref="O631:O632" si="893">IF($F631=16,$H631*$B$29,0)</f>
        <v>0</v>
      </c>
      <c r="P631" s="31">
        <f t="shared" ref="P631:P632" si="894">IF($F631=20,$H631*$B$30,0)</f>
        <v>0</v>
      </c>
      <c r="Q631" s="49">
        <f t="shared" ref="Q631:Q632" si="895">IF($F631=25,$H631*$B$31,0)</f>
        <v>0</v>
      </c>
    </row>
    <row r="632" spans="4:17" s="16" customFormat="1" ht="13.2" x14ac:dyDescent="0.25">
      <c r="D632" s="235">
        <v>17</v>
      </c>
      <c r="E632" s="237">
        <f>2*4</f>
        <v>8</v>
      </c>
      <c r="F632" s="238">
        <v>8</v>
      </c>
      <c r="G632" s="239">
        <v>4.37</v>
      </c>
      <c r="H632" s="239">
        <f t="shared" si="886"/>
        <v>34.96</v>
      </c>
      <c r="I632" s="131">
        <f t="shared" si="887"/>
        <v>0</v>
      </c>
      <c r="J632" s="31">
        <f t="shared" si="888"/>
        <v>0</v>
      </c>
      <c r="K632" s="31">
        <f t="shared" si="889"/>
        <v>0</v>
      </c>
      <c r="L632" s="31">
        <f t="shared" si="890"/>
        <v>13.809200000000001</v>
      </c>
      <c r="M632" s="31">
        <f t="shared" si="891"/>
        <v>0</v>
      </c>
      <c r="N632" s="31">
        <f t="shared" si="892"/>
        <v>0</v>
      </c>
      <c r="O632" s="31">
        <f t="shared" si="893"/>
        <v>0</v>
      </c>
      <c r="P632" s="31">
        <f t="shared" si="894"/>
        <v>0</v>
      </c>
      <c r="Q632" s="49">
        <f t="shared" si="895"/>
        <v>0</v>
      </c>
    </row>
    <row r="633" spans="4:17" s="16" customFormat="1" ht="13.2" x14ac:dyDescent="0.25">
      <c r="D633" s="307"/>
      <c r="E633" s="26"/>
      <c r="F633" s="206"/>
      <c r="G633" s="207"/>
      <c r="H633" s="207"/>
      <c r="I633" s="51"/>
      <c r="J633" s="308"/>
      <c r="K633" s="308"/>
      <c r="L633" s="308"/>
      <c r="M633" s="308"/>
      <c r="N633" s="308"/>
      <c r="O633" s="308"/>
      <c r="P633" s="308"/>
      <c r="Q633" s="309"/>
    </row>
    <row r="634" spans="4:17" s="16" customFormat="1" ht="13.2" x14ac:dyDescent="0.25">
      <c r="D634" s="814" t="s">
        <v>1540</v>
      </c>
      <c r="E634" s="815"/>
      <c r="F634" s="815"/>
      <c r="G634" s="815"/>
      <c r="H634" s="815"/>
      <c r="I634" s="175">
        <f t="shared" ref="I634:Q634" si="896">SUM(I635:I642)</f>
        <v>0</v>
      </c>
      <c r="J634" s="175">
        <f t="shared" si="896"/>
        <v>5.2282999999999991</v>
      </c>
      <c r="K634" s="175">
        <f t="shared" si="896"/>
        <v>0</v>
      </c>
      <c r="L634" s="175">
        <f t="shared" si="896"/>
        <v>13.433949999999999</v>
      </c>
      <c r="M634" s="175">
        <f t="shared" si="896"/>
        <v>14.43163</v>
      </c>
      <c r="N634" s="175">
        <f t="shared" si="896"/>
        <v>0</v>
      </c>
      <c r="O634" s="175">
        <f t="shared" si="896"/>
        <v>0</v>
      </c>
      <c r="P634" s="175">
        <f t="shared" si="896"/>
        <v>0</v>
      </c>
      <c r="Q634" s="175">
        <f t="shared" si="896"/>
        <v>0</v>
      </c>
    </row>
    <row r="635" spans="4:17" s="16" customFormat="1" ht="13.2" x14ac:dyDescent="0.25">
      <c r="D635" s="235">
        <v>1</v>
      </c>
      <c r="E635" s="237">
        <v>35</v>
      </c>
      <c r="F635" s="238">
        <v>5</v>
      </c>
      <c r="G635" s="239">
        <v>0.97</v>
      </c>
      <c r="H635" s="239">
        <f t="shared" ref="H635:H642" si="897">E635*G635</f>
        <v>33.949999999999996</v>
      </c>
      <c r="I635" s="131">
        <f t="shared" ref="I635:I642" si="898">IF($F635=4.2,H635*$B$23,0)</f>
        <v>0</v>
      </c>
      <c r="J635" s="31">
        <f t="shared" ref="J635:J642" si="899">IF($F635=5,$H635*$B$24,0)</f>
        <v>5.2282999999999991</v>
      </c>
      <c r="K635" s="31">
        <f t="shared" ref="K635:K642" si="900">IF($F635=6.3,$H635*$B$25,0)</f>
        <v>0</v>
      </c>
      <c r="L635" s="31">
        <f t="shared" ref="L635:L642" si="901">IF($F635=8,$H635*$B$26,0)</f>
        <v>0</v>
      </c>
      <c r="M635" s="31">
        <f t="shared" ref="M635:M642" si="902">IF($F635=10,$H635*$B$27,0)</f>
        <v>0</v>
      </c>
      <c r="N635" s="31">
        <f t="shared" ref="N635:N642" si="903">IF($F635=12.5,$H635*$B$28,0)</f>
        <v>0</v>
      </c>
      <c r="O635" s="31">
        <f t="shared" ref="O635:O642" si="904">IF($F635=16,$H635*$B$29,0)</f>
        <v>0</v>
      </c>
      <c r="P635" s="31">
        <f t="shared" ref="P635:P642" si="905">IF($F635=20,$H635*$B$30,0)</f>
        <v>0</v>
      </c>
      <c r="Q635" s="49">
        <f t="shared" ref="Q635:Q642" si="906">IF($F635=25,$H635*$B$31,0)</f>
        <v>0</v>
      </c>
    </row>
    <row r="636" spans="4:17" s="16" customFormat="1" ht="13.2" x14ac:dyDescent="0.25">
      <c r="D636" s="235">
        <v>18</v>
      </c>
      <c r="E636" s="237">
        <v>1</v>
      </c>
      <c r="F636" s="238">
        <v>8</v>
      </c>
      <c r="G636" s="239">
        <v>2.3199999999999998</v>
      </c>
      <c r="H636" s="239">
        <f t="shared" ref="H636:H638" si="907">E636*G636</f>
        <v>2.3199999999999998</v>
      </c>
      <c r="I636" s="131">
        <f t="shared" ref="I636:I638" si="908">IF($F636=4.2,H636*$B$23,0)</f>
        <v>0</v>
      </c>
      <c r="J636" s="31">
        <f t="shared" si="899"/>
        <v>0</v>
      </c>
      <c r="K636" s="31">
        <f t="shared" si="900"/>
        <v>0</v>
      </c>
      <c r="L636" s="31">
        <f t="shared" si="901"/>
        <v>0.91639999999999999</v>
      </c>
      <c r="M636" s="31">
        <f t="shared" si="902"/>
        <v>0</v>
      </c>
      <c r="N636" s="31">
        <f t="shared" si="903"/>
        <v>0</v>
      </c>
      <c r="O636" s="31">
        <f t="shared" si="904"/>
        <v>0</v>
      </c>
      <c r="P636" s="31">
        <f t="shared" si="905"/>
        <v>0</v>
      </c>
      <c r="Q636" s="49">
        <f t="shared" si="906"/>
        <v>0</v>
      </c>
    </row>
    <row r="637" spans="4:17" s="16" customFormat="1" ht="13.2" x14ac:dyDescent="0.25">
      <c r="D637" s="235">
        <v>19</v>
      </c>
      <c r="E637" s="237">
        <v>1</v>
      </c>
      <c r="F637" s="238">
        <v>8</v>
      </c>
      <c r="G637" s="239">
        <v>1.26</v>
      </c>
      <c r="H637" s="239">
        <f t="shared" si="907"/>
        <v>1.26</v>
      </c>
      <c r="I637" s="131">
        <f t="shared" si="908"/>
        <v>0</v>
      </c>
      <c r="J637" s="31">
        <f t="shared" si="899"/>
        <v>0</v>
      </c>
      <c r="K637" s="31">
        <f t="shared" si="900"/>
        <v>0</v>
      </c>
      <c r="L637" s="31">
        <f t="shared" si="901"/>
        <v>0.49770000000000003</v>
      </c>
      <c r="M637" s="31">
        <f t="shared" si="902"/>
        <v>0</v>
      </c>
      <c r="N637" s="31">
        <f t="shared" si="903"/>
        <v>0</v>
      </c>
      <c r="O637" s="31">
        <f t="shared" si="904"/>
        <v>0</v>
      </c>
      <c r="P637" s="31">
        <f t="shared" si="905"/>
        <v>0</v>
      </c>
      <c r="Q637" s="49">
        <f t="shared" si="906"/>
        <v>0</v>
      </c>
    </row>
    <row r="638" spans="4:17" s="16" customFormat="1" ht="13.2" x14ac:dyDescent="0.25">
      <c r="D638" s="235">
        <v>20</v>
      </c>
      <c r="E638" s="237">
        <v>1</v>
      </c>
      <c r="F638" s="238">
        <v>8</v>
      </c>
      <c r="G638" s="239">
        <v>5.08</v>
      </c>
      <c r="H638" s="239">
        <f t="shared" si="907"/>
        <v>5.08</v>
      </c>
      <c r="I638" s="131">
        <f t="shared" si="908"/>
        <v>0</v>
      </c>
      <c r="J638" s="31">
        <f t="shared" si="899"/>
        <v>0</v>
      </c>
      <c r="K638" s="31">
        <f t="shared" si="900"/>
        <v>0</v>
      </c>
      <c r="L638" s="31">
        <f t="shared" si="901"/>
        <v>2.0066000000000002</v>
      </c>
      <c r="M638" s="31">
        <f t="shared" si="902"/>
        <v>0</v>
      </c>
      <c r="N638" s="31">
        <f t="shared" si="903"/>
        <v>0</v>
      </c>
      <c r="O638" s="31">
        <f t="shared" si="904"/>
        <v>0</v>
      </c>
      <c r="P638" s="31">
        <f t="shared" si="905"/>
        <v>0</v>
      </c>
      <c r="Q638" s="49">
        <f t="shared" si="906"/>
        <v>0</v>
      </c>
    </row>
    <row r="639" spans="4:17" s="16" customFormat="1" ht="13.2" x14ac:dyDescent="0.25">
      <c r="D639" s="235">
        <v>21</v>
      </c>
      <c r="E639" s="237">
        <v>3</v>
      </c>
      <c r="F639" s="238">
        <v>8</v>
      </c>
      <c r="G639" s="239">
        <v>8.4499999999999993</v>
      </c>
      <c r="H639" s="239">
        <f t="shared" si="897"/>
        <v>25.349999999999998</v>
      </c>
      <c r="I639" s="131">
        <f t="shared" si="898"/>
        <v>0</v>
      </c>
      <c r="J639" s="31">
        <f t="shared" si="899"/>
        <v>0</v>
      </c>
      <c r="K639" s="31">
        <f t="shared" si="900"/>
        <v>0</v>
      </c>
      <c r="L639" s="31">
        <f t="shared" si="901"/>
        <v>10.013249999999999</v>
      </c>
      <c r="M639" s="31">
        <f t="shared" si="902"/>
        <v>0</v>
      </c>
      <c r="N639" s="31">
        <f t="shared" si="903"/>
        <v>0</v>
      </c>
      <c r="O639" s="31">
        <f t="shared" si="904"/>
        <v>0</v>
      </c>
      <c r="P639" s="31">
        <f t="shared" si="905"/>
        <v>0</v>
      </c>
      <c r="Q639" s="49">
        <f t="shared" si="906"/>
        <v>0</v>
      </c>
    </row>
    <row r="640" spans="4:17" s="16" customFormat="1" ht="13.2" x14ac:dyDescent="0.25">
      <c r="D640" s="235">
        <v>45</v>
      </c>
      <c r="E640" s="237">
        <v>1</v>
      </c>
      <c r="F640" s="238">
        <v>10</v>
      </c>
      <c r="G640" s="239">
        <v>4.3499999999999996</v>
      </c>
      <c r="H640" s="239">
        <f t="shared" si="897"/>
        <v>4.3499999999999996</v>
      </c>
      <c r="I640" s="131">
        <f t="shared" si="898"/>
        <v>0</v>
      </c>
      <c r="J640" s="31">
        <f t="shared" si="899"/>
        <v>0</v>
      </c>
      <c r="K640" s="31">
        <f t="shared" si="900"/>
        <v>0</v>
      </c>
      <c r="L640" s="31">
        <f t="shared" si="901"/>
        <v>0</v>
      </c>
      <c r="M640" s="31">
        <f t="shared" si="902"/>
        <v>2.6839499999999998</v>
      </c>
      <c r="N640" s="31">
        <f t="shared" si="903"/>
        <v>0</v>
      </c>
      <c r="O640" s="31">
        <f t="shared" si="904"/>
        <v>0</v>
      </c>
      <c r="P640" s="31">
        <f t="shared" si="905"/>
        <v>0</v>
      </c>
      <c r="Q640" s="49">
        <f t="shared" si="906"/>
        <v>0</v>
      </c>
    </row>
    <row r="641" spans="4:17" s="16" customFormat="1" ht="13.2" x14ac:dyDescent="0.25">
      <c r="D641" s="235">
        <v>46</v>
      </c>
      <c r="E641" s="237">
        <v>1</v>
      </c>
      <c r="F641" s="238">
        <v>10</v>
      </c>
      <c r="G641" s="239">
        <v>2.1</v>
      </c>
      <c r="H641" s="239">
        <f t="shared" si="897"/>
        <v>2.1</v>
      </c>
      <c r="I641" s="131">
        <f t="shared" si="898"/>
        <v>0</v>
      </c>
      <c r="J641" s="31">
        <f t="shared" si="899"/>
        <v>0</v>
      </c>
      <c r="K641" s="31">
        <f t="shared" si="900"/>
        <v>0</v>
      </c>
      <c r="L641" s="31">
        <f t="shared" si="901"/>
        <v>0</v>
      </c>
      <c r="M641" s="31">
        <f t="shared" si="902"/>
        <v>1.2957000000000001</v>
      </c>
      <c r="N641" s="31">
        <f t="shared" si="903"/>
        <v>0</v>
      </c>
      <c r="O641" s="31">
        <f t="shared" si="904"/>
        <v>0</v>
      </c>
      <c r="P641" s="31">
        <f t="shared" si="905"/>
        <v>0</v>
      </c>
      <c r="Q641" s="49">
        <f t="shared" si="906"/>
        <v>0</v>
      </c>
    </row>
    <row r="642" spans="4:17" s="16" customFormat="1" ht="13.2" x14ac:dyDescent="0.25">
      <c r="D642" s="235">
        <v>47</v>
      </c>
      <c r="E642" s="237">
        <v>2</v>
      </c>
      <c r="F642" s="238">
        <v>10</v>
      </c>
      <c r="G642" s="239">
        <v>8.4700000000000006</v>
      </c>
      <c r="H642" s="239">
        <f t="shared" si="897"/>
        <v>16.940000000000001</v>
      </c>
      <c r="I642" s="131">
        <f t="shared" si="898"/>
        <v>0</v>
      </c>
      <c r="J642" s="31">
        <f t="shared" si="899"/>
        <v>0</v>
      </c>
      <c r="K642" s="31">
        <f t="shared" si="900"/>
        <v>0</v>
      </c>
      <c r="L642" s="31">
        <f t="shared" si="901"/>
        <v>0</v>
      </c>
      <c r="M642" s="31">
        <f t="shared" si="902"/>
        <v>10.451980000000001</v>
      </c>
      <c r="N642" s="31">
        <f t="shared" si="903"/>
        <v>0</v>
      </c>
      <c r="O642" s="31">
        <f t="shared" si="904"/>
        <v>0</v>
      </c>
      <c r="P642" s="31">
        <f t="shared" si="905"/>
        <v>0</v>
      </c>
      <c r="Q642" s="49">
        <f t="shared" si="906"/>
        <v>0</v>
      </c>
    </row>
    <row r="643" spans="4:17" s="16" customFormat="1" ht="13.2" x14ac:dyDescent="0.25">
      <c r="D643" s="307"/>
      <c r="E643" s="26"/>
      <c r="F643" s="206"/>
      <c r="G643" s="207"/>
      <c r="H643" s="207"/>
      <c r="I643" s="51"/>
      <c r="J643" s="308"/>
      <c r="K643" s="308"/>
      <c r="L643" s="308"/>
      <c r="M643" s="308"/>
      <c r="N643" s="308"/>
      <c r="O643" s="308"/>
      <c r="P643" s="308"/>
      <c r="Q643" s="309"/>
    </row>
    <row r="644" spans="4:17" s="16" customFormat="1" ht="13.2" x14ac:dyDescent="0.25">
      <c r="D644" s="814" t="s">
        <v>1541</v>
      </c>
      <c r="E644" s="815"/>
      <c r="F644" s="815"/>
      <c r="G644" s="815"/>
      <c r="H644" s="815"/>
      <c r="I644" s="175">
        <f t="shared" ref="I644:Q644" si="909">SUM(I645:I651)</f>
        <v>0</v>
      </c>
      <c r="J644" s="175">
        <f t="shared" si="909"/>
        <v>5.3776799999999998</v>
      </c>
      <c r="K644" s="175">
        <f t="shared" si="909"/>
        <v>0</v>
      </c>
      <c r="L644" s="175">
        <f t="shared" si="909"/>
        <v>11.4313</v>
      </c>
      <c r="M644" s="175">
        <f t="shared" si="909"/>
        <v>13.135930000000002</v>
      </c>
      <c r="N644" s="175">
        <f t="shared" si="909"/>
        <v>0</v>
      </c>
      <c r="O644" s="175">
        <f t="shared" si="909"/>
        <v>0</v>
      </c>
      <c r="P644" s="175">
        <f t="shared" si="909"/>
        <v>0</v>
      </c>
      <c r="Q644" s="175">
        <f t="shared" si="909"/>
        <v>0</v>
      </c>
    </row>
    <row r="645" spans="4:17" s="16" customFormat="1" ht="13.2" x14ac:dyDescent="0.25">
      <c r="D645" s="235">
        <v>1</v>
      </c>
      <c r="E645" s="237">
        <v>36</v>
      </c>
      <c r="F645" s="238">
        <v>5</v>
      </c>
      <c r="G645" s="239">
        <v>0.97</v>
      </c>
      <c r="H645" s="239">
        <f t="shared" ref="H645:H651" si="910">E645*G645</f>
        <v>34.92</v>
      </c>
      <c r="I645" s="131">
        <f t="shared" ref="I645:I651" si="911">IF($F645=4.2,H645*$B$23,0)</f>
        <v>0</v>
      </c>
      <c r="J645" s="31">
        <f t="shared" ref="J645:J651" si="912">IF($F645=5,$H645*$B$24,0)</f>
        <v>5.3776799999999998</v>
      </c>
      <c r="K645" s="31">
        <f t="shared" ref="K645:K651" si="913">IF($F645=6.3,$H645*$B$25,0)</f>
        <v>0</v>
      </c>
      <c r="L645" s="31">
        <f t="shared" ref="L645:L651" si="914">IF($F645=8,$H645*$B$26,0)</f>
        <v>0</v>
      </c>
      <c r="M645" s="31">
        <f t="shared" ref="M645:M651" si="915">IF($F645=10,$H645*$B$27,0)</f>
        <v>0</v>
      </c>
      <c r="N645" s="31">
        <f t="shared" ref="N645:N651" si="916">IF($F645=12.5,$H645*$B$28,0)</f>
        <v>0</v>
      </c>
      <c r="O645" s="31">
        <f t="shared" ref="O645:O651" si="917">IF($F645=16,$H645*$B$29,0)</f>
        <v>0</v>
      </c>
      <c r="P645" s="31">
        <f t="shared" ref="P645:P651" si="918">IF($F645=20,$H645*$B$30,0)</f>
        <v>0</v>
      </c>
      <c r="Q645" s="49">
        <f t="shared" ref="Q645:Q651" si="919">IF($F645=25,$H645*$B$31,0)</f>
        <v>0</v>
      </c>
    </row>
    <row r="646" spans="4:17" s="16" customFormat="1" ht="13.2" x14ac:dyDescent="0.25">
      <c r="D646" s="235">
        <v>22</v>
      </c>
      <c r="E646" s="237">
        <v>2</v>
      </c>
      <c r="F646" s="238">
        <v>8</v>
      </c>
      <c r="G646" s="239">
        <v>2.89</v>
      </c>
      <c r="H646" s="239">
        <f t="shared" ref="H646:H648" si="920">E646*G646</f>
        <v>5.78</v>
      </c>
      <c r="I646" s="131">
        <f t="shared" ref="I646:I648" si="921">IF($F646=4.2,H646*$B$23,0)</f>
        <v>0</v>
      </c>
      <c r="J646" s="31">
        <f t="shared" si="912"/>
        <v>0</v>
      </c>
      <c r="K646" s="31">
        <f t="shared" si="913"/>
        <v>0</v>
      </c>
      <c r="L646" s="31">
        <f t="shared" si="914"/>
        <v>2.2831000000000001</v>
      </c>
      <c r="M646" s="31">
        <f t="shared" si="915"/>
        <v>0</v>
      </c>
      <c r="N646" s="31">
        <f t="shared" si="916"/>
        <v>0</v>
      </c>
      <c r="O646" s="31">
        <f t="shared" si="917"/>
        <v>0</v>
      </c>
      <c r="P646" s="31">
        <f t="shared" si="918"/>
        <v>0</v>
      </c>
      <c r="Q646" s="49">
        <f t="shared" si="919"/>
        <v>0</v>
      </c>
    </row>
    <row r="647" spans="4:17" s="16" customFormat="1" ht="13.2" x14ac:dyDescent="0.25">
      <c r="D647" s="235">
        <v>23</v>
      </c>
      <c r="E647" s="237">
        <v>2</v>
      </c>
      <c r="F647" s="238">
        <v>8</v>
      </c>
      <c r="G647" s="239">
        <v>3.03</v>
      </c>
      <c r="H647" s="239">
        <f t="shared" si="920"/>
        <v>6.06</v>
      </c>
      <c r="I647" s="131">
        <f t="shared" si="921"/>
        <v>0</v>
      </c>
      <c r="J647" s="31">
        <f t="shared" si="912"/>
        <v>0</v>
      </c>
      <c r="K647" s="31">
        <f t="shared" si="913"/>
        <v>0</v>
      </c>
      <c r="L647" s="31">
        <f t="shared" si="914"/>
        <v>2.3936999999999999</v>
      </c>
      <c r="M647" s="31">
        <f t="shared" si="915"/>
        <v>0</v>
      </c>
      <c r="N647" s="31">
        <f t="shared" si="916"/>
        <v>0</v>
      </c>
      <c r="O647" s="31">
        <f t="shared" si="917"/>
        <v>0</v>
      </c>
      <c r="P647" s="31">
        <f t="shared" si="918"/>
        <v>0</v>
      </c>
      <c r="Q647" s="49">
        <f t="shared" si="919"/>
        <v>0</v>
      </c>
    </row>
    <row r="648" spans="4:17" s="16" customFormat="1" ht="13.2" x14ac:dyDescent="0.25">
      <c r="D648" s="235">
        <v>24</v>
      </c>
      <c r="E648" s="237">
        <v>2</v>
      </c>
      <c r="F648" s="238">
        <v>8</v>
      </c>
      <c r="G648" s="239">
        <v>8.5500000000000007</v>
      </c>
      <c r="H648" s="239">
        <f t="shared" si="920"/>
        <v>17.100000000000001</v>
      </c>
      <c r="I648" s="131">
        <f t="shared" si="921"/>
        <v>0</v>
      </c>
      <c r="J648" s="31">
        <f t="shared" si="912"/>
        <v>0</v>
      </c>
      <c r="K648" s="31">
        <f t="shared" si="913"/>
        <v>0</v>
      </c>
      <c r="L648" s="31">
        <f t="shared" si="914"/>
        <v>6.7545000000000011</v>
      </c>
      <c r="M648" s="31">
        <f t="shared" si="915"/>
        <v>0</v>
      </c>
      <c r="N648" s="31">
        <f t="shared" si="916"/>
        <v>0</v>
      </c>
      <c r="O648" s="31">
        <f t="shared" si="917"/>
        <v>0</v>
      </c>
      <c r="P648" s="31">
        <f t="shared" si="918"/>
        <v>0</v>
      </c>
      <c r="Q648" s="49">
        <f t="shared" si="919"/>
        <v>0</v>
      </c>
    </row>
    <row r="649" spans="4:17" s="16" customFormat="1" ht="13.2" x14ac:dyDescent="0.25">
      <c r="D649" s="235">
        <v>46</v>
      </c>
      <c r="E649" s="237">
        <v>1</v>
      </c>
      <c r="F649" s="238">
        <v>10</v>
      </c>
      <c r="G649" s="239">
        <v>2.1</v>
      </c>
      <c r="H649" s="239">
        <f t="shared" si="910"/>
        <v>2.1</v>
      </c>
      <c r="I649" s="131">
        <f t="shared" si="911"/>
        <v>0</v>
      </c>
      <c r="J649" s="31">
        <f t="shared" si="912"/>
        <v>0</v>
      </c>
      <c r="K649" s="31">
        <f t="shared" si="913"/>
        <v>0</v>
      </c>
      <c r="L649" s="31">
        <f t="shared" si="914"/>
        <v>0</v>
      </c>
      <c r="M649" s="31">
        <f t="shared" si="915"/>
        <v>1.2957000000000001</v>
      </c>
      <c r="N649" s="31">
        <f t="shared" si="916"/>
        <v>0</v>
      </c>
      <c r="O649" s="31">
        <f t="shared" si="917"/>
        <v>0</v>
      </c>
      <c r="P649" s="31">
        <f t="shared" si="918"/>
        <v>0</v>
      </c>
      <c r="Q649" s="49">
        <f t="shared" si="919"/>
        <v>0</v>
      </c>
    </row>
    <row r="650" spans="4:17" s="16" customFormat="1" ht="13.2" x14ac:dyDescent="0.25">
      <c r="D650" s="235">
        <v>48</v>
      </c>
      <c r="E650" s="237">
        <v>1</v>
      </c>
      <c r="F650" s="238">
        <v>10</v>
      </c>
      <c r="G650" s="239">
        <v>2.25</v>
      </c>
      <c r="H650" s="239">
        <f t="shared" si="910"/>
        <v>2.25</v>
      </c>
      <c r="I650" s="131">
        <f t="shared" si="911"/>
        <v>0</v>
      </c>
      <c r="J650" s="31">
        <f t="shared" si="912"/>
        <v>0</v>
      </c>
      <c r="K650" s="31">
        <f t="shared" si="913"/>
        <v>0</v>
      </c>
      <c r="L650" s="31">
        <f t="shared" si="914"/>
        <v>0</v>
      </c>
      <c r="M650" s="31">
        <f t="shared" si="915"/>
        <v>1.38825</v>
      </c>
      <c r="N650" s="31">
        <f t="shared" si="916"/>
        <v>0</v>
      </c>
      <c r="O650" s="31">
        <f t="shared" si="917"/>
        <v>0</v>
      </c>
      <c r="P650" s="31">
        <f t="shared" si="918"/>
        <v>0</v>
      </c>
      <c r="Q650" s="49">
        <f t="shared" si="919"/>
        <v>0</v>
      </c>
    </row>
    <row r="651" spans="4:17" s="16" customFormat="1" ht="13.2" x14ac:dyDescent="0.25">
      <c r="D651" s="235">
        <v>49</v>
      </c>
      <c r="E651" s="237">
        <v>2</v>
      </c>
      <c r="F651" s="238">
        <v>10</v>
      </c>
      <c r="G651" s="239">
        <v>8.4700000000000006</v>
      </c>
      <c r="H651" s="239">
        <f t="shared" si="910"/>
        <v>16.940000000000001</v>
      </c>
      <c r="I651" s="131">
        <f t="shared" si="911"/>
        <v>0</v>
      </c>
      <c r="J651" s="31">
        <f t="shared" si="912"/>
        <v>0</v>
      </c>
      <c r="K651" s="31">
        <f t="shared" si="913"/>
        <v>0</v>
      </c>
      <c r="L651" s="31">
        <f t="shared" si="914"/>
        <v>0</v>
      </c>
      <c r="M651" s="31">
        <f t="shared" si="915"/>
        <v>10.451980000000001</v>
      </c>
      <c r="N651" s="31">
        <f t="shared" si="916"/>
        <v>0</v>
      </c>
      <c r="O651" s="31">
        <f t="shared" si="917"/>
        <v>0</v>
      </c>
      <c r="P651" s="31">
        <f t="shared" si="918"/>
        <v>0</v>
      </c>
      <c r="Q651" s="49">
        <f t="shared" si="919"/>
        <v>0</v>
      </c>
    </row>
    <row r="652" spans="4:17" s="16" customFormat="1" ht="13.2" x14ac:dyDescent="0.25">
      <c r="D652" s="307"/>
      <c r="E652" s="26"/>
      <c r="F652" s="206"/>
      <c r="G652" s="207"/>
      <c r="H652" s="207"/>
      <c r="I652" s="51"/>
      <c r="J652" s="308"/>
      <c r="K652" s="308"/>
      <c r="L652" s="308"/>
      <c r="M652" s="308"/>
      <c r="N652" s="308"/>
      <c r="O652" s="308"/>
      <c r="P652" s="308"/>
      <c r="Q652" s="309"/>
    </row>
    <row r="653" spans="4:17" s="16" customFormat="1" ht="13.2" x14ac:dyDescent="0.25">
      <c r="D653" s="814" t="s">
        <v>1542</v>
      </c>
      <c r="E653" s="815"/>
      <c r="F653" s="815"/>
      <c r="G653" s="815"/>
      <c r="H653" s="815"/>
      <c r="I653" s="175">
        <f t="shared" ref="I653:Q653" si="922">SUM(I654:I660)</f>
        <v>0</v>
      </c>
      <c r="J653" s="175">
        <f t="shared" si="922"/>
        <v>5.2282999999999991</v>
      </c>
      <c r="K653" s="175">
        <f t="shared" si="922"/>
        <v>0</v>
      </c>
      <c r="L653" s="175">
        <f t="shared" si="922"/>
        <v>11.3286</v>
      </c>
      <c r="M653" s="175">
        <f t="shared" si="922"/>
        <v>12.981679999999999</v>
      </c>
      <c r="N653" s="175">
        <f t="shared" si="922"/>
        <v>0</v>
      </c>
      <c r="O653" s="175">
        <f t="shared" si="922"/>
        <v>0</v>
      </c>
      <c r="P653" s="175">
        <f t="shared" si="922"/>
        <v>0</v>
      </c>
      <c r="Q653" s="175">
        <f t="shared" si="922"/>
        <v>0</v>
      </c>
    </row>
    <row r="654" spans="4:17" s="16" customFormat="1" ht="13.2" x14ac:dyDescent="0.25">
      <c r="D654" s="235">
        <v>1</v>
      </c>
      <c r="E654" s="237">
        <v>35</v>
      </c>
      <c r="F654" s="238">
        <v>5</v>
      </c>
      <c r="G654" s="239">
        <v>0.97</v>
      </c>
      <c r="H654" s="239">
        <f t="shared" ref="H654:H660" si="923">E654*G654</f>
        <v>33.949999999999996</v>
      </c>
      <c r="I654" s="131">
        <f t="shared" ref="I654:I660" si="924">IF($F654=4.2,H654*$B$23,0)</f>
        <v>0</v>
      </c>
      <c r="J654" s="31">
        <f t="shared" ref="J654:J660" si="925">IF($F654=5,$H654*$B$24,0)</f>
        <v>5.2282999999999991</v>
      </c>
      <c r="K654" s="31">
        <f t="shared" ref="K654:K660" si="926">IF($F654=6.3,$H654*$B$25,0)</f>
        <v>0</v>
      </c>
      <c r="L654" s="31">
        <f t="shared" ref="L654:L660" si="927">IF($F654=8,$H654*$B$26,0)</f>
        <v>0</v>
      </c>
      <c r="M654" s="31">
        <f t="shared" ref="M654:M660" si="928">IF($F654=10,$H654*$B$27,0)</f>
        <v>0</v>
      </c>
      <c r="N654" s="31">
        <f t="shared" ref="N654:N660" si="929">IF($F654=12.5,$H654*$B$28,0)</f>
        <v>0</v>
      </c>
      <c r="O654" s="31">
        <f t="shared" ref="O654:O660" si="930">IF($F654=16,$H654*$B$29,0)</f>
        <v>0</v>
      </c>
      <c r="P654" s="31">
        <f t="shared" ref="P654:P660" si="931">IF($F654=20,$H654*$B$30,0)</f>
        <v>0</v>
      </c>
      <c r="Q654" s="49">
        <f t="shared" ref="Q654:Q660" si="932">IF($F654=25,$H654*$B$31,0)</f>
        <v>0</v>
      </c>
    </row>
    <row r="655" spans="4:17" s="16" customFormat="1" ht="13.2" x14ac:dyDescent="0.25">
      <c r="D655" s="235">
        <v>21</v>
      </c>
      <c r="E655" s="237">
        <v>2</v>
      </c>
      <c r="F655" s="238">
        <v>8</v>
      </c>
      <c r="G655" s="239">
        <v>8.4499999999999993</v>
      </c>
      <c r="H655" s="239">
        <f t="shared" ref="H655:H657" si="933">E655*G655</f>
        <v>16.899999999999999</v>
      </c>
      <c r="I655" s="131">
        <f t="shared" ref="I655:I657" si="934">IF($F655=4.2,H655*$B$23,0)</f>
        <v>0</v>
      </c>
      <c r="J655" s="31">
        <f t="shared" si="925"/>
        <v>0</v>
      </c>
      <c r="K655" s="31">
        <f t="shared" si="926"/>
        <v>0</v>
      </c>
      <c r="L655" s="31">
        <f t="shared" si="927"/>
        <v>6.6754999999999995</v>
      </c>
      <c r="M655" s="31">
        <f t="shared" si="928"/>
        <v>0</v>
      </c>
      <c r="N655" s="31">
        <f t="shared" si="929"/>
        <v>0</v>
      </c>
      <c r="O655" s="31">
        <f t="shared" si="930"/>
        <v>0</v>
      </c>
      <c r="P655" s="31">
        <f t="shared" si="931"/>
        <v>0</v>
      </c>
      <c r="Q655" s="49">
        <f t="shared" si="932"/>
        <v>0</v>
      </c>
    </row>
    <row r="656" spans="4:17" s="16" customFormat="1" ht="13.2" x14ac:dyDescent="0.25">
      <c r="D656" s="235">
        <v>25</v>
      </c>
      <c r="E656" s="237">
        <v>2</v>
      </c>
      <c r="F656" s="238">
        <v>8</v>
      </c>
      <c r="G656" s="239">
        <v>2.9</v>
      </c>
      <c r="H656" s="239">
        <f t="shared" si="933"/>
        <v>5.8</v>
      </c>
      <c r="I656" s="131">
        <f t="shared" si="934"/>
        <v>0</v>
      </c>
      <c r="J656" s="31">
        <f t="shared" si="925"/>
        <v>0</v>
      </c>
      <c r="K656" s="31">
        <f t="shared" si="926"/>
        <v>0</v>
      </c>
      <c r="L656" s="31">
        <f t="shared" si="927"/>
        <v>2.2909999999999999</v>
      </c>
      <c r="M656" s="31">
        <f t="shared" si="928"/>
        <v>0</v>
      </c>
      <c r="N656" s="31">
        <f t="shared" si="929"/>
        <v>0</v>
      </c>
      <c r="O656" s="31">
        <f t="shared" si="930"/>
        <v>0</v>
      </c>
      <c r="P656" s="31">
        <f t="shared" si="931"/>
        <v>0</v>
      </c>
      <c r="Q656" s="49">
        <f t="shared" si="932"/>
        <v>0</v>
      </c>
    </row>
    <row r="657" spans="4:17" s="16" customFormat="1" ht="13.2" x14ac:dyDescent="0.25">
      <c r="D657" s="235">
        <v>26</v>
      </c>
      <c r="E657" s="237">
        <v>2</v>
      </c>
      <c r="F657" s="238">
        <v>8</v>
      </c>
      <c r="G657" s="239">
        <v>2.99</v>
      </c>
      <c r="H657" s="239">
        <f t="shared" si="933"/>
        <v>5.98</v>
      </c>
      <c r="I657" s="131">
        <f t="shared" si="934"/>
        <v>0</v>
      </c>
      <c r="J657" s="31">
        <f t="shared" si="925"/>
        <v>0</v>
      </c>
      <c r="K657" s="31">
        <f t="shared" si="926"/>
        <v>0</v>
      </c>
      <c r="L657" s="31">
        <f t="shared" si="927"/>
        <v>2.3621000000000003</v>
      </c>
      <c r="M657" s="31">
        <f t="shared" si="928"/>
        <v>0</v>
      </c>
      <c r="N657" s="31">
        <f t="shared" si="929"/>
        <v>0</v>
      </c>
      <c r="O657" s="31">
        <f t="shared" si="930"/>
        <v>0</v>
      </c>
      <c r="P657" s="31">
        <f t="shared" si="931"/>
        <v>0</v>
      </c>
      <c r="Q657" s="49">
        <f t="shared" si="932"/>
        <v>0</v>
      </c>
    </row>
    <row r="658" spans="4:17" s="16" customFormat="1" ht="13.2" x14ac:dyDescent="0.25">
      <c r="D658" s="235">
        <v>46</v>
      </c>
      <c r="E658" s="237">
        <v>1</v>
      </c>
      <c r="F658" s="238">
        <v>10</v>
      </c>
      <c r="G658" s="239">
        <v>2.1</v>
      </c>
      <c r="H658" s="239">
        <f t="shared" si="923"/>
        <v>2.1</v>
      </c>
      <c r="I658" s="131">
        <f t="shared" si="924"/>
        <v>0</v>
      </c>
      <c r="J658" s="31">
        <f t="shared" si="925"/>
        <v>0</v>
      </c>
      <c r="K658" s="31">
        <f t="shared" si="926"/>
        <v>0</v>
      </c>
      <c r="L658" s="31">
        <f t="shared" si="927"/>
        <v>0</v>
      </c>
      <c r="M658" s="31">
        <f t="shared" si="928"/>
        <v>1.2957000000000001</v>
      </c>
      <c r="N658" s="31">
        <f t="shared" si="929"/>
        <v>0</v>
      </c>
      <c r="O658" s="31">
        <f t="shared" si="930"/>
        <v>0</v>
      </c>
      <c r="P658" s="31">
        <f t="shared" si="931"/>
        <v>0</v>
      </c>
      <c r="Q658" s="49">
        <f t="shared" si="932"/>
        <v>0</v>
      </c>
    </row>
    <row r="659" spans="4:17" s="16" customFormat="1" ht="13.2" x14ac:dyDescent="0.25">
      <c r="D659" s="235">
        <v>50</v>
      </c>
      <c r="E659" s="237">
        <v>1</v>
      </c>
      <c r="F659" s="238">
        <v>10</v>
      </c>
      <c r="G659" s="239">
        <v>2.2000000000000002</v>
      </c>
      <c r="H659" s="239">
        <f t="shared" si="923"/>
        <v>2.2000000000000002</v>
      </c>
      <c r="I659" s="131">
        <f t="shared" si="924"/>
        <v>0</v>
      </c>
      <c r="J659" s="31">
        <f t="shared" si="925"/>
        <v>0</v>
      </c>
      <c r="K659" s="31">
        <f t="shared" si="926"/>
        <v>0</v>
      </c>
      <c r="L659" s="31">
        <f t="shared" si="927"/>
        <v>0</v>
      </c>
      <c r="M659" s="31">
        <f t="shared" si="928"/>
        <v>1.3574000000000002</v>
      </c>
      <c r="N659" s="31">
        <f t="shared" si="929"/>
        <v>0</v>
      </c>
      <c r="O659" s="31">
        <f t="shared" si="930"/>
        <v>0</v>
      </c>
      <c r="P659" s="31">
        <f t="shared" si="931"/>
        <v>0</v>
      </c>
      <c r="Q659" s="49">
        <f t="shared" si="932"/>
        <v>0</v>
      </c>
    </row>
    <row r="660" spans="4:17" s="16" customFormat="1" ht="13.2" x14ac:dyDescent="0.25">
      <c r="D660" s="235">
        <v>51</v>
      </c>
      <c r="E660" s="237">
        <v>2</v>
      </c>
      <c r="F660" s="238">
        <v>10</v>
      </c>
      <c r="G660" s="239">
        <v>8.3699999999999992</v>
      </c>
      <c r="H660" s="239">
        <f t="shared" si="923"/>
        <v>16.739999999999998</v>
      </c>
      <c r="I660" s="131">
        <f t="shared" si="924"/>
        <v>0</v>
      </c>
      <c r="J660" s="31">
        <f t="shared" si="925"/>
        <v>0</v>
      </c>
      <c r="K660" s="31">
        <f t="shared" si="926"/>
        <v>0</v>
      </c>
      <c r="L660" s="31">
        <f t="shared" si="927"/>
        <v>0</v>
      </c>
      <c r="M660" s="31">
        <f t="shared" si="928"/>
        <v>10.328579999999999</v>
      </c>
      <c r="N660" s="31">
        <f t="shared" si="929"/>
        <v>0</v>
      </c>
      <c r="O660" s="31">
        <f t="shared" si="930"/>
        <v>0</v>
      </c>
      <c r="P660" s="31">
        <f t="shared" si="931"/>
        <v>0</v>
      </c>
      <c r="Q660" s="49">
        <f t="shared" si="932"/>
        <v>0</v>
      </c>
    </row>
    <row r="661" spans="4:17" s="16" customFormat="1" ht="13.2" x14ac:dyDescent="0.25">
      <c r="D661" s="307"/>
      <c r="E661" s="26"/>
      <c r="F661" s="206"/>
      <c r="G661" s="207"/>
      <c r="H661" s="207"/>
      <c r="I661" s="51"/>
      <c r="J661" s="308"/>
      <c r="K661" s="308"/>
      <c r="L661" s="308"/>
      <c r="M661" s="308"/>
      <c r="N661" s="308"/>
      <c r="O661" s="308"/>
      <c r="P661" s="308"/>
      <c r="Q661" s="309"/>
    </row>
    <row r="662" spans="4:17" s="16" customFormat="1" ht="13.2" x14ac:dyDescent="0.25">
      <c r="D662" s="814" t="s">
        <v>1543</v>
      </c>
      <c r="E662" s="815"/>
      <c r="F662" s="815"/>
      <c r="G662" s="815"/>
      <c r="H662" s="815"/>
      <c r="I662" s="175">
        <f t="shared" ref="I662:Q662" si="935">SUM(I663:I670)</f>
        <v>0</v>
      </c>
      <c r="J662" s="175">
        <f t="shared" si="935"/>
        <v>5.3776799999999998</v>
      </c>
      <c r="K662" s="175">
        <f t="shared" si="935"/>
        <v>0</v>
      </c>
      <c r="L662" s="175">
        <f t="shared" si="935"/>
        <v>13.591950000000001</v>
      </c>
      <c r="M662" s="175">
        <f t="shared" si="935"/>
        <v>14.61673</v>
      </c>
      <c r="N662" s="175">
        <f t="shared" si="935"/>
        <v>0</v>
      </c>
      <c r="O662" s="175">
        <f t="shared" si="935"/>
        <v>0</v>
      </c>
      <c r="P662" s="175">
        <f t="shared" si="935"/>
        <v>0</v>
      </c>
      <c r="Q662" s="175">
        <f t="shared" si="935"/>
        <v>0</v>
      </c>
    </row>
    <row r="663" spans="4:17" s="16" customFormat="1" ht="13.2" x14ac:dyDescent="0.25">
      <c r="D663" s="235">
        <v>1</v>
      </c>
      <c r="E663" s="237">
        <v>36</v>
      </c>
      <c r="F663" s="238">
        <v>5</v>
      </c>
      <c r="G663" s="239">
        <v>0.97</v>
      </c>
      <c r="H663" s="239">
        <f t="shared" ref="H663:H670" si="936">E663*G663</f>
        <v>34.92</v>
      </c>
      <c r="I663" s="131">
        <f t="shared" ref="I663:I670" si="937">IF($F663=4.2,H663*$B$23,0)</f>
        <v>0</v>
      </c>
      <c r="J663" s="31">
        <f t="shared" ref="J663:J670" si="938">IF($F663=5,$H663*$B$24,0)</f>
        <v>5.3776799999999998</v>
      </c>
      <c r="K663" s="31">
        <f t="shared" ref="K663:K670" si="939">IF($F663=6.3,$H663*$B$25,0)</f>
        <v>0</v>
      </c>
      <c r="L663" s="31">
        <f t="shared" ref="L663:L670" si="940">IF($F663=8,$H663*$B$26,0)</f>
        <v>0</v>
      </c>
      <c r="M663" s="31">
        <f t="shared" ref="M663:M670" si="941">IF($F663=10,$H663*$B$27,0)</f>
        <v>0</v>
      </c>
      <c r="N663" s="31">
        <f t="shared" ref="N663:N670" si="942">IF($F663=12.5,$H663*$B$28,0)</f>
        <v>0</v>
      </c>
      <c r="O663" s="31">
        <f t="shared" ref="O663:O670" si="943">IF($F663=16,$H663*$B$29,0)</f>
        <v>0</v>
      </c>
      <c r="P663" s="31">
        <f t="shared" ref="P663:P670" si="944">IF($F663=20,$H663*$B$30,0)</f>
        <v>0</v>
      </c>
      <c r="Q663" s="49">
        <f t="shared" ref="Q663:Q670" si="945">IF($F663=25,$H663*$B$31,0)</f>
        <v>0</v>
      </c>
    </row>
    <row r="664" spans="4:17" s="16" customFormat="1" ht="13.2" x14ac:dyDescent="0.25">
      <c r="D664" s="235">
        <v>24</v>
      </c>
      <c r="E664" s="237">
        <v>3</v>
      </c>
      <c r="F664" s="238">
        <v>8</v>
      </c>
      <c r="G664" s="239">
        <v>8.5500000000000007</v>
      </c>
      <c r="H664" s="239">
        <f t="shared" ref="H664:H666" si="946">E664*G664</f>
        <v>25.650000000000002</v>
      </c>
      <c r="I664" s="131">
        <f t="shared" ref="I664:I666" si="947">IF($F664=4.2,H664*$B$23,0)</f>
        <v>0</v>
      </c>
      <c r="J664" s="31">
        <f t="shared" si="938"/>
        <v>0</v>
      </c>
      <c r="K664" s="31">
        <f t="shared" si="939"/>
        <v>0</v>
      </c>
      <c r="L664" s="31">
        <f t="shared" si="940"/>
        <v>10.131750000000002</v>
      </c>
      <c r="M664" s="31">
        <f t="shared" si="941"/>
        <v>0</v>
      </c>
      <c r="N664" s="31">
        <f t="shared" si="942"/>
        <v>0</v>
      </c>
      <c r="O664" s="31">
        <f t="shared" si="943"/>
        <v>0</v>
      </c>
      <c r="P664" s="31">
        <f t="shared" si="944"/>
        <v>0</v>
      </c>
      <c r="Q664" s="49">
        <f t="shared" si="945"/>
        <v>0</v>
      </c>
    </row>
    <row r="665" spans="4:17" s="16" customFormat="1" ht="13.2" x14ac:dyDescent="0.25">
      <c r="D665" s="235">
        <v>27</v>
      </c>
      <c r="E665" s="237">
        <v>1</v>
      </c>
      <c r="F665" s="238">
        <v>8</v>
      </c>
      <c r="G665" s="239">
        <v>2.31</v>
      </c>
      <c r="H665" s="239">
        <f t="shared" si="946"/>
        <v>2.31</v>
      </c>
      <c r="I665" s="131">
        <f t="shared" si="947"/>
        <v>0</v>
      </c>
      <c r="J665" s="31">
        <f t="shared" si="938"/>
        <v>0</v>
      </c>
      <c r="K665" s="31">
        <f t="shared" si="939"/>
        <v>0</v>
      </c>
      <c r="L665" s="31">
        <f t="shared" si="940"/>
        <v>0.91245000000000009</v>
      </c>
      <c r="M665" s="31">
        <f t="shared" si="941"/>
        <v>0</v>
      </c>
      <c r="N665" s="31">
        <f t="shared" si="942"/>
        <v>0</v>
      </c>
      <c r="O665" s="31">
        <f t="shared" si="943"/>
        <v>0</v>
      </c>
      <c r="P665" s="31">
        <f t="shared" si="944"/>
        <v>0</v>
      </c>
      <c r="Q665" s="49">
        <f t="shared" si="945"/>
        <v>0</v>
      </c>
    </row>
    <row r="666" spans="4:17" s="16" customFormat="1" ht="13.2" x14ac:dyDescent="0.25">
      <c r="D666" s="235">
        <v>28</v>
      </c>
      <c r="E666" s="237">
        <v>1</v>
      </c>
      <c r="F666" s="238">
        <v>8</v>
      </c>
      <c r="G666" s="239">
        <v>1.27</v>
      </c>
      <c r="H666" s="239">
        <f t="shared" si="946"/>
        <v>1.27</v>
      </c>
      <c r="I666" s="131">
        <f t="shared" si="947"/>
        <v>0</v>
      </c>
      <c r="J666" s="31">
        <f t="shared" si="938"/>
        <v>0</v>
      </c>
      <c r="K666" s="31">
        <f t="shared" si="939"/>
        <v>0</v>
      </c>
      <c r="L666" s="31">
        <f t="shared" si="940"/>
        <v>0.50165000000000004</v>
      </c>
      <c r="M666" s="31">
        <f t="shared" si="941"/>
        <v>0</v>
      </c>
      <c r="N666" s="31">
        <f t="shared" si="942"/>
        <v>0</v>
      </c>
      <c r="O666" s="31">
        <f t="shared" si="943"/>
        <v>0</v>
      </c>
      <c r="P666" s="31">
        <f t="shared" si="944"/>
        <v>0</v>
      </c>
      <c r="Q666" s="49">
        <f t="shared" si="945"/>
        <v>0</v>
      </c>
    </row>
    <row r="667" spans="4:17" s="16" customFormat="1" ht="13.2" x14ac:dyDescent="0.25">
      <c r="D667" s="235">
        <v>29</v>
      </c>
      <c r="E667" s="237">
        <v>1</v>
      </c>
      <c r="F667" s="238">
        <v>8</v>
      </c>
      <c r="G667" s="239">
        <v>5.18</v>
      </c>
      <c r="H667" s="239">
        <f t="shared" si="936"/>
        <v>5.18</v>
      </c>
      <c r="I667" s="131">
        <f t="shared" si="937"/>
        <v>0</v>
      </c>
      <c r="J667" s="31">
        <f t="shared" si="938"/>
        <v>0</v>
      </c>
      <c r="K667" s="31">
        <f t="shared" si="939"/>
        <v>0</v>
      </c>
      <c r="L667" s="31">
        <f t="shared" si="940"/>
        <v>2.0461</v>
      </c>
      <c r="M667" s="31">
        <f t="shared" si="941"/>
        <v>0</v>
      </c>
      <c r="N667" s="31">
        <f t="shared" si="942"/>
        <v>0</v>
      </c>
      <c r="O667" s="31">
        <f t="shared" si="943"/>
        <v>0</v>
      </c>
      <c r="P667" s="31">
        <f t="shared" si="944"/>
        <v>0</v>
      </c>
      <c r="Q667" s="49">
        <f t="shared" si="945"/>
        <v>0</v>
      </c>
    </row>
    <row r="668" spans="4:17" s="16" customFormat="1" ht="13.2" x14ac:dyDescent="0.25">
      <c r="D668" s="235">
        <v>46</v>
      </c>
      <c r="E668" s="237">
        <v>1</v>
      </c>
      <c r="F668" s="238">
        <v>10</v>
      </c>
      <c r="G668" s="239">
        <v>2.1</v>
      </c>
      <c r="H668" s="239">
        <f t="shared" si="936"/>
        <v>2.1</v>
      </c>
      <c r="I668" s="131">
        <f t="shared" si="937"/>
        <v>0</v>
      </c>
      <c r="J668" s="31">
        <f t="shared" si="938"/>
        <v>0</v>
      </c>
      <c r="K668" s="31">
        <f t="shared" si="939"/>
        <v>0</v>
      </c>
      <c r="L668" s="31">
        <f t="shared" si="940"/>
        <v>0</v>
      </c>
      <c r="M668" s="31">
        <f t="shared" si="941"/>
        <v>1.2957000000000001</v>
      </c>
      <c r="N668" s="31">
        <f t="shared" si="942"/>
        <v>0</v>
      </c>
      <c r="O668" s="31">
        <f t="shared" si="943"/>
        <v>0</v>
      </c>
      <c r="P668" s="31">
        <f t="shared" si="944"/>
        <v>0</v>
      </c>
      <c r="Q668" s="49">
        <f t="shared" si="945"/>
        <v>0</v>
      </c>
    </row>
    <row r="669" spans="4:17" s="16" customFormat="1" ht="13.2" x14ac:dyDescent="0.25">
      <c r="D669" s="235">
        <v>52</v>
      </c>
      <c r="E669" s="237">
        <v>1</v>
      </c>
      <c r="F669" s="238">
        <v>10</v>
      </c>
      <c r="G669" s="239">
        <v>4.45</v>
      </c>
      <c r="H669" s="239">
        <f t="shared" si="936"/>
        <v>4.45</v>
      </c>
      <c r="I669" s="131">
        <f t="shared" si="937"/>
        <v>0</v>
      </c>
      <c r="J669" s="31">
        <f t="shared" si="938"/>
        <v>0</v>
      </c>
      <c r="K669" s="31">
        <f t="shared" si="939"/>
        <v>0</v>
      </c>
      <c r="L669" s="31">
        <f t="shared" si="940"/>
        <v>0</v>
      </c>
      <c r="M669" s="31">
        <f t="shared" si="941"/>
        <v>2.7456499999999999</v>
      </c>
      <c r="N669" s="31">
        <f t="shared" si="942"/>
        <v>0</v>
      </c>
      <c r="O669" s="31">
        <f t="shared" si="943"/>
        <v>0</v>
      </c>
      <c r="P669" s="31">
        <f t="shared" si="944"/>
        <v>0</v>
      </c>
      <c r="Q669" s="49">
        <f t="shared" si="945"/>
        <v>0</v>
      </c>
    </row>
    <row r="670" spans="4:17" s="16" customFormat="1" ht="13.2" x14ac:dyDescent="0.25">
      <c r="D670" s="235">
        <v>53</v>
      </c>
      <c r="E670" s="237">
        <v>2</v>
      </c>
      <c r="F670" s="238">
        <v>10</v>
      </c>
      <c r="G670" s="239">
        <v>8.57</v>
      </c>
      <c r="H670" s="239">
        <f t="shared" si="936"/>
        <v>17.14</v>
      </c>
      <c r="I670" s="131">
        <f t="shared" si="937"/>
        <v>0</v>
      </c>
      <c r="J670" s="31">
        <f t="shared" si="938"/>
        <v>0</v>
      </c>
      <c r="K670" s="31">
        <f t="shared" si="939"/>
        <v>0</v>
      </c>
      <c r="L670" s="31">
        <f t="shared" si="940"/>
        <v>0</v>
      </c>
      <c r="M670" s="31">
        <f t="shared" si="941"/>
        <v>10.575380000000001</v>
      </c>
      <c r="N670" s="31">
        <f t="shared" si="942"/>
        <v>0</v>
      </c>
      <c r="O670" s="31">
        <f t="shared" si="943"/>
        <v>0</v>
      </c>
      <c r="P670" s="31">
        <f t="shared" si="944"/>
        <v>0</v>
      </c>
      <c r="Q670" s="49">
        <f t="shared" si="945"/>
        <v>0</v>
      </c>
    </row>
    <row r="671" spans="4:17" s="16" customFormat="1" ht="13.2" x14ac:dyDescent="0.25">
      <c r="D671" s="307"/>
      <c r="E671" s="26"/>
      <c r="F671" s="206"/>
      <c r="G671" s="207"/>
      <c r="H671" s="207"/>
      <c r="I671" s="51"/>
      <c r="J671" s="308"/>
      <c r="K671" s="308"/>
      <c r="L671" s="308"/>
      <c r="M671" s="308"/>
      <c r="N671" s="308"/>
      <c r="O671" s="308"/>
      <c r="P671" s="308"/>
      <c r="Q671" s="309"/>
    </row>
    <row r="672" spans="4:17" s="16" customFormat="1" ht="13.2" x14ac:dyDescent="0.25">
      <c r="D672" s="814" t="s">
        <v>1544</v>
      </c>
      <c r="E672" s="815"/>
      <c r="F672" s="815"/>
      <c r="G672" s="815"/>
      <c r="H672" s="815"/>
      <c r="I672" s="175">
        <f t="shared" ref="I672:Q672" si="948">SUM(I673:I675)</f>
        <v>0</v>
      </c>
      <c r="J672" s="175">
        <f t="shared" si="948"/>
        <v>5.5270599999999996</v>
      </c>
      <c r="K672" s="175">
        <f t="shared" si="948"/>
        <v>0</v>
      </c>
      <c r="L672" s="175">
        <f t="shared" si="948"/>
        <v>13.398399999999999</v>
      </c>
      <c r="M672" s="175">
        <f t="shared" si="948"/>
        <v>0</v>
      </c>
      <c r="N672" s="175">
        <f t="shared" si="948"/>
        <v>0</v>
      </c>
      <c r="O672" s="175">
        <f t="shared" si="948"/>
        <v>0</v>
      </c>
      <c r="P672" s="175">
        <f t="shared" si="948"/>
        <v>0</v>
      </c>
      <c r="Q672" s="175">
        <f t="shared" si="948"/>
        <v>0</v>
      </c>
    </row>
    <row r="673" spans="4:17" s="16" customFormat="1" ht="13.2" x14ac:dyDescent="0.25">
      <c r="D673" s="235">
        <v>1</v>
      </c>
      <c r="E673" s="237">
        <v>37</v>
      </c>
      <c r="F673" s="238">
        <v>5</v>
      </c>
      <c r="G673" s="239">
        <v>0.97</v>
      </c>
      <c r="H673" s="239">
        <f t="shared" ref="H673:H675" si="949">E673*G673</f>
        <v>35.89</v>
      </c>
      <c r="I673" s="131">
        <f t="shared" ref="I673:I675" si="950">IF($F673=4.2,H673*$B$23,0)</f>
        <v>0</v>
      </c>
      <c r="J673" s="31">
        <f t="shared" ref="J673:J675" si="951">IF($F673=5,$H673*$B$24,0)</f>
        <v>5.5270599999999996</v>
      </c>
      <c r="K673" s="31">
        <f t="shared" ref="K673:K675" si="952">IF($F673=6.3,$H673*$B$25,0)</f>
        <v>0</v>
      </c>
      <c r="L673" s="31">
        <f t="shared" ref="L673:L675" si="953">IF($F673=8,$H673*$B$26,0)</f>
        <v>0</v>
      </c>
      <c r="M673" s="31">
        <f t="shared" ref="M673:M675" si="954">IF($F673=10,$H673*$B$27,0)</f>
        <v>0</v>
      </c>
      <c r="N673" s="31">
        <f t="shared" ref="N673:N675" si="955">IF($F673=12.5,$H673*$B$28,0)</f>
        <v>0</v>
      </c>
      <c r="O673" s="31">
        <f t="shared" ref="O673:O675" si="956">IF($F673=16,$H673*$B$29,0)</f>
        <v>0</v>
      </c>
      <c r="P673" s="31">
        <f t="shared" ref="P673:P675" si="957">IF($F673=20,$H673*$B$30,0)</f>
        <v>0</v>
      </c>
      <c r="Q673" s="49">
        <f t="shared" ref="Q673:Q675" si="958">IF($F673=25,$H673*$B$31,0)</f>
        <v>0</v>
      </c>
    </row>
    <row r="674" spans="4:17" s="16" customFormat="1" ht="13.2" x14ac:dyDescent="0.25">
      <c r="D674" s="235">
        <v>30</v>
      </c>
      <c r="E674" s="237">
        <v>2</v>
      </c>
      <c r="F674" s="238">
        <v>8</v>
      </c>
      <c r="G674" s="239">
        <v>8.3699999999999992</v>
      </c>
      <c r="H674" s="239">
        <f t="shared" si="949"/>
        <v>16.739999999999998</v>
      </c>
      <c r="I674" s="131">
        <f t="shared" si="950"/>
        <v>0</v>
      </c>
      <c r="J674" s="31">
        <f t="shared" si="951"/>
        <v>0</v>
      </c>
      <c r="K674" s="31">
        <f t="shared" si="952"/>
        <v>0</v>
      </c>
      <c r="L674" s="31">
        <f t="shared" si="953"/>
        <v>6.6122999999999994</v>
      </c>
      <c r="M674" s="31">
        <f t="shared" si="954"/>
        <v>0</v>
      </c>
      <c r="N674" s="31">
        <f t="shared" si="955"/>
        <v>0</v>
      </c>
      <c r="O674" s="31">
        <f t="shared" si="956"/>
        <v>0</v>
      </c>
      <c r="P674" s="31">
        <f t="shared" si="957"/>
        <v>0</v>
      </c>
      <c r="Q674" s="49">
        <f t="shared" si="958"/>
        <v>0</v>
      </c>
    </row>
    <row r="675" spans="4:17" s="16" customFormat="1" ht="13.2" x14ac:dyDescent="0.25">
      <c r="D675" s="235">
        <v>31</v>
      </c>
      <c r="E675" s="237">
        <v>2</v>
      </c>
      <c r="F675" s="238">
        <v>8</v>
      </c>
      <c r="G675" s="239">
        <v>8.59</v>
      </c>
      <c r="H675" s="239">
        <f t="shared" si="949"/>
        <v>17.18</v>
      </c>
      <c r="I675" s="131">
        <f t="shared" si="950"/>
        <v>0</v>
      </c>
      <c r="J675" s="31">
        <f t="shared" si="951"/>
        <v>0</v>
      </c>
      <c r="K675" s="31">
        <f t="shared" si="952"/>
        <v>0</v>
      </c>
      <c r="L675" s="31">
        <f t="shared" si="953"/>
        <v>6.7861000000000002</v>
      </c>
      <c r="M675" s="31">
        <f t="shared" si="954"/>
        <v>0</v>
      </c>
      <c r="N675" s="31">
        <f t="shared" si="955"/>
        <v>0</v>
      </c>
      <c r="O675" s="31">
        <f t="shared" si="956"/>
        <v>0</v>
      </c>
      <c r="P675" s="31">
        <f t="shared" si="957"/>
        <v>0</v>
      </c>
      <c r="Q675" s="49">
        <f t="shared" si="958"/>
        <v>0</v>
      </c>
    </row>
    <row r="676" spans="4:17" s="16" customFormat="1" ht="13.2" x14ac:dyDescent="0.25">
      <c r="D676" s="307"/>
      <c r="E676" s="26"/>
      <c r="F676" s="206"/>
      <c r="G676" s="207"/>
      <c r="H676" s="207"/>
      <c r="I676" s="51"/>
      <c r="J676" s="308"/>
      <c r="K676" s="308"/>
      <c r="L676" s="308"/>
      <c r="M676" s="308"/>
      <c r="N676" s="308"/>
      <c r="O676" s="308"/>
      <c r="P676" s="308"/>
      <c r="Q676" s="309"/>
    </row>
    <row r="677" spans="4:17" s="16" customFormat="1" ht="13.2" x14ac:dyDescent="0.25">
      <c r="D677" s="814" t="s">
        <v>1545</v>
      </c>
      <c r="E677" s="815"/>
      <c r="F677" s="815"/>
      <c r="G677" s="815"/>
      <c r="H677" s="815"/>
      <c r="I677" s="175">
        <f t="shared" ref="I677:Q677" si="959">SUM(I678:I682)</f>
        <v>0</v>
      </c>
      <c r="J677" s="175">
        <f t="shared" si="959"/>
        <v>5.5270599999999996</v>
      </c>
      <c r="K677" s="175">
        <f t="shared" si="959"/>
        <v>0</v>
      </c>
      <c r="L677" s="175">
        <f t="shared" si="959"/>
        <v>13.694649999999999</v>
      </c>
      <c r="M677" s="175">
        <f t="shared" si="959"/>
        <v>0</v>
      </c>
      <c r="N677" s="175">
        <f t="shared" si="959"/>
        <v>0</v>
      </c>
      <c r="O677" s="175">
        <f t="shared" si="959"/>
        <v>0</v>
      </c>
      <c r="P677" s="175">
        <f t="shared" si="959"/>
        <v>0</v>
      </c>
      <c r="Q677" s="175">
        <f t="shared" si="959"/>
        <v>0</v>
      </c>
    </row>
    <row r="678" spans="4:17" s="16" customFormat="1" ht="13.2" x14ac:dyDescent="0.25">
      <c r="D678" s="235">
        <v>1</v>
      </c>
      <c r="E678" s="237">
        <v>37</v>
      </c>
      <c r="F678" s="238">
        <v>5</v>
      </c>
      <c r="G678" s="239">
        <v>0.97</v>
      </c>
      <c r="H678" s="239">
        <f t="shared" ref="H678:H682" si="960">E678*G678</f>
        <v>35.89</v>
      </c>
      <c r="I678" s="131">
        <f t="shared" ref="I678:I682" si="961">IF($F678=4.2,H678*$B$23,0)</f>
        <v>0</v>
      </c>
      <c r="J678" s="31">
        <f t="shared" ref="J678:J682" si="962">IF($F678=5,$H678*$B$24,0)</f>
        <v>5.5270599999999996</v>
      </c>
      <c r="K678" s="31">
        <f t="shared" ref="K678:K682" si="963">IF($F678=6.3,$H678*$B$25,0)</f>
        <v>0</v>
      </c>
      <c r="L678" s="31">
        <f t="shared" ref="L678:L682" si="964">IF($F678=8,$H678*$B$26,0)</f>
        <v>0</v>
      </c>
      <c r="M678" s="31">
        <f t="shared" ref="M678:M682" si="965">IF($F678=10,$H678*$B$27,0)</f>
        <v>0</v>
      </c>
      <c r="N678" s="31">
        <f t="shared" ref="N678:N682" si="966">IF($F678=12.5,$H678*$B$28,0)</f>
        <v>0</v>
      </c>
      <c r="O678" s="31">
        <f t="shared" ref="O678:O682" si="967">IF($F678=16,$H678*$B$29,0)</f>
        <v>0</v>
      </c>
      <c r="P678" s="31">
        <f t="shared" ref="P678:P682" si="968">IF($F678=20,$H678*$B$30,0)</f>
        <v>0</v>
      </c>
      <c r="Q678" s="49">
        <f t="shared" ref="Q678:Q682" si="969">IF($F678=25,$H678*$B$31,0)</f>
        <v>0</v>
      </c>
    </row>
    <row r="679" spans="4:17" s="16" customFormat="1" ht="13.2" x14ac:dyDescent="0.25">
      <c r="D679" s="235">
        <v>32</v>
      </c>
      <c r="E679" s="237">
        <v>2</v>
      </c>
      <c r="F679" s="238">
        <v>8</v>
      </c>
      <c r="G679" s="239">
        <v>8.27</v>
      </c>
      <c r="H679" s="239">
        <f t="shared" si="960"/>
        <v>16.54</v>
      </c>
      <c r="I679" s="131">
        <f t="shared" si="961"/>
        <v>0</v>
      </c>
      <c r="J679" s="31">
        <f t="shared" si="962"/>
        <v>0</v>
      </c>
      <c r="K679" s="31">
        <f t="shared" si="963"/>
        <v>0</v>
      </c>
      <c r="L679" s="31">
        <f t="shared" si="964"/>
        <v>6.5332999999999997</v>
      </c>
      <c r="M679" s="31">
        <f t="shared" si="965"/>
        <v>0</v>
      </c>
      <c r="N679" s="31">
        <f t="shared" si="966"/>
        <v>0</v>
      </c>
      <c r="O679" s="31">
        <f t="shared" si="967"/>
        <v>0</v>
      </c>
      <c r="P679" s="31">
        <f t="shared" si="968"/>
        <v>0</v>
      </c>
      <c r="Q679" s="49">
        <f t="shared" si="969"/>
        <v>0</v>
      </c>
    </row>
    <row r="680" spans="4:17" s="16" customFormat="1" ht="13.2" x14ac:dyDescent="0.25">
      <c r="D680" s="235">
        <v>33</v>
      </c>
      <c r="E680" s="237">
        <v>1</v>
      </c>
      <c r="F680" s="238">
        <v>8</v>
      </c>
      <c r="G680" s="239">
        <v>1.1499999999999999</v>
      </c>
      <c r="H680" s="239">
        <f t="shared" si="960"/>
        <v>1.1499999999999999</v>
      </c>
      <c r="I680" s="131">
        <f t="shared" si="961"/>
        <v>0</v>
      </c>
      <c r="J680" s="31">
        <f t="shared" si="962"/>
        <v>0</v>
      </c>
      <c r="K680" s="31">
        <f t="shared" si="963"/>
        <v>0</v>
      </c>
      <c r="L680" s="31">
        <f t="shared" si="964"/>
        <v>0.45424999999999999</v>
      </c>
      <c r="M680" s="31">
        <f t="shared" si="965"/>
        <v>0</v>
      </c>
      <c r="N680" s="31">
        <f t="shared" si="966"/>
        <v>0</v>
      </c>
      <c r="O680" s="31">
        <f t="shared" si="967"/>
        <v>0</v>
      </c>
      <c r="P680" s="31">
        <f t="shared" si="968"/>
        <v>0</v>
      </c>
      <c r="Q680" s="49">
        <f t="shared" si="969"/>
        <v>0</v>
      </c>
    </row>
    <row r="681" spans="4:17" s="16" customFormat="1" ht="13.2" x14ac:dyDescent="0.25">
      <c r="D681" s="235">
        <v>34</v>
      </c>
      <c r="E681" s="237">
        <v>2</v>
      </c>
      <c r="F681" s="238">
        <v>8</v>
      </c>
      <c r="G681" s="239">
        <v>8.49</v>
      </c>
      <c r="H681" s="239">
        <f t="shared" si="960"/>
        <v>16.98</v>
      </c>
      <c r="I681" s="131">
        <f t="shared" si="961"/>
        <v>0</v>
      </c>
      <c r="J681" s="31">
        <f t="shared" si="962"/>
        <v>0</v>
      </c>
      <c r="K681" s="31">
        <f t="shared" si="963"/>
        <v>0</v>
      </c>
      <c r="L681" s="31">
        <f t="shared" si="964"/>
        <v>6.7071000000000005</v>
      </c>
      <c r="M681" s="31">
        <f t="shared" si="965"/>
        <v>0</v>
      </c>
      <c r="N681" s="31">
        <f t="shared" si="966"/>
        <v>0</v>
      </c>
      <c r="O681" s="31">
        <f t="shared" si="967"/>
        <v>0</v>
      </c>
      <c r="P681" s="31">
        <f t="shared" si="968"/>
        <v>0</v>
      </c>
      <c r="Q681" s="49">
        <f t="shared" si="969"/>
        <v>0</v>
      </c>
    </row>
    <row r="682" spans="4:17" s="16" customFormat="1" ht="13.2" x14ac:dyDescent="0.25">
      <c r="D682" s="235"/>
      <c r="E682" s="237"/>
      <c r="F682" s="238"/>
      <c r="G682" s="239"/>
      <c r="H682" s="239">
        <f t="shared" si="960"/>
        <v>0</v>
      </c>
      <c r="I682" s="131">
        <f t="shared" si="961"/>
        <v>0</v>
      </c>
      <c r="J682" s="31">
        <f t="shared" si="962"/>
        <v>0</v>
      </c>
      <c r="K682" s="31">
        <f t="shared" si="963"/>
        <v>0</v>
      </c>
      <c r="L682" s="31">
        <f t="shared" si="964"/>
        <v>0</v>
      </c>
      <c r="M682" s="31">
        <f t="shared" si="965"/>
        <v>0</v>
      </c>
      <c r="N682" s="31">
        <f t="shared" si="966"/>
        <v>0</v>
      </c>
      <c r="O682" s="31">
        <f t="shared" si="967"/>
        <v>0</v>
      </c>
      <c r="P682" s="31">
        <f t="shared" si="968"/>
        <v>0</v>
      </c>
      <c r="Q682" s="49">
        <f t="shared" si="969"/>
        <v>0</v>
      </c>
    </row>
    <row r="683" spans="4:17" s="16" customFormat="1" ht="13.2" x14ac:dyDescent="0.25">
      <c r="D683" s="307"/>
      <c r="E683" s="26"/>
      <c r="F683" s="206"/>
      <c r="G683" s="207"/>
      <c r="H683" s="207"/>
      <c r="I683" s="51"/>
      <c r="J683" s="308"/>
      <c r="K683" s="308"/>
      <c r="L683" s="308"/>
      <c r="M683" s="308"/>
      <c r="N683" s="308"/>
      <c r="O683" s="308"/>
      <c r="P683" s="308"/>
      <c r="Q683" s="309"/>
    </row>
    <row r="684" spans="4:17" s="16" customFormat="1" ht="13.2" x14ac:dyDescent="0.25">
      <c r="D684" s="814" t="s">
        <v>1546</v>
      </c>
      <c r="E684" s="815"/>
      <c r="F684" s="815"/>
      <c r="G684" s="815"/>
      <c r="H684" s="815"/>
      <c r="I684" s="175">
        <f t="shared" ref="I684:Q684" si="970">SUM(I685:I688)</f>
        <v>0</v>
      </c>
      <c r="J684" s="175">
        <f t="shared" si="970"/>
        <v>5.5270599999999996</v>
      </c>
      <c r="K684" s="175">
        <f t="shared" si="970"/>
        <v>0</v>
      </c>
      <c r="L684" s="175">
        <f t="shared" si="970"/>
        <v>13.852649999999999</v>
      </c>
      <c r="M684" s="175">
        <f t="shared" si="970"/>
        <v>0</v>
      </c>
      <c r="N684" s="175">
        <f t="shared" si="970"/>
        <v>0</v>
      </c>
      <c r="O684" s="175">
        <f t="shared" si="970"/>
        <v>0</v>
      </c>
      <c r="P684" s="175">
        <f t="shared" si="970"/>
        <v>0</v>
      </c>
      <c r="Q684" s="175">
        <f t="shared" si="970"/>
        <v>0</v>
      </c>
    </row>
    <row r="685" spans="4:17" s="16" customFormat="1" ht="13.2" x14ac:dyDescent="0.25">
      <c r="D685" s="235">
        <v>1</v>
      </c>
      <c r="E685" s="237">
        <v>37</v>
      </c>
      <c r="F685" s="238">
        <v>5</v>
      </c>
      <c r="G685" s="239">
        <v>0.97</v>
      </c>
      <c r="H685" s="239">
        <f t="shared" ref="H685:H688" si="971">E685*G685</f>
        <v>35.89</v>
      </c>
      <c r="I685" s="131">
        <f t="shared" ref="I685:I688" si="972">IF($F685=4.2,H685*$B$23,0)</f>
        <v>0</v>
      </c>
      <c r="J685" s="31">
        <f t="shared" ref="J685:J688" si="973">IF($F685=5,$H685*$B$24,0)</f>
        <v>5.5270599999999996</v>
      </c>
      <c r="K685" s="31">
        <f t="shared" ref="K685:K688" si="974">IF($F685=6.3,$H685*$B$25,0)</f>
        <v>0</v>
      </c>
      <c r="L685" s="31">
        <f t="shared" ref="L685:L688" si="975">IF($F685=8,$H685*$B$26,0)</f>
        <v>0</v>
      </c>
      <c r="M685" s="31">
        <f t="shared" ref="M685:M688" si="976">IF($F685=10,$H685*$B$27,0)</f>
        <v>0</v>
      </c>
      <c r="N685" s="31">
        <f t="shared" ref="N685:N688" si="977">IF($F685=12.5,$H685*$B$28,0)</f>
        <v>0</v>
      </c>
      <c r="O685" s="31">
        <f t="shared" ref="O685:O688" si="978">IF($F685=16,$H685*$B$29,0)</f>
        <v>0</v>
      </c>
      <c r="P685" s="31">
        <f t="shared" ref="P685:P688" si="979">IF($F685=20,$H685*$B$30,0)</f>
        <v>0</v>
      </c>
      <c r="Q685" s="49">
        <f t="shared" ref="Q685:Q688" si="980">IF($F685=25,$H685*$B$31,0)</f>
        <v>0</v>
      </c>
    </row>
    <row r="686" spans="4:17" s="16" customFormat="1" ht="13.2" x14ac:dyDescent="0.25">
      <c r="D686" s="235">
        <v>30</v>
      </c>
      <c r="E686" s="237">
        <v>2</v>
      </c>
      <c r="F686" s="238">
        <v>8</v>
      </c>
      <c r="G686" s="239">
        <v>8.3699999999999992</v>
      </c>
      <c r="H686" s="239">
        <f t="shared" si="971"/>
        <v>16.739999999999998</v>
      </c>
      <c r="I686" s="131">
        <f t="shared" si="972"/>
        <v>0</v>
      </c>
      <c r="J686" s="31">
        <f t="shared" si="973"/>
        <v>0</v>
      </c>
      <c r="K686" s="31">
        <f t="shared" si="974"/>
        <v>0</v>
      </c>
      <c r="L686" s="31">
        <f t="shared" si="975"/>
        <v>6.6122999999999994</v>
      </c>
      <c r="M686" s="31">
        <f t="shared" si="976"/>
        <v>0</v>
      </c>
      <c r="N686" s="31">
        <f t="shared" si="977"/>
        <v>0</v>
      </c>
      <c r="O686" s="31">
        <f t="shared" si="978"/>
        <v>0</v>
      </c>
      <c r="P686" s="31">
        <f t="shared" si="979"/>
        <v>0</v>
      </c>
      <c r="Q686" s="49">
        <f t="shared" si="980"/>
        <v>0</v>
      </c>
    </row>
    <row r="687" spans="4:17" s="16" customFormat="1" ht="13.2" x14ac:dyDescent="0.25">
      <c r="D687" s="235">
        <v>31</v>
      </c>
      <c r="E687" s="237">
        <v>2</v>
      </c>
      <c r="F687" s="238">
        <v>8</v>
      </c>
      <c r="G687" s="239">
        <v>8.59</v>
      </c>
      <c r="H687" s="239">
        <f t="shared" si="971"/>
        <v>17.18</v>
      </c>
      <c r="I687" s="131">
        <f t="shared" si="972"/>
        <v>0</v>
      </c>
      <c r="J687" s="31">
        <f t="shared" si="973"/>
        <v>0</v>
      </c>
      <c r="K687" s="31">
        <f t="shared" si="974"/>
        <v>0</v>
      </c>
      <c r="L687" s="31">
        <f t="shared" si="975"/>
        <v>6.7861000000000002</v>
      </c>
      <c r="M687" s="31">
        <f t="shared" si="976"/>
        <v>0</v>
      </c>
      <c r="N687" s="31">
        <f t="shared" si="977"/>
        <v>0</v>
      </c>
      <c r="O687" s="31">
        <f t="shared" si="978"/>
        <v>0</v>
      </c>
      <c r="P687" s="31">
        <f t="shared" si="979"/>
        <v>0</v>
      </c>
      <c r="Q687" s="49">
        <f t="shared" si="980"/>
        <v>0</v>
      </c>
    </row>
    <row r="688" spans="4:17" s="16" customFormat="1" ht="13.2" x14ac:dyDescent="0.25">
      <c r="D688" s="235">
        <v>33</v>
      </c>
      <c r="E688" s="237">
        <v>1</v>
      </c>
      <c r="F688" s="238">
        <v>8</v>
      </c>
      <c r="G688" s="239">
        <v>1.1499999999999999</v>
      </c>
      <c r="H688" s="239">
        <f t="shared" si="971"/>
        <v>1.1499999999999999</v>
      </c>
      <c r="I688" s="131">
        <f t="shared" si="972"/>
        <v>0</v>
      </c>
      <c r="J688" s="31">
        <f t="shared" si="973"/>
        <v>0</v>
      </c>
      <c r="K688" s="31">
        <f t="shared" si="974"/>
        <v>0</v>
      </c>
      <c r="L688" s="31">
        <f t="shared" si="975"/>
        <v>0.45424999999999999</v>
      </c>
      <c r="M688" s="31">
        <f t="shared" si="976"/>
        <v>0</v>
      </c>
      <c r="N688" s="31">
        <f t="shared" si="977"/>
        <v>0</v>
      </c>
      <c r="O688" s="31">
        <f t="shared" si="978"/>
        <v>0</v>
      </c>
      <c r="P688" s="31">
        <f t="shared" si="979"/>
        <v>0</v>
      </c>
      <c r="Q688" s="49">
        <f t="shared" si="980"/>
        <v>0</v>
      </c>
    </row>
    <row r="689" spans="4:17" s="16" customFormat="1" ht="13.2" x14ac:dyDescent="0.25">
      <c r="D689" s="307"/>
      <c r="E689" s="26"/>
      <c r="F689" s="206"/>
      <c r="G689" s="207"/>
      <c r="H689" s="207"/>
      <c r="I689" s="51"/>
      <c r="J689" s="308"/>
      <c r="K689" s="308"/>
      <c r="L689" s="308"/>
      <c r="M689" s="308"/>
      <c r="N689" s="308"/>
      <c r="O689" s="308"/>
      <c r="P689" s="308"/>
      <c r="Q689" s="309"/>
    </row>
    <row r="690" spans="4:17" s="16" customFormat="1" ht="13.2" x14ac:dyDescent="0.25">
      <c r="D690" s="814" t="s">
        <v>1547</v>
      </c>
      <c r="E690" s="815"/>
      <c r="F690" s="815"/>
      <c r="G690" s="815"/>
      <c r="H690" s="815"/>
      <c r="I690" s="175">
        <f t="shared" ref="I690:Q690" si="981">SUM(I691:I693)</f>
        <v>0</v>
      </c>
      <c r="J690" s="175">
        <f t="shared" si="981"/>
        <v>5.5270599999999996</v>
      </c>
      <c r="K690" s="175">
        <f t="shared" si="981"/>
        <v>0</v>
      </c>
      <c r="L690" s="175">
        <f t="shared" si="981"/>
        <v>13.287799999999999</v>
      </c>
      <c r="M690" s="175">
        <f t="shared" si="981"/>
        <v>0</v>
      </c>
      <c r="N690" s="175">
        <f t="shared" si="981"/>
        <v>0</v>
      </c>
      <c r="O690" s="175">
        <f t="shared" si="981"/>
        <v>0</v>
      </c>
      <c r="P690" s="175">
        <f t="shared" si="981"/>
        <v>0</v>
      </c>
      <c r="Q690" s="175">
        <f t="shared" si="981"/>
        <v>0</v>
      </c>
    </row>
    <row r="691" spans="4:17" s="16" customFormat="1" ht="13.2" x14ac:dyDescent="0.25">
      <c r="D691" s="235">
        <v>1</v>
      </c>
      <c r="E691" s="237">
        <v>37</v>
      </c>
      <c r="F691" s="238">
        <v>5</v>
      </c>
      <c r="G691" s="239">
        <v>0.97</v>
      </c>
      <c r="H691" s="239">
        <f t="shared" ref="H691:H693" si="982">E691*G691</f>
        <v>35.89</v>
      </c>
      <c r="I691" s="131">
        <f t="shared" ref="I691:I693" si="983">IF($F691=4.2,H691*$B$23,0)</f>
        <v>0</v>
      </c>
      <c r="J691" s="31">
        <f t="shared" ref="J691:J693" si="984">IF($F691=5,$H691*$B$24,0)</f>
        <v>5.5270599999999996</v>
      </c>
      <c r="K691" s="31">
        <f t="shared" ref="K691:K693" si="985">IF($F691=6.3,$H691*$B$25,0)</f>
        <v>0</v>
      </c>
      <c r="L691" s="31">
        <f t="shared" ref="L691:L693" si="986">IF($F691=8,$H691*$B$26,0)</f>
        <v>0</v>
      </c>
      <c r="M691" s="31">
        <f t="shared" ref="M691:M693" si="987">IF($F691=10,$H691*$B$27,0)</f>
        <v>0</v>
      </c>
      <c r="N691" s="31">
        <f t="shared" ref="N691:N693" si="988">IF($F691=12.5,$H691*$B$28,0)</f>
        <v>0</v>
      </c>
      <c r="O691" s="31">
        <f t="shared" ref="O691:O693" si="989">IF($F691=16,$H691*$B$29,0)</f>
        <v>0</v>
      </c>
      <c r="P691" s="31">
        <f t="shared" ref="P691:P693" si="990">IF($F691=20,$H691*$B$30,0)</f>
        <v>0</v>
      </c>
      <c r="Q691" s="49">
        <f t="shared" ref="Q691:Q693" si="991">IF($F691=25,$H691*$B$31,0)</f>
        <v>0</v>
      </c>
    </row>
    <row r="692" spans="4:17" s="16" customFormat="1" ht="13.2" x14ac:dyDescent="0.25">
      <c r="D692" s="235">
        <v>21</v>
      </c>
      <c r="E692" s="237">
        <v>2</v>
      </c>
      <c r="F692" s="238">
        <v>8</v>
      </c>
      <c r="G692" s="239">
        <v>8.4499999999999993</v>
      </c>
      <c r="H692" s="239">
        <f t="shared" si="982"/>
        <v>16.899999999999999</v>
      </c>
      <c r="I692" s="131">
        <f t="shared" si="983"/>
        <v>0</v>
      </c>
      <c r="J692" s="31">
        <f t="shared" si="984"/>
        <v>0</v>
      </c>
      <c r="K692" s="31">
        <f t="shared" si="985"/>
        <v>0</v>
      </c>
      <c r="L692" s="31">
        <f t="shared" si="986"/>
        <v>6.6754999999999995</v>
      </c>
      <c r="M692" s="31">
        <f t="shared" si="987"/>
        <v>0</v>
      </c>
      <c r="N692" s="31">
        <f t="shared" si="988"/>
        <v>0</v>
      </c>
      <c r="O692" s="31">
        <f t="shared" si="989"/>
        <v>0</v>
      </c>
      <c r="P692" s="31">
        <f t="shared" si="990"/>
        <v>0</v>
      </c>
      <c r="Q692" s="49">
        <f t="shared" si="991"/>
        <v>0</v>
      </c>
    </row>
    <row r="693" spans="4:17" s="16" customFormat="1" ht="13.2" x14ac:dyDescent="0.25">
      <c r="D693" s="235">
        <v>30</v>
      </c>
      <c r="E693" s="237">
        <v>2</v>
      </c>
      <c r="F693" s="238">
        <v>8</v>
      </c>
      <c r="G693" s="239">
        <v>8.3699999999999992</v>
      </c>
      <c r="H693" s="239">
        <f t="shared" si="982"/>
        <v>16.739999999999998</v>
      </c>
      <c r="I693" s="131">
        <f t="shared" si="983"/>
        <v>0</v>
      </c>
      <c r="J693" s="31">
        <f t="shared" si="984"/>
        <v>0</v>
      </c>
      <c r="K693" s="31">
        <f t="shared" si="985"/>
        <v>0</v>
      </c>
      <c r="L693" s="31">
        <f t="shared" si="986"/>
        <v>6.6122999999999994</v>
      </c>
      <c r="M693" s="31">
        <f t="shared" si="987"/>
        <v>0</v>
      </c>
      <c r="N693" s="31">
        <f t="shared" si="988"/>
        <v>0</v>
      </c>
      <c r="O693" s="31">
        <f t="shared" si="989"/>
        <v>0</v>
      </c>
      <c r="P693" s="31">
        <f t="shared" si="990"/>
        <v>0</v>
      </c>
      <c r="Q693" s="49">
        <f t="shared" si="991"/>
        <v>0</v>
      </c>
    </row>
    <row r="694" spans="4:17" s="16" customFormat="1" ht="13.2" x14ac:dyDescent="0.25">
      <c r="D694" s="307"/>
      <c r="E694" s="26"/>
      <c r="F694" s="206"/>
      <c r="G694" s="207"/>
      <c r="H694" s="207"/>
      <c r="I694" s="51"/>
      <c r="J694" s="308"/>
      <c r="K694" s="308"/>
      <c r="L694" s="308"/>
      <c r="M694" s="308"/>
      <c r="N694" s="308"/>
      <c r="O694" s="308"/>
      <c r="P694" s="308"/>
      <c r="Q694" s="309"/>
    </row>
    <row r="695" spans="4:17" s="16" customFormat="1" ht="13.2" x14ac:dyDescent="0.25">
      <c r="D695" s="814" t="s">
        <v>1548</v>
      </c>
      <c r="E695" s="815"/>
      <c r="F695" s="815"/>
      <c r="G695" s="815"/>
      <c r="H695" s="815"/>
      <c r="I695" s="175">
        <f t="shared" ref="I695:Q695" si="992">SUM(I696:I703)</f>
        <v>0</v>
      </c>
      <c r="J695" s="175">
        <f t="shared" si="992"/>
        <v>3.5851200000000003</v>
      </c>
      <c r="K695" s="175">
        <f t="shared" si="992"/>
        <v>0</v>
      </c>
      <c r="L695" s="175">
        <f t="shared" si="992"/>
        <v>1.9828999999999999</v>
      </c>
      <c r="M695" s="175">
        <f t="shared" si="992"/>
        <v>10.155819999999999</v>
      </c>
      <c r="N695" s="175">
        <f t="shared" si="992"/>
        <v>6.7795199999999998</v>
      </c>
      <c r="O695" s="175">
        <f t="shared" si="992"/>
        <v>0</v>
      </c>
      <c r="P695" s="175">
        <f t="shared" si="992"/>
        <v>0</v>
      </c>
      <c r="Q695" s="175">
        <f t="shared" si="992"/>
        <v>0</v>
      </c>
    </row>
    <row r="696" spans="4:17" s="16" customFormat="1" ht="13.2" x14ac:dyDescent="0.25">
      <c r="D696" s="235">
        <v>1</v>
      </c>
      <c r="E696" s="237">
        <v>24</v>
      </c>
      <c r="F696" s="238">
        <v>5</v>
      </c>
      <c r="G696" s="239">
        <v>0.97</v>
      </c>
      <c r="H696" s="239">
        <f t="shared" ref="H696:H703" si="993">E696*G696</f>
        <v>23.28</v>
      </c>
      <c r="I696" s="131">
        <f t="shared" ref="I696:I703" si="994">IF($F696=4.2,H696*$B$23,0)</f>
        <v>0</v>
      </c>
      <c r="J696" s="31">
        <f t="shared" ref="J696:J703" si="995">IF($F696=5,$H696*$B$24,0)</f>
        <v>3.5851200000000003</v>
      </c>
      <c r="K696" s="31">
        <f t="shared" ref="K696:K703" si="996">IF($F696=6.3,$H696*$B$25,0)</f>
        <v>0</v>
      </c>
      <c r="L696" s="31">
        <f t="shared" ref="L696:L703" si="997">IF($F696=8,$H696*$B$26,0)</f>
        <v>0</v>
      </c>
      <c r="M696" s="31">
        <f t="shared" ref="M696:M703" si="998">IF($F696=10,$H696*$B$27,0)</f>
        <v>0</v>
      </c>
      <c r="N696" s="31">
        <f t="shared" ref="N696:N703" si="999">IF($F696=12.5,$H696*$B$28,0)</f>
        <v>0</v>
      </c>
      <c r="O696" s="31">
        <f t="shared" ref="O696:O703" si="1000">IF($F696=16,$H696*$B$29,0)</f>
        <v>0</v>
      </c>
      <c r="P696" s="31">
        <f t="shared" ref="P696:P703" si="1001">IF($F696=20,$H696*$B$30,0)</f>
        <v>0</v>
      </c>
      <c r="Q696" s="49">
        <f t="shared" ref="Q696:Q703" si="1002">IF($F696=25,$H696*$B$31,0)</f>
        <v>0</v>
      </c>
    </row>
    <row r="697" spans="4:17" s="16" customFormat="1" ht="13.2" x14ac:dyDescent="0.25">
      <c r="D697" s="235">
        <v>35</v>
      </c>
      <c r="E697" s="237">
        <v>2</v>
      </c>
      <c r="F697" s="238">
        <v>8</v>
      </c>
      <c r="G697" s="239">
        <v>2.5099999999999998</v>
      </c>
      <c r="H697" s="239">
        <f t="shared" ref="H697:H699" si="1003">E697*G697</f>
        <v>5.0199999999999996</v>
      </c>
      <c r="I697" s="131">
        <f t="shared" ref="I697:I699" si="1004">IF($F697=4.2,H697*$B$23,0)</f>
        <v>0</v>
      </c>
      <c r="J697" s="31">
        <f t="shared" si="995"/>
        <v>0</v>
      </c>
      <c r="K697" s="31">
        <f t="shared" si="996"/>
        <v>0</v>
      </c>
      <c r="L697" s="31">
        <f t="shared" si="997"/>
        <v>1.9828999999999999</v>
      </c>
      <c r="M697" s="31">
        <f t="shared" si="998"/>
        <v>0</v>
      </c>
      <c r="N697" s="31">
        <f t="shared" si="999"/>
        <v>0</v>
      </c>
      <c r="O697" s="31">
        <f t="shared" si="1000"/>
        <v>0</v>
      </c>
      <c r="P697" s="31">
        <f t="shared" si="1001"/>
        <v>0</v>
      </c>
      <c r="Q697" s="49">
        <f t="shared" si="1002"/>
        <v>0</v>
      </c>
    </row>
    <row r="698" spans="4:17" s="16" customFormat="1" ht="13.2" x14ac:dyDescent="0.25">
      <c r="D698" s="235">
        <v>48</v>
      </c>
      <c r="E698" s="237">
        <v>2</v>
      </c>
      <c r="F698" s="238">
        <v>10</v>
      </c>
      <c r="G698" s="239">
        <v>2.25</v>
      </c>
      <c r="H698" s="239">
        <f t="shared" si="1003"/>
        <v>4.5</v>
      </c>
      <c r="I698" s="131">
        <f t="shared" si="1004"/>
        <v>0</v>
      </c>
      <c r="J698" s="31">
        <f t="shared" si="995"/>
        <v>0</v>
      </c>
      <c r="K698" s="31">
        <f t="shared" si="996"/>
        <v>0</v>
      </c>
      <c r="L698" s="31">
        <f t="shared" si="997"/>
        <v>0</v>
      </c>
      <c r="M698" s="31">
        <f t="shared" si="998"/>
        <v>2.7765</v>
      </c>
      <c r="N698" s="31">
        <f t="shared" si="999"/>
        <v>0</v>
      </c>
      <c r="O698" s="31">
        <f t="shared" si="1000"/>
        <v>0</v>
      </c>
      <c r="P698" s="31">
        <f t="shared" si="1001"/>
        <v>0</v>
      </c>
      <c r="Q698" s="49">
        <f t="shared" si="1002"/>
        <v>0</v>
      </c>
    </row>
    <row r="699" spans="4:17" s="16" customFormat="1" ht="13.2" x14ac:dyDescent="0.25">
      <c r="D699" s="235">
        <v>54</v>
      </c>
      <c r="E699" s="237">
        <v>1</v>
      </c>
      <c r="F699" s="238">
        <v>10</v>
      </c>
      <c r="G699" s="239">
        <v>0.74</v>
      </c>
      <c r="H699" s="239">
        <f t="shared" si="1003"/>
        <v>0.74</v>
      </c>
      <c r="I699" s="131">
        <f t="shared" si="1004"/>
        <v>0</v>
      </c>
      <c r="J699" s="31">
        <f t="shared" si="995"/>
        <v>0</v>
      </c>
      <c r="K699" s="31">
        <f t="shared" si="996"/>
        <v>0</v>
      </c>
      <c r="L699" s="31">
        <f t="shared" si="997"/>
        <v>0</v>
      </c>
      <c r="M699" s="31">
        <f t="shared" si="998"/>
        <v>0.45657999999999999</v>
      </c>
      <c r="N699" s="31">
        <f t="shared" si="999"/>
        <v>0</v>
      </c>
      <c r="O699" s="31">
        <f t="shared" si="1000"/>
        <v>0</v>
      </c>
      <c r="P699" s="31">
        <f t="shared" si="1001"/>
        <v>0</v>
      </c>
      <c r="Q699" s="49">
        <f t="shared" si="1002"/>
        <v>0</v>
      </c>
    </row>
    <row r="700" spans="4:17" s="16" customFormat="1" ht="13.2" x14ac:dyDescent="0.25">
      <c r="D700" s="235">
        <v>55</v>
      </c>
      <c r="E700" s="237">
        <v>1</v>
      </c>
      <c r="F700" s="238">
        <v>10</v>
      </c>
      <c r="G700" s="239">
        <v>0.78</v>
      </c>
      <c r="H700" s="239">
        <f t="shared" si="993"/>
        <v>0.78</v>
      </c>
      <c r="I700" s="131">
        <f t="shared" si="994"/>
        <v>0</v>
      </c>
      <c r="J700" s="31">
        <f t="shared" si="995"/>
        <v>0</v>
      </c>
      <c r="K700" s="31">
        <f t="shared" si="996"/>
        <v>0</v>
      </c>
      <c r="L700" s="31">
        <f t="shared" si="997"/>
        <v>0</v>
      </c>
      <c r="M700" s="31">
        <f t="shared" si="998"/>
        <v>0.48126000000000002</v>
      </c>
      <c r="N700" s="31">
        <f t="shared" si="999"/>
        <v>0</v>
      </c>
      <c r="O700" s="31">
        <f t="shared" si="1000"/>
        <v>0</v>
      </c>
      <c r="P700" s="31">
        <f t="shared" si="1001"/>
        <v>0</v>
      </c>
      <c r="Q700" s="49">
        <f t="shared" si="1002"/>
        <v>0</v>
      </c>
    </row>
    <row r="701" spans="4:17" s="16" customFormat="1" ht="13.2" x14ac:dyDescent="0.25">
      <c r="D701" s="235">
        <v>56</v>
      </c>
      <c r="E701" s="237">
        <v>2</v>
      </c>
      <c r="F701" s="238">
        <v>10</v>
      </c>
      <c r="G701" s="239">
        <v>5.22</v>
      </c>
      <c r="H701" s="239">
        <f t="shared" si="993"/>
        <v>10.44</v>
      </c>
      <c r="I701" s="131">
        <f t="shared" si="994"/>
        <v>0</v>
      </c>
      <c r="J701" s="31">
        <f t="shared" si="995"/>
        <v>0</v>
      </c>
      <c r="K701" s="31">
        <f t="shared" si="996"/>
        <v>0</v>
      </c>
      <c r="L701" s="31">
        <f t="shared" si="997"/>
        <v>0</v>
      </c>
      <c r="M701" s="31">
        <f t="shared" si="998"/>
        <v>6.4414799999999994</v>
      </c>
      <c r="N701" s="31">
        <f t="shared" si="999"/>
        <v>0</v>
      </c>
      <c r="O701" s="31">
        <f t="shared" si="1000"/>
        <v>0</v>
      </c>
      <c r="P701" s="31">
        <f t="shared" si="1001"/>
        <v>0</v>
      </c>
      <c r="Q701" s="49">
        <f t="shared" si="1002"/>
        <v>0</v>
      </c>
    </row>
    <row r="702" spans="4:17" s="16" customFormat="1" ht="13.2" x14ac:dyDescent="0.25">
      <c r="D702" s="235">
        <v>57</v>
      </c>
      <c r="E702" s="237">
        <v>2</v>
      </c>
      <c r="F702" s="238">
        <v>12.5</v>
      </c>
      <c r="G702" s="239">
        <v>2.56</v>
      </c>
      <c r="H702" s="239">
        <f t="shared" si="993"/>
        <v>5.12</v>
      </c>
      <c r="I702" s="131">
        <f t="shared" si="994"/>
        <v>0</v>
      </c>
      <c r="J702" s="31">
        <f t="shared" si="995"/>
        <v>0</v>
      </c>
      <c r="K702" s="31">
        <f t="shared" si="996"/>
        <v>0</v>
      </c>
      <c r="L702" s="31">
        <f t="shared" si="997"/>
        <v>0</v>
      </c>
      <c r="M702" s="31">
        <f t="shared" si="998"/>
        <v>0</v>
      </c>
      <c r="N702" s="31">
        <f t="shared" si="999"/>
        <v>4.9305599999999998</v>
      </c>
      <c r="O702" s="31">
        <f t="shared" si="1000"/>
        <v>0</v>
      </c>
      <c r="P702" s="31">
        <f t="shared" si="1001"/>
        <v>0</v>
      </c>
      <c r="Q702" s="49">
        <f t="shared" si="1002"/>
        <v>0</v>
      </c>
    </row>
    <row r="703" spans="4:17" s="16" customFormat="1" ht="13.2" x14ac:dyDescent="0.25">
      <c r="D703" s="235">
        <v>58</v>
      </c>
      <c r="E703" s="237">
        <v>2</v>
      </c>
      <c r="F703" s="238">
        <v>12.5</v>
      </c>
      <c r="G703" s="239">
        <v>0.96</v>
      </c>
      <c r="H703" s="239">
        <f t="shared" si="993"/>
        <v>1.92</v>
      </c>
      <c r="I703" s="131">
        <f t="shared" si="994"/>
        <v>0</v>
      </c>
      <c r="J703" s="31">
        <f t="shared" si="995"/>
        <v>0</v>
      </c>
      <c r="K703" s="31">
        <f t="shared" si="996"/>
        <v>0</v>
      </c>
      <c r="L703" s="31">
        <f t="shared" si="997"/>
        <v>0</v>
      </c>
      <c r="M703" s="31">
        <f t="shared" si="998"/>
        <v>0</v>
      </c>
      <c r="N703" s="31">
        <f t="shared" si="999"/>
        <v>1.8489599999999999</v>
      </c>
      <c r="O703" s="31">
        <f t="shared" si="1000"/>
        <v>0</v>
      </c>
      <c r="P703" s="31">
        <f t="shared" si="1001"/>
        <v>0</v>
      </c>
      <c r="Q703" s="49">
        <f t="shared" si="1002"/>
        <v>0</v>
      </c>
    </row>
    <row r="704" spans="4:17" s="16" customFormat="1" ht="13.8" thickBot="1" x14ac:dyDescent="0.3">
      <c r="D704" s="307"/>
      <c r="E704" s="26"/>
      <c r="F704" s="206"/>
      <c r="G704" s="207"/>
      <c r="H704" s="207"/>
      <c r="I704" s="51"/>
      <c r="J704" s="308"/>
      <c r="K704" s="308"/>
      <c r="L704" s="308"/>
      <c r="M704" s="308"/>
      <c r="N704" s="308"/>
      <c r="O704" s="308"/>
      <c r="P704" s="308"/>
      <c r="Q704" s="309"/>
    </row>
    <row r="705" spans="4:17" s="16" customFormat="1" ht="13.2" x14ac:dyDescent="0.25">
      <c r="D705" s="796" t="s">
        <v>1549</v>
      </c>
      <c r="E705" s="797"/>
      <c r="F705" s="797"/>
      <c r="G705" s="797"/>
      <c r="H705" s="797"/>
      <c r="I705" s="47">
        <f>SUM(I706:I709)</f>
        <v>0</v>
      </c>
      <c r="J705" s="47">
        <f t="shared" ref="J705:Q705" si="1005">SUM(J706:J709)</f>
        <v>4.9295399999999994</v>
      </c>
      <c r="K705" s="47">
        <f t="shared" si="1005"/>
        <v>0</v>
      </c>
      <c r="L705" s="47">
        <f t="shared" si="1005"/>
        <v>0</v>
      </c>
      <c r="M705" s="47">
        <f t="shared" si="1005"/>
        <v>15.437339999999999</v>
      </c>
      <c r="N705" s="47">
        <f t="shared" si="1005"/>
        <v>14.90724</v>
      </c>
      <c r="O705" s="47">
        <f t="shared" si="1005"/>
        <v>0</v>
      </c>
      <c r="P705" s="47">
        <f t="shared" si="1005"/>
        <v>0</v>
      </c>
      <c r="Q705" s="47">
        <f t="shared" si="1005"/>
        <v>0</v>
      </c>
    </row>
    <row r="706" spans="4:17" s="16" customFormat="1" ht="13.2" x14ac:dyDescent="0.25">
      <c r="D706" s="235">
        <v>1</v>
      </c>
      <c r="E706" s="237">
        <v>33</v>
      </c>
      <c r="F706" s="238">
        <v>5</v>
      </c>
      <c r="G706" s="239">
        <v>0.97</v>
      </c>
      <c r="H706" s="239">
        <f>E706*G706</f>
        <v>32.01</v>
      </c>
      <c r="I706" s="131">
        <f>IF($F706=4.2,H706*$B$23,0)</f>
        <v>0</v>
      </c>
      <c r="J706" s="31">
        <f>IF($F706=5,$H706*$B$24,0)</f>
        <v>4.9295399999999994</v>
      </c>
      <c r="K706" s="31">
        <f>IF($F706=6.3,$H706*$B$25,0)</f>
        <v>0</v>
      </c>
      <c r="L706" s="31">
        <f>IF($F706=8,$H706*$B$26,0)</f>
        <v>0</v>
      </c>
      <c r="M706" s="31">
        <f>IF($F706=10,$H706*$B$27,0)</f>
        <v>0</v>
      </c>
      <c r="N706" s="31">
        <f>IF($F706=12.5,$H706*$B$28,0)</f>
        <v>0</v>
      </c>
      <c r="O706" s="31">
        <f>IF($F706=16,$H706*$B$29,0)</f>
        <v>0</v>
      </c>
      <c r="P706" s="31">
        <f>IF($F706=20,$H706*$B$30,0)</f>
        <v>0</v>
      </c>
      <c r="Q706" s="49">
        <f>IF($F706=25,$H706*$B$31,0)</f>
        <v>0</v>
      </c>
    </row>
    <row r="707" spans="4:17" s="16" customFormat="1" ht="13.2" x14ac:dyDescent="0.25">
      <c r="D707" s="235">
        <v>23</v>
      </c>
      <c r="E707" s="240">
        <v>1</v>
      </c>
      <c r="F707" s="241">
        <v>10</v>
      </c>
      <c r="G707" s="242">
        <v>3.6</v>
      </c>
      <c r="H707" s="239">
        <f>E707*G707</f>
        <v>3.6</v>
      </c>
      <c r="I707" s="131">
        <f>IF($F707=4.2,H707*$B$23,0)</f>
        <v>0</v>
      </c>
      <c r="J707" s="31">
        <f>IF($F707=5,$H707*$B$24,0)</f>
        <v>0</v>
      </c>
      <c r="K707" s="31">
        <f>IF($F707=6.3,$H707*$B$25,0)</f>
        <v>0</v>
      </c>
      <c r="L707" s="31">
        <f>IF($F707=8,$H707*$B$26,0)</f>
        <v>0</v>
      </c>
      <c r="M707" s="31">
        <f>IF($F707=10,$H707*$B$27,0)</f>
        <v>2.2212000000000001</v>
      </c>
      <c r="N707" s="31">
        <f>IF($F707=12.5,$H707*$B$28,0)</f>
        <v>0</v>
      </c>
      <c r="O707" s="31">
        <f>IF($F707=16,$H707*$B$29,0)</f>
        <v>0</v>
      </c>
      <c r="P707" s="31">
        <f>IF($F707=20,$H707*$B$30,0)</f>
        <v>0</v>
      </c>
      <c r="Q707" s="49">
        <f>IF($F707=25,$H707*$B$31,0)</f>
        <v>0</v>
      </c>
    </row>
    <row r="708" spans="4:17" s="16" customFormat="1" ht="13.2" x14ac:dyDescent="0.25">
      <c r="D708" s="235">
        <v>24</v>
      </c>
      <c r="E708" s="240">
        <v>3</v>
      </c>
      <c r="F708" s="241">
        <v>10</v>
      </c>
      <c r="G708" s="242">
        <v>7.14</v>
      </c>
      <c r="H708" s="239">
        <f>E708*G708</f>
        <v>21.419999999999998</v>
      </c>
      <c r="I708" s="131">
        <f>IF($F708=4.2,H708*$B$23,0)</f>
        <v>0</v>
      </c>
      <c r="J708" s="31">
        <f>IF($F708=5,$H708*$B$24,0)</f>
        <v>0</v>
      </c>
      <c r="K708" s="31">
        <f>IF($F708=6.3,$H708*$B$25,0)</f>
        <v>0</v>
      </c>
      <c r="L708" s="31">
        <f>IF($F708=8,$H708*$B$26,0)</f>
        <v>0</v>
      </c>
      <c r="M708" s="31">
        <f>IF($F708=10,$H708*$B$27,0)</f>
        <v>13.216139999999999</v>
      </c>
      <c r="N708" s="31">
        <f>IF($F708=12.5,$H708*$B$28,0)</f>
        <v>0</v>
      </c>
      <c r="O708" s="31">
        <f>IF($F708=16,$H708*$B$29,0)</f>
        <v>0</v>
      </c>
      <c r="P708" s="31">
        <f>IF($F708=20,$H708*$B$30,0)</f>
        <v>0</v>
      </c>
      <c r="Q708" s="49">
        <f>IF($F708=25,$H708*$B$31,0)</f>
        <v>0</v>
      </c>
    </row>
    <row r="709" spans="4:17" s="16" customFormat="1" ht="13.2" x14ac:dyDescent="0.25">
      <c r="D709" s="235">
        <v>34</v>
      </c>
      <c r="E709" s="240">
        <v>2</v>
      </c>
      <c r="F709" s="241">
        <v>12.5</v>
      </c>
      <c r="G709" s="242">
        <v>7.74</v>
      </c>
      <c r="H709" s="239">
        <f>E709*G709</f>
        <v>15.48</v>
      </c>
      <c r="I709" s="131">
        <f>IF($F709=4.2,H709*$B$23,0)</f>
        <v>0</v>
      </c>
      <c r="J709" s="31">
        <f>IF($F709=5,$H709*$B$24,0)</f>
        <v>0</v>
      </c>
      <c r="K709" s="31">
        <f>IF($F709=6.3,$H709*$B$25,0)</f>
        <v>0</v>
      </c>
      <c r="L709" s="31">
        <f>IF($F709=8,$H709*$B$26,0)</f>
        <v>0</v>
      </c>
      <c r="M709" s="31">
        <f>IF($F709=10,$H709*$B$27,0)</f>
        <v>0</v>
      </c>
      <c r="N709" s="31">
        <f>IF($F709=12.5,$H709*$B$28,0)</f>
        <v>14.90724</v>
      </c>
      <c r="O709" s="31">
        <f>IF($F709=16,$H709*$B$29,0)</f>
        <v>0</v>
      </c>
      <c r="P709" s="31">
        <f>IF($F709=20,$H709*$B$30,0)</f>
        <v>0</v>
      </c>
      <c r="Q709" s="49">
        <f>IF($F709=25,$H709*$B$31,0)</f>
        <v>0</v>
      </c>
    </row>
    <row r="710" spans="4:17" s="16" customFormat="1" ht="13.8" thickBot="1" x14ac:dyDescent="0.3">
      <c r="D710" s="307"/>
      <c r="E710" s="26"/>
      <c r="F710" s="206"/>
      <c r="G710" s="207"/>
      <c r="H710" s="207"/>
      <c r="I710" s="51"/>
      <c r="J710" s="308"/>
      <c r="K710" s="308"/>
      <c r="L710" s="308"/>
      <c r="M710" s="308"/>
      <c r="N710" s="308"/>
      <c r="O710" s="308"/>
      <c r="P710" s="308"/>
      <c r="Q710" s="309"/>
    </row>
    <row r="711" spans="4:17" s="16" customFormat="1" ht="13.2" x14ac:dyDescent="0.25">
      <c r="D711" s="796" t="s">
        <v>1550</v>
      </c>
      <c r="E711" s="797"/>
      <c r="F711" s="797"/>
      <c r="G711" s="797"/>
      <c r="H711" s="797"/>
      <c r="I711" s="47">
        <f>SUM(I712:I715)</f>
        <v>0</v>
      </c>
      <c r="J711" s="47">
        <f t="shared" ref="J711:Q711" si="1006">SUM(J712:J715)</f>
        <v>2.8382199999999997</v>
      </c>
      <c r="K711" s="47">
        <f t="shared" si="1006"/>
        <v>0</v>
      </c>
      <c r="L711" s="47">
        <f t="shared" si="1006"/>
        <v>3.5787000000000004</v>
      </c>
      <c r="M711" s="47">
        <f t="shared" si="1006"/>
        <v>7.9469600000000007</v>
      </c>
      <c r="N711" s="47">
        <f t="shared" si="1006"/>
        <v>0</v>
      </c>
      <c r="O711" s="47">
        <f t="shared" si="1006"/>
        <v>0</v>
      </c>
      <c r="P711" s="47">
        <f t="shared" si="1006"/>
        <v>0</v>
      </c>
      <c r="Q711" s="47">
        <f t="shared" si="1006"/>
        <v>0</v>
      </c>
    </row>
    <row r="712" spans="4:17" s="16" customFormat="1" ht="13.2" x14ac:dyDescent="0.25">
      <c r="D712" s="235">
        <v>1</v>
      </c>
      <c r="E712" s="237">
        <v>19</v>
      </c>
      <c r="F712" s="238">
        <v>5</v>
      </c>
      <c r="G712" s="239">
        <v>0.97</v>
      </c>
      <c r="H712" s="239">
        <f>E712*G712</f>
        <v>18.43</v>
      </c>
      <c r="I712" s="131">
        <f>IF($F712=4.2,H712*$B$23,0)</f>
        <v>0</v>
      </c>
      <c r="J712" s="31">
        <f>IF($F712=5,$H712*$B$24,0)</f>
        <v>2.8382199999999997</v>
      </c>
      <c r="K712" s="31">
        <f>IF($F712=6.3,$H712*$B$25,0)</f>
        <v>0</v>
      </c>
      <c r="L712" s="31">
        <f>IF($F712=8,$H712*$B$26,0)</f>
        <v>0</v>
      </c>
      <c r="M712" s="31">
        <f>IF($F712=10,$H712*$B$27,0)</f>
        <v>0</v>
      </c>
      <c r="N712" s="31">
        <f>IF($F712=12.5,$H712*$B$28,0)</f>
        <v>0</v>
      </c>
      <c r="O712" s="31">
        <f>IF($F712=16,$H712*$B$29,0)</f>
        <v>0</v>
      </c>
      <c r="P712" s="31">
        <f>IF($F712=20,$H712*$B$30,0)</f>
        <v>0</v>
      </c>
      <c r="Q712" s="49">
        <f>IF($F712=25,$H712*$B$31,0)</f>
        <v>0</v>
      </c>
    </row>
    <row r="713" spans="4:17" s="16" customFormat="1" ht="13.2" x14ac:dyDescent="0.25">
      <c r="D713" s="235">
        <v>2</v>
      </c>
      <c r="E713" s="240">
        <v>2</v>
      </c>
      <c r="F713" s="241">
        <v>8</v>
      </c>
      <c r="G713" s="242">
        <v>4.53</v>
      </c>
      <c r="H713" s="239">
        <f>E713*G713</f>
        <v>9.06</v>
      </c>
      <c r="I713" s="131">
        <f>IF($F713=4.2,H713*$B$23,0)</f>
        <v>0</v>
      </c>
      <c r="J713" s="31">
        <f>IF($F713=5,$H713*$B$24,0)</f>
        <v>0</v>
      </c>
      <c r="K713" s="31">
        <f>IF($F713=6.3,$H713*$B$25,0)</f>
        <v>0</v>
      </c>
      <c r="L713" s="31">
        <f>IF($F713=8,$H713*$B$26,0)</f>
        <v>3.5787000000000004</v>
      </c>
      <c r="M713" s="31">
        <f>IF($F713=10,$H713*$B$27,0)</f>
        <v>0</v>
      </c>
      <c r="N713" s="31">
        <f>IF($F713=12.5,$H713*$B$28,0)</f>
        <v>0</v>
      </c>
      <c r="O713" s="31">
        <f>IF($F713=16,$H713*$B$29,0)</f>
        <v>0</v>
      </c>
      <c r="P713" s="31">
        <f>IF($F713=20,$H713*$B$30,0)</f>
        <v>0</v>
      </c>
      <c r="Q713" s="49">
        <f>IF($F713=25,$H713*$B$31,0)</f>
        <v>0</v>
      </c>
    </row>
    <row r="714" spans="4:17" s="16" customFormat="1" ht="13.2" x14ac:dyDescent="0.25">
      <c r="D714" s="235">
        <v>25</v>
      </c>
      <c r="E714" s="240">
        <v>2</v>
      </c>
      <c r="F714" s="241">
        <v>10</v>
      </c>
      <c r="G714" s="242">
        <v>2.35</v>
      </c>
      <c r="H714" s="239">
        <f>E714*G714</f>
        <v>4.7</v>
      </c>
      <c r="I714" s="131">
        <f>IF($F714=4.2,H714*$B$23,0)</f>
        <v>0</v>
      </c>
      <c r="J714" s="31">
        <f>IF($F714=5,$H714*$B$24,0)</f>
        <v>0</v>
      </c>
      <c r="K714" s="31">
        <f>IF($F714=6.3,$H714*$B$25,0)</f>
        <v>0</v>
      </c>
      <c r="L714" s="31">
        <f>IF($F714=8,$H714*$B$26,0)</f>
        <v>0</v>
      </c>
      <c r="M714" s="31">
        <f>IF($F714=10,$H714*$B$27,0)</f>
        <v>2.8999000000000001</v>
      </c>
      <c r="N714" s="31">
        <f>IF($F714=12.5,$H714*$B$28,0)</f>
        <v>0</v>
      </c>
      <c r="O714" s="31">
        <f>IF($F714=16,$H714*$B$29,0)</f>
        <v>0</v>
      </c>
      <c r="P714" s="31">
        <f>IF($F714=20,$H714*$B$30,0)</f>
        <v>0</v>
      </c>
      <c r="Q714" s="49">
        <f>IF($F714=25,$H714*$B$31,0)</f>
        <v>0</v>
      </c>
    </row>
    <row r="715" spans="4:17" s="16" customFormat="1" ht="13.2" x14ac:dyDescent="0.25">
      <c r="D715" s="235">
        <v>26</v>
      </c>
      <c r="E715" s="240">
        <v>2</v>
      </c>
      <c r="F715" s="241">
        <v>10</v>
      </c>
      <c r="G715" s="242">
        <v>4.09</v>
      </c>
      <c r="H715" s="239">
        <f>E715*G715</f>
        <v>8.18</v>
      </c>
      <c r="I715" s="131">
        <f>IF($F715=4.2,H715*$B$23,0)</f>
        <v>0</v>
      </c>
      <c r="J715" s="31">
        <f>IF($F715=5,$H715*$B$24,0)</f>
        <v>0</v>
      </c>
      <c r="K715" s="31">
        <f>IF($F715=6.3,$H715*$B$25,0)</f>
        <v>0</v>
      </c>
      <c r="L715" s="31">
        <f>IF($F715=8,$H715*$B$26,0)</f>
        <v>0</v>
      </c>
      <c r="M715" s="31">
        <f>IF($F715=10,$H715*$B$27,0)</f>
        <v>5.0470600000000001</v>
      </c>
      <c r="N715" s="31">
        <f>IF($F715=12.5,$H715*$B$28,0)</f>
        <v>0</v>
      </c>
      <c r="O715" s="31">
        <f>IF($F715=16,$H715*$B$29,0)</f>
        <v>0</v>
      </c>
      <c r="P715" s="31">
        <f>IF($F715=20,$H715*$B$30,0)</f>
        <v>0</v>
      </c>
      <c r="Q715" s="49">
        <f>IF($F715=25,$H715*$B$31,0)</f>
        <v>0</v>
      </c>
    </row>
    <row r="716" spans="4:17" s="16" customFormat="1" ht="13.8" thickBot="1" x14ac:dyDescent="0.3">
      <c r="D716" s="307"/>
      <c r="E716" s="26"/>
      <c r="F716" s="206"/>
      <c r="G716" s="207"/>
      <c r="H716" s="207"/>
      <c r="I716" s="51"/>
      <c r="J716" s="308"/>
      <c r="K716" s="308"/>
      <c r="L716" s="308"/>
      <c r="M716" s="308"/>
      <c r="N716" s="308"/>
      <c r="O716" s="308"/>
      <c r="P716" s="308"/>
      <c r="Q716" s="309"/>
    </row>
    <row r="717" spans="4:17" s="16" customFormat="1" ht="13.2" x14ac:dyDescent="0.25">
      <c r="D717" s="796" t="s">
        <v>1551</v>
      </c>
      <c r="E717" s="797"/>
      <c r="F717" s="797"/>
      <c r="G717" s="797"/>
      <c r="H717" s="797"/>
      <c r="I717" s="47">
        <f t="shared" ref="I717:Q717" si="1007">SUM(I718:I726)</f>
        <v>0</v>
      </c>
      <c r="J717" s="47">
        <f t="shared" si="1007"/>
        <v>3.5851200000000003</v>
      </c>
      <c r="K717" s="47">
        <f t="shared" si="1007"/>
        <v>0</v>
      </c>
      <c r="L717" s="47">
        <f t="shared" si="1007"/>
        <v>7.4773499999999995</v>
      </c>
      <c r="M717" s="47">
        <f t="shared" si="1007"/>
        <v>10.09412</v>
      </c>
      <c r="N717" s="47">
        <f t="shared" si="1007"/>
        <v>0</v>
      </c>
      <c r="O717" s="47">
        <f t="shared" si="1007"/>
        <v>0</v>
      </c>
      <c r="P717" s="47">
        <f t="shared" si="1007"/>
        <v>0</v>
      </c>
      <c r="Q717" s="47">
        <f t="shared" si="1007"/>
        <v>0</v>
      </c>
    </row>
    <row r="718" spans="4:17" s="16" customFormat="1" ht="13.2" x14ac:dyDescent="0.25">
      <c r="D718" s="235">
        <v>1</v>
      </c>
      <c r="E718" s="237">
        <v>24</v>
      </c>
      <c r="F718" s="238">
        <v>5</v>
      </c>
      <c r="G718" s="239">
        <v>0.97</v>
      </c>
      <c r="H718" s="239">
        <f t="shared" ref="H718:H726" si="1008">E718*G718</f>
        <v>23.28</v>
      </c>
      <c r="I718" s="131">
        <f t="shared" ref="I718:I726" si="1009">IF($F718=4.2,H718*$B$23,0)</f>
        <v>0</v>
      </c>
      <c r="J718" s="31">
        <f t="shared" ref="J718:J726" si="1010">IF($F718=5,$H718*$B$24,0)</f>
        <v>3.5851200000000003</v>
      </c>
      <c r="K718" s="31">
        <f t="shared" ref="K718:K726" si="1011">IF($F718=6.3,$H718*$B$25,0)</f>
        <v>0</v>
      </c>
      <c r="L718" s="31">
        <f t="shared" ref="L718:L726" si="1012">IF($F718=8,$H718*$B$26,0)</f>
        <v>0</v>
      </c>
      <c r="M718" s="31">
        <f t="shared" ref="M718:M726" si="1013">IF($F718=10,$H718*$B$27,0)</f>
        <v>0</v>
      </c>
      <c r="N718" s="31">
        <f t="shared" ref="N718:N726" si="1014">IF($F718=12.5,$H718*$B$28,0)</f>
        <v>0</v>
      </c>
      <c r="O718" s="31">
        <f t="shared" ref="O718:O726" si="1015">IF($F718=16,$H718*$B$29,0)</f>
        <v>0</v>
      </c>
      <c r="P718" s="31">
        <f t="shared" ref="P718:P726" si="1016">IF($F718=20,$H718*$B$30,0)</f>
        <v>0</v>
      </c>
      <c r="Q718" s="49">
        <f t="shared" ref="Q718:Q726" si="1017">IF($F718=25,$H718*$B$31,0)</f>
        <v>0</v>
      </c>
    </row>
    <row r="719" spans="4:17" s="16" customFormat="1" ht="13.2" x14ac:dyDescent="0.25">
      <c r="D719" s="235">
        <v>3</v>
      </c>
      <c r="E719" s="240">
        <v>1</v>
      </c>
      <c r="F719" s="241">
        <v>8</v>
      </c>
      <c r="G719" s="242">
        <v>1.35</v>
      </c>
      <c r="H719" s="239">
        <f t="shared" si="1008"/>
        <v>1.35</v>
      </c>
      <c r="I719" s="131">
        <f t="shared" si="1009"/>
        <v>0</v>
      </c>
      <c r="J719" s="31">
        <f t="shared" si="1010"/>
        <v>0</v>
      </c>
      <c r="K719" s="31">
        <f t="shared" si="1011"/>
        <v>0</v>
      </c>
      <c r="L719" s="31">
        <f t="shared" si="1012"/>
        <v>0.53325000000000011</v>
      </c>
      <c r="M719" s="31">
        <f t="shared" si="1013"/>
        <v>0</v>
      </c>
      <c r="N719" s="31">
        <f t="shared" si="1014"/>
        <v>0</v>
      </c>
      <c r="O719" s="31">
        <f t="shared" si="1015"/>
        <v>0</v>
      </c>
      <c r="P719" s="31">
        <f t="shared" si="1016"/>
        <v>0</v>
      </c>
      <c r="Q719" s="49">
        <f t="shared" si="1017"/>
        <v>0</v>
      </c>
    </row>
    <row r="720" spans="4:17" s="16" customFormat="1" ht="13.2" x14ac:dyDescent="0.25">
      <c r="D720" s="235">
        <v>4</v>
      </c>
      <c r="E720" s="240">
        <v>2</v>
      </c>
      <c r="F720" s="241">
        <v>8</v>
      </c>
      <c r="G720" s="242">
        <v>2.0499999999999998</v>
      </c>
      <c r="H720" s="239">
        <f t="shared" si="1008"/>
        <v>4.0999999999999996</v>
      </c>
      <c r="I720" s="131">
        <f t="shared" si="1009"/>
        <v>0</v>
      </c>
      <c r="J720" s="31">
        <f t="shared" si="1010"/>
        <v>0</v>
      </c>
      <c r="K720" s="31">
        <f t="shared" si="1011"/>
        <v>0</v>
      </c>
      <c r="L720" s="31">
        <f t="shared" si="1012"/>
        <v>1.6194999999999999</v>
      </c>
      <c r="M720" s="31">
        <f t="shared" si="1013"/>
        <v>0</v>
      </c>
      <c r="N720" s="31">
        <f t="shared" si="1014"/>
        <v>0</v>
      </c>
      <c r="O720" s="31">
        <f t="shared" si="1015"/>
        <v>0</v>
      </c>
      <c r="P720" s="31">
        <f t="shared" si="1016"/>
        <v>0</v>
      </c>
      <c r="Q720" s="49">
        <f t="shared" si="1017"/>
        <v>0</v>
      </c>
    </row>
    <row r="721" spans="4:17" s="16" customFormat="1" ht="13.2" x14ac:dyDescent="0.25">
      <c r="D721" s="235">
        <v>5</v>
      </c>
      <c r="E721" s="240">
        <v>1</v>
      </c>
      <c r="F721" s="241">
        <v>8</v>
      </c>
      <c r="G721" s="242">
        <v>2.12</v>
      </c>
      <c r="H721" s="239">
        <f t="shared" si="1008"/>
        <v>2.12</v>
      </c>
      <c r="I721" s="131">
        <f t="shared" si="1009"/>
        <v>0</v>
      </c>
      <c r="J721" s="31">
        <f t="shared" si="1010"/>
        <v>0</v>
      </c>
      <c r="K721" s="31">
        <f t="shared" si="1011"/>
        <v>0</v>
      </c>
      <c r="L721" s="31">
        <f t="shared" si="1012"/>
        <v>0.83740000000000003</v>
      </c>
      <c r="M721" s="31">
        <f t="shared" si="1013"/>
        <v>0</v>
      </c>
      <c r="N721" s="31">
        <f t="shared" si="1014"/>
        <v>0</v>
      </c>
      <c r="O721" s="31">
        <f t="shared" si="1015"/>
        <v>0</v>
      </c>
      <c r="P721" s="31">
        <f t="shared" si="1016"/>
        <v>0</v>
      </c>
      <c r="Q721" s="49">
        <f t="shared" si="1017"/>
        <v>0</v>
      </c>
    </row>
    <row r="722" spans="4:17" s="16" customFormat="1" ht="13.2" x14ac:dyDescent="0.25">
      <c r="D722" s="235">
        <v>6</v>
      </c>
      <c r="E722" s="240">
        <v>2</v>
      </c>
      <c r="F722" s="241">
        <v>8</v>
      </c>
      <c r="G722" s="242">
        <v>5.68</v>
      </c>
      <c r="H722" s="239">
        <f t="shared" si="1008"/>
        <v>11.36</v>
      </c>
      <c r="I722" s="131">
        <f t="shared" si="1009"/>
        <v>0</v>
      </c>
      <c r="J722" s="31">
        <f t="shared" si="1010"/>
        <v>0</v>
      </c>
      <c r="K722" s="31">
        <f t="shared" si="1011"/>
        <v>0</v>
      </c>
      <c r="L722" s="31">
        <f t="shared" si="1012"/>
        <v>4.4871999999999996</v>
      </c>
      <c r="M722" s="31">
        <f t="shared" si="1013"/>
        <v>0</v>
      </c>
      <c r="N722" s="31">
        <f t="shared" si="1014"/>
        <v>0</v>
      </c>
      <c r="O722" s="31">
        <f t="shared" si="1015"/>
        <v>0</v>
      </c>
      <c r="P722" s="31">
        <f t="shared" si="1016"/>
        <v>0</v>
      </c>
      <c r="Q722" s="49">
        <f t="shared" si="1017"/>
        <v>0</v>
      </c>
    </row>
    <row r="723" spans="4:17" s="16" customFormat="1" ht="13.2" x14ac:dyDescent="0.25">
      <c r="D723" s="235">
        <v>27</v>
      </c>
      <c r="E723" s="240">
        <v>1</v>
      </c>
      <c r="F723" s="241">
        <v>10</v>
      </c>
      <c r="G723" s="242">
        <v>0.74</v>
      </c>
      <c r="H723" s="239">
        <f t="shared" si="1008"/>
        <v>0.74</v>
      </c>
      <c r="I723" s="131">
        <f t="shared" si="1009"/>
        <v>0</v>
      </c>
      <c r="J723" s="31">
        <f t="shared" si="1010"/>
        <v>0</v>
      </c>
      <c r="K723" s="31">
        <f t="shared" si="1011"/>
        <v>0</v>
      </c>
      <c r="L723" s="31">
        <f t="shared" si="1012"/>
        <v>0</v>
      </c>
      <c r="M723" s="31">
        <f t="shared" si="1013"/>
        <v>0.45657999999999999</v>
      </c>
      <c r="N723" s="31">
        <f t="shared" si="1014"/>
        <v>0</v>
      </c>
      <c r="O723" s="31">
        <f t="shared" si="1015"/>
        <v>0</v>
      </c>
      <c r="P723" s="31">
        <f t="shared" si="1016"/>
        <v>0</v>
      </c>
      <c r="Q723" s="49">
        <f t="shared" si="1017"/>
        <v>0</v>
      </c>
    </row>
    <row r="724" spans="4:17" s="16" customFormat="1" ht="13.2" x14ac:dyDescent="0.25">
      <c r="D724" s="235">
        <v>28</v>
      </c>
      <c r="E724" s="240">
        <v>1</v>
      </c>
      <c r="F724" s="241">
        <v>10</v>
      </c>
      <c r="G724" s="242">
        <v>0.78</v>
      </c>
      <c r="H724" s="239">
        <f t="shared" si="1008"/>
        <v>0.78</v>
      </c>
      <c r="I724" s="131">
        <f t="shared" si="1009"/>
        <v>0</v>
      </c>
      <c r="J724" s="31">
        <f t="shared" si="1010"/>
        <v>0</v>
      </c>
      <c r="K724" s="31">
        <f t="shared" si="1011"/>
        <v>0</v>
      </c>
      <c r="L724" s="31">
        <f t="shared" si="1012"/>
        <v>0</v>
      </c>
      <c r="M724" s="31">
        <f t="shared" si="1013"/>
        <v>0.48126000000000002</v>
      </c>
      <c r="N724" s="31">
        <f t="shared" si="1014"/>
        <v>0</v>
      </c>
      <c r="O724" s="31">
        <f t="shared" si="1015"/>
        <v>0</v>
      </c>
      <c r="P724" s="31">
        <f t="shared" si="1016"/>
        <v>0</v>
      </c>
      <c r="Q724" s="49">
        <f t="shared" si="1017"/>
        <v>0</v>
      </c>
    </row>
    <row r="725" spans="4:17" s="16" customFormat="1" ht="13.2" x14ac:dyDescent="0.25">
      <c r="D725" s="235">
        <v>29</v>
      </c>
      <c r="E725" s="240">
        <v>2</v>
      </c>
      <c r="F725" s="241">
        <v>10</v>
      </c>
      <c r="G725" s="242">
        <v>2.2000000000000002</v>
      </c>
      <c r="H725" s="239">
        <f t="shared" si="1008"/>
        <v>4.4000000000000004</v>
      </c>
      <c r="I725" s="131">
        <f t="shared" si="1009"/>
        <v>0</v>
      </c>
      <c r="J725" s="31">
        <f t="shared" si="1010"/>
        <v>0</v>
      </c>
      <c r="K725" s="31">
        <f t="shared" si="1011"/>
        <v>0</v>
      </c>
      <c r="L725" s="31">
        <f t="shared" si="1012"/>
        <v>0</v>
      </c>
      <c r="M725" s="31">
        <f t="shared" si="1013"/>
        <v>2.7148000000000003</v>
      </c>
      <c r="N725" s="31">
        <f t="shared" si="1014"/>
        <v>0</v>
      </c>
      <c r="O725" s="31">
        <f t="shared" si="1015"/>
        <v>0</v>
      </c>
      <c r="P725" s="31">
        <f t="shared" si="1016"/>
        <v>0</v>
      </c>
      <c r="Q725" s="49">
        <f t="shared" si="1017"/>
        <v>0</v>
      </c>
    </row>
    <row r="726" spans="4:17" s="16" customFormat="1" ht="13.2" x14ac:dyDescent="0.25">
      <c r="D726" s="235">
        <v>30</v>
      </c>
      <c r="E726" s="240">
        <v>2</v>
      </c>
      <c r="F726" s="241">
        <v>10</v>
      </c>
      <c r="G726" s="242">
        <v>5.22</v>
      </c>
      <c r="H726" s="239">
        <f t="shared" si="1008"/>
        <v>10.44</v>
      </c>
      <c r="I726" s="131">
        <f t="shared" si="1009"/>
        <v>0</v>
      </c>
      <c r="J726" s="31">
        <f t="shared" si="1010"/>
        <v>0</v>
      </c>
      <c r="K726" s="31">
        <f t="shared" si="1011"/>
        <v>0</v>
      </c>
      <c r="L726" s="31">
        <f t="shared" si="1012"/>
        <v>0</v>
      </c>
      <c r="M726" s="31">
        <f t="shared" si="1013"/>
        <v>6.4414799999999994</v>
      </c>
      <c r="N726" s="31">
        <f t="shared" si="1014"/>
        <v>0</v>
      </c>
      <c r="O726" s="31">
        <f t="shared" si="1015"/>
        <v>0</v>
      </c>
      <c r="P726" s="31">
        <f t="shared" si="1016"/>
        <v>0</v>
      </c>
      <c r="Q726" s="49">
        <f t="shared" si="1017"/>
        <v>0</v>
      </c>
    </row>
    <row r="727" spans="4:17" s="16" customFormat="1" ht="13.8" thickBot="1" x14ac:dyDescent="0.3">
      <c r="D727" s="307"/>
      <c r="E727" s="26"/>
      <c r="F727" s="206"/>
      <c r="G727" s="207"/>
      <c r="H727" s="207"/>
      <c r="I727" s="51"/>
      <c r="J727" s="308"/>
      <c r="K727" s="308"/>
      <c r="L727" s="308"/>
      <c r="M727" s="308"/>
      <c r="N727" s="308"/>
      <c r="O727" s="308"/>
      <c r="P727" s="308"/>
      <c r="Q727" s="309"/>
    </row>
    <row r="728" spans="4:17" s="16" customFormat="1" ht="13.2" x14ac:dyDescent="0.25">
      <c r="D728" s="796" t="s">
        <v>1552</v>
      </c>
      <c r="E728" s="797"/>
      <c r="F728" s="797"/>
      <c r="G728" s="797"/>
      <c r="H728" s="797"/>
      <c r="I728" s="47">
        <f>SUM(I729:I732)</f>
        <v>0</v>
      </c>
      <c r="J728" s="47">
        <f t="shared" ref="J728:Q728" si="1018">SUM(J729:J732)</f>
        <v>4.9295399999999994</v>
      </c>
      <c r="K728" s="47">
        <f t="shared" si="1018"/>
        <v>0</v>
      </c>
      <c r="L728" s="47">
        <f t="shared" si="1018"/>
        <v>0</v>
      </c>
      <c r="M728" s="47">
        <f t="shared" si="1018"/>
        <v>15.437339999999999</v>
      </c>
      <c r="N728" s="47">
        <f t="shared" si="1018"/>
        <v>14.887980000000001</v>
      </c>
      <c r="O728" s="47">
        <f t="shared" si="1018"/>
        <v>0</v>
      </c>
      <c r="P728" s="47">
        <f t="shared" si="1018"/>
        <v>0</v>
      </c>
      <c r="Q728" s="47">
        <f t="shared" si="1018"/>
        <v>0</v>
      </c>
    </row>
    <row r="729" spans="4:17" s="16" customFormat="1" ht="13.2" x14ac:dyDescent="0.25">
      <c r="D729" s="235">
        <v>1</v>
      </c>
      <c r="E729" s="237">
        <v>33</v>
      </c>
      <c r="F729" s="238">
        <v>5</v>
      </c>
      <c r="G729" s="239">
        <v>0.97</v>
      </c>
      <c r="H729" s="239">
        <f>E729*G729</f>
        <v>32.01</v>
      </c>
      <c r="I729" s="131">
        <f>IF($F729=4.2,H729*$B$23,0)</f>
        <v>0</v>
      </c>
      <c r="J729" s="31">
        <f>IF($F729=5,$H729*$B$24,0)</f>
        <v>4.9295399999999994</v>
      </c>
      <c r="K729" s="31">
        <f>IF($F729=6.3,$H729*$B$25,0)</f>
        <v>0</v>
      </c>
      <c r="L729" s="31">
        <f>IF($F729=8,$H729*$B$26,0)</f>
        <v>0</v>
      </c>
      <c r="M729" s="31">
        <f>IF($F729=10,$H729*$B$27,0)</f>
        <v>0</v>
      </c>
      <c r="N729" s="31">
        <f>IF($F729=12.5,$H729*$B$28,0)</f>
        <v>0</v>
      </c>
      <c r="O729" s="31">
        <f>IF($F729=16,$H729*$B$29,0)</f>
        <v>0</v>
      </c>
      <c r="P729" s="31">
        <f>IF($F729=20,$H729*$B$30,0)</f>
        <v>0</v>
      </c>
      <c r="Q729" s="49">
        <f>IF($F729=25,$H729*$B$31,0)</f>
        <v>0</v>
      </c>
    </row>
    <row r="730" spans="4:17" s="16" customFormat="1" ht="13.2" x14ac:dyDescent="0.25">
      <c r="D730" s="235">
        <v>23</v>
      </c>
      <c r="E730" s="240">
        <v>1</v>
      </c>
      <c r="F730" s="241">
        <v>10</v>
      </c>
      <c r="G730" s="242">
        <v>3.6</v>
      </c>
      <c r="H730" s="239">
        <f>E730*G730</f>
        <v>3.6</v>
      </c>
      <c r="I730" s="131">
        <f>IF($F730=4.2,H730*$B$23,0)</f>
        <v>0</v>
      </c>
      <c r="J730" s="31">
        <f>IF($F730=5,$H730*$B$24,0)</f>
        <v>0</v>
      </c>
      <c r="K730" s="31">
        <f>IF($F730=6.3,$H730*$B$25,0)</f>
        <v>0</v>
      </c>
      <c r="L730" s="31">
        <f>IF($F730=8,$H730*$B$26,0)</f>
        <v>0</v>
      </c>
      <c r="M730" s="31">
        <f>IF($F730=10,$H730*$B$27,0)</f>
        <v>2.2212000000000001</v>
      </c>
      <c r="N730" s="31">
        <f>IF($F730=12.5,$H730*$B$28,0)</f>
        <v>0</v>
      </c>
      <c r="O730" s="31">
        <f>IF($F730=16,$H730*$B$29,0)</f>
        <v>0</v>
      </c>
      <c r="P730" s="31">
        <f>IF($F730=20,$H730*$B$30,0)</f>
        <v>0</v>
      </c>
      <c r="Q730" s="49">
        <f>IF($F730=25,$H730*$B$31,0)</f>
        <v>0</v>
      </c>
    </row>
    <row r="731" spans="4:17" s="16" customFormat="1" ht="13.2" x14ac:dyDescent="0.25">
      <c r="D731" s="235">
        <v>24</v>
      </c>
      <c r="E731" s="240">
        <v>3</v>
      </c>
      <c r="F731" s="241">
        <v>10</v>
      </c>
      <c r="G731" s="242">
        <v>7.14</v>
      </c>
      <c r="H731" s="239">
        <f>E731*G731</f>
        <v>21.419999999999998</v>
      </c>
      <c r="I731" s="131">
        <f>IF($F731=4.2,H731*$B$23,0)</f>
        <v>0</v>
      </c>
      <c r="J731" s="31">
        <f>IF($F731=5,$H731*$B$24,0)</f>
        <v>0</v>
      </c>
      <c r="K731" s="31">
        <f>IF($F731=6.3,$H731*$B$25,0)</f>
        <v>0</v>
      </c>
      <c r="L731" s="31">
        <f>IF($F731=8,$H731*$B$26,0)</f>
        <v>0</v>
      </c>
      <c r="M731" s="31">
        <f>IF($F731=10,$H731*$B$27,0)</f>
        <v>13.216139999999999</v>
      </c>
      <c r="N731" s="31">
        <f>IF($F731=12.5,$H731*$B$28,0)</f>
        <v>0</v>
      </c>
      <c r="O731" s="31">
        <f>IF($F731=16,$H731*$B$29,0)</f>
        <v>0</v>
      </c>
      <c r="P731" s="31">
        <f>IF($F731=20,$H731*$B$30,0)</f>
        <v>0</v>
      </c>
      <c r="Q731" s="49">
        <f>IF($F731=25,$H731*$B$31,0)</f>
        <v>0</v>
      </c>
    </row>
    <row r="732" spans="4:17" s="16" customFormat="1" ht="13.2" x14ac:dyDescent="0.25">
      <c r="D732" s="235">
        <v>35</v>
      </c>
      <c r="E732" s="240">
        <v>2</v>
      </c>
      <c r="F732" s="241">
        <v>12.5</v>
      </c>
      <c r="G732" s="242">
        <v>7.73</v>
      </c>
      <c r="H732" s="239">
        <f>E732*G732</f>
        <v>15.46</v>
      </c>
      <c r="I732" s="131">
        <f>IF($F732=4.2,H732*$B$23,0)</f>
        <v>0</v>
      </c>
      <c r="J732" s="31">
        <f>IF($F732=5,$H732*$B$24,0)</f>
        <v>0</v>
      </c>
      <c r="K732" s="31">
        <f>IF($F732=6.3,$H732*$B$25,0)</f>
        <v>0</v>
      </c>
      <c r="L732" s="31">
        <f>IF($F732=8,$H732*$B$26,0)</f>
        <v>0</v>
      </c>
      <c r="M732" s="31">
        <f>IF($F732=10,$H732*$B$27,0)</f>
        <v>0</v>
      </c>
      <c r="N732" s="31">
        <f>IF($F732=12.5,$H732*$B$28,0)</f>
        <v>14.887980000000001</v>
      </c>
      <c r="O732" s="31">
        <f>IF($F732=16,$H732*$B$29,0)</f>
        <v>0</v>
      </c>
      <c r="P732" s="31">
        <f>IF($F732=20,$H732*$B$30,0)</f>
        <v>0</v>
      </c>
      <c r="Q732" s="49">
        <f>IF($F732=25,$H732*$B$31,0)</f>
        <v>0</v>
      </c>
    </row>
    <row r="733" spans="4:17" s="16" customFormat="1" ht="13.8" thickBot="1" x14ac:dyDescent="0.3">
      <c r="D733" s="307"/>
      <c r="E733" s="26"/>
      <c r="F733" s="206"/>
      <c r="G733" s="207"/>
      <c r="H733" s="207"/>
      <c r="I733" s="51"/>
      <c r="J733" s="308"/>
      <c r="K733" s="308"/>
      <c r="L733" s="308"/>
      <c r="M733" s="308"/>
      <c r="N733" s="308"/>
      <c r="O733" s="308"/>
      <c r="P733" s="308"/>
      <c r="Q733" s="309"/>
    </row>
    <row r="734" spans="4:17" s="16" customFormat="1" ht="13.2" x14ac:dyDescent="0.25">
      <c r="D734" s="796" t="s">
        <v>1553</v>
      </c>
      <c r="E734" s="797"/>
      <c r="F734" s="797"/>
      <c r="G734" s="797"/>
      <c r="H734" s="797"/>
      <c r="I734" s="47">
        <f>SUM(I735:I738)</f>
        <v>0</v>
      </c>
      <c r="J734" s="47">
        <f t="shared" ref="J734:Q734" si="1019">SUM(J735:J738)</f>
        <v>2.8382199999999997</v>
      </c>
      <c r="K734" s="47">
        <f t="shared" si="1019"/>
        <v>0</v>
      </c>
      <c r="L734" s="47">
        <f t="shared" si="1019"/>
        <v>3.5471000000000004</v>
      </c>
      <c r="M734" s="47">
        <f t="shared" si="1019"/>
        <v>8.008659999999999</v>
      </c>
      <c r="N734" s="47">
        <f t="shared" si="1019"/>
        <v>0</v>
      </c>
      <c r="O734" s="47">
        <f t="shared" si="1019"/>
        <v>0</v>
      </c>
      <c r="P734" s="47">
        <f t="shared" si="1019"/>
        <v>0</v>
      </c>
      <c r="Q734" s="47">
        <f t="shared" si="1019"/>
        <v>0</v>
      </c>
    </row>
    <row r="735" spans="4:17" s="16" customFormat="1" ht="13.2" x14ac:dyDescent="0.25">
      <c r="D735" s="235">
        <v>1</v>
      </c>
      <c r="E735" s="237">
        <v>19</v>
      </c>
      <c r="F735" s="238">
        <v>5</v>
      </c>
      <c r="G735" s="239">
        <v>0.97</v>
      </c>
      <c r="H735" s="239">
        <f>E735*G735</f>
        <v>18.43</v>
      </c>
      <c r="I735" s="131">
        <f>IF($F735=4.2,H735*$B$23,0)</f>
        <v>0</v>
      </c>
      <c r="J735" s="31">
        <f>IF($F735=5,$H735*$B$24,0)</f>
        <v>2.8382199999999997</v>
      </c>
      <c r="K735" s="31">
        <f>IF($F735=6.3,$H735*$B$25,0)</f>
        <v>0</v>
      </c>
      <c r="L735" s="31">
        <f>IF($F735=8,$H735*$B$26,0)</f>
        <v>0</v>
      </c>
      <c r="M735" s="31">
        <f>IF($F735=10,$H735*$B$27,0)</f>
        <v>0</v>
      </c>
      <c r="N735" s="31">
        <f>IF($F735=12.5,$H735*$B$28,0)</f>
        <v>0</v>
      </c>
      <c r="O735" s="31">
        <f>IF($F735=16,$H735*$B$29,0)</f>
        <v>0</v>
      </c>
      <c r="P735" s="31">
        <f>IF($F735=20,$H735*$B$30,0)</f>
        <v>0</v>
      </c>
      <c r="Q735" s="49">
        <f>IF($F735=25,$H735*$B$31,0)</f>
        <v>0</v>
      </c>
    </row>
    <row r="736" spans="4:17" s="16" customFormat="1" ht="13.2" x14ac:dyDescent="0.25">
      <c r="D736" s="235">
        <v>7</v>
      </c>
      <c r="E736" s="240">
        <v>2</v>
      </c>
      <c r="F736" s="241">
        <v>8</v>
      </c>
      <c r="G736" s="242">
        <v>4.49</v>
      </c>
      <c r="H736" s="239">
        <f>E736*G736</f>
        <v>8.98</v>
      </c>
      <c r="I736" s="131">
        <f>IF($F736=4.2,H736*$B$23,0)</f>
        <v>0</v>
      </c>
      <c r="J736" s="31">
        <f>IF($F736=5,$H736*$B$24,0)</f>
        <v>0</v>
      </c>
      <c r="K736" s="31">
        <f>IF($F736=6.3,$H736*$B$25,0)</f>
        <v>0</v>
      </c>
      <c r="L736" s="31">
        <f>IF($F736=8,$H736*$B$26,0)</f>
        <v>3.5471000000000004</v>
      </c>
      <c r="M736" s="31">
        <f>IF($F736=10,$H736*$B$27,0)</f>
        <v>0</v>
      </c>
      <c r="N736" s="31">
        <f>IF($F736=12.5,$H736*$B$28,0)</f>
        <v>0</v>
      </c>
      <c r="O736" s="31">
        <f>IF($F736=16,$H736*$B$29,0)</f>
        <v>0</v>
      </c>
      <c r="P736" s="31">
        <f>IF($F736=20,$H736*$B$30,0)</f>
        <v>0</v>
      </c>
      <c r="Q736" s="49">
        <f>IF($F736=25,$H736*$B$31,0)</f>
        <v>0</v>
      </c>
    </row>
    <row r="737" spans="4:17" s="16" customFormat="1" ht="13.2" x14ac:dyDescent="0.25">
      <c r="D737" s="235">
        <v>31</v>
      </c>
      <c r="E737" s="240">
        <v>2</v>
      </c>
      <c r="F737" s="241">
        <v>10</v>
      </c>
      <c r="G737" s="242">
        <v>2.2999999999999998</v>
      </c>
      <c r="H737" s="239">
        <f>E737*G737</f>
        <v>4.5999999999999996</v>
      </c>
      <c r="I737" s="131">
        <f>IF($F737=4.2,H737*$B$23,0)</f>
        <v>0</v>
      </c>
      <c r="J737" s="31">
        <f>IF($F737=5,$H737*$B$24,0)</f>
        <v>0</v>
      </c>
      <c r="K737" s="31">
        <f>IF($F737=6.3,$H737*$B$25,0)</f>
        <v>0</v>
      </c>
      <c r="L737" s="31">
        <f>IF($F737=8,$H737*$B$26,0)</f>
        <v>0</v>
      </c>
      <c r="M737" s="31">
        <f>IF($F737=10,$H737*$B$27,0)</f>
        <v>2.8381999999999996</v>
      </c>
      <c r="N737" s="31">
        <f>IF($F737=12.5,$H737*$B$28,0)</f>
        <v>0</v>
      </c>
      <c r="O737" s="31">
        <f>IF($F737=16,$H737*$B$29,0)</f>
        <v>0</v>
      </c>
      <c r="P737" s="31">
        <f>IF($F737=20,$H737*$B$30,0)</f>
        <v>0</v>
      </c>
      <c r="Q737" s="49">
        <f>IF($F737=25,$H737*$B$31,0)</f>
        <v>0</v>
      </c>
    </row>
    <row r="738" spans="4:17" s="16" customFormat="1" ht="13.2" x14ac:dyDescent="0.25">
      <c r="D738" s="235">
        <v>32</v>
      </c>
      <c r="E738" s="240">
        <v>2</v>
      </c>
      <c r="F738" s="241">
        <v>10</v>
      </c>
      <c r="G738" s="242">
        <v>4.1900000000000004</v>
      </c>
      <c r="H738" s="239">
        <f>E738*G738</f>
        <v>8.3800000000000008</v>
      </c>
      <c r="I738" s="131">
        <f>IF($F738=4.2,H738*$B$23,0)</f>
        <v>0</v>
      </c>
      <c r="J738" s="31">
        <f>IF($F738=5,$H738*$B$24,0)</f>
        <v>0</v>
      </c>
      <c r="K738" s="31">
        <f>IF($F738=6.3,$H738*$B$25,0)</f>
        <v>0</v>
      </c>
      <c r="L738" s="31">
        <f>IF($F738=8,$H738*$B$26,0)</f>
        <v>0</v>
      </c>
      <c r="M738" s="31">
        <f>IF($F738=10,$H738*$B$27,0)</f>
        <v>5.1704600000000003</v>
      </c>
      <c r="N738" s="31">
        <f>IF($F738=12.5,$H738*$B$28,0)</f>
        <v>0</v>
      </c>
      <c r="O738" s="31">
        <f>IF($F738=16,$H738*$B$29,0)</f>
        <v>0</v>
      </c>
      <c r="P738" s="31">
        <f>IF($F738=20,$H738*$B$30,0)</f>
        <v>0</v>
      </c>
      <c r="Q738" s="49">
        <f>IF($F738=25,$H738*$B$31,0)</f>
        <v>0</v>
      </c>
    </row>
    <row r="739" spans="4:17" s="16" customFormat="1" ht="13.8" thickBot="1" x14ac:dyDescent="0.3">
      <c r="D739" s="307"/>
      <c r="E739" s="26"/>
      <c r="F739" s="206"/>
      <c r="G739" s="207"/>
      <c r="H739" s="207"/>
      <c r="I739" s="51"/>
      <c r="J739" s="308"/>
      <c r="K739" s="308"/>
      <c r="L739" s="308"/>
      <c r="M739" s="308"/>
      <c r="N739" s="308"/>
      <c r="O739" s="308"/>
      <c r="P739" s="308"/>
      <c r="Q739" s="309"/>
    </row>
    <row r="740" spans="4:17" s="16" customFormat="1" ht="13.2" x14ac:dyDescent="0.25">
      <c r="D740" s="796" t="s">
        <v>1554</v>
      </c>
      <c r="E740" s="797"/>
      <c r="F740" s="797"/>
      <c r="G740" s="797"/>
      <c r="H740" s="797"/>
      <c r="I740" s="47">
        <f>SUM(I741:I746)</f>
        <v>0</v>
      </c>
      <c r="J740" s="47">
        <f t="shared" ref="J740:Q740" si="1020">SUM(J741:J746)</f>
        <v>6.4233399999999996</v>
      </c>
      <c r="K740" s="47">
        <f t="shared" si="1020"/>
        <v>0</v>
      </c>
      <c r="L740" s="47">
        <f t="shared" si="1020"/>
        <v>9.7170000000000005</v>
      </c>
      <c r="M740" s="47">
        <f t="shared" si="1020"/>
        <v>13.253159999999999</v>
      </c>
      <c r="N740" s="47">
        <f t="shared" si="1020"/>
        <v>0</v>
      </c>
      <c r="O740" s="47">
        <f t="shared" si="1020"/>
        <v>0</v>
      </c>
      <c r="P740" s="47">
        <f t="shared" si="1020"/>
        <v>0</v>
      </c>
      <c r="Q740" s="47">
        <f t="shared" si="1020"/>
        <v>0</v>
      </c>
    </row>
    <row r="741" spans="4:17" s="16" customFormat="1" ht="13.2" x14ac:dyDescent="0.25">
      <c r="D741" s="235">
        <v>1</v>
      </c>
      <c r="E741" s="237">
        <v>43</v>
      </c>
      <c r="F741" s="238">
        <v>5</v>
      </c>
      <c r="G741" s="239">
        <v>0.97</v>
      </c>
      <c r="H741" s="239">
        <f t="shared" ref="H741:H746" si="1021">E741*G741</f>
        <v>41.71</v>
      </c>
      <c r="I741" s="131">
        <f t="shared" ref="I741:I746" si="1022">IF($F741=4.2,H741*$B$23,0)</f>
        <v>0</v>
      </c>
      <c r="J741" s="31">
        <f t="shared" ref="J741:J746" si="1023">IF($F741=5,$H741*$B$24,0)</f>
        <v>6.4233399999999996</v>
      </c>
      <c r="K741" s="31">
        <f t="shared" ref="K741:K746" si="1024">IF($F741=6.3,$H741*$B$25,0)</f>
        <v>0</v>
      </c>
      <c r="L741" s="31">
        <f t="shared" ref="L741:L746" si="1025">IF($F741=8,$H741*$B$26,0)</f>
        <v>0</v>
      </c>
      <c r="M741" s="31">
        <f t="shared" ref="M741:M746" si="1026">IF($F741=10,$H741*$B$27,0)</f>
        <v>0</v>
      </c>
      <c r="N741" s="31">
        <f t="shared" ref="N741:N746" si="1027">IF($F741=12.5,$H741*$B$28,0)</f>
        <v>0</v>
      </c>
      <c r="O741" s="31">
        <f t="shared" ref="O741:O746" si="1028">IF($F741=16,$H741*$B$29,0)</f>
        <v>0</v>
      </c>
      <c r="P741" s="31">
        <f t="shared" ref="P741:P746" si="1029">IF($F741=20,$H741*$B$30,0)</f>
        <v>0</v>
      </c>
      <c r="Q741" s="49">
        <f t="shared" ref="Q741:Q746" si="1030">IF($F741=25,$H741*$B$31,0)</f>
        <v>0</v>
      </c>
    </row>
    <row r="742" spans="4:17" s="16" customFormat="1" ht="13.2" x14ac:dyDescent="0.25">
      <c r="D742" s="235">
        <v>8</v>
      </c>
      <c r="E742" s="240">
        <v>1</v>
      </c>
      <c r="F742" s="241">
        <v>8</v>
      </c>
      <c r="G742" s="242">
        <v>1.85</v>
      </c>
      <c r="H742" s="239">
        <f t="shared" si="1021"/>
        <v>1.85</v>
      </c>
      <c r="I742" s="131">
        <f t="shared" si="1022"/>
        <v>0</v>
      </c>
      <c r="J742" s="31">
        <f t="shared" si="1023"/>
        <v>0</v>
      </c>
      <c r="K742" s="31">
        <f t="shared" si="1024"/>
        <v>0</v>
      </c>
      <c r="L742" s="31">
        <f t="shared" si="1025"/>
        <v>0.73075000000000012</v>
      </c>
      <c r="M742" s="31">
        <f t="shared" si="1026"/>
        <v>0</v>
      </c>
      <c r="N742" s="31">
        <f t="shared" si="1027"/>
        <v>0</v>
      </c>
      <c r="O742" s="31">
        <f t="shared" si="1028"/>
        <v>0</v>
      </c>
      <c r="P742" s="31">
        <f t="shared" si="1029"/>
        <v>0</v>
      </c>
      <c r="Q742" s="49">
        <f t="shared" si="1030"/>
        <v>0</v>
      </c>
    </row>
    <row r="743" spans="4:17" s="16" customFormat="1" ht="13.2" x14ac:dyDescent="0.25">
      <c r="D743" s="235">
        <v>9</v>
      </c>
      <c r="E743" s="240">
        <v>1</v>
      </c>
      <c r="F743" s="241">
        <v>8</v>
      </c>
      <c r="G743" s="242">
        <v>1.27</v>
      </c>
      <c r="H743" s="239">
        <f t="shared" si="1021"/>
        <v>1.27</v>
      </c>
      <c r="I743" s="131">
        <f t="shared" si="1022"/>
        <v>0</v>
      </c>
      <c r="J743" s="31">
        <f t="shared" si="1023"/>
        <v>0</v>
      </c>
      <c r="K743" s="31">
        <f t="shared" si="1024"/>
        <v>0</v>
      </c>
      <c r="L743" s="31">
        <f t="shared" si="1025"/>
        <v>0.50165000000000004</v>
      </c>
      <c r="M743" s="31">
        <f t="shared" si="1026"/>
        <v>0</v>
      </c>
      <c r="N743" s="31">
        <f t="shared" si="1027"/>
        <v>0</v>
      </c>
      <c r="O743" s="31">
        <f t="shared" si="1028"/>
        <v>0</v>
      </c>
      <c r="P743" s="31">
        <f t="shared" si="1029"/>
        <v>0</v>
      </c>
      <c r="Q743" s="49">
        <f t="shared" si="1030"/>
        <v>0</v>
      </c>
    </row>
    <row r="744" spans="4:17" s="16" customFormat="1" ht="13.2" x14ac:dyDescent="0.25">
      <c r="D744" s="235">
        <v>10</v>
      </c>
      <c r="E744" s="240">
        <v>2</v>
      </c>
      <c r="F744" s="241">
        <v>8</v>
      </c>
      <c r="G744" s="242">
        <v>10.74</v>
      </c>
      <c r="H744" s="239">
        <f t="shared" si="1021"/>
        <v>21.48</v>
      </c>
      <c r="I744" s="131">
        <f t="shared" si="1022"/>
        <v>0</v>
      </c>
      <c r="J744" s="31">
        <f t="shared" si="1023"/>
        <v>0</v>
      </c>
      <c r="K744" s="31">
        <f t="shared" si="1024"/>
        <v>0</v>
      </c>
      <c r="L744" s="31">
        <f t="shared" si="1025"/>
        <v>8.4846000000000004</v>
      </c>
      <c r="M744" s="31">
        <f t="shared" si="1026"/>
        <v>0</v>
      </c>
      <c r="N744" s="31">
        <f t="shared" si="1027"/>
        <v>0</v>
      </c>
      <c r="O744" s="31">
        <f t="shared" si="1028"/>
        <v>0</v>
      </c>
      <c r="P744" s="31">
        <f t="shared" si="1029"/>
        <v>0</v>
      </c>
      <c r="Q744" s="49">
        <f t="shared" si="1030"/>
        <v>0</v>
      </c>
    </row>
    <row r="745" spans="4:17" s="16" customFormat="1" ht="13.2" x14ac:dyDescent="0.25">
      <c r="D745" s="235">
        <v>33</v>
      </c>
      <c r="E745" s="240">
        <v>2</v>
      </c>
      <c r="F745" s="241">
        <v>10</v>
      </c>
      <c r="G745" s="242">
        <v>10.74</v>
      </c>
      <c r="H745" s="239">
        <f t="shared" si="1021"/>
        <v>21.48</v>
      </c>
      <c r="I745" s="131">
        <f t="shared" si="1022"/>
        <v>0</v>
      </c>
      <c r="J745" s="31">
        <f t="shared" si="1023"/>
        <v>0</v>
      </c>
      <c r="K745" s="31">
        <f t="shared" si="1024"/>
        <v>0</v>
      </c>
      <c r="L745" s="31">
        <f t="shared" si="1025"/>
        <v>0</v>
      </c>
      <c r="M745" s="31">
        <f t="shared" si="1026"/>
        <v>13.253159999999999</v>
      </c>
      <c r="N745" s="31">
        <f t="shared" si="1027"/>
        <v>0</v>
      </c>
      <c r="O745" s="31">
        <f t="shared" si="1028"/>
        <v>0</v>
      </c>
      <c r="P745" s="31">
        <f t="shared" si="1029"/>
        <v>0</v>
      </c>
      <c r="Q745" s="49">
        <f t="shared" si="1030"/>
        <v>0</v>
      </c>
    </row>
    <row r="746" spans="4:17" s="16" customFormat="1" ht="13.2" x14ac:dyDescent="0.25">
      <c r="D746" s="235"/>
      <c r="E746" s="240"/>
      <c r="F746" s="241"/>
      <c r="G746" s="242"/>
      <c r="H746" s="239">
        <f t="shared" si="1021"/>
        <v>0</v>
      </c>
      <c r="I746" s="131">
        <f t="shared" si="1022"/>
        <v>0</v>
      </c>
      <c r="J746" s="31">
        <f t="shared" si="1023"/>
        <v>0</v>
      </c>
      <c r="K746" s="31">
        <f t="shared" si="1024"/>
        <v>0</v>
      </c>
      <c r="L746" s="31">
        <f t="shared" si="1025"/>
        <v>0</v>
      </c>
      <c r="M746" s="31">
        <f t="shared" si="1026"/>
        <v>0</v>
      </c>
      <c r="N746" s="31">
        <f t="shared" si="1027"/>
        <v>0</v>
      </c>
      <c r="O746" s="31">
        <f t="shared" si="1028"/>
        <v>0</v>
      </c>
      <c r="P746" s="31">
        <f t="shared" si="1029"/>
        <v>0</v>
      </c>
      <c r="Q746" s="49">
        <f t="shared" si="1030"/>
        <v>0</v>
      </c>
    </row>
    <row r="747" spans="4:17" s="16" customFormat="1" ht="13.8" thickBot="1" x14ac:dyDescent="0.3">
      <c r="D747" s="307"/>
      <c r="E747" s="26"/>
      <c r="F747" s="206"/>
      <c r="G747" s="207"/>
      <c r="H747" s="207"/>
      <c r="I747" s="51"/>
      <c r="J747" s="308"/>
      <c r="K747" s="308"/>
      <c r="L747" s="308"/>
      <c r="M747" s="308"/>
      <c r="N747" s="308"/>
      <c r="O747" s="308"/>
      <c r="P747" s="308"/>
      <c r="Q747" s="309"/>
    </row>
    <row r="748" spans="4:17" s="16" customFormat="1" ht="13.2" x14ac:dyDescent="0.25">
      <c r="D748" s="796" t="s">
        <v>1555</v>
      </c>
      <c r="E748" s="797"/>
      <c r="F748" s="797"/>
      <c r="G748" s="797"/>
      <c r="H748" s="797"/>
      <c r="I748" s="47">
        <f t="shared" ref="I748:Q748" si="1031">SUM(I749:I750)</f>
        <v>0</v>
      </c>
      <c r="J748" s="47">
        <f t="shared" si="1031"/>
        <v>2.3900799999999998</v>
      </c>
      <c r="K748" s="47">
        <f t="shared" si="1031"/>
        <v>0</v>
      </c>
      <c r="L748" s="47">
        <f t="shared" si="1031"/>
        <v>7.0310000000000006</v>
      </c>
      <c r="M748" s="47">
        <f t="shared" si="1031"/>
        <v>0</v>
      </c>
      <c r="N748" s="47">
        <f t="shared" si="1031"/>
        <v>0</v>
      </c>
      <c r="O748" s="47">
        <f t="shared" si="1031"/>
        <v>0</v>
      </c>
      <c r="P748" s="47">
        <f t="shared" si="1031"/>
        <v>0</v>
      </c>
      <c r="Q748" s="47">
        <f t="shared" si="1031"/>
        <v>0</v>
      </c>
    </row>
    <row r="749" spans="4:17" s="16" customFormat="1" ht="13.2" x14ac:dyDescent="0.25">
      <c r="D749" s="235">
        <v>1</v>
      </c>
      <c r="E749" s="237">
        <f>4*4</f>
        <v>16</v>
      </c>
      <c r="F749" s="238">
        <v>5</v>
      </c>
      <c r="G749" s="239">
        <v>0.97</v>
      </c>
      <c r="H749" s="239">
        <f>E749*G749</f>
        <v>15.52</v>
      </c>
      <c r="I749" s="131">
        <f>IF($F749=4.2,H749*$B$23,0)</f>
        <v>0</v>
      </c>
      <c r="J749" s="31">
        <f>IF($F749=5,$H749*$B$24,0)</f>
        <v>2.3900799999999998</v>
      </c>
      <c r="K749" s="31">
        <f>IF($F749=6.3,$H749*$B$25,0)</f>
        <v>0</v>
      </c>
      <c r="L749" s="31">
        <f>IF($F749=8,$H749*$B$26,0)</f>
        <v>0</v>
      </c>
      <c r="M749" s="31">
        <f>IF($F749=10,$H749*$B$27,0)</f>
        <v>0</v>
      </c>
      <c r="N749" s="31">
        <f>IF($F749=12.5,$H749*$B$28,0)</f>
        <v>0</v>
      </c>
      <c r="O749" s="31">
        <f>IF($F749=16,$H749*$B$29,0)</f>
        <v>0</v>
      </c>
      <c r="P749" s="31">
        <f>IF($F749=20,$H749*$B$30,0)</f>
        <v>0</v>
      </c>
      <c r="Q749" s="49">
        <f>IF($F749=25,$H749*$B$31,0)</f>
        <v>0</v>
      </c>
    </row>
    <row r="750" spans="4:17" s="16" customFormat="1" ht="13.2" x14ac:dyDescent="0.25">
      <c r="D750" s="235">
        <v>11</v>
      </c>
      <c r="E750" s="240">
        <f>4*5</f>
        <v>20</v>
      </c>
      <c r="F750" s="241">
        <v>8</v>
      </c>
      <c r="G750" s="242">
        <v>0.89</v>
      </c>
      <c r="H750" s="239">
        <f>E750*G750</f>
        <v>17.8</v>
      </c>
      <c r="I750" s="131">
        <f>IF($F750=4.2,H750*$B$23,0)</f>
        <v>0</v>
      </c>
      <c r="J750" s="31">
        <f>IF($F750=5,$H750*$B$24,0)</f>
        <v>0</v>
      </c>
      <c r="K750" s="31">
        <f>IF($F750=6.3,$H750*$B$25,0)</f>
        <v>0</v>
      </c>
      <c r="L750" s="31">
        <f>IF($F750=8,$H750*$B$26,0)</f>
        <v>7.0310000000000006</v>
      </c>
      <c r="M750" s="31">
        <f>IF($F750=10,$H750*$B$27,0)</f>
        <v>0</v>
      </c>
      <c r="N750" s="31">
        <f>IF($F750=12.5,$H750*$B$28,0)</f>
        <v>0</v>
      </c>
      <c r="O750" s="31">
        <f>IF($F750=16,$H750*$B$29,0)</f>
        <v>0</v>
      </c>
      <c r="P750" s="31">
        <f>IF($F750=20,$H750*$B$30,0)</f>
        <v>0</v>
      </c>
      <c r="Q750" s="49">
        <f>IF($F750=25,$H750*$B$31,0)</f>
        <v>0</v>
      </c>
    </row>
    <row r="751" spans="4:17" s="16" customFormat="1" ht="13.8" thickBot="1" x14ac:dyDescent="0.3">
      <c r="D751" s="307"/>
      <c r="E751" s="26"/>
      <c r="F751" s="206"/>
      <c r="G751" s="207"/>
      <c r="H751" s="207"/>
      <c r="I751" s="51"/>
      <c r="J751" s="308"/>
      <c r="K751" s="308"/>
      <c r="L751" s="308"/>
      <c r="M751" s="308"/>
      <c r="N751" s="308"/>
      <c r="O751" s="308"/>
      <c r="P751" s="308"/>
      <c r="Q751" s="309"/>
    </row>
    <row r="752" spans="4:17" s="16" customFormat="1" ht="13.2" x14ac:dyDescent="0.25">
      <c r="D752" s="796" t="s">
        <v>1556</v>
      </c>
      <c r="E752" s="797"/>
      <c r="F752" s="797"/>
      <c r="G752" s="797"/>
      <c r="H752" s="797"/>
      <c r="I752" s="47">
        <f t="shared" ref="I752:Q752" si="1032">SUM(I753:I754)</f>
        <v>0</v>
      </c>
      <c r="J752" s="47">
        <f t="shared" si="1032"/>
        <v>20.614439999999998</v>
      </c>
      <c r="K752" s="47">
        <f t="shared" si="1032"/>
        <v>0</v>
      </c>
      <c r="L752" s="47">
        <f t="shared" si="1032"/>
        <v>50.907600000000002</v>
      </c>
      <c r="M752" s="47">
        <f t="shared" si="1032"/>
        <v>0</v>
      </c>
      <c r="N752" s="47">
        <f t="shared" si="1032"/>
        <v>0</v>
      </c>
      <c r="O752" s="47">
        <f t="shared" si="1032"/>
        <v>0</v>
      </c>
      <c r="P752" s="47">
        <f t="shared" si="1032"/>
        <v>0</v>
      </c>
      <c r="Q752" s="47">
        <f t="shared" si="1032"/>
        <v>0</v>
      </c>
    </row>
    <row r="753" spans="4:17" s="16" customFormat="1" ht="13.2" x14ac:dyDescent="0.25">
      <c r="D753" s="235">
        <v>1</v>
      </c>
      <c r="E753" s="237">
        <f>3*46</f>
        <v>138</v>
      </c>
      <c r="F753" s="238">
        <v>5</v>
      </c>
      <c r="G753" s="239">
        <v>0.97</v>
      </c>
      <c r="H753" s="239">
        <f>E753*G753</f>
        <v>133.85999999999999</v>
      </c>
      <c r="I753" s="131">
        <f>IF($F753=4.2,H753*$B$23,0)</f>
        <v>0</v>
      </c>
      <c r="J753" s="31">
        <f>IF($F753=5,$H753*$B$24,0)</f>
        <v>20.614439999999998</v>
      </c>
      <c r="K753" s="31">
        <f>IF($F753=6.3,$H753*$B$25,0)</f>
        <v>0</v>
      </c>
      <c r="L753" s="31">
        <f>IF($F753=8,$H753*$B$26,0)</f>
        <v>0</v>
      </c>
      <c r="M753" s="31">
        <f>IF($F753=10,$H753*$B$27,0)</f>
        <v>0</v>
      </c>
      <c r="N753" s="31">
        <f>IF($F753=12.5,$H753*$B$28,0)</f>
        <v>0</v>
      </c>
      <c r="O753" s="31">
        <f>IF($F753=16,$H753*$B$29,0)</f>
        <v>0</v>
      </c>
      <c r="P753" s="31">
        <f>IF($F753=20,$H753*$B$30,0)</f>
        <v>0</v>
      </c>
      <c r="Q753" s="49">
        <f>IF($F753=25,$H753*$B$31,0)</f>
        <v>0</v>
      </c>
    </row>
    <row r="754" spans="4:17" s="16" customFormat="1" ht="13.2" x14ac:dyDescent="0.25">
      <c r="D754" s="235">
        <v>10</v>
      </c>
      <c r="E754" s="240">
        <f>3*4</f>
        <v>12</v>
      </c>
      <c r="F754" s="241">
        <v>8</v>
      </c>
      <c r="G754" s="242">
        <v>10.74</v>
      </c>
      <c r="H754" s="239">
        <f>E754*G754</f>
        <v>128.88</v>
      </c>
      <c r="I754" s="131">
        <f>IF($F754=4.2,H754*$B$23,0)</f>
        <v>0</v>
      </c>
      <c r="J754" s="31">
        <f>IF($F754=5,$H754*$B$24,0)</f>
        <v>0</v>
      </c>
      <c r="K754" s="31">
        <f>IF($F754=6.3,$H754*$B$25,0)</f>
        <v>0</v>
      </c>
      <c r="L754" s="31">
        <f>IF($F754=8,$H754*$B$26,0)</f>
        <v>50.907600000000002</v>
      </c>
      <c r="M754" s="31">
        <f>IF($F754=10,$H754*$B$27,0)</f>
        <v>0</v>
      </c>
      <c r="N754" s="31">
        <f>IF($F754=12.5,$H754*$B$28,0)</f>
        <v>0</v>
      </c>
      <c r="O754" s="31">
        <f>IF($F754=16,$H754*$B$29,0)</f>
        <v>0</v>
      </c>
      <c r="P754" s="31">
        <f>IF($F754=20,$H754*$B$30,0)</f>
        <v>0</v>
      </c>
      <c r="Q754" s="49">
        <f>IF($F754=25,$H754*$B$31,0)</f>
        <v>0</v>
      </c>
    </row>
    <row r="755" spans="4:17" s="16" customFormat="1" ht="13.8" thickBot="1" x14ac:dyDescent="0.3">
      <c r="D755" s="307"/>
      <c r="E755" s="26"/>
      <c r="F755" s="206"/>
      <c r="G755" s="207"/>
      <c r="H755" s="207"/>
      <c r="I755" s="51"/>
      <c r="J755" s="308"/>
      <c r="K755" s="308"/>
      <c r="L755" s="308"/>
      <c r="M755" s="308"/>
      <c r="N755" s="308"/>
      <c r="O755" s="308"/>
      <c r="P755" s="308"/>
      <c r="Q755" s="309"/>
    </row>
    <row r="756" spans="4:17" s="16" customFormat="1" ht="13.2" x14ac:dyDescent="0.25">
      <c r="D756" s="796" t="s">
        <v>1557</v>
      </c>
      <c r="E756" s="797"/>
      <c r="F756" s="797"/>
      <c r="G756" s="797"/>
      <c r="H756" s="797"/>
      <c r="I756" s="47">
        <f t="shared" ref="I756:Q756" si="1033">SUM(I757:I759)</f>
        <v>0</v>
      </c>
      <c r="J756" s="47">
        <f t="shared" si="1033"/>
        <v>1.4937999999999998</v>
      </c>
      <c r="K756" s="47">
        <f t="shared" si="1033"/>
        <v>0</v>
      </c>
      <c r="L756" s="47">
        <f t="shared" si="1033"/>
        <v>6.7387000000000006</v>
      </c>
      <c r="M756" s="47">
        <f t="shared" si="1033"/>
        <v>0</v>
      </c>
      <c r="N756" s="47">
        <f t="shared" si="1033"/>
        <v>0</v>
      </c>
      <c r="O756" s="47">
        <f t="shared" si="1033"/>
        <v>0</v>
      </c>
      <c r="P756" s="47">
        <f t="shared" si="1033"/>
        <v>0</v>
      </c>
      <c r="Q756" s="47">
        <f t="shared" si="1033"/>
        <v>0</v>
      </c>
    </row>
    <row r="757" spans="4:17" s="16" customFormat="1" ht="13.2" x14ac:dyDescent="0.25">
      <c r="D757" s="235">
        <v>1</v>
      </c>
      <c r="E757" s="237">
        <f>2*5</f>
        <v>10</v>
      </c>
      <c r="F757" s="238">
        <v>5</v>
      </c>
      <c r="G757" s="239">
        <v>0.97</v>
      </c>
      <c r="H757" s="239">
        <f>E757*G757</f>
        <v>9.6999999999999993</v>
      </c>
      <c r="I757" s="131">
        <f>IF($F757=4.2,H757*$B$23,0)</f>
        <v>0</v>
      </c>
      <c r="J757" s="31">
        <f>IF($F757=5,$H757*$B$24,0)</f>
        <v>1.4937999999999998</v>
      </c>
      <c r="K757" s="31">
        <f>IF($F757=6.3,$H757*$B$25,0)</f>
        <v>0</v>
      </c>
      <c r="L757" s="31">
        <f>IF($F757=8,$H757*$B$26,0)</f>
        <v>0</v>
      </c>
      <c r="M757" s="31">
        <f>IF($F757=10,$H757*$B$27,0)</f>
        <v>0</v>
      </c>
      <c r="N757" s="31">
        <f>IF($F757=12.5,$H757*$B$28,0)</f>
        <v>0</v>
      </c>
      <c r="O757" s="31">
        <f>IF($F757=16,$H757*$B$29,0)</f>
        <v>0</v>
      </c>
      <c r="P757" s="31">
        <f>IF($F757=20,$H757*$B$30,0)</f>
        <v>0</v>
      </c>
      <c r="Q757" s="49">
        <f>IF($F757=25,$H757*$B$31,0)</f>
        <v>0</v>
      </c>
    </row>
    <row r="758" spans="4:17" s="16" customFormat="1" ht="13.2" x14ac:dyDescent="0.25">
      <c r="D758" s="235">
        <v>11</v>
      </c>
      <c r="E758" s="240">
        <f>2*5</f>
        <v>10</v>
      </c>
      <c r="F758" s="241">
        <v>8</v>
      </c>
      <c r="G758" s="242">
        <v>0.89</v>
      </c>
      <c r="H758" s="239">
        <f>E758*G758</f>
        <v>8.9</v>
      </c>
      <c r="I758" s="131">
        <f>IF($F758=4.2,H758*$B$23,0)</f>
        <v>0</v>
      </c>
      <c r="J758" s="31">
        <f>IF($F758=5,$H758*$B$24,0)</f>
        <v>0</v>
      </c>
      <c r="K758" s="31">
        <f>IF($F758=6.3,$H758*$B$25,0)</f>
        <v>0</v>
      </c>
      <c r="L758" s="31">
        <f>IF($F758=8,$H758*$B$26,0)</f>
        <v>3.5155000000000003</v>
      </c>
      <c r="M758" s="31">
        <f>IF($F758=10,$H758*$B$27,0)</f>
        <v>0</v>
      </c>
      <c r="N758" s="31">
        <f>IF($F758=12.5,$H758*$B$28,0)</f>
        <v>0</v>
      </c>
      <c r="O758" s="31">
        <f>IF($F758=16,$H758*$B$29,0)</f>
        <v>0</v>
      </c>
      <c r="P758" s="31">
        <f>IF($F758=20,$H758*$B$30,0)</f>
        <v>0</v>
      </c>
      <c r="Q758" s="49">
        <f>IF($F758=25,$H758*$B$31,0)</f>
        <v>0</v>
      </c>
    </row>
    <row r="759" spans="4:17" s="16" customFormat="1" ht="13.2" x14ac:dyDescent="0.25">
      <c r="D759" s="235">
        <v>12</v>
      </c>
      <c r="E759" s="240">
        <f>2*4</f>
        <v>8</v>
      </c>
      <c r="F759" s="241">
        <v>8</v>
      </c>
      <c r="G759" s="242">
        <v>1.02</v>
      </c>
      <c r="H759" s="239">
        <f>E759*G759</f>
        <v>8.16</v>
      </c>
      <c r="I759" s="131">
        <f>IF($F759=4.2,H759*$B$23,0)</f>
        <v>0</v>
      </c>
      <c r="J759" s="31">
        <f>IF($F759=5,$H759*$B$24,0)</f>
        <v>0</v>
      </c>
      <c r="K759" s="31">
        <f>IF($F759=6.3,$H759*$B$25,0)</f>
        <v>0</v>
      </c>
      <c r="L759" s="31">
        <f>IF($F759=8,$H759*$B$26,0)</f>
        <v>3.2232000000000003</v>
      </c>
      <c r="M759" s="31">
        <f>IF($F759=10,$H759*$B$27,0)</f>
        <v>0</v>
      </c>
      <c r="N759" s="31">
        <f>IF($F759=12.5,$H759*$B$28,0)</f>
        <v>0</v>
      </c>
      <c r="O759" s="31">
        <f>IF($F759=16,$H759*$B$29,0)</f>
        <v>0</v>
      </c>
      <c r="P759" s="31">
        <f>IF($F759=20,$H759*$B$30,0)</f>
        <v>0</v>
      </c>
      <c r="Q759" s="49">
        <f>IF($F759=25,$H759*$B$31,0)</f>
        <v>0</v>
      </c>
    </row>
    <row r="760" spans="4:17" s="16" customFormat="1" ht="13.8" thickBot="1" x14ac:dyDescent="0.3">
      <c r="D760" s="307"/>
      <c r="E760" s="26"/>
      <c r="F760" s="206"/>
      <c r="G760" s="207"/>
      <c r="H760" s="207"/>
      <c r="I760" s="51"/>
      <c r="J760" s="308"/>
      <c r="K760" s="308"/>
      <c r="L760" s="308"/>
      <c r="M760" s="308"/>
      <c r="N760" s="308"/>
      <c r="O760" s="308"/>
      <c r="P760" s="308"/>
      <c r="Q760" s="309"/>
    </row>
    <row r="761" spans="4:17" s="16" customFormat="1" ht="13.2" x14ac:dyDescent="0.25">
      <c r="D761" s="796" t="s">
        <v>1558</v>
      </c>
      <c r="E761" s="797"/>
      <c r="F761" s="797"/>
      <c r="G761" s="797"/>
      <c r="H761" s="797"/>
      <c r="I761" s="47">
        <f t="shared" ref="I761:Q761" si="1034">SUM(I762:I764)</f>
        <v>0</v>
      </c>
      <c r="J761" s="47">
        <f t="shared" si="1034"/>
        <v>2.9875999999999996</v>
      </c>
      <c r="K761" s="47">
        <f t="shared" si="1034"/>
        <v>0</v>
      </c>
      <c r="L761" s="47">
        <f t="shared" si="1034"/>
        <v>6.7387000000000006</v>
      </c>
      <c r="M761" s="47">
        <f t="shared" si="1034"/>
        <v>0</v>
      </c>
      <c r="N761" s="47">
        <f t="shared" si="1034"/>
        <v>0</v>
      </c>
      <c r="O761" s="47">
        <f t="shared" si="1034"/>
        <v>0</v>
      </c>
      <c r="P761" s="47">
        <f t="shared" si="1034"/>
        <v>0</v>
      </c>
      <c r="Q761" s="47">
        <f t="shared" si="1034"/>
        <v>0</v>
      </c>
    </row>
    <row r="762" spans="4:17" s="16" customFormat="1" ht="13.2" x14ac:dyDescent="0.25">
      <c r="D762" s="235">
        <v>1</v>
      </c>
      <c r="E762" s="237">
        <f>2*10</f>
        <v>20</v>
      </c>
      <c r="F762" s="238">
        <v>5</v>
      </c>
      <c r="G762" s="239">
        <v>0.97</v>
      </c>
      <c r="H762" s="239">
        <f>E762*G762</f>
        <v>19.399999999999999</v>
      </c>
      <c r="I762" s="131">
        <f>IF($F762=4.2,H762*$B$23,0)</f>
        <v>0</v>
      </c>
      <c r="J762" s="31">
        <f>IF($F762=5,$H762*$B$24,0)</f>
        <v>2.9875999999999996</v>
      </c>
      <c r="K762" s="31">
        <f>IF($F762=6.3,$H762*$B$25,0)</f>
        <v>0</v>
      </c>
      <c r="L762" s="31">
        <f>IF($F762=8,$H762*$B$26,0)</f>
        <v>0</v>
      </c>
      <c r="M762" s="31">
        <f>IF($F762=10,$H762*$B$27,0)</f>
        <v>0</v>
      </c>
      <c r="N762" s="31">
        <f>IF($F762=12.5,$H762*$B$28,0)</f>
        <v>0</v>
      </c>
      <c r="O762" s="31">
        <f>IF($F762=16,$H762*$B$29,0)</f>
        <v>0</v>
      </c>
      <c r="P762" s="31">
        <f>IF($F762=20,$H762*$B$30,0)</f>
        <v>0</v>
      </c>
      <c r="Q762" s="49">
        <f>IF($F762=25,$H762*$B$31,0)</f>
        <v>0</v>
      </c>
    </row>
    <row r="763" spans="4:17" s="16" customFormat="1" ht="13.2" x14ac:dyDescent="0.25">
      <c r="D763" s="235">
        <v>11</v>
      </c>
      <c r="E763" s="240">
        <f>2*5</f>
        <v>10</v>
      </c>
      <c r="F763" s="241">
        <v>8</v>
      </c>
      <c r="G763" s="242">
        <v>0.89</v>
      </c>
      <c r="H763" s="239">
        <f>E763*G763</f>
        <v>8.9</v>
      </c>
      <c r="I763" s="131">
        <f>IF($F763=4.2,H763*$B$23,0)</f>
        <v>0</v>
      </c>
      <c r="J763" s="31">
        <f>IF($F763=5,$H763*$B$24,0)</f>
        <v>0</v>
      </c>
      <c r="K763" s="31">
        <f>IF($F763=6.3,$H763*$B$25,0)</f>
        <v>0</v>
      </c>
      <c r="L763" s="31">
        <f>IF($F763=8,$H763*$B$26,0)</f>
        <v>3.5155000000000003</v>
      </c>
      <c r="M763" s="31">
        <f>IF($F763=10,$H763*$B$27,0)</f>
        <v>0</v>
      </c>
      <c r="N763" s="31">
        <f>IF($F763=12.5,$H763*$B$28,0)</f>
        <v>0</v>
      </c>
      <c r="O763" s="31">
        <f>IF($F763=16,$H763*$B$29,0)</f>
        <v>0</v>
      </c>
      <c r="P763" s="31">
        <f>IF($F763=20,$H763*$B$30,0)</f>
        <v>0</v>
      </c>
      <c r="Q763" s="49">
        <f>IF($F763=25,$H763*$B$31,0)</f>
        <v>0</v>
      </c>
    </row>
    <row r="764" spans="4:17" s="16" customFormat="1" ht="13.2" x14ac:dyDescent="0.25">
      <c r="D764" s="235">
        <v>12</v>
      </c>
      <c r="E764" s="240">
        <f>2*4</f>
        <v>8</v>
      </c>
      <c r="F764" s="241">
        <v>8</v>
      </c>
      <c r="G764" s="242">
        <v>1.02</v>
      </c>
      <c r="H764" s="239">
        <f>E764*G764</f>
        <v>8.16</v>
      </c>
      <c r="I764" s="131">
        <f>IF($F764=4.2,H764*$B$23,0)</f>
        <v>0</v>
      </c>
      <c r="J764" s="31">
        <f>IF($F764=5,$H764*$B$24,0)</f>
        <v>0</v>
      </c>
      <c r="K764" s="31">
        <f>IF($F764=6.3,$H764*$B$25,0)</f>
        <v>0</v>
      </c>
      <c r="L764" s="31">
        <f>IF($F764=8,$H764*$B$26,0)</f>
        <v>3.2232000000000003</v>
      </c>
      <c r="M764" s="31">
        <f>IF($F764=10,$H764*$B$27,0)</f>
        <v>0</v>
      </c>
      <c r="N764" s="31">
        <f>IF($F764=12.5,$H764*$B$28,0)</f>
        <v>0</v>
      </c>
      <c r="O764" s="31">
        <f>IF($F764=16,$H764*$B$29,0)</f>
        <v>0</v>
      </c>
      <c r="P764" s="31">
        <f>IF($F764=20,$H764*$B$30,0)</f>
        <v>0</v>
      </c>
      <c r="Q764" s="49">
        <f>IF($F764=25,$H764*$B$31,0)</f>
        <v>0</v>
      </c>
    </row>
    <row r="765" spans="4:17" s="16" customFormat="1" ht="13.8" thickBot="1" x14ac:dyDescent="0.3">
      <c r="D765" s="307"/>
      <c r="E765" s="26"/>
      <c r="F765" s="206"/>
      <c r="G765" s="207"/>
      <c r="H765" s="207"/>
      <c r="I765" s="51"/>
      <c r="J765" s="308"/>
      <c r="K765" s="308"/>
      <c r="L765" s="308"/>
      <c r="M765" s="308"/>
      <c r="N765" s="308"/>
      <c r="O765" s="308"/>
      <c r="P765" s="308"/>
      <c r="Q765" s="309"/>
    </row>
    <row r="766" spans="4:17" s="16" customFormat="1" ht="13.2" x14ac:dyDescent="0.25">
      <c r="D766" s="796" t="s">
        <v>1559</v>
      </c>
      <c r="E766" s="797"/>
      <c r="F766" s="797"/>
      <c r="G766" s="797"/>
      <c r="H766" s="797"/>
      <c r="I766" s="47">
        <f t="shared" ref="I766:Q766" si="1035">SUM(I767:I769)</f>
        <v>0</v>
      </c>
      <c r="J766" s="47">
        <f t="shared" si="1035"/>
        <v>5.3776799999999998</v>
      </c>
      <c r="K766" s="47">
        <f t="shared" si="1035"/>
        <v>0</v>
      </c>
      <c r="L766" s="47">
        <f t="shared" si="1035"/>
        <v>13.3352</v>
      </c>
      <c r="M766" s="47">
        <f t="shared" si="1035"/>
        <v>0</v>
      </c>
      <c r="N766" s="47">
        <f t="shared" si="1035"/>
        <v>0</v>
      </c>
      <c r="O766" s="47">
        <f t="shared" si="1035"/>
        <v>0</v>
      </c>
      <c r="P766" s="47">
        <f t="shared" si="1035"/>
        <v>0</v>
      </c>
      <c r="Q766" s="47">
        <f t="shared" si="1035"/>
        <v>0</v>
      </c>
    </row>
    <row r="767" spans="4:17" s="16" customFormat="1" ht="13.2" x14ac:dyDescent="0.25">
      <c r="D767" s="235">
        <v>1</v>
      </c>
      <c r="E767" s="237">
        <f>2*18</f>
        <v>36</v>
      </c>
      <c r="F767" s="238">
        <v>5</v>
      </c>
      <c r="G767" s="239">
        <v>0.97</v>
      </c>
      <c r="H767" s="239">
        <f>E767*G767</f>
        <v>34.92</v>
      </c>
      <c r="I767" s="131">
        <f>IF($F767=4.2,H767*$B$23,0)</f>
        <v>0</v>
      </c>
      <c r="J767" s="31">
        <f>IF($F767=5,$H767*$B$24,0)</f>
        <v>5.3776799999999998</v>
      </c>
      <c r="K767" s="31">
        <f>IF($F767=6.3,$H767*$B$25,0)</f>
        <v>0</v>
      </c>
      <c r="L767" s="31">
        <f>IF($F767=8,$H767*$B$26,0)</f>
        <v>0</v>
      </c>
      <c r="M767" s="31">
        <f>IF($F767=10,$H767*$B$27,0)</f>
        <v>0</v>
      </c>
      <c r="N767" s="31">
        <f>IF($F767=12.5,$H767*$B$28,0)</f>
        <v>0</v>
      </c>
      <c r="O767" s="31">
        <f>IF($F767=16,$H767*$B$29,0)</f>
        <v>0</v>
      </c>
      <c r="P767" s="31">
        <f>IF($F767=20,$H767*$B$30,0)</f>
        <v>0</v>
      </c>
      <c r="Q767" s="49">
        <f>IF($F767=25,$H767*$B$31,0)</f>
        <v>0</v>
      </c>
    </row>
    <row r="768" spans="4:17" s="16" customFormat="1" ht="13.2" x14ac:dyDescent="0.25">
      <c r="D768" s="235">
        <v>13</v>
      </c>
      <c r="E768" s="240">
        <f>2*2</f>
        <v>4</v>
      </c>
      <c r="F768" s="241">
        <v>8</v>
      </c>
      <c r="G768" s="242">
        <v>4.1399999999999997</v>
      </c>
      <c r="H768" s="239">
        <f>E768*G768</f>
        <v>16.559999999999999</v>
      </c>
      <c r="I768" s="131">
        <f>IF($F768=4.2,H768*$B$23,0)</f>
        <v>0</v>
      </c>
      <c r="J768" s="31">
        <f>IF($F768=5,$H768*$B$24,0)</f>
        <v>0</v>
      </c>
      <c r="K768" s="31">
        <f>IF($F768=6.3,$H768*$B$25,0)</f>
        <v>0</v>
      </c>
      <c r="L768" s="31">
        <f>IF($F768=8,$H768*$B$26,0)</f>
        <v>6.5411999999999999</v>
      </c>
      <c r="M768" s="31">
        <f>IF($F768=10,$H768*$B$27,0)</f>
        <v>0</v>
      </c>
      <c r="N768" s="31">
        <f>IF($F768=12.5,$H768*$B$28,0)</f>
        <v>0</v>
      </c>
      <c r="O768" s="31">
        <f>IF($F768=16,$H768*$B$29,0)</f>
        <v>0</v>
      </c>
      <c r="P768" s="31">
        <f>IF($F768=20,$H768*$B$30,0)</f>
        <v>0</v>
      </c>
      <c r="Q768" s="49">
        <f>IF($F768=25,$H768*$B$31,0)</f>
        <v>0</v>
      </c>
    </row>
    <row r="769" spans="4:17" s="16" customFormat="1" ht="13.2" x14ac:dyDescent="0.25">
      <c r="D769" s="235">
        <v>14</v>
      </c>
      <c r="E769" s="240">
        <f>2*2</f>
        <v>4</v>
      </c>
      <c r="F769" s="241">
        <v>8</v>
      </c>
      <c r="G769" s="242">
        <v>4.3</v>
      </c>
      <c r="H769" s="239">
        <f>E769*G769</f>
        <v>17.2</v>
      </c>
      <c r="I769" s="131">
        <f>IF($F769=4.2,H769*$B$23,0)</f>
        <v>0</v>
      </c>
      <c r="J769" s="31">
        <f>IF($F769=5,$H769*$B$24,0)</f>
        <v>0</v>
      </c>
      <c r="K769" s="31">
        <f>IF($F769=6.3,$H769*$B$25,0)</f>
        <v>0</v>
      </c>
      <c r="L769" s="31">
        <f>IF($F769=8,$H769*$B$26,0)</f>
        <v>6.7939999999999996</v>
      </c>
      <c r="M769" s="31">
        <f>IF($F769=10,$H769*$B$27,0)</f>
        <v>0</v>
      </c>
      <c r="N769" s="31">
        <f>IF($F769=12.5,$H769*$B$28,0)</f>
        <v>0</v>
      </c>
      <c r="O769" s="31">
        <f>IF($F769=16,$H769*$B$29,0)</f>
        <v>0</v>
      </c>
      <c r="P769" s="31">
        <f>IF($F769=20,$H769*$B$30,0)</f>
        <v>0</v>
      </c>
      <c r="Q769" s="49">
        <f>IF($F769=25,$H769*$B$31,0)</f>
        <v>0</v>
      </c>
    </row>
    <row r="770" spans="4:17" s="16" customFormat="1" ht="13.8" thickBot="1" x14ac:dyDescent="0.3">
      <c r="D770" s="307"/>
      <c r="E770" s="26"/>
      <c r="F770" s="206"/>
      <c r="G770" s="207"/>
      <c r="H770" s="207"/>
      <c r="I770" s="51"/>
      <c r="J770" s="308"/>
      <c r="K770" s="308"/>
      <c r="L770" s="308"/>
      <c r="M770" s="308"/>
      <c r="N770" s="308"/>
      <c r="O770" s="308"/>
      <c r="P770" s="308"/>
      <c r="Q770" s="309"/>
    </row>
    <row r="771" spans="4:17" s="16" customFormat="1" ht="13.2" x14ac:dyDescent="0.25">
      <c r="D771" s="796" t="s">
        <v>1560</v>
      </c>
      <c r="E771" s="797"/>
      <c r="F771" s="797"/>
      <c r="G771" s="797"/>
      <c r="H771" s="797"/>
      <c r="I771" s="47">
        <f t="shared" ref="I771:Q771" si="1036">SUM(I772:I774)</f>
        <v>0</v>
      </c>
      <c r="J771" s="47">
        <f t="shared" si="1036"/>
        <v>5.6764399999999995</v>
      </c>
      <c r="K771" s="47">
        <f t="shared" si="1036"/>
        <v>0</v>
      </c>
      <c r="L771" s="47">
        <f t="shared" si="1036"/>
        <v>13.4932</v>
      </c>
      <c r="M771" s="47">
        <f t="shared" si="1036"/>
        <v>0</v>
      </c>
      <c r="N771" s="47">
        <f t="shared" si="1036"/>
        <v>0</v>
      </c>
      <c r="O771" s="47">
        <f t="shared" si="1036"/>
        <v>0</v>
      </c>
      <c r="P771" s="47">
        <f t="shared" si="1036"/>
        <v>0</v>
      </c>
      <c r="Q771" s="47">
        <f t="shared" si="1036"/>
        <v>0</v>
      </c>
    </row>
    <row r="772" spans="4:17" s="16" customFormat="1" ht="13.2" x14ac:dyDescent="0.25">
      <c r="D772" s="235">
        <v>1</v>
      </c>
      <c r="E772" s="237">
        <f>2*19</f>
        <v>38</v>
      </c>
      <c r="F772" s="238">
        <v>5</v>
      </c>
      <c r="G772" s="239">
        <v>0.97</v>
      </c>
      <c r="H772" s="239">
        <f>E772*G772</f>
        <v>36.86</v>
      </c>
      <c r="I772" s="131">
        <f>IF($F772=4.2,H772*$B$23,0)</f>
        <v>0</v>
      </c>
      <c r="J772" s="31">
        <f>IF($F772=5,$H772*$B$24,0)</f>
        <v>5.6764399999999995</v>
      </c>
      <c r="K772" s="31">
        <f>IF($F772=6.3,$H772*$B$25,0)</f>
        <v>0</v>
      </c>
      <c r="L772" s="31">
        <f>IF($F772=8,$H772*$B$26,0)</f>
        <v>0</v>
      </c>
      <c r="M772" s="31">
        <f>IF($F772=10,$H772*$B$27,0)</f>
        <v>0</v>
      </c>
      <c r="N772" s="31">
        <f>IF($F772=12.5,$H772*$B$28,0)</f>
        <v>0</v>
      </c>
      <c r="O772" s="31">
        <f>IF($F772=16,$H772*$B$29,0)</f>
        <v>0</v>
      </c>
      <c r="P772" s="31">
        <f>IF($F772=20,$H772*$B$30,0)</f>
        <v>0</v>
      </c>
      <c r="Q772" s="49">
        <f>IF($F772=25,$H772*$B$31,0)</f>
        <v>0</v>
      </c>
    </row>
    <row r="773" spans="4:17" s="16" customFormat="1" ht="13.2" x14ac:dyDescent="0.25">
      <c r="D773" s="235">
        <v>15</v>
      </c>
      <c r="E773" s="240">
        <f>2*2</f>
        <v>4</v>
      </c>
      <c r="F773" s="241">
        <v>8</v>
      </c>
      <c r="G773" s="242">
        <v>4.1900000000000004</v>
      </c>
      <c r="H773" s="239">
        <f>E773*G773</f>
        <v>16.760000000000002</v>
      </c>
      <c r="I773" s="131">
        <f>IF($F773=4.2,H773*$B$23,0)</f>
        <v>0</v>
      </c>
      <c r="J773" s="31">
        <f>IF($F773=5,$H773*$B$24,0)</f>
        <v>0</v>
      </c>
      <c r="K773" s="31">
        <f>IF($F773=6.3,$H773*$B$25,0)</f>
        <v>0</v>
      </c>
      <c r="L773" s="31">
        <f>IF($F773=8,$H773*$B$26,0)</f>
        <v>6.6202000000000005</v>
      </c>
      <c r="M773" s="31">
        <f>IF($F773=10,$H773*$B$27,0)</f>
        <v>0</v>
      </c>
      <c r="N773" s="31">
        <f>IF($F773=12.5,$H773*$B$28,0)</f>
        <v>0</v>
      </c>
      <c r="O773" s="31">
        <f>IF($F773=16,$H773*$B$29,0)</f>
        <v>0</v>
      </c>
      <c r="P773" s="31">
        <f>IF($F773=20,$H773*$B$30,0)</f>
        <v>0</v>
      </c>
      <c r="Q773" s="49">
        <f>IF($F773=25,$H773*$B$31,0)</f>
        <v>0</v>
      </c>
    </row>
    <row r="774" spans="4:17" s="16" customFormat="1" ht="13.2" x14ac:dyDescent="0.25">
      <c r="D774" s="235">
        <v>16</v>
      </c>
      <c r="E774" s="240">
        <f>2*2</f>
        <v>4</v>
      </c>
      <c r="F774" s="241">
        <v>8</v>
      </c>
      <c r="G774" s="242">
        <v>4.3499999999999996</v>
      </c>
      <c r="H774" s="239">
        <f>E774*G774</f>
        <v>17.399999999999999</v>
      </c>
      <c r="I774" s="131">
        <f>IF($F774=4.2,H774*$B$23,0)</f>
        <v>0</v>
      </c>
      <c r="J774" s="31">
        <f>IF($F774=5,$H774*$B$24,0)</f>
        <v>0</v>
      </c>
      <c r="K774" s="31">
        <f>IF($F774=6.3,$H774*$B$25,0)</f>
        <v>0</v>
      </c>
      <c r="L774" s="31">
        <f>IF($F774=8,$H774*$B$26,0)</f>
        <v>6.8729999999999993</v>
      </c>
      <c r="M774" s="31">
        <f>IF($F774=10,$H774*$B$27,0)</f>
        <v>0</v>
      </c>
      <c r="N774" s="31">
        <f>IF($F774=12.5,$H774*$B$28,0)</f>
        <v>0</v>
      </c>
      <c r="O774" s="31">
        <f>IF($F774=16,$H774*$B$29,0)</f>
        <v>0</v>
      </c>
      <c r="P774" s="31">
        <f>IF($F774=20,$H774*$B$30,0)</f>
        <v>0</v>
      </c>
      <c r="Q774" s="49">
        <f>IF($F774=25,$H774*$B$31,0)</f>
        <v>0</v>
      </c>
    </row>
    <row r="775" spans="4:17" s="16" customFormat="1" ht="13.8" thickBot="1" x14ac:dyDescent="0.3">
      <c r="D775" s="307"/>
      <c r="E775" s="26"/>
      <c r="F775" s="206"/>
      <c r="G775" s="207"/>
      <c r="H775" s="207"/>
      <c r="I775" s="51"/>
      <c r="J775" s="308"/>
      <c r="K775" s="308"/>
      <c r="L775" s="308"/>
      <c r="M775" s="308"/>
      <c r="N775" s="308"/>
      <c r="O775" s="308"/>
      <c r="P775" s="308"/>
      <c r="Q775" s="309"/>
    </row>
    <row r="776" spans="4:17" s="16" customFormat="1" ht="13.2" x14ac:dyDescent="0.25">
      <c r="D776" s="796" t="s">
        <v>1561</v>
      </c>
      <c r="E776" s="797"/>
      <c r="F776" s="797"/>
      <c r="G776" s="797"/>
      <c r="H776" s="797"/>
      <c r="I776" s="47">
        <f t="shared" ref="I776:Q776" si="1037">SUM(I777:I779)</f>
        <v>0</v>
      </c>
      <c r="J776" s="47">
        <f t="shared" si="1037"/>
        <v>2.6888399999999999</v>
      </c>
      <c r="K776" s="47">
        <f t="shared" si="1037"/>
        <v>0</v>
      </c>
      <c r="L776" s="47">
        <f t="shared" si="1037"/>
        <v>6.7387000000000006</v>
      </c>
      <c r="M776" s="47">
        <f t="shared" si="1037"/>
        <v>0</v>
      </c>
      <c r="N776" s="47">
        <f t="shared" si="1037"/>
        <v>0</v>
      </c>
      <c r="O776" s="47">
        <f t="shared" si="1037"/>
        <v>0</v>
      </c>
      <c r="P776" s="47">
        <f t="shared" si="1037"/>
        <v>0</v>
      </c>
      <c r="Q776" s="47">
        <f t="shared" si="1037"/>
        <v>0</v>
      </c>
    </row>
    <row r="777" spans="4:17" s="16" customFormat="1" ht="13.2" x14ac:dyDescent="0.25">
      <c r="D777" s="235">
        <v>1</v>
      </c>
      <c r="E777" s="237">
        <f>2*9</f>
        <v>18</v>
      </c>
      <c r="F777" s="238">
        <v>5</v>
      </c>
      <c r="G777" s="239">
        <v>0.97</v>
      </c>
      <c r="H777" s="239">
        <f>E777*G777</f>
        <v>17.46</v>
      </c>
      <c r="I777" s="131">
        <f>IF($F777=4.2,H777*$B$23,0)</f>
        <v>0</v>
      </c>
      <c r="J777" s="31">
        <f>IF($F777=5,$H777*$B$24,0)</f>
        <v>2.6888399999999999</v>
      </c>
      <c r="K777" s="31">
        <f>IF($F777=6.3,$H777*$B$25,0)</f>
        <v>0</v>
      </c>
      <c r="L777" s="31">
        <f>IF($F777=8,$H777*$B$26,0)</f>
        <v>0</v>
      </c>
      <c r="M777" s="31">
        <f>IF($F777=10,$H777*$B$27,0)</f>
        <v>0</v>
      </c>
      <c r="N777" s="31">
        <f>IF($F777=12.5,$H777*$B$28,0)</f>
        <v>0</v>
      </c>
      <c r="O777" s="31">
        <f>IF($F777=16,$H777*$B$29,0)</f>
        <v>0</v>
      </c>
      <c r="P777" s="31">
        <f>IF($F777=20,$H777*$B$30,0)</f>
        <v>0</v>
      </c>
      <c r="Q777" s="49">
        <f>IF($F777=25,$H777*$B$31,0)</f>
        <v>0</v>
      </c>
    </row>
    <row r="778" spans="4:17" s="16" customFormat="1" ht="13.2" x14ac:dyDescent="0.25">
      <c r="D778" s="235">
        <v>17</v>
      </c>
      <c r="E778" s="240">
        <f>2*4</f>
        <v>8</v>
      </c>
      <c r="F778" s="241">
        <v>8</v>
      </c>
      <c r="G778" s="242">
        <v>1.02</v>
      </c>
      <c r="H778" s="239">
        <f>E778*G778</f>
        <v>8.16</v>
      </c>
      <c r="I778" s="131">
        <f>IF($F778=4.2,H778*$B$23,0)</f>
        <v>0</v>
      </c>
      <c r="J778" s="31">
        <f>IF($F778=5,$H778*$B$24,0)</f>
        <v>0</v>
      </c>
      <c r="K778" s="31">
        <f>IF($F778=6.3,$H778*$B$25,0)</f>
        <v>0</v>
      </c>
      <c r="L778" s="31">
        <f>IF($F778=8,$H778*$B$26,0)</f>
        <v>3.2232000000000003</v>
      </c>
      <c r="M778" s="31">
        <f>IF($F778=10,$H778*$B$27,0)</f>
        <v>0</v>
      </c>
      <c r="N778" s="31">
        <f>IF($F778=12.5,$H778*$B$28,0)</f>
        <v>0</v>
      </c>
      <c r="O778" s="31">
        <f>IF($F778=16,$H778*$B$29,0)</f>
        <v>0</v>
      </c>
      <c r="P778" s="31">
        <f>IF($F778=20,$H778*$B$30,0)</f>
        <v>0</v>
      </c>
      <c r="Q778" s="49">
        <f>IF($F778=25,$H778*$B$31,0)</f>
        <v>0</v>
      </c>
    </row>
    <row r="779" spans="4:17" s="16" customFormat="1" ht="13.2" x14ac:dyDescent="0.25">
      <c r="D779" s="235">
        <v>18</v>
      </c>
      <c r="E779" s="240">
        <f>2*5</f>
        <v>10</v>
      </c>
      <c r="F779" s="241">
        <v>8</v>
      </c>
      <c r="G779" s="242">
        <v>0.89</v>
      </c>
      <c r="H779" s="239">
        <f>E779*G779</f>
        <v>8.9</v>
      </c>
      <c r="I779" s="131">
        <f>IF($F779=4.2,H779*$B$23,0)</f>
        <v>0</v>
      </c>
      <c r="J779" s="31">
        <f>IF($F779=5,$H779*$B$24,0)</f>
        <v>0</v>
      </c>
      <c r="K779" s="31">
        <f>IF($F779=6.3,$H779*$B$25,0)</f>
        <v>0</v>
      </c>
      <c r="L779" s="31">
        <f>IF($F779=8,$H779*$B$26,0)</f>
        <v>3.5155000000000003</v>
      </c>
      <c r="M779" s="31">
        <f>IF($F779=10,$H779*$B$27,0)</f>
        <v>0</v>
      </c>
      <c r="N779" s="31">
        <f>IF($F779=12.5,$H779*$B$28,0)</f>
        <v>0</v>
      </c>
      <c r="O779" s="31">
        <f>IF($F779=16,$H779*$B$29,0)</f>
        <v>0</v>
      </c>
      <c r="P779" s="31">
        <f>IF($F779=20,$H779*$B$30,0)</f>
        <v>0</v>
      </c>
      <c r="Q779" s="49">
        <f>IF($F779=25,$H779*$B$31,0)</f>
        <v>0</v>
      </c>
    </row>
    <row r="780" spans="4:17" s="16" customFormat="1" ht="13.8" thickBot="1" x14ac:dyDescent="0.3">
      <c r="D780" s="307"/>
      <c r="E780" s="26"/>
      <c r="F780" s="206"/>
      <c r="G780" s="207"/>
      <c r="H780" s="207"/>
      <c r="I780" s="51"/>
      <c r="J780" s="308"/>
      <c r="K780" s="308"/>
      <c r="L780" s="308"/>
      <c r="M780" s="308"/>
      <c r="N780" s="308"/>
      <c r="O780" s="308"/>
      <c r="P780" s="308"/>
      <c r="Q780" s="309"/>
    </row>
    <row r="781" spans="4:17" s="16" customFormat="1" ht="13.2" x14ac:dyDescent="0.25">
      <c r="D781" s="796" t="s">
        <v>1563</v>
      </c>
      <c r="E781" s="797"/>
      <c r="F781" s="797"/>
      <c r="G781" s="797"/>
      <c r="H781" s="797"/>
      <c r="I781" s="47">
        <f t="shared" ref="I781:Q781" si="1038">SUM(I782:I784)</f>
        <v>0</v>
      </c>
      <c r="J781" s="47">
        <f t="shared" si="1038"/>
        <v>2.6888399999999999</v>
      </c>
      <c r="K781" s="47">
        <f t="shared" si="1038"/>
        <v>0</v>
      </c>
      <c r="L781" s="47">
        <f t="shared" si="1038"/>
        <v>6.7387000000000006</v>
      </c>
      <c r="M781" s="47">
        <f t="shared" si="1038"/>
        <v>0</v>
      </c>
      <c r="N781" s="47">
        <f t="shared" si="1038"/>
        <v>0</v>
      </c>
      <c r="O781" s="47">
        <f t="shared" si="1038"/>
        <v>0</v>
      </c>
      <c r="P781" s="47">
        <f t="shared" si="1038"/>
        <v>0</v>
      </c>
      <c r="Q781" s="47">
        <f t="shared" si="1038"/>
        <v>0</v>
      </c>
    </row>
    <row r="782" spans="4:17" s="16" customFormat="1" ht="13.2" x14ac:dyDescent="0.25">
      <c r="D782" s="235">
        <v>1</v>
      </c>
      <c r="E782" s="237">
        <f>2*9</f>
        <v>18</v>
      </c>
      <c r="F782" s="238">
        <v>5</v>
      </c>
      <c r="G782" s="239">
        <v>0.97</v>
      </c>
      <c r="H782" s="239">
        <f>E782*G782</f>
        <v>17.46</v>
      </c>
      <c r="I782" s="131">
        <f>IF($F782=4.2,H782*$B$23,0)</f>
        <v>0</v>
      </c>
      <c r="J782" s="31">
        <f>IF($F782=5,$H782*$B$24,0)</f>
        <v>2.6888399999999999</v>
      </c>
      <c r="K782" s="31">
        <f>IF($F782=6.3,$H782*$B$25,0)</f>
        <v>0</v>
      </c>
      <c r="L782" s="31">
        <f>IF($F782=8,$H782*$B$26,0)</f>
        <v>0</v>
      </c>
      <c r="M782" s="31">
        <f>IF($F782=10,$H782*$B$27,0)</f>
        <v>0</v>
      </c>
      <c r="N782" s="31">
        <f>IF($F782=12.5,$H782*$B$28,0)</f>
        <v>0</v>
      </c>
      <c r="O782" s="31">
        <f>IF($F782=16,$H782*$B$29,0)</f>
        <v>0</v>
      </c>
      <c r="P782" s="31">
        <f>IF($F782=20,$H782*$B$30,0)</f>
        <v>0</v>
      </c>
      <c r="Q782" s="49">
        <f>IF($F782=25,$H782*$B$31,0)</f>
        <v>0</v>
      </c>
    </row>
    <row r="783" spans="4:17" s="16" customFormat="1" ht="13.2" x14ac:dyDescent="0.25">
      <c r="D783" s="235">
        <v>19</v>
      </c>
      <c r="E783" s="240">
        <f>2*4</f>
        <v>8</v>
      </c>
      <c r="F783" s="241">
        <v>8</v>
      </c>
      <c r="G783" s="242">
        <v>1.02</v>
      </c>
      <c r="H783" s="239">
        <f>E783*G783</f>
        <v>8.16</v>
      </c>
      <c r="I783" s="131">
        <f>IF($F783=4.2,H783*$B$23,0)</f>
        <v>0</v>
      </c>
      <c r="J783" s="31">
        <f>IF($F783=5,$H783*$B$24,0)</f>
        <v>0</v>
      </c>
      <c r="K783" s="31">
        <f>IF($F783=6.3,$H783*$B$25,0)</f>
        <v>0</v>
      </c>
      <c r="L783" s="31">
        <f>IF($F783=8,$H783*$B$26,0)</f>
        <v>3.2232000000000003</v>
      </c>
      <c r="M783" s="31">
        <f>IF($F783=10,$H783*$B$27,0)</f>
        <v>0</v>
      </c>
      <c r="N783" s="31">
        <f>IF($F783=12.5,$H783*$B$28,0)</f>
        <v>0</v>
      </c>
      <c r="O783" s="31">
        <f>IF($F783=16,$H783*$B$29,0)</f>
        <v>0</v>
      </c>
      <c r="P783" s="31">
        <f>IF($F783=20,$H783*$B$30,0)</f>
        <v>0</v>
      </c>
      <c r="Q783" s="49">
        <f>IF($F783=25,$H783*$B$31,0)</f>
        <v>0</v>
      </c>
    </row>
    <row r="784" spans="4:17" s="16" customFormat="1" ht="13.2" x14ac:dyDescent="0.25">
      <c r="D784" s="235">
        <v>20</v>
      </c>
      <c r="E784" s="240">
        <f>2*5</f>
        <v>10</v>
      </c>
      <c r="F784" s="241">
        <v>8</v>
      </c>
      <c r="G784" s="242">
        <v>0.89</v>
      </c>
      <c r="H784" s="239">
        <f>E784*G784</f>
        <v>8.9</v>
      </c>
      <c r="I784" s="131">
        <f>IF($F784=4.2,H784*$B$23,0)</f>
        <v>0</v>
      </c>
      <c r="J784" s="31">
        <f>IF($F784=5,$H784*$B$24,0)</f>
        <v>0</v>
      </c>
      <c r="K784" s="31">
        <f>IF($F784=6.3,$H784*$B$25,0)</f>
        <v>0</v>
      </c>
      <c r="L784" s="31">
        <f>IF($F784=8,$H784*$B$26,0)</f>
        <v>3.5155000000000003</v>
      </c>
      <c r="M784" s="31">
        <f>IF($F784=10,$H784*$B$27,0)</f>
        <v>0</v>
      </c>
      <c r="N784" s="31">
        <f>IF($F784=12.5,$H784*$B$28,0)</f>
        <v>0</v>
      </c>
      <c r="O784" s="31">
        <f>IF($F784=16,$H784*$B$29,0)</f>
        <v>0</v>
      </c>
      <c r="P784" s="31">
        <f>IF($F784=20,$H784*$B$30,0)</f>
        <v>0</v>
      </c>
      <c r="Q784" s="49">
        <f>IF($F784=25,$H784*$B$31,0)</f>
        <v>0</v>
      </c>
    </row>
    <row r="785" spans="4:17" s="16" customFormat="1" ht="13.8" thickBot="1" x14ac:dyDescent="0.3">
      <c r="D785" s="307"/>
      <c r="E785" s="26"/>
      <c r="F785" s="206"/>
      <c r="G785" s="207"/>
      <c r="H785" s="207"/>
      <c r="I785" s="51"/>
      <c r="J785" s="308"/>
      <c r="K785" s="308"/>
      <c r="L785" s="308"/>
      <c r="M785" s="308"/>
      <c r="N785" s="308"/>
      <c r="O785" s="308"/>
      <c r="P785" s="308"/>
      <c r="Q785" s="309"/>
    </row>
    <row r="786" spans="4:17" s="16" customFormat="1" ht="13.2" x14ac:dyDescent="0.25">
      <c r="D786" s="796" t="s">
        <v>1562</v>
      </c>
      <c r="E786" s="797"/>
      <c r="F786" s="797"/>
      <c r="G786" s="797"/>
      <c r="H786" s="797"/>
      <c r="I786" s="47">
        <f t="shared" ref="I786:Q786" si="1039">SUM(I787:I788)</f>
        <v>0</v>
      </c>
      <c r="J786" s="47">
        <f t="shared" si="1039"/>
        <v>1.1950399999999999</v>
      </c>
      <c r="K786" s="47">
        <f t="shared" si="1039"/>
        <v>0</v>
      </c>
      <c r="L786" s="47">
        <f t="shared" si="1039"/>
        <v>3.5155000000000003</v>
      </c>
      <c r="M786" s="47">
        <f t="shared" si="1039"/>
        <v>0</v>
      </c>
      <c r="N786" s="47">
        <f t="shared" si="1039"/>
        <v>0</v>
      </c>
      <c r="O786" s="47">
        <f t="shared" si="1039"/>
        <v>0</v>
      </c>
      <c r="P786" s="47">
        <f t="shared" si="1039"/>
        <v>0</v>
      </c>
      <c r="Q786" s="47">
        <f t="shared" si="1039"/>
        <v>0</v>
      </c>
    </row>
    <row r="787" spans="4:17" s="16" customFormat="1" ht="13.2" x14ac:dyDescent="0.25">
      <c r="D787" s="235">
        <v>1</v>
      </c>
      <c r="E787" s="237">
        <f>2*4</f>
        <v>8</v>
      </c>
      <c r="F787" s="238">
        <v>5</v>
      </c>
      <c r="G787" s="239">
        <v>0.97</v>
      </c>
      <c r="H787" s="239">
        <f>E787*G787</f>
        <v>7.76</v>
      </c>
      <c r="I787" s="131">
        <f>IF($F787=4.2,H787*$B$23,0)</f>
        <v>0</v>
      </c>
      <c r="J787" s="31">
        <f>IF($F787=5,$H787*$B$24,0)</f>
        <v>1.1950399999999999</v>
      </c>
      <c r="K787" s="31">
        <f>IF($F787=6.3,$H787*$B$25,0)</f>
        <v>0</v>
      </c>
      <c r="L787" s="31">
        <f>IF($F787=8,$H787*$B$26,0)</f>
        <v>0</v>
      </c>
      <c r="M787" s="31">
        <f>IF($F787=10,$H787*$B$27,0)</f>
        <v>0</v>
      </c>
      <c r="N787" s="31">
        <f>IF($F787=12.5,$H787*$B$28,0)</f>
        <v>0</v>
      </c>
      <c r="O787" s="31">
        <f>IF($F787=16,$H787*$B$29,0)</f>
        <v>0</v>
      </c>
      <c r="P787" s="31">
        <f>IF($F787=20,$H787*$B$30,0)</f>
        <v>0</v>
      </c>
      <c r="Q787" s="49">
        <f>IF($F787=25,$H787*$B$31,0)</f>
        <v>0</v>
      </c>
    </row>
    <row r="788" spans="4:17" s="16" customFormat="1" ht="13.2" x14ac:dyDescent="0.25">
      <c r="D788" s="235">
        <v>20</v>
      </c>
      <c r="E788" s="240">
        <f>2*5</f>
        <v>10</v>
      </c>
      <c r="F788" s="241">
        <v>8</v>
      </c>
      <c r="G788" s="242">
        <v>0.89</v>
      </c>
      <c r="H788" s="239">
        <f>E788*G788</f>
        <v>8.9</v>
      </c>
      <c r="I788" s="131">
        <f>IF($F788=4.2,H788*$B$23,0)</f>
        <v>0</v>
      </c>
      <c r="J788" s="31">
        <f>IF($F788=5,$H788*$B$24,0)</f>
        <v>0</v>
      </c>
      <c r="K788" s="31">
        <f>IF($F788=6.3,$H788*$B$25,0)</f>
        <v>0</v>
      </c>
      <c r="L788" s="31">
        <f>IF($F788=8,$H788*$B$26,0)</f>
        <v>3.5155000000000003</v>
      </c>
      <c r="M788" s="31">
        <f>IF($F788=10,$H788*$B$27,0)</f>
        <v>0</v>
      </c>
      <c r="N788" s="31">
        <f>IF($F788=12.5,$H788*$B$28,0)</f>
        <v>0</v>
      </c>
      <c r="O788" s="31">
        <f>IF($F788=16,$H788*$B$29,0)</f>
        <v>0</v>
      </c>
      <c r="P788" s="31">
        <f>IF($F788=20,$H788*$B$30,0)</f>
        <v>0</v>
      </c>
      <c r="Q788" s="49">
        <f>IF($F788=25,$H788*$B$31,0)</f>
        <v>0</v>
      </c>
    </row>
    <row r="789" spans="4:17" s="16" customFormat="1" ht="13.8" thickBot="1" x14ac:dyDescent="0.3">
      <c r="D789" s="307"/>
      <c r="E789" s="26"/>
      <c r="F789" s="206"/>
      <c r="G789" s="207"/>
      <c r="H789" s="207"/>
      <c r="I789" s="51"/>
      <c r="J789" s="308"/>
      <c r="K789" s="308"/>
      <c r="L789" s="308"/>
      <c r="M789" s="308"/>
      <c r="N789" s="308"/>
      <c r="O789" s="308"/>
      <c r="P789" s="308"/>
      <c r="Q789" s="309"/>
    </row>
    <row r="790" spans="4:17" s="16" customFormat="1" ht="13.2" x14ac:dyDescent="0.25">
      <c r="D790" s="796" t="s">
        <v>1564</v>
      </c>
      <c r="E790" s="797"/>
      <c r="F790" s="797"/>
      <c r="G790" s="797"/>
      <c r="H790" s="797"/>
      <c r="I790" s="47">
        <f>SUM(I791:I795)</f>
        <v>0</v>
      </c>
      <c r="J790" s="47">
        <f t="shared" ref="J790:Q790" si="1040">SUM(J791:J795)</f>
        <v>6.4233399999999996</v>
      </c>
      <c r="K790" s="47">
        <f t="shared" si="1040"/>
        <v>0</v>
      </c>
      <c r="L790" s="47">
        <f t="shared" si="1040"/>
        <v>10.356900000000001</v>
      </c>
      <c r="M790" s="47">
        <f t="shared" si="1040"/>
        <v>13.253159999999999</v>
      </c>
      <c r="N790" s="47">
        <f t="shared" si="1040"/>
        <v>0</v>
      </c>
      <c r="O790" s="47">
        <f t="shared" si="1040"/>
        <v>0</v>
      </c>
      <c r="P790" s="47">
        <f t="shared" si="1040"/>
        <v>0</v>
      </c>
      <c r="Q790" s="47">
        <f t="shared" si="1040"/>
        <v>0</v>
      </c>
    </row>
    <row r="791" spans="4:17" s="16" customFormat="1" ht="13.2" x14ac:dyDescent="0.25">
      <c r="D791" s="235">
        <v>1</v>
      </c>
      <c r="E791" s="237">
        <v>43</v>
      </c>
      <c r="F791" s="238">
        <v>5</v>
      </c>
      <c r="G791" s="239">
        <v>0.97</v>
      </c>
      <c r="H791" s="239">
        <f>E791*G791</f>
        <v>41.71</v>
      </c>
      <c r="I791" s="131">
        <f>IF($F791=4.2,H791*$B$23,0)</f>
        <v>0</v>
      </c>
      <c r="J791" s="31">
        <f>IF($F791=5,$H791*$B$24,0)</f>
        <v>6.4233399999999996</v>
      </c>
      <c r="K791" s="31">
        <f>IF($F791=6.3,$H791*$B$25,0)</f>
        <v>0</v>
      </c>
      <c r="L791" s="31">
        <f>IF($F791=8,$H791*$B$26,0)</f>
        <v>0</v>
      </c>
      <c r="M791" s="31">
        <f>IF($F791=10,$H791*$B$27,0)</f>
        <v>0</v>
      </c>
      <c r="N791" s="31">
        <f>IF($F791=12.5,$H791*$B$28,0)</f>
        <v>0</v>
      </c>
      <c r="O791" s="31">
        <f>IF($F791=16,$H791*$B$29,0)</f>
        <v>0</v>
      </c>
      <c r="P791" s="31">
        <f>IF($F791=20,$H791*$B$30,0)</f>
        <v>0</v>
      </c>
      <c r="Q791" s="49">
        <f>IF($F791=25,$H791*$B$31,0)</f>
        <v>0</v>
      </c>
    </row>
    <row r="792" spans="4:17" s="16" customFormat="1" ht="13.2" x14ac:dyDescent="0.25">
      <c r="D792" s="235">
        <v>10</v>
      </c>
      <c r="E792" s="240">
        <v>2</v>
      </c>
      <c r="F792" s="241">
        <v>8</v>
      </c>
      <c r="G792" s="242">
        <v>10.74</v>
      </c>
      <c r="H792" s="239">
        <f>E792*G792</f>
        <v>21.48</v>
      </c>
      <c r="I792" s="131">
        <f>IF($F792=4.2,H792*$B$23,0)</f>
        <v>0</v>
      </c>
      <c r="J792" s="31">
        <f>IF($F792=5,$H792*$B$24,0)</f>
        <v>0</v>
      </c>
      <c r="K792" s="31">
        <f>IF($F792=6.3,$H792*$B$25,0)</f>
        <v>0</v>
      </c>
      <c r="L792" s="31">
        <f>IF($F792=8,$H792*$B$26,0)</f>
        <v>8.4846000000000004</v>
      </c>
      <c r="M792" s="31">
        <f>IF($F792=10,$H792*$B$27,0)</f>
        <v>0</v>
      </c>
      <c r="N792" s="31">
        <f>IF($F792=12.5,$H792*$B$28,0)</f>
        <v>0</v>
      </c>
      <c r="O792" s="31">
        <f>IF($F792=16,$H792*$B$29,0)</f>
        <v>0</v>
      </c>
      <c r="P792" s="31">
        <f>IF($F792=20,$H792*$B$30,0)</f>
        <v>0</v>
      </c>
      <c r="Q792" s="49">
        <f>IF($F792=25,$H792*$B$31,0)</f>
        <v>0</v>
      </c>
    </row>
    <row r="793" spans="4:17" s="16" customFormat="1" ht="13.2" x14ac:dyDescent="0.25">
      <c r="D793" s="235">
        <v>21</v>
      </c>
      <c r="E793" s="240">
        <v>1</v>
      </c>
      <c r="F793" s="241">
        <v>8</v>
      </c>
      <c r="G793" s="242">
        <v>1.9</v>
      </c>
      <c r="H793" s="239">
        <f>E793*G793</f>
        <v>1.9</v>
      </c>
      <c r="I793" s="131">
        <f>IF($F793=4.2,H793*$B$23,0)</f>
        <v>0</v>
      </c>
      <c r="J793" s="31">
        <f>IF($F793=5,$H793*$B$24,0)</f>
        <v>0</v>
      </c>
      <c r="K793" s="31">
        <f>IF($F793=6.3,$H793*$B$25,0)</f>
        <v>0</v>
      </c>
      <c r="L793" s="31">
        <f>IF($F793=8,$H793*$B$26,0)</f>
        <v>0.75049999999999994</v>
      </c>
      <c r="M793" s="31">
        <f>IF($F793=10,$H793*$B$27,0)</f>
        <v>0</v>
      </c>
      <c r="N793" s="31">
        <f>IF($F793=12.5,$H793*$B$28,0)</f>
        <v>0</v>
      </c>
      <c r="O793" s="31">
        <f>IF($F793=16,$H793*$B$29,0)</f>
        <v>0</v>
      </c>
      <c r="P793" s="31">
        <f>IF($F793=20,$H793*$B$30,0)</f>
        <v>0</v>
      </c>
      <c r="Q793" s="49">
        <f>IF($F793=25,$H793*$B$31,0)</f>
        <v>0</v>
      </c>
    </row>
    <row r="794" spans="4:17" s="16" customFormat="1" ht="13.2" x14ac:dyDescent="0.25">
      <c r="D794" s="235">
        <v>22</v>
      </c>
      <c r="E794" s="240">
        <v>2</v>
      </c>
      <c r="F794" s="241">
        <v>8</v>
      </c>
      <c r="G794" s="242">
        <v>1.42</v>
      </c>
      <c r="H794" s="239">
        <f>E794*G794</f>
        <v>2.84</v>
      </c>
      <c r="I794" s="131">
        <f>IF($F794=4.2,H794*$B$23,0)</f>
        <v>0</v>
      </c>
      <c r="J794" s="31">
        <f>IF($F794=5,$H794*$B$24,0)</f>
        <v>0</v>
      </c>
      <c r="K794" s="31">
        <f>IF($F794=6.3,$H794*$B$25,0)</f>
        <v>0</v>
      </c>
      <c r="L794" s="31">
        <f>IF($F794=8,$H794*$B$26,0)</f>
        <v>1.1217999999999999</v>
      </c>
      <c r="M794" s="31">
        <f>IF($F794=10,$H794*$B$27,0)</f>
        <v>0</v>
      </c>
      <c r="N794" s="31">
        <f>IF($F794=12.5,$H794*$B$28,0)</f>
        <v>0</v>
      </c>
      <c r="O794" s="31">
        <f>IF($F794=16,$H794*$B$29,0)</f>
        <v>0</v>
      </c>
      <c r="P794" s="31">
        <f>IF($F794=20,$H794*$B$30,0)</f>
        <v>0</v>
      </c>
      <c r="Q794" s="49">
        <f>IF($F794=25,$H794*$B$31,0)</f>
        <v>0</v>
      </c>
    </row>
    <row r="795" spans="4:17" s="16" customFormat="1" ht="13.2" x14ac:dyDescent="0.25">
      <c r="D795" s="235">
        <v>33</v>
      </c>
      <c r="E795" s="240">
        <v>2</v>
      </c>
      <c r="F795" s="241">
        <v>10</v>
      </c>
      <c r="G795" s="242">
        <v>10.74</v>
      </c>
      <c r="H795" s="239">
        <f>E795*G795</f>
        <v>21.48</v>
      </c>
      <c r="I795" s="131">
        <f>IF($F795=4.2,H795*$B$23,0)</f>
        <v>0</v>
      </c>
      <c r="J795" s="31">
        <f>IF($F795=5,$H795*$B$24,0)</f>
        <v>0</v>
      </c>
      <c r="K795" s="31">
        <f>IF($F795=6.3,$H795*$B$25,0)</f>
        <v>0</v>
      </c>
      <c r="L795" s="31">
        <f>IF($F795=8,$H795*$B$26,0)</f>
        <v>0</v>
      </c>
      <c r="M795" s="31">
        <f>IF($F795=10,$H795*$B$27,0)</f>
        <v>13.253159999999999</v>
      </c>
      <c r="N795" s="31">
        <f>IF($F795=12.5,$H795*$B$28,0)</f>
        <v>0</v>
      </c>
      <c r="O795" s="31">
        <f>IF($F795=16,$H795*$B$29,0)</f>
        <v>0</v>
      </c>
      <c r="P795" s="31">
        <f>IF($F795=20,$H795*$B$30,0)</f>
        <v>0</v>
      </c>
      <c r="Q795" s="49">
        <f>IF($F795=25,$H795*$B$31,0)</f>
        <v>0</v>
      </c>
    </row>
    <row r="796" spans="4:17" s="16" customFormat="1" ht="13.8" thickBot="1" x14ac:dyDescent="0.3">
      <c r="D796" s="307"/>
      <c r="E796" s="26"/>
      <c r="F796" s="206"/>
      <c r="G796" s="207"/>
      <c r="H796" s="207"/>
      <c r="I796" s="51"/>
      <c r="J796" s="308"/>
      <c r="K796" s="308"/>
      <c r="L796" s="308"/>
      <c r="M796" s="308"/>
      <c r="N796" s="308"/>
      <c r="O796" s="308"/>
      <c r="P796" s="308"/>
      <c r="Q796" s="309"/>
    </row>
    <row r="797" spans="4:17" s="16" customFormat="1" ht="13.2" x14ac:dyDescent="0.25">
      <c r="D797" s="796" t="s">
        <v>1565</v>
      </c>
      <c r="E797" s="797"/>
      <c r="F797" s="797"/>
      <c r="G797" s="797"/>
      <c r="H797" s="797"/>
      <c r="I797" s="47">
        <f>SUM(I798:I801)</f>
        <v>0</v>
      </c>
      <c r="J797" s="47">
        <f t="shared" ref="J797:Q797" si="1041">SUM(J798:J801)</f>
        <v>6.8714799999999991</v>
      </c>
      <c r="K797" s="47">
        <f t="shared" si="1041"/>
        <v>0</v>
      </c>
      <c r="L797" s="47">
        <f t="shared" si="1041"/>
        <v>16.969200000000001</v>
      </c>
      <c r="M797" s="47">
        <f t="shared" si="1041"/>
        <v>0</v>
      </c>
      <c r="N797" s="47">
        <f t="shared" si="1041"/>
        <v>0</v>
      </c>
      <c r="O797" s="47">
        <f t="shared" si="1041"/>
        <v>0</v>
      </c>
      <c r="P797" s="47">
        <f t="shared" si="1041"/>
        <v>0</v>
      </c>
      <c r="Q797" s="47">
        <f t="shared" si="1041"/>
        <v>0</v>
      </c>
    </row>
    <row r="798" spans="4:17" s="16" customFormat="1" ht="13.2" x14ac:dyDescent="0.25">
      <c r="D798" s="235">
        <v>1</v>
      </c>
      <c r="E798" s="237">
        <v>46</v>
      </c>
      <c r="F798" s="238">
        <v>5</v>
      </c>
      <c r="G798" s="239">
        <v>0.97</v>
      </c>
      <c r="H798" s="239">
        <f>E798*G798</f>
        <v>44.62</v>
      </c>
      <c r="I798" s="131">
        <f>IF($F798=4.2,H798*$B$23,0)</f>
        <v>0</v>
      </c>
      <c r="J798" s="31">
        <f>IF($F798=5,$H798*$B$24,0)</f>
        <v>6.8714799999999991</v>
      </c>
      <c r="K798" s="31">
        <f>IF($F798=6.3,$H798*$B$25,0)</f>
        <v>0</v>
      </c>
      <c r="L798" s="31">
        <f>IF($F798=8,$H798*$B$26,0)</f>
        <v>0</v>
      </c>
      <c r="M798" s="31">
        <f>IF($F798=10,$H798*$B$27,0)</f>
        <v>0</v>
      </c>
      <c r="N798" s="31">
        <f>IF($F798=12.5,$H798*$B$28,0)</f>
        <v>0</v>
      </c>
      <c r="O798" s="31">
        <f>IF($F798=16,$H798*$B$29,0)</f>
        <v>0</v>
      </c>
      <c r="P798" s="31">
        <f>IF($F798=20,$H798*$B$30,0)</f>
        <v>0</v>
      </c>
      <c r="Q798" s="49">
        <f>IF($F798=25,$H798*$B$31,0)</f>
        <v>0</v>
      </c>
    </row>
    <row r="799" spans="4:17" s="16" customFormat="1" ht="13.2" x14ac:dyDescent="0.25">
      <c r="D799" s="235">
        <v>2</v>
      </c>
      <c r="E799" s="240">
        <v>4</v>
      </c>
      <c r="F799" s="241">
        <v>8</v>
      </c>
      <c r="G799" s="242">
        <v>10.74</v>
      </c>
      <c r="H799" s="239">
        <f>E799*G799</f>
        <v>42.96</v>
      </c>
      <c r="I799" s="131">
        <f>IF($F799=4.2,H799*$B$23,0)</f>
        <v>0</v>
      </c>
      <c r="J799" s="31">
        <f>IF($F799=5,$H799*$B$24,0)</f>
        <v>0</v>
      </c>
      <c r="K799" s="31">
        <f>IF($F799=6.3,$H799*$B$25,0)</f>
        <v>0</v>
      </c>
      <c r="L799" s="31">
        <f>IF($F799=8,$H799*$B$26,0)</f>
        <v>16.969200000000001</v>
      </c>
      <c r="M799" s="31">
        <f>IF($F799=10,$H799*$B$27,0)</f>
        <v>0</v>
      </c>
      <c r="N799" s="31">
        <f>IF($F799=12.5,$H799*$B$28,0)</f>
        <v>0</v>
      </c>
      <c r="O799" s="31">
        <f>IF($F799=16,$H799*$B$29,0)</f>
        <v>0</v>
      </c>
      <c r="P799" s="31">
        <f>IF($F799=20,$H799*$B$30,0)</f>
        <v>0</v>
      </c>
      <c r="Q799" s="49">
        <f>IF($F799=25,$H799*$B$31,0)</f>
        <v>0</v>
      </c>
    </row>
    <row r="800" spans="4:17" s="16" customFormat="1" ht="13.2" x14ac:dyDescent="0.25">
      <c r="D800" s="235"/>
      <c r="E800" s="240"/>
      <c r="F800" s="241"/>
      <c r="G800" s="242"/>
      <c r="H800" s="239">
        <f>E800*G800</f>
        <v>0</v>
      </c>
      <c r="I800" s="131">
        <f>IF($F800=4.2,H800*$B$23,0)</f>
        <v>0</v>
      </c>
      <c r="J800" s="31">
        <f>IF($F800=5,$H800*$B$24,0)</f>
        <v>0</v>
      </c>
      <c r="K800" s="31">
        <f>IF($F800=6.3,$H800*$B$25,0)</f>
        <v>0</v>
      </c>
      <c r="L800" s="31">
        <f>IF($F800=8,$H800*$B$26,0)</f>
        <v>0</v>
      </c>
      <c r="M800" s="31">
        <f>IF($F800=10,$H800*$B$27,0)</f>
        <v>0</v>
      </c>
      <c r="N800" s="31">
        <f>IF($F800=12.5,$H800*$B$28,0)</f>
        <v>0</v>
      </c>
      <c r="O800" s="31">
        <f>IF($F800=16,$H800*$B$29,0)</f>
        <v>0</v>
      </c>
      <c r="P800" s="31">
        <f>IF($F800=20,$H800*$B$30,0)</f>
        <v>0</v>
      </c>
      <c r="Q800" s="49">
        <f>IF($F800=25,$H800*$B$31,0)</f>
        <v>0</v>
      </c>
    </row>
    <row r="801" spans="2:20" s="16" customFormat="1" ht="13.2" x14ac:dyDescent="0.25">
      <c r="D801" s="235"/>
      <c r="E801" s="240"/>
      <c r="F801" s="241"/>
      <c r="G801" s="242"/>
      <c r="H801" s="239">
        <f>E801*G801</f>
        <v>0</v>
      </c>
      <c r="I801" s="131">
        <f>IF($F801=4.2,H801*$B$23,0)</f>
        <v>0</v>
      </c>
      <c r="J801" s="31">
        <f>IF($F801=5,$H801*$B$24,0)</f>
        <v>0</v>
      </c>
      <c r="K801" s="31">
        <f>IF($F801=6.3,$H801*$B$25,0)</f>
        <v>0</v>
      </c>
      <c r="L801" s="31">
        <f>IF($F801=8,$H801*$B$26,0)</f>
        <v>0</v>
      </c>
      <c r="M801" s="31">
        <f>IF($F801=10,$H801*$B$27,0)</f>
        <v>0</v>
      </c>
      <c r="N801" s="31">
        <f>IF($F801=12.5,$H801*$B$28,0)</f>
        <v>0</v>
      </c>
      <c r="O801" s="31">
        <f>IF($F801=16,$H801*$B$29,0)</f>
        <v>0</v>
      </c>
      <c r="P801" s="31">
        <f>IF($F801=20,$H801*$B$30,0)</f>
        <v>0</v>
      </c>
      <c r="Q801" s="49">
        <f>IF($F801=25,$H801*$B$31,0)</f>
        <v>0</v>
      </c>
    </row>
    <row r="802" spans="2:20" s="16" customFormat="1" ht="13.8" thickBot="1" x14ac:dyDescent="0.3">
      <c r="D802" s="307"/>
      <c r="E802" s="26"/>
      <c r="F802" s="206"/>
      <c r="G802" s="207"/>
      <c r="H802" s="207"/>
      <c r="I802" s="51"/>
      <c r="J802" s="308"/>
      <c r="K802" s="308"/>
      <c r="L802" s="308"/>
      <c r="M802" s="308"/>
      <c r="N802" s="308"/>
      <c r="O802" s="308"/>
      <c r="P802" s="308"/>
      <c r="Q802" s="309"/>
    </row>
    <row r="803" spans="2:20" s="16" customFormat="1" ht="13.2" x14ac:dyDescent="0.25">
      <c r="D803" s="796" t="s">
        <v>1566</v>
      </c>
      <c r="E803" s="797"/>
      <c r="F803" s="797"/>
      <c r="G803" s="797"/>
      <c r="H803" s="797"/>
      <c r="I803" s="47">
        <f t="shared" ref="I803:Q803" si="1042">SUM(I804:I805)</f>
        <v>0</v>
      </c>
      <c r="J803" s="47">
        <f t="shared" si="1042"/>
        <v>1.1950399999999999</v>
      </c>
      <c r="K803" s="47">
        <f t="shared" si="1042"/>
        <v>0</v>
      </c>
      <c r="L803" s="47">
        <f t="shared" si="1042"/>
        <v>3.5155000000000003</v>
      </c>
      <c r="M803" s="47">
        <f t="shared" si="1042"/>
        <v>0</v>
      </c>
      <c r="N803" s="47">
        <f t="shared" si="1042"/>
        <v>0</v>
      </c>
      <c r="O803" s="47">
        <f t="shared" si="1042"/>
        <v>0</v>
      </c>
      <c r="P803" s="47">
        <f t="shared" si="1042"/>
        <v>0</v>
      </c>
      <c r="Q803" s="47">
        <f t="shared" si="1042"/>
        <v>0</v>
      </c>
    </row>
    <row r="804" spans="2:20" s="16" customFormat="1" ht="13.2" x14ac:dyDescent="0.25">
      <c r="D804" s="235">
        <v>1</v>
      </c>
      <c r="E804" s="237">
        <f>2*4</f>
        <v>8</v>
      </c>
      <c r="F804" s="238">
        <v>5</v>
      </c>
      <c r="G804" s="239">
        <v>0.97</v>
      </c>
      <c r="H804" s="239">
        <f>E804*G804</f>
        <v>7.76</v>
      </c>
      <c r="I804" s="131">
        <f>IF($F804=4.2,H804*$B$23,0)</f>
        <v>0</v>
      </c>
      <c r="J804" s="31">
        <f>IF($F804=5,$H804*$B$24,0)</f>
        <v>1.1950399999999999</v>
      </c>
      <c r="K804" s="31">
        <f>IF($F804=6.3,$H804*$B$25,0)</f>
        <v>0</v>
      </c>
      <c r="L804" s="31">
        <f>IF($F804=8,$H804*$B$26,0)</f>
        <v>0</v>
      </c>
      <c r="M804" s="31">
        <f>IF($F804=10,$H804*$B$27,0)</f>
        <v>0</v>
      </c>
      <c r="N804" s="31">
        <f>IF($F804=12.5,$H804*$B$28,0)</f>
        <v>0</v>
      </c>
      <c r="O804" s="31">
        <f>IF($F804=16,$H804*$B$29,0)</f>
        <v>0</v>
      </c>
      <c r="P804" s="31">
        <f>IF($F804=20,$H804*$B$30,0)</f>
        <v>0</v>
      </c>
      <c r="Q804" s="49">
        <f>IF($F804=25,$H804*$B$31,0)</f>
        <v>0</v>
      </c>
    </row>
    <row r="805" spans="2:20" s="16" customFormat="1" ht="13.2" x14ac:dyDescent="0.25">
      <c r="D805" s="235">
        <v>3</v>
      </c>
      <c r="E805" s="240">
        <f>2*5</f>
        <v>10</v>
      </c>
      <c r="F805" s="241">
        <v>8</v>
      </c>
      <c r="G805" s="242">
        <v>0.89</v>
      </c>
      <c r="H805" s="239">
        <f>E805*G805</f>
        <v>8.9</v>
      </c>
      <c r="I805" s="131">
        <f>IF($F805=4.2,H805*$B$23,0)</f>
        <v>0</v>
      </c>
      <c r="J805" s="31">
        <f>IF($F805=5,$H805*$B$24,0)</f>
        <v>0</v>
      </c>
      <c r="K805" s="31">
        <f>IF($F805=6.3,$H805*$B$25,0)</f>
        <v>0</v>
      </c>
      <c r="L805" s="31">
        <f>IF($F805=8,$H805*$B$26,0)</f>
        <v>3.5155000000000003</v>
      </c>
      <c r="M805" s="31">
        <f>IF($F805=10,$H805*$B$27,0)</f>
        <v>0</v>
      </c>
      <c r="N805" s="31">
        <f>IF($F805=12.5,$H805*$B$28,0)</f>
        <v>0</v>
      </c>
      <c r="O805" s="31">
        <f>IF($F805=16,$H805*$B$29,0)</f>
        <v>0</v>
      </c>
      <c r="P805" s="31">
        <f>IF($F805=20,$H805*$B$30,0)</f>
        <v>0</v>
      </c>
      <c r="Q805" s="49">
        <f>IF($F805=25,$H805*$B$31,0)</f>
        <v>0</v>
      </c>
    </row>
    <row r="806" spans="2:20" s="16" customFormat="1" ht="13.8" thickBot="1" x14ac:dyDescent="0.3">
      <c r="D806" s="307"/>
      <c r="E806" s="26"/>
      <c r="F806" s="206"/>
      <c r="G806" s="207"/>
      <c r="H806" s="207"/>
      <c r="I806" s="51"/>
      <c r="J806" s="308"/>
      <c r="K806" s="308"/>
      <c r="L806" s="308"/>
      <c r="M806" s="308"/>
      <c r="N806" s="308"/>
      <c r="O806" s="308"/>
      <c r="P806" s="308"/>
      <c r="Q806" s="309"/>
    </row>
    <row r="807" spans="2:20" s="16" customFormat="1" ht="13.2" x14ac:dyDescent="0.25">
      <c r="D807" s="796" t="s">
        <v>1567</v>
      </c>
      <c r="E807" s="797"/>
      <c r="F807" s="797"/>
      <c r="G807" s="797"/>
      <c r="H807" s="797"/>
      <c r="I807" s="47">
        <f>SUM(I808:I812)</f>
        <v>0</v>
      </c>
      <c r="J807" s="47">
        <f t="shared" ref="J807:Q807" si="1043">SUM(J808:J812)</f>
        <v>6.4233399999999996</v>
      </c>
      <c r="K807" s="47">
        <f t="shared" si="1043"/>
        <v>0</v>
      </c>
      <c r="L807" s="47">
        <f t="shared" si="1043"/>
        <v>9.7565000000000008</v>
      </c>
      <c r="M807" s="47">
        <f t="shared" si="1043"/>
        <v>13.253159999999999</v>
      </c>
      <c r="N807" s="47">
        <f t="shared" si="1043"/>
        <v>0</v>
      </c>
      <c r="O807" s="47">
        <f t="shared" si="1043"/>
        <v>0</v>
      </c>
      <c r="P807" s="47">
        <f t="shared" si="1043"/>
        <v>0</v>
      </c>
      <c r="Q807" s="47">
        <f t="shared" si="1043"/>
        <v>0</v>
      </c>
    </row>
    <row r="808" spans="2:20" s="16" customFormat="1" ht="13.2" x14ac:dyDescent="0.25">
      <c r="D808" s="235">
        <v>1</v>
      </c>
      <c r="E808" s="237">
        <v>43</v>
      </c>
      <c r="F808" s="238">
        <v>5</v>
      </c>
      <c r="G808" s="239">
        <v>0.97</v>
      </c>
      <c r="H808" s="239">
        <f>E808*G808</f>
        <v>41.71</v>
      </c>
      <c r="I808" s="131">
        <f>IF($F808=4.2,H808*$B$23,0)</f>
        <v>0</v>
      </c>
      <c r="J808" s="31">
        <f>IF($F808=5,$H808*$B$24,0)</f>
        <v>6.4233399999999996</v>
      </c>
      <c r="K808" s="31">
        <f>IF($F808=6.3,$H808*$B$25,0)</f>
        <v>0</v>
      </c>
      <c r="L808" s="31">
        <f>IF($F808=8,$H808*$B$26,0)</f>
        <v>0</v>
      </c>
      <c r="M808" s="31">
        <f>IF($F808=10,$H808*$B$27,0)</f>
        <v>0</v>
      </c>
      <c r="N808" s="31">
        <f>IF($F808=12.5,$H808*$B$28,0)</f>
        <v>0</v>
      </c>
      <c r="O808" s="31">
        <f>IF($F808=16,$H808*$B$29,0)</f>
        <v>0</v>
      </c>
      <c r="P808" s="31">
        <f>IF($F808=20,$H808*$B$30,0)</f>
        <v>0</v>
      </c>
      <c r="Q808" s="49">
        <f>IF($F808=25,$H808*$B$31,0)</f>
        <v>0</v>
      </c>
    </row>
    <row r="809" spans="2:20" s="16" customFormat="1" ht="13.2" x14ac:dyDescent="0.25">
      <c r="D809" s="235">
        <v>2</v>
      </c>
      <c r="E809" s="240">
        <v>2</v>
      </c>
      <c r="F809" s="241">
        <v>8</v>
      </c>
      <c r="G809" s="242">
        <v>10.74</v>
      </c>
      <c r="H809" s="239">
        <f>E809*G809</f>
        <v>21.48</v>
      </c>
      <c r="I809" s="131">
        <f>IF($F809=4.2,H809*$B$23,0)</f>
        <v>0</v>
      </c>
      <c r="J809" s="31">
        <f>IF($F809=5,$H809*$B$24,0)</f>
        <v>0</v>
      </c>
      <c r="K809" s="31">
        <f>IF($F809=6.3,$H809*$B$25,0)</f>
        <v>0</v>
      </c>
      <c r="L809" s="31">
        <f>IF($F809=8,$H809*$B$26,0)</f>
        <v>8.4846000000000004</v>
      </c>
      <c r="M809" s="31">
        <f>IF($F809=10,$H809*$B$27,0)</f>
        <v>0</v>
      </c>
      <c r="N809" s="31">
        <f>IF($F809=12.5,$H809*$B$28,0)</f>
        <v>0</v>
      </c>
      <c r="O809" s="31">
        <f>IF($F809=16,$H809*$B$29,0)</f>
        <v>0</v>
      </c>
      <c r="P809" s="31">
        <f>IF($F809=20,$H809*$B$30,0)</f>
        <v>0</v>
      </c>
      <c r="Q809" s="49">
        <f>IF($F809=25,$H809*$B$31,0)</f>
        <v>0</v>
      </c>
    </row>
    <row r="810" spans="2:20" s="16" customFormat="1" ht="13.2" x14ac:dyDescent="0.25">
      <c r="D810" s="235">
        <v>4</v>
      </c>
      <c r="E810" s="240">
        <v>1</v>
      </c>
      <c r="F810" s="241">
        <v>8</v>
      </c>
      <c r="G810" s="242">
        <v>1.9</v>
      </c>
      <c r="H810" s="239">
        <f>E810*G810</f>
        <v>1.9</v>
      </c>
      <c r="I810" s="131">
        <f>IF($F810=4.2,H810*$B$23,0)</f>
        <v>0</v>
      </c>
      <c r="J810" s="31">
        <f>IF($F810=5,$H810*$B$24,0)</f>
        <v>0</v>
      </c>
      <c r="K810" s="31">
        <f>IF($F810=6.3,$H810*$B$25,0)</f>
        <v>0</v>
      </c>
      <c r="L810" s="31">
        <f>IF($F810=8,$H810*$B$26,0)</f>
        <v>0.75049999999999994</v>
      </c>
      <c r="M810" s="31">
        <f>IF($F810=10,$H810*$B$27,0)</f>
        <v>0</v>
      </c>
      <c r="N810" s="31">
        <f>IF($F810=12.5,$H810*$B$28,0)</f>
        <v>0</v>
      </c>
      <c r="O810" s="31">
        <f>IF($F810=16,$H810*$B$29,0)</f>
        <v>0</v>
      </c>
      <c r="P810" s="31">
        <f>IF($F810=20,$H810*$B$30,0)</f>
        <v>0</v>
      </c>
      <c r="Q810" s="49">
        <f>IF($F810=25,$H810*$B$31,0)</f>
        <v>0</v>
      </c>
    </row>
    <row r="811" spans="2:20" s="16" customFormat="1" ht="13.2" x14ac:dyDescent="0.25">
      <c r="D811" s="235">
        <v>5</v>
      </c>
      <c r="E811" s="240">
        <v>1</v>
      </c>
      <c r="F811" s="241">
        <v>8</v>
      </c>
      <c r="G811" s="242">
        <v>1.32</v>
      </c>
      <c r="H811" s="239">
        <f>E811*G811</f>
        <v>1.32</v>
      </c>
      <c r="I811" s="131">
        <f>IF($F811=4.2,H811*$B$23,0)</f>
        <v>0</v>
      </c>
      <c r="J811" s="31">
        <f>IF($F811=5,$H811*$B$24,0)</f>
        <v>0</v>
      </c>
      <c r="K811" s="31">
        <f>IF($F811=6.3,$H811*$B$25,0)</f>
        <v>0</v>
      </c>
      <c r="L811" s="31">
        <f>IF($F811=8,$H811*$B$26,0)</f>
        <v>0.52140000000000009</v>
      </c>
      <c r="M811" s="31">
        <f>IF($F811=10,$H811*$B$27,0)</f>
        <v>0</v>
      </c>
      <c r="N811" s="31">
        <f>IF($F811=12.5,$H811*$B$28,0)</f>
        <v>0</v>
      </c>
      <c r="O811" s="31">
        <f>IF($F811=16,$H811*$B$29,0)</f>
        <v>0</v>
      </c>
      <c r="P811" s="31">
        <f>IF($F811=20,$H811*$B$30,0)</f>
        <v>0</v>
      </c>
      <c r="Q811" s="49">
        <f>IF($F811=25,$H811*$B$31,0)</f>
        <v>0</v>
      </c>
    </row>
    <row r="812" spans="2:20" s="16" customFormat="1" ht="13.2" x14ac:dyDescent="0.25">
      <c r="D812" s="235">
        <v>6</v>
      </c>
      <c r="E812" s="240">
        <v>2</v>
      </c>
      <c r="F812" s="241">
        <v>10</v>
      </c>
      <c r="G812" s="242">
        <v>10.74</v>
      </c>
      <c r="H812" s="239">
        <f>E812*G812</f>
        <v>21.48</v>
      </c>
      <c r="I812" s="131">
        <f>IF($F812=4.2,H812*$B$23,0)</f>
        <v>0</v>
      </c>
      <c r="J812" s="31">
        <f>IF($F812=5,$H812*$B$24,0)</f>
        <v>0</v>
      </c>
      <c r="K812" s="31">
        <f>IF($F812=6.3,$H812*$B$25,0)</f>
        <v>0</v>
      </c>
      <c r="L812" s="31">
        <f>IF($F812=8,$H812*$B$26,0)</f>
        <v>0</v>
      </c>
      <c r="M812" s="31">
        <f>IF($F812=10,$H812*$B$27,0)</f>
        <v>13.253159999999999</v>
      </c>
      <c r="N812" s="31">
        <f>IF($F812=12.5,$H812*$B$28,0)</f>
        <v>0</v>
      </c>
      <c r="O812" s="31">
        <f>IF($F812=16,$H812*$B$29,0)</f>
        <v>0</v>
      </c>
      <c r="P812" s="31">
        <f>IF($F812=20,$H812*$B$30,0)</f>
        <v>0</v>
      </c>
      <c r="Q812" s="49">
        <f>IF($F812=25,$H812*$B$31,0)</f>
        <v>0</v>
      </c>
    </row>
    <row r="813" spans="2:20" s="16" customFormat="1" ht="13.8" thickBot="1" x14ac:dyDescent="0.3">
      <c r="D813" s="307"/>
      <c r="E813" s="26"/>
      <c r="F813" s="206"/>
      <c r="G813" s="207"/>
      <c r="H813" s="207"/>
      <c r="I813" s="51"/>
      <c r="J813" s="308"/>
      <c r="K813" s="308"/>
      <c r="L813" s="308"/>
      <c r="M813" s="308"/>
      <c r="N813" s="308"/>
      <c r="O813" s="308"/>
      <c r="P813" s="308"/>
      <c r="Q813" s="309"/>
    </row>
    <row r="814" spans="2:20" s="16" customFormat="1" ht="15" customHeight="1" thickBot="1" x14ac:dyDescent="0.3">
      <c r="B814" s="34"/>
      <c r="D814" s="792" t="s">
        <v>740</v>
      </c>
      <c r="E814" s="793"/>
      <c r="F814" s="793"/>
      <c r="G814" s="793"/>
      <c r="H814" s="793"/>
      <c r="I814" s="793"/>
      <c r="J814" s="793"/>
      <c r="K814" s="793"/>
      <c r="L814" s="793"/>
      <c r="M814" s="793"/>
      <c r="N814" s="793"/>
      <c r="O814" s="793"/>
      <c r="P814" s="793"/>
      <c r="Q814" s="794"/>
      <c r="S814" s="795"/>
      <c r="T814" s="795"/>
    </row>
    <row r="815" spans="2:20" s="16" customFormat="1" ht="13.2" x14ac:dyDescent="0.25">
      <c r="D815" s="796" t="s">
        <v>1655</v>
      </c>
      <c r="E815" s="797"/>
      <c r="F815" s="797"/>
      <c r="G815" s="797"/>
      <c r="H815" s="797"/>
      <c r="I815" s="47">
        <f t="shared" ref="I815:Q815" si="1044">SUM(I816:I821)</f>
        <v>0</v>
      </c>
      <c r="J815" s="47">
        <f t="shared" si="1044"/>
        <v>4.1826400000000001</v>
      </c>
      <c r="K815" s="47">
        <f t="shared" si="1044"/>
        <v>0</v>
      </c>
      <c r="L815" s="47">
        <f t="shared" si="1044"/>
        <v>4.1672500000000001</v>
      </c>
      <c r="M815" s="47">
        <f t="shared" si="1044"/>
        <v>11.797039999999999</v>
      </c>
      <c r="N815" s="47">
        <f t="shared" si="1044"/>
        <v>0</v>
      </c>
      <c r="O815" s="47">
        <f t="shared" si="1044"/>
        <v>0</v>
      </c>
      <c r="P815" s="47">
        <f t="shared" si="1044"/>
        <v>0</v>
      </c>
      <c r="Q815" s="47">
        <f t="shared" si="1044"/>
        <v>0</v>
      </c>
    </row>
    <row r="816" spans="2:20" s="16" customFormat="1" ht="13.2" x14ac:dyDescent="0.25">
      <c r="D816" s="235">
        <v>6</v>
      </c>
      <c r="E816" s="237">
        <v>28</v>
      </c>
      <c r="F816" s="238">
        <v>5</v>
      </c>
      <c r="G816" s="239">
        <v>0.97</v>
      </c>
      <c r="H816" s="239">
        <f t="shared" ref="H816:H821" si="1045">E816*G816</f>
        <v>27.16</v>
      </c>
      <c r="I816" s="131">
        <f t="shared" ref="I816:I821" si="1046">IF($F816=4.2,H816*$B$23,0)</f>
        <v>0</v>
      </c>
      <c r="J816" s="31">
        <f t="shared" ref="J816:J821" si="1047">IF($F816=5,$H816*$B$24,0)</f>
        <v>4.1826400000000001</v>
      </c>
      <c r="K816" s="31">
        <f t="shared" ref="K816:K821" si="1048">IF($F816=6.3,$H816*$B$25,0)</f>
        <v>0</v>
      </c>
      <c r="L816" s="31">
        <f t="shared" ref="L816:L821" si="1049">IF($F816=8,$H816*$B$26,0)</f>
        <v>0</v>
      </c>
      <c r="M816" s="31">
        <f t="shared" ref="M816:M821" si="1050">IF($F816=10,$H816*$B$27,0)</f>
        <v>0</v>
      </c>
      <c r="N816" s="31">
        <f t="shared" ref="N816:N821" si="1051">IF($F816=12.5,$H816*$B$28,0)</f>
        <v>0</v>
      </c>
      <c r="O816" s="31">
        <f t="shared" ref="O816:O821" si="1052">IF($F816=16,$H816*$B$29,0)</f>
        <v>0</v>
      </c>
      <c r="P816" s="31">
        <f t="shared" ref="P816:P821" si="1053">IF($F816=20,$H816*$B$30,0)</f>
        <v>0</v>
      </c>
      <c r="Q816" s="49">
        <f t="shared" ref="Q816:Q821" si="1054">IF($F816=25,$H816*$B$31,0)</f>
        <v>0</v>
      </c>
    </row>
    <row r="817" spans="4:17" s="16" customFormat="1" ht="13.2" x14ac:dyDescent="0.25">
      <c r="D817" s="235">
        <v>14</v>
      </c>
      <c r="E817" s="240">
        <v>1</v>
      </c>
      <c r="F817" s="241">
        <v>8</v>
      </c>
      <c r="G817" s="242">
        <v>0.87</v>
      </c>
      <c r="H817" s="239">
        <f t="shared" si="1045"/>
        <v>0.87</v>
      </c>
      <c r="I817" s="131">
        <f t="shared" si="1046"/>
        <v>0</v>
      </c>
      <c r="J817" s="31">
        <f t="shared" si="1047"/>
        <v>0</v>
      </c>
      <c r="K817" s="31">
        <f t="shared" si="1048"/>
        <v>0</v>
      </c>
      <c r="L817" s="31">
        <f t="shared" si="1049"/>
        <v>0.34365000000000001</v>
      </c>
      <c r="M817" s="31">
        <f t="shared" si="1050"/>
        <v>0</v>
      </c>
      <c r="N817" s="31">
        <f t="shared" si="1051"/>
        <v>0</v>
      </c>
      <c r="O817" s="31">
        <f t="shared" si="1052"/>
        <v>0</v>
      </c>
      <c r="P817" s="31">
        <f t="shared" si="1053"/>
        <v>0</v>
      </c>
      <c r="Q817" s="49">
        <f t="shared" si="1054"/>
        <v>0</v>
      </c>
    </row>
    <row r="818" spans="4:17" s="16" customFormat="1" ht="13.2" x14ac:dyDescent="0.25">
      <c r="D818" s="235">
        <v>15</v>
      </c>
      <c r="E818" s="240">
        <v>2</v>
      </c>
      <c r="F818" s="241">
        <v>8</v>
      </c>
      <c r="G818" s="242">
        <v>4.84</v>
      </c>
      <c r="H818" s="239">
        <f t="shared" si="1045"/>
        <v>9.68</v>
      </c>
      <c r="I818" s="131">
        <f t="shared" si="1046"/>
        <v>0</v>
      </c>
      <c r="J818" s="31">
        <f t="shared" si="1047"/>
        <v>0</v>
      </c>
      <c r="K818" s="31">
        <f t="shared" si="1048"/>
        <v>0</v>
      </c>
      <c r="L818" s="31">
        <f t="shared" si="1049"/>
        <v>3.8235999999999999</v>
      </c>
      <c r="M818" s="31">
        <f t="shared" si="1050"/>
        <v>0</v>
      </c>
      <c r="N818" s="31">
        <f t="shared" si="1051"/>
        <v>0</v>
      </c>
      <c r="O818" s="31">
        <f t="shared" si="1052"/>
        <v>0</v>
      </c>
      <c r="P818" s="31">
        <f t="shared" si="1053"/>
        <v>0</v>
      </c>
      <c r="Q818" s="49">
        <f t="shared" si="1054"/>
        <v>0</v>
      </c>
    </row>
    <row r="819" spans="4:17" s="16" customFormat="1" ht="13.2" x14ac:dyDescent="0.25">
      <c r="D819" s="235">
        <v>39</v>
      </c>
      <c r="E819" s="240">
        <v>1</v>
      </c>
      <c r="F819" s="241">
        <v>10</v>
      </c>
      <c r="G819" s="242">
        <v>3.08</v>
      </c>
      <c r="H819" s="239">
        <f t="shared" si="1045"/>
        <v>3.08</v>
      </c>
      <c r="I819" s="131">
        <f t="shared" si="1046"/>
        <v>0</v>
      </c>
      <c r="J819" s="31">
        <f t="shared" si="1047"/>
        <v>0</v>
      </c>
      <c r="K819" s="31">
        <f t="shared" si="1048"/>
        <v>0</v>
      </c>
      <c r="L819" s="31">
        <f t="shared" si="1049"/>
        <v>0</v>
      </c>
      <c r="M819" s="31">
        <f t="shared" si="1050"/>
        <v>1.90036</v>
      </c>
      <c r="N819" s="31">
        <f t="shared" si="1051"/>
        <v>0</v>
      </c>
      <c r="O819" s="31">
        <f t="shared" si="1052"/>
        <v>0</v>
      </c>
      <c r="P819" s="31">
        <f t="shared" si="1053"/>
        <v>0</v>
      </c>
      <c r="Q819" s="49">
        <f t="shared" si="1054"/>
        <v>0</v>
      </c>
    </row>
    <row r="820" spans="4:17" s="16" customFormat="1" ht="13.2" x14ac:dyDescent="0.25">
      <c r="D820" s="235">
        <v>40</v>
      </c>
      <c r="E820" s="240">
        <v>2</v>
      </c>
      <c r="F820" s="241">
        <v>10</v>
      </c>
      <c r="G820" s="242">
        <v>6.14</v>
      </c>
      <c r="H820" s="239">
        <f t="shared" si="1045"/>
        <v>12.28</v>
      </c>
      <c r="I820" s="131">
        <f t="shared" si="1046"/>
        <v>0</v>
      </c>
      <c r="J820" s="31">
        <f t="shared" si="1047"/>
        <v>0</v>
      </c>
      <c r="K820" s="31">
        <f t="shared" si="1048"/>
        <v>0</v>
      </c>
      <c r="L820" s="31">
        <f t="shared" si="1049"/>
        <v>0</v>
      </c>
      <c r="M820" s="31">
        <f t="shared" si="1050"/>
        <v>7.5767599999999993</v>
      </c>
      <c r="N820" s="31">
        <f t="shared" si="1051"/>
        <v>0</v>
      </c>
      <c r="O820" s="31">
        <f t="shared" si="1052"/>
        <v>0</v>
      </c>
      <c r="P820" s="31">
        <f t="shared" si="1053"/>
        <v>0</v>
      </c>
      <c r="Q820" s="49">
        <f t="shared" si="1054"/>
        <v>0</v>
      </c>
    </row>
    <row r="821" spans="4:17" s="16" customFormat="1" ht="13.2" x14ac:dyDescent="0.25">
      <c r="D821" s="235">
        <v>41</v>
      </c>
      <c r="E821" s="240">
        <v>2</v>
      </c>
      <c r="F821" s="241">
        <v>10</v>
      </c>
      <c r="G821" s="242">
        <v>1.88</v>
      </c>
      <c r="H821" s="239">
        <f t="shared" si="1045"/>
        <v>3.76</v>
      </c>
      <c r="I821" s="131">
        <f t="shared" si="1046"/>
        <v>0</v>
      </c>
      <c r="J821" s="31">
        <f t="shared" si="1047"/>
        <v>0</v>
      </c>
      <c r="K821" s="31">
        <f t="shared" si="1048"/>
        <v>0</v>
      </c>
      <c r="L821" s="31">
        <f t="shared" si="1049"/>
        <v>0</v>
      </c>
      <c r="M821" s="31">
        <f t="shared" si="1050"/>
        <v>2.3199199999999998</v>
      </c>
      <c r="N821" s="31">
        <f t="shared" si="1051"/>
        <v>0</v>
      </c>
      <c r="O821" s="31">
        <f t="shared" si="1052"/>
        <v>0</v>
      </c>
      <c r="P821" s="31">
        <f t="shared" si="1053"/>
        <v>0</v>
      </c>
      <c r="Q821" s="49">
        <f t="shared" si="1054"/>
        <v>0</v>
      </c>
    </row>
    <row r="822" spans="4:17" s="16" customFormat="1" ht="13.8" thickBot="1" x14ac:dyDescent="0.3">
      <c r="D822" s="307"/>
      <c r="E822" s="26"/>
      <c r="F822" s="206"/>
      <c r="G822" s="207"/>
      <c r="H822" s="207"/>
      <c r="I822" s="51"/>
      <c r="J822" s="308"/>
      <c r="K822" s="308"/>
      <c r="L822" s="308"/>
      <c r="M822" s="308"/>
      <c r="N822" s="308"/>
      <c r="O822" s="308"/>
      <c r="P822" s="308"/>
      <c r="Q822" s="309"/>
    </row>
    <row r="823" spans="4:17" s="16" customFormat="1" ht="13.2" x14ac:dyDescent="0.25">
      <c r="D823" s="796" t="s">
        <v>1656</v>
      </c>
      <c r="E823" s="797"/>
      <c r="F823" s="797"/>
      <c r="G823" s="797"/>
      <c r="H823" s="797"/>
      <c r="I823" s="47">
        <f>SUM(I824:I827)</f>
        <v>0</v>
      </c>
      <c r="J823" s="47">
        <f t="shared" ref="J823:Q823" si="1055">SUM(J824:J827)</f>
        <v>2.8382199999999997</v>
      </c>
      <c r="K823" s="47">
        <f t="shared" si="1055"/>
        <v>0</v>
      </c>
      <c r="L823" s="47">
        <f t="shared" si="1055"/>
        <v>3.9184000000000001</v>
      </c>
      <c r="M823" s="47">
        <f t="shared" si="1055"/>
        <v>1.1908099999999999</v>
      </c>
      <c r="N823" s="47">
        <f t="shared" si="1055"/>
        <v>0</v>
      </c>
      <c r="O823" s="47">
        <f t="shared" si="1055"/>
        <v>0</v>
      </c>
      <c r="P823" s="47">
        <f t="shared" si="1055"/>
        <v>0</v>
      </c>
      <c r="Q823" s="47">
        <f t="shared" si="1055"/>
        <v>0</v>
      </c>
    </row>
    <row r="824" spans="4:17" s="16" customFormat="1" ht="13.2" x14ac:dyDescent="0.25">
      <c r="D824" s="235">
        <v>6</v>
      </c>
      <c r="E824" s="240">
        <v>19</v>
      </c>
      <c r="F824" s="241">
        <v>5</v>
      </c>
      <c r="G824" s="242">
        <v>0.97</v>
      </c>
      <c r="H824" s="239">
        <f>E824*G824</f>
        <v>18.43</v>
      </c>
      <c r="I824" s="131">
        <f>IF($F824=4.2,H824*$B$23,0)</f>
        <v>0</v>
      </c>
      <c r="J824" s="31">
        <f>IF($F824=5,$H824*$B$24,0)</f>
        <v>2.8382199999999997</v>
      </c>
      <c r="K824" s="31">
        <f>IF($F824=6.3,$H824*$B$25,0)</f>
        <v>0</v>
      </c>
      <c r="L824" s="31">
        <f>IF($F824=8,$H824*$B$26,0)</f>
        <v>0</v>
      </c>
      <c r="M824" s="31">
        <f>IF($F824=10,$H824*$B$27,0)</f>
        <v>0</v>
      </c>
      <c r="N824" s="31">
        <f>IF($F824=12.5,$H824*$B$28,0)</f>
        <v>0</v>
      </c>
      <c r="O824" s="31">
        <f>IF($F824=16,$H824*$B$29,0)</f>
        <v>0</v>
      </c>
      <c r="P824" s="31">
        <f>IF($F824=20,$H824*$B$30,0)</f>
        <v>0</v>
      </c>
      <c r="Q824" s="49">
        <f>IF($F824=25,$H824*$B$31,0)</f>
        <v>0</v>
      </c>
    </row>
    <row r="825" spans="4:17" s="16" customFormat="1" ht="13.2" x14ac:dyDescent="0.25">
      <c r="D825" s="235">
        <v>16</v>
      </c>
      <c r="E825" s="240">
        <v>1</v>
      </c>
      <c r="F825" s="241">
        <v>8</v>
      </c>
      <c r="G825" s="242">
        <v>1.1599999999999999</v>
      </c>
      <c r="H825" s="239">
        <f>E825*G825</f>
        <v>1.1599999999999999</v>
      </c>
      <c r="I825" s="131">
        <f>IF($F825=4.2,H825*$B$23,0)</f>
        <v>0</v>
      </c>
      <c r="J825" s="31">
        <f>IF($F825=5,$H825*$B$24,0)</f>
        <v>0</v>
      </c>
      <c r="K825" s="31">
        <f>IF($F825=6.3,$H825*$B$25,0)</f>
        <v>0</v>
      </c>
      <c r="L825" s="31">
        <f>IF($F825=8,$H825*$B$26,0)</f>
        <v>0.4582</v>
      </c>
      <c r="M825" s="31">
        <f>IF($F825=10,$H825*$B$27,0)</f>
        <v>0</v>
      </c>
      <c r="N825" s="31">
        <f>IF($F825=12.5,$H825*$B$28,0)</f>
        <v>0</v>
      </c>
      <c r="O825" s="31">
        <f>IF($F825=16,$H825*$B$29,0)</f>
        <v>0</v>
      </c>
      <c r="P825" s="31">
        <f>IF($F825=20,$H825*$B$30,0)</f>
        <v>0</v>
      </c>
      <c r="Q825" s="49">
        <f>IF($F825=25,$H825*$B$31,0)</f>
        <v>0</v>
      </c>
    </row>
    <row r="826" spans="4:17" s="16" customFormat="1" ht="13.2" x14ac:dyDescent="0.25">
      <c r="D826" s="235">
        <v>17</v>
      </c>
      <c r="E826" s="237">
        <v>2</v>
      </c>
      <c r="F826" s="238">
        <v>8</v>
      </c>
      <c r="G826" s="239">
        <v>4.38</v>
      </c>
      <c r="H826" s="239">
        <f>E826*G826</f>
        <v>8.76</v>
      </c>
      <c r="I826" s="131">
        <f>IF($F826=4.2,H826*$B$23,0)</f>
        <v>0</v>
      </c>
      <c r="J826" s="31">
        <f>IF($F826=5,$H826*$B$24,0)</f>
        <v>0</v>
      </c>
      <c r="K826" s="31">
        <f>IF($F826=6.3,$H826*$B$25,0)</f>
        <v>0</v>
      </c>
      <c r="L826" s="31">
        <f>IF($F826=8,$H826*$B$26,0)</f>
        <v>3.4601999999999999</v>
      </c>
      <c r="M826" s="31">
        <f>IF($F826=10,$H826*$B$27,0)</f>
        <v>0</v>
      </c>
      <c r="N826" s="31">
        <f>IF($F826=12.5,$H826*$B$28,0)</f>
        <v>0</v>
      </c>
      <c r="O826" s="31">
        <f>IF($F826=16,$H826*$B$29,0)</f>
        <v>0</v>
      </c>
      <c r="P826" s="31">
        <f>IF($F826=20,$H826*$B$30,0)</f>
        <v>0</v>
      </c>
      <c r="Q826" s="49">
        <f>IF($F826=25,$H826*$B$31,0)</f>
        <v>0</v>
      </c>
    </row>
    <row r="827" spans="4:17" s="16" customFormat="1" ht="13.2" x14ac:dyDescent="0.25">
      <c r="D827" s="235">
        <v>42</v>
      </c>
      <c r="E827" s="240">
        <v>1</v>
      </c>
      <c r="F827" s="241">
        <v>10</v>
      </c>
      <c r="G827" s="242">
        <v>1.93</v>
      </c>
      <c r="H827" s="239">
        <f>E827*G827</f>
        <v>1.93</v>
      </c>
      <c r="I827" s="131">
        <f>IF($F827=4.2,H827*$B$23,0)</f>
        <v>0</v>
      </c>
      <c r="J827" s="31">
        <f>IF($F827=5,$H827*$B$24,0)</f>
        <v>0</v>
      </c>
      <c r="K827" s="31">
        <f>IF($F827=6.3,$H827*$B$25,0)</f>
        <v>0</v>
      </c>
      <c r="L827" s="31">
        <f>IF($F827=8,$H827*$B$26,0)</f>
        <v>0</v>
      </c>
      <c r="M827" s="31">
        <f>IF($F827=10,$H827*$B$27,0)</f>
        <v>1.1908099999999999</v>
      </c>
      <c r="N827" s="31">
        <f>IF($F827=12.5,$H827*$B$28,0)</f>
        <v>0</v>
      </c>
      <c r="O827" s="31">
        <f>IF($F827=16,$H827*$B$29,0)</f>
        <v>0</v>
      </c>
      <c r="P827" s="31">
        <f>IF($F827=20,$H827*$B$30,0)</f>
        <v>0</v>
      </c>
      <c r="Q827" s="49">
        <f>IF($F827=25,$H827*$B$31,0)</f>
        <v>0</v>
      </c>
    </row>
    <row r="828" spans="4:17" s="16" customFormat="1" ht="13.2" x14ac:dyDescent="0.25">
      <c r="D828" s="235">
        <v>43</v>
      </c>
      <c r="E828" s="240">
        <v>2</v>
      </c>
      <c r="F828" s="241">
        <v>10</v>
      </c>
      <c r="G828" s="242">
        <v>4.1900000000000004</v>
      </c>
      <c r="H828" s="239">
        <f>E828*G828</f>
        <v>8.3800000000000008</v>
      </c>
      <c r="I828" s="131">
        <f>IF($F828=4.2,H828*$B$23,0)</f>
        <v>0</v>
      </c>
      <c r="J828" s="31">
        <f>IF($F828=5,$H828*$B$24,0)</f>
        <v>0</v>
      </c>
      <c r="K828" s="31">
        <f>IF($F828=6.3,$H828*$B$25,0)</f>
        <v>0</v>
      </c>
      <c r="L828" s="31">
        <f>IF($F828=8,$H828*$B$26,0)</f>
        <v>0</v>
      </c>
      <c r="M828" s="31">
        <f>IF($F828=10,$H828*$B$27,0)</f>
        <v>5.1704600000000003</v>
      </c>
      <c r="N828" s="31">
        <f>IF($F828=12.5,$H828*$B$28,0)</f>
        <v>0</v>
      </c>
      <c r="O828" s="31">
        <f>IF($F828=16,$H828*$B$29,0)</f>
        <v>0</v>
      </c>
      <c r="P828" s="31">
        <f>IF($F828=20,$H828*$B$30,0)</f>
        <v>0</v>
      </c>
      <c r="Q828" s="49">
        <f>IF($F828=25,$H828*$B$31,0)</f>
        <v>0</v>
      </c>
    </row>
    <row r="829" spans="4:17" s="16" customFormat="1" ht="13.8" thickBot="1" x14ac:dyDescent="0.3">
      <c r="D829" s="307"/>
      <c r="E829" s="26"/>
      <c r="F829" s="206"/>
      <c r="G829" s="207"/>
      <c r="H829" s="207"/>
      <c r="I829" s="51"/>
      <c r="J829" s="308"/>
      <c r="K829" s="308"/>
      <c r="L829" s="308"/>
      <c r="M829" s="308"/>
      <c r="N829" s="308"/>
      <c r="O829" s="308"/>
      <c r="P829" s="308"/>
      <c r="Q829" s="309"/>
    </row>
    <row r="830" spans="4:17" s="16" customFormat="1" ht="13.2" x14ac:dyDescent="0.25">
      <c r="D830" s="796" t="s">
        <v>1657</v>
      </c>
      <c r="E830" s="797"/>
      <c r="F830" s="797"/>
      <c r="G830" s="797"/>
      <c r="H830" s="797"/>
      <c r="I830" s="47">
        <f t="shared" ref="I830:Q830" si="1056">SUM(I831:I838)</f>
        <v>0</v>
      </c>
      <c r="J830" s="47">
        <f t="shared" si="1056"/>
        <v>5.6764399999999995</v>
      </c>
      <c r="K830" s="47">
        <f t="shared" si="1056"/>
        <v>0</v>
      </c>
      <c r="L830" s="47">
        <f t="shared" si="1056"/>
        <v>12.063300000000002</v>
      </c>
      <c r="M830" s="47">
        <f t="shared" si="1056"/>
        <v>12.592969999999998</v>
      </c>
      <c r="N830" s="47">
        <f t="shared" si="1056"/>
        <v>0</v>
      </c>
      <c r="O830" s="47">
        <f t="shared" si="1056"/>
        <v>0</v>
      </c>
      <c r="P830" s="47">
        <f t="shared" si="1056"/>
        <v>0</v>
      </c>
      <c r="Q830" s="47">
        <f t="shared" si="1056"/>
        <v>0</v>
      </c>
    </row>
    <row r="831" spans="4:17" s="16" customFormat="1" ht="13.2" x14ac:dyDescent="0.25">
      <c r="D831" s="235">
        <v>6</v>
      </c>
      <c r="E831" s="237">
        <v>38</v>
      </c>
      <c r="F831" s="238">
        <v>5</v>
      </c>
      <c r="G831" s="239">
        <v>0.97</v>
      </c>
      <c r="H831" s="239">
        <f t="shared" ref="H831:H838" si="1057">E831*G831</f>
        <v>36.86</v>
      </c>
      <c r="I831" s="131">
        <f t="shared" ref="I831:I838" si="1058">IF($F831=4.2,H831*$B$23,0)</f>
        <v>0</v>
      </c>
      <c r="J831" s="31">
        <f t="shared" ref="J831:J838" si="1059">IF($F831=5,$H831*$B$24,0)</f>
        <v>5.6764399999999995</v>
      </c>
      <c r="K831" s="31">
        <f t="shared" ref="K831:K838" si="1060">IF($F831=6.3,$H831*$B$25,0)</f>
        <v>0</v>
      </c>
      <c r="L831" s="31">
        <f t="shared" ref="L831:L838" si="1061">IF($F831=8,$H831*$B$26,0)</f>
        <v>0</v>
      </c>
      <c r="M831" s="31">
        <f t="shared" ref="M831:M838" si="1062">IF($F831=10,$H831*$B$27,0)</f>
        <v>0</v>
      </c>
      <c r="N831" s="31">
        <f t="shared" ref="N831:N838" si="1063">IF($F831=12.5,$H831*$B$28,0)</f>
        <v>0</v>
      </c>
      <c r="O831" s="31">
        <f t="shared" ref="O831:O838" si="1064">IF($F831=16,$H831*$B$29,0)</f>
        <v>0</v>
      </c>
      <c r="P831" s="31">
        <f t="shared" ref="P831:P838" si="1065">IF($F831=20,$H831*$B$30,0)</f>
        <v>0</v>
      </c>
      <c r="Q831" s="49">
        <f t="shared" ref="Q831:Q838" si="1066">IF($F831=25,$H831*$B$31,0)</f>
        <v>0</v>
      </c>
    </row>
    <row r="832" spans="4:17" s="16" customFormat="1" ht="13.2" x14ac:dyDescent="0.25">
      <c r="D832" s="235">
        <v>18</v>
      </c>
      <c r="E832" s="240">
        <v>3</v>
      </c>
      <c r="F832" s="241">
        <v>8</v>
      </c>
      <c r="G832" s="242">
        <v>1.48</v>
      </c>
      <c r="H832" s="239">
        <f t="shared" si="1057"/>
        <v>4.4399999999999995</v>
      </c>
      <c r="I832" s="131">
        <f t="shared" si="1058"/>
        <v>0</v>
      </c>
      <c r="J832" s="31">
        <f t="shared" si="1059"/>
        <v>0</v>
      </c>
      <c r="K832" s="31">
        <f t="shared" si="1060"/>
        <v>0</v>
      </c>
      <c r="L832" s="31">
        <f t="shared" si="1061"/>
        <v>1.7537999999999998</v>
      </c>
      <c r="M832" s="31">
        <f t="shared" si="1062"/>
        <v>0</v>
      </c>
      <c r="N832" s="31">
        <f t="shared" si="1063"/>
        <v>0</v>
      </c>
      <c r="O832" s="31">
        <f t="shared" si="1064"/>
        <v>0</v>
      </c>
      <c r="P832" s="31">
        <f t="shared" si="1065"/>
        <v>0</v>
      </c>
      <c r="Q832" s="49">
        <f t="shared" si="1066"/>
        <v>0</v>
      </c>
    </row>
    <row r="833" spans="4:17" s="16" customFormat="1" ht="13.2" x14ac:dyDescent="0.25">
      <c r="D833" s="235">
        <v>19</v>
      </c>
      <c r="E833" s="240">
        <v>1</v>
      </c>
      <c r="F833" s="241">
        <v>8</v>
      </c>
      <c r="G833" s="242">
        <v>2.2799999999999998</v>
      </c>
      <c r="H833" s="239">
        <f t="shared" si="1057"/>
        <v>2.2799999999999998</v>
      </c>
      <c r="I833" s="131">
        <f t="shared" si="1058"/>
        <v>0</v>
      </c>
      <c r="J833" s="31">
        <f t="shared" si="1059"/>
        <v>0</v>
      </c>
      <c r="K833" s="31">
        <f t="shared" si="1060"/>
        <v>0</v>
      </c>
      <c r="L833" s="31">
        <f t="shared" si="1061"/>
        <v>0.90059999999999996</v>
      </c>
      <c r="M833" s="31">
        <f t="shared" si="1062"/>
        <v>0</v>
      </c>
      <c r="N833" s="31">
        <f t="shared" si="1063"/>
        <v>0</v>
      </c>
      <c r="O833" s="31">
        <f t="shared" si="1064"/>
        <v>0</v>
      </c>
      <c r="P833" s="31">
        <f t="shared" si="1065"/>
        <v>0</v>
      </c>
      <c r="Q833" s="49">
        <f t="shared" si="1066"/>
        <v>0</v>
      </c>
    </row>
    <row r="834" spans="4:17" s="16" customFormat="1" ht="13.2" x14ac:dyDescent="0.25">
      <c r="D834" s="235">
        <v>20</v>
      </c>
      <c r="E834" s="240">
        <v>3</v>
      </c>
      <c r="F834" s="241">
        <v>8</v>
      </c>
      <c r="G834" s="242">
        <v>1.48</v>
      </c>
      <c r="H834" s="239">
        <f t="shared" si="1057"/>
        <v>4.4399999999999995</v>
      </c>
      <c r="I834" s="131">
        <f t="shared" si="1058"/>
        <v>0</v>
      </c>
      <c r="J834" s="31">
        <f t="shared" si="1059"/>
        <v>0</v>
      </c>
      <c r="K834" s="31">
        <f t="shared" si="1060"/>
        <v>0</v>
      </c>
      <c r="L834" s="31">
        <f t="shared" si="1061"/>
        <v>1.7537999999999998</v>
      </c>
      <c r="M834" s="31">
        <f t="shared" si="1062"/>
        <v>0</v>
      </c>
      <c r="N834" s="31">
        <f t="shared" si="1063"/>
        <v>0</v>
      </c>
      <c r="O834" s="31">
        <f t="shared" si="1064"/>
        <v>0</v>
      </c>
      <c r="P834" s="31">
        <f t="shared" si="1065"/>
        <v>0</v>
      </c>
      <c r="Q834" s="49">
        <f t="shared" si="1066"/>
        <v>0</v>
      </c>
    </row>
    <row r="835" spans="4:17" s="16" customFormat="1" ht="13.2" x14ac:dyDescent="0.25">
      <c r="D835" s="235">
        <v>21</v>
      </c>
      <c r="E835" s="240">
        <v>1</v>
      </c>
      <c r="F835" s="241">
        <v>8</v>
      </c>
      <c r="G835" s="242">
        <v>2.2799999999999998</v>
      </c>
      <c r="H835" s="239">
        <f t="shared" si="1057"/>
        <v>2.2799999999999998</v>
      </c>
      <c r="I835" s="131">
        <f t="shared" si="1058"/>
        <v>0</v>
      </c>
      <c r="J835" s="31">
        <f t="shared" si="1059"/>
        <v>0</v>
      </c>
      <c r="K835" s="31">
        <f t="shared" si="1060"/>
        <v>0</v>
      </c>
      <c r="L835" s="31">
        <f t="shared" si="1061"/>
        <v>0.90059999999999996</v>
      </c>
      <c r="M835" s="31">
        <f t="shared" si="1062"/>
        <v>0</v>
      </c>
      <c r="N835" s="31">
        <f t="shared" si="1063"/>
        <v>0</v>
      </c>
      <c r="O835" s="31">
        <f t="shared" si="1064"/>
        <v>0</v>
      </c>
      <c r="P835" s="31">
        <f t="shared" si="1065"/>
        <v>0</v>
      </c>
      <c r="Q835" s="49">
        <f t="shared" si="1066"/>
        <v>0</v>
      </c>
    </row>
    <row r="836" spans="4:17" s="16" customFormat="1" ht="13.2" x14ac:dyDescent="0.25">
      <c r="D836" s="235">
        <v>22</v>
      </c>
      <c r="E836" s="240">
        <v>2</v>
      </c>
      <c r="F836" s="241">
        <v>8</v>
      </c>
      <c r="G836" s="242">
        <v>8.5500000000000007</v>
      </c>
      <c r="H836" s="239">
        <f t="shared" si="1057"/>
        <v>17.100000000000001</v>
      </c>
      <c r="I836" s="131">
        <f t="shared" si="1058"/>
        <v>0</v>
      </c>
      <c r="J836" s="31">
        <f t="shared" si="1059"/>
        <v>0</v>
      </c>
      <c r="K836" s="31">
        <f t="shared" si="1060"/>
        <v>0</v>
      </c>
      <c r="L836" s="31">
        <f t="shared" si="1061"/>
        <v>6.7545000000000011</v>
      </c>
      <c r="M836" s="31">
        <f t="shared" si="1062"/>
        <v>0</v>
      </c>
      <c r="N836" s="31">
        <f t="shared" si="1063"/>
        <v>0</v>
      </c>
      <c r="O836" s="31">
        <f t="shared" si="1064"/>
        <v>0</v>
      </c>
      <c r="P836" s="31">
        <f t="shared" si="1065"/>
        <v>0</v>
      </c>
      <c r="Q836" s="49">
        <f t="shared" si="1066"/>
        <v>0</v>
      </c>
    </row>
    <row r="837" spans="4:17" s="16" customFormat="1" ht="13.2" x14ac:dyDescent="0.25">
      <c r="D837" s="235">
        <v>44</v>
      </c>
      <c r="E837" s="240">
        <v>1</v>
      </c>
      <c r="F837" s="241">
        <v>10</v>
      </c>
      <c r="G837" s="242">
        <v>3.85</v>
      </c>
      <c r="H837" s="239">
        <f t="shared" si="1057"/>
        <v>3.85</v>
      </c>
      <c r="I837" s="131">
        <f t="shared" si="1058"/>
        <v>0</v>
      </c>
      <c r="J837" s="31">
        <f t="shared" si="1059"/>
        <v>0</v>
      </c>
      <c r="K837" s="31">
        <f t="shared" si="1060"/>
        <v>0</v>
      </c>
      <c r="L837" s="31">
        <f t="shared" si="1061"/>
        <v>0</v>
      </c>
      <c r="M837" s="31">
        <f t="shared" si="1062"/>
        <v>2.3754499999999998</v>
      </c>
      <c r="N837" s="31">
        <f t="shared" si="1063"/>
        <v>0</v>
      </c>
      <c r="O837" s="31">
        <f t="shared" si="1064"/>
        <v>0</v>
      </c>
      <c r="P837" s="31">
        <f t="shared" si="1065"/>
        <v>0</v>
      </c>
      <c r="Q837" s="49">
        <f t="shared" si="1066"/>
        <v>0</v>
      </c>
    </row>
    <row r="838" spans="4:17" s="16" customFormat="1" ht="13.2" x14ac:dyDescent="0.25">
      <c r="D838" s="235">
        <v>45</v>
      </c>
      <c r="E838" s="240">
        <v>2</v>
      </c>
      <c r="F838" s="241">
        <v>10</v>
      </c>
      <c r="G838" s="242">
        <v>8.2799999999999994</v>
      </c>
      <c r="H838" s="239">
        <f t="shared" si="1057"/>
        <v>16.559999999999999</v>
      </c>
      <c r="I838" s="131">
        <f t="shared" si="1058"/>
        <v>0</v>
      </c>
      <c r="J838" s="31">
        <f t="shared" si="1059"/>
        <v>0</v>
      </c>
      <c r="K838" s="31">
        <f t="shared" si="1060"/>
        <v>0</v>
      </c>
      <c r="L838" s="31">
        <f t="shared" si="1061"/>
        <v>0</v>
      </c>
      <c r="M838" s="31">
        <f t="shared" si="1062"/>
        <v>10.217519999999999</v>
      </c>
      <c r="N838" s="31">
        <f t="shared" si="1063"/>
        <v>0</v>
      </c>
      <c r="O838" s="31">
        <f t="shared" si="1064"/>
        <v>0</v>
      </c>
      <c r="P838" s="31">
        <f t="shared" si="1065"/>
        <v>0</v>
      </c>
      <c r="Q838" s="49">
        <f t="shared" si="1066"/>
        <v>0</v>
      </c>
    </row>
    <row r="839" spans="4:17" s="16" customFormat="1" ht="13.8" thickBot="1" x14ac:dyDescent="0.3">
      <c r="D839" s="307"/>
      <c r="E839" s="26"/>
      <c r="F839" s="206"/>
      <c r="G839" s="207"/>
      <c r="H839" s="207"/>
      <c r="I839" s="51"/>
      <c r="J839" s="308"/>
      <c r="K839" s="308"/>
      <c r="L839" s="308"/>
      <c r="M839" s="308"/>
      <c r="N839" s="308"/>
      <c r="O839" s="308"/>
      <c r="P839" s="308"/>
      <c r="Q839" s="309"/>
    </row>
    <row r="840" spans="4:17" s="16" customFormat="1" ht="13.2" x14ac:dyDescent="0.25">
      <c r="D840" s="796" t="s">
        <v>1658</v>
      </c>
      <c r="E840" s="797"/>
      <c r="F840" s="797"/>
      <c r="G840" s="797"/>
      <c r="H840" s="797"/>
      <c r="I840" s="47">
        <f t="shared" ref="I840:Q840" si="1067">SUM(I841:I845)</f>
        <v>0</v>
      </c>
      <c r="J840" s="47">
        <f t="shared" si="1067"/>
        <v>2.8382199999999997</v>
      </c>
      <c r="K840" s="47">
        <f t="shared" si="1067"/>
        <v>0</v>
      </c>
      <c r="L840" s="47">
        <f t="shared" si="1067"/>
        <v>3.9895000000000005</v>
      </c>
      <c r="M840" s="47">
        <f t="shared" si="1067"/>
        <v>6.4846700000000004</v>
      </c>
      <c r="N840" s="47">
        <f t="shared" si="1067"/>
        <v>0</v>
      </c>
      <c r="O840" s="47">
        <f t="shared" si="1067"/>
        <v>0</v>
      </c>
      <c r="P840" s="47">
        <f t="shared" si="1067"/>
        <v>0</v>
      </c>
      <c r="Q840" s="47">
        <f t="shared" si="1067"/>
        <v>0</v>
      </c>
    </row>
    <row r="841" spans="4:17" s="16" customFormat="1" ht="13.2" x14ac:dyDescent="0.25">
      <c r="D841" s="235">
        <v>6</v>
      </c>
      <c r="E841" s="237">
        <v>19</v>
      </c>
      <c r="F841" s="238">
        <v>5</v>
      </c>
      <c r="G841" s="239">
        <v>0.97</v>
      </c>
      <c r="H841" s="239">
        <f>E841*G841</f>
        <v>18.43</v>
      </c>
      <c r="I841" s="131">
        <f>IF($F841=4.2,H841*$B$23,0)</f>
        <v>0</v>
      </c>
      <c r="J841" s="31">
        <f>IF($F841=5,$H841*$B$24,0)</f>
        <v>2.8382199999999997</v>
      </c>
      <c r="K841" s="31">
        <f>IF($F841=6.3,$H841*$B$25,0)</f>
        <v>0</v>
      </c>
      <c r="L841" s="31">
        <f>IF($F841=8,$H841*$B$26,0)</f>
        <v>0</v>
      </c>
      <c r="M841" s="31">
        <f>IF($F841=10,$H841*$B$27,0)</f>
        <v>0</v>
      </c>
      <c r="N841" s="31">
        <f>IF($F841=12.5,$H841*$B$28,0)</f>
        <v>0</v>
      </c>
      <c r="O841" s="31">
        <f>IF($F841=16,$H841*$B$29,0)</f>
        <v>0</v>
      </c>
      <c r="P841" s="31">
        <f>IF($F841=20,$H841*$B$30,0)</f>
        <v>0</v>
      </c>
      <c r="Q841" s="49">
        <f>IF($F841=25,$H841*$B$31,0)</f>
        <v>0</v>
      </c>
    </row>
    <row r="842" spans="4:17" s="16" customFormat="1" ht="13.2" x14ac:dyDescent="0.25">
      <c r="D842" s="235">
        <v>23</v>
      </c>
      <c r="E842" s="240">
        <v>1</v>
      </c>
      <c r="F842" s="241">
        <v>8</v>
      </c>
      <c r="G842" s="242">
        <v>1.22</v>
      </c>
      <c r="H842" s="239">
        <f>E842*G842</f>
        <v>1.22</v>
      </c>
      <c r="I842" s="131">
        <f>IF($F842=4.2,H842*$B$23,0)</f>
        <v>0</v>
      </c>
      <c r="J842" s="31">
        <f>IF($F842=5,$H842*$B$24,0)</f>
        <v>0</v>
      </c>
      <c r="K842" s="31">
        <f>IF($F842=6.3,$H842*$B$25,0)</f>
        <v>0</v>
      </c>
      <c r="L842" s="31">
        <f>IF($F842=8,$H842*$B$26,0)</f>
        <v>0.4819</v>
      </c>
      <c r="M842" s="31">
        <f>IF($F842=10,$H842*$B$27,0)</f>
        <v>0</v>
      </c>
      <c r="N842" s="31">
        <f>IF($F842=12.5,$H842*$B$28,0)</f>
        <v>0</v>
      </c>
      <c r="O842" s="31">
        <f>IF($F842=16,$H842*$B$29,0)</f>
        <v>0</v>
      </c>
      <c r="P842" s="31">
        <f>IF($F842=20,$H842*$B$30,0)</f>
        <v>0</v>
      </c>
      <c r="Q842" s="49">
        <f>IF($F842=25,$H842*$B$31,0)</f>
        <v>0</v>
      </c>
    </row>
    <row r="843" spans="4:17" s="16" customFormat="1" ht="13.2" x14ac:dyDescent="0.25">
      <c r="D843" s="235">
        <v>24</v>
      </c>
      <c r="E843" s="240">
        <v>2</v>
      </c>
      <c r="F843" s="241">
        <v>8</v>
      </c>
      <c r="G843" s="242">
        <v>4.4400000000000004</v>
      </c>
      <c r="H843" s="239">
        <f>E843*G843</f>
        <v>8.8800000000000008</v>
      </c>
      <c r="I843" s="131">
        <f>IF($F843=4.2,H843*$B$23,0)</f>
        <v>0</v>
      </c>
      <c r="J843" s="31">
        <f>IF($F843=5,$H843*$B$24,0)</f>
        <v>0</v>
      </c>
      <c r="K843" s="31">
        <f>IF($F843=6.3,$H843*$B$25,0)</f>
        <v>0</v>
      </c>
      <c r="L843" s="31">
        <f>IF($F843=8,$H843*$B$26,0)</f>
        <v>3.5076000000000005</v>
      </c>
      <c r="M843" s="31">
        <f>IF($F843=10,$H843*$B$27,0)</f>
        <v>0</v>
      </c>
      <c r="N843" s="31">
        <f>IF($F843=12.5,$H843*$B$28,0)</f>
        <v>0</v>
      </c>
      <c r="O843" s="31">
        <f>IF($F843=16,$H843*$B$29,0)</f>
        <v>0</v>
      </c>
      <c r="P843" s="31">
        <f>IF($F843=20,$H843*$B$30,0)</f>
        <v>0</v>
      </c>
      <c r="Q843" s="49">
        <f>IF($F843=25,$H843*$B$31,0)</f>
        <v>0</v>
      </c>
    </row>
    <row r="844" spans="4:17" s="16" customFormat="1" ht="13.2" x14ac:dyDescent="0.25">
      <c r="D844" s="235">
        <v>46</v>
      </c>
      <c r="E844" s="240">
        <v>1</v>
      </c>
      <c r="F844" s="241">
        <v>10</v>
      </c>
      <c r="G844" s="242">
        <v>2.0299999999999998</v>
      </c>
      <c r="H844" s="239">
        <f>E844*G844</f>
        <v>2.0299999999999998</v>
      </c>
      <c r="I844" s="131">
        <f>IF($F844=4.2,H844*$B$23,0)</f>
        <v>0</v>
      </c>
      <c r="J844" s="31">
        <f>IF($F844=5,$H844*$B$24,0)</f>
        <v>0</v>
      </c>
      <c r="K844" s="31">
        <f>IF($F844=6.3,$H844*$B$25,0)</f>
        <v>0</v>
      </c>
      <c r="L844" s="31">
        <f>IF($F844=8,$H844*$B$26,0)</f>
        <v>0</v>
      </c>
      <c r="M844" s="31">
        <f>IF($F844=10,$H844*$B$27,0)</f>
        <v>1.2525099999999998</v>
      </c>
      <c r="N844" s="31">
        <f>IF($F844=12.5,$H844*$B$28,0)</f>
        <v>0</v>
      </c>
      <c r="O844" s="31">
        <f>IF($F844=16,$H844*$B$29,0)</f>
        <v>0</v>
      </c>
      <c r="P844" s="31">
        <f>IF($F844=20,$H844*$B$30,0)</f>
        <v>0</v>
      </c>
      <c r="Q844" s="49">
        <f>IF($F844=25,$H844*$B$31,0)</f>
        <v>0</v>
      </c>
    </row>
    <row r="845" spans="4:17" s="16" customFormat="1" ht="13.2" x14ac:dyDescent="0.25">
      <c r="D845" s="235">
        <v>47</v>
      </c>
      <c r="E845" s="240">
        <v>2</v>
      </c>
      <c r="F845" s="241">
        <v>10</v>
      </c>
      <c r="G845" s="242">
        <v>4.24</v>
      </c>
      <c r="H845" s="239">
        <f>E845*G845</f>
        <v>8.48</v>
      </c>
      <c r="I845" s="131">
        <f>IF($F845=4.2,H845*$B$23,0)</f>
        <v>0</v>
      </c>
      <c r="J845" s="31">
        <f>IF($F845=5,$H845*$B$24,0)</f>
        <v>0</v>
      </c>
      <c r="K845" s="31">
        <f>IF($F845=6.3,$H845*$B$25,0)</f>
        <v>0</v>
      </c>
      <c r="L845" s="31">
        <f>IF($F845=8,$H845*$B$26,0)</f>
        <v>0</v>
      </c>
      <c r="M845" s="31">
        <f>IF($F845=10,$H845*$B$27,0)</f>
        <v>5.2321600000000004</v>
      </c>
      <c r="N845" s="31">
        <f>IF($F845=12.5,$H845*$B$28,0)</f>
        <v>0</v>
      </c>
      <c r="O845" s="31">
        <f>IF($F845=16,$H845*$B$29,0)</f>
        <v>0</v>
      </c>
      <c r="P845" s="31">
        <f>IF($F845=20,$H845*$B$30,0)</f>
        <v>0</v>
      </c>
      <c r="Q845" s="49">
        <f>IF($F845=25,$H845*$B$31,0)</f>
        <v>0</v>
      </c>
    </row>
    <row r="846" spans="4:17" s="16" customFormat="1" ht="13.8" thickBot="1" x14ac:dyDescent="0.3">
      <c r="D846" s="307"/>
      <c r="E846" s="26"/>
      <c r="F846" s="206"/>
      <c r="G846" s="207"/>
      <c r="H846" s="207"/>
      <c r="I846" s="51"/>
      <c r="J846" s="308"/>
      <c r="K846" s="308"/>
      <c r="L846" s="308"/>
      <c r="M846" s="308"/>
      <c r="N846" s="308"/>
      <c r="O846" s="308"/>
      <c r="P846" s="308"/>
      <c r="Q846" s="309"/>
    </row>
    <row r="847" spans="4:17" s="16" customFormat="1" ht="13.2" x14ac:dyDescent="0.25">
      <c r="D847" s="796" t="s">
        <v>1659</v>
      </c>
      <c r="E847" s="797"/>
      <c r="F847" s="797"/>
      <c r="G847" s="797"/>
      <c r="H847" s="797"/>
      <c r="I847" s="47">
        <f t="shared" ref="I847:Q847" si="1068">SUM(I848:I852)</f>
        <v>0</v>
      </c>
      <c r="J847" s="47">
        <f t="shared" si="1068"/>
        <v>2.8382199999999997</v>
      </c>
      <c r="K847" s="47">
        <f t="shared" si="1068"/>
        <v>0</v>
      </c>
      <c r="L847" s="47">
        <f t="shared" si="1068"/>
        <v>3.9381499999999998</v>
      </c>
      <c r="M847" s="47">
        <f t="shared" si="1068"/>
        <v>6.3921200000000002</v>
      </c>
      <c r="N847" s="47">
        <f t="shared" si="1068"/>
        <v>0</v>
      </c>
      <c r="O847" s="47">
        <f t="shared" si="1068"/>
        <v>0</v>
      </c>
      <c r="P847" s="47">
        <f t="shared" si="1068"/>
        <v>0</v>
      </c>
      <c r="Q847" s="47">
        <f t="shared" si="1068"/>
        <v>0</v>
      </c>
    </row>
    <row r="848" spans="4:17" s="16" customFormat="1" ht="13.2" x14ac:dyDescent="0.25">
      <c r="D848" s="235">
        <v>6</v>
      </c>
      <c r="E848" s="237">
        <v>19</v>
      </c>
      <c r="F848" s="238">
        <v>5</v>
      </c>
      <c r="G848" s="239">
        <v>0.97</v>
      </c>
      <c r="H848" s="239">
        <f>E848*G848</f>
        <v>18.43</v>
      </c>
      <c r="I848" s="131">
        <f>IF($F848=4.2,H848*$B$23,0)</f>
        <v>0</v>
      </c>
      <c r="J848" s="31">
        <f>IF($F848=5,$H848*$B$24,0)</f>
        <v>2.8382199999999997</v>
      </c>
      <c r="K848" s="31">
        <f>IF($F848=6.3,$H848*$B$25,0)</f>
        <v>0</v>
      </c>
      <c r="L848" s="31">
        <f>IF($F848=8,$H848*$B$26,0)</f>
        <v>0</v>
      </c>
      <c r="M848" s="31">
        <f>IF($F848=10,$H848*$B$27,0)</f>
        <v>0</v>
      </c>
      <c r="N848" s="31">
        <f>IF($F848=12.5,$H848*$B$28,0)</f>
        <v>0</v>
      </c>
      <c r="O848" s="31">
        <f>IF($F848=16,$H848*$B$29,0)</f>
        <v>0</v>
      </c>
      <c r="P848" s="31">
        <f>IF($F848=20,$H848*$B$30,0)</f>
        <v>0</v>
      </c>
      <c r="Q848" s="49">
        <f>IF($F848=25,$H848*$B$31,0)</f>
        <v>0</v>
      </c>
    </row>
    <row r="849" spans="4:17" s="16" customFormat="1" ht="13.2" x14ac:dyDescent="0.25">
      <c r="D849" s="235">
        <v>25</v>
      </c>
      <c r="E849" s="240">
        <v>1</v>
      </c>
      <c r="F849" s="241">
        <v>8</v>
      </c>
      <c r="G849" s="242">
        <v>1.21</v>
      </c>
      <c r="H849" s="239">
        <f>E849*G849</f>
        <v>1.21</v>
      </c>
      <c r="I849" s="131">
        <f>IF($F849=4.2,H849*$B$23,0)</f>
        <v>0</v>
      </c>
      <c r="J849" s="31">
        <f>IF($F849=5,$H849*$B$24,0)</f>
        <v>0</v>
      </c>
      <c r="K849" s="31">
        <f>IF($F849=6.3,$H849*$B$25,0)</f>
        <v>0</v>
      </c>
      <c r="L849" s="31">
        <f>IF($F849=8,$H849*$B$26,0)</f>
        <v>0.47794999999999999</v>
      </c>
      <c r="M849" s="31">
        <f>IF($F849=10,$H849*$B$27,0)</f>
        <v>0</v>
      </c>
      <c r="N849" s="31">
        <f>IF($F849=12.5,$H849*$B$28,0)</f>
        <v>0</v>
      </c>
      <c r="O849" s="31">
        <f>IF($F849=16,$H849*$B$29,0)</f>
        <v>0</v>
      </c>
      <c r="P849" s="31">
        <f>IF($F849=20,$H849*$B$30,0)</f>
        <v>0</v>
      </c>
      <c r="Q849" s="49">
        <f>IF($F849=25,$H849*$B$31,0)</f>
        <v>0</v>
      </c>
    </row>
    <row r="850" spans="4:17" s="16" customFormat="1" ht="13.2" x14ac:dyDescent="0.25">
      <c r="D850" s="235">
        <v>26</v>
      </c>
      <c r="E850" s="240">
        <v>2</v>
      </c>
      <c r="F850" s="241">
        <v>8</v>
      </c>
      <c r="G850" s="242">
        <v>4.38</v>
      </c>
      <c r="H850" s="239">
        <f>E850*G850</f>
        <v>8.76</v>
      </c>
      <c r="I850" s="131">
        <f>IF($F850=4.2,H850*$B$23,0)</f>
        <v>0</v>
      </c>
      <c r="J850" s="31">
        <f>IF($F850=5,$H850*$B$24,0)</f>
        <v>0</v>
      </c>
      <c r="K850" s="31">
        <f>IF($F850=6.3,$H850*$B$25,0)</f>
        <v>0</v>
      </c>
      <c r="L850" s="31">
        <f>IF($F850=8,$H850*$B$26,0)</f>
        <v>3.4601999999999999</v>
      </c>
      <c r="M850" s="31">
        <f>IF($F850=10,$H850*$B$27,0)</f>
        <v>0</v>
      </c>
      <c r="N850" s="31">
        <f>IF($F850=12.5,$H850*$B$28,0)</f>
        <v>0</v>
      </c>
      <c r="O850" s="31">
        <f>IF($F850=16,$H850*$B$29,0)</f>
        <v>0</v>
      </c>
      <c r="P850" s="31">
        <f>IF($F850=20,$H850*$B$30,0)</f>
        <v>0</v>
      </c>
      <c r="Q850" s="49">
        <f>IF($F850=25,$H850*$B$31,0)</f>
        <v>0</v>
      </c>
    </row>
    <row r="851" spans="4:17" s="16" customFormat="1" ht="13.2" x14ac:dyDescent="0.25">
      <c r="D851" s="235">
        <v>43</v>
      </c>
      <c r="E851" s="240">
        <v>2</v>
      </c>
      <c r="F851" s="241">
        <v>10</v>
      </c>
      <c r="G851" s="242">
        <v>4.1900000000000004</v>
      </c>
      <c r="H851" s="239">
        <f>E851*G851</f>
        <v>8.3800000000000008</v>
      </c>
      <c r="I851" s="131">
        <f>IF($F851=4.2,H851*$B$23,0)</f>
        <v>0</v>
      </c>
      <c r="J851" s="31">
        <f>IF($F851=5,$H851*$B$24,0)</f>
        <v>0</v>
      </c>
      <c r="K851" s="31">
        <f>IF($F851=6.3,$H851*$B$25,0)</f>
        <v>0</v>
      </c>
      <c r="L851" s="31">
        <f>IF($F851=8,$H851*$B$26,0)</f>
        <v>0</v>
      </c>
      <c r="M851" s="31">
        <f>IF($F851=10,$H851*$B$27,0)</f>
        <v>5.1704600000000003</v>
      </c>
      <c r="N851" s="31">
        <f>IF($F851=12.5,$H851*$B$28,0)</f>
        <v>0</v>
      </c>
      <c r="O851" s="31">
        <f>IF($F851=16,$H851*$B$29,0)</f>
        <v>0</v>
      </c>
      <c r="P851" s="31">
        <f>IF($F851=20,$H851*$B$30,0)</f>
        <v>0</v>
      </c>
      <c r="Q851" s="49">
        <f>IF($F851=25,$H851*$B$31,0)</f>
        <v>0</v>
      </c>
    </row>
    <row r="852" spans="4:17" s="16" customFormat="1" ht="13.2" x14ac:dyDescent="0.25">
      <c r="D852" s="235">
        <v>48</v>
      </c>
      <c r="E852" s="240">
        <v>1</v>
      </c>
      <c r="F852" s="241">
        <v>10</v>
      </c>
      <c r="G852" s="242">
        <v>1.98</v>
      </c>
      <c r="H852" s="239">
        <f>E852*G852</f>
        <v>1.98</v>
      </c>
      <c r="I852" s="131">
        <f>IF($F852=4.2,H852*$B$23,0)</f>
        <v>0</v>
      </c>
      <c r="J852" s="31">
        <f>IF($F852=5,$H852*$B$24,0)</f>
        <v>0</v>
      </c>
      <c r="K852" s="31">
        <f>IF($F852=6.3,$H852*$B$25,0)</f>
        <v>0</v>
      </c>
      <c r="L852" s="31">
        <f>IF($F852=8,$H852*$B$26,0)</f>
        <v>0</v>
      </c>
      <c r="M852" s="31">
        <f>IF($F852=10,$H852*$B$27,0)</f>
        <v>1.22166</v>
      </c>
      <c r="N852" s="31">
        <f>IF($F852=12.5,$H852*$B$28,0)</f>
        <v>0</v>
      </c>
      <c r="O852" s="31">
        <f>IF($F852=16,$H852*$B$29,0)</f>
        <v>0</v>
      </c>
      <c r="P852" s="31">
        <f>IF($F852=20,$H852*$B$30,0)</f>
        <v>0</v>
      </c>
      <c r="Q852" s="49">
        <f>IF($F852=25,$H852*$B$31,0)</f>
        <v>0</v>
      </c>
    </row>
    <row r="853" spans="4:17" s="16" customFormat="1" ht="13.8" thickBot="1" x14ac:dyDescent="0.3">
      <c r="D853" s="307"/>
      <c r="E853" s="26"/>
      <c r="F853" s="206"/>
      <c r="G853" s="207"/>
      <c r="H853" s="207"/>
      <c r="I853" s="51"/>
      <c r="J853" s="308"/>
      <c r="K853" s="308"/>
      <c r="L853" s="308"/>
      <c r="M853" s="308"/>
      <c r="N853" s="308"/>
      <c r="O853" s="308"/>
      <c r="P853" s="308"/>
      <c r="Q853" s="309"/>
    </row>
    <row r="854" spans="4:17" s="16" customFormat="1" ht="13.2" x14ac:dyDescent="0.25">
      <c r="D854" s="796" t="s">
        <v>1660</v>
      </c>
      <c r="E854" s="797"/>
      <c r="F854" s="797"/>
      <c r="G854" s="797"/>
      <c r="H854" s="797"/>
      <c r="I854" s="47">
        <f>SUM(I855:I862)</f>
        <v>0</v>
      </c>
      <c r="J854" s="47">
        <f t="shared" ref="J854:Q854" si="1069">SUM(J855:J862)</f>
        <v>5.6764399999999995</v>
      </c>
      <c r="K854" s="47">
        <f t="shared" si="1069"/>
        <v>0</v>
      </c>
      <c r="L854" s="47">
        <f t="shared" si="1069"/>
        <v>12.0396</v>
      </c>
      <c r="M854" s="47">
        <f t="shared" si="1069"/>
        <v>12.592969999999998</v>
      </c>
      <c r="N854" s="47">
        <f t="shared" si="1069"/>
        <v>0</v>
      </c>
      <c r="O854" s="47">
        <f t="shared" si="1069"/>
        <v>0</v>
      </c>
      <c r="P854" s="47">
        <f t="shared" si="1069"/>
        <v>0</v>
      </c>
      <c r="Q854" s="47">
        <f t="shared" si="1069"/>
        <v>0</v>
      </c>
    </row>
    <row r="855" spans="4:17" s="16" customFormat="1" ht="13.2" x14ac:dyDescent="0.25">
      <c r="D855" s="235">
        <v>6</v>
      </c>
      <c r="E855" s="237">
        <v>38</v>
      </c>
      <c r="F855" s="238">
        <v>5</v>
      </c>
      <c r="G855" s="239">
        <v>0.97</v>
      </c>
      <c r="H855" s="239">
        <f t="shared" ref="H855:H862" si="1070">E855*G855</f>
        <v>36.86</v>
      </c>
      <c r="I855" s="131">
        <f t="shared" ref="I855:I862" si="1071">IF($F855=4.2,H855*$B$23,0)</f>
        <v>0</v>
      </c>
      <c r="J855" s="31">
        <f t="shared" ref="J855:J862" si="1072">IF($F855=5,$H855*$B$24,0)</f>
        <v>5.6764399999999995</v>
      </c>
      <c r="K855" s="31">
        <f t="shared" ref="K855:K862" si="1073">IF($F855=6.3,$H855*$B$25,0)</f>
        <v>0</v>
      </c>
      <c r="L855" s="31">
        <f t="shared" ref="L855:L862" si="1074">IF($F855=8,$H855*$B$26,0)</f>
        <v>0</v>
      </c>
      <c r="M855" s="31">
        <f t="shared" ref="M855:M862" si="1075">IF($F855=10,$H855*$B$27,0)</f>
        <v>0</v>
      </c>
      <c r="N855" s="31">
        <f t="shared" ref="N855:N862" si="1076">IF($F855=12.5,$H855*$B$28,0)</f>
        <v>0</v>
      </c>
      <c r="O855" s="31">
        <f t="shared" ref="O855:O862" si="1077">IF($F855=16,$H855*$B$29,0)</f>
        <v>0</v>
      </c>
      <c r="P855" s="31">
        <f t="shared" ref="P855:P862" si="1078">IF($F855=20,$H855*$B$30,0)</f>
        <v>0</v>
      </c>
      <c r="Q855" s="49">
        <f t="shared" ref="Q855:Q862" si="1079">IF($F855=25,$H855*$B$31,0)</f>
        <v>0</v>
      </c>
    </row>
    <row r="856" spans="4:17" s="16" customFormat="1" ht="13.2" x14ac:dyDescent="0.25">
      <c r="D856" s="235">
        <v>27</v>
      </c>
      <c r="E856" s="240">
        <v>3</v>
      </c>
      <c r="F856" s="241">
        <v>8</v>
      </c>
      <c r="G856" s="242">
        <v>1.48</v>
      </c>
      <c r="H856" s="239">
        <f t="shared" si="1070"/>
        <v>4.4399999999999995</v>
      </c>
      <c r="I856" s="131">
        <f t="shared" si="1071"/>
        <v>0</v>
      </c>
      <c r="J856" s="31">
        <f t="shared" si="1072"/>
        <v>0</v>
      </c>
      <c r="K856" s="31">
        <f t="shared" si="1073"/>
        <v>0</v>
      </c>
      <c r="L856" s="31">
        <f t="shared" si="1074"/>
        <v>1.7537999999999998</v>
      </c>
      <c r="M856" s="31">
        <f t="shared" si="1075"/>
        <v>0</v>
      </c>
      <c r="N856" s="31">
        <f t="shared" si="1076"/>
        <v>0</v>
      </c>
      <c r="O856" s="31">
        <f t="shared" si="1077"/>
        <v>0</v>
      </c>
      <c r="P856" s="31">
        <f t="shared" si="1078"/>
        <v>0</v>
      </c>
      <c r="Q856" s="49">
        <f t="shared" si="1079"/>
        <v>0</v>
      </c>
    </row>
    <row r="857" spans="4:17" s="16" customFormat="1" ht="13.2" x14ac:dyDescent="0.25">
      <c r="D857" s="235">
        <v>28</v>
      </c>
      <c r="E857" s="240">
        <v>1</v>
      </c>
      <c r="F857" s="241">
        <v>8</v>
      </c>
      <c r="G857" s="242">
        <v>2.2799999999999998</v>
      </c>
      <c r="H857" s="239">
        <f t="shared" si="1070"/>
        <v>2.2799999999999998</v>
      </c>
      <c r="I857" s="131">
        <f t="shared" si="1071"/>
        <v>0</v>
      </c>
      <c r="J857" s="31">
        <f t="shared" si="1072"/>
        <v>0</v>
      </c>
      <c r="K857" s="31">
        <f t="shared" si="1073"/>
        <v>0</v>
      </c>
      <c r="L857" s="31">
        <f t="shared" si="1074"/>
        <v>0.90059999999999996</v>
      </c>
      <c r="M857" s="31">
        <f t="shared" si="1075"/>
        <v>0</v>
      </c>
      <c r="N857" s="31">
        <f t="shared" si="1076"/>
        <v>0</v>
      </c>
      <c r="O857" s="31">
        <f t="shared" si="1077"/>
        <v>0</v>
      </c>
      <c r="P857" s="31">
        <f t="shared" si="1078"/>
        <v>0</v>
      </c>
      <c r="Q857" s="49">
        <f t="shared" si="1079"/>
        <v>0</v>
      </c>
    </row>
    <row r="858" spans="4:17" s="16" customFormat="1" ht="13.2" x14ac:dyDescent="0.25">
      <c r="D858" s="235">
        <v>29</v>
      </c>
      <c r="E858" s="240">
        <v>3</v>
      </c>
      <c r="F858" s="241">
        <v>8</v>
      </c>
      <c r="G858" s="242">
        <v>1.47</v>
      </c>
      <c r="H858" s="239">
        <f t="shared" si="1070"/>
        <v>4.41</v>
      </c>
      <c r="I858" s="131">
        <f t="shared" si="1071"/>
        <v>0</v>
      </c>
      <c r="J858" s="31">
        <f t="shared" si="1072"/>
        <v>0</v>
      </c>
      <c r="K858" s="31">
        <f t="shared" si="1073"/>
        <v>0</v>
      </c>
      <c r="L858" s="31">
        <f t="shared" si="1074"/>
        <v>1.7419500000000001</v>
      </c>
      <c r="M858" s="31">
        <f t="shared" si="1075"/>
        <v>0</v>
      </c>
      <c r="N858" s="31">
        <f t="shared" si="1076"/>
        <v>0</v>
      </c>
      <c r="O858" s="31">
        <f t="shared" si="1077"/>
        <v>0</v>
      </c>
      <c r="P858" s="31">
        <f t="shared" si="1078"/>
        <v>0</v>
      </c>
      <c r="Q858" s="49">
        <f t="shared" si="1079"/>
        <v>0</v>
      </c>
    </row>
    <row r="859" spans="4:17" s="16" customFormat="1" ht="13.2" x14ac:dyDescent="0.25">
      <c r="D859" s="235">
        <v>30</v>
      </c>
      <c r="E859" s="240">
        <v>1</v>
      </c>
      <c r="F859" s="241">
        <v>8</v>
      </c>
      <c r="G859" s="242">
        <v>2.27</v>
      </c>
      <c r="H859" s="239">
        <f t="shared" si="1070"/>
        <v>2.27</v>
      </c>
      <c r="I859" s="131">
        <f t="shared" si="1071"/>
        <v>0</v>
      </c>
      <c r="J859" s="31">
        <f t="shared" si="1072"/>
        <v>0</v>
      </c>
      <c r="K859" s="31">
        <f t="shared" si="1073"/>
        <v>0</v>
      </c>
      <c r="L859" s="31">
        <f t="shared" si="1074"/>
        <v>0.89665000000000006</v>
      </c>
      <c r="M859" s="31">
        <f t="shared" si="1075"/>
        <v>0</v>
      </c>
      <c r="N859" s="31">
        <f t="shared" si="1076"/>
        <v>0</v>
      </c>
      <c r="O859" s="31">
        <f t="shared" si="1077"/>
        <v>0</v>
      </c>
      <c r="P859" s="31">
        <f t="shared" si="1078"/>
        <v>0</v>
      </c>
      <c r="Q859" s="49">
        <f t="shared" si="1079"/>
        <v>0</v>
      </c>
    </row>
    <row r="860" spans="4:17" s="16" customFormat="1" ht="13.2" x14ac:dyDescent="0.25">
      <c r="D860" s="235">
        <v>31</v>
      </c>
      <c r="E860" s="240">
        <v>2</v>
      </c>
      <c r="F860" s="241">
        <v>8</v>
      </c>
      <c r="G860" s="242">
        <v>8.5399999999999991</v>
      </c>
      <c r="H860" s="239">
        <f t="shared" si="1070"/>
        <v>17.079999999999998</v>
      </c>
      <c r="I860" s="131">
        <f t="shared" si="1071"/>
        <v>0</v>
      </c>
      <c r="J860" s="31">
        <f t="shared" si="1072"/>
        <v>0</v>
      </c>
      <c r="K860" s="31">
        <f t="shared" si="1073"/>
        <v>0</v>
      </c>
      <c r="L860" s="31">
        <f t="shared" si="1074"/>
        <v>6.7465999999999999</v>
      </c>
      <c r="M860" s="31">
        <f t="shared" si="1075"/>
        <v>0</v>
      </c>
      <c r="N860" s="31">
        <f t="shared" si="1076"/>
        <v>0</v>
      </c>
      <c r="O860" s="31">
        <f t="shared" si="1077"/>
        <v>0</v>
      </c>
      <c r="P860" s="31">
        <f t="shared" si="1078"/>
        <v>0</v>
      </c>
      <c r="Q860" s="49">
        <f t="shared" si="1079"/>
        <v>0</v>
      </c>
    </row>
    <row r="861" spans="4:17" s="16" customFormat="1" ht="13.2" x14ac:dyDescent="0.25">
      <c r="D861" s="235">
        <v>44</v>
      </c>
      <c r="E861" s="240">
        <v>1</v>
      </c>
      <c r="F861" s="241">
        <v>10</v>
      </c>
      <c r="G861" s="242">
        <v>3.85</v>
      </c>
      <c r="H861" s="239">
        <f t="shared" si="1070"/>
        <v>3.85</v>
      </c>
      <c r="I861" s="131">
        <f t="shared" si="1071"/>
        <v>0</v>
      </c>
      <c r="J861" s="31">
        <f t="shared" si="1072"/>
        <v>0</v>
      </c>
      <c r="K861" s="31">
        <f t="shared" si="1073"/>
        <v>0</v>
      </c>
      <c r="L861" s="31">
        <f t="shared" si="1074"/>
        <v>0</v>
      </c>
      <c r="M861" s="31">
        <f t="shared" si="1075"/>
        <v>2.3754499999999998</v>
      </c>
      <c r="N861" s="31">
        <f t="shared" si="1076"/>
        <v>0</v>
      </c>
      <c r="O861" s="31">
        <f t="shared" si="1077"/>
        <v>0</v>
      </c>
      <c r="P861" s="31">
        <f t="shared" si="1078"/>
        <v>0</v>
      </c>
      <c r="Q861" s="49">
        <f t="shared" si="1079"/>
        <v>0</v>
      </c>
    </row>
    <row r="862" spans="4:17" s="16" customFormat="1" ht="13.2" x14ac:dyDescent="0.25">
      <c r="D862" s="235">
        <v>45</v>
      </c>
      <c r="E862" s="240">
        <v>2</v>
      </c>
      <c r="F862" s="241">
        <v>10</v>
      </c>
      <c r="G862" s="242">
        <v>8.2799999999999994</v>
      </c>
      <c r="H862" s="239">
        <f t="shared" si="1070"/>
        <v>16.559999999999999</v>
      </c>
      <c r="I862" s="131">
        <f t="shared" si="1071"/>
        <v>0</v>
      </c>
      <c r="J862" s="31">
        <f t="shared" si="1072"/>
        <v>0</v>
      </c>
      <c r="K862" s="31">
        <f t="shared" si="1073"/>
        <v>0</v>
      </c>
      <c r="L862" s="31">
        <f t="shared" si="1074"/>
        <v>0</v>
      </c>
      <c r="M862" s="31">
        <f t="shared" si="1075"/>
        <v>10.217519999999999</v>
      </c>
      <c r="N862" s="31">
        <f t="shared" si="1076"/>
        <v>0</v>
      </c>
      <c r="O862" s="31">
        <f t="shared" si="1077"/>
        <v>0</v>
      </c>
      <c r="P862" s="31">
        <f t="shared" si="1078"/>
        <v>0</v>
      </c>
      <c r="Q862" s="49">
        <f t="shared" si="1079"/>
        <v>0</v>
      </c>
    </row>
    <row r="863" spans="4:17" s="16" customFormat="1" ht="13.8" thickBot="1" x14ac:dyDescent="0.3">
      <c r="D863" s="307"/>
      <c r="E863" s="26"/>
      <c r="F863" s="206"/>
      <c r="G863" s="207"/>
      <c r="H863" s="207"/>
      <c r="I863" s="51"/>
      <c r="J863" s="308"/>
      <c r="K863" s="308"/>
      <c r="L863" s="308"/>
      <c r="M863" s="308"/>
      <c r="N863" s="308"/>
      <c r="O863" s="308"/>
      <c r="P863" s="308"/>
      <c r="Q863" s="309"/>
    </row>
    <row r="864" spans="4:17" s="16" customFormat="1" ht="13.2" x14ac:dyDescent="0.25">
      <c r="D864" s="796" t="s">
        <v>1661</v>
      </c>
      <c r="E864" s="797"/>
      <c r="F864" s="797"/>
      <c r="G864" s="797"/>
      <c r="H864" s="797"/>
      <c r="I864" s="47">
        <f>SUM(I865:I869)</f>
        <v>0</v>
      </c>
      <c r="J864" s="47">
        <f t="shared" ref="J864:Q864" si="1080">SUM(J865:J869)</f>
        <v>2.8382199999999997</v>
      </c>
      <c r="K864" s="47">
        <f t="shared" si="1080"/>
        <v>0</v>
      </c>
      <c r="L864" s="47">
        <f t="shared" si="1080"/>
        <v>4.0092500000000006</v>
      </c>
      <c r="M864" s="47">
        <f t="shared" si="1080"/>
        <v>6.5587099999999996</v>
      </c>
      <c r="N864" s="47">
        <f t="shared" si="1080"/>
        <v>0</v>
      </c>
      <c r="O864" s="47">
        <f t="shared" si="1080"/>
        <v>0</v>
      </c>
      <c r="P864" s="47">
        <f t="shared" si="1080"/>
        <v>0</v>
      </c>
      <c r="Q864" s="47">
        <f t="shared" si="1080"/>
        <v>0</v>
      </c>
    </row>
    <row r="865" spans="4:17" s="16" customFormat="1" ht="13.2" x14ac:dyDescent="0.25">
      <c r="D865" s="235">
        <v>6</v>
      </c>
      <c r="E865" s="237">
        <v>19</v>
      </c>
      <c r="F865" s="238">
        <v>5</v>
      </c>
      <c r="G865" s="239">
        <v>0.97</v>
      </c>
      <c r="H865" s="239">
        <f>E865*G865</f>
        <v>18.43</v>
      </c>
      <c r="I865" s="131">
        <f>IF($F865=4.2,H865*$B$23,0)</f>
        <v>0</v>
      </c>
      <c r="J865" s="31">
        <f>IF($F865=5,$H865*$B$24,0)</f>
        <v>2.8382199999999997</v>
      </c>
      <c r="K865" s="31">
        <f>IF($F865=6.3,$H865*$B$25,0)</f>
        <v>0</v>
      </c>
      <c r="L865" s="31">
        <f>IF($F865=8,$H865*$B$26,0)</f>
        <v>0</v>
      </c>
      <c r="M865" s="31">
        <f>IF($F865=10,$H865*$B$27,0)</f>
        <v>0</v>
      </c>
      <c r="N865" s="31">
        <f>IF($F865=12.5,$H865*$B$28,0)</f>
        <v>0</v>
      </c>
      <c r="O865" s="31">
        <f>IF($F865=16,$H865*$B$29,0)</f>
        <v>0</v>
      </c>
      <c r="P865" s="31">
        <f>IF($F865=20,$H865*$B$30,0)</f>
        <v>0</v>
      </c>
      <c r="Q865" s="49">
        <f>IF($F865=25,$H865*$B$31,0)</f>
        <v>0</v>
      </c>
    </row>
    <row r="866" spans="4:17" s="16" customFormat="1" ht="13.2" x14ac:dyDescent="0.25">
      <c r="D866" s="235">
        <v>32</v>
      </c>
      <c r="E866" s="240">
        <v>1</v>
      </c>
      <c r="F866" s="241">
        <v>8</v>
      </c>
      <c r="G866" s="242">
        <v>1.17</v>
      </c>
      <c r="H866" s="239">
        <f>E866*G866</f>
        <v>1.17</v>
      </c>
      <c r="I866" s="131">
        <f>IF($F866=4.2,H866*$B$23,0)</f>
        <v>0</v>
      </c>
      <c r="J866" s="31">
        <f>IF($F866=5,$H866*$B$24,0)</f>
        <v>0</v>
      </c>
      <c r="K866" s="31">
        <f>IF($F866=6.3,$H866*$B$25,0)</f>
        <v>0</v>
      </c>
      <c r="L866" s="31">
        <f>IF($F866=8,$H866*$B$26,0)</f>
        <v>0.46215000000000001</v>
      </c>
      <c r="M866" s="31">
        <f>IF($F866=10,$H866*$B$27,0)</f>
        <v>0</v>
      </c>
      <c r="N866" s="31">
        <f>IF($F866=12.5,$H866*$B$28,0)</f>
        <v>0</v>
      </c>
      <c r="O866" s="31">
        <f>IF($F866=16,$H866*$B$29,0)</f>
        <v>0</v>
      </c>
      <c r="P866" s="31">
        <f>IF($F866=20,$H866*$B$30,0)</f>
        <v>0</v>
      </c>
      <c r="Q866" s="49">
        <f>IF($F866=25,$H866*$B$31,0)</f>
        <v>0</v>
      </c>
    </row>
    <row r="867" spans="4:17" s="16" customFormat="1" ht="13.2" x14ac:dyDescent="0.25">
      <c r="D867" s="235">
        <v>33</v>
      </c>
      <c r="E867" s="240">
        <v>2</v>
      </c>
      <c r="F867" s="241">
        <v>8</v>
      </c>
      <c r="G867" s="242">
        <v>4.49</v>
      </c>
      <c r="H867" s="239">
        <f>E867*G867</f>
        <v>8.98</v>
      </c>
      <c r="I867" s="131">
        <f>IF($F867=4.2,H867*$B$23,0)</f>
        <v>0</v>
      </c>
      <c r="J867" s="31">
        <f>IF($F867=5,$H867*$B$24,0)</f>
        <v>0</v>
      </c>
      <c r="K867" s="31">
        <f>IF($F867=6.3,$H867*$B$25,0)</f>
        <v>0</v>
      </c>
      <c r="L867" s="31">
        <f>IF($F867=8,$H867*$B$26,0)</f>
        <v>3.5471000000000004</v>
      </c>
      <c r="M867" s="31">
        <f>IF($F867=10,$H867*$B$27,0)</f>
        <v>0</v>
      </c>
      <c r="N867" s="31">
        <f>IF($F867=12.5,$H867*$B$28,0)</f>
        <v>0</v>
      </c>
      <c r="O867" s="31">
        <f>IF($F867=16,$H867*$B$29,0)</f>
        <v>0</v>
      </c>
      <c r="P867" s="31">
        <f>IF($F867=20,$H867*$B$30,0)</f>
        <v>0</v>
      </c>
      <c r="Q867" s="49">
        <f>IF($F867=25,$H867*$B$31,0)</f>
        <v>0</v>
      </c>
    </row>
    <row r="868" spans="4:17" s="16" customFormat="1" ht="13.2" x14ac:dyDescent="0.25">
      <c r="D868" s="235">
        <v>49</v>
      </c>
      <c r="E868" s="240">
        <v>1</v>
      </c>
      <c r="F868" s="241">
        <v>10</v>
      </c>
      <c r="G868" s="242">
        <v>2.0499999999999998</v>
      </c>
      <c r="H868" s="239">
        <f>E868*G868</f>
        <v>2.0499999999999998</v>
      </c>
      <c r="I868" s="131">
        <f>IF($F868=4.2,H868*$B$23,0)</f>
        <v>0</v>
      </c>
      <c r="J868" s="31">
        <f>IF($F868=5,$H868*$B$24,0)</f>
        <v>0</v>
      </c>
      <c r="K868" s="31">
        <f>IF($F868=6.3,$H868*$B$25,0)</f>
        <v>0</v>
      </c>
      <c r="L868" s="31">
        <f>IF($F868=8,$H868*$B$26,0)</f>
        <v>0</v>
      </c>
      <c r="M868" s="31">
        <f>IF($F868=10,$H868*$B$27,0)</f>
        <v>1.2648499999999998</v>
      </c>
      <c r="N868" s="31">
        <f>IF($F868=12.5,$H868*$B$28,0)</f>
        <v>0</v>
      </c>
      <c r="O868" s="31">
        <f>IF($F868=16,$H868*$B$29,0)</f>
        <v>0</v>
      </c>
      <c r="P868" s="31">
        <f>IF($F868=20,$H868*$B$30,0)</f>
        <v>0</v>
      </c>
      <c r="Q868" s="49">
        <f>IF($F868=25,$H868*$B$31,0)</f>
        <v>0</v>
      </c>
    </row>
    <row r="869" spans="4:17" s="16" customFormat="1" ht="13.2" x14ac:dyDescent="0.25">
      <c r="D869" s="235">
        <v>50</v>
      </c>
      <c r="E869" s="240">
        <v>2</v>
      </c>
      <c r="F869" s="241">
        <v>10</v>
      </c>
      <c r="G869" s="242">
        <v>4.29</v>
      </c>
      <c r="H869" s="239">
        <f>E869*G869</f>
        <v>8.58</v>
      </c>
      <c r="I869" s="131">
        <f>IF($F869=4.2,H869*$B$23,0)</f>
        <v>0</v>
      </c>
      <c r="J869" s="31">
        <f>IF($F869=5,$H869*$B$24,0)</f>
        <v>0</v>
      </c>
      <c r="K869" s="31">
        <f>IF($F869=6.3,$H869*$B$25,0)</f>
        <v>0</v>
      </c>
      <c r="L869" s="31">
        <f>IF($F869=8,$H869*$B$26,0)</f>
        <v>0</v>
      </c>
      <c r="M869" s="31">
        <f>IF($F869=10,$H869*$B$27,0)</f>
        <v>5.2938599999999996</v>
      </c>
      <c r="N869" s="31">
        <f>IF($F869=12.5,$H869*$B$28,0)</f>
        <v>0</v>
      </c>
      <c r="O869" s="31">
        <f>IF($F869=16,$H869*$B$29,0)</f>
        <v>0</v>
      </c>
      <c r="P869" s="31">
        <f>IF($F869=20,$H869*$B$30,0)</f>
        <v>0</v>
      </c>
      <c r="Q869" s="49">
        <f>IF($F869=25,$H869*$B$31,0)</f>
        <v>0</v>
      </c>
    </row>
    <row r="870" spans="4:17" s="16" customFormat="1" ht="13.8" thickBot="1" x14ac:dyDescent="0.3">
      <c r="D870" s="307"/>
      <c r="E870" s="26"/>
      <c r="F870" s="206"/>
      <c r="G870" s="207"/>
      <c r="H870" s="207"/>
      <c r="I870" s="51"/>
      <c r="J870" s="308"/>
      <c r="K870" s="308"/>
      <c r="L870" s="308"/>
      <c r="M870" s="308"/>
      <c r="N870" s="308"/>
      <c r="O870" s="308"/>
      <c r="P870" s="308"/>
      <c r="Q870" s="309"/>
    </row>
    <row r="871" spans="4:17" s="16" customFormat="1" ht="13.2" x14ac:dyDescent="0.25">
      <c r="D871" s="796" t="s">
        <v>1662</v>
      </c>
      <c r="E871" s="797"/>
      <c r="F871" s="797"/>
      <c r="G871" s="797"/>
      <c r="H871" s="797"/>
      <c r="I871" s="47">
        <f t="shared" ref="I871:Q871" si="1081">SUM(I872:I874)</f>
        <v>0</v>
      </c>
      <c r="J871" s="47">
        <f t="shared" si="1081"/>
        <v>4.0332599999999994</v>
      </c>
      <c r="K871" s="47">
        <f t="shared" si="1081"/>
        <v>0</v>
      </c>
      <c r="L871" s="47">
        <f t="shared" si="1081"/>
        <v>5.0876000000000001</v>
      </c>
      <c r="M871" s="47">
        <f t="shared" si="1081"/>
        <v>7.7001600000000003</v>
      </c>
      <c r="N871" s="47">
        <f t="shared" si="1081"/>
        <v>0</v>
      </c>
      <c r="O871" s="47">
        <f t="shared" si="1081"/>
        <v>0</v>
      </c>
      <c r="P871" s="47">
        <f t="shared" si="1081"/>
        <v>0</v>
      </c>
      <c r="Q871" s="47">
        <f t="shared" si="1081"/>
        <v>0</v>
      </c>
    </row>
    <row r="872" spans="4:17" s="16" customFormat="1" ht="13.2" x14ac:dyDescent="0.25">
      <c r="D872" s="235">
        <v>6</v>
      </c>
      <c r="E872" s="237">
        <v>27</v>
      </c>
      <c r="F872" s="238">
        <v>5</v>
      </c>
      <c r="G872" s="239">
        <v>0.97</v>
      </c>
      <c r="H872" s="239">
        <f>E872*G872</f>
        <v>26.189999999999998</v>
      </c>
      <c r="I872" s="131">
        <f>IF($F872=4.2,H872*$B$23,0)</f>
        <v>0</v>
      </c>
      <c r="J872" s="31">
        <f>IF($F872=5,$H872*$B$24,0)</f>
        <v>4.0332599999999994</v>
      </c>
      <c r="K872" s="31">
        <f>IF($F872=6.3,$H872*$B$25,0)</f>
        <v>0</v>
      </c>
      <c r="L872" s="31">
        <f>IF($F872=8,$H872*$B$26,0)</f>
        <v>0</v>
      </c>
      <c r="M872" s="31">
        <f>IF($F872=10,$H872*$B$27,0)</f>
        <v>0</v>
      </c>
      <c r="N872" s="31">
        <f>IF($F872=12.5,$H872*$B$28,0)</f>
        <v>0</v>
      </c>
      <c r="O872" s="31">
        <f>IF($F872=16,$H872*$B$29,0)</f>
        <v>0</v>
      </c>
      <c r="P872" s="31">
        <f>IF($F872=20,$H872*$B$30,0)</f>
        <v>0</v>
      </c>
      <c r="Q872" s="49">
        <f>IF($F872=25,$H872*$B$31,0)</f>
        <v>0</v>
      </c>
    </row>
    <row r="873" spans="4:17" s="16" customFormat="1" ht="13.2" x14ac:dyDescent="0.25">
      <c r="D873" s="235">
        <v>34</v>
      </c>
      <c r="E873" s="240">
        <v>2</v>
      </c>
      <c r="F873" s="241">
        <v>8</v>
      </c>
      <c r="G873" s="242">
        <v>6.44</v>
      </c>
      <c r="H873" s="239">
        <f>E873*G873</f>
        <v>12.88</v>
      </c>
      <c r="I873" s="131">
        <f>IF($F873=4.2,H873*$B$23,0)</f>
        <v>0</v>
      </c>
      <c r="J873" s="31">
        <f>IF($F873=5,$H873*$B$24,0)</f>
        <v>0</v>
      </c>
      <c r="K873" s="31">
        <f>IF($F873=6.3,$H873*$B$25,0)</f>
        <v>0</v>
      </c>
      <c r="L873" s="31">
        <f>IF($F873=8,$H873*$B$26,0)</f>
        <v>5.0876000000000001</v>
      </c>
      <c r="M873" s="31">
        <f>IF($F873=10,$H873*$B$27,0)</f>
        <v>0</v>
      </c>
      <c r="N873" s="31">
        <f>IF($F873=12.5,$H873*$B$28,0)</f>
        <v>0</v>
      </c>
      <c r="O873" s="31">
        <f>IF($F873=16,$H873*$B$29,0)</f>
        <v>0</v>
      </c>
      <c r="P873" s="31">
        <f>IF($F873=20,$H873*$B$30,0)</f>
        <v>0</v>
      </c>
      <c r="Q873" s="49">
        <f>IF($F873=25,$H873*$B$31,0)</f>
        <v>0</v>
      </c>
    </row>
    <row r="874" spans="4:17" s="16" customFormat="1" ht="13.2" x14ac:dyDescent="0.25">
      <c r="D874" s="235">
        <v>51</v>
      </c>
      <c r="E874" s="240">
        <v>2</v>
      </c>
      <c r="F874" s="241">
        <v>10</v>
      </c>
      <c r="G874" s="242">
        <v>6.24</v>
      </c>
      <c r="H874" s="239">
        <f>E874*G874</f>
        <v>12.48</v>
      </c>
      <c r="I874" s="131">
        <f>IF($F874=4.2,H874*$B$23,0)</f>
        <v>0</v>
      </c>
      <c r="J874" s="31">
        <f>IF($F874=5,$H874*$B$24,0)</f>
        <v>0</v>
      </c>
      <c r="K874" s="31">
        <f>IF($F874=6.3,$H874*$B$25,0)</f>
        <v>0</v>
      </c>
      <c r="L874" s="31">
        <f>IF($F874=8,$H874*$B$26,0)</f>
        <v>0</v>
      </c>
      <c r="M874" s="31">
        <f>IF($F874=10,$H874*$B$27,0)</f>
        <v>7.7001600000000003</v>
      </c>
      <c r="N874" s="31">
        <f>IF($F874=12.5,$H874*$B$28,0)</f>
        <v>0</v>
      </c>
      <c r="O874" s="31">
        <f>IF($F874=16,$H874*$B$29,0)</f>
        <v>0</v>
      </c>
      <c r="P874" s="31">
        <f>IF($F874=20,$H874*$B$30,0)</f>
        <v>0</v>
      </c>
      <c r="Q874" s="49">
        <f>IF($F874=25,$H874*$B$31,0)</f>
        <v>0</v>
      </c>
    </row>
    <row r="875" spans="4:17" s="16" customFormat="1" ht="13.8" thickBot="1" x14ac:dyDescent="0.3">
      <c r="D875" s="307"/>
      <c r="E875" s="26"/>
      <c r="F875" s="206"/>
      <c r="G875" s="207"/>
      <c r="H875" s="207"/>
      <c r="I875" s="51"/>
      <c r="J875" s="308"/>
      <c r="K875" s="308"/>
      <c r="L875" s="308"/>
      <c r="M875" s="308"/>
      <c r="N875" s="308"/>
      <c r="O875" s="308"/>
      <c r="P875" s="308"/>
      <c r="Q875" s="309"/>
    </row>
    <row r="876" spans="4:17" s="16" customFormat="1" ht="13.2" x14ac:dyDescent="0.25">
      <c r="D876" s="796" t="s">
        <v>1663</v>
      </c>
      <c r="E876" s="797"/>
      <c r="F876" s="797"/>
      <c r="G876" s="797"/>
      <c r="H876" s="797"/>
      <c r="I876" s="47">
        <f t="shared" ref="I876:Q876" si="1082">SUM(I877:I878)</f>
        <v>0</v>
      </c>
      <c r="J876" s="47">
        <f t="shared" si="1082"/>
        <v>2.3900799999999998</v>
      </c>
      <c r="K876" s="47">
        <f t="shared" si="1082"/>
        <v>0</v>
      </c>
      <c r="L876" s="47">
        <f t="shared" si="1082"/>
        <v>6.7465999999999999</v>
      </c>
      <c r="M876" s="47">
        <f t="shared" si="1082"/>
        <v>0</v>
      </c>
      <c r="N876" s="47">
        <f t="shared" si="1082"/>
        <v>0</v>
      </c>
      <c r="O876" s="47">
        <f t="shared" si="1082"/>
        <v>0</v>
      </c>
      <c r="P876" s="47">
        <f t="shared" si="1082"/>
        <v>0</v>
      </c>
      <c r="Q876" s="47">
        <f t="shared" si="1082"/>
        <v>0</v>
      </c>
    </row>
    <row r="877" spans="4:17" s="16" customFormat="1" ht="13.2" x14ac:dyDescent="0.25">
      <c r="D877" s="235">
        <v>6</v>
      </c>
      <c r="E877" s="237">
        <v>16</v>
      </c>
      <c r="F877" s="238">
        <v>5</v>
      </c>
      <c r="G877" s="239">
        <v>0.97</v>
      </c>
      <c r="H877" s="239">
        <f>E877*G877</f>
        <v>15.52</v>
      </c>
      <c r="I877" s="131">
        <f>IF($F877=4.2,H877*$B$23,0)</f>
        <v>0</v>
      </c>
      <c r="J877" s="31">
        <f>IF($F877=5,$H877*$B$24,0)</f>
        <v>2.3900799999999998</v>
      </c>
      <c r="K877" s="31">
        <f>IF($F877=6.3,$H877*$B$25,0)</f>
        <v>0</v>
      </c>
      <c r="L877" s="31">
        <f>IF($F877=8,$H877*$B$26,0)</f>
        <v>0</v>
      </c>
      <c r="M877" s="31">
        <f>IF($F877=10,$H877*$B$27,0)</f>
        <v>0</v>
      </c>
      <c r="N877" s="31">
        <f>IF($F877=12.5,$H877*$B$28,0)</f>
        <v>0</v>
      </c>
      <c r="O877" s="31">
        <f>IF($F877=16,$H877*$B$29,0)</f>
        <v>0</v>
      </c>
      <c r="P877" s="31">
        <f>IF($F877=20,$H877*$B$30,0)</f>
        <v>0</v>
      </c>
      <c r="Q877" s="49">
        <f>IF($F877=25,$H877*$B$31,0)</f>
        <v>0</v>
      </c>
    </row>
    <row r="878" spans="4:17" s="16" customFormat="1" ht="13.2" x14ac:dyDescent="0.25">
      <c r="D878" s="235">
        <v>35</v>
      </c>
      <c r="E878" s="240">
        <v>4</v>
      </c>
      <c r="F878" s="241">
        <v>8</v>
      </c>
      <c r="G878" s="242">
        <v>4.2699999999999996</v>
      </c>
      <c r="H878" s="239">
        <f>E878*G878</f>
        <v>17.079999999999998</v>
      </c>
      <c r="I878" s="131">
        <f>IF($F878=4.2,H878*$B$23,0)</f>
        <v>0</v>
      </c>
      <c r="J878" s="31">
        <f>IF($F878=5,$H878*$B$24,0)</f>
        <v>0</v>
      </c>
      <c r="K878" s="31">
        <f>IF($F878=6.3,$H878*$B$25,0)</f>
        <v>0</v>
      </c>
      <c r="L878" s="31">
        <f>IF($F878=8,$H878*$B$26,0)</f>
        <v>6.7465999999999999</v>
      </c>
      <c r="M878" s="31">
        <f>IF($F878=10,$H878*$B$27,0)</f>
        <v>0</v>
      </c>
      <c r="N878" s="31">
        <f>IF($F878=12.5,$H878*$B$28,0)</f>
        <v>0</v>
      </c>
      <c r="O878" s="31">
        <f>IF($F878=16,$H878*$B$29,0)</f>
        <v>0</v>
      </c>
      <c r="P878" s="31">
        <f>IF($F878=20,$H878*$B$30,0)</f>
        <v>0</v>
      </c>
      <c r="Q878" s="49">
        <f>IF($F878=25,$H878*$B$31,0)</f>
        <v>0</v>
      </c>
    </row>
    <row r="879" spans="4:17" s="16" customFormat="1" ht="13.8" thickBot="1" x14ac:dyDescent="0.3">
      <c r="D879" s="307"/>
      <c r="E879" s="26"/>
      <c r="F879" s="206"/>
      <c r="G879" s="207"/>
      <c r="H879" s="207"/>
      <c r="I879" s="51"/>
      <c r="J879" s="308"/>
      <c r="K879" s="308"/>
      <c r="L879" s="308"/>
      <c r="M879" s="308"/>
      <c r="N879" s="308"/>
      <c r="O879" s="308"/>
      <c r="P879" s="308"/>
      <c r="Q879" s="309"/>
    </row>
    <row r="880" spans="4:17" s="16" customFormat="1" ht="13.2" x14ac:dyDescent="0.25">
      <c r="D880" s="796" t="s">
        <v>1664</v>
      </c>
      <c r="E880" s="797"/>
      <c r="F880" s="797"/>
      <c r="G880" s="797"/>
      <c r="H880" s="797"/>
      <c r="I880" s="47">
        <f t="shared" ref="I880:Q880" si="1083">SUM(I881:I882)</f>
        <v>0</v>
      </c>
      <c r="J880" s="47">
        <f t="shared" si="1083"/>
        <v>2.5394599999999996</v>
      </c>
      <c r="K880" s="47">
        <f t="shared" si="1083"/>
        <v>0</v>
      </c>
      <c r="L880" s="47">
        <f t="shared" si="1083"/>
        <v>6.9046000000000003</v>
      </c>
      <c r="M880" s="47">
        <f t="shared" si="1083"/>
        <v>0</v>
      </c>
      <c r="N880" s="47">
        <f t="shared" si="1083"/>
        <v>0</v>
      </c>
      <c r="O880" s="47">
        <f t="shared" si="1083"/>
        <v>0</v>
      </c>
      <c r="P880" s="47">
        <f t="shared" si="1083"/>
        <v>0</v>
      </c>
      <c r="Q880" s="47">
        <f t="shared" si="1083"/>
        <v>0</v>
      </c>
    </row>
    <row r="881" spans="4:17" s="16" customFormat="1" ht="13.2" x14ac:dyDescent="0.25">
      <c r="D881" s="235">
        <v>6</v>
      </c>
      <c r="E881" s="237">
        <v>17</v>
      </c>
      <c r="F881" s="238">
        <v>5</v>
      </c>
      <c r="G881" s="239">
        <v>0.97</v>
      </c>
      <c r="H881" s="239">
        <f>E881*G881</f>
        <v>16.489999999999998</v>
      </c>
      <c r="I881" s="131">
        <f>IF($F881=4.2,H881*$B$23,0)</f>
        <v>0</v>
      </c>
      <c r="J881" s="31">
        <f>IF($F881=5,$H881*$B$24,0)</f>
        <v>2.5394599999999996</v>
      </c>
      <c r="K881" s="31">
        <f>IF($F881=6.3,$H881*$B$25,0)</f>
        <v>0</v>
      </c>
      <c r="L881" s="31">
        <f>IF($F881=8,$H881*$B$26,0)</f>
        <v>0</v>
      </c>
      <c r="M881" s="31">
        <f>IF($F881=10,$H881*$B$27,0)</f>
        <v>0</v>
      </c>
      <c r="N881" s="31">
        <f>IF($F881=12.5,$H881*$B$28,0)</f>
        <v>0</v>
      </c>
      <c r="O881" s="31">
        <f>IF($F881=16,$H881*$B$29,0)</f>
        <v>0</v>
      </c>
      <c r="P881" s="31">
        <f>IF($F881=20,$H881*$B$30,0)</f>
        <v>0</v>
      </c>
      <c r="Q881" s="49">
        <f>IF($F881=25,$H881*$B$31,0)</f>
        <v>0</v>
      </c>
    </row>
    <row r="882" spans="4:17" s="16" customFormat="1" ht="13.2" x14ac:dyDescent="0.25">
      <c r="D882" s="235">
        <v>36</v>
      </c>
      <c r="E882" s="240">
        <v>4</v>
      </c>
      <c r="F882" s="241">
        <v>8</v>
      </c>
      <c r="G882" s="242">
        <v>4.37</v>
      </c>
      <c r="H882" s="239">
        <f>E882*G882</f>
        <v>17.48</v>
      </c>
      <c r="I882" s="131">
        <f>IF($F882=4.2,H882*$B$23,0)</f>
        <v>0</v>
      </c>
      <c r="J882" s="31">
        <f>IF($F882=5,$H882*$B$24,0)</f>
        <v>0</v>
      </c>
      <c r="K882" s="31">
        <f>IF($F882=6.3,$H882*$B$25,0)</f>
        <v>0</v>
      </c>
      <c r="L882" s="31">
        <f>IF($F882=8,$H882*$B$26,0)</f>
        <v>6.9046000000000003</v>
      </c>
      <c r="M882" s="31">
        <f>IF($F882=10,$H882*$B$27,0)</f>
        <v>0</v>
      </c>
      <c r="N882" s="31">
        <f>IF($F882=12.5,$H882*$B$28,0)</f>
        <v>0</v>
      </c>
      <c r="O882" s="31">
        <f>IF($F882=16,$H882*$B$29,0)</f>
        <v>0</v>
      </c>
      <c r="P882" s="31">
        <f>IF($F882=20,$H882*$B$30,0)</f>
        <v>0</v>
      </c>
      <c r="Q882" s="49">
        <f>IF($F882=25,$H882*$B$31,0)</f>
        <v>0</v>
      </c>
    </row>
    <row r="883" spans="4:17" s="16" customFormat="1" ht="13.8" thickBot="1" x14ac:dyDescent="0.3">
      <c r="D883" s="307"/>
      <c r="E883" s="26"/>
      <c r="F883" s="206"/>
      <c r="G883" s="207"/>
      <c r="H883" s="207"/>
      <c r="I883" s="51"/>
      <c r="J883" s="308"/>
      <c r="K883" s="308"/>
      <c r="L883" s="308"/>
      <c r="M883" s="308"/>
      <c r="N883" s="308"/>
      <c r="O883" s="308"/>
      <c r="P883" s="308"/>
      <c r="Q883" s="309"/>
    </row>
    <row r="884" spans="4:17" s="16" customFormat="1" ht="13.2" x14ac:dyDescent="0.25">
      <c r="D884" s="796" t="s">
        <v>1665</v>
      </c>
      <c r="E884" s="797"/>
      <c r="F884" s="797"/>
      <c r="G884" s="797"/>
      <c r="H884" s="797"/>
      <c r="I884" s="47">
        <f t="shared" ref="I884:Q884" si="1084">SUM(I885:I886)</f>
        <v>0</v>
      </c>
      <c r="J884" s="47">
        <f t="shared" si="1084"/>
        <v>2.3900799999999998</v>
      </c>
      <c r="K884" s="47">
        <f t="shared" si="1084"/>
        <v>0</v>
      </c>
      <c r="L884" s="47">
        <f t="shared" si="1084"/>
        <v>6.7465999999999999</v>
      </c>
      <c r="M884" s="47">
        <f t="shared" si="1084"/>
        <v>0</v>
      </c>
      <c r="N884" s="47">
        <f t="shared" si="1084"/>
        <v>0</v>
      </c>
      <c r="O884" s="47">
        <f t="shared" si="1084"/>
        <v>0</v>
      </c>
      <c r="P884" s="47">
        <f t="shared" si="1084"/>
        <v>0</v>
      </c>
      <c r="Q884" s="47">
        <f t="shared" si="1084"/>
        <v>0</v>
      </c>
    </row>
    <row r="885" spans="4:17" s="16" customFormat="1" ht="13.2" x14ac:dyDescent="0.25">
      <c r="D885" s="235">
        <v>1</v>
      </c>
      <c r="E885" s="237">
        <v>16</v>
      </c>
      <c r="F885" s="238">
        <v>5</v>
      </c>
      <c r="G885" s="239">
        <v>0.97</v>
      </c>
      <c r="H885" s="239">
        <f>E885*G885</f>
        <v>15.52</v>
      </c>
      <c r="I885" s="131">
        <f>IF($F885=4.2,H885*$B$23,0)</f>
        <v>0</v>
      </c>
      <c r="J885" s="31">
        <f>IF($F885=5,$H885*$B$24,0)</f>
        <v>2.3900799999999998</v>
      </c>
      <c r="K885" s="31">
        <f>IF($F885=6.3,$H885*$B$25,0)</f>
        <v>0</v>
      </c>
      <c r="L885" s="31">
        <f>IF($F885=8,$H885*$B$26,0)</f>
        <v>0</v>
      </c>
      <c r="M885" s="31">
        <f>IF($F885=10,$H885*$B$27,0)</f>
        <v>0</v>
      </c>
      <c r="N885" s="31">
        <f>IF($F885=12.5,$H885*$B$28,0)</f>
        <v>0</v>
      </c>
      <c r="O885" s="31">
        <f>IF($F885=16,$H885*$B$29,0)</f>
        <v>0</v>
      </c>
      <c r="P885" s="31">
        <f>IF($F885=20,$H885*$B$30,0)</f>
        <v>0</v>
      </c>
      <c r="Q885" s="49">
        <f>IF($F885=25,$H885*$B$31,0)</f>
        <v>0</v>
      </c>
    </row>
    <row r="886" spans="4:17" s="16" customFormat="1" ht="13.2" x14ac:dyDescent="0.25">
      <c r="D886" s="235">
        <v>2</v>
      </c>
      <c r="E886" s="240">
        <v>4</v>
      </c>
      <c r="F886" s="241">
        <v>8</v>
      </c>
      <c r="G886" s="242">
        <v>4.2699999999999996</v>
      </c>
      <c r="H886" s="239">
        <f>E886*G886</f>
        <v>17.079999999999998</v>
      </c>
      <c r="I886" s="131">
        <f>IF($F886=4.2,H886*$B$23,0)</f>
        <v>0</v>
      </c>
      <c r="J886" s="31">
        <f>IF($F886=5,$H886*$B$24,0)</f>
        <v>0</v>
      </c>
      <c r="K886" s="31">
        <f>IF($F886=6.3,$H886*$B$25,0)</f>
        <v>0</v>
      </c>
      <c r="L886" s="31">
        <f>IF($F886=8,$H886*$B$26,0)</f>
        <v>6.7465999999999999</v>
      </c>
      <c r="M886" s="31">
        <f>IF($F886=10,$H886*$B$27,0)</f>
        <v>0</v>
      </c>
      <c r="N886" s="31">
        <f>IF($F886=12.5,$H886*$B$28,0)</f>
        <v>0</v>
      </c>
      <c r="O886" s="31">
        <f>IF($F886=16,$H886*$B$29,0)</f>
        <v>0</v>
      </c>
      <c r="P886" s="31">
        <f>IF($F886=20,$H886*$B$30,0)</f>
        <v>0</v>
      </c>
      <c r="Q886" s="49">
        <f>IF($F886=25,$H886*$B$31,0)</f>
        <v>0</v>
      </c>
    </row>
    <row r="887" spans="4:17" s="16" customFormat="1" ht="13.8" thickBot="1" x14ac:dyDescent="0.3">
      <c r="D887" s="307"/>
      <c r="E887" s="26"/>
      <c r="F887" s="206"/>
      <c r="G887" s="207"/>
      <c r="H887" s="207"/>
      <c r="I887" s="51"/>
      <c r="J887" s="308"/>
      <c r="K887" s="308"/>
      <c r="L887" s="308"/>
      <c r="M887" s="308"/>
      <c r="N887" s="308"/>
      <c r="O887" s="308"/>
      <c r="P887" s="308"/>
      <c r="Q887" s="309"/>
    </row>
    <row r="888" spans="4:17" s="16" customFormat="1" ht="13.2" x14ac:dyDescent="0.25">
      <c r="D888" s="796" t="s">
        <v>1666</v>
      </c>
      <c r="E888" s="797"/>
      <c r="F888" s="797"/>
      <c r="G888" s="797"/>
      <c r="H888" s="797"/>
      <c r="I888" s="47">
        <f t="shared" ref="I888:Q888" si="1085">SUM(I889:I890)</f>
        <v>0</v>
      </c>
      <c r="J888" s="47">
        <f t="shared" si="1085"/>
        <v>2.5394599999999996</v>
      </c>
      <c r="K888" s="47">
        <f t="shared" si="1085"/>
        <v>0</v>
      </c>
      <c r="L888" s="47">
        <f t="shared" si="1085"/>
        <v>6.9046000000000003</v>
      </c>
      <c r="M888" s="47">
        <f t="shared" si="1085"/>
        <v>0</v>
      </c>
      <c r="N888" s="47">
        <f t="shared" si="1085"/>
        <v>0</v>
      </c>
      <c r="O888" s="47">
        <f t="shared" si="1085"/>
        <v>0</v>
      </c>
      <c r="P888" s="47">
        <f t="shared" si="1085"/>
        <v>0</v>
      </c>
      <c r="Q888" s="47">
        <f t="shared" si="1085"/>
        <v>0</v>
      </c>
    </row>
    <row r="889" spans="4:17" s="16" customFormat="1" ht="13.2" x14ac:dyDescent="0.25">
      <c r="D889" s="235">
        <v>1</v>
      </c>
      <c r="E889" s="237">
        <v>17</v>
      </c>
      <c r="F889" s="238">
        <v>5</v>
      </c>
      <c r="G889" s="239">
        <v>0.97</v>
      </c>
      <c r="H889" s="239">
        <f>E889*G889</f>
        <v>16.489999999999998</v>
      </c>
      <c r="I889" s="131">
        <f>IF($F889=4.2,H889*$B$23,0)</f>
        <v>0</v>
      </c>
      <c r="J889" s="31">
        <f>IF($F889=5,$H889*$B$24,0)</f>
        <v>2.5394599999999996</v>
      </c>
      <c r="K889" s="31">
        <f>IF($F889=6.3,$H889*$B$25,0)</f>
        <v>0</v>
      </c>
      <c r="L889" s="31">
        <f>IF($F889=8,$H889*$B$26,0)</f>
        <v>0</v>
      </c>
      <c r="M889" s="31">
        <f>IF($F889=10,$H889*$B$27,0)</f>
        <v>0</v>
      </c>
      <c r="N889" s="31">
        <f>IF($F889=12.5,$H889*$B$28,0)</f>
        <v>0</v>
      </c>
      <c r="O889" s="31">
        <f>IF($F889=16,$H889*$B$29,0)</f>
        <v>0</v>
      </c>
      <c r="P889" s="31">
        <f>IF($F889=20,$H889*$B$30,0)</f>
        <v>0</v>
      </c>
      <c r="Q889" s="49">
        <f>IF($F889=25,$H889*$B$31,0)</f>
        <v>0</v>
      </c>
    </row>
    <row r="890" spans="4:17" s="16" customFormat="1" ht="13.2" x14ac:dyDescent="0.25">
      <c r="D890" s="235">
        <v>3</v>
      </c>
      <c r="E890" s="240">
        <v>4</v>
      </c>
      <c r="F890" s="241">
        <v>8</v>
      </c>
      <c r="G890" s="242">
        <v>4.37</v>
      </c>
      <c r="H890" s="239">
        <f>E890*G890</f>
        <v>17.48</v>
      </c>
      <c r="I890" s="131">
        <f>IF($F890=4.2,H890*$B$23,0)</f>
        <v>0</v>
      </c>
      <c r="J890" s="31">
        <f>IF($F890=5,$H890*$B$24,0)</f>
        <v>0</v>
      </c>
      <c r="K890" s="31">
        <f>IF($F890=6.3,$H890*$B$25,0)</f>
        <v>0</v>
      </c>
      <c r="L890" s="31">
        <f>IF($F890=8,$H890*$B$26,0)</f>
        <v>6.9046000000000003</v>
      </c>
      <c r="M890" s="31">
        <f>IF($F890=10,$H890*$B$27,0)</f>
        <v>0</v>
      </c>
      <c r="N890" s="31">
        <f>IF($F890=12.5,$H890*$B$28,0)</f>
        <v>0</v>
      </c>
      <c r="O890" s="31">
        <f>IF($F890=16,$H890*$B$29,0)</f>
        <v>0</v>
      </c>
      <c r="P890" s="31">
        <f>IF($F890=20,$H890*$B$30,0)</f>
        <v>0</v>
      </c>
      <c r="Q890" s="49">
        <f>IF($F890=25,$H890*$B$31,0)</f>
        <v>0</v>
      </c>
    </row>
    <row r="891" spans="4:17" s="16" customFormat="1" ht="13.8" thickBot="1" x14ac:dyDescent="0.3">
      <c r="D891" s="307"/>
      <c r="E891" s="26"/>
      <c r="F891" s="206"/>
      <c r="G891" s="207"/>
      <c r="H891" s="207"/>
      <c r="I891" s="51"/>
      <c r="J891" s="308"/>
      <c r="K891" s="308"/>
      <c r="L891" s="308"/>
      <c r="M891" s="308"/>
      <c r="N891" s="308"/>
      <c r="O891" s="308"/>
      <c r="P891" s="308"/>
      <c r="Q891" s="309"/>
    </row>
    <row r="892" spans="4:17" s="16" customFormat="1" ht="13.2" x14ac:dyDescent="0.25">
      <c r="D892" s="796" t="s">
        <v>1667</v>
      </c>
      <c r="E892" s="797"/>
      <c r="F892" s="797"/>
      <c r="G892" s="797"/>
      <c r="H892" s="797"/>
      <c r="I892" s="47">
        <f>SUM(I893:I896)</f>
        <v>0</v>
      </c>
      <c r="J892" s="47">
        <f t="shared" ref="J892:Q892" si="1086">SUM(J893:J896)</f>
        <v>12.547920000000001</v>
      </c>
      <c r="K892" s="47">
        <f t="shared" si="1086"/>
        <v>0</v>
      </c>
      <c r="L892" s="47">
        <f t="shared" si="1086"/>
        <v>15.476100000000001</v>
      </c>
      <c r="M892" s="47">
        <f t="shared" si="1086"/>
        <v>22.545179999999998</v>
      </c>
      <c r="N892" s="47">
        <f t="shared" si="1086"/>
        <v>0</v>
      </c>
      <c r="O892" s="47">
        <f t="shared" si="1086"/>
        <v>0</v>
      </c>
      <c r="P892" s="47">
        <f t="shared" si="1086"/>
        <v>0</v>
      </c>
      <c r="Q892" s="47">
        <f t="shared" si="1086"/>
        <v>0</v>
      </c>
    </row>
    <row r="893" spans="4:17" s="16" customFormat="1" ht="13.2" x14ac:dyDescent="0.25">
      <c r="D893" s="235">
        <v>1</v>
      </c>
      <c r="E893" s="237">
        <f>3*28</f>
        <v>84</v>
      </c>
      <c r="F893" s="238">
        <v>5</v>
      </c>
      <c r="G893" s="239">
        <v>0.97</v>
      </c>
      <c r="H893" s="239">
        <f>E893*G893</f>
        <v>81.48</v>
      </c>
      <c r="I893" s="131">
        <f>IF($F893=4.2,H893*$B$23,0)</f>
        <v>0</v>
      </c>
      <c r="J893" s="31">
        <f>IF($F893=5,$H893*$B$24,0)</f>
        <v>12.547920000000001</v>
      </c>
      <c r="K893" s="31">
        <f>IF($F893=6.3,$H893*$B$25,0)</f>
        <v>0</v>
      </c>
      <c r="L893" s="31">
        <f>IF($F893=8,$H893*$B$26,0)</f>
        <v>0</v>
      </c>
      <c r="M893" s="31">
        <f>IF($F893=10,$H893*$B$27,0)</f>
        <v>0</v>
      </c>
      <c r="N893" s="31">
        <f>IF($F893=12.5,$H893*$B$28,0)</f>
        <v>0</v>
      </c>
      <c r="O893" s="31">
        <f>IF($F893=16,$H893*$B$29,0)</f>
        <v>0</v>
      </c>
      <c r="P893" s="31">
        <f>IF($F893=20,$H893*$B$30,0)</f>
        <v>0</v>
      </c>
      <c r="Q893" s="49">
        <f>IF($F893=25,$H893*$B$31,0)</f>
        <v>0</v>
      </c>
    </row>
    <row r="894" spans="4:17" s="16" customFormat="1" ht="13.2" x14ac:dyDescent="0.25">
      <c r="D894" s="235">
        <v>4</v>
      </c>
      <c r="E894" s="240">
        <f>3*2</f>
        <v>6</v>
      </c>
      <c r="F894" s="241">
        <v>8</v>
      </c>
      <c r="G894" s="242">
        <v>6.53</v>
      </c>
      <c r="H894" s="239">
        <f>E894*G894</f>
        <v>39.18</v>
      </c>
      <c r="I894" s="131">
        <f>IF($F894=4.2,H894*$B$23,0)</f>
        <v>0</v>
      </c>
      <c r="J894" s="31">
        <f>IF($F894=5,$H894*$B$24,0)</f>
        <v>0</v>
      </c>
      <c r="K894" s="31">
        <f>IF($F894=6.3,$H894*$B$25,0)</f>
        <v>0</v>
      </c>
      <c r="L894" s="31">
        <f>IF($F894=8,$H894*$B$26,0)</f>
        <v>15.476100000000001</v>
      </c>
      <c r="M894" s="31">
        <f>IF($F894=10,$H894*$B$27,0)</f>
        <v>0</v>
      </c>
      <c r="N894" s="31">
        <f>IF($F894=12.5,$H894*$B$28,0)</f>
        <v>0</v>
      </c>
      <c r="O894" s="31">
        <f>IF($F894=16,$H894*$B$29,0)</f>
        <v>0</v>
      </c>
      <c r="P894" s="31">
        <f>IF($F894=20,$H894*$B$30,0)</f>
        <v>0</v>
      </c>
      <c r="Q894" s="49">
        <f>IF($F894=25,$H894*$B$31,0)</f>
        <v>0</v>
      </c>
    </row>
    <row r="895" spans="4:17" s="16" customFormat="1" ht="13.2" x14ac:dyDescent="0.25">
      <c r="D895" s="235">
        <v>25</v>
      </c>
      <c r="E895" s="240">
        <f>3*2</f>
        <v>6</v>
      </c>
      <c r="F895" s="241">
        <v>10</v>
      </c>
      <c r="G895" s="242">
        <v>6.09</v>
      </c>
      <c r="H895" s="239">
        <f>E895*G895</f>
        <v>36.54</v>
      </c>
      <c r="I895" s="131">
        <f>IF($F895=4.2,H895*$B$23,0)</f>
        <v>0</v>
      </c>
      <c r="J895" s="31">
        <f>IF($F895=5,$H895*$B$24,0)</f>
        <v>0</v>
      </c>
      <c r="K895" s="31">
        <f>IF($F895=6.3,$H895*$B$25,0)</f>
        <v>0</v>
      </c>
      <c r="L895" s="31">
        <f>IF($F895=8,$H895*$B$26,0)</f>
        <v>0</v>
      </c>
      <c r="M895" s="31">
        <f>IF($F895=10,$H895*$B$27,0)</f>
        <v>22.545179999999998</v>
      </c>
      <c r="N895" s="31">
        <f>IF($F895=12.5,$H895*$B$28,0)</f>
        <v>0</v>
      </c>
      <c r="O895" s="31">
        <f>IF($F895=16,$H895*$B$29,0)</f>
        <v>0</v>
      </c>
      <c r="P895" s="31">
        <f>IF($F895=20,$H895*$B$30,0)</f>
        <v>0</v>
      </c>
      <c r="Q895" s="49">
        <f>IF($F895=25,$H895*$B$31,0)</f>
        <v>0</v>
      </c>
    </row>
    <row r="896" spans="4:17" s="16" customFormat="1" ht="13.2" x14ac:dyDescent="0.25">
      <c r="D896" s="235"/>
      <c r="E896" s="240"/>
      <c r="F896" s="241"/>
      <c r="G896" s="242"/>
      <c r="H896" s="239">
        <f>E896*G896</f>
        <v>0</v>
      </c>
      <c r="I896" s="131">
        <f>IF($F896=4.2,H896*$B$23,0)</f>
        <v>0</v>
      </c>
      <c r="J896" s="31">
        <f>IF($F896=5,$H896*$B$24,0)</f>
        <v>0</v>
      </c>
      <c r="K896" s="31">
        <f>IF($F896=6.3,$H896*$B$25,0)</f>
        <v>0</v>
      </c>
      <c r="L896" s="31">
        <f>IF($F896=8,$H896*$B$26,0)</f>
        <v>0</v>
      </c>
      <c r="M896" s="31">
        <f>IF($F896=10,$H896*$B$27,0)</f>
        <v>0</v>
      </c>
      <c r="N896" s="31">
        <f>IF($F896=12.5,$H896*$B$28,0)</f>
        <v>0</v>
      </c>
      <c r="O896" s="31">
        <f>IF($F896=16,$H896*$B$29,0)</f>
        <v>0</v>
      </c>
      <c r="P896" s="31">
        <f>IF($F896=20,$H896*$B$30,0)</f>
        <v>0</v>
      </c>
      <c r="Q896" s="49">
        <f>IF($F896=25,$H896*$B$31,0)</f>
        <v>0</v>
      </c>
    </row>
    <row r="897" spans="4:17" s="16" customFormat="1" ht="13.8" thickBot="1" x14ac:dyDescent="0.3">
      <c r="D897" s="307"/>
      <c r="E897" s="26"/>
      <c r="F897" s="206"/>
      <c r="G897" s="207"/>
      <c r="H897" s="207"/>
      <c r="I897" s="51"/>
      <c r="J897" s="308"/>
      <c r="K897" s="308"/>
      <c r="L897" s="308"/>
      <c r="M897" s="308"/>
      <c r="N897" s="308"/>
      <c r="O897" s="308"/>
      <c r="P897" s="308"/>
      <c r="Q897" s="309"/>
    </row>
    <row r="898" spans="4:17" s="16" customFormat="1" ht="13.2" x14ac:dyDescent="0.25">
      <c r="D898" s="796" t="s">
        <v>1668</v>
      </c>
      <c r="E898" s="797"/>
      <c r="F898" s="797"/>
      <c r="G898" s="797"/>
      <c r="H898" s="797"/>
      <c r="I898" s="47">
        <f>SUM(I899:I902)</f>
        <v>0</v>
      </c>
      <c r="J898" s="47">
        <f t="shared" ref="J898:Q898" si="1087">SUM(J899:J902)</f>
        <v>2.6888399999999999</v>
      </c>
      <c r="K898" s="47">
        <f t="shared" si="1087"/>
        <v>0</v>
      </c>
      <c r="L898" s="47">
        <f t="shared" si="1087"/>
        <v>3.4996999999999998</v>
      </c>
      <c r="M898" s="47">
        <f t="shared" si="1087"/>
        <v>5.0717400000000001</v>
      </c>
      <c r="N898" s="47">
        <f t="shared" si="1087"/>
        <v>0</v>
      </c>
      <c r="O898" s="47">
        <f t="shared" si="1087"/>
        <v>0</v>
      </c>
      <c r="P898" s="47">
        <f t="shared" si="1087"/>
        <v>0</v>
      </c>
      <c r="Q898" s="47">
        <f t="shared" si="1087"/>
        <v>0</v>
      </c>
    </row>
    <row r="899" spans="4:17" s="16" customFormat="1" ht="13.2" x14ac:dyDescent="0.25">
      <c r="D899" s="235">
        <v>1</v>
      </c>
      <c r="E899" s="237">
        <v>18</v>
      </c>
      <c r="F899" s="238">
        <v>5</v>
      </c>
      <c r="G899" s="239">
        <v>0.97</v>
      </c>
      <c r="H899" s="239">
        <f>E899*G899</f>
        <v>17.46</v>
      </c>
      <c r="I899" s="131">
        <f>IF($F899=4.2,H899*$B$23,0)</f>
        <v>0</v>
      </c>
      <c r="J899" s="31">
        <f>IF($F899=5,$H899*$B$24,0)</f>
        <v>2.6888399999999999</v>
      </c>
      <c r="K899" s="31">
        <f>IF($F899=6.3,$H899*$B$25,0)</f>
        <v>0</v>
      </c>
      <c r="L899" s="31">
        <f>IF($F899=8,$H899*$B$26,0)</f>
        <v>0</v>
      </c>
      <c r="M899" s="31">
        <f>IF($F899=10,$H899*$B$27,0)</f>
        <v>0</v>
      </c>
      <c r="N899" s="31">
        <f>IF($F899=12.5,$H899*$B$28,0)</f>
        <v>0</v>
      </c>
      <c r="O899" s="31">
        <f>IF($F899=16,$H899*$B$29,0)</f>
        <v>0</v>
      </c>
      <c r="P899" s="31">
        <f>IF($F899=20,$H899*$B$30,0)</f>
        <v>0</v>
      </c>
      <c r="Q899" s="49">
        <f>IF($F899=25,$H899*$B$31,0)</f>
        <v>0</v>
      </c>
    </row>
    <row r="900" spans="4:17" s="16" customFormat="1" ht="13.2" x14ac:dyDescent="0.25">
      <c r="D900" s="235">
        <v>5</v>
      </c>
      <c r="E900" s="240">
        <v>2</v>
      </c>
      <c r="F900" s="241">
        <v>8</v>
      </c>
      <c r="G900" s="242">
        <v>4.43</v>
      </c>
      <c r="H900" s="239">
        <f>E900*G900</f>
        <v>8.86</v>
      </c>
      <c r="I900" s="131">
        <f>IF($F900=4.2,H900*$B$23,0)</f>
        <v>0</v>
      </c>
      <c r="J900" s="31">
        <f>IF($F900=5,$H900*$B$24,0)</f>
        <v>0</v>
      </c>
      <c r="K900" s="31">
        <f>IF($F900=6.3,$H900*$B$25,0)</f>
        <v>0</v>
      </c>
      <c r="L900" s="31">
        <f>IF($F900=8,$H900*$B$26,0)</f>
        <v>3.4996999999999998</v>
      </c>
      <c r="M900" s="31">
        <f>IF($F900=10,$H900*$B$27,0)</f>
        <v>0</v>
      </c>
      <c r="N900" s="31">
        <f>IF($F900=12.5,$H900*$B$28,0)</f>
        <v>0</v>
      </c>
      <c r="O900" s="31">
        <f>IF($F900=16,$H900*$B$29,0)</f>
        <v>0</v>
      </c>
      <c r="P900" s="31">
        <f>IF($F900=20,$H900*$B$30,0)</f>
        <v>0</v>
      </c>
      <c r="Q900" s="49">
        <f>IF($F900=25,$H900*$B$31,0)</f>
        <v>0</v>
      </c>
    </row>
    <row r="901" spans="4:17" s="16" customFormat="1" ht="13.2" x14ac:dyDescent="0.25">
      <c r="D901" s="235">
        <v>26</v>
      </c>
      <c r="E901" s="240">
        <v>2</v>
      </c>
      <c r="F901" s="241">
        <v>10</v>
      </c>
      <c r="G901" s="242">
        <v>4.1100000000000003</v>
      </c>
      <c r="H901" s="239">
        <f>E901*G901</f>
        <v>8.2200000000000006</v>
      </c>
      <c r="I901" s="131">
        <f>IF($F901=4.2,H901*$B$23,0)</f>
        <v>0</v>
      </c>
      <c r="J901" s="31">
        <f>IF($F901=5,$H901*$B$24,0)</f>
        <v>0</v>
      </c>
      <c r="K901" s="31">
        <f>IF($F901=6.3,$H901*$B$25,0)</f>
        <v>0</v>
      </c>
      <c r="L901" s="31">
        <f>IF($F901=8,$H901*$B$26,0)</f>
        <v>0</v>
      </c>
      <c r="M901" s="31">
        <f>IF($F901=10,$H901*$B$27,0)</f>
        <v>5.0717400000000001</v>
      </c>
      <c r="N901" s="31">
        <f>IF($F901=12.5,$H901*$B$28,0)</f>
        <v>0</v>
      </c>
      <c r="O901" s="31">
        <f>IF($F901=16,$H901*$B$29,0)</f>
        <v>0</v>
      </c>
      <c r="P901" s="31">
        <f>IF($F901=20,$H901*$B$30,0)</f>
        <v>0</v>
      </c>
      <c r="Q901" s="49">
        <f>IF($F901=25,$H901*$B$31,0)</f>
        <v>0</v>
      </c>
    </row>
    <row r="902" spans="4:17" s="16" customFormat="1" ht="13.2" x14ac:dyDescent="0.25">
      <c r="D902" s="235"/>
      <c r="E902" s="240"/>
      <c r="F902" s="241"/>
      <c r="G902" s="242"/>
      <c r="H902" s="239">
        <f>E902*G902</f>
        <v>0</v>
      </c>
      <c r="I902" s="131">
        <f>IF($F902=4.2,H902*$B$23,0)</f>
        <v>0</v>
      </c>
      <c r="J902" s="31">
        <f>IF($F902=5,$H902*$B$24,0)</f>
        <v>0</v>
      </c>
      <c r="K902" s="31">
        <f>IF($F902=6.3,$H902*$B$25,0)</f>
        <v>0</v>
      </c>
      <c r="L902" s="31">
        <f>IF($F902=8,$H902*$B$26,0)</f>
        <v>0</v>
      </c>
      <c r="M902" s="31">
        <f>IF($F902=10,$H902*$B$27,0)</f>
        <v>0</v>
      </c>
      <c r="N902" s="31">
        <f>IF($F902=12.5,$H902*$B$28,0)</f>
        <v>0</v>
      </c>
      <c r="O902" s="31">
        <f>IF($F902=16,$H902*$B$29,0)</f>
        <v>0</v>
      </c>
      <c r="P902" s="31">
        <f>IF($F902=20,$H902*$B$30,0)</f>
        <v>0</v>
      </c>
      <c r="Q902" s="49">
        <f>IF($F902=25,$H902*$B$31,0)</f>
        <v>0</v>
      </c>
    </row>
    <row r="903" spans="4:17" s="16" customFormat="1" ht="13.8" thickBot="1" x14ac:dyDescent="0.3">
      <c r="D903" s="307"/>
      <c r="E903" s="26"/>
      <c r="F903" s="206"/>
      <c r="G903" s="207"/>
      <c r="H903" s="207"/>
      <c r="I903" s="51"/>
      <c r="J903" s="308"/>
      <c r="K903" s="308"/>
      <c r="L903" s="308"/>
      <c r="M903" s="308"/>
      <c r="N903" s="308"/>
      <c r="O903" s="308"/>
      <c r="P903" s="308"/>
      <c r="Q903" s="309"/>
    </row>
    <row r="904" spans="4:17" s="16" customFormat="1" ht="13.2" x14ac:dyDescent="0.25">
      <c r="D904" s="796" t="s">
        <v>1669</v>
      </c>
      <c r="E904" s="797"/>
      <c r="F904" s="797"/>
      <c r="G904" s="797"/>
      <c r="H904" s="797"/>
      <c r="I904" s="47">
        <f>SUM(I905:I913)</f>
        <v>0</v>
      </c>
      <c r="J904" s="47">
        <f t="shared" ref="J904:Q904" si="1088">SUM(J905:J913)</f>
        <v>5.2282999999999991</v>
      </c>
      <c r="K904" s="47">
        <f t="shared" si="1088"/>
        <v>0</v>
      </c>
      <c r="L904" s="47">
        <f t="shared" si="1088"/>
        <v>13.398399999999999</v>
      </c>
      <c r="M904" s="47">
        <f t="shared" si="1088"/>
        <v>14.400780000000001</v>
      </c>
      <c r="N904" s="47">
        <f t="shared" si="1088"/>
        <v>0</v>
      </c>
      <c r="O904" s="47">
        <f t="shared" si="1088"/>
        <v>0</v>
      </c>
      <c r="P904" s="47">
        <f t="shared" si="1088"/>
        <v>0</v>
      </c>
      <c r="Q904" s="47">
        <f t="shared" si="1088"/>
        <v>0</v>
      </c>
    </row>
    <row r="905" spans="4:17" s="16" customFormat="1" ht="13.2" x14ac:dyDescent="0.25">
      <c r="D905" s="235">
        <v>1</v>
      </c>
      <c r="E905" s="237">
        <v>35</v>
      </c>
      <c r="F905" s="238">
        <v>5</v>
      </c>
      <c r="G905" s="239">
        <v>0.97</v>
      </c>
      <c r="H905" s="239">
        <f t="shared" ref="H905:H913" si="1089">E905*G905</f>
        <v>33.949999999999996</v>
      </c>
      <c r="I905" s="131">
        <f t="shared" ref="I905:I913" si="1090">IF($F905=4.2,H905*$B$23,0)</f>
        <v>0</v>
      </c>
      <c r="J905" s="31">
        <f t="shared" ref="J905:J913" si="1091">IF($F905=5,$H905*$B$24,0)</f>
        <v>5.2282999999999991</v>
      </c>
      <c r="K905" s="31">
        <f t="shared" ref="K905:K913" si="1092">IF($F905=6.3,$H905*$B$25,0)</f>
        <v>0</v>
      </c>
      <c r="L905" s="31">
        <f t="shared" ref="L905:L913" si="1093">IF($F905=8,$H905*$B$26,0)</f>
        <v>0</v>
      </c>
      <c r="M905" s="31">
        <f t="shared" ref="M905:M913" si="1094">IF($F905=10,$H905*$B$27,0)</f>
        <v>0</v>
      </c>
      <c r="N905" s="31">
        <f t="shared" ref="N905:N913" si="1095">IF($F905=12.5,$H905*$B$28,0)</f>
        <v>0</v>
      </c>
      <c r="O905" s="31">
        <f t="shared" ref="O905:O913" si="1096">IF($F905=16,$H905*$B$29,0)</f>
        <v>0</v>
      </c>
      <c r="P905" s="31">
        <f t="shared" ref="P905:P913" si="1097">IF($F905=20,$H905*$B$30,0)</f>
        <v>0</v>
      </c>
      <c r="Q905" s="49">
        <f t="shared" ref="Q905:Q913" si="1098">IF($F905=25,$H905*$B$31,0)</f>
        <v>0</v>
      </c>
    </row>
    <row r="906" spans="4:17" s="16" customFormat="1" ht="13.2" x14ac:dyDescent="0.25">
      <c r="D906" s="235">
        <v>6</v>
      </c>
      <c r="E906" s="240">
        <v>1</v>
      </c>
      <c r="F906" s="241">
        <v>8</v>
      </c>
      <c r="G906" s="242">
        <v>2.3199999999999998</v>
      </c>
      <c r="H906" s="239">
        <f t="shared" si="1089"/>
        <v>2.3199999999999998</v>
      </c>
      <c r="I906" s="131">
        <f t="shared" si="1090"/>
        <v>0</v>
      </c>
      <c r="J906" s="31">
        <f t="shared" si="1091"/>
        <v>0</v>
      </c>
      <c r="K906" s="31">
        <f t="shared" si="1092"/>
        <v>0</v>
      </c>
      <c r="L906" s="31">
        <f t="shared" si="1093"/>
        <v>0.91639999999999999</v>
      </c>
      <c r="M906" s="31">
        <f t="shared" si="1094"/>
        <v>0</v>
      </c>
      <c r="N906" s="31">
        <f t="shared" si="1095"/>
        <v>0</v>
      </c>
      <c r="O906" s="31">
        <f t="shared" si="1096"/>
        <v>0</v>
      </c>
      <c r="P906" s="31">
        <f t="shared" si="1097"/>
        <v>0</v>
      </c>
      <c r="Q906" s="49">
        <f t="shared" si="1098"/>
        <v>0</v>
      </c>
    </row>
    <row r="907" spans="4:17" s="16" customFormat="1" ht="13.2" x14ac:dyDescent="0.25">
      <c r="D907" s="235">
        <v>7</v>
      </c>
      <c r="E907" s="240">
        <v>1</v>
      </c>
      <c r="F907" s="241">
        <v>8</v>
      </c>
      <c r="G907" s="242">
        <v>1.22</v>
      </c>
      <c r="H907" s="239">
        <f t="shared" si="1089"/>
        <v>1.22</v>
      </c>
      <c r="I907" s="131">
        <f t="shared" si="1090"/>
        <v>0</v>
      </c>
      <c r="J907" s="31">
        <f t="shared" si="1091"/>
        <v>0</v>
      </c>
      <c r="K907" s="31">
        <f t="shared" si="1092"/>
        <v>0</v>
      </c>
      <c r="L907" s="31">
        <f t="shared" si="1093"/>
        <v>0.4819</v>
      </c>
      <c r="M907" s="31">
        <f t="shared" si="1094"/>
        <v>0</v>
      </c>
      <c r="N907" s="31">
        <f t="shared" si="1095"/>
        <v>0</v>
      </c>
      <c r="O907" s="31">
        <f t="shared" si="1096"/>
        <v>0</v>
      </c>
      <c r="P907" s="31">
        <f t="shared" si="1097"/>
        <v>0</v>
      </c>
      <c r="Q907" s="49">
        <f t="shared" si="1098"/>
        <v>0</v>
      </c>
    </row>
    <row r="908" spans="4:17" s="16" customFormat="1" ht="13.2" x14ac:dyDescent="0.25">
      <c r="D908" s="235">
        <v>8</v>
      </c>
      <c r="E908" s="240">
        <v>1</v>
      </c>
      <c r="F908" s="241">
        <v>8</v>
      </c>
      <c r="G908" s="242">
        <v>5.03</v>
      </c>
      <c r="H908" s="239">
        <f t="shared" si="1089"/>
        <v>5.03</v>
      </c>
      <c r="I908" s="131">
        <f t="shared" si="1090"/>
        <v>0</v>
      </c>
      <c r="J908" s="31">
        <f t="shared" si="1091"/>
        <v>0</v>
      </c>
      <c r="K908" s="31">
        <f t="shared" si="1092"/>
        <v>0</v>
      </c>
      <c r="L908" s="31">
        <f t="shared" si="1093"/>
        <v>1.9868500000000002</v>
      </c>
      <c r="M908" s="31">
        <f t="shared" si="1094"/>
        <v>0</v>
      </c>
      <c r="N908" s="31">
        <f t="shared" si="1095"/>
        <v>0</v>
      </c>
      <c r="O908" s="31">
        <f t="shared" si="1096"/>
        <v>0</v>
      </c>
      <c r="P908" s="31">
        <f t="shared" si="1097"/>
        <v>0</v>
      </c>
      <c r="Q908" s="49">
        <f t="shared" si="1098"/>
        <v>0</v>
      </c>
    </row>
    <row r="909" spans="4:17" s="16" customFormat="1" ht="13.2" x14ac:dyDescent="0.25">
      <c r="D909" s="235">
        <v>9</v>
      </c>
      <c r="E909" s="240">
        <v>3</v>
      </c>
      <c r="F909" s="241">
        <v>8</v>
      </c>
      <c r="G909" s="242">
        <v>8.4499999999999993</v>
      </c>
      <c r="H909" s="239">
        <f t="shared" si="1089"/>
        <v>25.349999999999998</v>
      </c>
      <c r="I909" s="131">
        <f t="shared" si="1090"/>
        <v>0</v>
      </c>
      <c r="J909" s="31">
        <f t="shared" si="1091"/>
        <v>0</v>
      </c>
      <c r="K909" s="31">
        <f t="shared" si="1092"/>
        <v>0</v>
      </c>
      <c r="L909" s="31">
        <f t="shared" si="1093"/>
        <v>10.013249999999999</v>
      </c>
      <c r="M909" s="31">
        <f t="shared" si="1094"/>
        <v>0</v>
      </c>
      <c r="N909" s="31">
        <f t="shared" si="1095"/>
        <v>0</v>
      </c>
      <c r="O909" s="31">
        <f t="shared" si="1096"/>
        <v>0</v>
      </c>
      <c r="P909" s="31">
        <f t="shared" si="1097"/>
        <v>0</v>
      </c>
      <c r="Q909" s="49">
        <f t="shared" si="1098"/>
        <v>0</v>
      </c>
    </row>
    <row r="910" spans="4:17" s="16" customFormat="1" ht="13.2" x14ac:dyDescent="0.25">
      <c r="D910" s="235">
        <v>27</v>
      </c>
      <c r="E910" s="240">
        <v>1</v>
      </c>
      <c r="F910" s="241">
        <v>10</v>
      </c>
      <c r="G910" s="242">
        <v>4.3499999999999996</v>
      </c>
      <c r="H910" s="239">
        <f t="shared" si="1089"/>
        <v>4.3499999999999996</v>
      </c>
      <c r="I910" s="131">
        <f t="shared" si="1090"/>
        <v>0</v>
      </c>
      <c r="J910" s="31">
        <f t="shared" si="1091"/>
        <v>0</v>
      </c>
      <c r="K910" s="31">
        <f t="shared" si="1092"/>
        <v>0</v>
      </c>
      <c r="L910" s="31">
        <f t="shared" si="1093"/>
        <v>0</v>
      </c>
      <c r="M910" s="31">
        <f t="shared" si="1094"/>
        <v>2.6839499999999998</v>
      </c>
      <c r="N910" s="31">
        <f t="shared" si="1095"/>
        <v>0</v>
      </c>
      <c r="O910" s="31">
        <f t="shared" si="1096"/>
        <v>0</v>
      </c>
      <c r="P910" s="31">
        <f t="shared" si="1097"/>
        <v>0</v>
      </c>
      <c r="Q910" s="49">
        <f t="shared" si="1098"/>
        <v>0</v>
      </c>
    </row>
    <row r="911" spans="4:17" s="16" customFormat="1" ht="13.2" x14ac:dyDescent="0.25">
      <c r="D911" s="235">
        <v>28</v>
      </c>
      <c r="E911" s="240">
        <v>1</v>
      </c>
      <c r="F911" s="241">
        <v>10</v>
      </c>
      <c r="G911" s="242">
        <v>2.0499999999999998</v>
      </c>
      <c r="H911" s="239">
        <f t="shared" si="1089"/>
        <v>2.0499999999999998</v>
      </c>
      <c r="I911" s="131">
        <f t="shared" si="1090"/>
        <v>0</v>
      </c>
      <c r="J911" s="31">
        <f t="shared" si="1091"/>
        <v>0</v>
      </c>
      <c r="K911" s="31">
        <f t="shared" si="1092"/>
        <v>0</v>
      </c>
      <c r="L911" s="31">
        <f t="shared" si="1093"/>
        <v>0</v>
      </c>
      <c r="M911" s="31">
        <f t="shared" si="1094"/>
        <v>1.2648499999999998</v>
      </c>
      <c r="N911" s="31">
        <f t="shared" si="1095"/>
        <v>0</v>
      </c>
      <c r="O911" s="31">
        <f t="shared" si="1096"/>
        <v>0</v>
      </c>
      <c r="P911" s="31">
        <f t="shared" si="1097"/>
        <v>0</v>
      </c>
      <c r="Q911" s="49">
        <f t="shared" si="1098"/>
        <v>0</v>
      </c>
    </row>
    <row r="912" spans="4:17" s="16" customFormat="1" ht="13.2" x14ac:dyDescent="0.25">
      <c r="D912" s="235">
        <v>29</v>
      </c>
      <c r="E912" s="240">
        <v>2</v>
      </c>
      <c r="F912" s="241">
        <v>10</v>
      </c>
      <c r="G912" s="242">
        <v>8.4700000000000006</v>
      </c>
      <c r="H912" s="239">
        <f t="shared" si="1089"/>
        <v>16.940000000000001</v>
      </c>
      <c r="I912" s="131">
        <f t="shared" si="1090"/>
        <v>0</v>
      </c>
      <c r="J912" s="31">
        <f t="shared" si="1091"/>
        <v>0</v>
      </c>
      <c r="K912" s="31">
        <f t="shared" si="1092"/>
        <v>0</v>
      </c>
      <c r="L912" s="31">
        <f t="shared" si="1093"/>
        <v>0</v>
      </c>
      <c r="M912" s="31">
        <f t="shared" si="1094"/>
        <v>10.451980000000001</v>
      </c>
      <c r="N912" s="31">
        <f t="shared" si="1095"/>
        <v>0</v>
      </c>
      <c r="O912" s="31">
        <f t="shared" si="1096"/>
        <v>0</v>
      </c>
      <c r="P912" s="31">
        <f t="shared" si="1097"/>
        <v>0</v>
      </c>
      <c r="Q912" s="49">
        <f t="shared" si="1098"/>
        <v>0</v>
      </c>
    </row>
    <row r="913" spans="4:17" s="16" customFormat="1" ht="13.2" x14ac:dyDescent="0.25">
      <c r="D913" s="235"/>
      <c r="E913" s="240"/>
      <c r="F913" s="241"/>
      <c r="G913" s="242"/>
      <c r="H913" s="239">
        <f t="shared" si="1089"/>
        <v>0</v>
      </c>
      <c r="I913" s="131">
        <f t="shared" si="1090"/>
        <v>0</v>
      </c>
      <c r="J913" s="31">
        <f t="shared" si="1091"/>
        <v>0</v>
      </c>
      <c r="K913" s="31">
        <f t="shared" si="1092"/>
        <v>0</v>
      </c>
      <c r="L913" s="31">
        <f t="shared" si="1093"/>
        <v>0</v>
      </c>
      <c r="M913" s="31">
        <f t="shared" si="1094"/>
        <v>0</v>
      </c>
      <c r="N913" s="31">
        <f t="shared" si="1095"/>
        <v>0</v>
      </c>
      <c r="O913" s="31">
        <f t="shared" si="1096"/>
        <v>0</v>
      </c>
      <c r="P913" s="31">
        <f t="shared" si="1097"/>
        <v>0</v>
      </c>
      <c r="Q913" s="49">
        <f t="shared" si="1098"/>
        <v>0</v>
      </c>
    </row>
    <row r="914" spans="4:17" s="16" customFormat="1" ht="13.8" thickBot="1" x14ac:dyDescent="0.3">
      <c r="D914" s="307"/>
      <c r="E914" s="26"/>
      <c r="F914" s="206"/>
      <c r="G914" s="207"/>
      <c r="H914" s="207"/>
      <c r="I914" s="51"/>
      <c r="J914" s="308"/>
      <c r="K914" s="308"/>
      <c r="L914" s="308"/>
      <c r="M914" s="308"/>
      <c r="N914" s="308"/>
      <c r="O914" s="308"/>
      <c r="P914" s="308"/>
      <c r="Q914" s="309"/>
    </row>
    <row r="915" spans="4:17" s="16" customFormat="1" ht="13.2" x14ac:dyDescent="0.25">
      <c r="D915" s="796" t="s">
        <v>1670</v>
      </c>
      <c r="E915" s="797"/>
      <c r="F915" s="797"/>
      <c r="G915" s="797"/>
      <c r="H915" s="797"/>
      <c r="I915" s="47">
        <f>SUM(I916:I923)</f>
        <v>0</v>
      </c>
      <c r="J915" s="47">
        <f t="shared" ref="J915:Q915" si="1099">SUM(J916:J923)</f>
        <v>5.3776799999999998</v>
      </c>
      <c r="K915" s="47">
        <f t="shared" si="1099"/>
        <v>0</v>
      </c>
      <c r="L915" s="47">
        <f t="shared" si="1099"/>
        <v>11.4313</v>
      </c>
      <c r="M915" s="47">
        <f t="shared" si="1099"/>
        <v>13.105080000000001</v>
      </c>
      <c r="N915" s="47">
        <f t="shared" si="1099"/>
        <v>0</v>
      </c>
      <c r="O915" s="47">
        <f t="shared" si="1099"/>
        <v>0</v>
      </c>
      <c r="P915" s="47">
        <f t="shared" si="1099"/>
        <v>0</v>
      </c>
      <c r="Q915" s="47">
        <f t="shared" si="1099"/>
        <v>0</v>
      </c>
    </row>
    <row r="916" spans="4:17" s="16" customFormat="1" ht="13.2" x14ac:dyDescent="0.25">
      <c r="D916" s="235">
        <v>1</v>
      </c>
      <c r="E916" s="237">
        <v>36</v>
      </c>
      <c r="F916" s="238">
        <v>5</v>
      </c>
      <c r="G916" s="239">
        <v>0.97</v>
      </c>
      <c r="H916" s="239">
        <f t="shared" ref="H916:H923" si="1100">E916*G916</f>
        <v>34.92</v>
      </c>
      <c r="I916" s="131">
        <f t="shared" ref="I916:I923" si="1101">IF($F916=4.2,H916*$B$23,0)</f>
        <v>0</v>
      </c>
      <c r="J916" s="31">
        <f t="shared" ref="J916:J923" si="1102">IF($F916=5,$H916*$B$24,0)</f>
        <v>5.3776799999999998</v>
      </c>
      <c r="K916" s="31">
        <f t="shared" ref="K916:K923" si="1103">IF($F916=6.3,$H916*$B$25,0)</f>
        <v>0</v>
      </c>
      <c r="L916" s="31">
        <f t="shared" ref="L916:L923" si="1104">IF($F916=8,$H916*$B$26,0)</f>
        <v>0</v>
      </c>
      <c r="M916" s="31">
        <f t="shared" ref="M916:M923" si="1105">IF($F916=10,$H916*$B$27,0)</f>
        <v>0</v>
      </c>
      <c r="N916" s="31">
        <f t="shared" ref="N916:N923" si="1106">IF($F916=12.5,$H916*$B$28,0)</f>
        <v>0</v>
      </c>
      <c r="O916" s="31">
        <f t="shared" ref="O916:O923" si="1107">IF($F916=16,$H916*$B$29,0)</f>
        <v>0</v>
      </c>
      <c r="P916" s="31">
        <f t="shared" ref="P916:P923" si="1108">IF($F916=20,$H916*$B$30,0)</f>
        <v>0</v>
      </c>
      <c r="Q916" s="49">
        <f t="shared" ref="Q916:Q923" si="1109">IF($F916=25,$H916*$B$31,0)</f>
        <v>0</v>
      </c>
    </row>
    <row r="917" spans="4:17" s="16" customFormat="1" ht="13.2" x14ac:dyDescent="0.25">
      <c r="D917" s="235">
        <v>10</v>
      </c>
      <c r="E917" s="240">
        <v>2</v>
      </c>
      <c r="F917" s="241">
        <v>8</v>
      </c>
      <c r="G917" s="242">
        <v>2.9</v>
      </c>
      <c r="H917" s="239">
        <f t="shared" si="1100"/>
        <v>5.8</v>
      </c>
      <c r="I917" s="131">
        <f t="shared" si="1101"/>
        <v>0</v>
      </c>
      <c r="J917" s="31">
        <f t="shared" si="1102"/>
        <v>0</v>
      </c>
      <c r="K917" s="31">
        <f t="shared" si="1103"/>
        <v>0</v>
      </c>
      <c r="L917" s="31">
        <f t="shared" si="1104"/>
        <v>2.2909999999999999</v>
      </c>
      <c r="M917" s="31">
        <f t="shared" si="1105"/>
        <v>0</v>
      </c>
      <c r="N917" s="31">
        <f t="shared" si="1106"/>
        <v>0</v>
      </c>
      <c r="O917" s="31">
        <f t="shared" si="1107"/>
        <v>0</v>
      </c>
      <c r="P917" s="31">
        <f t="shared" si="1108"/>
        <v>0</v>
      </c>
      <c r="Q917" s="49">
        <f t="shared" si="1109"/>
        <v>0</v>
      </c>
    </row>
    <row r="918" spans="4:17" s="16" customFormat="1" ht="13.2" x14ac:dyDescent="0.25">
      <c r="D918" s="235">
        <v>11</v>
      </c>
      <c r="E918" s="240">
        <v>2</v>
      </c>
      <c r="F918" s="241">
        <v>8</v>
      </c>
      <c r="G918" s="242">
        <v>3.02</v>
      </c>
      <c r="H918" s="239">
        <f t="shared" si="1100"/>
        <v>6.04</v>
      </c>
      <c r="I918" s="131">
        <f t="shared" si="1101"/>
        <v>0</v>
      </c>
      <c r="J918" s="31">
        <f t="shared" si="1102"/>
        <v>0</v>
      </c>
      <c r="K918" s="31">
        <f t="shared" si="1103"/>
        <v>0</v>
      </c>
      <c r="L918" s="31">
        <f t="shared" si="1104"/>
        <v>2.3858000000000001</v>
      </c>
      <c r="M918" s="31">
        <f t="shared" si="1105"/>
        <v>0</v>
      </c>
      <c r="N918" s="31">
        <f t="shared" si="1106"/>
        <v>0</v>
      </c>
      <c r="O918" s="31">
        <f t="shared" si="1107"/>
        <v>0</v>
      </c>
      <c r="P918" s="31">
        <f t="shared" si="1108"/>
        <v>0</v>
      </c>
      <c r="Q918" s="49">
        <f t="shared" si="1109"/>
        <v>0</v>
      </c>
    </row>
    <row r="919" spans="4:17" s="16" customFormat="1" ht="13.2" x14ac:dyDescent="0.25">
      <c r="D919" s="235">
        <v>12</v>
      </c>
      <c r="E919" s="240">
        <v>2</v>
      </c>
      <c r="F919" s="241">
        <v>8</v>
      </c>
      <c r="G919" s="242">
        <v>8.5500000000000007</v>
      </c>
      <c r="H919" s="239">
        <f t="shared" si="1100"/>
        <v>17.100000000000001</v>
      </c>
      <c r="I919" s="131">
        <f t="shared" si="1101"/>
        <v>0</v>
      </c>
      <c r="J919" s="31">
        <f t="shared" si="1102"/>
        <v>0</v>
      </c>
      <c r="K919" s="31">
        <f t="shared" si="1103"/>
        <v>0</v>
      </c>
      <c r="L919" s="31">
        <f t="shared" si="1104"/>
        <v>6.7545000000000011</v>
      </c>
      <c r="M919" s="31">
        <f t="shared" si="1105"/>
        <v>0</v>
      </c>
      <c r="N919" s="31">
        <f t="shared" si="1106"/>
        <v>0</v>
      </c>
      <c r="O919" s="31">
        <f t="shared" si="1107"/>
        <v>0</v>
      </c>
      <c r="P919" s="31">
        <f t="shared" si="1108"/>
        <v>0</v>
      </c>
      <c r="Q919" s="49">
        <f t="shared" si="1109"/>
        <v>0</v>
      </c>
    </row>
    <row r="920" spans="4:17" s="16" customFormat="1" ht="13.2" x14ac:dyDescent="0.25">
      <c r="D920" s="235">
        <v>30</v>
      </c>
      <c r="E920" s="240">
        <v>1</v>
      </c>
      <c r="F920" s="241">
        <v>10</v>
      </c>
      <c r="G920" s="242">
        <v>2.2000000000000002</v>
      </c>
      <c r="H920" s="239">
        <f t="shared" si="1100"/>
        <v>2.2000000000000002</v>
      </c>
      <c r="I920" s="131">
        <f t="shared" si="1101"/>
        <v>0</v>
      </c>
      <c r="J920" s="31">
        <f t="shared" si="1102"/>
        <v>0</v>
      </c>
      <c r="K920" s="31">
        <f t="shared" si="1103"/>
        <v>0</v>
      </c>
      <c r="L920" s="31">
        <f t="shared" si="1104"/>
        <v>0</v>
      </c>
      <c r="M920" s="31">
        <f t="shared" si="1105"/>
        <v>1.3574000000000002</v>
      </c>
      <c r="N920" s="31">
        <f t="shared" si="1106"/>
        <v>0</v>
      </c>
      <c r="O920" s="31">
        <f t="shared" si="1107"/>
        <v>0</v>
      </c>
      <c r="P920" s="31">
        <f t="shared" si="1108"/>
        <v>0</v>
      </c>
      <c r="Q920" s="49">
        <f t="shared" si="1109"/>
        <v>0</v>
      </c>
    </row>
    <row r="921" spans="4:17" s="16" customFormat="1" ht="13.2" x14ac:dyDescent="0.25">
      <c r="D921" s="235">
        <v>31</v>
      </c>
      <c r="E921" s="240">
        <v>1</v>
      </c>
      <c r="F921" s="241">
        <v>10</v>
      </c>
      <c r="G921" s="242">
        <v>2.1</v>
      </c>
      <c r="H921" s="239">
        <f t="shared" si="1100"/>
        <v>2.1</v>
      </c>
      <c r="I921" s="131">
        <f t="shared" si="1101"/>
        <v>0</v>
      </c>
      <c r="J921" s="31">
        <f t="shared" si="1102"/>
        <v>0</v>
      </c>
      <c r="K921" s="31">
        <f t="shared" si="1103"/>
        <v>0</v>
      </c>
      <c r="L921" s="31">
        <f t="shared" si="1104"/>
        <v>0</v>
      </c>
      <c r="M921" s="31">
        <f t="shared" si="1105"/>
        <v>1.2957000000000001</v>
      </c>
      <c r="N921" s="31">
        <f t="shared" si="1106"/>
        <v>0</v>
      </c>
      <c r="O921" s="31">
        <f t="shared" si="1107"/>
        <v>0</v>
      </c>
      <c r="P921" s="31">
        <f t="shared" si="1108"/>
        <v>0</v>
      </c>
      <c r="Q921" s="49">
        <f t="shared" si="1109"/>
        <v>0</v>
      </c>
    </row>
    <row r="922" spans="4:17" s="16" customFormat="1" ht="13.2" x14ac:dyDescent="0.25">
      <c r="D922" s="235">
        <v>32</v>
      </c>
      <c r="E922" s="240">
        <v>2</v>
      </c>
      <c r="F922" s="241">
        <v>10</v>
      </c>
      <c r="G922" s="242">
        <v>8.4700000000000006</v>
      </c>
      <c r="H922" s="239">
        <f t="shared" si="1100"/>
        <v>16.940000000000001</v>
      </c>
      <c r="I922" s="131">
        <f t="shared" si="1101"/>
        <v>0</v>
      </c>
      <c r="J922" s="31">
        <f t="shared" si="1102"/>
        <v>0</v>
      </c>
      <c r="K922" s="31">
        <f t="shared" si="1103"/>
        <v>0</v>
      </c>
      <c r="L922" s="31">
        <f t="shared" si="1104"/>
        <v>0</v>
      </c>
      <c r="M922" s="31">
        <f t="shared" si="1105"/>
        <v>10.451980000000001</v>
      </c>
      <c r="N922" s="31">
        <f t="shared" si="1106"/>
        <v>0</v>
      </c>
      <c r="O922" s="31">
        <f t="shared" si="1107"/>
        <v>0</v>
      </c>
      <c r="P922" s="31">
        <f t="shared" si="1108"/>
        <v>0</v>
      </c>
      <c r="Q922" s="49">
        <f t="shared" si="1109"/>
        <v>0</v>
      </c>
    </row>
    <row r="923" spans="4:17" s="16" customFormat="1" ht="13.2" x14ac:dyDescent="0.25">
      <c r="D923" s="235"/>
      <c r="E923" s="240"/>
      <c r="F923" s="241"/>
      <c r="G923" s="242"/>
      <c r="H923" s="239">
        <f t="shared" si="1100"/>
        <v>0</v>
      </c>
      <c r="I923" s="131">
        <f t="shared" si="1101"/>
        <v>0</v>
      </c>
      <c r="J923" s="31">
        <f t="shared" si="1102"/>
        <v>0</v>
      </c>
      <c r="K923" s="31">
        <f t="shared" si="1103"/>
        <v>0</v>
      </c>
      <c r="L923" s="31">
        <f t="shared" si="1104"/>
        <v>0</v>
      </c>
      <c r="M923" s="31">
        <f t="shared" si="1105"/>
        <v>0</v>
      </c>
      <c r="N923" s="31">
        <f t="shared" si="1106"/>
        <v>0</v>
      </c>
      <c r="O923" s="31">
        <f t="shared" si="1107"/>
        <v>0</v>
      </c>
      <c r="P923" s="31">
        <f t="shared" si="1108"/>
        <v>0</v>
      </c>
      <c r="Q923" s="49">
        <f t="shared" si="1109"/>
        <v>0</v>
      </c>
    </row>
    <row r="924" spans="4:17" s="16" customFormat="1" ht="13.8" thickBot="1" x14ac:dyDescent="0.3">
      <c r="D924" s="307"/>
      <c r="E924" s="26"/>
      <c r="F924" s="206"/>
      <c r="G924" s="207"/>
      <c r="H924" s="207"/>
      <c r="I924" s="51"/>
      <c r="J924" s="308"/>
      <c r="K924" s="308"/>
      <c r="L924" s="308"/>
      <c r="M924" s="308"/>
      <c r="N924" s="308"/>
      <c r="O924" s="308"/>
      <c r="P924" s="308"/>
      <c r="Q924" s="309"/>
    </row>
    <row r="925" spans="4:17" s="16" customFormat="1" ht="13.2" x14ac:dyDescent="0.25">
      <c r="D925" s="796" t="s">
        <v>1671</v>
      </c>
      <c r="E925" s="797"/>
      <c r="F925" s="797"/>
      <c r="G925" s="797"/>
      <c r="H925" s="797"/>
      <c r="I925" s="47">
        <f>SUM(I926:I932)</f>
        <v>0</v>
      </c>
      <c r="J925" s="47">
        <f t="shared" ref="J925:Q925" si="1110">SUM(J926:J932)</f>
        <v>5.2282999999999991</v>
      </c>
      <c r="K925" s="47">
        <f t="shared" si="1110"/>
        <v>0</v>
      </c>
      <c r="L925" s="47">
        <f t="shared" si="1110"/>
        <v>11.3286</v>
      </c>
      <c r="M925" s="47">
        <f t="shared" si="1110"/>
        <v>12.981679999999999</v>
      </c>
      <c r="N925" s="47">
        <f t="shared" si="1110"/>
        <v>0</v>
      </c>
      <c r="O925" s="47">
        <f t="shared" si="1110"/>
        <v>0</v>
      </c>
      <c r="P925" s="47">
        <f t="shared" si="1110"/>
        <v>0</v>
      </c>
      <c r="Q925" s="47">
        <f t="shared" si="1110"/>
        <v>0</v>
      </c>
    </row>
    <row r="926" spans="4:17" s="16" customFormat="1" ht="13.2" x14ac:dyDescent="0.25">
      <c r="D926" s="235">
        <v>1</v>
      </c>
      <c r="E926" s="237">
        <v>35</v>
      </c>
      <c r="F926" s="238">
        <v>5</v>
      </c>
      <c r="G926" s="239">
        <v>0.97</v>
      </c>
      <c r="H926" s="239">
        <f t="shared" ref="H926:H932" si="1111">E926*G926</f>
        <v>33.949999999999996</v>
      </c>
      <c r="I926" s="131">
        <f t="shared" ref="I926:I932" si="1112">IF($F926=4.2,H926*$B$23,0)</f>
        <v>0</v>
      </c>
      <c r="J926" s="31">
        <f t="shared" ref="J926:J932" si="1113">IF($F926=5,$H926*$B$24,0)</f>
        <v>5.2282999999999991</v>
      </c>
      <c r="K926" s="31">
        <f t="shared" ref="K926:K932" si="1114">IF($F926=6.3,$H926*$B$25,0)</f>
        <v>0</v>
      </c>
      <c r="L926" s="31">
        <f t="shared" ref="L926:L932" si="1115">IF($F926=8,$H926*$B$26,0)</f>
        <v>0</v>
      </c>
      <c r="M926" s="31">
        <f t="shared" ref="M926:M932" si="1116">IF($F926=10,$H926*$B$27,0)</f>
        <v>0</v>
      </c>
      <c r="N926" s="31">
        <f t="shared" ref="N926:N932" si="1117">IF($F926=12.5,$H926*$B$28,0)</f>
        <v>0</v>
      </c>
      <c r="O926" s="31">
        <f t="shared" ref="O926:O932" si="1118">IF($F926=16,$H926*$B$29,0)</f>
        <v>0</v>
      </c>
      <c r="P926" s="31">
        <f t="shared" ref="P926:P932" si="1119">IF($F926=20,$H926*$B$30,0)</f>
        <v>0</v>
      </c>
      <c r="Q926" s="49">
        <f t="shared" ref="Q926:Q932" si="1120">IF($F926=25,$H926*$B$31,0)</f>
        <v>0</v>
      </c>
    </row>
    <row r="927" spans="4:17" s="16" customFormat="1" ht="13.2" x14ac:dyDescent="0.25">
      <c r="D927" s="235">
        <v>9</v>
      </c>
      <c r="E927" s="240">
        <v>2</v>
      </c>
      <c r="F927" s="241">
        <v>8</v>
      </c>
      <c r="G927" s="242">
        <v>8.4499999999999993</v>
      </c>
      <c r="H927" s="239">
        <f t="shared" si="1111"/>
        <v>16.899999999999999</v>
      </c>
      <c r="I927" s="131">
        <f t="shared" si="1112"/>
        <v>0</v>
      </c>
      <c r="J927" s="31">
        <f t="shared" si="1113"/>
        <v>0</v>
      </c>
      <c r="K927" s="31">
        <f t="shared" si="1114"/>
        <v>0</v>
      </c>
      <c r="L927" s="31">
        <f t="shared" si="1115"/>
        <v>6.6754999999999995</v>
      </c>
      <c r="M927" s="31">
        <f t="shared" si="1116"/>
        <v>0</v>
      </c>
      <c r="N927" s="31">
        <f t="shared" si="1117"/>
        <v>0</v>
      </c>
      <c r="O927" s="31">
        <f t="shared" si="1118"/>
        <v>0</v>
      </c>
      <c r="P927" s="31">
        <f t="shared" si="1119"/>
        <v>0</v>
      </c>
      <c r="Q927" s="49">
        <f t="shared" si="1120"/>
        <v>0</v>
      </c>
    </row>
    <row r="928" spans="4:17" s="16" customFormat="1" ht="13.2" x14ac:dyDescent="0.25">
      <c r="D928" s="235">
        <v>13</v>
      </c>
      <c r="E928" s="240">
        <v>2</v>
      </c>
      <c r="F928" s="241">
        <v>8</v>
      </c>
      <c r="G928" s="242">
        <v>2.9</v>
      </c>
      <c r="H928" s="239">
        <f t="shared" si="1111"/>
        <v>5.8</v>
      </c>
      <c r="I928" s="131">
        <f t="shared" si="1112"/>
        <v>0</v>
      </c>
      <c r="J928" s="31">
        <f t="shared" si="1113"/>
        <v>0</v>
      </c>
      <c r="K928" s="31">
        <f t="shared" si="1114"/>
        <v>0</v>
      </c>
      <c r="L928" s="31">
        <f t="shared" si="1115"/>
        <v>2.2909999999999999</v>
      </c>
      <c r="M928" s="31">
        <f t="shared" si="1116"/>
        <v>0</v>
      </c>
      <c r="N928" s="31">
        <f t="shared" si="1117"/>
        <v>0</v>
      </c>
      <c r="O928" s="31">
        <f t="shared" si="1118"/>
        <v>0</v>
      </c>
      <c r="P928" s="31">
        <f t="shared" si="1119"/>
        <v>0</v>
      </c>
      <c r="Q928" s="49">
        <f t="shared" si="1120"/>
        <v>0</v>
      </c>
    </row>
    <row r="929" spans="4:17" s="16" customFormat="1" ht="13.2" x14ac:dyDescent="0.25">
      <c r="D929" s="235">
        <v>14</v>
      </c>
      <c r="E929" s="240">
        <v>2</v>
      </c>
      <c r="F929" s="241">
        <v>8</v>
      </c>
      <c r="G929" s="242">
        <v>2.99</v>
      </c>
      <c r="H929" s="239">
        <f t="shared" si="1111"/>
        <v>5.98</v>
      </c>
      <c r="I929" s="131">
        <f t="shared" si="1112"/>
        <v>0</v>
      </c>
      <c r="J929" s="31">
        <f t="shared" si="1113"/>
        <v>0</v>
      </c>
      <c r="K929" s="31">
        <f t="shared" si="1114"/>
        <v>0</v>
      </c>
      <c r="L929" s="31">
        <f t="shared" si="1115"/>
        <v>2.3621000000000003</v>
      </c>
      <c r="M929" s="31">
        <f t="shared" si="1116"/>
        <v>0</v>
      </c>
      <c r="N929" s="31">
        <f t="shared" si="1117"/>
        <v>0</v>
      </c>
      <c r="O929" s="31">
        <f t="shared" si="1118"/>
        <v>0</v>
      </c>
      <c r="P929" s="31">
        <f t="shared" si="1119"/>
        <v>0</v>
      </c>
      <c r="Q929" s="49">
        <f t="shared" si="1120"/>
        <v>0</v>
      </c>
    </row>
    <row r="930" spans="4:17" s="16" customFormat="1" ht="13.2" x14ac:dyDescent="0.25">
      <c r="D930" s="235">
        <v>30</v>
      </c>
      <c r="E930" s="240">
        <v>1</v>
      </c>
      <c r="F930" s="241">
        <v>10</v>
      </c>
      <c r="G930" s="242">
        <v>2.2000000000000002</v>
      </c>
      <c r="H930" s="239">
        <f t="shared" si="1111"/>
        <v>2.2000000000000002</v>
      </c>
      <c r="I930" s="131">
        <f t="shared" si="1112"/>
        <v>0</v>
      </c>
      <c r="J930" s="31">
        <f t="shared" si="1113"/>
        <v>0</v>
      </c>
      <c r="K930" s="31">
        <f t="shared" si="1114"/>
        <v>0</v>
      </c>
      <c r="L930" s="31">
        <f t="shared" si="1115"/>
        <v>0</v>
      </c>
      <c r="M930" s="31">
        <f t="shared" si="1116"/>
        <v>1.3574000000000002</v>
      </c>
      <c r="N930" s="31">
        <f t="shared" si="1117"/>
        <v>0</v>
      </c>
      <c r="O930" s="31">
        <f t="shared" si="1118"/>
        <v>0</v>
      </c>
      <c r="P930" s="31">
        <f t="shared" si="1119"/>
        <v>0</v>
      </c>
      <c r="Q930" s="49">
        <f t="shared" si="1120"/>
        <v>0</v>
      </c>
    </row>
    <row r="931" spans="4:17" s="16" customFormat="1" ht="13.2" x14ac:dyDescent="0.25">
      <c r="D931" s="235">
        <v>31</v>
      </c>
      <c r="E931" s="240">
        <v>1</v>
      </c>
      <c r="F931" s="241">
        <v>10</v>
      </c>
      <c r="G931" s="242">
        <v>2.1</v>
      </c>
      <c r="H931" s="239">
        <f t="shared" si="1111"/>
        <v>2.1</v>
      </c>
      <c r="I931" s="131">
        <f t="shared" si="1112"/>
        <v>0</v>
      </c>
      <c r="J931" s="31">
        <f t="shared" si="1113"/>
        <v>0</v>
      </c>
      <c r="K931" s="31">
        <f t="shared" si="1114"/>
        <v>0</v>
      </c>
      <c r="L931" s="31">
        <f t="shared" si="1115"/>
        <v>0</v>
      </c>
      <c r="M931" s="31">
        <f t="shared" si="1116"/>
        <v>1.2957000000000001</v>
      </c>
      <c r="N931" s="31">
        <f t="shared" si="1117"/>
        <v>0</v>
      </c>
      <c r="O931" s="31">
        <f t="shared" si="1118"/>
        <v>0</v>
      </c>
      <c r="P931" s="31">
        <f t="shared" si="1119"/>
        <v>0</v>
      </c>
      <c r="Q931" s="49">
        <f t="shared" si="1120"/>
        <v>0</v>
      </c>
    </row>
    <row r="932" spans="4:17" s="16" customFormat="1" ht="13.2" x14ac:dyDescent="0.25">
      <c r="D932" s="235">
        <v>33</v>
      </c>
      <c r="E932" s="240">
        <v>2</v>
      </c>
      <c r="F932" s="241">
        <v>10</v>
      </c>
      <c r="G932" s="242">
        <v>8.3699999999999992</v>
      </c>
      <c r="H932" s="239">
        <f t="shared" si="1111"/>
        <v>16.739999999999998</v>
      </c>
      <c r="I932" s="131">
        <f t="shared" si="1112"/>
        <v>0</v>
      </c>
      <c r="J932" s="31">
        <f t="shared" si="1113"/>
        <v>0</v>
      </c>
      <c r="K932" s="31">
        <f t="shared" si="1114"/>
        <v>0</v>
      </c>
      <c r="L932" s="31">
        <f t="shared" si="1115"/>
        <v>0</v>
      </c>
      <c r="M932" s="31">
        <f t="shared" si="1116"/>
        <v>10.328579999999999</v>
      </c>
      <c r="N932" s="31">
        <f t="shared" si="1117"/>
        <v>0</v>
      </c>
      <c r="O932" s="31">
        <f t="shared" si="1118"/>
        <v>0</v>
      </c>
      <c r="P932" s="31">
        <f t="shared" si="1119"/>
        <v>0</v>
      </c>
      <c r="Q932" s="49">
        <f t="shared" si="1120"/>
        <v>0</v>
      </c>
    </row>
    <row r="933" spans="4:17" s="16" customFormat="1" ht="13.8" thickBot="1" x14ac:dyDescent="0.3">
      <c r="D933" s="307"/>
      <c r="E933" s="26"/>
      <c r="F933" s="206"/>
      <c r="G933" s="207"/>
      <c r="H933" s="207"/>
      <c r="I933" s="51"/>
      <c r="J933" s="308"/>
      <c r="K933" s="308"/>
      <c r="L933" s="308"/>
      <c r="M933" s="308"/>
      <c r="N933" s="308"/>
      <c r="O933" s="308"/>
      <c r="P933" s="308"/>
      <c r="Q933" s="309"/>
    </row>
    <row r="934" spans="4:17" s="16" customFormat="1" ht="13.2" x14ac:dyDescent="0.25">
      <c r="D934" s="796" t="s">
        <v>1672</v>
      </c>
      <c r="E934" s="797"/>
      <c r="F934" s="797"/>
      <c r="G934" s="797"/>
      <c r="H934" s="797"/>
      <c r="I934" s="47">
        <f>SUM(I935:I942)</f>
        <v>0</v>
      </c>
      <c r="J934" s="47">
        <f t="shared" ref="J934:Q934" si="1121">SUM(J935:J942)</f>
        <v>5.3776799999999998</v>
      </c>
      <c r="K934" s="47">
        <f t="shared" si="1121"/>
        <v>0</v>
      </c>
      <c r="L934" s="47">
        <f t="shared" si="1121"/>
        <v>13.5959</v>
      </c>
      <c r="M934" s="47">
        <f t="shared" si="1121"/>
        <v>14.61673</v>
      </c>
      <c r="N934" s="47">
        <f t="shared" si="1121"/>
        <v>0</v>
      </c>
      <c r="O934" s="47">
        <f t="shared" si="1121"/>
        <v>0</v>
      </c>
      <c r="P934" s="47">
        <f t="shared" si="1121"/>
        <v>0</v>
      </c>
      <c r="Q934" s="47">
        <f t="shared" si="1121"/>
        <v>0</v>
      </c>
    </row>
    <row r="935" spans="4:17" s="16" customFormat="1" ht="13.2" x14ac:dyDescent="0.25">
      <c r="D935" s="235">
        <v>1</v>
      </c>
      <c r="E935" s="237">
        <v>36</v>
      </c>
      <c r="F935" s="238">
        <v>5</v>
      </c>
      <c r="G935" s="239">
        <v>0.97</v>
      </c>
      <c r="H935" s="239">
        <f t="shared" ref="H935:H942" si="1122">E935*G935</f>
        <v>34.92</v>
      </c>
      <c r="I935" s="131">
        <f t="shared" ref="I935:I942" si="1123">IF($F935=4.2,H935*$B$23,0)</f>
        <v>0</v>
      </c>
      <c r="J935" s="31">
        <f t="shared" ref="J935:J942" si="1124">IF($F935=5,$H935*$B$24,0)</f>
        <v>5.3776799999999998</v>
      </c>
      <c r="K935" s="31">
        <f t="shared" ref="K935:K942" si="1125">IF($F935=6.3,$H935*$B$25,0)</f>
        <v>0</v>
      </c>
      <c r="L935" s="31">
        <f t="shared" ref="L935:L942" si="1126">IF($F935=8,$H935*$B$26,0)</f>
        <v>0</v>
      </c>
      <c r="M935" s="31">
        <f t="shared" ref="M935:M942" si="1127">IF($F935=10,$H935*$B$27,0)</f>
        <v>0</v>
      </c>
      <c r="N935" s="31">
        <f t="shared" ref="N935:N942" si="1128">IF($F935=12.5,$H935*$B$28,0)</f>
        <v>0</v>
      </c>
      <c r="O935" s="31">
        <f t="shared" ref="O935:O942" si="1129">IF($F935=16,$H935*$B$29,0)</f>
        <v>0</v>
      </c>
      <c r="P935" s="31">
        <f t="shared" ref="P935:P942" si="1130">IF($F935=20,$H935*$B$30,0)</f>
        <v>0</v>
      </c>
      <c r="Q935" s="49">
        <f t="shared" ref="Q935:Q942" si="1131">IF($F935=25,$H935*$B$31,0)</f>
        <v>0</v>
      </c>
    </row>
    <row r="936" spans="4:17" s="16" customFormat="1" ht="13.2" x14ac:dyDescent="0.25">
      <c r="D936" s="235">
        <v>12</v>
      </c>
      <c r="E936" s="240">
        <v>3</v>
      </c>
      <c r="F936" s="241">
        <v>8</v>
      </c>
      <c r="G936" s="242">
        <v>8.5500000000000007</v>
      </c>
      <c r="H936" s="239">
        <f t="shared" si="1122"/>
        <v>25.650000000000002</v>
      </c>
      <c r="I936" s="131">
        <f t="shared" si="1123"/>
        <v>0</v>
      </c>
      <c r="J936" s="31">
        <f t="shared" si="1124"/>
        <v>0</v>
      </c>
      <c r="K936" s="31">
        <f t="shared" si="1125"/>
        <v>0</v>
      </c>
      <c r="L936" s="31">
        <f t="shared" si="1126"/>
        <v>10.131750000000002</v>
      </c>
      <c r="M936" s="31">
        <f t="shared" si="1127"/>
        <v>0</v>
      </c>
      <c r="N936" s="31">
        <f t="shared" si="1128"/>
        <v>0</v>
      </c>
      <c r="O936" s="31">
        <f t="shared" si="1129"/>
        <v>0</v>
      </c>
      <c r="P936" s="31">
        <f t="shared" si="1130"/>
        <v>0</v>
      </c>
      <c r="Q936" s="49">
        <f t="shared" si="1131"/>
        <v>0</v>
      </c>
    </row>
    <row r="937" spans="4:17" s="16" customFormat="1" ht="13.2" x14ac:dyDescent="0.25">
      <c r="D937" s="235">
        <v>15</v>
      </c>
      <c r="E937" s="240">
        <v>1</v>
      </c>
      <c r="F937" s="241">
        <v>8</v>
      </c>
      <c r="G937" s="242">
        <v>2.31</v>
      </c>
      <c r="H937" s="239">
        <f t="shared" si="1122"/>
        <v>2.31</v>
      </c>
      <c r="I937" s="131">
        <f t="shared" si="1123"/>
        <v>0</v>
      </c>
      <c r="J937" s="31">
        <f t="shared" si="1124"/>
        <v>0</v>
      </c>
      <c r="K937" s="31">
        <f t="shared" si="1125"/>
        <v>0</v>
      </c>
      <c r="L937" s="31">
        <f t="shared" si="1126"/>
        <v>0.91245000000000009</v>
      </c>
      <c r="M937" s="31">
        <f t="shared" si="1127"/>
        <v>0</v>
      </c>
      <c r="N937" s="31">
        <f t="shared" si="1128"/>
        <v>0</v>
      </c>
      <c r="O937" s="31">
        <f t="shared" si="1129"/>
        <v>0</v>
      </c>
      <c r="P937" s="31">
        <f t="shared" si="1130"/>
        <v>0</v>
      </c>
      <c r="Q937" s="49">
        <f t="shared" si="1131"/>
        <v>0</v>
      </c>
    </row>
    <row r="938" spans="4:17" s="16" customFormat="1" ht="13.2" x14ac:dyDescent="0.25">
      <c r="D938" s="235">
        <v>16</v>
      </c>
      <c r="E938" s="240">
        <v>1</v>
      </c>
      <c r="F938" s="241">
        <v>8</v>
      </c>
      <c r="G938" s="242">
        <v>1.28</v>
      </c>
      <c r="H938" s="239">
        <f t="shared" si="1122"/>
        <v>1.28</v>
      </c>
      <c r="I938" s="131">
        <f t="shared" si="1123"/>
        <v>0</v>
      </c>
      <c r="J938" s="31">
        <f t="shared" si="1124"/>
        <v>0</v>
      </c>
      <c r="K938" s="31">
        <f t="shared" si="1125"/>
        <v>0</v>
      </c>
      <c r="L938" s="31">
        <f t="shared" si="1126"/>
        <v>0.50560000000000005</v>
      </c>
      <c r="M938" s="31">
        <f t="shared" si="1127"/>
        <v>0</v>
      </c>
      <c r="N938" s="31">
        <f t="shared" si="1128"/>
        <v>0</v>
      </c>
      <c r="O938" s="31">
        <f t="shared" si="1129"/>
        <v>0</v>
      </c>
      <c r="P938" s="31">
        <f t="shared" si="1130"/>
        <v>0</v>
      </c>
      <c r="Q938" s="49">
        <f t="shared" si="1131"/>
        <v>0</v>
      </c>
    </row>
    <row r="939" spans="4:17" s="16" customFormat="1" ht="13.2" x14ac:dyDescent="0.25">
      <c r="D939" s="235">
        <v>17</v>
      </c>
      <c r="E939" s="240">
        <v>1</v>
      </c>
      <c r="F939" s="241">
        <v>8</v>
      </c>
      <c r="G939" s="242">
        <v>5.18</v>
      </c>
      <c r="H939" s="239">
        <f t="shared" si="1122"/>
        <v>5.18</v>
      </c>
      <c r="I939" s="131">
        <f t="shared" si="1123"/>
        <v>0</v>
      </c>
      <c r="J939" s="31">
        <f t="shared" si="1124"/>
        <v>0</v>
      </c>
      <c r="K939" s="31">
        <f t="shared" si="1125"/>
        <v>0</v>
      </c>
      <c r="L939" s="31">
        <f t="shared" si="1126"/>
        <v>2.0461</v>
      </c>
      <c r="M939" s="31">
        <f t="shared" si="1127"/>
        <v>0</v>
      </c>
      <c r="N939" s="31">
        <f t="shared" si="1128"/>
        <v>0</v>
      </c>
      <c r="O939" s="31">
        <f t="shared" si="1129"/>
        <v>0</v>
      </c>
      <c r="P939" s="31">
        <f t="shared" si="1130"/>
        <v>0</v>
      </c>
      <c r="Q939" s="49">
        <f t="shared" si="1131"/>
        <v>0</v>
      </c>
    </row>
    <row r="940" spans="4:17" s="16" customFormat="1" ht="13.2" x14ac:dyDescent="0.25">
      <c r="D940" s="235">
        <v>31</v>
      </c>
      <c r="E940" s="240">
        <v>1</v>
      </c>
      <c r="F940" s="241">
        <v>10</v>
      </c>
      <c r="G940" s="242">
        <v>2.1</v>
      </c>
      <c r="H940" s="239">
        <f t="shared" si="1122"/>
        <v>2.1</v>
      </c>
      <c r="I940" s="131">
        <f t="shared" si="1123"/>
        <v>0</v>
      </c>
      <c r="J940" s="31">
        <f t="shared" si="1124"/>
        <v>0</v>
      </c>
      <c r="K940" s="31">
        <f t="shared" si="1125"/>
        <v>0</v>
      </c>
      <c r="L940" s="31">
        <f t="shared" si="1126"/>
        <v>0</v>
      </c>
      <c r="M940" s="31">
        <f t="shared" si="1127"/>
        <v>1.2957000000000001</v>
      </c>
      <c r="N940" s="31">
        <f t="shared" si="1128"/>
        <v>0</v>
      </c>
      <c r="O940" s="31">
        <f t="shared" si="1129"/>
        <v>0</v>
      </c>
      <c r="P940" s="31">
        <f t="shared" si="1130"/>
        <v>0</v>
      </c>
      <c r="Q940" s="49">
        <f t="shared" si="1131"/>
        <v>0</v>
      </c>
    </row>
    <row r="941" spans="4:17" s="16" customFormat="1" ht="13.2" x14ac:dyDescent="0.25">
      <c r="D941" s="235">
        <v>34</v>
      </c>
      <c r="E941" s="240">
        <v>1</v>
      </c>
      <c r="F941" s="241">
        <v>10</v>
      </c>
      <c r="G941" s="242">
        <v>4.45</v>
      </c>
      <c r="H941" s="239">
        <f t="shared" si="1122"/>
        <v>4.45</v>
      </c>
      <c r="I941" s="131">
        <f t="shared" si="1123"/>
        <v>0</v>
      </c>
      <c r="J941" s="31">
        <f t="shared" si="1124"/>
        <v>0</v>
      </c>
      <c r="K941" s="31">
        <f t="shared" si="1125"/>
        <v>0</v>
      </c>
      <c r="L941" s="31">
        <f t="shared" si="1126"/>
        <v>0</v>
      </c>
      <c r="M941" s="31">
        <f t="shared" si="1127"/>
        <v>2.7456499999999999</v>
      </c>
      <c r="N941" s="31">
        <f t="shared" si="1128"/>
        <v>0</v>
      </c>
      <c r="O941" s="31">
        <f t="shared" si="1129"/>
        <v>0</v>
      </c>
      <c r="P941" s="31">
        <f t="shared" si="1130"/>
        <v>0</v>
      </c>
      <c r="Q941" s="49">
        <f t="shared" si="1131"/>
        <v>0</v>
      </c>
    </row>
    <row r="942" spans="4:17" s="16" customFormat="1" ht="13.2" x14ac:dyDescent="0.25">
      <c r="D942" s="235">
        <v>35</v>
      </c>
      <c r="E942" s="240">
        <v>2</v>
      </c>
      <c r="F942" s="241">
        <v>10</v>
      </c>
      <c r="G942" s="242">
        <v>8.57</v>
      </c>
      <c r="H942" s="239">
        <f t="shared" si="1122"/>
        <v>17.14</v>
      </c>
      <c r="I942" s="131">
        <f t="shared" si="1123"/>
        <v>0</v>
      </c>
      <c r="J942" s="31">
        <f t="shared" si="1124"/>
        <v>0</v>
      </c>
      <c r="K942" s="31">
        <f t="shared" si="1125"/>
        <v>0</v>
      </c>
      <c r="L942" s="31">
        <f t="shared" si="1126"/>
        <v>0</v>
      </c>
      <c r="M942" s="31">
        <f t="shared" si="1127"/>
        <v>10.575380000000001</v>
      </c>
      <c r="N942" s="31">
        <f t="shared" si="1128"/>
        <v>0</v>
      </c>
      <c r="O942" s="31">
        <f t="shared" si="1129"/>
        <v>0</v>
      </c>
      <c r="P942" s="31">
        <f t="shared" si="1130"/>
        <v>0</v>
      </c>
      <c r="Q942" s="49">
        <f t="shared" si="1131"/>
        <v>0</v>
      </c>
    </row>
    <row r="943" spans="4:17" s="16" customFormat="1" ht="13.8" thickBot="1" x14ac:dyDescent="0.3">
      <c r="D943" s="307"/>
      <c r="E943" s="26"/>
      <c r="F943" s="206"/>
      <c r="G943" s="207"/>
      <c r="H943" s="207"/>
      <c r="I943" s="51"/>
      <c r="J943" s="308"/>
      <c r="K943" s="308"/>
      <c r="L943" s="308"/>
      <c r="M943" s="308"/>
      <c r="N943" s="308"/>
      <c r="O943" s="308"/>
      <c r="P943" s="308"/>
      <c r="Q943" s="309"/>
    </row>
    <row r="944" spans="4:17" s="16" customFormat="1" ht="13.2" x14ac:dyDescent="0.25">
      <c r="D944" s="796" t="s">
        <v>1673</v>
      </c>
      <c r="E944" s="797"/>
      <c r="F944" s="797"/>
      <c r="G944" s="797"/>
      <c r="H944" s="797"/>
      <c r="I944" s="47">
        <f t="shared" ref="I944:Q944" si="1132">SUM(I945:I947)</f>
        <v>0</v>
      </c>
      <c r="J944" s="47">
        <f t="shared" si="1132"/>
        <v>5.5270599999999996</v>
      </c>
      <c r="K944" s="47">
        <f t="shared" si="1132"/>
        <v>0</v>
      </c>
      <c r="L944" s="47">
        <f t="shared" si="1132"/>
        <v>13.398399999999999</v>
      </c>
      <c r="M944" s="47">
        <f t="shared" si="1132"/>
        <v>0</v>
      </c>
      <c r="N944" s="47">
        <f t="shared" si="1132"/>
        <v>0</v>
      </c>
      <c r="O944" s="47">
        <f t="shared" si="1132"/>
        <v>0</v>
      </c>
      <c r="P944" s="47">
        <f t="shared" si="1132"/>
        <v>0</v>
      </c>
      <c r="Q944" s="47">
        <f t="shared" si="1132"/>
        <v>0</v>
      </c>
    </row>
    <row r="945" spans="4:17" s="16" customFormat="1" ht="13.2" x14ac:dyDescent="0.25">
      <c r="D945" s="235">
        <v>1</v>
      </c>
      <c r="E945" s="237">
        <v>37</v>
      </c>
      <c r="F945" s="238">
        <v>5</v>
      </c>
      <c r="G945" s="239">
        <v>0.97</v>
      </c>
      <c r="H945" s="239">
        <f>E945*G945</f>
        <v>35.89</v>
      </c>
      <c r="I945" s="131">
        <f>IF($F945=4.2,H945*$B$23,0)</f>
        <v>0</v>
      </c>
      <c r="J945" s="31">
        <f>IF($F945=5,$H945*$B$24,0)</f>
        <v>5.5270599999999996</v>
      </c>
      <c r="K945" s="31">
        <f>IF($F945=6.3,$H945*$B$25,0)</f>
        <v>0</v>
      </c>
      <c r="L945" s="31">
        <f>IF($F945=8,$H945*$B$26,0)</f>
        <v>0</v>
      </c>
      <c r="M945" s="31">
        <f>IF($F945=10,$H945*$B$27,0)</f>
        <v>0</v>
      </c>
      <c r="N945" s="31">
        <f>IF($F945=12.5,$H945*$B$28,0)</f>
        <v>0</v>
      </c>
      <c r="O945" s="31">
        <f>IF($F945=16,$H945*$B$29,0)</f>
        <v>0</v>
      </c>
      <c r="P945" s="31">
        <f>IF($F945=20,$H945*$B$30,0)</f>
        <v>0</v>
      </c>
      <c r="Q945" s="49">
        <f>IF($F945=25,$H945*$B$31,0)</f>
        <v>0</v>
      </c>
    </row>
    <row r="946" spans="4:17" s="16" customFormat="1" ht="13.2" x14ac:dyDescent="0.25">
      <c r="D946" s="235">
        <v>18</v>
      </c>
      <c r="E946" s="240">
        <v>2</v>
      </c>
      <c r="F946" s="241">
        <v>8</v>
      </c>
      <c r="G946" s="242">
        <v>8.3699999999999992</v>
      </c>
      <c r="H946" s="239">
        <f>E946*G946</f>
        <v>16.739999999999998</v>
      </c>
      <c r="I946" s="131">
        <f>IF($F946=4.2,H946*$B$23,0)</f>
        <v>0</v>
      </c>
      <c r="J946" s="31">
        <f>IF($F946=5,$H946*$B$24,0)</f>
        <v>0</v>
      </c>
      <c r="K946" s="31">
        <f>IF($F946=6.3,$H946*$B$25,0)</f>
        <v>0</v>
      </c>
      <c r="L946" s="31">
        <f>IF($F946=8,$H946*$B$26,0)</f>
        <v>6.6122999999999994</v>
      </c>
      <c r="M946" s="31">
        <f>IF($F946=10,$H946*$B$27,0)</f>
        <v>0</v>
      </c>
      <c r="N946" s="31">
        <f>IF($F946=12.5,$H946*$B$28,0)</f>
        <v>0</v>
      </c>
      <c r="O946" s="31">
        <f>IF($F946=16,$H946*$B$29,0)</f>
        <v>0</v>
      </c>
      <c r="P946" s="31">
        <f>IF($F946=20,$H946*$B$30,0)</f>
        <v>0</v>
      </c>
      <c r="Q946" s="49">
        <f>IF($F946=25,$H946*$B$31,0)</f>
        <v>0</v>
      </c>
    </row>
    <row r="947" spans="4:17" s="16" customFormat="1" ht="13.2" x14ac:dyDescent="0.25">
      <c r="D947" s="235">
        <v>19</v>
      </c>
      <c r="E947" s="240">
        <v>2</v>
      </c>
      <c r="F947" s="241">
        <v>8</v>
      </c>
      <c r="G947" s="242">
        <v>8.59</v>
      </c>
      <c r="H947" s="239">
        <f>E947*G947</f>
        <v>17.18</v>
      </c>
      <c r="I947" s="131">
        <f>IF($F947=4.2,H947*$B$23,0)</f>
        <v>0</v>
      </c>
      <c r="J947" s="31">
        <f>IF($F947=5,$H947*$B$24,0)</f>
        <v>0</v>
      </c>
      <c r="K947" s="31">
        <f>IF($F947=6.3,$H947*$B$25,0)</f>
        <v>0</v>
      </c>
      <c r="L947" s="31">
        <f>IF($F947=8,$H947*$B$26,0)</f>
        <v>6.7861000000000002</v>
      </c>
      <c r="M947" s="31">
        <f>IF($F947=10,$H947*$B$27,0)</f>
        <v>0</v>
      </c>
      <c r="N947" s="31">
        <f>IF($F947=12.5,$H947*$B$28,0)</f>
        <v>0</v>
      </c>
      <c r="O947" s="31">
        <f>IF($F947=16,$H947*$B$29,0)</f>
        <v>0</v>
      </c>
      <c r="P947" s="31">
        <f>IF($F947=20,$H947*$B$30,0)</f>
        <v>0</v>
      </c>
      <c r="Q947" s="49">
        <f>IF($F947=25,$H947*$B$31,0)</f>
        <v>0</v>
      </c>
    </row>
    <row r="948" spans="4:17" s="16" customFormat="1" ht="13.8" thickBot="1" x14ac:dyDescent="0.3">
      <c r="D948" s="307"/>
      <c r="E948" s="26"/>
      <c r="F948" s="206"/>
      <c r="G948" s="207"/>
      <c r="H948" s="207"/>
      <c r="I948" s="51"/>
      <c r="J948" s="308"/>
      <c r="K948" s="308"/>
      <c r="L948" s="308"/>
      <c r="M948" s="308"/>
      <c r="N948" s="308"/>
      <c r="O948" s="308"/>
      <c r="P948" s="308"/>
      <c r="Q948" s="309"/>
    </row>
    <row r="949" spans="4:17" s="16" customFormat="1" ht="13.2" x14ac:dyDescent="0.25">
      <c r="D949" s="796" t="s">
        <v>1674</v>
      </c>
      <c r="E949" s="797"/>
      <c r="F949" s="797"/>
      <c r="G949" s="797"/>
      <c r="H949" s="797"/>
      <c r="I949" s="47">
        <f>SUM(I950:I953)</f>
        <v>0</v>
      </c>
      <c r="J949" s="47">
        <f t="shared" ref="J949:Q949" si="1133">SUM(J950:J953)</f>
        <v>5.5270599999999996</v>
      </c>
      <c r="K949" s="47">
        <f t="shared" si="1133"/>
        <v>0</v>
      </c>
      <c r="L949" s="47">
        <f t="shared" si="1133"/>
        <v>13.694649999999999</v>
      </c>
      <c r="M949" s="47">
        <f t="shared" si="1133"/>
        <v>0</v>
      </c>
      <c r="N949" s="47">
        <f t="shared" si="1133"/>
        <v>0</v>
      </c>
      <c r="O949" s="47">
        <f t="shared" si="1133"/>
        <v>0</v>
      </c>
      <c r="P949" s="47">
        <f t="shared" si="1133"/>
        <v>0</v>
      </c>
      <c r="Q949" s="47">
        <f t="shared" si="1133"/>
        <v>0</v>
      </c>
    </row>
    <row r="950" spans="4:17" s="16" customFormat="1" ht="13.2" x14ac:dyDescent="0.25">
      <c r="D950" s="235">
        <v>1</v>
      </c>
      <c r="E950" s="237">
        <v>37</v>
      </c>
      <c r="F950" s="238">
        <v>5</v>
      </c>
      <c r="G950" s="239">
        <v>0.97</v>
      </c>
      <c r="H950" s="239">
        <f>E950*G950</f>
        <v>35.89</v>
      </c>
      <c r="I950" s="131">
        <f>IF($F950=4.2,H950*$B$23,0)</f>
        <v>0</v>
      </c>
      <c r="J950" s="31">
        <f>IF($F950=5,$H950*$B$24,0)</f>
        <v>5.5270599999999996</v>
      </c>
      <c r="K950" s="31">
        <f>IF($F950=6.3,$H950*$B$25,0)</f>
        <v>0</v>
      </c>
      <c r="L950" s="31">
        <f>IF($F950=8,$H950*$B$26,0)</f>
        <v>0</v>
      </c>
      <c r="M950" s="31">
        <f>IF($F950=10,$H950*$B$27,0)</f>
        <v>0</v>
      </c>
      <c r="N950" s="31">
        <f>IF($F950=12.5,$H950*$B$28,0)</f>
        <v>0</v>
      </c>
      <c r="O950" s="31">
        <f>IF($F950=16,$H950*$B$29,0)</f>
        <v>0</v>
      </c>
      <c r="P950" s="31">
        <f>IF($F950=20,$H950*$B$30,0)</f>
        <v>0</v>
      </c>
      <c r="Q950" s="49">
        <f>IF($F950=25,$H950*$B$31,0)</f>
        <v>0</v>
      </c>
    </row>
    <row r="951" spans="4:17" s="16" customFormat="1" ht="13.2" x14ac:dyDescent="0.25">
      <c r="D951" s="235">
        <v>20</v>
      </c>
      <c r="E951" s="240">
        <v>2</v>
      </c>
      <c r="F951" s="241">
        <v>8</v>
      </c>
      <c r="G951" s="242">
        <v>8.27</v>
      </c>
      <c r="H951" s="239">
        <f>E951*G951</f>
        <v>16.54</v>
      </c>
      <c r="I951" s="131">
        <f>IF($F951=4.2,H951*$B$23,0)</f>
        <v>0</v>
      </c>
      <c r="J951" s="31">
        <f>IF($F951=5,$H951*$B$24,0)</f>
        <v>0</v>
      </c>
      <c r="K951" s="31">
        <f>IF($F951=6.3,$H951*$B$25,0)</f>
        <v>0</v>
      </c>
      <c r="L951" s="31">
        <f>IF($F951=8,$H951*$B$26,0)</f>
        <v>6.5332999999999997</v>
      </c>
      <c r="M951" s="31">
        <f>IF($F951=10,$H951*$B$27,0)</f>
        <v>0</v>
      </c>
      <c r="N951" s="31">
        <f>IF($F951=12.5,$H951*$B$28,0)</f>
        <v>0</v>
      </c>
      <c r="O951" s="31">
        <f>IF($F951=16,$H951*$B$29,0)</f>
        <v>0</v>
      </c>
      <c r="P951" s="31">
        <f>IF($F951=20,$H951*$B$30,0)</f>
        <v>0</v>
      </c>
      <c r="Q951" s="49">
        <f>IF($F951=25,$H951*$B$31,0)</f>
        <v>0</v>
      </c>
    </row>
    <row r="952" spans="4:17" s="16" customFormat="1" ht="13.2" x14ac:dyDescent="0.25">
      <c r="D952" s="235">
        <v>21</v>
      </c>
      <c r="E952" s="240">
        <v>1</v>
      </c>
      <c r="F952" s="241">
        <v>8</v>
      </c>
      <c r="G952" s="242">
        <v>1.1499999999999999</v>
      </c>
      <c r="H952" s="239">
        <f>E952*G952</f>
        <v>1.1499999999999999</v>
      </c>
      <c r="I952" s="131">
        <f>IF($F952=4.2,H952*$B$23,0)</f>
        <v>0</v>
      </c>
      <c r="J952" s="31">
        <f>IF($F952=5,$H952*$B$24,0)</f>
        <v>0</v>
      </c>
      <c r="K952" s="31">
        <f>IF($F952=6.3,$H952*$B$25,0)</f>
        <v>0</v>
      </c>
      <c r="L952" s="31">
        <f>IF($F952=8,$H952*$B$26,0)</f>
        <v>0.45424999999999999</v>
      </c>
      <c r="M952" s="31">
        <f>IF($F952=10,$H952*$B$27,0)</f>
        <v>0</v>
      </c>
      <c r="N952" s="31">
        <f>IF($F952=12.5,$H952*$B$28,0)</f>
        <v>0</v>
      </c>
      <c r="O952" s="31">
        <f>IF($F952=16,$H952*$B$29,0)</f>
        <v>0</v>
      </c>
      <c r="P952" s="31">
        <f>IF($F952=20,$H952*$B$30,0)</f>
        <v>0</v>
      </c>
      <c r="Q952" s="49">
        <f>IF($F952=25,$H952*$B$31,0)</f>
        <v>0</v>
      </c>
    </row>
    <row r="953" spans="4:17" s="16" customFormat="1" ht="13.2" x14ac:dyDescent="0.25">
      <c r="D953" s="235">
        <v>22</v>
      </c>
      <c r="E953" s="240">
        <v>2</v>
      </c>
      <c r="F953" s="241">
        <v>8</v>
      </c>
      <c r="G953" s="242">
        <v>8.49</v>
      </c>
      <c r="H953" s="239">
        <f>E953*G953</f>
        <v>16.98</v>
      </c>
      <c r="I953" s="131">
        <f>IF($F953=4.2,H953*$B$23,0)</f>
        <v>0</v>
      </c>
      <c r="J953" s="31">
        <f>IF($F953=5,$H953*$B$24,0)</f>
        <v>0</v>
      </c>
      <c r="K953" s="31">
        <f>IF($F953=6.3,$H953*$B$25,0)</f>
        <v>0</v>
      </c>
      <c r="L953" s="31">
        <f>IF($F953=8,$H953*$B$26,0)</f>
        <v>6.7071000000000005</v>
      </c>
      <c r="M953" s="31">
        <f>IF($F953=10,$H953*$B$27,0)</f>
        <v>0</v>
      </c>
      <c r="N953" s="31">
        <f>IF($F953=12.5,$H953*$B$28,0)</f>
        <v>0</v>
      </c>
      <c r="O953" s="31">
        <f>IF($F953=16,$H953*$B$29,0)</f>
        <v>0</v>
      </c>
      <c r="P953" s="31">
        <f>IF($F953=20,$H953*$B$30,0)</f>
        <v>0</v>
      </c>
      <c r="Q953" s="49">
        <f>IF($F953=25,$H953*$B$31,0)</f>
        <v>0</v>
      </c>
    </row>
    <row r="954" spans="4:17" s="16" customFormat="1" ht="13.8" thickBot="1" x14ac:dyDescent="0.3">
      <c r="D954" s="307"/>
      <c r="E954" s="26"/>
      <c r="F954" s="206"/>
      <c r="G954" s="207"/>
      <c r="H954" s="207"/>
      <c r="I954" s="51"/>
      <c r="J954" s="308"/>
      <c r="K954" s="308"/>
      <c r="L954" s="308"/>
      <c r="M954" s="308"/>
      <c r="N954" s="308"/>
      <c r="O954" s="308"/>
      <c r="P954" s="308"/>
      <c r="Q954" s="309"/>
    </row>
    <row r="955" spans="4:17" s="16" customFormat="1" ht="13.2" x14ac:dyDescent="0.25">
      <c r="D955" s="796" t="s">
        <v>1675</v>
      </c>
      <c r="E955" s="797"/>
      <c r="F955" s="797"/>
      <c r="G955" s="797"/>
      <c r="H955" s="797"/>
      <c r="I955" s="47">
        <f>SUM(I956:I959)</f>
        <v>0</v>
      </c>
      <c r="J955" s="47">
        <f t="shared" ref="J955:Q955" si="1134">SUM(J956:J959)</f>
        <v>5.5270599999999996</v>
      </c>
      <c r="K955" s="47">
        <f t="shared" si="1134"/>
        <v>0</v>
      </c>
      <c r="L955" s="47">
        <f t="shared" si="1134"/>
        <v>13.852649999999999</v>
      </c>
      <c r="M955" s="47">
        <f t="shared" si="1134"/>
        <v>0</v>
      </c>
      <c r="N955" s="47">
        <f t="shared" si="1134"/>
        <v>0</v>
      </c>
      <c r="O955" s="47">
        <f t="shared" si="1134"/>
        <v>0</v>
      </c>
      <c r="P955" s="47">
        <f t="shared" si="1134"/>
        <v>0</v>
      </c>
      <c r="Q955" s="47">
        <f t="shared" si="1134"/>
        <v>0</v>
      </c>
    </row>
    <row r="956" spans="4:17" s="16" customFormat="1" ht="13.2" x14ac:dyDescent="0.25">
      <c r="D956" s="235">
        <v>1</v>
      </c>
      <c r="E956" s="237">
        <v>37</v>
      </c>
      <c r="F956" s="238">
        <v>5</v>
      </c>
      <c r="G956" s="239">
        <v>0.97</v>
      </c>
      <c r="H956" s="239">
        <f>E956*G956</f>
        <v>35.89</v>
      </c>
      <c r="I956" s="131">
        <f>IF($F956=4.2,H956*$B$23,0)</f>
        <v>0</v>
      </c>
      <c r="J956" s="31">
        <f>IF($F956=5,$H956*$B$24,0)</f>
        <v>5.5270599999999996</v>
      </c>
      <c r="K956" s="31">
        <f>IF($F956=6.3,$H956*$B$25,0)</f>
        <v>0</v>
      </c>
      <c r="L956" s="31">
        <f>IF($F956=8,$H956*$B$26,0)</f>
        <v>0</v>
      </c>
      <c r="M956" s="31">
        <f>IF($F956=10,$H956*$B$27,0)</f>
        <v>0</v>
      </c>
      <c r="N956" s="31">
        <f>IF($F956=12.5,$H956*$B$28,0)</f>
        <v>0</v>
      </c>
      <c r="O956" s="31">
        <f>IF($F956=16,$H956*$B$29,0)</f>
        <v>0</v>
      </c>
      <c r="P956" s="31">
        <f>IF($F956=20,$H956*$B$30,0)</f>
        <v>0</v>
      </c>
      <c r="Q956" s="49">
        <f>IF($F956=25,$H956*$B$31,0)</f>
        <v>0</v>
      </c>
    </row>
    <row r="957" spans="4:17" s="16" customFormat="1" ht="13.2" x14ac:dyDescent="0.25">
      <c r="D957" s="235">
        <v>18</v>
      </c>
      <c r="E957" s="240">
        <v>2</v>
      </c>
      <c r="F957" s="241">
        <v>8</v>
      </c>
      <c r="G957" s="242">
        <v>8.3699999999999992</v>
      </c>
      <c r="H957" s="239">
        <f>E957*G957</f>
        <v>16.739999999999998</v>
      </c>
      <c r="I957" s="131">
        <f>IF($F957=4.2,H957*$B$23,0)</f>
        <v>0</v>
      </c>
      <c r="J957" s="31">
        <f>IF($F957=5,$H957*$B$24,0)</f>
        <v>0</v>
      </c>
      <c r="K957" s="31">
        <f>IF($F957=6.3,$H957*$B$25,0)</f>
        <v>0</v>
      </c>
      <c r="L957" s="31">
        <f>IF($F957=8,$H957*$B$26,0)</f>
        <v>6.6122999999999994</v>
      </c>
      <c r="M957" s="31">
        <f>IF($F957=10,$H957*$B$27,0)</f>
        <v>0</v>
      </c>
      <c r="N957" s="31">
        <f>IF($F957=12.5,$H957*$B$28,0)</f>
        <v>0</v>
      </c>
      <c r="O957" s="31">
        <f>IF($F957=16,$H957*$B$29,0)</f>
        <v>0</v>
      </c>
      <c r="P957" s="31">
        <f>IF($F957=20,$H957*$B$30,0)</f>
        <v>0</v>
      </c>
      <c r="Q957" s="49">
        <f>IF($F957=25,$H957*$B$31,0)</f>
        <v>0</v>
      </c>
    </row>
    <row r="958" spans="4:17" s="16" customFormat="1" ht="13.2" x14ac:dyDescent="0.25">
      <c r="D958" s="235">
        <v>19</v>
      </c>
      <c r="E958" s="240">
        <v>2</v>
      </c>
      <c r="F958" s="241">
        <v>8</v>
      </c>
      <c r="G958" s="242">
        <v>8.59</v>
      </c>
      <c r="H958" s="239">
        <f>E958*G958</f>
        <v>17.18</v>
      </c>
      <c r="I958" s="131">
        <f>IF($F958=4.2,H958*$B$23,0)</f>
        <v>0</v>
      </c>
      <c r="J958" s="31">
        <f>IF($F958=5,$H958*$B$24,0)</f>
        <v>0</v>
      </c>
      <c r="K958" s="31">
        <f>IF($F958=6.3,$H958*$B$25,0)</f>
        <v>0</v>
      </c>
      <c r="L958" s="31">
        <f>IF($F958=8,$H958*$B$26,0)</f>
        <v>6.7861000000000002</v>
      </c>
      <c r="M958" s="31">
        <f>IF($F958=10,$H958*$B$27,0)</f>
        <v>0</v>
      </c>
      <c r="N958" s="31">
        <f>IF($F958=12.5,$H958*$B$28,0)</f>
        <v>0</v>
      </c>
      <c r="O958" s="31">
        <f>IF($F958=16,$H958*$B$29,0)</f>
        <v>0</v>
      </c>
      <c r="P958" s="31">
        <f>IF($F958=20,$H958*$B$30,0)</f>
        <v>0</v>
      </c>
      <c r="Q958" s="49">
        <f>IF($F958=25,$H958*$B$31,0)</f>
        <v>0</v>
      </c>
    </row>
    <row r="959" spans="4:17" s="16" customFormat="1" ht="13.2" x14ac:dyDescent="0.25">
      <c r="D959" s="235">
        <v>21</v>
      </c>
      <c r="E959" s="240">
        <v>1</v>
      </c>
      <c r="F959" s="241">
        <v>8</v>
      </c>
      <c r="G959" s="242">
        <v>1.1499999999999999</v>
      </c>
      <c r="H959" s="239">
        <f>E959*G959</f>
        <v>1.1499999999999999</v>
      </c>
      <c r="I959" s="131">
        <f>IF($F959=4.2,H959*$B$23,0)</f>
        <v>0</v>
      </c>
      <c r="J959" s="31">
        <f>IF($F959=5,$H959*$B$24,0)</f>
        <v>0</v>
      </c>
      <c r="K959" s="31">
        <f>IF($F959=6.3,$H959*$B$25,0)</f>
        <v>0</v>
      </c>
      <c r="L959" s="31">
        <f>IF($F959=8,$H959*$B$26,0)</f>
        <v>0.45424999999999999</v>
      </c>
      <c r="M959" s="31">
        <f>IF($F959=10,$H959*$B$27,0)</f>
        <v>0</v>
      </c>
      <c r="N959" s="31">
        <f>IF($F959=12.5,$H959*$B$28,0)</f>
        <v>0</v>
      </c>
      <c r="O959" s="31">
        <f>IF($F959=16,$H959*$B$29,0)</f>
        <v>0</v>
      </c>
      <c r="P959" s="31">
        <f>IF($F959=20,$H959*$B$30,0)</f>
        <v>0</v>
      </c>
      <c r="Q959" s="49">
        <f>IF($F959=25,$H959*$B$31,0)</f>
        <v>0</v>
      </c>
    </row>
    <row r="960" spans="4:17" s="16" customFormat="1" ht="13.8" thickBot="1" x14ac:dyDescent="0.3">
      <c r="D960" s="307"/>
      <c r="E960" s="26"/>
      <c r="F960" s="206"/>
      <c r="G960" s="207"/>
      <c r="H960" s="207"/>
      <c r="I960" s="51"/>
      <c r="J960" s="308"/>
      <c r="K960" s="308"/>
      <c r="L960" s="308"/>
      <c r="M960" s="308"/>
      <c r="N960" s="308"/>
      <c r="O960" s="308"/>
      <c r="P960" s="308"/>
      <c r="Q960" s="309"/>
    </row>
    <row r="961" spans="4:17" s="16" customFormat="1" ht="13.2" x14ac:dyDescent="0.25">
      <c r="D961" s="796" t="s">
        <v>1676</v>
      </c>
      <c r="E961" s="797"/>
      <c r="F961" s="797"/>
      <c r="G961" s="797"/>
      <c r="H961" s="797"/>
      <c r="I961" s="47">
        <f>SUM(I962:I965)</f>
        <v>0</v>
      </c>
      <c r="J961" s="47">
        <f t="shared" ref="J961:Q961" si="1135">SUM(J962:J965)</f>
        <v>5.5270599999999996</v>
      </c>
      <c r="K961" s="47">
        <f t="shared" si="1135"/>
        <v>0</v>
      </c>
      <c r="L961" s="47">
        <f t="shared" si="1135"/>
        <v>13.287799999999999</v>
      </c>
      <c r="M961" s="47">
        <f t="shared" si="1135"/>
        <v>0</v>
      </c>
      <c r="N961" s="47">
        <f t="shared" si="1135"/>
        <v>0</v>
      </c>
      <c r="O961" s="47">
        <f t="shared" si="1135"/>
        <v>0</v>
      </c>
      <c r="P961" s="47">
        <f t="shared" si="1135"/>
        <v>0</v>
      </c>
      <c r="Q961" s="47">
        <f t="shared" si="1135"/>
        <v>0</v>
      </c>
    </row>
    <row r="962" spans="4:17" s="16" customFormat="1" ht="13.2" x14ac:dyDescent="0.25">
      <c r="D962" s="235">
        <v>1</v>
      </c>
      <c r="E962" s="237">
        <v>37</v>
      </c>
      <c r="F962" s="238">
        <v>5</v>
      </c>
      <c r="G962" s="239">
        <v>0.97</v>
      </c>
      <c r="H962" s="239">
        <f>E962*G962</f>
        <v>35.89</v>
      </c>
      <c r="I962" s="131">
        <f>IF($F962=4.2,H962*$B$23,0)</f>
        <v>0</v>
      </c>
      <c r="J962" s="31">
        <f>IF($F962=5,$H962*$B$24,0)</f>
        <v>5.5270599999999996</v>
      </c>
      <c r="K962" s="31">
        <f>IF($F962=6.3,$H962*$B$25,0)</f>
        <v>0</v>
      </c>
      <c r="L962" s="31">
        <f>IF($F962=8,$H962*$B$26,0)</f>
        <v>0</v>
      </c>
      <c r="M962" s="31">
        <f>IF($F962=10,$H962*$B$27,0)</f>
        <v>0</v>
      </c>
      <c r="N962" s="31">
        <f>IF($F962=12.5,$H962*$B$28,0)</f>
        <v>0</v>
      </c>
      <c r="O962" s="31">
        <f>IF($F962=16,$H962*$B$29,0)</f>
        <v>0</v>
      </c>
      <c r="P962" s="31">
        <f>IF($F962=20,$H962*$B$30,0)</f>
        <v>0</v>
      </c>
      <c r="Q962" s="49">
        <f>IF($F962=25,$H962*$B$31,0)</f>
        <v>0</v>
      </c>
    </row>
    <row r="963" spans="4:17" s="16" customFormat="1" ht="13.2" x14ac:dyDescent="0.25">
      <c r="D963" s="235">
        <v>9</v>
      </c>
      <c r="E963" s="240">
        <v>2</v>
      </c>
      <c r="F963" s="241">
        <v>8</v>
      </c>
      <c r="G963" s="242">
        <v>8.4499999999999993</v>
      </c>
      <c r="H963" s="239">
        <f>E963*G963</f>
        <v>16.899999999999999</v>
      </c>
      <c r="I963" s="131">
        <f>IF($F963=4.2,H963*$B$23,0)</f>
        <v>0</v>
      </c>
      <c r="J963" s="31">
        <f>IF($F963=5,$H963*$B$24,0)</f>
        <v>0</v>
      </c>
      <c r="K963" s="31">
        <f>IF($F963=6.3,$H963*$B$25,0)</f>
        <v>0</v>
      </c>
      <c r="L963" s="31">
        <f>IF($F963=8,$H963*$B$26,0)</f>
        <v>6.6754999999999995</v>
      </c>
      <c r="M963" s="31">
        <f>IF($F963=10,$H963*$B$27,0)</f>
        <v>0</v>
      </c>
      <c r="N963" s="31">
        <f>IF($F963=12.5,$H963*$B$28,0)</f>
        <v>0</v>
      </c>
      <c r="O963" s="31">
        <f>IF($F963=16,$H963*$B$29,0)</f>
        <v>0</v>
      </c>
      <c r="P963" s="31">
        <f>IF($F963=20,$H963*$B$30,0)</f>
        <v>0</v>
      </c>
      <c r="Q963" s="49">
        <f>IF($F963=25,$H963*$B$31,0)</f>
        <v>0</v>
      </c>
    </row>
    <row r="964" spans="4:17" s="16" customFormat="1" ht="13.2" x14ac:dyDescent="0.25">
      <c r="D964" s="235">
        <v>18</v>
      </c>
      <c r="E964" s="240">
        <v>2</v>
      </c>
      <c r="F964" s="241">
        <v>8</v>
      </c>
      <c r="G964" s="242">
        <v>8.3699999999999992</v>
      </c>
      <c r="H964" s="239">
        <f>E964*G964</f>
        <v>16.739999999999998</v>
      </c>
      <c r="I964" s="131">
        <f>IF($F964=4.2,H964*$B$23,0)</f>
        <v>0</v>
      </c>
      <c r="J964" s="31">
        <f>IF($F964=5,$H964*$B$24,0)</f>
        <v>0</v>
      </c>
      <c r="K964" s="31">
        <f>IF($F964=6.3,$H964*$B$25,0)</f>
        <v>0</v>
      </c>
      <c r="L964" s="31">
        <f>IF($F964=8,$H964*$B$26,0)</f>
        <v>6.6122999999999994</v>
      </c>
      <c r="M964" s="31">
        <f>IF($F964=10,$H964*$B$27,0)</f>
        <v>0</v>
      </c>
      <c r="N964" s="31">
        <f>IF($F964=12.5,$H964*$B$28,0)</f>
        <v>0</v>
      </c>
      <c r="O964" s="31">
        <f>IF($F964=16,$H964*$B$29,0)</f>
        <v>0</v>
      </c>
      <c r="P964" s="31">
        <f>IF($F964=20,$H964*$B$30,0)</f>
        <v>0</v>
      </c>
      <c r="Q964" s="49">
        <f>IF($F964=25,$H964*$B$31,0)</f>
        <v>0</v>
      </c>
    </row>
    <row r="965" spans="4:17" s="16" customFormat="1" ht="13.2" x14ac:dyDescent="0.25">
      <c r="D965" s="235"/>
      <c r="E965" s="240"/>
      <c r="F965" s="241"/>
      <c r="G965" s="242"/>
      <c r="H965" s="239">
        <f>E965*G965</f>
        <v>0</v>
      </c>
      <c r="I965" s="131">
        <f>IF($F965=4.2,H965*$B$23,0)</f>
        <v>0</v>
      </c>
      <c r="J965" s="31">
        <f>IF($F965=5,$H965*$B$24,0)</f>
        <v>0</v>
      </c>
      <c r="K965" s="31">
        <f>IF($F965=6.3,$H965*$B$25,0)</f>
        <v>0</v>
      </c>
      <c r="L965" s="31">
        <f>IF($F965=8,$H965*$B$26,0)</f>
        <v>0</v>
      </c>
      <c r="M965" s="31">
        <f>IF($F965=10,$H965*$B$27,0)</f>
        <v>0</v>
      </c>
      <c r="N965" s="31">
        <f>IF($F965=12.5,$H965*$B$28,0)</f>
        <v>0</v>
      </c>
      <c r="O965" s="31">
        <f>IF($F965=16,$H965*$B$29,0)</f>
        <v>0</v>
      </c>
      <c r="P965" s="31">
        <f>IF($F965=20,$H965*$B$30,0)</f>
        <v>0</v>
      </c>
      <c r="Q965" s="49">
        <f>IF($F965=25,$H965*$B$31,0)</f>
        <v>0</v>
      </c>
    </row>
    <row r="966" spans="4:17" s="16" customFormat="1" ht="13.8" thickBot="1" x14ac:dyDescent="0.3">
      <c r="D966" s="307"/>
      <c r="E966" s="26"/>
      <c r="F966" s="206"/>
      <c r="G966" s="207"/>
      <c r="H966" s="207"/>
      <c r="I966" s="51"/>
      <c r="J966" s="308"/>
      <c r="K966" s="308"/>
      <c r="L966" s="308"/>
      <c r="M966" s="308"/>
      <c r="N966" s="308"/>
      <c r="O966" s="308"/>
      <c r="P966" s="308"/>
      <c r="Q966" s="309"/>
    </row>
    <row r="967" spans="4:17" s="16" customFormat="1" ht="13.2" x14ac:dyDescent="0.25">
      <c r="D967" s="796" t="s">
        <v>1677</v>
      </c>
      <c r="E967" s="797"/>
      <c r="F967" s="797"/>
      <c r="G967" s="797"/>
      <c r="H967" s="797"/>
      <c r="I967" s="47">
        <f>SUM(I968:I975)</f>
        <v>0</v>
      </c>
      <c r="J967" s="47">
        <f t="shared" ref="J967:Q967" si="1136">SUM(J968:J975)</f>
        <v>3.5851200000000003</v>
      </c>
      <c r="K967" s="47">
        <f t="shared" si="1136"/>
        <v>0</v>
      </c>
      <c r="L967" s="47">
        <f t="shared" si="1136"/>
        <v>1.9828999999999999</v>
      </c>
      <c r="M967" s="47">
        <f t="shared" si="1136"/>
        <v>10.155819999999999</v>
      </c>
      <c r="N967" s="47">
        <f t="shared" si="1136"/>
        <v>6.7795199999999998</v>
      </c>
      <c r="O967" s="47">
        <f t="shared" si="1136"/>
        <v>0</v>
      </c>
      <c r="P967" s="47">
        <f t="shared" si="1136"/>
        <v>0</v>
      </c>
      <c r="Q967" s="47">
        <f t="shared" si="1136"/>
        <v>0</v>
      </c>
    </row>
    <row r="968" spans="4:17" s="16" customFormat="1" ht="13.2" x14ac:dyDescent="0.25">
      <c r="D968" s="235">
        <v>1</v>
      </c>
      <c r="E968" s="237">
        <v>24</v>
      </c>
      <c r="F968" s="238">
        <v>5</v>
      </c>
      <c r="G968" s="239">
        <v>0.97</v>
      </c>
      <c r="H968" s="239">
        <f t="shared" ref="H968:H975" si="1137">E968*G968</f>
        <v>23.28</v>
      </c>
      <c r="I968" s="131">
        <f t="shared" ref="I968:I975" si="1138">IF($F968=4.2,H968*$B$23,0)</f>
        <v>0</v>
      </c>
      <c r="J968" s="31">
        <f t="shared" ref="J968:J975" si="1139">IF($F968=5,$H968*$B$24,0)</f>
        <v>3.5851200000000003</v>
      </c>
      <c r="K968" s="31">
        <f t="shared" ref="K968:K975" si="1140">IF($F968=6.3,$H968*$B$25,0)</f>
        <v>0</v>
      </c>
      <c r="L968" s="31">
        <f t="shared" ref="L968:L975" si="1141">IF($F968=8,$H968*$B$26,0)</f>
        <v>0</v>
      </c>
      <c r="M968" s="31">
        <f t="shared" ref="M968:M975" si="1142">IF($F968=10,$H968*$B$27,0)</f>
        <v>0</v>
      </c>
      <c r="N968" s="31">
        <f t="shared" ref="N968:N975" si="1143">IF($F968=12.5,$H968*$B$28,0)</f>
        <v>0</v>
      </c>
      <c r="O968" s="31">
        <f t="shared" ref="O968:O975" si="1144">IF($F968=16,$H968*$B$29,0)</f>
        <v>0</v>
      </c>
      <c r="P968" s="31">
        <f t="shared" ref="P968:P975" si="1145">IF($F968=20,$H968*$B$30,0)</f>
        <v>0</v>
      </c>
      <c r="Q968" s="49">
        <f t="shared" ref="Q968:Q975" si="1146">IF($F968=25,$H968*$B$31,0)</f>
        <v>0</v>
      </c>
    </row>
    <row r="969" spans="4:17" s="16" customFormat="1" ht="13.2" x14ac:dyDescent="0.25">
      <c r="D969" s="235">
        <v>23</v>
      </c>
      <c r="E969" s="240">
        <v>2</v>
      </c>
      <c r="F969" s="241">
        <v>8</v>
      </c>
      <c r="G969" s="242">
        <v>2.5099999999999998</v>
      </c>
      <c r="H969" s="239">
        <f t="shared" si="1137"/>
        <v>5.0199999999999996</v>
      </c>
      <c r="I969" s="131">
        <f t="shared" si="1138"/>
        <v>0</v>
      </c>
      <c r="J969" s="31">
        <f t="shared" si="1139"/>
        <v>0</v>
      </c>
      <c r="K969" s="31">
        <f t="shared" si="1140"/>
        <v>0</v>
      </c>
      <c r="L969" s="31">
        <f t="shared" si="1141"/>
        <v>1.9828999999999999</v>
      </c>
      <c r="M969" s="31">
        <f t="shared" si="1142"/>
        <v>0</v>
      </c>
      <c r="N969" s="31">
        <f t="shared" si="1143"/>
        <v>0</v>
      </c>
      <c r="O969" s="31">
        <f t="shared" si="1144"/>
        <v>0</v>
      </c>
      <c r="P969" s="31">
        <f t="shared" si="1145"/>
        <v>0</v>
      </c>
      <c r="Q969" s="49">
        <f t="shared" si="1146"/>
        <v>0</v>
      </c>
    </row>
    <row r="970" spans="4:17" s="16" customFormat="1" ht="13.2" x14ac:dyDescent="0.25">
      <c r="D970" s="235">
        <v>36</v>
      </c>
      <c r="E970" s="240">
        <v>1</v>
      </c>
      <c r="F970" s="241">
        <v>10</v>
      </c>
      <c r="G970" s="242">
        <v>0.74</v>
      </c>
      <c r="H970" s="239">
        <f t="shared" si="1137"/>
        <v>0.74</v>
      </c>
      <c r="I970" s="131">
        <f t="shared" si="1138"/>
        <v>0</v>
      </c>
      <c r="J970" s="31">
        <f t="shared" si="1139"/>
        <v>0</v>
      </c>
      <c r="K970" s="31">
        <f t="shared" si="1140"/>
        <v>0</v>
      </c>
      <c r="L970" s="31">
        <f t="shared" si="1141"/>
        <v>0</v>
      </c>
      <c r="M970" s="31">
        <f t="shared" si="1142"/>
        <v>0.45657999999999999</v>
      </c>
      <c r="N970" s="31">
        <f t="shared" si="1143"/>
        <v>0</v>
      </c>
      <c r="O970" s="31">
        <f t="shared" si="1144"/>
        <v>0</v>
      </c>
      <c r="P970" s="31">
        <f t="shared" si="1145"/>
        <v>0</v>
      </c>
      <c r="Q970" s="49">
        <f t="shared" si="1146"/>
        <v>0</v>
      </c>
    </row>
    <row r="971" spans="4:17" s="16" customFormat="1" ht="13.2" x14ac:dyDescent="0.25">
      <c r="D971" s="235">
        <v>37</v>
      </c>
      <c r="E971" s="240">
        <v>1</v>
      </c>
      <c r="F971" s="241">
        <v>10</v>
      </c>
      <c r="G971" s="242">
        <v>0.78</v>
      </c>
      <c r="H971" s="239">
        <f t="shared" si="1137"/>
        <v>0.78</v>
      </c>
      <c r="I971" s="131">
        <f t="shared" si="1138"/>
        <v>0</v>
      </c>
      <c r="J971" s="31">
        <f t="shared" si="1139"/>
        <v>0</v>
      </c>
      <c r="K971" s="31">
        <f t="shared" si="1140"/>
        <v>0</v>
      </c>
      <c r="L971" s="31">
        <f t="shared" si="1141"/>
        <v>0</v>
      </c>
      <c r="M971" s="31">
        <f t="shared" si="1142"/>
        <v>0.48126000000000002</v>
      </c>
      <c r="N971" s="31">
        <f t="shared" si="1143"/>
        <v>0</v>
      </c>
      <c r="O971" s="31">
        <f t="shared" si="1144"/>
        <v>0</v>
      </c>
      <c r="P971" s="31">
        <f t="shared" si="1145"/>
        <v>0</v>
      </c>
      <c r="Q971" s="49">
        <f t="shared" si="1146"/>
        <v>0</v>
      </c>
    </row>
    <row r="972" spans="4:17" s="16" customFormat="1" ht="13.2" x14ac:dyDescent="0.25">
      <c r="D972" s="235">
        <v>38</v>
      </c>
      <c r="E972" s="240">
        <v>2</v>
      </c>
      <c r="F972" s="241">
        <v>10</v>
      </c>
      <c r="G972" s="242">
        <v>2.25</v>
      </c>
      <c r="H972" s="239">
        <f t="shared" si="1137"/>
        <v>4.5</v>
      </c>
      <c r="I972" s="131">
        <f t="shared" si="1138"/>
        <v>0</v>
      </c>
      <c r="J972" s="31">
        <f t="shared" si="1139"/>
        <v>0</v>
      </c>
      <c r="K972" s="31">
        <f t="shared" si="1140"/>
        <v>0</v>
      </c>
      <c r="L972" s="31">
        <f t="shared" si="1141"/>
        <v>0</v>
      </c>
      <c r="M972" s="31">
        <f t="shared" si="1142"/>
        <v>2.7765</v>
      </c>
      <c r="N972" s="31">
        <f t="shared" si="1143"/>
        <v>0</v>
      </c>
      <c r="O972" s="31">
        <f t="shared" si="1144"/>
        <v>0</v>
      </c>
      <c r="P972" s="31">
        <f t="shared" si="1145"/>
        <v>0</v>
      </c>
      <c r="Q972" s="49">
        <f t="shared" si="1146"/>
        <v>0</v>
      </c>
    </row>
    <row r="973" spans="4:17" s="16" customFormat="1" ht="13.2" x14ac:dyDescent="0.25">
      <c r="D973" s="235">
        <v>39</v>
      </c>
      <c r="E973" s="240">
        <v>2</v>
      </c>
      <c r="F973" s="241">
        <v>10</v>
      </c>
      <c r="G973" s="242">
        <v>5.22</v>
      </c>
      <c r="H973" s="239">
        <f t="shared" si="1137"/>
        <v>10.44</v>
      </c>
      <c r="I973" s="131">
        <f t="shared" si="1138"/>
        <v>0</v>
      </c>
      <c r="J973" s="31">
        <f t="shared" si="1139"/>
        <v>0</v>
      </c>
      <c r="K973" s="31">
        <f t="shared" si="1140"/>
        <v>0</v>
      </c>
      <c r="L973" s="31">
        <f t="shared" si="1141"/>
        <v>0</v>
      </c>
      <c r="M973" s="31">
        <f t="shared" si="1142"/>
        <v>6.4414799999999994</v>
      </c>
      <c r="N973" s="31">
        <f t="shared" si="1143"/>
        <v>0</v>
      </c>
      <c r="O973" s="31">
        <f t="shared" si="1144"/>
        <v>0</v>
      </c>
      <c r="P973" s="31">
        <f t="shared" si="1145"/>
        <v>0</v>
      </c>
      <c r="Q973" s="49">
        <f t="shared" si="1146"/>
        <v>0</v>
      </c>
    </row>
    <row r="974" spans="4:17" s="16" customFormat="1" ht="13.2" x14ac:dyDescent="0.25">
      <c r="D974" s="235">
        <v>44</v>
      </c>
      <c r="E974" s="240">
        <v>2</v>
      </c>
      <c r="F974" s="241">
        <v>12.5</v>
      </c>
      <c r="G974" s="242">
        <v>2.56</v>
      </c>
      <c r="H974" s="239">
        <f t="shared" si="1137"/>
        <v>5.12</v>
      </c>
      <c r="I974" s="131">
        <f t="shared" si="1138"/>
        <v>0</v>
      </c>
      <c r="J974" s="31">
        <f t="shared" si="1139"/>
        <v>0</v>
      </c>
      <c r="K974" s="31">
        <f t="shared" si="1140"/>
        <v>0</v>
      </c>
      <c r="L974" s="31">
        <f t="shared" si="1141"/>
        <v>0</v>
      </c>
      <c r="M974" s="31">
        <f t="shared" si="1142"/>
        <v>0</v>
      </c>
      <c r="N974" s="31">
        <f t="shared" si="1143"/>
        <v>4.9305599999999998</v>
      </c>
      <c r="O974" s="31">
        <f t="shared" si="1144"/>
        <v>0</v>
      </c>
      <c r="P974" s="31">
        <f t="shared" si="1145"/>
        <v>0</v>
      </c>
      <c r="Q974" s="49">
        <f t="shared" si="1146"/>
        <v>0</v>
      </c>
    </row>
    <row r="975" spans="4:17" s="16" customFormat="1" ht="13.2" x14ac:dyDescent="0.25">
      <c r="D975" s="235">
        <v>45</v>
      </c>
      <c r="E975" s="240">
        <v>2</v>
      </c>
      <c r="F975" s="241">
        <v>12.5</v>
      </c>
      <c r="G975" s="242">
        <v>0.96</v>
      </c>
      <c r="H975" s="239">
        <f t="shared" si="1137"/>
        <v>1.92</v>
      </c>
      <c r="I975" s="131">
        <f t="shared" si="1138"/>
        <v>0</v>
      </c>
      <c r="J975" s="31">
        <f t="shared" si="1139"/>
        <v>0</v>
      </c>
      <c r="K975" s="31">
        <f t="shared" si="1140"/>
        <v>0</v>
      </c>
      <c r="L975" s="31">
        <f t="shared" si="1141"/>
        <v>0</v>
      </c>
      <c r="M975" s="31">
        <f t="shared" si="1142"/>
        <v>0</v>
      </c>
      <c r="N975" s="31">
        <f t="shared" si="1143"/>
        <v>1.8489599999999999</v>
      </c>
      <c r="O975" s="31">
        <f t="shared" si="1144"/>
        <v>0</v>
      </c>
      <c r="P975" s="31">
        <f t="shared" si="1145"/>
        <v>0</v>
      </c>
      <c r="Q975" s="49">
        <f t="shared" si="1146"/>
        <v>0</v>
      </c>
    </row>
    <row r="976" spans="4:17" s="16" customFormat="1" ht="13.8" thickBot="1" x14ac:dyDescent="0.3">
      <c r="D976" s="307"/>
      <c r="E976" s="26"/>
      <c r="F976" s="206"/>
      <c r="G976" s="207"/>
      <c r="H976" s="207"/>
      <c r="I976" s="51"/>
      <c r="J976" s="308"/>
      <c r="K976" s="308"/>
      <c r="L976" s="308"/>
      <c r="M976" s="308"/>
      <c r="N976" s="308"/>
      <c r="O976" s="308"/>
      <c r="P976" s="308"/>
      <c r="Q976" s="309"/>
    </row>
    <row r="977" spans="4:17" s="16" customFormat="1" ht="13.2" x14ac:dyDescent="0.25">
      <c r="D977" s="796" t="s">
        <v>1678</v>
      </c>
      <c r="E977" s="797"/>
      <c r="F977" s="797"/>
      <c r="G977" s="797"/>
      <c r="H977" s="797"/>
      <c r="I977" s="47">
        <f t="shared" ref="I977:Q977" si="1147">SUM(I978:I981)</f>
        <v>0</v>
      </c>
      <c r="J977" s="47">
        <f t="shared" si="1147"/>
        <v>4.9295399999999994</v>
      </c>
      <c r="K977" s="47">
        <f t="shared" si="1147"/>
        <v>0</v>
      </c>
      <c r="L977" s="47">
        <f t="shared" si="1147"/>
        <v>0</v>
      </c>
      <c r="M977" s="47">
        <f t="shared" si="1147"/>
        <v>15.437339999999999</v>
      </c>
      <c r="N977" s="47">
        <f t="shared" si="1147"/>
        <v>14.90724</v>
      </c>
      <c r="O977" s="47">
        <f t="shared" si="1147"/>
        <v>0</v>
      </c>
      <c r="P977" s="47">
        <f t="shared" si="1147"/>
        <v>0</v>
      </c>
      <c r="Q977" s="47">
        <f t="shared" si="1147"/>
        <v>0</v>
      </c>
    </row>
    <row r="978" spans="4:17" s="16" customFormat="1" ht="13.2" x14ac:dyDescent="0.25">
      <c r="D978" s="235">
        <v>1</v>
      </c>
      <c r="E978" s="237">
        <v>33</v>
      </c>
      <c r="F978" s="238">
        <v>5</v>
      </c>
      <c r="G978" s="239">
        <v>0.97</v>
      </c>
      <c r="H978" s="239">
        <f>E978*G978</f>
        <v>32.01</v>
      </c>
      <c r="I978" s="131">
        <f>IF($F978=4.2,H978*$B$23,0)</f>
        <v>0</v>
      </c>
      <c r="J978" s="31">
        <f>IF($F978=5,$H978*$B$24,0)</f>
        <v>4.9295399999999994</v>
      </c>
      <c r="K978" s="31">
        <f>IF($F978=6.3,$H978*$B$25,0)</f>
        <v>0</v>
      </c>
      <c r="L978" s="31">
        <f>IF($F978=8,$H978*$B$26,0)</f>
        <v>0</v>
      </c>
      <c r="M978" s="31">
        <f>IF($F978=10,$H978*$B$27,0)</f>
        <v>0</v>
      </c>
      <c r="N978" s="31">
        <f>IF($F978=12.5,$H978*$B$28,0)</f>
        <v>0</v>
      </c>
      <c r="O978" s="31">
        <f>IF($F978=16,$H978*$B$29,0)</f>
        <v>0</v>
      </c>
      <c r="P978" s="31">
        <f>IF($F978=20,$H978*$B$30,0)</f>
        <v>0</v>
      </c>
      <c r="Q978" s="49">
        <f>IF($F978=25,$H978*$B$31,0)</f>
        <v>0</v>
      </c>
    </row>
    <row r="979" spans="4:17" s="16" customFormat="1" ht="13.2" x14ac:dyDescent="0.25">
      <c r="D979" s="235">
        <v>40</v>
      </c>
      <c r="E979" s="240">
        <v>1</v>
      </c>
      <c r="F979" s="241">
        <v>10</v>
      </c>
      <c r="G979" s="242">
        <v>3.6</v>
      </c>
      <c r="H979" s="239">
        <f>E979*G979</f>
        <v>3.6</v>
      </c>
      <c r="I979" s="131">
        <f>IF($F979=4.2,H979*$B$23,0)</f>
        <v>0</v>
      </c>
      <c r="J979" s="31">
        <f>IF($F979=5,$H979*$B$24,0)</f>
        <v>0</v>
      </c>
      <c r="K979" s="31">
        <f>IF($F979=6.3,$H979*$B$25,0)</f>
        <v>0</v>
      </c>
      <c r="L979" s="31">
        <f>IF($F979=8,$H979*$B$26,0)</f>
        <v>0</v>
      </c>
      <c r="M979" s="31">
        <f>IF($F979=10,$H979*$B$27,0)</f>
        <v>2.2212000000000001</v>
      </c>
      <c r="N979" s="31">
        <f>IF($F979=12.5,$H979*$B$28,0)</f>
        <v>0</v>
      </c>
      <c r="O979" s="31">
        <f>IF($F979=16,$H979*$B$29,0)</f>
        <v>0</v>
      </c>
      <c r="P979" s="31">
        <f>IF($F979=20,$H979*$B$30,0)</f>
        <v>0</v>
      </c>
      <c r="Q979" s="49">
        <f>IF($F979=25,$H979*$B$31,0)</f>
        <v>0</v>
      </c>
    </row>
    <row r="980" spans="4:17" s="16" customFormat="1" ht="13.2" x14ac:dyDescent="0.25">
      <c r="D980" s="235">
        <v>41</v>
      </c>
      <c r="E980" s="240">
        <v>3</v>
      </c>
      <c r="F980" s="241">
        <v>10</v>
      </c>
      <c r="G980" s="242">
        <v>7.14</v>
      </c>
      <c r="H980" s="239">
        <f>E980*G980</f>
        <v>21.419999999999998</v>
      </c>
      <c r="I980" s="131">
        <f>IF($F980=4.2,H980*$B$23,0)</f>
        <v>0</v>
      </c>
      <c r="J980" s="31">
        <f>IF($F980=5,$H980*$B$24,0)</f>
        <v>0</v>
      </c>
      <c r="K980" s="31">
        <f>IF($F980=6.3,$H980*$B$25,0)</f>
        <v>0</v>
      </c>
      <c r="L980" s="31">
        <f>IF($F980=8,$H980*$B$26,0)</f>
        <v>0</v>
      </c>
      <c r="M980" s="31">
        <f>IF($F980=10,$H980*$B$27,0)</f>
        <v>13.216139999999999</v>
      </c>
      <c r="N980" s="31">
        <f>IF($F980=12.5,$H980*$B$28,0)</f>
        <v>0</v>
      </c>
      <c r="O980" s="31">
        <f>IF($F980=16,$H980*$B$29,0)</f>
        <v>0</v>
      </c>
      <c r="P980" s="31">
        <f>IF($F980=20,$H980*$B$30,0)</f>
        <v>0</v>
      </c>
      <c r="Q980" s="49">
        <f>IF($F980=25,$H980*$B$31,0)</f>
        <v>0</v>
      </c>
    </row>
    <row r="981" spans="4:17" s="16" customFormat="1" ht="13.2" x14ac:dyDescent="0.25">
      <c r="D981" s="235">
        <v>46</v>
      </c>
      <c r="E981" s="240">
        <v>2</v>
      </c>
      <c r="F981" s="241">
        <v>12.5</v>
      </c>
      <c r="G981" s="242">
        <v>7.74</v>
      </c>
      <c r="H981" s="239">
        <f>E981*G981</f>
        <v>15.48</v>
      </c>
      <c r="I981" s="131">
        <f>IF($F981=4.2,H981*$B$23,0)</f>
        <v>0</v>
      </c>
      <c r="J981" s="31">
        <f>IF($F981=5,$H981*$B$24,0)</f>
        <v>0</v>
      </c>
      <c r="K981" s="31">
        <f>IF($F981=6.3,$H981*$B$25,0)</f>
        <v>0</v>
      </c>
      <c r="L981" s="31">
        <f>IF($F981=8,$H981*$B$26,0)</f>
        <v>0</v>
      </c>
      <c r="M981" s="31">
        <f>IF($F981=10,$H981*$B$27,0)</f>
        <v>0</v>
      </c>
      <c r="N981" s="31">
        <f>IF($F981=12.5,$H981*$B$28,0)</f>
        <v>14.90724</v>
      </c>
      <c r="O981" s="31">
        <f>IF($F981=16,$H981*$B$29,0)</f>
        <v>0</v>
      </c>
      <c r="P981" s="31">
        <f>IF($F981=20,$H981*$B$30,0)</f>
        <v>0</v>
      </c>
      <c r="Q981" s="49">
        <f>IF($F981=25,$H981*$B$31,0)</f>
        <v>0</v>
      </c>
    </row>
    <row r="982" spans="4:17" s="16" customFormat="1" ht="13.8" thickBot="1" x14ac:dyDescent="0.3">
      <c r="D982" s="307"/>
      <c r="E982" s="26"/>
      <c r="F982" s="206"/>
      <c r="G982" s="207"/>
      <c r="H982" s="207"/>
      <c r="I982" s="51"/>
      <c r="J982" s="308"/>
      <c r="K982" s="308"/>
      <c r="L982" s="308"/>
      <c r="M982" s="308"/>
      <c r="N982" s="308"/>
      <c r="O982" s="308"/>
      <c r="P982" s="308"/>
      <c r="Q982" s="309"/>
    </row>
    <row r="983" spans="4:17" s="16" customFormat="1" ht="13.2" x14ac:dyDescent="0.25">
      <c r="D983" s="796" t="s">
        <v>1679</v>
      </c>
      <c r="E983" s="797"/>
      <c r="F983" s="797"/>
      <c r="G983" s="797"/>
      <c r="H983" s="797"/>
      <c r="I983" s="47">
        <f>SUM(I984:I987)</f>
        <v>0</v>
      </c>
      <c r="J983" s="47">
        <f t="shared" ref="J983:Q983" si="1148">SUM(J984:J987)</f>
        <v>2.8382199999999997</v>
      </c>
      <c r="K983" s="47">
        <f t="shared" si="1148"/>
        <v>0</v>
      </c>
      <c r="L983" s="47">
        <f t="shared" si="1148"/>
        <v>3.5787000000000004</v>
      </c>
      <c r="M983" s="47">
        <f t="shared" si="1148"/>
        <v>7.9469600000000007</v>
      </c>
      <c r="N983" s="47">
        <f t="shared" si="1148"/>
        <v>0</v>
      </c>
      <c r="O983" s="47">
        <f t="shared" si="1148"/>
        <v>0</v>
      </c>
      <c r="P983" s="47">
        <f t="shared" si="1148"/>
        <v>0</v>
      </c>
      <c r="Q983" s="47">
        <f t="shared" si="1148"/>
        <v>0</v>
      </c>
    </row>
    <row r="984" spans="4:17" s="16" customFormat="1" ht="13.2" x14ac:dyDescent="0.25">
      <c r="D984" s="235">
        <v>1</v>
      </c>
      <c r="E984" s="237">
        <v>19</v>
      </c>
      <c r="F984" s="238">
        <v>5</v>
      </c>
      <c r="G984" s="239">
        <v>0.97</v>
      </c>
      <c r="H984" s="239">
        <f>E984*G984</f>
        <v>18.43</v>
      </c>
      <c r="I984" s="131">
        <f>IF($F984=4.2,H984*$B$23,0)</f>
        <v>0</v>
      </c>
      <c r="J984" s="31">
        <f>IF($F984=5,$H984*$B$24,0)</f>
        <v>2.8382199999999997</v>
      </c>
      <c r="K984" s="31">
        <f>IF($F984=6.3,$H984*$B$25,0)</f>
        <v>0</v>
      </c>
      <c r="L984" s="31">
        <f>IF($F984=8,$H984*$B$26,0)</f>
        <v>0</v>
      </c>
      <c r="M984" s="31">
        <f>IF($F984=10,$H984*$B$27,0)</f>
        <v>0</v>
      </c>
      <c r="N984" s="31">
        <f>IF($F984=12.5,$H984*$B$28,0)</f>
        <v>0</v>
      </c>
      <c r="O984" s="31">
        <f>IF($F984=16,$H984*$B$29,0)</f>
        <v>0</v>
      </c>
      <c r="P984" s="31">
        <f>IF($F984=20,$H984*$B$30,0)</f>
        <v>0</v>
      </c>
      <c r="Q984" s="49">
        <f>IF($F984=25,$H984*$B$31,0)</f>
        <v>0</v>
      </c>
    </row>
    <row r="985" spans="4:17" s="16" customFormat="1" ht="13.2" x14ac:dyDescent="0.25">
      <c r="D985" s="235">
        <v>24</v>
      </c>
      <c r="E985" s="240">
        <v>2</v>
      </c>
      <c r="F985" s="241">
        <v>8</v>
      </c>
      <c r="G985" s="242">
        <v>4.53</v>
      </c>
      <c r="H985" s="239">
        <f>E985*G985</f>
        <v>9.06</v>
      </c>
      <c r="I985" s="131">
        <f>IF($F985=4.2,H985*$B$23,0)</f>
        <v>0</v>
      </c>
      <c r="J985" s="31">
        <f>IF($F985=5,$H985*$B$24,0)</f>
        <v>0</v>
      </c>
      <c r="K985" s="31">
        <f>IF($F985=6.3,$H985*$B$25,0)</f>
        <v>0</v>
      </c>
      <c r="L985" s="31">
        <f>IF($F985=8,$H985*$B$26,0)</f>
        <v>3.5787000000000004</v>
      </c>
      <c r="M985" s="31">
        <f>IF($F985=10,$H985*$B$27,0)</f>
        <v>0</v>
      </c>
      <c r="N985" s="31">
        <f>IF($F985=12.5,$H985*$B$28,0)</f>
        <v>0</v>
      </c>
      <c r="O985" s="31">
        <f>IF($F985=16,$H985*$B$29,0)</f>
        <v>0</v>
      </c>
      <c r="P985" s="31">
        <f>IF($F985=20,$H985*$B$30,0)</f>
        <v>0</v>
      </c>
      <c r="Q985" s="49">
        <f>IF($F985=25,$H985*$B$31,0)</f>
        <v>0</v>
      </c>
    </row>
    <row r="986" spans="4:17" s="16" customFormat="1" ht="13.2" x14ac:dyDescent="0.25">
      <c r="D986" s="235">
        <v>42</v>
      </c>
      <c r="E986" s="240">
        <v>2</v>
      </c>
      <c r="F986" s="241">
        <v>10</v>
      </c>
      <c r="G986" s="242">
        <v>2.35</v>
      </c>
      <c r="H986" s="239">
        <f>E986*G986</f>
        <v>4.7</v>
      </c>
      <c r="I986" s="131">
        <f>IF($F986=4.2,H986*$B$23,0)</f>
        <v>0</v>
      </c>
      <c r="J986" s="31">
        <f>IF($F986=5,$H986*$B$24,0)</f>
        <v>0</v>
      </c>
      <c r="K986" s="31">
        <f>IF($F986=6.3,$H986*$B$25,0)</f>
        <v>0</v>
      </c>
      <c r="L986" s="31">
        <f>IF($F986=8,$H986*$B$26,0)</f>
        <v>0</v>
      </c>
      <c r="M986" s="31">
        <f>IF($F986=10,$H986*$B$27,0)</f>
        <v>2.8999000000000001</v>
      </c>
      <c r="N986" s="31">
        <f>IF($F986=12.5,$H986*$B$28,0)</f>
        <v>0</v>
      </c>
      <c r="O986" s="31">
        <f>IF($F986=16,$H986*$B$29,0)</f>
        <v>0</v>
      </c>
      <c r="P986" s="31">
        <f>IF($F986=20,$H986*$B$30,0)</f>
        <v>0</v>
      </c>
      <c r="Q986" s="49">
        <f>IF($F986=25,$H986*$B$31,0)</f>
        <v>0</v>
      </c>
    </row>
    <row r="987" spans="4:17" s="16" customFormat="1" ht="13.2" x14ac:dyDescent="0.25">
      <c r="D987" s="235">
        <v>43</v>
      </c>
      <c r="E987" s="240">
        <v>2</v>
      </c>
      <c r="F987" s="241">
        <v>10</v>
      </c>
      <c r="G987" s="242">
        <v>4.09</v>
      </c>
      <c r="H987" s="239">
        <f>E987*G987</f>
        <v>8.18</v>
      </c>
      <c r="I987" s="131">
        <f>IF($F987=4.2,H987*$B$23,0)</f>
        <v>0</v>
      </c>
      <c r="J987" s="31">
        <f>IF($F987=5,$H987*$B$24,0)</f>
        <v>0</v>
      </c>
      <c r="K987" s="31">
        <f>IF($F987=6.3,$H987*$B$25,0)</f>
        <v>0</v>
      </c>
      <c r="L987" s="31">
        <f>IF($F987=8,$H987*$B$26,0)</f>
        <v>0</v>
      </c>
      <c r="M987" s="31">
        <f>IF($F987=10,$H987*$B$27,0)</f>
        <v>5.0470600000000001</v>
      </c>
      <c r="N987" s="31">
        <f>IF($F987=12.5,$H987*$B$28,0)</f>
        <v>0</v>
      </c>
      <c r="O987" s="31">
        <f>IF($F987=16,$H987*$B$29,0)</f>
        <v>0</v>
      </c>
      <c r="P987" s="31">
        <f>IF($F987=20,$H987*$B$30,0)</f>
        <v>0</v>
      </c>
      <c r="Q987" s="49">
        <f>IF($F987=25,$H987*$B$31,0)</f>
        <v>0</v>
      </c>
    </row>
    <row r="988" spans="4:17" s="16" customFormat="1" ht="13.8" thickBot="1" x14ac:dyDescent="0.3">
      <c r="D988" s="307"/>
      <c r="E988" s="26"/>
      <c r="F988" s="206"/>
      <c r="G988" s="207"/>
      <c r="H988" s="207"/>
      <c r="I988" s="51"/>
      <c r="J988" s="308"/>
      <c r="K988" s="308"/>
      <c r="L988" s="308"/>
      <c r="M988" s="308"/>
      <c r="N988" s="308"/>
      <c r="O988" s="308"/>
      <c r="P988" s="308"/>
      <c r="Q988" s="309"/>
    </row>
    <row r="989" spans="4:17" s="16" customFormat="1" ht="13.2" x14ac:dyDescent="0.25">
      <c r="D989" s="796" t="s">
        <v>1680</v>
      </c>
      <c r="E989" s="797"/>
      <c r="F989" s="797"/>
      <c r="G989" s="797"/>
      <c r="H989" s="797"/>
      <c r="I989" s="47">
        <f>SUM(I990:I999)</f>
        <v>0</v>
      </c>
      <c r="J989" s="47">
        <f t="shared" ref="J989:Q989" si="1149">SUM(J990:J999)</f>
        <v>3.5851200000000003</v>
      </c>
      <c r="K989" s="47">
        <f t="shared" si="1149"/>
        <v>0</v>
      </c>
      <c r="L989" s="47">
        <f t="shared" si="1149"/>
        <v>7.4773499999999995</v>
      </c>
      <c r="M989" s="47">
        <f t="shared" si="1149"/>
        <v>10.155819999999999</v>
      </c>
      <c r="N989" s="47">
        <f t="shared" si="1149"/>
        <v>0</v>
      </c>
      <c r="O989" s="47">
        <f t="shared" si="1149"/>
        <v>0</v>
      </c>
      <c r="P989" s="47">
        <f t="shared" si="1149"/>
        <v>0</v>
      </c>
      <c r="Q989" s="47">
        <f t="shared" si="1149"/>
        <v>0</v>
      </c>
    </row>
    <row r="990" spans="4:17" s="16" customFormat="1" ht="13.2" x14ac:dyDescent="0.25">
      <c r="D990" s="235">
        <v>1</v>
      </c>
      <c r="E990" s="237">
        <v>24</v>
      </c>
      <c r="F990" s="238">
        <v>5</v>
      </c>
      <c r="G990" s="239">
        <v>0.97</v>
      </c>
      <c r="H990" s="239">
        <f t="shared" ref="H990:H999" si="1150">E990*G990</f>
        <v>23.28</v>
      </c>
      <c r="I990" s="131">
        <f t="shared" ref="I990:I999" si="1151">IF($F990=4.2,H990*$B$23,0)</f>
        <v>0</v>
      </c>
      <c r="J990" s="31">
        <f t="shared" ref="J990:J999" si="1152">IF($F990=5,$H990*$B$24,0)</f>
        <v>3.5851200000000003</v>
      </c>
      <c r="K990" s="31">
        <f t="shared" ref="K990:K999" si="1153">IF($F990=6.3,$H990*$B$25,0)</f>
        <v>0</v>
      </c>
      <c r="L990" s="31">
        <f t="shared" ref="L990:L999" si="1154">IF($F990=8,$H990*$B$26,0)</f>
        <v>0</v>
      </c>
      <c r="M990" s="31">
        <f t="shared" ref="M990:M999" si="1155">IF($F990=10,$H990*$B$27,0)</f>
        <v>0</v>
      </c>
      <c r="N990" s="31">
        <f t="shared" ref="N990:N999" si="1156">IF($F990=12.5,$H990*$B$28,0)</f>
        <v>0</v>
      </c>
      <c r="O990" s="31">
        <f t="shared" ref="O990:O999" si="1157">IF($F990=16,$H990*$B$29,0)</f>
        <v>0</v>
      </c>
      <c r="P990" s="31">
        <f t="shared" ref="P990:P999" si="1158">IF($F990=20,$H990*$B$30,0)</f>
        <v>0</v>
      </c>
      <c r="Q990" s="49">
        <f t="shared" ref="Q990:Q999" si="1159">IF($F990=25,$H990*$B$31,0)</f>
        <v>0</v>
      </c>
    </row>
    <row r="991" spans="4:17" s="16" customFormat="1" ht="13.2" x14ac:dyDescent="0.25">
      <c r="D991" s="235">
        <v>2</v>
      </c>
      <c r="E991" s="240">
        <v>1</v>
      </c>
      <c r="F991" s="241">
        <v>8</v>
      </c>
      <c r="G991" s="242">
        <v>1.35</v>
      </c>
      <c r="H991" s="239">
        <f t="shared" si="1150"/>
        <v>1.35</v>
      </c>
      <c r="I991" s="131">
        <f t="shared" si="1151"/>
        <v>0</v>
      </c>
      <c r="J991" s="31">
        <f t="shared" si="1152"/>
        <v>0</v>
      </c>
      <c r="K991" s="31">
        <f t="shared" si="1153"/>
        <v>0</v>
      </c>
      <c r="L991" s="31">
        <f t="shared" si="1154"/>
        <v>0.53325000000000011</v>
      </c>
      <c r="M991" s="31">
        <f t="shared" si="1155"/>
        <v>0</v>
      </c>
      <c r="N991" s="31">
        <f t="shared" si="1156"/>
        <v>0</v>
      </c>
      <c r="O991" s="31">
        <f t="shared" si="1157"/>
        <v>0</v>
      </c>
      <c r="P991" s="31">
        <f t="shared" si="1158"/>
        <v>0</v>
      </c>
      <c r="Q991" s="49">
        <f t="shared" si="1159"/>
        <v>0</v>
      </c>
    </row>
    <row r="992" spans="4:17" s="16" customFormat="1" ht="13.2" x14ac:dyDescent="0.25">
      <c r="D992" s="235">
        <v>3</v>
      </c>
      <c r="E992" s="240">
        <v>2</v>
      </c>
      <c r="F992" s="241">
        <v>8</v>
      </c>
      <c r="G992" s="242">
        <v>2.0499999999999998</v>
      </c>
      <c r="H992" s="239">
        <f t="shared" si="1150"/>
        <v>4.0999999999999996</v>
      </c>
      <c r="I992" s="131">
        <f t="shared" si="1151"/>
        <v>0</v>
      </c>
      <c r="J992" s="31">
        <f t="shared" si="1152"/>
        <v>0</v>
      </c>
      <c r="K992" s="31">
        <f t="shared" si="1153"/>
        <v>0</v>
      </c>
      <c r="L992" s="31">
        <f t="shared" si="1154"/>
        <v>1.6194999999999999</v>
      </c>
      <c r="M992" s="31">
        <f t="shared" si="1155"/>
        <v>0</v>
      </c>
      <c r="N992" s="31">
        <f t="shared" si="1156"/>
        <v>0</v>
      </c>
      <c r="O992" s="31">
        <f t="shared" si="1157"/>
        <v>0</v>
      </c>
      <c r="P992" s="31">
        <f t="shared" si="1158"/>
        <v>0</v>
      </c>
      <c r="Q992" s="49">
        <f t="shared" si="1159"/>
        <v>0</v>
      </c>
    </row>
    <row r="993" spans="4:17" s="16" customFormat="1" ht="13.2" x14ac:dyDescent="0.25">
      <c r="D993" s="235">
        <v>4</v>
      </c>
      <c r="E993" s="240">
        <v>1</v>
      </c>
      <c r="F993" s="241">
        <v>8</v>
      </c>
      <c r="G993" s="242">
        <v>2.12</v>
      </c>
      <c r="H993" s="239">
        <f t="shared" si="1150"/>
        <v>2.12</v>
      </c>
      <c r="I993" s="131">
        <f t="shared" si="1151"/>
        <v>0</v>
      </c>
      <c r="J993" s="31">
        <f t="shared" si="1152"/>
        <v>0</v>
      </c>
      <c r="K993" s="31">
        <f t="shared" si="1153"/>
        <v>0</v>
      </c>
      <c r="L993" s="31">
        <f t="shared" si="1154"/>
        <v>0.83740000000000003</v>
      </c>
      <c r="M993" s="31">
        <f t="shared" si="1155"/>
        <v>0</v>
      </c>
      <c r="N993" s="31">
        <f t="shared" si="1156"/>
        <v>0</v>
      </c>
      <c r="O993" s="31">
        <f t="shared" si="1157"/>
        <v>0</v>
      </c>
      <c r="P993" s="31">
        <f t="shared" si="1158"/>
        <v>0</v>
      </c>
      <c r="Q993" s="49">
        <f t="shared" si="1159"/>
        <v>0</v>
      </c>
    </row>
    <row r="994" spans="4:17" s="16" customFormat="1" ht="13.2" x14ac:dyDescent="0.25">
      <c r="D994" s="235">
        <v>5</v>
      </c>
      <c r="E994" s="240">
        <v>2</v>
      </c>
      <c r="F994" s="241">
        <v>8</v>
      </c>
      <c r="G994" s="242">
        <v>5.68</v>
      </c>
      <c r="H994" s="239">
        <f t="shared" si="1150"/>
        <v>11.36</v>
      </c>
      <c r="I994" s="131">
        <f t="shared" si="1151"/>
        <v>0</v>
      </c>
      <c r="J994" s="31">
        <f t="shared" si="1152"/>
        <v>0</v>
      </c>
      <c r="K994" s="31">
        <f t="shared" si="1153"/>
        <v>0</v>
      </c>
      <c r="L994" s="31">
        <f t="shared" si="1154"/>
        <v>4.4871999999999996</v>
      </c>
      <c r="M994" s="31">
        <f t="shared" si="1155"/>
        <v>0</v>
      </c>
      <c r="N994" s="31">
        <f t="shared" si="1156"/>
        <v>0</v>
      </c>
      <c r="O994" s="31">
        <f t="shared" si="1157"/>
        <v>0</v>
      </c>
      <c r="P994" s="31">
        <f t="shared" si="1158"/>
        <v>0</v>
      </c>
      <c r="Q994" s="49">
        <f t="shared" si="1159"/>
        <v>0</v>
      </c>
    </row>
    <row r="995" spans="4:17" s="16" customFormat="1" ht="13.2" x14ac:dyDescent="0.25">
      <c r="D995" s="235">
        <v>25</v>
      </c>
      <c r="E995" s="240">
        <v>1</v>
      </c>
      <c r="F995" s="241">
        <v>10</v>
      </c>
      <c r="G995" s="242">
        <v>0.74</v>
      </c>
      <c r="H995" s="239">
        <f t="shared" si="1150"/>
        <v>0.74</v>
      </c>
      <c r="I995" s="131">
        <f t="shared" si="1151"/>
        <v>0</v>
      </c>
      <c r="J995" s="31">
        <f t="shared" si="1152"/>
        <v>0</v>
      </c>
      <c r="K995" s="31">
        <f t="shared" si="1153"/>
        <v>0</v>
      </c>
      <c r="L995" s="31">
        <f t="shared" si="1154"/>
        <v>0</v>
      </c>
      <c r="M995" s="31">
        <f t="shared" si="1155"/>
        <v>0.45657999999999999</v>
      </c>
      <c r="N995" s="31">
        <f t="shared" si="1156"/>
        <v>0</v>
      </c>
      <c r="O995" s="31">
        <f t="shared" si="1157"/>
        <v>0</v>
      </c>
      <c r="P995" s="31">
        <f t="shared" si="1158"/>
        <v>0</v>
      </c>
      <c r="Q995" s="49">
        <f t="shared" si="1159"/>
        <v>0</v>
      </c>
    </row>
    <row r="996" spans="4:17" s="16" customFormat="1" ht="13.2" x14ac:dyDescent="0.25">
      <c r="D996" s="235">
        <v>26</v>
      </c>
      <c r="E996" s="240">
        <v>1</v>
      </c>
      <c r="F996" s="241">
        <v>10</v>
      </c>
      <c r="G996" s="242">
        <v>0.78</v>
      </c>
      <c r="H996" s="239">
        <f t="shared" si="1150"/>
        <v>0.78</v>
      </c>
      <c r="I996" s="131">
        <f t="shared" si="1151"/>
        <v>0</v>
      </c>
      <c r="J996" s="31">
        <f t="shared" si="1152"/>
        <v>0</v>
      </c>
      <c r="K996" s="31">
        <f t="shared" si="1153"/>
        <v>0</v>
      </c>
      <c r="L996" s="31">
        <f t="shared" si="1154"/>
        <v>0</v>
      </c>
      <c r="M996" s="31">
        <f t="shared" si="1155"/>
        <v>0.48126000000000002</v>
      </c>
      <c r="N996" s="31">
        <f t="shared" si="1156"/>
        <v>0</v>
      </c>
      <c r="O996" s="31">
        <f t="shared" si="1157"/>
        <v>0</v>
      </c>
      <c r="P996" s="31">
        <f t="shared" si="1158"/>
        <v>0</v>
      </c>
      <c r="Q996" s="49">
        <f t="shared" si="1159"/>
        <v>0</v>
      </c>
    </row>
    <row r="997" spans="4:17" s="16" customFormat="1" ht="13.2" x14ac:dyDescent="0.25">
      <c r="D997" s="235">
        <v>27</v>
      </c>
      <c r="E997" s="240">
        <v>2</v>
      </c>
      <c r="F997" s="241">
        <v>10</v>
      </c>
      <c r="G997" s="242">
        <v>2.25</v>
      </c>
      <c r="H997" s="239">
        <f t="shared" si="1150"/>
        <v>4.5</v>
      </c>
      <c r="I997" s="131">
        <f t="shared" si="1151"/>
        <v>0</v>
      </c>
      <c r="J997" s="31">
        <f t="shared" si="1152"/>
        <v>0</v>
      </c>
      <c r="K997" s="31">
        <f t="shared" si="1153"/>
        <v>0</v>
      </c>
      <c r="L997" s="31">
        <f t="shared" si="1154"/>
        <v>0</v>
      </c>
      <c r="M997" s="31">
        <f t="shared" si="1155"/>
        <v>2.7765</v>
      </c>
      <c r="N997" s="31">
        <f t="shared" si="1156"/>
        <v>0</v>
      </c>
      <c r="O997" s="31">
        <f t="shared" si="1157"/>
        <v>0</v>
      </c>
      <c r="P997" s="31">
        <f t="shared" si="1158"/>
        <v>0</v>
      </c>
      <c r="Q997" s="49">
        <f t="shared" si="1159"/>
        <v>0</v>
      </c>
    </row>
    <row r="998" spans="4:17" s="16" customFormat="1" ht="13.2" x14ac:dyDescent="0.25">
      <c r="D998" s="235">
        <v>28</v>
      </c>
      <c r="E998" s="240">
        <v>2</v>
      </c>
      <c r="F998" s="241">
        <v>10</v>
      </c>
      <c r="G998" s="242">
        <v>5.22</v>
      </c>
      <c r="H998" s="239">
        <f t="shared" si="1150"/>
        <v>10.44</v>
      </c>
      <c r="I998" s="131">
        <f t="shared" si="1151"/>
        <v>0</v>
      </c>
      <c r="J998" s="31">
        <f t="shared" si="1152"/>
        <v>0</v>
      </c>
      <c r="K998" s="31">
        <f t="shared" si="1153"/>
        <v>0</v>
      </c>
      <c r="L998" s="31">
        <f t="shared" si="1154"/>
        <v>0</v>
      </c>
      <c r="M998" s="31">
        <f t="shared" si="1155"/>
        <v>6.4414799999999994</v>
      </c>
      <c r="N998" s="31">
        <f t="shared" si="1156"/>
        <v>0</v>
      </c>
      <c r="O998" s="31">
        <f t="shared" si="1157"/>
        <v>0</v>
      </c>
      <c r="P998" s="31">
        <f t="shared" si="1158"/>
        <v>0</v>
      </c>
      <c r="Q998" s="49">
        <f t="shared" si="1159"/>
        <v>0</v>
      </c>
    </row>
    <row r="999" spans="4:17" s="16" customFormat="1" ht="13.2" x14ac:dyDescent="0.25">
      <c r="D999" s="235"/>
      <c r="E999" s="240"/>
      <c r="F999" s="241"/>
      <c r="G999" s="242"/>
      <c r="H999" s="239">
        <f t="shared" si="1150"/>
        <v>0</v>
      </c>
      <c r="I999" s="131">
        <f t="shared" si="1151"/>
        <v>0</v>
      </c>
      <c r="J999" s="31">
        <f t="shared" si="1152"/>
        <v>0</v>
      </c>
      <c r="K999" s="31">
        <f t="shared" si="1153"/>
        <v>0</v>
      </c>
      <c r="L999" s="31">
        <f t="shared" si="1154"/>
        <v>0</v>
      </c>
      <c r="M999" s="31">
        <f t="shared" si="1155"/>
        <v>0</v>
      </c>
      <c r="N999" s="31">
        <f t="shared" si="1156"/>
        <v>0</v>
      </c>
      <c r="O999" s="31">
        <f t="shared" si="1157"/>
        <v>0</v>
      </c>
      <c r="P999" s="31">
        <f t="shared" si="1158"/>
        <v>0</v>
      </c>
      <c r="Q999" s="49">
        <f t="shared" si="1159"/>
        <v>0</v>
      </c>
    </row>
    <row r="1000" spans="4:17" s="16" customFormat="1" ht="13.8" thickBot="1" x14ac:dyDescent="0.3">
      <c r="D1000" s="307"/>
      <c r="E1000" s="26"/>
      <c r="F1000" s="206"/>
      <c r="G1000" s="207"/>
      <c r="H1000" s="207"/>
      <c r="I1000" s="51"/>
      <c r="J1000" s="308"/>
      <c r="K1000" s="308"/>
      <c r="L1000" s="308"/>
      <c r="M1000" s="308"/>
      <c r="N1000" s="308"/>
      <c r="O1000" s="308"/>
      <c r="P1000" s="308"/>
      <c r="Q1000" s="309"/>
    </row>
    <row r="1001" spans="4:17" s="16" customFormat="1" ht="13.2" x14ac:dyDescent="0.25">
      <c r="D1001" s="796" t="s">
        <v>1681</v>
      </c>
      <c r="E1001" s="797"/>
      <c r="F1001" s="797"/>
      <c r="G1001" s="797"/>
      <c r="H1001" s="797"/>
      <c r="I1001" s="47">
        <f>SUM(I1002:I1005)</f>
        <v>0</v>
      </c>
      <c r="J1001" s="47">
        <f t="shared" ref="J1001:Q1001" si="1160">SUM(J1002:J1005)</f>
        <v>4.9295399999999994</v>
      </c>
      <c r="K1001" s="47">
        <f t="shared" si="1160"/>
        <v>0</v>
      </c>
      <c r="L1001" s="47">
        <f t="shared" si="1160"/>
        <v>0</v>
      </c>
      <c r="M1001" s="47">
        <f t="shared" si="1160"/>
        <v>15.437339999999999</v>
      </c>
      <c r="N1001" s="47">
        <f t="shared" si="1160"/>
        <v>14.887980000000001</v>
      </c>
      <c r="O1001" s="47">
        <f t="shared" si="1160"/>
        <v>0</v>
      </c>
      <c r="P1001" s="47">
        <f t="shared" si="1160"/>
        <v>0</v>
      </c>
      <c r="Q1001" s="47">
        <f t="shared" si="1160"/>
        <v>0</v>
      </c>
    </row>
    <row r="1002" spans="4:17" s="16" customFormat="1" ht="13.2" x14ac:dyDescent="0.25">
      <c r="D1002" s="235">
        <v>1</v>
      </c>
      <c r="E1002" s="237">
        <v>33</v>
      </c>
      <c r="F1002" s="238">
        <v>5</v>
      </c>
      <c r="G1002" s="239">
        <v>0.97</v>
      </c>
      <c r="H1002" s="239">
        <f>E1002*G1002</f>
        <v>32.01</v>
      </c>
      <c r="I1002" s="131">
        <f>IF($F1002=4.2,H1002*$B$23,0)</f>
        <v>0</v>
      </c>
      <c r="J1002" s="31">
        <f>IF($F1002=5,$H1002*$B$24,0)</f>
        <v>4.9295399999999994</v>
      </c>
      <c r="K1002" s="31">
        <f>IF($F1002=6.3,$H1002*$B$25,0)</f>
        <v>0</v>
      </c>
      <c r="L1002" s="31">
        <f>IF($F1002=8,$H1002*$B$26,0)</f>
        <v>0</v>
      </c>
      <c r="M1002" s="31">
        <f>IF($F1002=10,$H1002*$B$27,0)</f>
        <v>0</v>
      </c>
      <c r="N1002" s="31">
        <f>IF($F1002=12.5,$H1002*$B$28,0)</f>
        <v>0</v>
      </c>
      <c r="O1002" s="31">
        <f>IF($F1002=16,$H1002*$B$29,0)</f>
        <v>0</v>
      </c>
      <c r="P1002" s="31">
        <f>IF($F1002=20,$H1002*$B$30,0)</f>
        <v>0</v>
      </c>
      <c r="Q1002" s="49">
        <f>IF($F1002=25,$H1002*$B$31,0)</f>
        <v>0</v>
      </c>
    </row>
    <row r="1003" spans="4:17" s="16" customFormat="1" ht="13.2" x14ac:dyDescent="0.25">
      <c r="D1003" s="235">
        <v>29</v>
      </c>
      <c r="E1003" s="240">
        <v>1</v>
      </c>
      <c r="F1003" s="241">
        <v>10</v>
      </c>
      <c r="G1003" s="242">
        <v>3.6</v>
      </c>
      <c r="H1003" s="239">
        <f>E1003*G1003</f>
        <v>3.6</v>
      </c>
      <c r="I1003" s="131">
        <f>IF($F1003=4.2,H1003*$B$23,0)</f>
        <v>0</v>
      </c>
      <c r="J1003" s="31">
        <f>IF($F1003=5,$H1003*$B$24,0)</f>
        <v>0</v>
      </c>
      <c r="K1003" s="31">
        <f>IF($F1003=6.3,$H1003*$B$25,0)</f>
        <v>0</v>
      </c>
      <c r="L1003" s="31">
        <f>IF($F1003=8,$H1003*$B$26,0)</f>
        <v>0</v>
      </c>
      <c r="M1003" s="31">
        <f>IF($F1003=10,$H1003*$B$27,0)</f>
        <v>2.2212000000000001</v>
      </c>
      <c r="N1003" s="31">
        <f>IF($F1003=12.5,$H1003*$B$28,0)</f>
        <v>0</v>
      </c>
      <c r="O1003" s="31">
        <f>IF($F1003=16,$H1003*$B$29,0)</f>
        <v>0</v>
      </c>
      <c r="P1003" s="31">
        <f>IF($F1003=20,$H1003*$B$30,0)</f>
        <v>0</v>
      </c>
      <c r="Q1003" s="49">
        <f>IF($F1003=25,$H1003*$B$31,0)</f>
        <v>0</v>
      </c>
    </row>
    <row r="1004" spans="4:17" s="16" customFormat="1" ht="13.2" x14ac:dyDescent="0.25">
      <c r="D1004" s="235">
        <v>30</v>
      </c>
      <c r="E1004" s="240">
        <v>3</v>
      </c>
      <c r="F1004" s="241">
        <v>10</v>
      </c>
      <c r="G1004" s="242">
        <v>7.14</v>
      </c>
      <c r="H1004" s="239">
        <f>E1004*G1004</f>
        <v>21.419999999999998</v>
      </c>
      <c r="I1004" s="131">
        <f>IF($F1004=4.2,H1004*$B$23,0)</f>
        <v>0</v>
      </c>
      <c r="J1004" s="31">
        <f>IF($F1004=5,$H1004*$B$24,0)</f>
        <v>0</v>
      </c>
      <c r="K1004" s="31">
        <f>IF($F1004=6.3,$H1004*$B$25,0)</f>
        <v>0</v>
      </c>
      <c r="L1004" s="31">
        <f>IF($F1004=8,$H1004*$B$26,0)</f>
        <v>0</v>
      </c>
      <c r="M1004" s="31">
        <f>IF($F1004=10,$H1004*$B$27,0)</f>
        <v>13.216139999999999</v>
      </c>
      <c r="N1004" s="31">
        <f>IF($F1004=12.5,$H1004*$B$28,0)</f>
        <v>0</v>
      </c>
      <c r="O1004" s="31">
        <f>IF($F1004=16,$H1004*$B$29,0)</f>
        <v>0</v>
      </c>
      <c r="P1004" s="31">
        <f>IF($F1004=20,$H1004*$B$30,0)</f>
        <v>0</v>
      </c>
      <c r="Q1004" s="49">
        <f>IF($F1004=25,$H1004*$B$31,0)</f>
        <v>0</v>
      </c>
    </row>
    <row r="1005" spans="4:17" s="16" customFormat="1" ht="13.2" x14ac:dyDescent="0.25">
      <c r="D1005" s="235">
        <v>35</v>
      </c>
      <c r="E1005" s="240">
        <v>2</v>
      </c>
      <c r="F1005" s="241">
        <v>12.5</v>
      </c>
      <c r="G1005" s="242">
        <v>7.73</v>
      </c>
      <c r="H1005" s="239">
        <f>E1005*G1005</f>
        <v>15.46</v>
      </c>
      <c r="I1005" s="131">
        <f>IF($F1005=4.2,H1005*$B$23,0)</f>
        <v>0</v>
      </c>
      <c r="J1005" s="31">
        <f>IF($F1005=5,$H1005*$B$24,0)</f>
        <v>0</v>
      </c>
      <c r="K1005" s="31">
        <f>IF($F1005=6.3,$H1005*$B$25,0)</f>
        <v>0</v>
      </c>
      <c r="L1005" s="31">
        <f>IF($F1005=8,$H1005*$B$26,0)</f>
        <v>0</v>
      </c>
      <c r="M1005" s="31">
        <f>IF($F1005=10,$H1005*$B$27,0)</f>
        <v>0</v>
      </c>
      <c r="N1005" s="31">
        <f>IF($F1005=12.5,$H1005*$B$28,0)</f>
        <v>14.887980000000001</v>
      </c>
      <c r="O1005" s="31">
        <f>IF($F1005=16,$H1005*$B$29,0)</f>
        <v>0</v>
      </c>
      <c r="P1005" s="31">
        <f>IF($F1005=20,$H1005*$B$30,0)</f>
        <v>0</v>
      </c>
      <c r="Q1005" s="49">
        <f>IF($F1005=25,$H1005*$B$31,0)</f>
        <v>0</v>
      </c>
    </row>
    <row r="1006" spans="4:17" s="16" customFormat="1" ht="13.8" thickBot="1" x14ac:dyDescent="0.3">
      <c r="D1006" s="307"/>
      <c r="E1006" s="26"/>
      <c r="F1006" s="206"/>
      <c r="G1006" s="207"/>
      <c r="H1006" s="207"/>
      <c r="I1006" s="51"/>
      <c r="J1006" s="308"/>
      <c r="K1006" s="308"/>
      <c r="L1006" s="308"/>
      <c r="M1006" s="308"/>
      <c r="N1006" s="308"/>
      <c r="O1006" s="308"/>
      <c r="P1006" s="308"/>
      <c r="Q1006" s="309"/>
    </row>
    <row r="1007" spans="4:17" s="16" customFormat="1" ht="13.2" x14ac:dyDescent="0.25">
      <c r="D1007" s="796" t="s">
        <v>1682</v>
      </c>
      <c r="E1007" s="797"/>
      <c r="F1007" s="797"/>
      <c r="G1007" s="797"/>
      <c r="H1007" s="797"/>
      <c r="I1007" s="47">
        <f>SUM(I1008:I1011)</f>
        <v>0</v>
      </c>
      <c r="J1007" s="47">
        <f t="shared" ref="J1007:Q1007" si="1161">SUM(J1008:J1011)</f>
        <v>2.8382199999999997</v>
      </c>
      <c r="K1007" s="47">
        <f t="shared" si="1161"/>
        <v>0</v>
      </c>
      <c r="L1007" s="47">
        <f t="shared" si="1161"/>
        <v>0</v>
      </c>
      <c r="M1007" s="47">
        <f t="shared" si="1161"/>
        <v>13.3889</v>
      </c>
      <c r="N1007" s="47">
        <f t="shared" si="1161"/>
        <v>0</v>
      </c>
      <c r="O1007" s="47">
        <f t="shared" si="1161"/>
        <v>0</v>
      </c>
      <c r="P1007" s="47">
        <f t="shared" si="1161"/>
        <v>0</v>
      </c>
      <c r="Q1007" s="47">
        <f t="shared" si="1161"/>
        <v>0</v>
      </c>
    </row>
    <row r="1008" spans="4:17" s="16" customFormat="1" ht="13.2" x14ac:dyDescent="0.25">
      <c r="D1008" s="235">
        <v>1</v>
      </c>
      <c r="E1008" s="237">
        <v>19</v>
      </c>
      <c r="F1008" s="238">
        <v>5</v>
      </c>
      <c r="G1008" s="239">
        <v>0.97</v>
      </c>
      <c r="H1008" s="239">
        <f>E1008*G1008</f>
        <v>18.43</v>
      </c>
      <c r="I1008" s="131">
        <f>IF($F1008=4.2,H1008*$B$23,0)</f>
        <v>0</v>
      </c>
      <c r="J1008" s="31">
        <f>IF($F1008=5,$H1008*$B$24,0)</f>
        <v>2.8382199999999997</v>
      </c>
      <c r="K1008" s="31">
        <f>IF($F1008=6.3,$H1008*$B$25,0)</f>
        <v>0</v>
      </c>
      <c r="L1008" s="31">
        <f>IF($F1008=8,$H1008*$B$26,0)</f>
        <v>0</v>
      </c>
      <c r="M1008" s="31">
        <f>IF($F1008=10,$H1008*$B$27,0)</f>
        <v>0</v>
      </c>
      <c r="N1008" s="31">
        <f>IF($F1008=12.5,$H1008*$B$28,0)</f>
        <v>0</v>
      </c>
      <c r="O1008" s="31">
        <f>IF($F1008=16,$H1008*$B$29,0)</f>
        <v>0</v>
      </c>
      <c r="P1008" s="31">
        <f>IF($F1008=20,$H1008*$B$30,0)</f>
        <v>0</v>
      </c>
      <c r="Q1008" s="49">
        <f>IF($F1008=25,$H1008*$B$31,0)</f>
        <v>0</v>
      </c>
    </row>
    <row r="1009" spans="4:17" s="16" customFormat="1" ht="13.2" x14ac:dyDescent="0.25">
      <c r="D1009" s="235">
        <v>31</v>
      </c>
      <c r="E1009" s="240">
        <v>2</v>
      </c>
      <c r="F1009" s="241">
        <v>10</v>
      </c>
      <c r="G1009" s="242">
        <v>2.2999999999999998</v>
      </c>
      <c r="H1009" s="239">
        <f>E1009*G1009</f>
        <v>4.5999999999999996</v>
      </c>
      <c r="I1009" s="131">
        <f>IF($F1009=4.2,H1009*$B$23,0)</f>
        <v>0</v>
      </c>
      <c r="J1009" s="31">
        <f>IF($F1009=5,$H1009*$B$24,0)</f>
        <v>0</v>
      </c>
      <c r="K1009" s="31">
        <f>IF($F1009=6.3,$H1009*$B$25,0)</f>
        <v>0</v>
      </c>
      <c r="L1009" s="31">
        <f>IF($F1009=8,$H1009*$B$26,0)</f>
        <v>0</v>
      </c>
      <c r="M1009" s="31">
        <f>IF($F1009=10,$H1009*$B$27,0)</f>
        <v>2.8381999999999996</v>
      </c>
      <c r="N1009" s="31">
        <f>IF($F1009=12.5,$H1009*$B$28,0)</f>
        <v>0</v>
      </c>
      <c r="O1009" s="31">
        <f>IF($F1009=16,$H1009*$B$29,0)</f>
        <v>0</v>
      </c>
      <c r="P1009" s="31">
        <f>IF($F1009=20,$H1009*$B$30,0)</f>
        <v>0</v>
      </c>
      <c r="Q1009" s="49">
        <f>IF($F1009=25,$H1009*$B$31,0)</f>
        <v>0</v>
      </c>
    </row>
    <row r="1010" spans="4:17" s="16" customFormat="1" ht="13.2" x14ac:dyDescent="0.25">
      <c r="D1010" s="235">
        <v>32</v>
      </c>
      <c r="E1010" s="240">
        <v>2</v>
      </c>
      <c r="F1010" s="241">
        <v>10</v>
      </c>
      <c r="G1010" s="242">
        <v>4.1900000000000004</v>
      </c>
      <c r="H1010" s="239">
        <f>E1010*G1010</f>
        <v>8.3800000000000008</v>
      </c>
      <c r="I1010" s="131">
        <f>IF($F1010=4.2,H1010*$B$23,0)</f>
        <v>0</v>
      </c>
      <c r="J1010" s="31">
        <f>IF($F1010=5,$H1010*$B$24,0)</f>
        <v>0</v>
      </c>
      <c r="K1010" s="31">
        <f>IF($F1010=6.3,$H1010*$B$25,0)</f>
        <v>0</v>
      </c>
      <c r="L1010" s="31">
        <f>IF($F1010=8,$H1010*$B$26,0)</f>
        <v>0</v>
      </c>
      <c r="M1010" s="31">
        <f>IF($F1010=10,$H1010*$B$27,0)</f>
        <v>5.1704600000000003</v>
      </c>
      <c r="N1010" s="31">
        <f>IF($F1010=12.5,$H1010*$B$28,0)</f>
        <v>0</v>
      </c>
      <c r="O1010" s="31">
        <f>IF($F1010=16,$H1010*$B$29,0)</f>
        <v>0</v>
      </c>
      <c r="P1010" s="31">
        <f>IF($F1010=20,$H1010*$B$30,0)</f>
        <v>0</v>
      </c>
      <c r="Q1010" s="49">
        <f>IF($F1010=25,$H1010*$B$31,0)</f>
        <v>0</v>
      </c>
    </row>
    <row r="1011" spans="4:17" s="16" customFormat="1" ht="13.2" x14ac:dyDescent="0.25">
      <c r="D1011" s="235">
        <v>33</v>
      </c>
      <c r="E1011" s="240">
        <v>2</v>
      </c>
      <c r="F1011" s="241">
        <v>10</v>
      </c>
      <c r="G1011" s="242">
        <v>4.3600000000000003</v>
      </c>
      <c r="H1011" s="239">
        <f>E1011*G1011</f>
        <v>8.7200000000000006</v>
      </c>
      <c r="I1011" s="131">
        <f>IF($F1011=4.2,H1011*$B$23,0)</f>
        <v>0</v>
      </c>
      <c r="J1011" s="31">
        <f>IF($F1011=5,$H1011*$B$24,0)</f>
        <v>0</v>
      </c>
      <c r="K1011" s="31">
        <f>IF($F1011=6.3,$H1011*$B$25,0)</f>
        <v>0</v>
      </c>
      <c r="L1011" s="31">
        <f>IF($F1011=8,$H1011*$B$26,0)</f>
        <v>0</v>
      </c>
      <c r="M1011" s="31">
        <f>IF($F1011=10,$H1011*$B$27,0)</f>
        <v>5.3802400000000006</v>
      </c>
      <c r="N1011" s="31">
        <f>IF($F1011=12.5,$H1011*$B$28,0)</f>
        <v>0</v>
      </c>
      <c r="O1011" s="31">
        <f>IF($F1011=16,$H1011*$B$29,0)</f>
        <v>0</v>
      </c>
      <c r="P1011" s="31">
        <f>IF($F1011=20,$H1011*$B$30,0)</f>
        <v>0</v>
      </c>
      <c r="Q1011" s="49">
        <f>IF($F1011=25,$H1011*$B$31,0)</f>
        <v>0</v>
      </c>
    </row>
    <row r="1012" spans="4:17" s="16" customFormat="1" ht="13.8" thickBot="1" x14ac:dyDescent="0.3">
      <c r="D1012" s="307"/>
      <c r="E1012" s="26"/>
      <c r="F1012" s="206"/>
      <c r="G1012" s="207"/>
      <c r="H1012" s="207"/>
      <c r="I1012" s="51"/>
      <c r="J1012" s="308"/>
      <c r="K1012" s="308"/>
      <c r="L1012" s="308"/>
      <c r="M1012" s="308"/>
      <c r="N1012" s="308"/>
      <c r="O1012" s="308"/>
      <c r="P1012" s="308"/>
      <c r="Q1012" s="309"/>
    </row>
    <row r="1013" spans="4:17" s="16" customFormat="1" ht="13.2" x14ac:dyDescent="0.25">
      <c r="D1013" s="796" t="s">
        <v>1683</v>
      </c>
      <c r="E1013" s="797"/>
      <c r="F1013" s="797"/>
      <c r="G1013" s="797"/>
      <c r="H1013" s="797"/>
      <c r="I1013" s="47">
        <f t="shared" ref="I1013:Q1013" si="1162">SUM(I1014:I1015)</f>
        <v>0</v>
      </c>
      <c r="J1013" s="47">
        <f t="shared" si="1162"/>
        <v>1.3444199999999999</v>
      </c>
      <c r="K1013" s="47">
        <f t="shared" si="1162"/>
        <v>0</v>
      </c>
      <c r="L1013" s="47">
        <f t="shared" si="1162"/>
        <v>4.0922000000000001</v>
      </c>
      <c r="M1013" s="47">
        <f t="shared" si="1162"/>
        <v>0</v>
      </c>
      <c r="N1013" s="47">
        <f t="shared" si="1162"/>
        <v>0</v>
      </c>
      <c r="O1013" s="47">
        <f t="shared" si="1162"/>
        <v>0</v>
      </c>
      <c r="P1013" s="47">
        <f t="shared" si="1162"/>
        <v>0</v>
      </c>
      <c r="Q1013" s="47">
        <f t="shared" si="1162"/>
        <v>0</v>
      </c>
    </row>
    <row r="1014" spans="4:17" s="16" customFormat="1" ht="13.2" x14ac:dyDescent="0.25">
      <c r="D1014" s="235">
        <v>1</v>
      </c>
      <c r="E1014" s="237">
        <v>9</v>
      </c>
      <c r="F1014" s="238">
        <v>5</v>
      </c>
      <c r="G1014" s="239">
        <v>0.97</v>
      </c>
      <c r="H1014" s="239">
        <f>E1014*G1014</f>
        <v>8.73</v>
      </c>
      <c r="I1014" s="131">
        <f>IF($F1014=4.2,H1014*$B$23,0)</f>
        <v>0</v>
      </c>
      <c r="J1014" s="31">
        <f>IF($F1014=5,$H1014*$B$24,0)</f>
        <v>1.3444199999999999</v>
      </c>
      <c r="K1014" s="31">
        <f>IF($F1014=6.3,$H1014*$B$25,0)</f>
        <v>0</v>
      </c>
      <c r="L1014" s="31">
        <f>IF($F1014=8,$H1014*$B$26,0)</f>
        <v>0</v>
      </c>
      <c r="M1014" s="31">
        <f>IF($F1014=10,$H1014*$B$27,0)</f>
        <v>0</v>
      </c>
      <c r="N1014" s="31">
        <f>IF($F1014=12.5,$H1014*$B$28,0)</f>
        <v>0</v>
      </c>
      <c r="O1014" s="31">
        <f>IF($F1014=16,$H1014*$B$29,0)</f>
        <v>0</v>
      </c>
      <c r="P1014" s="31">
        <f>IF($F1014=20,$H1014*$B$30,0)</f>
        <v>0</v>
      </c>
      <c r="Q1014" s="49">
        <f>IF($F1014=25,$H1014*$B$31,0)</f>
        <v>0</v>
      </c>
    </row>
    <row r="1015" spans="4:17" s="16" customFormat="1" ht="13.2" x14ac:dyDescent="0.25">
      <c r="D1015" s="235">
        <v>6</v>
      </c>
      <c r="E1015" s="240">
        <v>4</v>
      </c>
      <c r="F1015" s="241">
        <v>8</v>
      </c>
      <c r="G1015" s="242">
        <v>2.59</v>
      </c>
      <c r="H1015" s="239">
        <f>E1015*G1015</f>
        <v>10.36</v>
      </c>
      <c r="I1015" s="131">
        <f>IF($F1015=4.2,H1015*$B$23,0)</f>
        <v>0</v>
      </c>
      <c r="J1015" s="31">
        <f>IF($F1015=5,$H1015*$B$24,0)</f>
        <v>0</v>
      </c>
      <c r="K1015" s="31">
        <f>IF($F1015=6.3,$H1015*$B$25,0)</f>
        <v>0</v>
      </c>
      <c r="L1015" s="31">
        <f>IF($F1015=8,$H1015*$B$26,0)</f>
        <v>4.0922000000000001</v>
      </c>
      <c r="M1015" s="31">
        <f>IF($F1015=10,$H1015*$B$27,0)</f>
        <v>0</v>
      </c>
      <c r="N1015" s="31">
        <f>IF($F1015=12.5,$H1015*$B$28,0)</f>
        <v>0</v>
      </c>
      <c r="O1015" s="31">
        <f>IF($F1015=16,$H1015*$B$29,0)</f>
        <v>0</v>
      </c>
      <c r="P1015" s="31">
        <f>IF($F1015=20,$H1015*$B$30,0)</f>
        <v>0</v>
      </c>
      <c r="Q1015" s="49">
        <f>IF($F1015=25,$H1015*$B$31,0)</f>
        <v>0</v>
      </c>
    </row>
    <row r="1016" spans="4:17" s="16" customFormat="1" ht="13.8" thickBot="1" x14ac:dyDescent="0.3">
      <c r="D1016" s="307"/>
      <c r="E1016" s="26"/>
      <c r="F1016" s="206"/>
      <c r="G1016" s="207"/>
      <c r="H1016" s="207"/>
      <c r="I1016" s="51"/>
      <c r="J1016" s="308"/>
      <c r="K1016" s="308"/>
      <c r="L1016" s="308"/>
      <c r="M1016" s="308"/>
      <c r="N1016" s="308"/>
      <c r="O1016" s="308"/>
      <c r="P1016" s="308"/>
      <c r="Q1016" s="309"/>
    </row>
    <row r="1017" spans="4:17" s="16" customFormat="1" ht="13.2" x14ac:dyDescent="0.25">
      <c r="D1017" s="796" t="s">
        <v>1684</v>
      </c>
      <c r="E1017" s="797"/>
      <c r="F1017" s="797"/>
      <c r="G1017" s="797"/>
      <c r="H1017" s="797"/>
      <c r="I1017" s="47">
        <f t="shared" ref="I1017:Q1017" si="1163">SUM(I1018:I1019)</f>
        <v>0</v>
      </c>
      <c r="J1017" s="47">
        <f t="shared" si="1163"/>
        <v>1.4937999999999998</v>
      </c>
      <c r="K1017" s="47">
        <f t="shared" si="1163"/>
        <v>0</v>
      </c>
      <c r="L1017" s="47">
        <f t="shared" si="1163"/>
        <v>4.9612000000000007</v>
      </c>
      <c r="M1017" s="47">
        <f t="shared" si="1163"/>
        <v>0</v>
      </c>
      <c r="N1017" s="47">
        <f t="shared" si="1163"/>
        <v>0</v>
      </c>
      <c r="O1017" s="47">
        <f t="shared" si="1163"/>
        <v>0</v>
      </c>
      <c r="P1017" s="47">
        <f t="shared" si="1163"/>
        <v>0</v>
      </c>
      <c r="Q1017" s="47">
        <f t="shared" si="1163"/>
        <v>0</v>
      </c>
    </row>
    <row r="1018" spans="4:17" s="16" customFormat="1" ht="13.2" x14ac:dyDescent="0.25">
      <c r="D1018" s="235">
        <v>1</v>
      </c>
      <c r="E1018" s="237">
        <v>10</v>
      </c>
      <c r="F1018" s="238">
        <v>5</v>
      </c>
      <c r="G1018" s="239">
        <v>0.97</v>
      </c>
      <c r="H1018" s="239">
        <f>E1018*G1018</f>
        <v>9.6999999999999993</v>
      </c>
      <c r="I1018" s="131">
        <f>IF($F1018=4.2,H1018*$B$23,0)</f>
        <v>0</v>
      </c>
      <c r="J1018" s="31">
        <f>IF($F1018=5,$H1018*$B$24,0)</f>
        <v>1.4937999999999998</v>
      </c>
      <c r="K1018" s="31">
        <f>IF($F1018=6.3,$H1018*$B$25,0)</f>
        <v>0</v>
      </c>
      <c r="L1018" s="31">
        <f>IF($F1018=8,$H1018*$B$26,0)</f>
        <v>0</v>
      </c>
      <c r="M1018" s="31">
        <f>IF($F1018=10,$H1018*$B$27,0)</f>
        <v>0</v>
      </c>
      <c r="N1018" s="31">
        <f>IF($F1018=12.5,$H1018*$B$28,0)</f>
        <v>0</v>
      </c>
      <c r="O1018" s="31">
        <f>IF($F1018=16,$H1018*$B$29,0)</f>
        <v>0</v>
      </c>
      <c r="P1018" s="31">
        <f>IF($F1018=20,$H1018*$B$30,0)</f>
        <v>0</v>
      </c>
      <c r="Q1018" s="49">
        <f>IF($F1018=25,$H1018*$B$31,0)</f>
        <v>0</v>
      </c>
    </row>
    <row r="1019" spans="4:17" s="16" customFormat="1" ht="13.2" x14ac:dyDescent="0.25">
      <c r="D1019" s="235">
        <v>7</v>
      </c>
      <c r="E1019" s="240">
        <v>4</v>
      </c>
      <c r="F1019" s="241">
        <v>8</v>
      </c>
      <c r="G1019" s="242">
        <v>3.14</v>
      </c>
      <c r="H1019" s="239">
        <f>E1019*G1019</f>
        <v>12.56</v>
      </c>
      <c r="I1019" s="131">
        <f>IF($F1019=4.2,H1019*$B$23,0)</f>
        <v>0</v>
      </c>
      <c r="J1019" s="31">
        <f>IF($F1019=5,$H1019*$B$24,0)</f>
        <v>0</v>
      </c>
      <c r="K1019" s="31">
        <f>IF($F1019=6.3,$H1019*$B$25,0)</f>
        <v>0</v>
      </c>
      <c r="L1019" s="31">
        <f>IF($F1019=8,$H1019*$B$26,0)</f>
        <v>4.9612000000000007</v>
      </c>
      <c r="M1019" s="31">
        <f>IF($F1019=10,$H1019*$B$27,0)</f>
        <v>0</v>
      </c>
      <c r="N1019" s="31">
        <f>IF($F1019=12.5,$H1019*$B$28,0)</f>
        <v>0</v>
      </c>
      <c r="O1019" s="31">
        <f>IF($F1019=16,$H1019*$B$29,0)</f>
        <v>0</v>
      </c>
      <c r="P1019" s="31">
        <f>IF($F1019=20,$H1019*$B$30,0)</f>
        <v>0</v>
      </c>
      <c r="Q1019" s="49">
        <f>IF($F1019=25,$H1019*$B$31,0)</f>
        <v>0</v>
      </c>
    </row>
    <row r="1020" spans="4:17" s="16" customFormat="1" ht="13.8" thickBot="1" x14ac:dyDescent="0.3">
      <c r="D1020" s="307"/>
      <c r="E1020" s="26"/>
      <c r="F1020" s="206"/>
      <c r="G1020" s="207"/>
      <c r="H1020" s="207"/>
      <c r="I1020" s="51"/>
      <c r="J1020" s="308"/>
      <c r="K1020" s="308"/>
      <c r="L1020" s="308"/>
      <c r="M1020" s="308"/>
      <c r="N1020" s="308"/>
      <c r="O1020" s="308"/>
      <c r="P1020" s="308"/>
      <c r="Q1020" s="309"/>
    </row>
    <row r="1021" spans="4:17" s="16" customFormat="1" ht="13.2" x14ac:dyDescent="0.25">
      <c r="D1021" s="796" t="s">
        <v>1685</v>
      </c>
      <c r="E1021" s="797"/>
      <c r="F1021" s="797"/>
      <c r="G1021" s="797"/>
      <c r="H1021" s="797"/>
      <c r="I1021" s="47">
        <f t="shared" ref="I1021:Q1021" si="1164">SUM(I1022:I1024)</f>
        <v>0</v>
      </c>
      <c r="J1021" s="47">
        <f t="shared" si="1164"/>
        <v>2.8382199999999997</v>
      </c>
      <c r="K1021" s="47">
        <f t="shared" si="1164"/>
        <v>0</v>
      </c>
      <c r="L1021" s="47">
        <f t="shared" si="1164"/>
        <v>7.8209999999999997</v>
      </c>
      <c r="M1021" s="47">
        <f t="shared" si="1164"/>
        <v>0</v>
      </c>
      <c r="N1021" s="47">
        <f t="shared" si="1164"/>
        <v>0</v>
      </c>
      <c r="O1021" s="47">
        <f t="shared" si="1164"/>
        <v>0</v>
      </c>
      <c r="P1021" s="47">
        <f t="shared" si="1164"/>
        <v>0</v>
      </c>
      <c r="Q1021" s="47">
        <f t="shared" si="1164"/>
        <v>0</v>
      </c>
    </row>
    <row r="1022" spans="4:17" s="16" customFormat="1" ht="13.2" x14ac:dyDescent="0.25">
      <c r="D1022" s="235">
        <v>1</v>
      </c>
      <c r="E1022" s="237">
        <v>19</v>
      </c>
      <c r="F1022" s="238">
        <v>5</v>
      </c>
      <c r="G1022" s="239">
        <v>0.97</v>
      </c>
      <c r="H1022" s="239">
        <f>E1022*G1022</f>
        <v>18.43</v>
      </c>
      <c r="I1022" s="131">
        <f>IF($F1022=4.2,H1022*$B$23,0)</f>
        <v>0</v>
      </c>
      <c r="J1022" s="31">
        <f>IF($F1022=5,$H1022*$B$24,0)</f>
        <v>2.8382199999999997</v>
      </c>
      <c r="K1022" s="31">
        <f>IF($F1022=6.3,$H1022*$B$25,0)</f>
        <v>0</v>
      </c>
      <c r="L1022" s="31">
        <f>IF($F1022=8,$H1022*$B$26,0)</f>
        <v>0</v>
      </c>
      <c r="M1022" s="31">
        <f>IF($F1022=10,$H1022*$B$27,0)</f>
        <v>0</v>
      </c>
      <c r="N1022" s="31">
        <f>IF($F1022=12.5,$H1022*$B$28,0)</f>
        <v>0</v>
      </c>
      <c r="O1022" s="31">
        <f>IF($F1022=16,$H1022*$B$29,0)</f>
        <v>0</v>
      </c>
      <c r="P1022" s="31">
        <f>IF($F1022=20,$H1022*$B$30,0)</f>
        <v>0</v>
      </c>
      <c r="Q1022" s="49">
        <f>IF($F1022=25,$H1022*$B$31,0)</f>
        <v>0</v>
      </c>
    </row>
    <row r="1023" spans="4:17" s="16" customFormat="1" ht="13.2" x14ac:dyDescent="0.25">
      <c r="D1023" s="235">
        <v>8</v>
      </c>
      <c r="E1023" s="240">
        <v>2</v>
      </c>
      <c r="F1023" s="241">
        <v>8</v>
      </c>
      <c r="G1023" s="242">
        <v>4.84</v>
      </c>
      <c r="H1023" s="239">
        <f>E1023*G1023</f>
        <v>9.68</v>
      </c>
      <c r="I1023" s="131">
        <f>IF($F1023=4.2,H1023*$B$23,0)</f>
        <v>0</v>
      </c>
      <c r="J1023" s="31">
        <f>IF($F1023=5,$H1023*$B$24,0)</f>
        <v>0</v>
      </c>
      <c r="K1023" s="31">
        <f>IF($F1023=6.3,$H1023*$B$25,0)</f>
        <v>0</v>
      </c>
      <c r="L1023" s="31">
        <f>IF($F1023=8,$H1023*$B$26,0)</f>
        <v>3.8235999999999999</v>
      </c>
      <c r="M1023" s="31">
        <f>IF($F1023=10,$H1023*$B$27,0)</f>
        <v>0</v>
      </c>
      <c r="N1023" s="31">
        <f>IF($F1023=12.5,$H1023*$B$28,0)</f>
        <v>0</v>
      </c>
      <c r="O1023" s="31">
        <f>IF($F1023=16,$H1023*$B$29,0)</f>
        <v>0</v>
      </c>
      <c r="P1023" s="31">
        <f>IF($F1023=20,$H1023*$B$30,0)</f>
        <v>0</v>
      </c>
      <c r="Q1023" s="49">
        <f>IF($F1023=25,$H1023*$B$31,0)</f>
        <v>0</v>
      </c>
    </row>
    <row r="1024" spans="4:17" s="16" customFormat="1" ht="13.2" x14ac:dyDescent="0.25">
      <c r="D1024" s="235">
        <v>9</v>
      </c>
      <c r="E1024" s="240">
        <v>2</v>
      </c>
      <c r="F1024" s="241">
        <v>8</v>
      </c>
      <c r="G1024" s="242">
        <v>5.0599999999999996</v>
      </c>
      <c r="H1024" s="239">
        <f>E1024*G1024</f>
        <v>10.119999999999999</v>
      </c>
      <c r="I1024" s="131">
        <f>IF($F1024=4.2,H1024*$B$23,0)</f>
        <v>0</v>
      </c>
      <c r="J1024" s="31">
        <f>IF($F1024=5,$H1024*$B$24,0)</f>
        <v>0</v>
      </c>
      <c r="K1024" s="31">
        <f>IF($F1024=6.3,$H1024*$B$25,0)</f>
        <v>0</v>
      </c>
      <c r="L1024" s="31">
        <f>IF($F1024=8,$H1024*$B$26,0)</f>
        <v>3.9973999999999998</v>
      </c>
      <c r="M1024" s="31">
        <f>IF($F1024=10,$H1024*$B$27,0)</f>
        <v>0</v>
      </c>
      <c r="N1024" s="31">
        <f>IF($F1024=12.5,$H1024*$B$28,0)</f>
        <v>0</v>
      </c>
      <c r="O1024" s="31">
        <f>IF($F1024=16,$H1024*$B$29,0)</f>
        <v>0</v>
      </c>
      <c r="P1024" s="31">
        <f>IF($F1024=20,$H1024*$B$30,0)</f>
        <v>0</v>
      </c>
      <c r="Q1024" s="49">
        <f>IF($F1024=25,$H1024*$B$31,0)</f>
        <v>0</v>
      </c>
    </row>
    <row r="1025" spans="4:17" s="16" customFormat="1" ht="13.8" thickBot="1" x14ac:dyDescent="0.3">
      <c r="D1025" s="307"/>
      <c r="E1025" s="26"/>
      <c r="F1025" s="206"/>
      <c r="G1025" s="207"/>
      <c r="H1025" s="207"/>
      <c r="I1025" s="51"/>
      <c r="J1025" s="308"/>
      <c r="K1025" s="308"/>
      <c r="L1025" s="308"/>
      <c r="M1025" s="308"/>
      <c r="N1025" s="308"/>
      <c r="O1025" s="308"/>
      <c r="P1025" s="308"/>
      <c r="Q1025" s="309"/>
    </row>
    <row r="1026" spans="4:17" s="16" customFormat="1" ht="13.2" x14ac:dyDescent="0.25">
      <c r="D1026" s="796" t="s">
        <v>1686</v>
      </c>
      <c r="E1026" s="797"/>
      <c r="F1026" s="797"/>
      <c r="G1026" s="797"/>
      <c r="H1026" s="797"/>
      <c r="I1026" s="47">
        <f t="shared" ref="I1026:Q1026" si="1165">SUM(I1027:I1029)</f>
        <v>0</v>
      </c>
      <c r="J1026" s="47">
        <f t="shared" si="1165"/>
        <v>2.9875999999999996</v>
      </c>
      <c r="K1026" s="47">
        <f t="shared" si="1165"/>
        <v>0</v>
      </c>
      <c r="L1026" s="47">
        <f t="shared" si="1165"/>
        <v>7.8683999999999994</v>
      </c>
      <c r="M1026" s="47">
        <f t="shared" si="1165"/>
        <v>0</v>
      </c>
      <c r="N1026" s="47">
        <f t="shared" si="1165"/>
        <v>0</v>
      </c>
      <c r="O1026" s="47">
        <f t="shared" si="1165"/>
        <v>0</v>
      </c>
      <c r="P1026" s="47">
        <f t="shared" si="1165"/>
        <v>0</v>
      </c>
      <c r="Q1026" s="47">
        <f t="shared" si="1165"/>
        <v>0</v>
      </c>
    </row>
    <row r="1027" spans="4:17" s="16" customFormat="1" ht="13.2" x14ac:dyDescent="0.25">
      <c r="D1027" s="235">
        <v>1</v>
      </c>
      <c r="E1027" s="237">
        <v>20</v>
      </c>
      <c r="F1027" s="238">
        <v>5</v>
      </c>
      <c r="G1027" s="239">
        <v>0.97</v>
      </c>
      <c r="H1027" s="239">
        <f>E1027*G1027</f>
        <v>19.399999999999999</v>
      </c>
      <c r="I1027" s="131">
        <f>IF($F1027=4.2,H1027*$B$23,0)</f>
        <v>0</v>
      </c>
      <c r="J1027" s="31">
        <f>IF($F1027=5,$H1027*$B$24,0)</f>
        <v>2.9875999999999996</v>
      </c>
      <c r="K1027" s="31">
        <f>IF($F1027=6.3,$H1027*$B$25,0)</f>
        <v>0</v>
      </c>
      <c r="L1027" s="31">
        <f>IF($F1027=8,$H1027*$B$26,0)</f>
        <v>0</v>
      </c>
      <c r="M1027" s="31">
        <f>IF($F1027=10,$H1027*$B$27,0)</f>
        <v>0</v>
      </c>
      <c r="N1027" s="31">
        <f>IF($F1027=12.5,$H1027*$B$28,0)</f>
        <v>0</v>
      </c>
      <c r="O1027" s="31">
        <f>IF($F1027=16,$H1027*$B$29,0)</f>
        <v>0</v>
      </c>
      <c r="P1027" s="31">
        <f>IF($F1027=20,$H1027*$B$30,0)</f>
        <v>0</v>
      </c>
      <c r="Q1027" s="49">
        <f>IF($F1027=25,$H1027*$B$31,0)</f>
        <v>0</v>
      </c>
    </row>
    <row r="1028" spans="4:17" s="16" customFormat="1" ht="13.2" x14ac:dyDescent="0.25">
      <c r="D1028" s="235">
        <v>10</v>
      </c>
      <c r="E1028" s="240">
        <v>2</v>
      </c>
      <c r="F1028" s="241">
        <v>8</v>
      </c>
      <c r="G1028" s="242">
        <v>4.87</v>
      </c>
      <c r="H1028" s="239">
        <f>E1028*G1028</f>
        <v>9.74</v>
      </c>
      <c r="I1028" s="131">
        <f>IF($F1028=4.2,H1028*$B$23,0)</f>
        <v>0</v>
      </c>
      <c r="J1028" s="31">
        <f>IF($F1028=5,$H1028*$B$24,0)</f>
        <v>0</v>
      </c>
      <c r="K1028" s="31">
        <f>IF($F1028=6.3,$H1028*$B$25,0)</f>
        <v>0</v>
      </c>
      <c r="L1028" s="31">
        <f>IF($F1028=8,$H1028*$B$26,0)</f>
        <v>3.8473000000000002</v>
      </c>
      <c r="M1028" s="31">
        <f>IF($F1028=10,$H1028*$B$27,0)</f>
        <v>0</v>
      </c>
      <c r="N1028" s="31">
        <f>IF($F1028=12.5,$H1028*$B$28,0)</f>
        <v>0</v>
      </c>
      <c r="O1028" s="31">
        <f>IF($F1028=16,$H1028*$B$29,0)</f>
        <v>0</v>
      </c>
      <c r="P1028" s="31">
        <f>IF($F1028=20,$H1028*$B$30,0)</f>
        <v>0</v>
      </c>
      <c r="Q1028" s="49">
        <f>IF($F1028=25,$H1028*$B$31,0)</f>
        <v>0</v>
      </c>
    </row>
    <row r="1029" spans="4:17" s="16" customFormat="1" ht="13.2" x14ac:dyDescent="0.25">
      <c r="D1029" s="235">
        <v>11</v>
      </c>
      <c r="E1029" s="240">
        <v>2</v>
      </c>
      <c r="F1029" s="241">
        <v>8</v>
      </c>
      <c r="G1029" s="242">
        <v>5.09</v>
      </c>
      <c r="H1029" s="239">
        <f>E1029*G1029</f>
        <v>10.18</v>
      </c>
      <c r="I1029" s="131">
        <f>IF($F1029=4.2,H1029*$B$23,0)</f>
        <v>0</v>
      </c>
      <c r="J1029" s="31">
        <f>IF($F1029=5,$H1029*$B$24,0)</f>
        <v>0</v>
      </c>
      <c r="K1029" s="31">
        <f>IF($F1029=6.3,$H1029*$B$25,0)</f>
        <v>0</v>
      </c>
      <c r="L1029" s="31">
        <f>IF($F1029=8,$H1029*$B$26,0)</f>
        <v>4.0210999999999997</v>
      </c>
      <c r="M1029" s="31">
        <f>IF($F1029=10,$H1029*$B$27,0)</f>
        <v>0</v>
      </c>
      <c r="N1029" s="31">
        <f>IF($F1029=12.5,$H1029*$B$28,0)</f>
        <v>0</v>
      </c>
      <c r="O1029" s="31">
        <f>IF($F1029=16,$H1029*$B$29,0)</f>
        <v>0</v>
      </c>
      <c r="P1029" s="31">
        <f>IF($F1029=20,$H1029*$B$30,0)</f>
        <v>0</v>
      </c>
      <c r="Q1029" s="49">
        <f>IF($F1029=25,$H1029*$B$31,0)</f>
        <v>0</v>
      </c>
    </row>
    <row r="1030" spans="4:17" s="16" customFormat="1" ht="13.8" thickBot="1" x14ac:dyDescent="0.3">
      <c r="D1030" s="307"/>
      <c r="E1030" s="26"/>
      <c r="F1030" s="206"/>
      <c r="G1030" s="207"/>
      <c r="H1030" s="207"/>
      <c r="I1030" s="51"/>
      <c r="J1030" s="308"/>
      <c r="K1030" s="308"/>
      <c r="L1030" s="308"/>
      <c r="M1030" s="308"/>
      <c r="N1030" s="308"/>
      <c r="O1030" s="308"/>
      <c r="P1030" s="308"/>
      <c r="Q1030" s="309"/>
    </row>
    <row r="1031" spans="4:17" s="16" customFormat="1" ht="13.2" x14ac:dyDescent="0.25">
      <c r="D1031" s="796" t="s">
        <v>1687</v>
      </c>
      <c r="E1031" s="797"/>
      <c r="F1031" s="797"/>
      <c r="G1031" s="797"/>
      <c r="H1031" s="797"/>
      <c r="I1031" s="47">
        <f t="shared" ref="I1031:Q1031" si="1166">SUM(I1032:I1033)</f>
        <v>0</v>
      </c>
      <c r="J1031" s="47">
        <f t="shared" si="1166"/>
        <v>5.8258199999999993</v>
      </c>
      <c r="K1031" s="47">
        <f t="shared" si="1166"/>
        <v>0</v>
      </c>
      <c r="L1031" s="47">
        <f t="shared" si="1166"/>
        <v>16.969200000000001</v>
      </c>
      <c r="M1031" s="47">
        <f t="shared" si="1166"/>
        <v>0</v>
      </c>
      <c r="N1031" s="47">
        <f t="shared" si="1166"/>
        <v>0</v>
      </c>
      <c r="O1031" s="47">
        <f t="shared" si="1166"/>
        <v>0</v>
      </c>
      <c r="P1031" s="47">
        <f t="shared" si="1166"/>
        <v>0</v>
      </c>
      <c r="Q1031" s="47">
        <f t="shared" si="1166"/>
        <v>0</v>
      </c>
    </row>
    <row r="1032" spans="4:17" s="16" customFormat="1" ht="13.2" x14ac:dyDescent="0.25">
      <c r="D1032" s="235">
        <v>1</v>
      </c>
      <c r="E1032" s="237">
        <v>39</v>
      </c>
      <c r="F1032" s="238">
        <v>5</v>
      </c>
      <c r="G1032" s="239">
        <v>0.97</v>
      </c>
      <c r="H1032" s="239">
        <f>E1032*G1032</f>
        <v>37.83</v>
      </c>
      <c r="I1032" s="131">
        <f>IF($F1032=4.2,H1032*$B$23,0)</f>
        <v>0</v>
      </c>
      <c r="J1032" s="31">
        <f>IF($F1032=5,$H1032*$B$24,0)</f>
        <v>5.8258199999999993</v>
      </c>
      <c r="K1032" s="31">
        <f>IF($F1032=6.3,$H1032*$B$25,0)</f>
        <v>0</v>
      </c>
      <c r="L1032" s="31">
        <f>IF($F1032=8,$H1032*$B$26,0)</f>
        <v>0</v>
      </c>
      <c r="M1032" s="31">
        <f>IF($F1032=10,$H1032*$B$27,0)</f>
        <v>0</v>
      </c>
      <c r="N1032" s="31">
        <f>IF($F1032=12.5,$H1032*$B$28,0)</f>
        <v>0</v>
      </c>
      <c r="O1032" s="31">
        <f>IF($F1032=16,$H1032*$B$29,0)</f>
        <v>0</v>
      </c>
      <c r="P1032" s="31">
        <f>IF($F1032=20,$H1032*$B$30,0)</f>
        <v>0</v>
      </c>
      <c r="Q1032" s="49">
        <f>IF($F1032=25,$H1032*$B$31,0)</f>
        <v>0</v>
      </c>
    </row>
    <row r="1033" spans="4:17" s="16" customFormat="1" ht="13.2" x14ac:dyDescent="0.25">
      <c r="D1033" s="235">
        <v>12</v>
      </c>
      <c r="E1033" s="240">
        <v>4</v>
      </c>
      <c r="F1033" s="241">
        <v>8</v>
      </c>
      <c r="G1033" s="242">
        <v>10.74</v>
      </c>
      <c r="H1033" s="239">
        <f>E1033*G1033</f>
        <v>42.96</v>
      </c>
      <c r="I1033" s="131">
        <f>IF($F1033=4.2,H1033*$B$23,0)</f>
        <v>0</v>
      </c>
      <c r="J1033" s="31">
        <f>IF($F1033=5,$H1033*$B$24,0)</f>
        <v>0</v>
      </c>
      <c r="K1033" s="31">
        <f>IF($F1033=6.3,$H1033*$B$25,0)</f>
        <v>0</v>
      </c>
      <c r="L1033" s="31">
        <f>IF($F1033=8,$H1033*$B$26,0)</f>
        <v>16.969200000000001</v>
      </c>
      <c r="M1033" s="31">
        <f>IF($F1033=10,$H1033*$B$27,0)</f>
        <v>0</v>
      </c>
      <c r="N1033" s="31">
        <f>IF($F1033=12.5,$H1033*$B$28,0)</f>
        <v>0</v>
      </c>
      <c r="O1033" s="31">
        <f>IF($F1033=16,$H1033*$B$29,0)</f>
        <v>0</v>
      </c>
      <c r="P1033" s="31">
        <f>IF($F1033=20,$H1033*$B$30,0)</f>
        <v>0</v>
      </c>
      <c r="Q1033" s="49">
        <f>IF($F1033=25,$H1033*$B$31,0)</f>
        <v>0</v>
      </c>
    </row>
    <row r="1034" spans="4:17" s="16" customFormat="1" ht="13.8" thickBot="1" x14ac:dyDescent="0.3">
      <c r="D1034" s="307"/>
      <c r="E1034" s="26"/>
      <c r="F1034" s="206"/>
      <c r="G1034" s="207"/>
      <c r="H1034" s="207"/>
      <c r="I1034" s="51"/>
      <c r="J1034" s="308"/>
      <c r="K1034" s="308"/>
      <c r="L1034" s="308"/>
      <c r="M1034" s="308"/>
      <c r="N1034" s="308"/>
      <c r="O1034" s="308"/>
      <c r="P1034" s="308"/>
      <c r="Q1034" s="309"/>
    </row>
    <row r="1035" spans="4:17" s="16" customFormat="1" ht="13.2" x14ac:dyDescent="0.25">
      <c r="D1035" s="796" t="s">
        <v>1688</v>
      </c>
      <c r="E1035" s="797"/>
      <c r="F1035" s="797"/>
      <c r="G1035" s="797"/>
      <c r="H1035" s="797"/>
      <c r="I1035" s="47">
        <f t="shared" ref="I1035:Q1035" si="1167">SUM(I1036:I1037)</f>
        <v>0</v>
      </c>
      <c r="J1035" s="47">
        <f t="shared" si="1167"/>
        <v>2.3900799999999998</v>
      </c>
      <c r="K1035" s="47">
        <f t="shared" si="1167"/>
        <v>0</v>
      </c>
      <c r="L1035" s="47">
        <f t="shared" si="1167"/>
        <v>7.0310000000000006</v>
      </c>
      <c r="M1035" s="47">
        <f t="shared" si="1167"/>
        <v>0</v>
      </c>
      <c r="N1035" s="47">
        <f t="shared" si="1167"/>
        <v>0</v>
      </c>
      <c r="O1035" s="47">
        <f t="shared" si="1167"/>
        <v>0</v>
      </c>
      <c r="P1035" s="47">
        <f t="shared" si="1167"/>
        <v>0</v>
      </c>
      <c r="Q1035" s="47">
        <f t="shared" si="1167"/>
        <v>0</v>
      </c>
    </row>
    <row r="1036" spans="4:17" s="16" customFormat="1" ht="13.2" x14ac:dyDescent="0.25">
      <c r="D1036" s="235">
        <v>1</v>
      </c>
      <c r="E1036" s="237">
        <f>4*4</f>
        <v>16</v>
      </c>
      <c r="F1036" s="238">
        <v>5</v>
      </c>
      <c r="G1036" s="239">
        <v>0.97</v>
      </c>
      <c r="H1036" s="239">
        <f>E1036*G1036</f>
        <v>15.52</v>
      </c>
      <c r="I1036" s="131">
        <f>IF($F1036=4.2,H1036*$B$23,0)</f>
        <v>0</v>
      </c>
      <c r="J1036" s="31">
        <f>IF($F1036=5,$H1036*$B$24,0)</f>
        <v>2.3900799999999998</v>
      </c>
      <c r="K1036" s="31">
        <f>IF($F1036=6.3,$H1036*$B$25,0)</f>
        <v>0</v>
      </c>
      <c r="L1036" s="31">
        <f>IF($F1036=8,$H1036*$B$26,0)</f>
        <v>0</v>
      </c>
      <c r="M1036" s="31">
        <f>IF($F1036=10,$H1036*$B$27,0)</f>
        <v>0</v>
      </c>
      <c r="N1036" s="31">
        <f>IF($F1036=12.5,$H1036*$B$28,0)</f>
        <v>0</v>
      </c>
      <c r="O1036" s="31">
        <f>IF($F1036=16,$H1036*$B$29,0)</f>
        <v>0</v>
      </c>
      <c r="P1036" s="31">
        <f>IF($F1036=20,$H1036*$B$30,0)</f>
        <v>0</v>
      </c>
      <c r="Q1036" s="49">
        <f>IF($F1036=25,$H1036*$B$31,0)</f>
        <v>0</v>
      </c>
    </row>
    <row r="1037" spans="4:17" s="16" customFormat="1" ht="13.2" x14ac:dyDescent="0.25">
      <c r="D1037" s="235">
        <v>13</v>
      </c>
      <c r="E1037" s="240">
        <f>4*5</f>
        <v>20</v>
      </c>
      <c r="F1037" s="241">
        <v>8</v>
      </c>
      <c r="G1037" s="242">
        <v>0.89</v>
      </c>
      <c r="H1037" s="239">
        <f>E1037*G1037</f>
        <v>17.8</v>
      </c>
      <c r="I1037" s="131">
        <f>IF($F1037=4.2,H1037*$B$23,0)</f>
        <v>0</v>
      </c>
      <c r="J1037" s="31">
        <f>IF($F1037=5,$H1037*$B$24,0)</f>
        <v>0</v>
      </c>
      <c r="K1037" s="31">
        <f>IF($F1037=6.3,$H1037*$B$25,0)</f>
        <v>0</v>
      </c>
      <c r="L1037" s="31">
        <f>IF($F1037=8,$H1037*$B$26,0)</f>
        <v>7.0310000000000006</v>
      </c>
      <c r="M1037" s="31">
        <f>IF($F1037=10,$H1037*$B$27,0)</f>
        <v>0</v>
      </c>
      <c r="N1037" s="31">
        <f>IF($F1037=12.5,$H1037*$B$28,0)</f>
        <v>0</v>
      </c>
      <c r="O1037" s="31">
        <f>IF($F1037=16,$H1037*$B$29,0)</f>
        <v>0</v>
      </c>
      <c r="P1037" s="31">
        <f>IF($F1037=20,$H1037*$B$30,0)</f>
        <v>0</v>
      </c>
      <c r="Q1037" s="49">
        <f>IF($F1037=25,$H1037*$B$31,0)</f>
        <v>0</v>
      </c>
    </row>
    <row r="1038" spans="4:17" s="16" customFormat="1" ht="13.8" thickBot="1" x14ac:dyDescent="0.3">
      <c r="D1038" s="307"/>
      <c r="E1038" s="26"/>
      <c r="F1038" s="206"/>
      <c r="G1038" s="207"/>
      <c r="H1038" s="207"/>
      <c r="I1038" s="51"/>
      <c r="J1038" s="308"/>
      <c r="K1038" s="308"/>
      <c r="L1038" s="308"/>
      <c r="M1038" s="308"/>
      <c r="N1038" s="308"/>
      <c r="O1038" s="308"/>
      <c r="P1038" s="308"/>
      <c r="Q1038" s="309"/>
    </row>
    <row r="1039" spans="4:17" s="16" customFormat="1" ht="13.2" x14ac:dyDescent="0.25">
      <c r="D1039" s="796" t="s">
        <v>1689</v>
      </c>
      <c r="E1039" s="797"/>
      <c r="F1039" s="797"/>
      <c r="G1039" s="797"/>
      <c r="H1039" s="797"/>
      <c r="I1039" s="47">
        <f t="shared" ref="I1039:Q1039" si="1168">SUM(I1040:I1041)</f>
        <v>0</v>
      </c>
      <c r="J1039" s="47">
        <f t="shared" si="1168"/>
        <v>20.614439999999998</v>
      </c>
      <c r="K1039" s="47">
        <f t="shared" si="1168"/>
        <v>0</v>
      </c>
      <c r="L1039" s="47">
        <f t="shared" si="1168"/>
        <v>50.907600000000002</v>
      </c>
      <c r="M1039" s="47">
        <f t="shared" si="1168"/>
        <v>0</v>
      </c>
      <c r="N1039" s="47">
        <f t="shared" si="1168"/>
        <v>0</v>
      </c>
      <c r="O1039" s="47">
        <f t="shared" si="1168"/>
        <v>0</v>
      </c>
      <c r="P1039" s="47">
        <f t="shared" si="1168"/>
        <v>0</v>
      </c>
      <c r="Q1039" s="47">
        <f t="shared" si="1168"/>
        <v>0</v>
      </c>
    </row>
    <row r="1040" spans="4:17" s="16" customFormat="1" ht="13.2" x14ac:dyDescent="0.25">
      <c r="D1040" s="235">
        <v>1</v>
      </c>
      <c r="E1040" s="237">
        <f>3*46</f>
        <v>138</v>
      </c>
      <c r="F1040" s="238">
        <v>5</v>
      </c>
      <c r="G1040" s="239">
        <v>0.97</v>
      </c>
      <c r="H1040" s="239">
        <f>E1040*G1040</f>
        <v>133.85999999999999</v>
      </c>
      <c r="I1040" s="131">
        <f>IF($F1040=4.2,H1040*$B$23,0)</f>
        <v>0</v>
      </c>
      <c r="J1040" s="31">
        <f>IF($F1040=5,$H1040*$B$24,0)</f>
        <v>20.614439999999998</v>
      </c>
      <c r="K1040" s="31">
        <f>IF($F1040=6.3,$H1040*$B$25,0)</f>
        <v>0</v>
      </c>
      <c r="L1040" s="31">
        <f>IF($F1040=8,$H1040*$B$26,0)</f>
        <v>0</v>
      </c>
      <c r="M1040" s="31">
        <f>IF($F1040=10,$H1040*$B$27,0)</f>
        <v>0</v>
      </c>
      <c r="N1040" s="31">
        <f>IF($F1040=12.5,$H1040*$B$28,0)</f>
        <v>0</v>
      </c>
      <c r="O1040" s="31">
        <f>IF($F1040=16,$H1040*$B$29,0)</f>
        <v>0</v>
      </c>
      <c r="P1040" s="31">
        <f>IF($F1040=20,$H1040*$B$30,0)</f>
        <v>0</v>
      </c>
      <c r="Q1040" s="49">
        <f>IF($F1040=25,$H1040*$B$31,0)</f>
        <v>0</v>
      </c>
    </row>
    <row r="1041" spans="4:17" s="16" customFormat="1" ht="13.2" x14ac:dyDescent="0.25">
      <c r="D1041" s="235">
        <v>12</v>
      </c>
      <c r="E1041" s="240">
        <f>3*4</f>
        <v>12</v>
      </c>
      <c r="F1041" s="241">
        <v>8</v>
      </c>
      <c r="G1041" s="242">
        <v>10.74</v>
      </c>
      <c r="H1041" s="239">
        <f>E1041*G1041</f>
        <v>128.88</v>
      </c>
      <c r="I1041" s="131">
        <f>IF($F1041=4.2,H1041*$B$23,0)</f>
        <v>0</v>
      </c>
      <c r="J1041" s="31">
        <f>IF($F1041=5,$H1041*$B$24,0)</f>
        <v>0</v>
      </c>
      <c r="K1041" s="31">
        <f>IF($F1041=6.3,$H1041*$B$25,0)</f>
        <v>0</v>
      </c>
      <c r="L1041" s="31">
        <f>IF($F1041=8,$H1041*$B$26,0)</f>
        <v>50.907600000000002</v>
      </c>
      <c r="M1041" s="31">
        <f>IF($F1041=10,$H1041*$B$27,0)</f>
        <v>0</v>
      </c>
      <c r="N1041" s="31">
        <f>IF($F1041=12.5,$H1041*$B$28,0)</f>
        <v>0</v>
      </c>
      <c r="O1041" s="31">
        <f>IF($F1041=16,$H1041*$B$29,0)</f>
        <v>0</v>
      </c>
      <c r="P1041" s="31">
        <f>IF($F1041=20,$H1041*$B$30,0)</f>
        <v>0</v>
      </c>
      <c r="Q1041" s="49">
        <f>IF($F1041=25,$H1041*$B$31,0)</f>
        <v>0</v>
      </c>
    </row>
    <row r="1042" spans="4:17" s="16" customFormat="1" ht="13.8" thickBot="1" x14ac:dyDescent="0.3">
      <c r="D1042" s="307"/>
      <c r="E1042" s="26"/>
      <c r="F1042" s="206"/>
      <c r="G1042" s="207"/>
      <c r="H1042" s="207"/>
      <c r="I1042" s="51"/>
      <c r="J1042" s="308"/>
      <c r="K1042" s="308"/>
      <c r="L1042" s="308"/>
      <c r="M1042" s="308"/>
      <c r="N1042" s="308"/>
      <c r="O1042" s="308"/>
      <c r="P1042" s="308"/>
      <c r="Q1042" s="309"/>
    </row>
    <row r="1043" spans="4:17" s="16" customFormat="1" ht="13.2" x14ac:dyDescent="0.25">
      <c r="D1043" s="796" t="s">
        <v>1690</v>
      </c>
      <c r="E1043" s="797"/>
      <c r="F1043" s="797"/>
      <c r="G1043" s="797"/>
      <c r="H1043" s="797"/>
      <c r="I1043" s="47">
        <f t="shared" ref="I1043:Q1043" si="1169">SUM(I1044:I1046)</f>
        <v>0</v>
      </c>
      <c r="J1043" s="47">
        <f t="shared" si="1169"/>
        <v>1.4937999999999998</v>
      </c>
      <c r="K1043" s="47">
        <f t="shared" si="1169"/>
        <v>0</v>
      </c>
      <c r="L1043" s="47">
        <f t="shared" si="1169"/>
        <v>6.7387000000000006</v>
      </c>
      <c r="M1043" s="47">
        <f t="shared" si="1169"/>
        <v>0</v>
      </c>
      <c r="N1043" s="47">
        <f t="shared" si="1169"/>
        <v>0</v>
      </c>
      <c r="O1043" s="47">
        <f t="shared" si="1169"/>
        <v>0</v>
      </c>
      <c r="P1043" s="47">
        <f t="shared" si="1169"/>
        <v>0</v>
      </c>
      <c r="Q1043" s="47">
        <f t="shared" si="1169"/>
        <v>0</v>
      </c>
    </row>
    <row r="1044" spans="4:17" s="16" customFormat="1" ht="13.2" x14ac:dyDescent="0.25">
      <c r="D1044" s="235">
        <v>1</v>
      </c>
      <c r="E1044" s="237">
        <f>2*5</f>
        <v>10</v>
      </c>
      <c r="F1044" s="238">
        <v>5</v>
      </c>
      <c r="G1044" s="239">
        <v>0.97</v>
      </c>
      <c r="H1044" s="239">
        <f>E1044*G1044</f>
        <v>9.6999999999999993</v>
      </c>
      <c r="I1044" s="131">
        <f>IF($F1044=4.2,H1044*$B$23,0)</f>
        <v>0</v>
      </c>
      <c r="J1044" s="31">
        <f>IF($F1044=5,$H1044*$B$24,0)</f>
        <v>1.4937999999999998</v>
      </c>
      <c r="K1044" s="31">
        <f>IF($F1044=6.3,$H1044*$B$25,0)</f>
        <v>0</v>
      </c>
      <c r="L1044" s="31">
        <f>IF($F1044=8,$H1044*$B$26,0)</f>
        <v>0</v>
      </c>
      <c r="M1044" s="31">
        <f>IF($F1044=10,$H1044*$B$27,0)</f>
        <v>0</v>
      </c>
      <c r="N1044" s="31">
        <f>IF($F1044=12.5,$H1044*$B$28,0)</f>
        <v>0</v>
      </c>
      <c r="O1044" s="31">
        <f>IF($F1044=16,$H1044*$B$29,0)</f>
        <v>0</v>
      </c>
      <c r="P1044" s="31">
        <f>IF($F1044=20,$H1044*$B$30,0)</f>
        <v>0</v>
      </c>
      <c r="Q1044" s="49">
        <f>IF($F1044=25,$H1044*$B$31,0)</f>
        <v>0</v>
      </c>
    </row>
    <row r="1045" spans="4:17" s="16" customFormat="1" ht="13.2" x14ac:dyDescent="0.25">
      <c r="D1045" s="235">
        <v>13</v>
      </c>
      <c r="E1045" s="240">
        <f>2*5</f>
        <v>10</v>
      </c>
      <c r="F1045" s="241">
        <v>8</v>
      </c>
      <c r="G1045" s="242">
        <v>0.89</v>
      </c>
      <c r="H1045" s="239">
        <f>E1045*G1045</f>
        <v>8.9</v>
      </c>
      <c r="I1045" s="131">
        <f>IF($F1045=4.2,H1045*$B$23,0)</f>
        <v>0</v>
      </c>
      <c r="J1045" s="31">
        <f>IF($F1045=5,$H1045*$B$24,0)</f>
        <v>0</v>
      </c>
      <c r="K1045" s="31">
        <f>IF($F1045=6.3,$H1045*$B$25,0)</f>
        <v>0</v>
      </c>
      <c r="L1045" s="31">
        <f>IF($F1045=8,$H1045*$B$26,0)</f>
        <v>3.5155000000000003</v>
      </c>
      <c r="M1045" s="31">
        <f>IF($F1045=10,$H1045*$B$27,0)</f>
        <v>0</v>
      </c>
      <c r="N1045" s="31">
        <f>IF($F1045=12.5,$H1045*$B$28,0)</f>
        <v>0</v>
      </c>
      <c r="O1045" s="31">
        <f>IF($F1045=16,$H1045*$B$29,0)</f>
        <v>0</v>
      </c>
      <c r="P1045" s="31">
        <f>IF($F1045=20,$H1045*$B$30,0)</f>
        <v>0</v>
      </c>
      <c r="Q1045" s="49">
        <f>IF($F1045=25,$H1045*$B$31,0)</f>
        <v>0</v>
      </c>
    </row>
    <row r="1046" spans="4:17" s="16" customFormat="1" ht="13.2" x14ac:dyDescent="0.25">
      <c r="D1046" s="235">
        <v>14</v>
      </c>
      <c r="E1046" s="240">
        <f>2*4</f>
        <v>8</v>
      </c>
      <c r="F1046" s="241">
        <v>8</v>
      </c>
      <c r="G1046" s="242">
        <v>1.02</v>
      </c>
      <c r="H1046" s="239">
        <f>E1046*G1046</f>
        <v>8.16</v>
      </c>
      <c r="I1046" s="131">
        <f>IF($F1046=4.2,H1046*$B$23,0)</f>
        <v>0</v>
      </c>
      <c r="J1046" s="31">
        <f>IF($F1046=5,$H1046*$B$24,0)</f>
        <v>0</v>
      </c>
      <c r="K1046" s="31">
        <f>IF($F1046=6.3,$H1046*$B$25,0)</f>
        <v>0</v>
      </c>
      <c r="L1046" s="31">
        <f>IF($F1046=8,$H1046*$B$26,0)</f>
        <v>3.2232000000000003</v>
      </c>
      <c r="M1046" s="31">
        <f>IF($F1046=10,$H1046*$B$27,0)</f>
        <v>0</v>
      </c>
      <c r="N1046" s="31">
        <f>IF($F1046=12.5,$H1046*$B$28,0)</f>
        <v>0</v>
      </c>
      <c r="O1046" s="31">
        <f>IF($F1046=16,$H1046*$B$29,0)</f>
        <v>0</v>
      </c>
      <c r="P1046" s="31">
        <f>IF($F1046=20,$H1046*$B$30,0)</f>
        <v>0</v>
      </c>
      <c r="Q1046" s="49">
        <f>IF($F1046=25,$H1046*$B$31,0)</f>
        <v>0</v>
      </c>
    </row>
    <row r="1047" spans="4:17" s="16" customFormat="1" ht="13.8" thickBot="1" x14ac:dyDescent="0.3">
      <c r="D1047" s="307"/>
      <c r="E1047" s="26"/>
      <c r="F1047" s="206"/>
      <c r="G1047" s="207"/>
      <c r="H1047" s="207"/>
      <c r="I1047" s="51"/>
      <c r="J1047" s="308"/>
      <c r="K1047" s="308"/>
      <c r="L1047" s="308"/>
      <c r="M1047" s="308"/>
      <c r="N1047" s="308"/>
      <c r="O1047" s="308"/>
      <c r="P1047" s="308"/>
      <c r="Q1047" s="309"/>
    </row>
    <row r="1048" spans="4:17" s="16" customFormat="1" ht="13.2" x14ac:dyDescent="0.25">
      <c r="D1048" s="796" t="s">
        <v>1691</v>
      </c>
      <c r="E1048" s="797"/>
      <c r="F1048" s="797"/>
      <c r="G1048" s="797"/>
      <c r="H1048" s="797"/>
      <c r="I1048" s="47">
        <f t="shared" ref="I1048:Q1048" si="1170">SUM(I1049:I1051)</f>
        <v>0</v>
      </c>
      <c r="J1048" s="47">
        <f t="shared" si="1170"/>
        <v>2.9875999999999996</v>
      </c>
      <c r="K1048" s="47">
        <f t="shared" si="1170"/>
        <v>0</v>
      </c>
      <c r="L1048" s="47">
        <f t="shared" si="1170"/>
        <v>6.7387000000000006</v>
      </c>
      <c r="M1048" s="47">
        <f t="shared" si="1170"/>
        <v>0</v>
      </c>
      <c r="N1048" s="47">
        <f t="shared" si="1170"/>
        <v>0</v>
      </c>
      <c r="O1048" s="47">
        <f t="shared" si="1170"/>
        <v>0</v>
      </c>
      <c r="P1048" s="47">
        <f t="shared" si="1170"/>
        <v>0</v>
      </c>
      <c r="Q1048" s="47">
        <f t="shared" si="1170"/>
        <v>0</v>
      </c>
    </row>
    <row r="1049" spans="4:17" s="16" customFormat="1" ht="13.2" x14ac:dyDescent="0.25">
      <c r="D1049" s="235">
        <v>1</v>
      </c>
      <c r="E1049" s="237">
        <f>2*10</f>
        <v>20</v>
      </c>
      <c r="F1049" s="238">
        <v>5</v>
      </c>
      <c r="G1049" s="239">
        <v>0.97</v>
      </c>
      <c r="H1049" s="239">
        <f>E1049*G1049</f>
        <v>19.399999999999999</v>
      </c>
      <c r="I1049" s="131">
        <f>IF($F1049=4.2,H1049*$B$23,0)</f>
        <v>0</v>
      </c>
      <c r="J1049" s="31">
        <f>IF($F1049=5,$H1049*$B$24,0)</f>
        <v>2.9875999999999996</v>
      </c>
      <c r="K1049" s="31">
        <f>IF($F1049=6.3,$H1049*$B$25,0)</f>
        <v>0</v>
      </c>
      <c r="L1049" s="31">
        <f>IF($F1049=8,$H1049*$B$26,0)</f>
        <v>0</v>
      </c>
      <c r="M1049" s="31">
        <f>IF($F1049=10,$H1049*$B$27,0)</f>
        <v>0</v>
      </c>
      <c r="N1049" s="31">
        <f>IF($F1049=12.5,$H1049*$B$28,0)</f>
        <v>0</v>
      </c>
      <c r="O1049" s="31">
        <f>IF($F1049=16,$H1049*$B$29,0)</f>
        <v>0</v>
      </c>
      <c r="P1049" s="31">
        <f>IF($F1049=20,$H1049*$B$30,0)</f>
        <v>0</v>
      </c>
      <c r="Q1049" s="49">
        <f>IF($F1049=25,$H1049*$B$31,0)</f>
        <v>0</v>
      </c>
    </row>
    <row r="1050" spans="4:17" s="16" customFormat="1" ht="13.2" x14ac:dyDescent="0.25">
      <c r="D1050" s="235">
        <v>13</v>
      </c>
      <c r="E1050" s="240">
        <f>2*5</f>
        <v>10</v>
      </c>
      <c r="F1050" s="241">
        <v>8</v>
      </c>
      <c r="G1050" s="242">
        <v>0.89</v>
      </c>
      <c r="H1050" s="239">
        <f>E1050*G1050</f>
        <v>8.9</v>
      </c>
      <c r="I1050" s="131">
        <f>IF($F1050=4.2,H1050*$B$23,0)</f>
        <v>0</v>
      </c>
      <c r="J1050" s="31">
        <f>IF($F1050=5,$H1050*$B$24,0)</f>
        <v>0</v>
      </c>
      <c r="K1050" s="31">
        <f>IF($F1050=6.3,$H1050*$B$25,0)</f>
        <v>0</v>
      </c>
      <c r="L1050" s="31">
        <f>IF($F1050=8,$H1050*$B$26,0)</f>
        <v>3.5155000000000003</v>
      </c>
      <c r="M1050" s="31">
        <f>IF($F1050=10,$H1050*$B$27,0)</f>
        <v>0</v>
      </c>
      <c r="N1050" s="31">
        <f>IF($F1050=12.5,$H1050*$B$28,0)</f>
        <v>0</v>
      </c>
      <c r="O1050" s="31">
        <f>IF($F1050=16,$H1050*$B$29,0)</f>
        <v>0</v>
      </c>
      <c r="P1050" s="31">
        <f>IF($F1050=20,$H1050*$B$30,0)</f>
        <v>0</v>
      </c>
      <c r="Q1050" s="49">
        <f>IF($F1050=25,$H1050*$B$31,0)</f>
        <v>0</v>
      </c>
    </row>
    <row r="1051" spans="4:17" s="16" customFormat="1" ht="13.2" x14ac:dyDescent="0.25">
      <c r="D1051" s="235">
        <v>14</v>
      </c>
      <c r="E1051" s="240">
        <f>2*4</f>
        <v>8</v>
      </c>
      <c r="F1051" s="241">
        <v>8</v>
      </c>
      <c r="G1051" s="242">
        <v>1.02</v>
      </c>
      <c r="H1051" s="239">
        <f>E1051*G1051</f>
        <v>8.16</v>
      </c>
      <c r="I1051" s="131">
        <f>IF($F1051=4.2,H1051*$B$23,0)</f>
        <v>0</v>
      </c>
      <c r="J1051" s="31">
        <f>IF($F1051=5,$H1051*$B$24,0)</f>
        <v>0</v>
      </c>
      <c r="K1051" s="31">
        <f>IF($F1051=6.3,$H1051*$B$25,0)</f>
        <v>0</v>
      </c>
      <c r="L1051" s="31">
        <f>IF($F1051=8,$H1051*$B$26,0)</f>
        <v>3.2232000000000003</v>
      </c>
      <c r="M1051" s="31">
        <f>IF($F1051=10,$H1051*$B$27,0)</f>
        <v>0</v>
      </c>
      <c r="N1051" s="31">
        <f>IF($F1051=12.5,$H1051*$B$28,0)</f>
        <v>0</v>
      </c>
      <c r="O1051" s="31">
        <f>IF($F1051=16,$H1051*$B$29,0)</f>
        <v>0</v>
      </c>
      <c r="P1051" s="31">
        <f>IF($F1051=20,$H1051*$B$30,0)</f>
        <v>0</v>
      </c>
      <c r="Q1051" s="49">
        <f>IF($F1051=25,$H1051*$B$31,0)</f>
        <v>0</v>
      </c>
    </row>
    <row r="1052" spans="4:17" s="16" customFormat="1" ht="13.8" thickBot="1" x14ac:dyDescent="0.3">
      <c r="D1052" s="307"/>
      <c r="E1052" s="26"/>
      <c r="F1052" s="206"/>
      <c r="G1052" s="207"/>
      <c r="H1052" s="207"/>
      <c r="I1052" s="51"/>
      <c r="J1052" s="308"/>
      <c r="K1052" s="308"/>
      <c r="L1052" s="308"/>
      <c r="M1052" s="308"/>
      <c r="N1052" s="308"/>
      <c r="O1052" s="308"/>
      <c r="P1052" s="308"/>
      <c r="Q1052" s="309"/>
    </row>
    <row r="1053" spans="4:17" s="16" customFormat="1" ht="13.2" x14ac:dyDescent="0.25">
      <c r="D1053" s="796" t="s">
        <v>1692</v>
      </c>
      <c r="E1053" s="797"/>
      <c r="F1053" s="797"/>
      <c r="G1053" s="797"/>
      <c r="H1053" s="797"/>
      <c r="I1053" s="47">
        <f t="shared" ref="I1053:Q1053" si="1171">SUM(I1054:I1056)</f>
        <v>0</v>
      </c>
      <c r="J1053" s="47">
        <f t="shared" si="1171"/>
        <v>5.3776799999999998</v>
      </c>
      <c r="K1053" s="47">
        <f t="shared" si="1171"/>
        <v>0</v>
      </c>
      <c r="L1053" s="47">
        <f t="shared" si="1171"/>
        <v>13.3352</v>
      </c>
      <c r="M1053" s="47">
        <f t="shared" si="1171"/>
        <v>0</v>
      </c>
      <c r="N1053" s="47">
        <f t="shared" si="1171"/>
        <v>0</v>
      </c>
      <c r="O1053" s="47">
        <f t="shared" si="1171"/>
        <v>0</v>
      </c>
      <c r="P1053" s="47">
        <f t="shared" si="1171"/>
        <v>0</v>
      </c>
      <c r="Q1053" s="47">
        <f t="shared" si="1171"/>
        <v>0</v>
      </c>
    </row>
    <row r="1054" spans="4:17" s="16" customFormat="1" ht="13.2" x14ac:dyDescent="0.25">
      <c r="D1054" s="235">
        <v>1</v>
      </c>
      <c r="E1054" s="237">
        <f>2*18</f>
        <v>36</v>
      </c>
      <c r="F1054" s="238">
        <v>5</v>
      </c>
      <c r="G1054" s="239">
        <v>0.97</v>
      </c>
      <c r="H1054" s="239">
        <f>E1054*G1054</f>
        <v>34.92</v>
      </c>
      <c r="I1054" s="131">
        <f>IF($F1054=4.2,H1054*$B$23,0)</f>
        <v>0</v>
      </c>
      <c r="J1054" s="31">
        <f>IF($F1054=5,$H1054*$B$24,0)</f>
        <v>5.3776799999999998</v>
      </c>
      <c r="K1054" s="31">
        <f>IF($F1054=6.3,$H1054*$B$25,0)</f>
        <v>0</v>
      </c>
      <c r="L1054" s="31">
        <f>IF($F1054=8,$H1054*$B$26,0)</f>
        <v>0</v>
      </c>
      <c r="M1054" s="31">
        <f>IF($F1054=10,$H1054*$B$27,0)</f>
        <v>0</v>
      </c>
      <c r="N1054" s="31">
        <f>IF($F1054=12.5,$H1054*$B$28,0)</f>
        <v>0</v>
      </c>
      <c r="O1054" s="31">
        <f>IF($F1054=16,$H1054*$B$29,0)</f>
        <v>0</v>
      </c>
      <c r="P1054" s="31">
        <f>IF($F1054=20,$H1054*$B$30,0)</f>
        <v>0</v>
      </c>
      <c r="Q1054" s="49">
        <f>IF($F1054=25,$H1054*$B$31,0)</f>
        <v>0</v>
      </c>
    </row>
    <row r="1055" spans="4:17" s="16" customFormat="1" ht="13.2" x14ac:dyDescent="0.25">
      <c r="D1055" s="235">
        <v>15</v>
      </c>
      <c r="E1055" s="240">
        <f>2*2</f>
        <v>4</v>
      </c>
      <c r="F1055" s="241">
        <v>8</v>
      </c>
      <c r="G1055" s="242">
        <v>4.1399999999999997</v>
      </c>
      <c r="H1055" s="239">
        <f>E1055*G1055</f>
        <v>16.559999999999999</v>
      </c>
      <c r="I1055" s="131">
        <f>IF($F1055=4.2,H1055*$B$23,0)</f>
        <v>0</v>
      </c>
      <c r="J1055" s="31">
        <f>IF($F1055=5,$H1055*$B$24,0)</f>
        <v>0</v>
      </c>
      <c r="K1055" s="31">
        <f>IF($F1055=6.3,$H1055*$B$25,0)</f>
        <v>0</v>
      </c>
      <c r="L1055" s="31">
        <f>IF($F1055=8,$H1055*$B$26,0)</f>
        <v>6.5411999999999999</v>
      </c>
      <c r="M1055" s="31">
        <f>IF($F1055=10,$H1055*$B$27,0)</f>
        <v>0</v>
      </c>
      <c r="N1055" s="31">
        <f>IF($F1055=12.5,$H1055*$B$28,0)</f>
        <v>0</v>
      </c>
      <c r="O1055" s="31">
        <f>IF($F1055=16,$H1055*$B$29,0)</f>
        <v>0</v>
      </c>
      <c r="P1055" s="31">
        <f>IF($F1055=20,$H1055*$B$30,0)</f>
        <v>0</v>
      </c>
      <c r="Q1055" s="49">
        <f>IF($F1055=25,$H1055*$B$31,0)</f>
        <v>0</v>
      </c>
    </row>
    <row r="1056" spans="4:17" s="16" customFormat="1" ht="13.2" x14ac:dyDescent="0.25">
      <c r="D1056" s="235">
        <v>16</v>
      </c>
      <c r="E1056" s="240">
        <f>2*2</f>
        <v>4</v>
      </c>
      <c r="F1056" s="241">
        <v>8</v>
      </c>
      <c r="G1056" s="242">
        <v>4.3</v>
      </c>
      <c r="H1056" s="239">
        <f>E1056*G1056</f>
        <v>17.2</v>
      </c>
      <c r="I1056" s="131">
        <f>IF($F1056=4.2,H1056*$B$23,0)</f>
        <v>0</v>
      </c>
      <c r="J1056" s="31">
        <f>IF($F1056=5,$H1056*$B$24,0)</f>
        <v>0</v>
      </c>
      <c r="K1056" s="31">
        <f>IF($F1056=6.3,$H1056*$B$25,0)</f>
        <v>0</v>
      </c>
      <c r="L1056" s="31">
        <f>IF($F1056=8,$H1056*$B$26,0)</f>
        <v>6.7939999999999996</v>
      </c>
      <c r="M1056" s="31">
        <f>IF($F1056=10,$H1056*$B$27,0)</f>
        <v>0</v>
      </c>
      <c r="N1056" s="31">
        <f>IF($F1056=12.5,$H1056*$B$28,0)</f>
        <v>0</v>
      </c>
      <c r="O1056" s="31">
        <f>IF($F1056=16,$H1056*$B$29,0)</f>
        <v>0</v>
      </c>
      <c r="P1056" s="31">
        <f>IF($F1056=20,$H1056*$B$30,0)</f>
        <v>0</v>
      </c>
      <c r="Q1056" s="49">
        <f>IF($F1056=25,$H1056*$B$31,0)</f>
        <v>0</v>
      </c>
    </row>
    <row r="1057" spans="4:17" s="16" customFormat="1" ht="13.8" thickBot="1" x14ac:dyDescent="0.3">
      <c r="D1057" s="307"/>
      <c r="E1057" s="26"/>
      <c r="F1057" s="206"/>
      <c r="G1057" s="207"/>
      <c r="H1057" s="207"/>
      <c r="I1057" s="51"/>
      <c r="J1057" s="308"/>
      <c r="K1057" s="308"/>
      <c r="L1057" s="308"/>
      <c r="M1057" s="308"/>
      <c r="N1057" s="308"/>
      <c r="O1057" s="308"/>
      <c r="P1057" s="308"/>
      <c r="Q1057" s="309"/>
    </row>
    <row r="1058" spans="4:17" s="16" customFormat="1" ht="13.2" x14ac:dyDescent="0.25">
      <c r="D1058" s="796" t="s">
        <v>1693</v>
      </c>
      <c r="E1058" s="797"/>
      <c r="F1058" s="797"/>
      <c r="G1058" s="797"/>
      <c r="H1058" s="797"/>
      <c r="I1058" s="47">
        <f t="shared" ref="I1058:Q1058" si="1172">SUM(I1059:I1061)</f>
        <v>0</v>
      </c>
      <c r="J1058" s="47">
        <f t="shared" si="1172"/>
        <v>5.6764399999999995</v>
      </c>
      <c r="K1058" s="47">
        <f t="shared" si="1172"/>
        <v>0</v>
      </c>
      <c r="L1058" s="47">
        <f t="shared" si="1172"/>
        <v>13.4932</v>
      </c>
      <c r="M1058" s="47">
        <f t="shared" si="1172"/>
        <v>0</v>
      </c>
      <c r="N1058" s="47">
        <f t="shared" si="1172"/>
        <v>0</v>
      </c>
      <c r="O1058" s="47">
        <f t="shared" si="1172"/>
        <v>0</v>
      </c>
      <c r="P1058" s="47">
        <f t="shared" si="1172"/>
        <v>0</v>
      </c>
      <c r="Q1058" s="47">
        <f t="shared" si="1172"/>
        <v>0</v>
      </c>
    </row>
    <row r="1059" spans="4:17" s="16" customFormat="1" ht="13.2" x14ac:dyDescent="0.25">
      <c r="D1059" s="235">
        <v>1</v>
      </c>
      <c r="E1059" s="237">
        <f>2*19</f>
        <v>38</v>
      </c>
      <c r="F1059" s="238">
        <v>5</v>
      </c>
      <c r="G1059" s="239">
        <v>0.97</v>
      </c>
      <c r="H1059" s="239">
        <f>E1059*G1059</f>
        <v>36.86</v>
      </c>
      <c r="I1059" s="131">
        <f>IF($F1059=4.2,H1059*$B$23,0)</f>
        <v>0</v>
      </c>
      <c r="J1059" s="31">
        <f>IF($F1059=5,$H1059*$B$24,0)</f>
        <v>5.6764399999999995</v>
      </c>
      <c r="K1059" s="31">
        <f>IF($F1059=6.3,$H1059*$B$25,0)</f>
        <v>0</v>
      </c>
      <c r="L1059" s="31">
        <f>IF($F1059=8,$H1059*$B$26,0)</f>
        <v>0</v>
      </c>
      <c r="M1059" s="31">
        <f>IF($F1059=10,$H1059*$B$27,0)</f>
        <v>0</v>
      </c>
      <c r="N1059" s="31">
        <f>IF($F1059=12.5,$H1059*$B$28,0)</f>
        <v>0</v>
      </c>
      <c r="O1059" s="31">
        <f>IF($F1059=16,$H1059*$B$29,0)</f>
        <v>0</v>
      </c>
      <c r="P1059" s="31">
        <f>IF($F1059=20,$H1059*$B$30,0)</f>
        <v>0</v>
      </c>
      <c r="Q1059" s="49">
        <f>IF($F1059=25,$H1059*$B$31,0)</f>
        <v>0</v>
      </c>
    </row>
    <row r="1060" spans="4:17" s="16" customFormat="1" ht="13.2" x14ac:dyDescent="0.25">
      <c r="D1060" s="235">
        <v>17</v>
      </c>
      <c r="E1060" s="240">
        <f>2*2</f>
        <v>4</v>
      </c>
      <c r="F1060" s="241">
        <v>8</v>
      </c>
      <c r="G1060" s="242">
        <v>4.1900000000000004</v>
      </c>
      <c r="H1060" s="239">
        <f>E1060*G1060</f>
        <v>16.760000000000002</v>
      </c>
      <c r="I1060" s="131">
        <f>IF($F1060=4.2,H1060*$B$23,0)</f>
        <v>0</v>
      </c>
      <c r="J1060" s="31">
        <f>IF($F1060=5,$H1060*$B$24,0)</f>
        <v>0</v>
      </c>
      <c r="K1060" s="31">
        <f>IF($F1060=6.3,$H1060*$B$25,0)</f>
        <v>0</v>
      </c>
      <c r="L1060" s="31">
        <f>IF($F1060=8,$H1060*$B$26,0)</f>
        <v>6.6202000000000005</v>
      </c>
      <c r="M1060" s="31">
        <f>IF($F1060=10,$H1060*$B$27,0)</f>
        <v>0</v>
      </c>
      <c r="N1060" s="31">
        <f>IF($F1060=12.5,$H1060*$B$28,0)</f>
        <v>0</v>
      </c>
      <c r="O1060" s="31">
        <f>IF($F1060=16,$H1060*$B$29,0)</f>
        <v>0</v>
      </c>
      <c r="P1060" s="31">
        <f>IF($F1060=20,$H1060*$B$30,0)</f>
        <v>0</v>
      </c>
      <c r="Q1060" s="49">
        <f>IF($F1060=25,$H1060*$B$31,0)</f>
        <v>0</v>
      </c>
    </row>
    <row r="1061" spans="4:17" s="16" customFormat="1" ht="13.2" x14ac:dyDescent="0.25">
      <c r="D1061" s="235">
        <v>18</v>
      </c>
      <c r="E1061" s="240">
        <f>2*2</f>
        <v>4</v>
      </c>
      <c r="F1061" s="241">
        <v>8</v>
      </c>
      <c r="G1061" s="242">
        <v>4.3499999999999996</v>
      </c>
      <c r="H1061" s="239">
        <f>E1061*G1061</f>
        <v>17.399999999999999</v>
      </c>
      <c r="I1061" s="131">
        <f>IF($F1061=4.2,H1061*$B$23,0)</f>
        <v>0</v>
      </c>
      <c r="J1061" s="31">
        <f>IF($F1061=5,$H1061*$B$24,0)</f>
        <v>0</v>
      </c>
      <c r="K1061" s="31">
        <f>IF($F1061=6.3,$H1061*$B$25,0)</f>
        <v>0</v>
      </c>
      <c r="L1061" s="31">
        <f>IF($F1061=8,$H1061*$B$26,0)</f>
        <v>6.8729999999999993</v>
      </c>
      <c r="M1061" s="31">
        <f>IF($F1061=10,$H1061*$B$27,0)</f>
        <v>0</v>
      </c>
      <c r="N1061" s="31">
        <f>IF($F1061=12.5,$H1061*$B$28,0)</f>
        <v>0</v>
      </c>
      <c r="O1061" s="31">
        <f>IF($F1061=16,$H1061*$B$29,0)</f>
        <v>0</v>
      </c>
      <c r="P1061" s="31">
        <f>IF($F1061=20,$H1061*$B$30,0)</f>
        <v>0</v>
      </c>
      <c r="Q1061" s="49">
        <f>IF($F1061=25,$H1061*$B$31,0)</f>
        <v>0</v>
      </c>
    </row>
    <row r="1062" spans="4:17" s="16" customFormat="1" ht="13.8" thickBot="1" x14ac:dyDescent="0.3">
      <c r="D1062" s="307"/>
      <c r="E1062" s="26"/>
      <c r="F1062" s="206"/>
      <c r="G1062" s="207"/>
      <c r="H1062" s="207"/>
      <c r="I1062" s="51"/>
      <c r="J1062" s="308"/>
      <c r="K1062" s="308"/>
      <c r="L1062" s="308"/>
      <c r="M1062" s="308"/>
      <c r="N1062" s="308"/>
      <c r="O1062" s="308"/>
      <c r="P1062" s="308"/>
      <c r="Q1062" s="309"/>
    </row>
    <row r="1063" spans="4:17" s="16" customFormat="1" ht="13.2" x14ac:dyDescent="0.25">
      <c r="D1063" s="796" t="s">
        <v>1694</v>
      </c>
      <c r="E1063" s="797"/>
      <c r="F1063" s="797"/>
      <c r="G1063" s="797"/>
      <c r="H1063" s="797"/>
      <c r="I1063" s="47">
        <f t="shared" ref="I1063:Q1063" si="1173">SUM(I1064:I1066)</f>
        <v>0</v>
      </c>
      <c r="J1063" s="47">
        <f t="shared" si="1173"/>
        <v>2.6888399999999999</v>
      </c>
      <c r="K1063" s="47">
        <f t="shared" si="1173"/>
        <v>0</v>
      </c>
      <c r="L1063" s="47">
        <f t="shared" si="1173"/>
        <v>6.7387000000000006</v>
      </c>
      <c r="M1063" s="47">
        <f t="shared" si="1173"/>
        <v>0</v>
      </c>
      <c r="N1063" s="47">
        <f t="shared" si="1173"/>
        <v>0</v>
      </c>
      <c r="O1063" s="47">
        <f t="shared" si="1173"/>
        <v>0</v>
      </c>
      <c r="P1063" s="47">
        <f t="shared" si="1173"/>
        <v>0</v>
      </c>
      <c r="Q1063" s="47">
        <f t="shared" si="1173"/>
        <v>0</v>
      </c>
    </row>
    <row r="1064" spans="4:17" s="16" customFormat="1" ht="13.2" x14ac:dyDescent="0.25">
      <c r="D1064" s="235">
        <v>1</v>
      </c>
      <c r="E1064" s="237">
        <f>2*9</f>
        <v>18</v>
      </c>
      <c r="F1064" s="238">
        <v>5</v>
      </c>
      <c r="G1064" s="239">
        <v>0.97</v>
      </c>
      <c r="H1064" s="239">
        <f>E1064*G1064</f>
        <v>17.46</v>
      </c>
      <c r="I1064" s="131">
        <f>IF($F1064=4.2,H1064*$B$23,0)</f>
        <v>0</v>
      </c>
      <c r="J1064" s="31">
        <f>IF($F1064=5,$H1064*$B$24,0)</f>
        <v>2.6888399999999999</v>
      </c>
      <c r="K1064" s="31">
        <f>IF($F1064=6.3,$H1064*$B$25,0)</f>
        <v>0</v>
      </c>
      <c r="L1064" s="31">
        <f>IF($F1064=8,$H1064*$B$26,0)</f>
        <v>0</v>
      </c>
      <c r="M1064" s="31">
        <f>IF($F1064=10,$H1064*$B$27,0)</f>
        <v>0</v>
      </c>
      <c r="N1064" s="31">
        <f>IF($F1064=12.5,$H1064*$B$28,0)</f>
        <v>0</v>
      </c>
      <c r="O1064" s="31">
        <f>IF($F1064=16,$H1064*$B$29,0)</f>
        <v>0</v>
      </c>
      <c r="P1064" s="31">
        <f>IF($F1064=20,$H1064*$B$30,0)</f>
        <v>0</v>
      </c>
      <c r="Q1064" s="49">
        <f>IF($F1064=25,$H1064*$B$31,0)</f>
        <v>0</v>
      </c>
    </row>
    <row r="1065" spans="4:17" s="16" customFormat="1" ht="13.2" x14ac:dyDescent="0.25">
      <c r="D1065" s="235">
        <v>19</v>
      </c>
      <c r="E1065" s="240">
        <f>2*4</f>
        <v>8</v>
      </c>
      <c r="F1065" s="241">
        <v>8</v>
      </c>
      <c r="G1065" s="242">
        <v>1.02</v>
      </c>
      <c r="H1065" s="239">
        <f>E1065*G1065</f>
        <v>8.16</v>
      </c>
      <c r="I1065" s="131">
        <f>IF($F1065=4.2,H1065*$B$23,0)</f>
        <v>0</v>
      </c>
      <c r="J1065" s="31">
        <f>IF($F1065=5,$H1065*$B$24,0)</f>
        <v>0</v>
      </c>
      <c r="K1065" s="31">
        <f>IF($F1065=6.3,$H1065*$B$25,0)</f>
        <v>0</v>
      </c>
      <c r="L1065" s="31">
        <f>IF($F1065=8,$H1065*$B$26,0)</f>
        <v>3.2232000000000003</v>
      </c>
      <c r="M1065" s="31">
        <f>IF($F1065=10,$H1065*$B$27,0)</f>
        <v>0</v>
      </c>
      <c r="N1065" s="31">
        <f>IF($F1065=12.5,$H1065*$B$28,0)</f>
        <v>0</v>
      </c>
      <c r="O1065" s="31">
        <f>IF($F1065=16,$H1065*$B$29,0)</f>
        <v>0</v>
      </c>
      <c r="P1065" s="31">
        <f>IF($F1065=20,$H1065*$B$30,0)</f>
        <v>0</v>
      </c>
      <c r="Q1065" s="49">
        <f>IF($F1065=25,$H1065*$B$31,0)</f>
        <v>0</v>
      </c>
    </row>
    <row r="1066" spans="4:17" s="16" customFormat="1" ht="13.2" x14ac:dyDescent="0.25">
      <c r="D1066" s="235">
        <v>20</v>
      </c>
      <c r="E1066" s="240">
        <f>2*5</f>
        <v>10</v>
      </c>
      <c r="F1066" s="241">
        <v>8</v>
      </c>
      <c r="G1066" s="242">
        <v>0.89</v>
      </c>
      <c r="H1066" s="239">
        <f>E1066*G1066</f>
        <v>8.9</v>
      </c>
      <c r="I1066" s="131">
        <f>IF($F1066=4.2,H1066*$B$23,0)</f>
        <v>0</v>
      </c>
      <c r="J1066" s="31">
        <f>IF($F1066=5,$H1066*$B$24,0)</f>
        <v>0</v>
      </c>
      <c r="K1066" s="31">
        <f>IF($F1066=6.3,$H1066*$B$25,0)</f>
        <v>0</v>
      </c>
      <c r="L1066" s="31">
        <f>IF($F1066=8,$H1066*$B$26,0)</f>
        <v>3.5155000000000003</v>
      </c>
      <c r="M1066" s="31">
        <f>IF($F1066=10,$H1066*$B$27,0)</f>
        <v>0</v>
      </c>
      <c r="N1066" s="31">
        <f>IF($F1066=12.5,$H1066*$B$28,0)</f>
        <v>0</v>
      </c>
      <c r="O1066" s="31">
        <f>IF($F1066=16,$H1066*$B$29,0)</f>
        <v>0</v>
      </c>
      <c r="P1066" s="31">
        <f>IF($F1066=20,$H1066*$B$30,0)</f>
        <v>0</v>
      </c>
      <c r="Q1066" s="49">
        <f>IF($F1066=25,$H1066*$B$31,0)</f>
        <v>0</v>
      </c>
    </row>
    <row r="1067" spans="4:17" s="16" customFormat="1" ht="13.8" thickBot="1" x14ac:dyDescent="0.3">
      <c r="D1067" s="307"/>
      <c r="E1067" s="26"/>
      <c r="F1067" s="206"/>
      <c r="G1067" s="207"/>
      <c r="H1067" s="207"/>
      <c r="I1067" s="51"/>
      <c r="J1067" s="308"/>
      <c r="K1067" s="308"/>
      <c r="L1067" s="308"/>
      <c r="M1067" s="308"/>
      <c r="N1067" s="308"/>
      <c r="O1067" s="308"/>
      <c r="P1067" s="308"/>
      <c r="Q1067" s="309"/>
    </row>
    <row r="1068" spans="4:17" s="16" customFormat="1" ht="13.2" x14ac:dyDescent="0.25">
      <c r="D1068" s="796" t="s">
        <v>1695</v>
      </c>
      <c r="E1068" s="797"/>
      <c r="F1068" s="797"/>
      <c r="G1068" s="797"/>
      <c r="H1068" s="797"/>
      <c r="I1068" s="47">
        <f t="shared" ref="I1068:Q1068" si="1174">SUM(I1069:I1071)</f>
        <v>0</v>
      </c>
      <c r="J1068" s="47">
        <f t="shared" si="1174"/>
        <v>2.6888399999999999</v>
      </c>
      <c r="K1068" s="47">
        <f t="shared" si="1174"/>
        <v>0</v>
      </c>
      <c r="L1068" s="47">
        <f t="shared" si="1174"/>
        <v>6.7387000000000006</v>
      </c>
      <c r="M1068" s="47">
        <f t="shared" si="1174"/>
        <v>0</v>
      </c>
      <c r="N1068" s="47">
        <f t="shared" si="1174"/>
        <v>0</v>
      </c>
      <c r="O1068" s="47">
        <f t="shared" si="1174"/>
        <v>0</v>
      </c>
      <c r="P1068" s="47">
        <f t="shared" si="1174"/>
        <v>0</v>
      </c>
      <c r="Q1068" s="47">
        <f t="shared" si="1174"/>
        <v>0</v>
      </c>
    </row>
    <row r="1069" spans="4:17" s="16" customFormat="1" ht="13.2" x14ac:dyDescent="0.25">
      <c r="D1069" s="235">
        <v>1</v>
      </c>
      <c r="E1069" s="237">
        <f>2*9</f>
        <v>18</v>
      </c>
      <c r="F1069" s="238">
        <v>5</v>
      </c>
      <c r="G1069" s="239">
        <v>0.97</v>
      </c>
      <c r="H1069" s="239">
        <f>E1069*G1069</f>
        <v>17.46</v>
      </c>
      <c r="I1069" s="131">
        <f>IF($F1069=4.2,H1069*$B$23,0)</f>
        <v>0</v>
      </c>
      <c r="J1069" s="31">
        <f>IF($F1069=5,$H1069*$B$24,0)</f>
        <v>2.6888399999999999</v>
      </c>
      <c r="K1069" s="31">
        <f>IF($F1069=6.3,$H1069*$B$25,0)</f>
        <v>0</v>
      </c>
      <c r="L1069" s="31">
        <f>IF($F1069=8,$H1069*$B$26,0)</f>
        <v>0</v>
      </c>
      <c r="M1069" s="31">
        <f>IF($F1069=10,$H1069*$B$27,0)</f>
        <v>0</v>
      </c>
      <c r="N1069" s="31">
        <f>IF($F1069=12.5,$H1069*$B$28,0)</f>
        <v>0</v>
      </c>
      <c r="O1069" s="31">
        <f>IF($F1069=16,$H1069*$B$29,0)</f>
        <v>0</v>
      </c>
      <c r="P1069" s="31">
        <f>IF($F1069=20,$H1069*$B$30,0)</f>
        <v>0</v>
      </c>
      <c r="Q1069" s="49">
        <f>IF($F1069=25,$H1069*$B$31,0)</f>
        <v>0</v>
      </c>
    </row>
    <row r="1070" spans="4:17" s="16" customFormat="1" ht="13.2" x14ac:dyDescent="0.25">
      <c r="D1070" s="235">
        <v>21</v>
      </c>
      <c r="E1070" s="240">
        <f>2*4</f>
        <v>8</v>
      </c>
      <c r="F1070" s="241">
        <v>8</v>
      </c>
      <c r="G1070" s="242">
        <v>1.02</v>
      </c>
      <c r="H1070" s="239">
        <f>E1070*G1070</f>
        <v>8.16</v>
      </c>
      <c r="I1070" s="131">
        <f>IF($F1070=4.2,H1070*$B$23,0)</f>
        <v>0</v>
      </c>
      <c r="J1070" s="31">
        <f>IF($F1070=5,$H1070*$B$24,0)</f>
        <v>0</v>
      </c>
      <c r="K1070" s="31">
        <f>IF($F1070=6.3,$H1070*$B$25,0)</f>
        <v>0</v>
      </c>
      <c r="L1070" s="31">
        <f>IF($F1070=8,$H1070*$B$26,0)</f>
        <v>3.2232000000000003</v>
      </c>
      <c r="M1070" s="31">
        <f>IF($F1070=10,$H1070*$B$27,0)</f>
        <v>0</v>
      </c>
      <c r="N1070" s="31">
        <f>IF($F1070=12.5,$H1070*$B$28,0)</f>
        <v>0</v>
      </c>
      <c r="O1070" s="31">
        <f>IF($F1070=16,$H1070*$B$29,0)</f>
        <v>0</v>
      </c>
      <c r="P1070" s="31">
        <f>IF($F1070=20,$H1070*$B$30,0)</f>
        <v>0</v>
      </c>
      <c r="Q1070" s="49">
        <f>IF($F1070=25,$H1070*$B$31,0)</f>
        <v>0</v>
      </c>
    </row>
    <row r="1071" spans="4:17" s="16" customFormat="1" ht="13.2" x14ac:dyDescent="0.25">
      <c r="D1071" s="235">
        <v>22</v>
      </c>
      <c r="E1071" s="240">
        <f>2*5</f>
        <v>10</v>
      </c>
      <c r="F1071" s="241">
        <v>8</v>
      </c>
      <c r="G1071" s="242">
        <v>0.89</v>
      </c>
      <c r="H1071" s="239">
        <f>E1071*G1071</f>
        <v>8.9</v>
      </c>
      <c r="I1071" s="131">
        <f>IF($F1071=4.2,H1071*$B$23,0)</f>
        <v>0</v>
      </c>
      <c r="J1071" s="31">
        <f>IF($F1071=5,$H1071*$B$24,0)</f>
        <v>0</v>
      </c>
      <c r="K1071" s="31">
        <f>IF($F1071=6.3,$H1071*$B$25,0)</f>
        <v>0</v>
      </c>
      <c r="L1071" s="31">
        <f>IF($F1071=8,$H1071*$B$26,0)</f>
        <v>3.5155000000000003</v>
      </c>
      <c r="M1071" s="31">
        <f>IF($F1071=10,$H1071*$B$27,0)</f>
        <v>0</v>
      </c>
      <c r="N1071" s="31">
        <f>IF($F1071=12.5,$H1071*$B$28,0)</f>
        <v>0</v>
      </c>
      <c r="O1071" s="31">
        <f>IF($F1071=16,$H1071*$B$29,0)</f>
        <v>0</v>
      </c>
      <c r="P1071" s="31">
        <f>IF($F1071=20,$H1071*$B$30,0)</f>
        <v>0</v>
      </c>
      <c r="Q1071" s="49">
        <f>IF($F1071=25,$H1071*$B$31,0)</f>
        <v>0</v>
      </c>
    </row>
    <row r="1072" spans="4:17" s="16" customFormat="1" ht="13.8" thickBot="1" x14ac:dyDescent="0.3">
      <c r="D1072" s="307"/>
      <c r="E1072" s="26"/>
      <c r="F1072" s="206"/>
      <c r="G1072" s="207"/>
      <c r="H1072" s="207"/>
      <c r="I1072" s="51"/>
      <c r="J1072" s="308"/>
      <c r="K1072" s="308"/>
      <c r="L1072" s="308"/>
      <c r="M1072" s="308"/>
      <c r="N1072" s="308"/>
      <c r="O1072" s="308"/>
      <c r="P1072" s="308"/>
      <c r="Q1072" s="309"/>
    </row>
    <row r="1073" spans="4:17" s="16" customFormat="1" ht="13.2" x14ac:dyDescent="0.25">
      <c r="D1073" s="796" t="s">
        <v>1696</v>
      </c>
      <c r="E1073" s="797"/>
      <c r="F1073" s="797"/>
      <c r="G1073" s="797"/>
      <c r="H1073" s="797"/>
      <c r="I1073" s="47">
        <f t="shared" ref="I1073:Q1073" si="1175">SUM(I1074:I1075)</f>
        <v>0</v>
      </c>
      <c r="J1073" s="47">
        <f t="shared" si="1175"/>
        <v>1.1950399999999999</v>
      </c>
      <c r="K1073" s="47">
        <f t="shared" si="1175"/>
        <v>0</v>
      </c>
      <c r="L1073" s="47">
        <f t="shared" si="1175"/>
        <v>3.5155000000000003</v>
      </c>
      <c r="M1073" s="47">
        <f t="shared" si="1175"/>
        <v>0</v>
      </c>
      <c r="N1073" s="47">
        <f t="shared" si="1175"/>
        <v>0</v>
      </c>
      <c r="O1073" s="47">
        <f t="shared" si="1175"/>
        <v>0</v>
      </c>
      <c r="P1073" s="47">
        <f t="shared" si="1175"/>
        <v>0</v>
      </c>
      <c r="Q1073" s="47">
        <f t="shared" si="1175"/>
        <v>0</v>
      </c>
    </row>
    <row r="1074" spans="4:17" s="16" customFormat="1" ht="13.2" x14ac:dyDescent="0.25">
      <c r="D1074" s="235">
        <v>1</v>
      </c>
      <c r="E1074" s="237">
        <f>2*4</f>
        <v>8</v>
      </c>
      <c r="F1074" s="238">
        <v>5</v>
      </c>
      <c r="G1074" s="239">
        <v>0.97</v>
      </c>
      <c r="H1074" s="239">
        <f>E1074*G1074</f>
        <v>7.76</v>
      </c>
      <c r="I1074" s="131">
        <f>IF($F1074=4.2,H1074*$B$23,0)</f>
        <v>0</v>
      </c>
      <c r="J1074" s="31">
        <f>IF($F1074=5,$H1074*$B$24,0)</f>
        <v>1.1950399999999999</v>
      </c>
      <c r="K1074" s="31">
        <f>IF($F1074=6.3,$H1074*$B$25,0)</f>
        <v>0</v>
      </c>
      <c r="L1074" s="31">
        <f>IF($F1074=8,$H1074*$B$26,0)</f>
        <v>0</v>
      </c>
      <c r="M1074" s="31">
        <f>IF($F1074=10,$H1074*$B$27,0)</f>
        <v>0</v>
      </c>
      <c r="N1074" s="31">
        <f>IF($F1074=12.5,$H1074*$B$28,0)</f>
        <v>0</v>
      </c>
      <c r="O1074" s="31">
        <f>IF($F1074=16,$H1074*$B$29,0)</f>
        <v>0</v>
      </c>
      <c r="P1074" s="31">
        <f>IF($F1074=20,$H1074*$B$30,0)</f>
        <v>0</v>
      </c>
      <c r="Q1074" s="49">
        <f>IF($F1074=25,$H1074*$B$31,0)</f>
        <v>0</v>
      </c>
    </row>
    <row r="1075" spans="4:17" s="16" customFormat="1" ht="13.2" x14ac:dyDescent="0.25">
      <c r="D1075" s="235">
        <v>22</v>
      </c>
      <c r="E1075" s="240">
        <f>2*5</f>
        <v>10</v>
      </c>
      <c r="F1075" s="241">
        <v>8</v>
      </c>
      <c r="G1075" s="242">
        <v>0.89</v>
      </c>
      <c r="H1075" s="239">
        <f>E1075*G1075</f>
        <v>8.9</v>
      </c>
      <c r="I1075" s="131">
        <f>IF($F1075=4.2,H1075*$B$23,0)</f>
        <v>0</v>
      </c>
      <c r="J1075" s="31">
        <f>IF($F1075=5,$H1075*$B$24,0)</f>
        <v>0</v>
      </c>
      <c r="K1075" s="31">
        <f>IF($F1075=6.3,$H1075*$B$25,0)</f>
        <v>0</v>
      </c>
      <c r="L1075" s="31">
        <f>IF($F1075=8,$H1075*$B$26,0)</f>
        <v>3.5155000000000003</v>
      </c>
      <c r="M1075" s="31">
        <f>IF($F1075=10,$H1075*$B$27,0)</f>
        <v>0</v>
      </c>
      <c r="N1075" s="31">
        <f>IF($F1075=12.5,$H1075*$B$28,0)</f>
        <v>0</v>
      </c>
      <c r="O1075" s="31">
        <f>IF($F1075=16,$H1075*$B$29,0)</f>
        <v>0</v>
      </c>
      <c r="P1075" s="31">
        <f>IF($F1075=20,$H1075*$B$30,0)</f>
        <v>0</v>
      </c>
      <c r="Q1075" s="49">
        <f>IF($F1075=25,$H1075*$B$31,0)</f>
        <v>0</v>
      </c>
    </row>
    <row r="1076" spans="4:17" s="16" customFormat="1" ht="13.8" thickBot="1" x14ac:dyDescent="0.3">
      <c r="D1076" s="307"/>
      <c r="E1076" s="26"/>
      <c r="F1076" s="206"/>
      <c r="G1076" s="207"/>
      <c r="H1076" s="207"/>
      <c r="I1076" s="51"/>
      <c r="J1076" s="308"/>
      <c r="K1076" s="308"/>
      <c r="L1076" s="308"/>
      <c r="M1076" s="308"/>
      <c r="N1076" s="308"/>
      <c r="O1076" s="308"/>
      <c r="P1076" s="308"/>
      <c r="Q1076" s="309"/>
    </row>
    <row r="1077" spans="4:17" s="16" customFormat="1" ht="13.2" x14ac:dyDescent="0.25">
      <c r="D1077" s="796" t="s">
        <v>1697</v>
      </c>
      <c r="E1077" s="797"/>
      <c r="F1077" s="797"/>
      <c r="G1077" s="797"/>
      <c r="H1077" s="797"/>
      <c r="I1077" s="47">
        <f t="shared" ref="I1077:Q1077" si="1176">SUM(I1078:I1082)</f>
        <v>0</v>
      </c>
      <c r="J1077" s="47">
        <f t="shared" si="1176"/>
        <v>6.4233399999999996</v>
      </c>
      <c r="K1077" s="47">
        <f t="shared" si="1176"/>
        <v>0</v>
      </c>
      <c r="L1077" s="47">
        <f t="shared" si="1176"/>
        <v>9.7565000000000008</v>
      </c>
      <c r="M1077" s="47">
        <f t="shared" si="1176"/>
        <v>13.253159999999999</v>
      </c>
      <c r="N1077" s="47">
        <f t="shared" si="1176"/>
        <v>0</v>
      </c>
      <c r="O1077" s="47">
        <f t="shared" si="1176"/>
        <v>0</v>
      </c>
      <c r="P1077" s="47">
        <f t="shared" si="1176"/>
        <v>0</v>
      </c>
      <c r="Q1077" s="47">
        <f t="shared" si="1176"/>
        <v>0</v>
      </c>
    </row>
    <row r="1078" spans="4:17" s="16" customFormat="1" ht="13.2" x14ac:dyDescent="0.25">
      <c r="D1078" s="235">
        <v>1</v>
      </c>
      <c r="E1078" s="237">
        <v>43</v>
      </c>
      <c r="F1078" s="238">
        <v>5</v>
      </c>
      <c r="G1078" s="239">
        <v>0.97</v>
      </c>
      <c r="H1078" s="239">
        <f>E1078*G1078</f>
        <v>41.71</v>
      </c>
      <c r="I1078" s="131">
        <f>IF($F1078=4.2,H1078*$B$23,0)</f>
        <v>0</v>
      </c>
      <c r="J1078" s="31">
        <f>IF($F1078=5,$H1078*$B$24,0)</f>
        <v>6.4233399999999996</v>
      </c>
      <c r="K1078" s="31">
        <f>IF($F1078=6.3,$H1078*$B$25,0)</f>
        <v>0</v>
      </c>
      <c r="L1078" s="31">
        <f>IF($F1078=8,$H1078*$B$26,0)</f>
        <v>0</v>
      </c>
      <c r="M1078" s="31">
        <f>IF($F1078=10,$H1078*$B$27,0)</f>
        <v>0</v>
      </c>
      <c r="N1078" s="31">
        <f>IF($F1078=12.5,$H1078*$B$28,0)</f>
        <v>0</v>
      </c>
      <c r="O1078" s="31">
        <f>IF($F1078=16,$H1078*$B$29,0)</f>
        <v>0</v>
      </c>
      <c r="P1078" s="31">
        <f>IF($F1078=20,$H1078*$B$30,0)</f>
        <v>0</v>
      </c>
      <c r="Q1078" s="49">
        <f>IF($F1078=25,$H1078*$B$31,0)</f>
        <v>0</v>
      </c>
    </row>
    <row r="1079" spans="4:17" s="16" customFormat="1" ht="13.2" x14ac:dyDescent="0.25">
      <c r="D1079" s="235">
        <v>12</v>
      </c>
      <c r="E1079" s="240">
        <v>2</v>
      </c>
      <c r="F1079" s="241">
        <v>8</v>
      </c>
      <c r="G1079" s="242">
        <v>10.74</v>
      </c>
      <c r="H1079" s="239">
        <f>E1079*G1079</f>
        <v>21.48</v>
      </c>
      <c r="I1079" s="131">
        <f>IF($F1079=4.2,H1079*$B$23,0)</f>
        <v>0</v>
      </c>
      <c r="J1079" s="31">
        <f>IF($F1079=5,$H1079*$B$24,0)</f>
        <v>0</v>
      </c>
      <c r="K1079" s="31">
        <f>IF($F1079=6.3,$H1079*$B$25,0)</f>
        <v>0</v>
      </c>
      <c r="L1079" s="31">
        <f>IF($F1079=8,$H1079*$B$26,0)</f>
        <v>8.4846000000000004</v>
      </c>
      <c r="M1079" s="31">
        <f>IF($F1079=10,$H1079*$B$27,0)</f>
        <v>0</v>
      </c>
      <c r="N1079" s="31">
        <f>IF($F1079=12.5,$H1079*$B$28,0)</f>
        <v>0</v>
      </c>
      <c r="O1079" s="31">
        <f>IF($F1079=16,$H1079*$B$29,0)</f>
        <v>0</v>
      </c>
      <c r="P1079" s="31">
        <f>IF($F1079=20,$H1079*$B$30,0)</f>
        <v>0</v>
      </c>
      <c r="Q1079" s="49">
        <f>IF($F1079=25,$H1079*$B$31,0)</f>
        <v>0</v>
      </c>
    </row>
    <row r="1080" spans="4:17" s="16" customFormat="1" ht="13.2" x14ac:dyDescent="0.25">
      <c r="D1080" s="235">
        <v>23</v>
      </c>
      <c r="E1080" s="240">
        <v>1</v>
      </c>
      <c r="F1080" s="241">
        <v>8</v>
      </c>
      <c r="G1080" s="242">
        <v>1.9</v>
      </c>
      <c r="H1080" s="239">
        <f>E1080*G1080</f>
        <v>1.9</v>
      </c>
      <c r="I1080" s="131">
        <f>IF($F1080=4.2,H1080*$B$23,0)</f>
        <v>0</v>
      </c>
      <c r="J1080" s="31">
        <f>IF($F1080=5,$H1080*$B$24,0)</f>
        <v>0</v>
      </c>
      <c r="K1080" s="31">
        <f>IF($F1080=6.3,$H1080*$B$25,0)</f>
        <v>0</v>
      </c>
      <c r="L1080" s="31">
        <f>IF($F1080=8,$H1080*$B$26,0)</f>
        <v>0.75049999999999994</v>
      </c>
      <c r="M1080" s="31">
        <f>IF($F1080=10,$H1080*$B$27,0)</f>
        <v>0</v>
      </c>
      <c r="N1080" s="31">
        <f>IF($F1080=12.5,$H1080*$B$28,0)</f>
        <v>0</v>
      </c>
      <c r="O1080" s="31">
        <f>IF($F1080=16,$H1080*$B$29,0)</f>
        <v>0</v>
      </c>
      <c r="P1080" s="31">
        <f>IF($F1080=20,$H1080*$B$30,0)</f>
        <v>0</v>
      </c>
      <c r="Q1080" s="49">
        <f>IF($F1080=25,$H1080*$B$31,0)</f>
        <v>0</v>
      </c>
    </row>
    <row r="1081" spans="4:17" s="16" customFormat="1" ht="13.2" x14ac:dyDescent="0.25">
      <c r="D1081" s="235">
        <v>24</v>
      </c>
      <c r="E1081" s="240">
        <v>1</v>
      </c>
      <c r="F1081" s="241">
        <v>8</v>
      </c>
      <c r="G1081" s="242">
        <v>1.32</v>
      </c>
      <c r="H1081" s="239">
        <f>E1081*G1081</f>
        <v>1.32</v>
      </c>
      <c r="I1081" s="131">
        <f>IF($F1081=4.2,H1081*$B$23,0)</f>
        <v>0</v>
      </c>
      <c r="J1081" s="31">
        <f>IF($F1081=5,$H1081*$B$24,0)</f>
        <v>0</v>
      </c>
      <c r="K1081" s="31">
        <f>IF($F1081=6.3,$H1081*$B$25,0)</f>
        <v>0</v>
      </c>
      <c r="L1081" s="31">
        <f>IF($F1081=8,$H1081*$B$26,0)</f>
        <v>0.52140000000000009</v>
      </c>
      <c r="M1081" s="31">
        <f>IF($F1081=10,$H1081*$B$27,0)</f>
        <v>0</v>
      </c>
      <c r="N1081" s="31">
        <f>IF($F1081=12.5,$H1081*$B$28,0)</f>
        <v>0</v>
      </c>
      <c r="O1081" s="31">
        <f>IF($F1081=16,$H1081*$B$29,0)</f>
        <v>0</v>
      </c>
      <c r="P1081" s="31">
        <f>IF($F1081=20,$H1081*$B$30,0)</f>
        <v>0</v>
      </c>
      <c r="Q1081" s="49">
        <f>IF($F1081=25,$H1081*$B$31,0)</f>
        <v>0</v>
      </c>
    </row>
    <row r="1082" spans="4:17" s="16" customFormat="1" ht="13.2" x14ac:dyDescent="0.25">
      <c r="D1082" s="235">
        <v>34</v>
      </c>
      <c r="E1082" s="240">
        <v>2</v>
      </c>
      <c r="F1082" s="241">
        <v>10</v>
      </c>
      <c r="G1082" s="242">
        <v>10.74</v>
      </c>
      <c r="H1082" s="239">
        <f>E1082*G1082</f>
        <v>21.48</v>
      </c>
      <c r="I1082" s="131">
        <f>IF($F1082=4.2,H1082*$B$23,0)</f>
        <v>0</v>
      </c>
      <c r="J1082" s="31">
        <f>IF($F1082=5,$H1082*$B$24,0)</f>
        <v>0</v>
      </c>
      <c r="K1082" s="31">
        <f>IF($F1082=6.3,$H1082*$B$25,0)</f>
        <v>0</v>
      </c>
      <c r="L1082" s="31">
        <f>IF($F1082=8,$H1082*$B$26,0)</f>
        <v>0</v>
      </c>
      <c r="M1082" s="31">
        <f>IF($F1082=10,$H1082*$B$27,0)</f>
        <v>13.253159999999999</v>
      </c>
      <c r="N1082" s="31">
        <f>IF($F1082=12.5,$H1082*$B$28,0)</f>
        <v>0</v>
      </c>
      <c r="O1082" s="31">
        <f>IF($F1082=16,$H1082*$B$29,0)</f>
        <v>0</v>
      </c>
      <c r="P1082" s="31">
        <f>IF($F1082=20,$H1082*$B$30,0)</f>
        <v>0</v>
      </c>
      <c r="Q1082" s="49">
        <f>IF($F1082=25,$H1082*$B$31,0)</f>
        <v>0</v>
      </c>
    </row>
    <row r="1083" spans="4:17" s="16" customFormat="1" ht="13.8" thickBot="1" x14ac:dyDescent="0.3">
      <c r="D1083" s="307"/>
      <c r="E1083" s="26"/>
      <c r="F1083" s="206"/>
      <c r="G1083" s="207"/>
      <c r="H1083" s="207"/>
      <c r="I1083" s="51"/>
      <c r="J1083" s="308"/>
      <c r="K1083" s="308"/>
      <c r="L1083" s="308"/>
      <c r="M1083" s="308"/>
      <c r="N1083" s="308"/>
      <c r="O1083" s="308"/>
      <c r="P1083" s="308"/>
      <c r="Q1083" s="309"/>
    </row>
    <row r="1084" spans="4:17" s="16" customFormat="1" ht="13.2" x14ac:dyDescent="0.25">
      <c r="D1084" s="796" t="s">
        <v>1698</v>
      </c>
      <c r="E1084" s="797"/>
      <c r="F1084" s="797"/>
      <c r="G1084" s="797"/>
      <c r="H1084" s="797"/>
      <c r="I1084" s="47">
        <f t="shared" ref="I1084:Q1084" si="1177">SUM(I1085:I1086)</f>
        <v>0</v>
      </c>
      <c r="J1084" s="47">
        <f t="shared" si="1177"/>
        <v>6.8714799999999991</v>
      </c>
      <c r="K1084" s="47">
        <f t="shared" si="1177"/>
        <v>0</v>
      </c>
      <c r="L1084" s="47">
        <f t="shared" si="1177"/>
        <v>16.969200000000001</v>
      </c>
      <c r="M1084" s="47">
        <f t="shared" si="1177"/>
        <v>0</v>
      </c>
      <c r="N1084" s="47">
        <f t="shared" si="1177"/>
        <v>0</v>
      </c>
      <c r="O1084" s="47">
        <f t="shared" si="1177"/>
        <v>0</v>
      </c>
      <c r="P1084" s="47">
        <f t="shared" si="1177"/>
        <v>0</v>
      </c>
      <c r="Q1084" s="47">
        <f t="shared" si="1177"/>
        <v>0</v>
      </c>
    </row>
    <row r="1085" spans="4:17" s="16" customFormat="1" ht="13.2" x14ac:dyDescent="0.25">
      <c r="D1085" s="235">
        <v>1</v>
      </c>
      <c r="E1085" s="237">
        <v>46</v>
      </c>
      <c r="F1085" s="238">
        <v>5</v>
      </c>
      <c r="G1085" s="239">
        <v>0.97</v>
      </c>
      <c r="H1085" s="239">
        <f>E1085*G1085</f>
        <v>44.62</v>
      </c>
      <c r="I1085" s="131">
        <f>IF($F1085=4.2,H1085*$B$23,0)</f>
        <v>0</v>
      </c>
      <c r="J1085" s="31">
        <f>IF($F1085=5,$H1085*$B$24,0)</f>
        <v>6.8714799999999991</v>
      </c>
      <c r="K1085" s="31">
        <f>IF($F1085=6.3,$H1085*$B$25,0)</f>
        <v>0</v>
      </c>
      <c r="L1085" s="31">
        <f>IF($F1085=8,$H1085*$B$26,0)</f>
        <v>0</v>
      </c>
      <c r="M1085" s="31">
        <f>IF($F1085=10,$H1085*$B$27,0)</f>
        <v>0</v>
      </c>
      <c r="N1085" s="31">
        <f>IF($F1085=12.5,$H1085*$B$28,0)</f>
        <v>0</v>
      </c>
      <c r="O1085" s="31">
        <f>IF($F1085=16,$H1085*$B$29,0)</f>
        <v>0</v>
      </c>
      <c r="P1085" s="31">
        <f>IF($F1085=20,$H1085*$B$30,0)</f>
        <v>0</v>
      </c>
      <c r="Q1085" s="49">
        <f>IF($F1085=25,$H1085*$B$31,0)</f>
        <v>0</v>
      </c>
    </row>
    <row r="1086" spans="4:17" s="16" customFormat="1" ht="13.2" x14ac:dyDescent="0.25">
      <c r="D1086" s="235">
        <v>2</v>
      </c>
      <c r="E1086" s="240">
        <v>4</v>
      </c>
      <c r="F1086" s="241">
        <v>8</v>
      </c>
      <c r="G1086" s="242">
        <v>10.74</v>
      </c>
      <c r="H1086" s="239">
        <f>E1086*G1086</f>
        <v>42.96</v>
      </c>
      <c r="I1086" s="131">
        <f>IF($F1086=4.2,H1086*$B$23,0)</f>
        <v>0</v>
      </c>
      <c r="J1086" s="31">
        <f>IF($F1086=5,$H1086*$B$24,0)</f>
        <v>0</v>
      </c>
      <c r="K1086" s="31">
        <f>IF($F1086=6.3,$H1086*$B$25,0)</f>
        <v>0</v>
      </c>
      <c r="L1086" s="31">
        <f>IF($F1086=8,$H1086*$B$26,0)</f>
        <v>16.969200000000001</v>
      </c>
      <c r="M1086" s="31">
        <f>IF($F1086=10,$H1086*$B$27,0)</f>
        <v>0</v>
      </c>
      <c r="N1086" s="31">
        <f>IF($F1086=12.5,$H1086*$B$28,0)</f>
        <v>0</v>
      </c>
      <c r="O1086" s="31">
        <f>IF($F1086=16,$H1086*$B$29,0)</f>
        <v>0</v>
      </c>
      <c r="P1086" s="31">
        <f>IF($F1086=20,$H1086*$B$30,0)</f>
        <v>0</v>
      </c>
      <c r="Q1086" s="49">
        <f>IF($F1086=25,$H1086*$B$31,0)</f>
        <v>0</v>
      </c>
    </row>
    <row r="1087" spans="4:17" s="16" customFormat="1" ht="13.8" thickBot="1" x14ac:dyDescent="0.3">
      <c r="D1087" s="307"/>
      <c r="E1087" s="26"/>
      <c r="F1087" s="206"/>
      <c r="G1087" s="207"/>
      <c r="H1087" s="207"/>
      <c r="I1087" s="51"/>
      <c r="J1087" s="308"/>
      <c r="K1087" s="308"/>
      <c r="L1087" s="308"/>
      <c r="M1087" s="308"/>
      <c r="N1087" s="308"/>
      <c r="O1087" s="308"/>
      <c r="P1087" s="308"/>
      <c r="Q1087" s="309"/>
    </row>
    <row r="1088" spans="4:17" s="16" customFormat="1" ht="13.2" x14ac:dyDescent="0.25">
      <c r="D1088" s="796" t="s">
        <v>1699</v>
      </c>
      <c r="E1088" s="797"/>
      <c r="F1088" s="797"/>
      <c r="G1088" s="797"/>
      <c r="H1088" s="797"/>
      <c r="I1088" s="47">
        <f t="shared" ref="I1088:Q1088" si="1178">SUM(I1089:I1090)</f>
        <v>0</v>
      </c>
      <c r="J1088" s="47">
        <f t="shared" si="1178"/>
        <v>1.1950399999999999</v>
      </c>
      <c r="K1088" s="47">
        <f t="shared" si="1178"/>
        <v>0</v>
      </c>
      <c r="L1088" s="47">
        <f t="shared" si="1178"/>
        <v>3.5155000000000003</v>
      </c>
      <c r="M1088" s="47">
        <f t="shared" si="1178"/>
        <v>0</v>
      </c>
      <c r="N1088" s="47">
        <f t="shared" si="1178"/>
        <v>0</v>
      </c>
      <c r="O1088" s="47">
        <f t="shared" si="1178"/>
        <v>0</v>
      </c>
      <c r="P1088" s="47">
        <f t="shared" si="1178"/>
        <v>0</v>
      </c>
      <c r="Q1088" s="47">
        <f t="shared" si="1178"/>
        <v>0</v>
      </c>
    </row>
    <row r="1089" spans="2:20" s="16" customFormat="1" ht="13.2" x14ac:dyDescent="0.25">
      <c r="D1089" s="235">
        <v>1</v>
      </c>
      <c r="E1089" s="237">
        <f>2*4</f>
        <v>8</v>
      </c>
      <c r="F1089" s="238">
        <v>5</v>
      </c>
      <c r="G1089" s="239">
        <v>0.97</v>
      </c>
      <c r="H1089" s="239">
        <f>E1089*G1089</f>
        <v>7.76</v>
      </c>
      <c r="I1089" s="131">
        <f>IF($F1089=4.2,H1089*$B$23,0)</f>
        <v>0</v>
      </c>
      <c r="J1089" s="31">
        <f>IF($F1089=5,$H1089*$B$24,0)</f>
        <v>1.1950399999999999</v>
      </c>
      <c r="K1089" s="31">
        <f>IF($F1089=6.3,$H1089*$B$25,0)</f>
        <v>0</v>
      </c>
      <c r="L1089" s="31">
        <f>IF($F1089=8,$H1089*$B$26,0)</f>
        <v>0</v>
      </c>
      <c r="M1089" s="31">
        <f>IF($F1089=10,$H1089*$B$27,0)</f>
        <v>0</v>
      </c>
      <c r="N1089" s="31">
        <f>IF($F1089=12.5,$H1089*$B$28,0)</f>
        <v>0</v>
      </c>
      <c r="O1089" s="31">
        <f>IF($F1089=16,$H1089*$B$29,0)</f>
        <v>0</v>
      </c>
      <c r="P1089" s="31">
        <f>IF($F1089=20,$H1089*$B$30,0)</f>
        <v>0</v>
      </c>
      <c r="Q1089" s="49">
        <f>IF($F1089=25,$H1089*$B$31,0)</f>
        <v>0</v>
      </c>
    </row>
    <row r="1090" spans="2:20" s="16" customFormat="1" ht="13.2" x14ac:dyDescent="0.25">
      <c r="D1090" s="235">
        <v>3</v>
      </c>
      <c r="E1090" s="240">
        <f>2*5</f>
        <v>10</v>
      </c>
      <c r="F1090" s="241">
        <v>8</v>
      </c>
      <c r="G1090" s="242">
        <v>0.89</v>
      </c>
      <c r="H1090" s="239">
        <f>E1090*G1090</f>
        <v>8.9</v>
      </c>
      <c r="I1090" s="131">
        <f>IF($F1090=4.2,H1090*$B$23,0)</f>
        <v>0</v>
      </c>
      <c r="J1090" s="31">
        <f>IF($F1090=5,$H1090*$B$24,0)</f>
        <v>0</v>
      </c>
      <c r="K1090" s="31">
        <f>IF($F1090=6.3,$H1090*$B$25,0)</f>
        <v>0</v>
      </c>
      <c r="L1090" s="31">
        <f>IF($F1090=8,$H1090*$B$26,0)</f>
        <v>3.5155000000000003</v>
      </c>
      <c r="M1090" s="31">
        <f>IF($F1090=10,$H1090*$B$27,0)</f>
        <v>0</v>
      </c>
      <c r="N1090" s="31">
        <f>IF($F1090=12.5,$H1090*$B$28,0)</f>
        <v>0</v>
      </c>
      <c r="O1090" s="31">
        <f>IF($F1090=16,$H1090*$B$29,0)</f>
        <v>0</v>
      </c>
      <c r="P1090" s="31">
        <f>IF($F1090=20,$H1090*$B$30,0)</f>
        <v>0</v>
      </c>
      <c r="Q1090" s="49">
        <f>IF($F1090=25,$H1090*$B$31,0)</f>
        <v>0</v>
      </c>
    </row>
    <row r="1091" spans="2:20" s="16" customFormat="1" ht="13.8" thickBot="1" x14ac:dyDescent="0.3">
      <c r="D1091" s="307"/>
      <c r="E1091" s="26"/>
      <c r="F1091" s="206"/>
      <c r="G1091" s="207"/>
      <c r="H1091" s="207"/>
      <c r="I1091" s="51"/>
      <c r="J1091" s="308"/>
      <c r="K1091" s="308"/>
      <c r="L1091" s="308"/>
      <c r="M1091" s="308"/>
      <c r="N1091" s="308"/>
      <c r="O1091" s="308"/>
      <c r="P1091" s="308"/>
      <c r="Q1091" s="309"/>
    </row>
    <row r="1092" spans="2:20" s="16" customFormat="1" ht="13.2" x14ac:dyDescent="0.25">
      <c r="D1092" s="796" t="s">
        <v>1700</v>
      </c>
      <c r="E1092" s="797"/>
      <c r="F1092" s="797"/>
      <c r="G1092" s="797"/>
      <c r="H1092" s="797"/>
      <c r="I1092" s="47">
        <f t="shared" ref="I1092:Q1092" si="1179">SUM(I1093:I1096)</f>
        <v>0</v>
      </c>
      <c r="J1092" s="47">
        <f t="shared" si="1179"/>
        <v>6.4233399999999996</v>
      </c>
      <c r="K1092" s="47">
        <f t="shared" si="1179"/>
        <v>0</v>
      </c>
      <c r="L1092" s="47">
        <f t="shared" si="1179"/>
        <v>18.102850000000004</v>
      </c>
      <c r="M1092" s="47">
        <f t="shared" si="1179"/>
        <v>0</v>
      </c>
      <c r="N1092" s="47">
        <f t="shared" si="1179"/>
        <v>0</v>
      </c>
      <c r="O1092" s="47">
        <f t="shared" si="1179"/>
        <v>0</v>
      </c>
      <c r="P1092" s="47">
        <f t="shared" si="1179"/>
        <v>0</v>
      </c>
      <c r="Q1092" s="47">
        <f t="shared" si="1179"/>
        <v>0</v>
      </c>
    </row>
    <row r="1093" spans="2:20" s="16" customFormat="1" ht="13.2" x14ac:dyDescent="0.25">
      <c r="D1093" s="235">
        <v>1</v>
      </c>
      <c r="E1093" s="237">
        <v>43</v>
      </c>
      <c r="F1093" s="238">
        <v>5</v>
      </c>
      <c r="G1093" s="239">
        <v>0.97</v>
      </c>
      <c r="H1093" s="239">
        <f>E1093*G1093</f>
        <v>41.71</v>
      </c>
      <c r="I1093" s="131">
        <f>IF($F1093=4.2,H1093*$B$23,0)</f>
        <v>0</v>
      </c>
      <c r="J1093" s="31">
        <f>IF($F1093=5,$H1093*$B$24,0)</f>
        <v>6.4233399999999996</v>
      </c>
      <c r="K1093" s="31">
        <f>IF($F1093=6.3,$H1093*$B$25,0)</f>
        <v>0</v>
      </c>
      <c r="L1093" s="31">
        <f>IF($F1093=8,$H1093*$B$26,0)</f>
        <v>0</v>
      </c>
      <c r="M1093" s="31">
        <f>IF($F1093=10,$H1093*$B$27,0)</f>
        <v>0</v>
      </c>
      <c r="N1093" s="31">
        <f>IF($F1093=12.5,$H1093*$B$28,0)</f>
        <v>0</v>
      </c>
      <c r="O1093" s="31">
        <f>IF($F1093=16,$H1093*$B$29,0)</f>
        <v>0</v>
      </c>
      <c r="P1093" s="31">
        <f>IF($F1093=20,$H1093*$B$30,0)</f>
        <v>0</v>
      </c>
      <c r="Q1093" s="49">
        <f>IF($F1093=25,$H1093*$B$31,0)</f>
        <v>0</v>
      </c>
    </row>
    <row r="1094" spans="2:20" s="16" customFormat="1" ht="13.2" x14ac:dyDescent="0.25">
      <c r="D1094" s="235">
        <v>2</v>
      </c>
      <c r="E1094" s="240">
        <v>4</v>
      </c>
      <c r="F1094" s="241">
        <v>8</v>
      </c>
      <c r="G1094" s="242">
        <v>10.74</v>
      </c>
      <c r="H1094" s="239">
        <f>E1094*G1094</f>
        <v>42.96</v>
      </c>
      <c r="I1094" s="131">
        <f>IF($F1094=4.2,H1094*$B$23,0)</f>
        <v>0</v>
      </c>
      <c r="J1094" s="31">
        <f>IF($F1094=5,$H1094*$B$24,0)</f>
        <v>0</v>
      </c>
      <c r="K1094" s="31">
        <f>IF($F1094=6.3,$H1094*$B$25,0)</f>
        <v>0</v>
      </c>
      <c r="L1094" s="31">
        <f>IF($F1094=8,$H1094*$B$26,0)</f>
        <v>16.969200000000001</v>
      </c>
      <c r="M1094" s="31">
        <f>IF($F1094=10,$H1094*$B$27,0)</f>
        <v>0</v>
      </c>
      <c r="N1094" s="31">
        <f>IF($F1094=12.5,$H1094*$B$28,0)</f>
        <v>0</v>
      </c>
      <c r="O1094" s="31">
        <f>IF($F1094=16,$H1094*$B$29,0)</f>
        <v>0</v>
      </c>
      <c r="P1094" s="31">
        <f>IF($F1094=20,$H1094*$B$30,0)</f>
        <v>0</v>
      </c>
      <c r="Q1094" s="49">
        <f>IF($F1094=25,$H1094*$B$31,0)</f>
        <v>0</v>
      </c>
    </row>
    <row r="1095" spans="2:20" s="16" customFormat="1" ht="13.2" x14ac:dyDescent="0.25">
      <c r="D1095" s="235">
        <v>4</v>
      </c>
      <c r="E1095" s="240">
        <v>1</v>
      </c>
      <c r="F1095" s="241">
        <v>8</v>
      </c>
      <c r="G1095" s="242">
        <v>1.6</v>
      </c>
      <c r="H1095" s="239">
        <f>E1095*G1095</f>
        <v>1.6</v>
      </c>
      <c r="I1095" s="131">
        <f>IF($F1095=4.2,H1095*$B$23,0)</f>
        <v>0</v>
      </c>
      <c r="J1095" s="31">
        <f>IF($F1095=5,$H1095*$B$24,0)</f>
        <v>0</v>
      </c>
      <c r="K1095" s="31">
        <f>IF($F1095=6.3,$H1095*$B$25,0)</f>
        <v>0</v>
      </c>
      <c r="L1095" s="31">
        <f>IF($F1095=8,$H1095*$B$26,0)</f>
        <v>0.63200000000000012</v>
      </c>
      <c r="M1095" s="31">
        <f>IF($F1095=10,$H1095*$B$27,0)</f>
        <v>0</v>
      </c>
      <c r="N1095" s="31">
        <f>IF($F1095=12.5,$H1095*$B$28,0)</f>
        <v>0</v>
      </c>
      <c r="O1095" s="31">
        <f>IF($F1095=16,$H1095*$B$29,0)</f>
        <v>0</v>
      </c>
      <c r="P1095" s="31">
        <f>IF($F1095=20,$H1095*$B$30,0)</f>
        <v>0</v>
      </c>
      <c r="Q1095" s="49">
        <f>IF($F1095=25,$H1095*$B$31,0)</f>
        <v>0</v>
      </c>
    </row>
    <row r="1096" spans="2:20" s="16" customFormat="1" ht="13.2" x14ac:dyDescent="0.25">
      <c r="D1096" s="235">
        <v>5</v>
      </c>
      <c r="E1096" s="240">
        <v>1</v>
      </c>
      <c r="F1096" s="241">
        <v>8</v>
      </c>
      <c r="G1096" s="242">
        <v>1.27</v>
      </c>
      <c r="H1096" s="239">
        <f>E1096*G1096</f>
        <v>1.27</v>
      </c>
      <c r="I1096" s="131">
        <f>IF($F1096=4.2,H1096*$B$23,0)</f>
        <v>0</v>
      </c>
      <c r="J1096" s="31">
        <f>IF($F1096=5,$H1096*$B$24,0)</f>
        <v>0</v>
      </c>
      <c r="K1096" s="31">
        <f>IF($F1096=6.3,$H1096*$B$25,0)</f>
        <v>0</v>
      </c>
      <c r="L1096" s="31">
        <f>IF($F1096=8,$H1096*$B$26,0)</f>
        <v>0.50165000000000004</v>
      </c>
      <c r="M1096" s="31">
        <f>IF($F1096=10,$H1096*$B$27,0)</f>
        <v>0</v>
      </c>
      <c r="N1096" s="31">
        <f>IF($F1096=12.5,$H1096*$B$28,0)</f>
        <v>0</v>
      </c>
      <c r="O1096" s="31">
        <f>IF($F1096=16,$H1096*$B$29,0)</f>
        <v>0</v>
      </c>
      <c r="P1096" s="31">
        <f>IF($F1096=20,$H1096*$B$30,0)</f>
        <v>0</v>
      </c>
      <c r="Q1096" s="49">
        <f>IF($F1096=25,$H1096*$B$31,0)</f>
        <v>0</v>
      </c>
    </row>
    <row r="1097" spans="2:20" s="16" customFormat="1" ht="13.8" thickBot="1" x14ac:dyDescent="0.3">
      <c r="D1097" s="307"/>
      <c r="E1097" s="26"/>
      <c r="F1097" s="206"/>
      <c r="G1097" s="207"/>
      <c r="H1097" s="207"/>
      <c r="I1097" s="51"/>
      <c r="J1097" s="308"/>
      <c r="K1097" s="308"/>
      <c r="L1097" s="308"/>
      <c r="M1097" s="308"/>
      <c r="N1097" s="308"/>
      <c r="O1097" s="308"/>
      <c r="P1097" s="308"/>
      <c r="Q1097" s="309"/>
    </row>
    <row r="1098" spans="2:20" s="16" customFormat="1" ht="15" customHeight="1" thickBot="1" x14ac:dyDescent="0.3">
      <c r="B1098" s="34"/>
      <c r="D1098" s="792" t="s">
        <v>930</v>
      </c>
      <c r="E1098" s="793"/>
      <c r="F1098" s="793"/>
      <c r="G1098" s="793"/>
      <c r="H1098" s="793"/>
      <c r="I1098" s="793"/>
      <c r="J1098" s="793"/>
      <c r="K1098" s="793"/>
      <c r="L1098" s="793"/>
      <c r="M1098" s="793"/>
      <c r="N1098" s="793"/>
      <c r="O1098" s="793"/>
      <c r="P1098" s="793"/>
      <c r="Q1098" s="794"/>
      <c r="S1098" s="795"/>
      <c r="T1098" s="795"/>
    </row>
    <row r="1099" spans="2:20" s="16" customFormat="1" ht="13.2" x14ac:dyDescent="0.25">
      <c r="D1099" s="796" t="s">
        <v>1773</v>
      </c>
      <c r="E1099" s="797"/>
      <c r="F1099" s="797"/>
      <c r="G1099" s="797"/>
      <c r="H1099" s="797"/>
      <c r="I1099" s="47">
        <f t="shared" ref="I1099:Q1099" si="1180">SUM(I1100:I1102)</f>
        <v>0</v>
      </c>
      <c r="J1099" s="47">
        <f t="shared" si="1180"/>
        <v>6.2739600000000006</v>
      </c>
      <c r="K1099" s="47">
        <f t="shared" si="1180"/>
        <v>0</v>
      </c>
      <c r="L1099" s="47">
        <f t="shared" si="1180"/>
        <v>16.4162</v>
      </c>
      <c r="M1099" s="47">
        <f t="shared" si="1180"/>
        <v>0</v>
      </c>
      <c r="N1099" s="47">
        <f t="shared" si="1180"/>
        <v>0</v>
      </c>
      <c r="O1099" s="47">
        <f t="shared" si="1180"/>
        <v>0</v>
      </c>
      <c r="P1099" s="47">
        <f t="shared" si="1180"/>
        <v>0</v>
      </c>
      <c r="Q1099" s="47">
        <f t="shared" si="1180"/>
        <v>0</v>
      </c>
    </row>
    <row r="1100" spans="2:20" s="16" customFormat="1" ht="13.2" x14ac:dyDescent="0.25">
      <c r="D1100" s="235">
        <v>1</v>
      </c>
      <c r="E1100" s="237">
        <v>42</v>
      </c>
      <c r="F1100" s="238">
        <v>5</v>
      </c>
      <c r="G1100" s="239">
        <v>0.97</v>
      </c>
      <c r="H1100" s="239">
        <f t="shared" ref="H1100:H1102" si="1181">E1100*G1100</f>
        <v>40.74</v>
      </c>
      <c r="I1100" s="131">
        <f t="shared" ref="I1100:I1102" si="1182">IF($F1100=4.2,H1100*$B$23,0)</f>
        <v>0</v>
      </c>
      <c r="J1100" s="31">
        <f t="shared" ref="J1100:J1102" si="1183">IF($F1100=5,$H1100*$B$24,0)</f>
        <v>6.2739600000000006</v>
      </c>
      <c r="K1100" s="31">
        <f t="shared" ref="K1100:K1102" si="1184">IF($F1100=6.3,$H1100*$B$25,0)</f>
        <v>0</v>
      </c>
      <c r="L1100" s="31">
        <f t="shared" ref="L1100:L1102" si="1185">IF($F1100=8,$H1100*$B$26,0)</f>
        <v>0</v>
      </c>
      <c r="M1100" s="31">
        <f t="shared" ref="M1100:M1102" si="1186">IF($F1100=10,$H1100*$B$27,0)</f>
        <v>0</v>
      </c>
      <c r="N1100" s="31">
        <f t="shared" ref="N1100:N1102" si="1187">IF($F1100=12.5,$H1100*$B$28,0)</f>
        <v>0</v>
      </c>
      <c r="O1100" s="31">
        <f t="shared" ref="O1100:O1102" si="1188">IF($F1100=16,$H1100*$B$29,0)</f>
        <v>0</v>
      </c>
      <c r="P1100" s="31">
        <f t="shared" ref="P1100:P1102" si="1189">IF($F1100=20,$H1100*$B$30,0)</f>
        <v>0</v>
      </c>
      <c r="Q1100" s="49">
        <f t="shared" ref="Q1100:Q1102" si="1190">IF($F1100=25,$H1100*$B$31,0)</f>
        <v>0</v>
      </c>
    </row>
    <row r="1101" spans="2:20" s="16" customFormat="1" ht="13.2" x14ac:dyDescent="0.25">
      <c r="D1101" s="235">
        <v>2</v>
      </c>
      <c r="E1101" s="240">
        <v>2</v>
      </c>
      <c r="F1101" s="241">
        <v>8</v>
      </c>
      <c r="G1101" s="242">
        <v>10.59</v>
      </c>
      <c r="H1101" s="239">
        <f t="shared" si="1181"/>
        <v>21.18</v>
      </c>
      <c r="I1101" s="131">
        <f t="shared" si="1182"/>
        <v>0</v>
      </c>
      <c r="J1101" s="31">
        <f t="shared" si="1183"/>
        <v>0</v>
      </c>
      <c r="K1101" s="31">
        <f t="shared" si="1184"/>
        <v>0</v>
      </c>
      <c r="L1101" s="31">
        <f t="shared" si="1185"/>
        <v>8.3660999999999994</v>
      </c>
      <c r="M1101" s="31">
        <f t="shared" si="1186"/>
        <v>0</v>
      </c>
      <c r="N1101" s="31">
        <f t="shared" si="1187"/>
        <v>0</v>
      </c>
      <c r="O1101" s="31">
        <f t="shared" si="1188"/>
        <v>0</v>
      </c>
      <c r="P1101" s="31">
        <f t="shared" si="1189"/>
        <v>0</v>
      </c>
      <c r="Q1101" s="49">
        <f t="shared" si="1190"/>
        <v>0</v>
      </c>
    </row>
    <row r="1102" spans="2:20" s="16" customFormat="1" ht="13.2" x14ac:dyDescent="0.25">
      <c r="D1102" s="235">
        <v>3</v>
      </c>
      <c r="E1102" s="240">
        <v>2</v>
      </c>
      <c r="F1102" s="241">
        <v>8</v>
      </c>
      <c r="G1102" s="242">
        <v>10.19</v>
      </c>
      <c r="H1102" s="239">
        <f t="shared" si="1181"/>
        <v>20.38</v>
      </c>
      <c r="I1102" s="131">
        <f t="shared" si="1182"/>
        <v>0</v>
      </c>
      <c r="J1102" s="31">
        <f t="shared" si="1183"/>
        <v>0</v>
      </c>
      <c r="K1102" s="31">
        <f t="shared" si="1184"/>
        <v>0</v>
      </c>
      <c r="L1102" s="31">
        <f t="shared" si="1185"/>
        <v>8.0501000000000005</v>
      </c>
      <c r="M1102" s="31">
        <f t="shared" si="1186"/>
        <v>0</v>
      </c>
      <c r="N1102" s="31">
        <f t="shared" si="1187"/>
        <v>0</v>
      </c>
      <c r="O1102" s="31">
        <f t="shared" si="1188"/>
        <v>0</v>
      </c>
      <c r="P1102" s="31">
        <f t="shared" si="1189"/>
        <v>0</v>
      </c>
      <c r="Q1102" s="49">
        <f t="shared" si="1190"/>
        <v>0</v>
      </c>
    </row>
    <row r="1103" spans="2:20" s="16" customFormat="1" ht="13.8" thickBot="1" x14ac:dyDescent="0.3">
      <c r="D1103" s="307"/>
      <c r="E1103" s="26"/>
      <c r="F1103" s="206"/>
      <c r="G1103" s="207"/>
      <c r="H1103" s="207"/>
      <c r="I1103" s="51"/>
      <c r="J1103" s="308"/>
      <c r="K1103" s="308"/>
      <c r="L1103" s="308"/>
      <c r="M1103" s="308"/>
      <c r="N1103" s="308"/>
      <c r="O1103" s="308"/>
      <c r="P1103" s="308"/>
      <c r="Q1103" s="309"/>
    </row>
    <row r="1104" spans="2:20" s="16" customFormat="1" ht="13.2" x14ac:dyDescent="0.25">
      <c r="D1104" s="796" t="s">
        <v>1774</v>
      </c>
      <c r="E1104" s="797"/>
      <c r="F1104" s="797"/>
      <c r="G1104" s="797"/>
      <c r="H1104" s="797"/>
      <c r="I1104" s="47">
        <f t="shared" ref="I1104:Q1104" si="1191">SUM(I1105:I1107)</f>
        <v>0</v>
      </c>
      <c r="J1104" s="47">
        <f t="shared" si="1191"/>
        <v>1.3444199999999999</v>
      </c>
      <c r="K1104" s="47">
        <f t="shared" si="1191"/>
        <v>0</v>
      </c>
      <c r="L1104" s="47">
        <f t="shared" si="1191"/>
        <v>3.6814</v>
      </c>
      <c r="M1104" s="47">
        <f t="shared" si="1191"/>
        <v>0</v>
      </c>
      <c r="N1104" s="47">
        <f t="shared" si="1191"/>
        <v>0</v>
      </c>
      <c r="O1104" s="47">
        <f t="shared" si="1191"/>
        <v>0</v>
      </c>
      <c r="P1104" s="47">
        <f t="shared" si="1191"/>
        <v>0</v>
      </c>
      <c r="Q1104" s="47">
        <f t="shared" si="1191"/>
        <v>0</v>
      </c>
    </row>
    <row r="1105" spans="4:17" s="16" customFormat="1" ht="13.2" x14ac:dyDescent="0.25">
      <c r="D1105" s="235">
        <v>1</v>
      </c>
      <c r="E1105" s="237">
        <v>9</v>
      </c>
      <c r="F1105" s="238">
        <v>5</v>
      </c>
      <c r="G1105" s="239">
        <v>0.97</v>
      </c>
      <c r="H1105" s="239">
        <f t="shared" ref="H1105:H1107" si="1192">E1105*G1105</f>
        <v>8.73</v>
      </c>
      <c r="I1105" s="131">
        <f t="shared" ref="I1105:I1107" si="1193">IF($F1105=4.2,H1105*$B$23,0)</f>
        <v>0</v>
      </c>
      <c r="J1105" s="31">
        <f t="shared" ref="J1105:J1107" si="1194">IF($F1105=5,$H1105*$B$24,0)</f>
        <v>1.3444199999999999</v>
      </c>
      <c r="K1105" s="31">
        <f t="shared" ref="K1105:K1107" si="1195">IF($F1105=6.3,$H1105*$B$25,0)</f>
        <v>0</v>
      </c>
      <c r="L1105" s="31">
        <f t="shared" ref="L1105:L1107" si="1196">IF($F1105=8,$H1105*$B$26,0)</f>
        <v>0</v>
      </c>
      <c r="M1105" s="31">
        <f t="shared" ref="M1105:M1107" si="1197">IF($F1105=10,$H1105*$B$27,0)</f>
        <v>0</v>
      </c>
      <c r="N1105" s="31">
        <f t="shared" ref="N1105:N1107" si="1198">IF($F1105=12.5,$H1105*$B$28,0)</f>
        <v>0</v>
      </c>
      <c r="O1105" s="31">
        <f t="shared" ref="O1105:O1107" si="1199">IF($F1105=16,$H1105*$B$29,0)</f>
        <v>0</v>
      </c>
      <c r="P1105" s="31">
        <f t="shared" ref="P1105:P1107" si="1200">IF($F1105=20,$H1105*$B$30,0)</f>
        <v>0</v>
      </c>
      <c r="Q1105" s="49">
        <f t="shared" ref="Q1105:Q1107" si="1201">IF($F1105=25,$H1105*$B$31,0)</f>
        <v>0</v>
      </c>
    </row>
    <row r="1106" spans="4:17" s="16" customFormat="1" ht="13.2" x14ac:dyDescent="0.25">
      <c r="D1106" s="235">
        <v>5</v>
      </c>
      <c r="E1106" s="240">
        <v>2</v>
      </c>
      <c r="F1106" s="241">
        <v>8</v>
      </c>
      <c r="G1106" s="242">
        <v>2.17</v>
      </c>
      <c r="H1106" s="239">
        <f t="shared" si="1192"/>
        <v>4.34</v>
      </c>
      <c r="I1106" s="131">
        <f t="shared" si="1193"/>
        <v>0</v>
      </c>
      <c r="J1106" s="31">
        <f t="shared" si="1194"/>
        <v>0</v>
      </c>
      <c r="K1106" s="31">
        <f t="shared" si="1195"/>
        <v>0</v>
      </c>
      <c r="L1106" s="31">
        <f t="shared" si="1196"/>
        <v>1.7142999999999999</v>
      </c>
      <c r="M1106" s="31">
        <f t="shared" si="1197"/>
        <v>0</v>
      </c>
      <c r="N1106" s="31">
        <f t="shared" si="1198"/>
        <v>0</v>
      </c>
      <c r="O1106" s="31">
        <f t="shared" si="1199"/>
        <v>0</v>
      </c>
      <c r="P1106" s="31">
        <f t="shared" si="1200"/>
        <v>0</v>
      </c>
      <c r="Q1106" s="49">
        <f t="shared" si="1201"/>
        <v>0</v>
      </c>
    </row>
    <row r="1107" spans="4:17" s="16" customFormat="1" ht="13.2" x14ac:dyDescent="0.25">
      <c r="D1107" s="235">
        <v>6</v>
      </c>
      <c r="E1107" s="240">
        <v>2</v>
      </c>
      <c r="F1107" s="241">
        <v>8</v>
      </c>
      <c r="G1107" s="242">
        <v>2.4900000000000002</v>
      </c>
      <c r="H1107" s="239">
        <f t="shared" si="1192"/>
        <v>4.9800000000000004</v>
      </c>
      <c r="I1107" s="131">
        <f t="shared" si="1193"/>
        <v>0</v>
      </c>
      <c r="J1107" s="31">
        <f t="shared" si="1194"/>
        <v>0</v>
      </c>
      <c r="K1107" s="31">
        <f t="shared" si="1195"/>
        <v>0</v>
      </c>
      <c r="L1107" s="31">
        <f t="shared" si="1196"/>
        <v>1.9671000000000003</v>
      </c>
      <c r="M1107" s="31">
        <f t="shared" si="1197"/>
        <v>0</v>
      </c>
      <c r="N1107" s="31">
        <f t="shared" si="1198"/>
        <v>0</v>
      </c>
      <c r="O1107" s="31">
        <f t="shared" si="1199"/>
        <v>0</v>
      </c>
      <c r="P1107" s="31">
        <f t="shared" si="1200"/>
        <v>0</v>
      </c>
      <c r="Q1107" s="49">
        <f t="shared" si="1201"/>
        <v>0</v>
      </c>
    </row>
    <row r="1108" spans="4:17" s="16" customFormat="1" ht="13.8" thickBot="1" x14ac:dyDescent="0.3">
      <c r="D1108" s="307"/>
      <c r="E1108" s="26"/>
      <c r="F1108" s="206"/>
      <c r="G1108" s="207"/>
      <c r="H1108" s="207"/>
      <c r="I1108" s="51"/>
      <c r="J1108" s="308"/>
      <c r="K1108" s="308"/>
      <c r="L1108" s="308"/>
      <c r="M1108" s="308"/>
      <c r="N1108" s="308"/>
      <c r="O1108" s="308"/>
      <c r="P1108" s="308"/>
      <c r="Q1108" s="309"/>
    </row>
    <row r="1109" spans="4:17" s="16" customFormat="1" ht="13.2" x14ac:dyDescent="0.25">
      <c r="D1109" s="796" t="s">
        <v>1775</v>
      </c>
      <c r="E1109" s="797"/>
      <c r="F1109" s="797"/>
      <c r="G1109" s="797"/>
      <c r="H1109" s="797"/>
      <c r="I1109" s="47">
        <f t="shared" ref="I1109:Q1109" si="1202">SUM(I1110:I1112)</f>
        <v>0</v>
      </c>
      <c r="J1109" s="47">
        <f t="shared" si="1202"/>
        <v>6.5727199999999995</v>
      </c>
      <c r="K1109" s="47">
        <f t="shared" si="1202"/>
        <v>0</v>
      </c>
      <c r="L1109" s="47">
        <f t="shared" si="1202"/>
        <v>16.163400000000003</v>
      </c>
      <c r="M1109" s="47">
        <f t="shared" si="1202"/>
        <v>0</v>
      </c>
      <c r="N1109" s="47">
        <f t="shared" si="1202"/>
        <v>0</v>
      </c>
      <c r="O1109" s="47">
        <f t="shared" si="1202"/>
        <v>0</v>
      </c>
      <c r="P1109" s="47">
        <f t="shared" si="1202"/>
        <v>0</v>
      </c>
      <c r="Q1109" s="47">
        <f t="shared" si="1202"/>
        <v>0</v>
      </c>
    </row>
    <row r="1110" spans="4:17" s="16" customFormat="1" ht="13.2" x14ac:dyDescent="0.25">
      <c r="D1110" s="235">
        <v>1</v>
      </c>
      <c r="E1110" s="237">
        <v>44</v>
      </c>
      <c r="F1110" s="238">
        <v>5</v>
      </c>
      <c r="G1110" s="239">
        <v>0.97</v>
      </c>
      <c r="H1110" s="239">
        <f t="shared" ref="H1110:H1112" si="1203">E1110*G1110</f>
        <v>42.68</v>
      </c>
      <c r="I1110" s="131">
        <f t="shared" ref="I1110:I1112" si="1204">IF($F1110=4.2,H1110*$B$23,0)</f>
        <v>0</v>
      </c>
      <c r="J1110" s="31">
        <f t="shared" ref="J1110:J1112" si="1205">IF($F1110=5,$H1110*$B$24,0)</f>
        <v>6.5727199999999995</v>
      </c>
      <c r="K1110" s="31">
        <f t="shared" ref="K1110:K1112" si="1206">IF($F1110=6.3,$H1110*$B$25,0)</f>
        <v>0</v>
      </c>
      <c r="L1110" s="31">
        <f t="shared" ref="L1110:L1112" si="1207">IF($F1110=8,$H1110*$B$26,0)</f>
        <v>0</v>
      </c>
      <c r="M1110" s="31">
        <f t="shared" ref="M1110:M1112" si="1208">IF($F1110=10,$H1110*$B$27,0)</f>
        <v>0</v>
      </c>
      <c r="N1110" s="31">
        <f t="shared" ref="N1110:N1112" si="1209">IF($F1110=12.5,$H1110*$B$28,0)</f>
        <v>0</v>
      </c>
      <c r="O1110" s="31">
        <f t="shared" ref="O1110:O1112" si="1210">IF($F1110=16,$H1110*$B$29,0)</f>
        <v>0</v>
      </c>
      <c r="P1110" s="31">
        <f t="shared" ref="P1110:P1112" si="1211">IF($F1110=20,$H1110*$B$30,0)</f>
        <v>0</v>
      </c>
      <c r="Q1110" s="49">
        <f t="shared" ref="Q1110:Q1112" si="1212">IF($F1110=25,$H1110*$B$31,0)</f>
        <v>0</v>
      </c>
    </row>
    <row r="1111" spans="4:17" s="16" customFormat="1" ht="13.2" x14ac:dyDescent="0.25">
      <c r="D1111" s="235">
        <v>3</v>
      </c>
      <c r="E1111" s="240">
        <v>2</v>
      </c>
      <c r="F1111" s="241">
        <v>8</v>
      </c>
      <c r="G1111" s="242">
        <v>10.19</v>
      </c>
      <c r="H1111" s="239">
        <f t="shared" si="1203"/>
        <v>20.38</v>
      </c>
      <c r="I1111" s="131">
        <f t="shared" si="1204"/>
        <v>0</v>
      </c>
      <c r="J1111" s="31">
        <f t="shared" si="1205"/>
        <v>0</v>
      </c>
      <c r="K1111" s="31">
        <f t="shared" si="1206"/>
        <v>0</v>
      </c>
      <c r="L1111" s="31">
        <f t="shared" si="1207"/>
        <v>8.0501000000000005</v>
      </c>
      <c r="M1111" s="31">
        <f t="shared" si="1208"/>
        <v>0</v>
      </c>
      <c r="N1111" s="31">
        <f t="shared" si="1209"/>
        <v>0</v>
      </c>
      <c r="O1111" s="31">
        <f t="shared" si="1210"/>
        <v>0</v>
      </c>
      <c r="P1111" s="31">
        <f t="shared" si="1211"/>
        <v>0</v>
      </c>
      <c r="Q1111" s="49">
        <f t="shared" si="1212"/>
        <v>0</v>
      </c>
    </row>
    <row r="1112" spans="4:17" s="16" customFormat="1" ht="13.2" x14ac:dyDescent="0.25">
      <c r="D1112" s="235">
        <v>7</v>
      </c>
      <c r="E1112" s="240">
        <v>2</v>
      </c>
      <c r="F1112" s="241">
        <v>8</v>
      </c>
      <c r="G1112" s="242">
        <v>10.27</v>
      </c>
      <c r="H1112" s="239">
        <f t="shared" si="1203"/>
        <v>20.54</v>
      </c>
      <c r="I1112" s="131">
        <f t="shared" si="1204"/>
        <v>0</v>
      </c>
      <c r="J1112" s="31">
        <f t="shared" si="1205"/>
        <v>0</v>
      </c>
      <c r="K1112" s="31">
        <f t="shared" si="1206"/>
        <v>0</v>
      </c>
      <c r="L1112" s="31">
        <f t="shared" si="1207"/>
        <v>8.1133000000000006</v>
      </c>
      <c r="M1112" s="31">
        <f t="shared" si="1208"/>
        <v>0</v>
      </c>
      <c r="N1112" s="31">
        <f t="shared" si="1209"/>
        <v>0</v>
      </c>
      <c r="O1112" s="31">
        <f t="shared" si="1210"/>
        <v>0</v>
      </c>
      <c r="P1112" s="31">
        <f t="shared" si="1211"/>
        <v>0</v>
      </c>
      <c r="Q1112" s="49">
        <f t="shared" si="1212"/>
        <v>0</v>
      </c>
    </row>
    <row r="1113" spans="4:17" s="16" customFormat="1" ht="13.8" thickBot="1" x14ac:dyDescent="0.3">
      <c r="D1113" s="307"/>
      <c r="E1113" s="26"/>
      <c r="F1113" s="206"/>
      <c r="G1113" s="207"/>
      <c r="H1113" s="207"/>
      <c r="I1113" s="51"/>
      <c r="J1113" s="308"/>
      <c r="K1113" s="308"/>
      <c r="L1113" s="308"/>
      <c r="M1113" s="308"/>
      <c r="N1113" s="308"/>
      <c r="O1113" s="308"/>
      <c r="P1113" s="308"/>
      <c r="Q1113" s="309"/>
    </row>
    <row r="1114" spans="4:17" s="16" customFormat="1" ht="13.2" x14ac:dyDescent="0.25">
      <c r="D1114" s="796" t="s">
        <v>1776</v>
      </c>
      <c r="E1114" s="797"/>
      <c r="F1114" s="797"/>
      <c r="G1114" s="797"/>
      <c r="H1114" s="797"/>
      <c r="I1114" s="47">
        <f t="shared" ref="I1114:Q1114" si="1213">SUM(I1115:I1117)</f>
        <v>0</v>
      </c>
      <c r="J1114" s="47">
        <f t="shared" si="1213"/>
        <v>4.9295399999999994</v>
      </c>
      <c r="K1114" s="47">
        <f t="shared" si="1213"/>
        <v>0</v>
      </c>
      <c r="L1114" s="47">
        <f t="shared" si="1213"/>
        <v>11.5656</v>
      </c>
      <c r="M1114" s="47">
        <f t="shared" si="1213"/>
        <v>0</v>
      </c>
      <c r="N1114" s="47">
        <f t="shared" si="1213"/>
        <v>0</v>
      </c>
      <c r="O1114" s="47">
        <f t="shared" si="1213"/>
        <v>0</v>
      </c>
      <c r="P1114" s="47">
        <f t="shared" si="1213"/>
        <v>0</v>
      </c>
      <c r="Q1114" s="47">
        <f t="shared" si="1213"/>
        <v>0</v>
      </c>
    </row>
    <row r="1115" spans="4:17" s="16" customFormat="1" ht="13.2" x14ac:dyDescent="0.25">
      <c r="D1115" s="235">
        <v>1</v>
      </c>
      <c r="E1115" s="237">
        <v>33</v>
      </c>
      <c r="F1115" s="238">
        <v>5</v>
      </c>
      <c r="G1115" s="239">
        <v>0.97</v>
      </c>
      <c r="H1115" s="239">
        <f t="shared" ref="H1115:H1117" si="1214">E1115*G1115</f>
        <v>32.01</v>
      </c>
      <c r="I1115" s="131">
        <f t="shared" ref="I1115:I1117" si="1215">IF($F1115=4.2,H1115*$B$23,0)</f>
        <v>0</v>
      </c>
      <c r="J1115" s="31">
        <f t="shared" ref="J1115:J1117" si="1216">IF($F1115=5,$H1115*$B$24,0)</f>
        <v>4.9295399999999994</v>
      </c>
      <c r="K1115" s="31">
        <f t="shared" ref="K1115:K1117" si="1217">IF($F1115=6.3,$H1115*$B$25,0)</f>
        <v>0</v>
      </c>
      <c r="L1115" s="31">
        <f t="shared" ref="L1115:L1117" si="1218">IF($F1115=8,$H1115*$B$26,0)</f>
        <v>0</v>
      </c>
      <c r="M1115" s="31">
        <f t="shared" ref="M1115:M1117" si="1219">IF($F1115=10,$H1115*$B$27,0)</f>
        <v>0</v>
      </c>
      <c r="N1115" s="31">
        <f t="shared" ref="N1115:N1117" si="1220">IF($F1115=12.5,$H1115*$B$28,0)</f>
        <v>0</v>
      </c>
      <c r="O1115" s="31">
        <f t="shared" ref="O1115:O1117" si="1221">IF($F1115=16,$H1115*$B$29,0)</f>
        <v>0</v>
      </c>
      <c r="P1115" s="31">
        <f t="shared" ref="P1115:P1117" si="1222">IF($F1115=20,$H1115*$B$30,0)</f>
        <v>0</v>
      </c>
      <c r="Q1115" s="49">
        <f t="shared" ref="Q1115:Q1117" si="1223">IF($F1115=25,$H1115*$B$31,0)</f>
        <v>0</v>
      </c>
    </row>
    <row r="1116" spans="4:17" s="16" customFormat="1" ht="13.2" x14ac:dyDescent="0.25">
      <c r="D1116" s="235">
        <v>8</v>
      </c>
      <c r="E1116" s="240">
        <v>2</v>
      </c>
      <c r="F1116" s="241">
        <v>8</v>
      </c>
      <c r="G1116" s="242">
        <v>7.12</v>
      </c>
      <c r="H1116" s="239">
        <f t="shared" si="1214"/>
        <v>14.24</v>
      </c>
      <c r="I1116" s="131">
        <f t="shared" si="1215"/>
        <v>0</v>
      </c>
      <c r="J1116" s="31">
        <f t="shared" si="1216"/>
        <v>0</v>
      </c>
      <c r="K1116" s="31">
        <f t="shared" si="1217"/>
        <v>0</v>
      </c>
      <c r="L1116" s="31">
        <f t="shared" si="1218"/>
        <v>5.6248000000000005</v>
      </c>
      <c r="M1116" s="31">
        <f t="shared" si="1219"/>
        <v>0</v>
      </c>
      <c r="N1116" s="31">
        <f t="shared" si="1220"/>
        <v>0</v>
      </c>
      <c r="O1116" s="31">
        <f t="shared" si="1221"/>
        <v>0</v>
      </c>
      <c r="P1116" s="31">
        <f t="shared" si="1222"/>
        <v>0</v>
      </c>
      <c r="Q1116" s="49">
        <f t="shared" si="1223"/>
        <v>0</v>
      </c>
    </row>
    <row r="1117" spans="4:17" s="16" customFormat="1" ht="13.2" x14ac:dyDescent="0.25">
      <c r="D1117" s="235">
        <v>9</v>
      </c>
      <c r="E1117" s="240">
        <v>2</v>
      </c>
      <c r="F1117" s="241">
        <v>8</v>
      </c>
      <c r="G1117" s="242">
        <v>7.52</v>
      </c>
      <c r="H1117" s="239">
        <f t="shared" si="1214"/>
        <v>15.04</v>
      </c>
      <c r="I1117" s="131">
        <f t="shared" si="1215"/>
        <v>0</v>
      </c>
      <c r="J1117" s="31">
        <f t="shared" si="1216"/>
        <v>0</v>
      </c>
      <c r="K1117" s="31">
        <f t="shared" si="1217"/>
        <v>0</v>
      </c>
      <c r="L1117" s="31">
        <f t="shared" si="1218"/>
        <v>5.9408000000000003</v>
      </c>
      <c r="M1117" s="31">
        <f t="shared" si="1219"/>
        <v>0</v>
      </c>
      <c r="N1117" s="31">
        <f t="shared" si="1220"/>
        <v>0</v>
      </c>
      <c r="O1117" s="31">
        <f t="shared" si="1221"/>
        <v>0</v>
      </c>
      <c r="P1117" s="31">
        <f t="shared" si="1222"/>
        <v>0</v>
      </c>
      <c r="Q1117" s="49">
        <f t="shared" si="1223"/>
        <v>0</v>
      </c>
    </row>
    <row r="1118" spans="4:17" s="16" customFormat="1" ht="13.8" thickBot="1" x14ac:dyDescent="0.3">
      <c r="D1118" s="307"/>
      <c r="E1118" s="26"/>
      <c r="F1118" s="206"/>
      <c r="G1118" s="207"/>
      <c r="H1118" s="207"/>
      <c r="I1118" s="51"/>
      <c r="J1118" s="308"/>
      <c r="K1118" s="308"/>
      <c r="L1118" s="308"/>
      <c r="M1118" s="308"/>
      <c r="N1118" s="308"/>
      <c r="O1118" s="308"/>
      <c r="P1118" s="308"/>
      <c r="Q1118" s="309"/>
    </row>
    <row r="1119" spans="4:17" s="16" customFormat="1" ht="13.2" x14ac:dyDescent="0.25">
      <c r="D1119" s="796" t="s">
        <v>1777</v>
      </c>
      <c r="E1119" s="797"/>
      <c r="F1119" s="797"/>
      <c r="G1119" s="797"/>
      <c r="H1119" s="797"/>
      <c r="I1119" s="47">
        <f t="shared" ref="I1119:Q1119" si="1224">SUM(I1120:I1122)</f>
        <v>0</v>
      </c>
      <c r="J1119" s="47">
        <f t="shared" si="1224"/>
        <v>6.7220999999999993</v>
      </c>
      <c r="K1119" s="47">
        <f t="shared" si="1224"/>
        <v>0</v>
      </c>
      <c r="L1119" s="47">
        <f t="shared" si="1224"/>
        <v>16.163400000000003</v>
      </c>
      <c r="M1119" s="47">
        <f t="shared" si="1224"/>
        <v>0</v>
      </c>
      <c r="N1119" s="47">
        <f t="shared" si="1224"/>
        <v>0</v>
      </c>
      <c r="O1119" s="47">
        <f t="shared" si="1224"/>
        <v>0</v>
      </c>
      <c r="P1119" s="47">
        <f t="shared" si="1224"/>
        <v>0</v>
      </c>
      <c r="Q1119" s="47">
        <f t="shared" si="1224"/>
        <v>0</v>
      </c>
    </row>
    <row r="1120" spans="4:17" s="16" customFormat="1" ht="13.2" x14ac:dyDescent="0.25">
      <c r="D1120" s="235">
        <v>1</v>
      </c>
      <c r="E1120" s="237">
        <v>45</v>
      </c>
      <c r="F1120" s="238">
        <v>5</v>
      </c>
      <c r="G1120" s="239">
        <v>0.97</v>
      </c>
      <c r="H1120" s="239">
        <f t="shared" ref="H1120:H1122" si="1225">E1120*G1120</f>
        <v>43.65</v>
      </c>
      <c r="I1120" s="131">
        <f t="shared" ref="I1120:I1122" si="1226">IF($F1120=4.2,H1120*$B$23,0)</f>
        <v>0</v>
      </c>
      <c r="J1120" s="31">
        <f t="shared" ref="J1120:J1122" si="1227">IF($F1120=5,$H1120*$B$24,0)</f>
        <v>6.7220999999999993</v>
      </c>
      <c r="K1120" s="31">
        <f t="shared" ref="K1120:K1122" si="1228">IF($F1120=6.3,$H1120*$B$25,0)</f>
        <v>0</v>
      </c>
      <c r="L1120" s="31">
        <f t="shared" ref="L1120:L1122" si="1229">IF($F1120=8,$H1120*$B$26,0)</f>
        <v>0</v>
      </c>
      <c r="M1120" s="31">
        <f t="shared" ref="M1120:M1122" si="1230">IF($F1120=10,$H1120*$B$27,0)</f>
        <v>0</v>
      </c>
      <c r="N1120" s="31">
        <f t="shared" ref="N1120:N1122" si="1231">IF($F1120=12.5,$H1120*$B$28,0)</f>
        <v>0</v>
      </c>
      <c r="O1120" s="31">
        <f t="shared" ref="O1120:O1122" si="1232">IF($F1120=16,$H1120*$B$29,0)</f>
        <v>0</v>
      </c>
      <c r="P1120" s="31">
        <f t="shared" ref="P1120:P1122" si="1233">IF($F1120=20,$H1120*$B$30,0)</f>
        <v>0</v>
      </c>
      <c r="Q1120" s="49">
        <f t="shared" ref="Q1120:Q1122" si="1234">IF($F1120=25,$H1120*$B$31,0)</f>
        <v>0</v>
      </c>
    </row>
    <row r="1121" spans="4:17" s="16" customFormat="1" ht="13.2" x14ac:dyDescent="0.25">
      <c r="D1121" s="235">
        <v>3</v>
      </c>
      <c r="E1121" s="240">
        <v>2</v>
      </c>
      <c r="F1121" s="241">
        <v>8</v>
      </c>
      <c r="G1121" s="242">
        <v>10.19</v>
      </c>
      <c r="H1121" s="239">
        <f t="shared" si="1225"/>
        <v>20.38</v>
      </c>
      <c r="I1121" s="131">
        <f t="shared" si="1226"/>
        <v>0</v>
      </c>
      <c r="J1121" s="31">
        <f t="shared" si="1227"/>
        <v>0</v>
      </c>
      <c r="K1121" s="31">
        <f t="shared" si="1228"/>
        <v>0</v>
      </c>
      <c r="L1121" s="31">
        <f t="shared" si="1229"/>
        <v>8.0501000000000005</v>
      </c>
      <c r="M1121" s="31">
        <f t="shared" si="1230"/>
        <v>0</v>
      </c>
      <c r="N1121" s="31">
        <f t="shared" si="1231"/>
        <v>0</v>
      </c>
      <c r="O1121" s="31">
        <f t="shared" si="1232"/>
        <v>0</v>
      </c>
      <c r="P1121" s="31">
        <f t="shared" si="1233"/>
        <v>0</v>
      </c>
      <c r="Q1121" s="49">
        <f t="shared" si="1234"/>
        <v>0</v>
      </c>
    </row>
    <row r="1122" spans="4:17" s="16" customFormat="1" ht="13.2" x14ac:dyDescent="0.25">
      <c r="D1122" s="235">
        <v>7</v>
      </c>
      <c r="E1122" s="240">
        <v>2</v>
      </c>
      <c r="F1122" s="241">
        <v>8</v>
      </c>
      <c r="G1122" s="242">
        <v>10.27</v>
      </c>
      <c r="H1122" s="239">
        <f t="shared" si="1225"/>
        <v>20.54</v>
      </c>
      <c r="I1122" s="131">
        <f t="shared" si="1226"/>
        <v>0</v>
      </c>
      <c r="J1122" s="31">
        <f t="shared" si="1227"/>
        <v>0</v>
      </c>
      <c r="K1122" s="31">
        <f t="shared" si="1228"/>
        <v>0</v>
      </c>
      <c r="L1122" s="31">
        <f t="shared" si="1229"/>
        <v>8.1133000000000006</v>
      </c>
      <c r="M1122" s="31">
        <f t="shared" si="1230"/>
        <v>0</v>
      </c>
      <c r="N1122" s="31">
        <f t="shared" si="1231"/>
        <v>0</v>
      </c>
      <c r="O1122" s="31">
        <f t="shared" si="1232"/>
        <v>0</v>
      </c>
      <c r="P1122" s="31">
        <f t="shared" si="1233"/>
        <v>0</v>
      </c>
      <c r="Q1122" s="49">
        <f t="shared" si="1234"/>
        <v>0</v>
      </c>
    </row>
    <row r="1123" spans="4:17" s="16" customFormat="1" ht="13.8" thickBot="1" x14ac:dyDescent="0.3">
      <c r="D1123" s="307"/>
      <c r="E1123" s="26"/>
      <c r="F1123" s="206"/>
      <c r="G1123" s="207"/>
      <c r="H1123" s="207"/>
      <c r="I1123" s="51"/>
      <c r="J1123" s="308"/>
      <c r="K1123" s="308"/>
      <c r="L1123" s="308"/>
      <c r="M1123" s="308"/>
      <c r="N1123" s="308"/>
      <c r="O1123" s="308"/>
      <c r="P1123" s="308"/>
      <c r="Q1123" s="309"/>
    </row>
    <row r="1124" spans="4:17" s="16" customFormat="1" ht="13.2" x14ac:dyDescent="0.25">
      <c r="D1124" s="796" t="s">
        <v>1778</v>
      </c>
      <c r="E1124" s="797"/>
      <c r="F1124" s="797"/>
      <c r="G1124" s="797"/>
      <c r="H1124" s="797"/>
      <c r="I1124" s="47">
        <f t="shared" ref="I1124:Q1124" si="1235">SUM(I1125:I1127)</f>
        <v>0</v>
      </c>
      <c r="J1124" s="47">
        <f t="shared" si="1235"/>
        <v>6.8714799999999991</v>
      </c>
      <c r="K1124" s="47">
        <f t="shared" si="1235"/>
        <v>0</v>
      </c>
      <c r="L1124" s="47">
        <f t="shared" si="1235"/>
        <v>8.9191000000000003</v>
      </c>
      <c r="M1124" s="47">
        <f t="shared" si="1235"/>
        <v>13.438260000000001</v>
      </c>
      <c r="N1124" s="47">
        <f t="shared" si="1235"/>
        <v>0</v>
      </c>
      <c r="O1124" s="47">
        <f t="shared" si="1235"/>
        <v>0</v>
      </c>
      <c r="P1124" s="47">
        <f t="shared" si="1235"/>
        <v>0</v>
      </c>
      <c r="Q1124" s="47">
        <f t="shared" si="1235"/>
        <v>0</v>
      </c>
    </row>
    <row r="1125" spans="4:17" s="16" customFormat="1" ht="13.2" x14ac:dyDescent="0.25">
      <c r="D1125" s="235">
        <v>1</v>
      </c>
      <c r="E1125" s="237">
        <v>46</v>
      </c>
      <c r="F1125" s="238">
        <v>5</v>
      </c>
      <c r="G1125" s="239">
        <v>0.97</v>
      </c>
      <c r="H1125" s="239">
        <f t="shared" ref="H1125:H1127" si="1236">E1125*G1125</f>
        <v>44.62</v>
      </c>
      <c r="I1125" s="131">
        <f t="shared" ref="I1125:I1127" si="1237">IF($F1125=4.2,H1125*$B$23,0)</f>
        <v>0</v>
      </c>
      <c r="J1125" s="31">
        <f t="shared" ref="J1125:J1127" si="1238">IF($F1125=5,$H1125*$B$24,0)</f>
        <v>6.8714799999999991</v>
      </c>
      <c r="K1125" s="31">
        <f t="shared" ref="K1125:K1127" si="1239">IF($F1125=6.3,$H1125*$B$25,0)</f>
        <v>0</v>
      </c>
      <c r="L1125" s="31">
        <f t="shared" ref="L1125:L1127" si="1240">IF($F1125=8,$H1125*$B$26,0)</f>
        <v>0</v>
      </c>
      <c r="M1125" s="31">
        <f t="shared" ref="M1125:M1127" si="1241">IF($F1125=10,$H1125*$B$27,0)</f>
        <v>0</v>
      </c>
      <c r="N1125" s="31">
        <f t="shared" ref="N1125:N1127" si="1242">IF($F1125=12.5,$H1125*$B$28,0)</f>
        <v>0</v>
      </c>
      <c r="O1125" s="31">
        <f t="shared" ref="O1125:O1127" si="1243">IF($F1125=16,$H1125*$B$29,0)</f>
        <v>0</v>
      </c>
      <c r="P1125" s="31">
        <f t="shared" ref="P1125:P1127" si="1244">IF($F1125=20,$H1125*$B$30,0)</f>
        <v>0</v>
      </c>
      <c r="Q1125" s="49">
        <f t="shared" ref="Q1125:Q1127" si="1245">IF($F1125=25,$H1125*$B$31,0)</f>
        <v>0</v>
      </c>
    </row>
    <row r="1126" spans="4:17" s="16" customFormat="1" ht="13.2" x14ac:dyDescent="0.25">
      <c r="D1126" s="235">
        <v>10</v>
      </c>
      <c r="E1126" s="240">
        <v>2</v>
      </c>
      <c r="F1126" s="241">
        <v>8</v>
      </c>
      <c r="G1126" s="242">
        <v>11.29</v>
      </c>
      <c r="H1126" s="239">
        <f t="shared" si="1236"/>
        <v>22.58</v>
      </c>
      <c r="I1126" s="131">
        <f t="shared" si="1237"/>
        <v>0</v>
      </c>
      <c r="J1126" s="31">
        <f t="shared" si="1238"/>
        <v>0</v>
      </c>
      <c r="K1126" s="31">
        <f t="shared" si="1239"/>
        <v>0</v>
      </c>
      <c r="L1126" s="31">
        <f t="shared" si="1240"/>
        <v>8.9191000000000003</v>
      </c>
      <c r="M1126" s="31">
        <f t="shared" si="1241"/>
        <v>0</v>
      </c>
      <c r="N1126" s="31">
        <f t="shared" si="1242"/>
        <v>0</v>
      </c>
      <c r="O1126" s="31">
        <f t="shared" si="1243"/>
        <v>0</v>
      </c>
      <c r="P1126" s="31">
        <f t="shared" si="1244"/>
        <v>0</v>
      </c>
      <c r="Q1126" s="49">
        <f t="shared" si="1245"/>
        <v>0</v>
      </c>
    </row>
    <row r="1127" spans="4:17" s="16" customFormat="1" ht="13.2" x14ac:dyDescent="0.25">
      <c r="D1127" s="235">
        <v>48</v>
      </c>
      <c r="E1127" s="240">
        <v>2</v>
      </c>
      <c r="F1127" s="241">
        <v>10</v>
      </c>
      <c r="G1127" s="242">
        <v>10.89</v>
      </c>
      <c r="H1127" s="239">
        <f t="shared" si="1236"/>
        <v>21.78</v>
      </c>
      <c r="I1127" s="131">
        <f t="shared" si="1237"/>
        <v>0</v>
      </c>
      <c r="J1127" s="31">
        <f t="shared" si="1238"/>
        <v>0</v>
      </c>
      <c r="K1127" s="31">
        <f t="shared" si="1239"/>
        <v>0</v>
      </c>
      <c r="L1127" s="31">
        <f t="shared" si="1240"/>
        <v>0</v>
      </c>
      <c r="M1127" s="31">
        <f t="shared" si="1241"/>
        <v>13.438260000000001</v>
      </c>
      <c r="N1127" s="31">
        <f t="shared" si="1242"/>
        <v>0</v>
      </c>
      <c r="O1127" s="31">
        <f t="shared" si="1243"/>
        <v>0</v>
      </c>
      <c r="P1127" s="31">
        <f t="shared" si="1244"/>
        <v>0</v>
      </c>
      <c r="Q1127" s="49">
        <f t="shared" si="1245"/>
        <v>0</v>
      </c>
    </row>
    <row r="1128" spans="4:17" s="16" customFormat="1" ht="13.8" thickBot="1" x14ac:dyDescent="0.3">
      <c r="D1128" s="307"/>
      <c r="E1128" s="26"/>
      <c r="F1128" s="206"/>
      <c r="G1128" s="207"/>
      <c r="H1128" s="207"/>
      <c r="I1128" s="51"/>
      <c r="J1128" s="308"/>
      <c r="K1128" s="308"/>
      <c r="L1128" s="308"/>
      <c r="M1128" s="308"/>
      <c r="N1128" s="308"/>
      <c r="O1128" s="308"/>
      <c r="P1128" s="308"/>
      <c r="Q1128" s="309"/>
    </row>
    <row r="1129" spans="4:17" s="16" customFormat="1" ht="13.2" x14ac:dyDescent="0.25">
      <c r="D1129" s="796" t="s">
        <v>1779</v>
      </c>
      <c r="E1129" s="797"/>
      <c r="F1129" s="797"/>
      <c r="G1129" s="797"/>
      <c r="H1129" s="797"/>
      <c r="I1129" s="47">
        <f t="shared" ref="I1129:Q1129" si="1246">SUM(I1130:I1134)</f>
        <v>0</v>
      </c>
      <c r="J1129" s="47">
        <f t="shared" si="1246"/>
        <v>6.4233399999999996</v>
      </c>
      <c r="K1129" s="47">
        <f t="shared" si="1246"/>
        <v>0</v>
      </c>
      <c r="L1129" s="47">
        <f t="shared" si="1246"/>
        <v>9.2864500000000003</v>
      </c>
      <c r="M1129" s="47">
        <f t="shared" si="1246"/>
        <v>12.45106</v>
      </c>
      <c r="N1129" s="47">
        <f t="shared" si="1246"/>
        <v>0</v>
      </c>
      <c r="O1129" s="47">
        <f t="shared" si="1246"/>
        <v>0</v>
      </c>
      <c r="P1129" s="47">
        <f t="shared" si="1246"/>
        <v>0</v>
      </c>
      <c r="Q1129" s="47">
        <f t="shared" si="1246"/>
        <v>0</v>
      </c>
    </row>
    <row r="1130" spans="4:17" s="16" customFormat="1" ht="13.2" x14ac:dyDescent="0.25">
      <c r="D1130" s="235">
        <v>1</v>
      </c>
      <c r="E1130" s="237">
        <v>43</v>
      </c>
      <c r="F1130" s="238">
        <v>5</v>
      </c>
      <c r="G1130" s="239">
        <v>0.97</v>
      </c>
      <c r="H1130" s="239">
        <f t="shared" ref="H1130:H1134" si="1247">E1130*G1130</f>
        <v>41.71</v>
      </c>
      <c r="I1130" s="131">
        <f t="shared" ref="I1130:I1134" si="1248">IF($F1130=4.2,H1130*$B$23,0)</f>
        <v>0</v>
      </c>
      <c r="J1130" s="31">
        <f t="shared" ref="J1130:J1134" si="1249">IF($F1130=5,$H1130*$B$24,0)</f>
        <v>6.4233399999999996</v>
      </c>
      <c r="K1130" s="31">
        <f t="shared" ref="K1130:K1134" si="1250">IF($F1130=6.3,$H1130*$B$25,0)</f>
        <v>0</v>
      </c>
      <c r="L1130" s="31">
        <f t="shared" ref="L1130:L1134" si="1251">IF($F1130=8,$H1130*$B$26,0)</f>
        <v>0</v>
      </c>
      <c r="M1130" s="31">
        <f t="shared" ref="M1130:M1134" si="1252">IF($F1130=10,$H1130*$B$27,0)</f>
        <v>0</v>
      </c>
      <c r="N1130" s="31">
        <f t="shared" ref="N1130:N1134" si="1253">IF($F1130=12.5,$H1130*$B$28,0)</f>
        <v>0</v>
      </c>
      <c r="O1130" s="31">
        <f t="shared" ref="O1130:O1134" si="1254">IF($F1130=16,$H1130*$B$29,0)</f>
        <v>0</v>
      </c>
      <c r="P1130" s="31">
        <f t="shared" ref="P1130:P1134" si="1255">IF($F1130=20,$H1130*$B$30,0)</f>
        <v>0</v>
      </c>
      <c r="Q1130" s="49">
        <f t="shared" ref="Q1130:Q1134" si="1256">IF($F1130=25,$H1130*$B$31,0)</f>
        <v>0</v>
      </c>
    </row>
    <row r="1131" spans="4:17" s="16" customFormat="1" ht="13.2" x14ac:dyDescent="0.25">
      <c r="D1131" s="235">
        <v>11</v>
      </c>
      <c r="E1131" s="240">
        <v>1</v>
      </c>
      <c r="F1131" s="241">
        <v>8</v>
      </c>
      <c r="G1131" s="242">
        <v>1.8</v>
      </c>
      <c r="H1131" s="239">
        <f t="shared" si="1247"/>
        <v>1.8</v>
      </c>
      <c r="I1131" s="131">
        <f t="shared" si="1248"/>
        <v>0</v>
      </c>
      <c r="J1131" s="31">
        <f t="shared" si="1249"/>
        <v>0</v>
      </c>
      <c r="K1131" s="31">
        <f t="shared" si="1250"/>
        <v>0</v>
      </c>
      <c r="L1131" s="31">
        <f t="shared" si="1251"/>
        <v>0.71100000000000008</v>
      </c>
      <c r="M1131" s="31">
        <f t="shared" si="1252"/>
        <v>0</v>
      </c>
      <c r="N1131" s="31">
        <f t="shared" si="1253"/>
        <v>0</v>
      </c>
      <c r="O1131" s="31">
        <f t="shared" si="1254"/>
        <v>0</v>
      </c>
      <c r="P1131" s="31">
        <f t="shared" si="1255"/>
        <v>0</v>
      </c>
      <c r="Q1131" s="49">
        <f t="shared" si="1256"/>
        <v>0</v>
      </c>
    </row>
    <row r="1132" spans="4:17" s="16" customFormat="1" ht="13.2" x14ac:dyDescent="0.25">
      <c r="D1132" s="235">
        <v>12</v>
      </c>
      <c r="E1132" s="240">
        <v>1</v>
      </c>
      <c r="F1132" s="241">
        <v>8</v>
      </c>
      <c r="G1132" s="242">
        <v>1.37</v>
      </c>
      <c r="H1132" s="239">
        <f t="shared" si="1247"/>
        <v>1.37</v>
      </c>
      <c r="I1132" s="131">
        <f t="shared" si="1248"/>
        <v>0</v>
      </c>
      <c r="J1132" s="31">
        <f t="shared" si="1249"/>
        <v>0</v>
      </c>
      <c r="K1132" s="31">
        <f t="shared" si="1250"/>
        <v>0</v>
      </c>
      <c r="L1132" s="31">
        <f t="shared" si="1251"/>
        <v>0.54115000000000002</v>
      </c>
      <c r="M1132" s="31">
        <f t="shared" si="1252"/>
        <v>0</v>
      </c>
      <c r="N1132" s="31">
        <f t="shared" si="1253"/>
        <v>0</v>
      </c>
      <c r="O1132" s="31">
        <f t="shared" si="1254"/>
        <v>0</v>
      </c>
      <c r="P1132" s="31">
        <f t="shared" si="1255"/>
        <v>0</v>
      </c>
      <c r="Q1132" s="49">
        <f t="shared" si="1256"/>
        <v>0</v>
      </c>
    </row>
    <row r="1133" spans="4:17" s="16" customFormat="1" ht="13.2" x14ac:dyDescent="0.25">
      <c r="D1133" s="235">
        <v>13</v>
      </c>
      <c r="E1133" s="240">
        <v>2</v>
      </c>
      <c r="F1133" s="241">
        <v>8</v>
      </c>
      <c r="G1133" s="242">
        <v>10.17</v>
      </c>
      <c r="H1133" s="239">
        <f t="shared" si="1247"/>
        <v>20.34</v>
      </c>
      <c r="I1133" s="131">
        <f t="shared" si="1248"/>
        <v>0</v>
      </c>
      <c r="J1133" s="31">
        <f t="shared" si="1249"/>
        <v>0</v>
      </c>
      <c r="K1133" s="31">
        <f t="shared" si="1250"/>
        <v>0</v>
      </c>
      <c r="L1133" s="31">
        <f t="shared" si="1251"/>
        <v>8.0343</v>
      </c>
      <c r="M1133" s="31">
        <f t="shared" si="1252"/>
        <v>0</v>
      </c>
      <c r="N1133" s="31">
        <f t="shared" si="1253"/>
        <v>0</v>
      </c>
      <c r="O1133" s="31">
        <f t="shared" si="1254"/>
        <v>0</v>
      </c>
      <c r="P1133" s="31">
        <f t="shared" si="1255"/>
        <v>0</v>
      </c>
      <c r="Q1133" s="49">
        <f t="shared" si="1256"/>
        <v>0</v>
      </c>
    </row>
    <row r="1134" spans="4:17" s="16" customFormat="1" ht="13.2" x14ac:dyDescent="0.25">
      <c r="D1134" s="235">
        <v>49</v>
      </c>
      <c r="E1134" s="240">
        <v>2</v>
      </c>
      <c r="F1134" s="241">
        <v>10</v>
      </c>
      <c r="G1134" s="242">
        <v>10.09</v>
      </c>
      <c r="H1134" s="239">
        <f t="shared" si="1247"/>
        <v>20.18</v>
      </c>
      <c r="I1134" s="131">
        <f t="shared" si="1248"/>
        <v>0</v>
      </c>
      <c r="J1134" s="31">
        <f t="shared" si="1249"/>
        <v>0</v>
      </c>
      <c r="K1134" s="31">
        <f t="shared" si="1250"/>
        <v>0</v>
      </c>
      <c r="L1134" s="31">
        <f t="shared" si="1251"/>
        <v>0</v>
      </c>
      <c r="M1134" s="31">
        <f t="shared" si="1252"/>
        <v>12.45106</v>
      </c>
      <c r="N1134" s="31">
        <f t="shared" si="1253"/>
        <v>0</v>
      </c>
      <c r="O1134" s="31">
        <f t="shared" si="1254"/>
        <v>0</v>
      </c>
      <c r="P1134" s="31">
        <f t="shared" si="1255"/>
        <v>0</v>
      </c>
      <c r="Q1134" s="49">
        <f t="shared" si="1256"/>
        <v>0</v>
      </c>
    </row>
    <row r="1135" spans="4:17" s="16" customFormat="1" ht="13.8" thickBot="1" x14ac:dyDescent="0.3">
      <c r="D1135" s="307"/>
      <c r="E1135" s="26"/>
      <c r="F1135" s="206"/>
      <c r="G1135" s="207"/>
      <c r="H1135" s="207"/>
      <c r="I1135" s="51"/>
      <c r="J1135" s="308"/>
      <c r="K1135" s="308"/>
      <c r="L1135" s="308"/>
      <c r="M1135" s="308"/>
      <c r="N1135" s="308"/>
      <c r="O1135" s="308"/>
      <c r="P1135" s="308"/>
      <c r="Q1135" s="309"/>
    </row>
    <row r="1136" spans="4:17" s="16" customFormat="1" ht="13.2" x14ac:dyDescent="0.25">
      <c r="D1136" s="796" t="s">
        <v>1780</v>
      </c>
      <c r="E1136" s="797"/>
      <c r="F1136" s="797"/>
      <c r="G1136" s="797"/>
      <c r="H1136" s="797"/>
      <c r="I1136" s="47">
        <f t="shared" ref="I1136:Q1136" si="1257">SUM(I1137:I1141)</f>
        <v>0</v>
      </c>
      <c r="J1136" s="47">
        <f t="shared" si="1257"/>
        <v>6.2739600000000006</v>
      </c>
      <c r="K1136" s="47">
        <f t="shared" si="1257"/>
        <v>0</v>
      </c>
      <c r="L1136" s="47">
        <f t="shared" si="1257"/>
        <v>8.9664999999999999</v>
      </c>
      <c r="M1136" s="47">
        <f t="shared" si="1257"/>
        <v>12.45106</v>
      </c>
      <c r="N1136" s="47">
        <f t="shared" si="1257"/>
        <v>0</v>
      </c>
      <c r="O1136" s="47">
        <f t="shared" si="1257"/>
        <v>0</v>
      </c>
      <c r="P1136" s="47">
        <f t="shared" si="1257"/>
        <v>0</v>
      </c>
      <c r="Q1136" s="47">
        <f t="shared" si="1257"/>
        <v>0</v>
      </c>
    </row>
    <row r="1137" spans="4:17" s="16" customFormat="1" ht="13.2" x14ac:dyDescent="0.25">
      <c r="D1137" s="235">
        <v>1</v>
      </c>
      <c r="E1137" s="237">
        <v>42</v>
      </c>
      <c r="F1137" s="238">
        <v>5</v>
      </c>
      <c r="G1137" s="239">
        <v>0.97</v>
      </c>
      <c r="H1137" s="239">
        <f t="shared" ref="H1137:H1141" si="1258">E1137*G1137</f>
        <v>40.74</v>
      </c>
      <c r="I1137" s="131">
        <f t="shared" ref="I1137:I1141" si="1259">IF($F1137=4.2,H1137*$B$23,0)</f>
        <v>0</v>
      </c>
      <c r="J1137" s="31">
        <f t="shared" ref="J1137:J1141" si="1260">IF($F1137=5,$H1137*$B$24,0)</f>
        <v>6.2739600000000006</v>
      </c>
      <c r="K1137" s="31">
        <f t="shared" ref="K1137:K1141" si="1261">IF($F1137=6.3,$H1137*$B$25,0)</f>
        <v>0</v>
      </c>
      <c r="L1137" s="31">
        <f t="shared" ref="L1137:L1141" si="1262">IF($F1137=8,$H1137*$B$26,0)</f>
        <v>0</v>
      </c>
      <c r="M1137" s="31">
        <f t="shared" ref="M1137:M1141" si="1263">IF($F1137=10,$H1137*$B$27,0)</f>
        <v>0</v>
      </c>
      <c r="N1137" s="31">
        <f t="shared" ref="N1137:N1141" si="1264">IF($F1137=12.5,$H1137*$B$28,0)</f>
        <v>0</v>
      </c>
      <c r="O1137" s="31">
        <f t="shared" ref="O1137:O1141" si="1265">IF($F1137=16,$H1137*$B$29,0)</f>
        <v>0</v>
      </c>
      <c r="P1137" s="31">
        <f t="shared" ref="P1137:P1141" si="1266">IF($F1137=20,$H1137*$B$30,0)</f>
        <v>0</v>
      </c>
      <c r="Q1137" s="49">
        <f t="shared" ref="Q1137:Q1141" si="1267">IF($F1137=25,$H1137*$B$31,0)</f>
        <v>0</v>
      </c>
    </row>
    <row r="1138" spans="4:17" s="16" customFormat="1" ht="13.2" x14ac:dyDescent="0.25">
      <c r="D1138" s="235">
        <v>14</v>
      </c>
      <c r="E1138" s="240">
        <v>1</v>
      </c>
      <c r="F1138" s="241">
        <v>8</v>
      </c>
      <c r="G1138" s="242">
        <v>1.5</v>
      </c>
      <c r="H1138" s="239">
        <f t="shared" si="1258"/>
        <v>1.5</v>
      </c>
      <c r="I1138" s="131">
        <f t="shared" si="1259"/>
        <v>0</v>
      </c>
      <c r="J1138" s="31">
        <f t="shared" si="1260"/>
        <v>0</v>
      </c>
      <c r="K1138" s="31">
        <f t="shared" si="1261"/>
        <v>0</v>
      </c>
      <c r="L1138" s="31">
        <f t="shared" si="1262"/>
        <v>0.59250000000000003</v>
      </c>
      <c r="M1138" s="31">
        <f t="shared" si="1263"/>
        <v>0</v>
      </c>
      <c r="N1138" s="31">
        <f t="shared" si="1264"/>
        <v>0</v>
      </c>
      <c r="O1138" s="31">
        <f t="shared" si="1265"/>
        <v>0</v>
      </c>
      <c r="P1138" s="31">
        <f t="shared" si="1266"/>
        <v>0</v>
      </c>
      <c r="Q1138" s="49">
        <f t="shared" si="1267"/>
        <v>0</v>
      </c>
    </row>
    <row r="1139" spans="4:17" s="16" customFormat="1" ht="13.2" x14ac:dyDescent="0.25">
      <c r="D1139" s="235">
        <v>15</v>
      </c>
      <c r="E1139" s="240">
        <v>1</v>
      </c>
      <c r="F1139" s="241">
        <v>8</v>
      </c>
      <c r="G1139" s="242">
        <v>1.02</v>
      </c>
      <c r="H1139" s="239">
        <f t="shared" si="1258"/>
        <v>1.02</v>
      </c>
      <c r="I1139" s="131">
        <f t="shared" si="1259"/>
        <v>0</v>
      </c>
      <c r="J1139" s="31">
        <f t="shared" si="1260"/>
        <v>0</v>
      </c>
      <c r="K1139" s="31">
        <f t="shared" si="1261"/>
        <v>0</v>
      </c>
      <c r="L1139" s="31">
        <f t="shared" si="1262"/>
        <v>0.40290000000000004</v>
      </c>
      <c r="M1139" s="31">
        <f t="shared" si="1263"/>
        <v>0</v>
      </c>
      <c r="N1139" s="31">
        <f t="shared" si="1264"/>
        <v>0</v>
      </c>
      <c r="O1139" s="31">
        <f t="shared" si="1265"/>
        <v>0</v>
      </c>
      <c r="P1139" s="31">
        <f t="shared" si="1266"/>
        <v>0</v>
      </c>
      <c r="Q1139" s="49">
        <f t="shared" si="1267"/>
        <v>0</v>
      </c>
    </row>
    <row r="1140" spans="4:17" s="16" customFormat="1" ht="13.2" x14ac:dyDescent="0.25">
      <c r="D1140" s="235">
        <v>16</v>
      </c>
      <c r="E1140" s="240">
        <v>2</v>
      </c>
      <c r="F1140" s="241">
        <v>8</v>
      </c>
      <c r="G1140" s="242">
        <v>10.09</v>
      </c>
      <c r="H1140" s="239">
        <f t="shared" si="1258"/>
        <v>20.18</v>
      </c>
      <c r="I1140" s="131">
        <f t="shared" si="1259"/>
        <v>0</v>
      </c>
      <c r="J1140" s="31">
        <f t="shared" si="1260"/>
        <v>0</v>
      </c>
      <c r="K1140" s="31">
        <f t="shared" si="1261"/>
        <v>0</v>
      </c>
      <c r="L1140" s="31">
        <f t="shared" si="1262"/>
        <v>7.9710999999999999</v>
      </c>
      <c r="M1140" s="31">
        <f t="shared" si="1263"/>
        <v>0</v>
      </c>
      <c r="N1140" s="31">
        <f t="shared" si="1264"/>
        <v>0</v>
      </c>
      <c r="O1140" s="31">
        <f t="shared" si="1265"/>
        <v>0</v>
      </c>
      <c r="P1140" s="31">
        <f t="shared" si="1266"/>
        <v>0</v>
      </c>
      <c r="Q1140" s="49">
        <f t="shared" si="1267"/>
        <v>0</v>
      </c>
    </row>
    <row r="1141" spans="4:17" s="16" customFormat="1" ht="13.2" x14ac:dyDescent="0.25">
      <c r="D1141" s="235">
        <v>49</v>
      </c>
      <c r="E1141" s="240">
        <v>2</v>
      </c>
      <c r="F1141" s="241">
        <v>10</v>
      </c>
      <c r="G1141" s="242">
        <v>10.09</v>
      </c>
      <c r="H1141" s="239">
        <f t="shared" si="1258"/>
        <v>20.18</v>
      </c>
      <c r="I1141" s="131">
        <f t="shared" si="1259"/>
        <v>0</v>
      </c>
      <c r="J1141" s="31">
        <f t="shared" si="1260"/>
        <v>0</v>
      </c>
      <c r="K1141" s="31">
        <f t="shared" si="1261"/>
        <v>0</v>
      </c>
      <c r="L1141" s="31">
        <f t="shared" si="1262"/>
        <v>0</v>
      </c>
      <c r="M1141" s="31">
        <f t="shared" si="1263"/>
        <v>12.45106</v>
      </c>
      <c r="N1141" s="31">
        <f t="shared" si="1264"/>
        <v>0</v>
      </c>
      <c r="O1141" s="31">
        <f t="shared" si="1265"/>
        <v>0</v>
      </c>
      <c r="P1141" s="31">
        <f t="shared" si="1266"/>
        <v>0</v>
      </c>
      <c r="Q1141" s="49">
        <f t="shared" si="1267"/>
        <v>0</v>
      </c>
    </row>
    <row r="1142" spans="4:17" s="16" customFormat="1" ht="13.8" thickBot="1" x14ac:dyDescent="0.3">
      <c r="D1142" s="307"/>
      <c r="E1142" s="26"/>
      <c r="F1142" s="206"/>
      <c r="G1142" s="207"/>
      <c r="H1142" s="207"/>
      <c r="I1142" s="51"/>
      <c r="J1142" s="308"/>
      <c r="K1142" s="308"/>
      <c r="L1142" s="308"/>
      <c r="M1142" s="308"/>
      <c r="N1142" s="308"/>
      <c r="O1142" s="308"/>
      <c r="P1142" s="308"/>
      <c r="Q1142" s="309"/>
    </row>
    <row r="1143" spans="4:17" s="16" customFormat="1" ht="13.2" x14ac:dyDescent="0.25">
      <c r="D1143" s="796" t="s">
        <v>1781</v>
      </c>
      <c r="E1143" s="797"/>
      <c r="F1143" s="797"/>
      <c r="G1143" s="797"/>
      <c r="H1143" s="797"/>
      <c r="I1143" s="47">
        <f t="shared" ref="I1143:Q1143" si="1268">SUM(I1144:I1148)</f>
        <v>0</v>
      </c>
      <c r="J1143" s="47">
        <f t="shared" si="1268"/>
        <v>5.2282999999999991</v>
      </c>
      <c r="K1143" s="47">
        <f t="shared" si="1268"/>
        <v>0</v>
      </c>
      <c r="L1143" s="47">
        <f t="shared" si="1268"/>
        <v>6.4779999999999998</v>
      </c>
      <c r="M1143" s="47">
        <f t="shared" si="1268"/>
        <v>12.691689999999998</v>
      </c>
      <c r="N1143" s="47">
        <f t="shared" si="1268"/>
        <v>0</v>
      </c>
      <c r="O1143" s="47">
        <f t="shared" si="1268"/>
        <v>0</v>
      </c>
      <c r="P1143" s="47">
        <f t="shared" si="1268"/>
        <v>0</v>
      </c>
      <c r="Q1143" s="47">
        <f t="shared" si="1268"/>
        <v>0</v>
      </c>
    </row>
    <row r="1144" spans="4:17" s="16" customFormat="1" ht="13.2" x14ac:dyDescent="0.25">
      <c r="D1144" s="235">
        <v>1</v>
      </c>
      <c r="E1144" s="237">
        <v>35</v>
      </c>
      <c r="F1144" s="238">
        <v>5</v>
      </c>
      <c r="G1144" s="239">
        <v>0.97</v>
      </c>
      <c r="H1144" s="239">
        <f t="shared" ref="H1144:H1148" si="1269">E1144*G1144</f>
        <v>33.949999999999996</v>
      </c>
      <c r="I1144" s="131">
        <f t="shared" ref="I1144:I1148" si="1270">IF($F1144=4.2,H1144*$B$23,0)</f>
        <v>0</v>
      </c>
      <c r="J1144" s="31">
        <f t="shared" ref="J1144:J1148" si="1271">IF($F1144=5,$H1144*$B$24,0)</f>
        <v>5.2282999999999991</v>
      </c>
      <c r="K1144" s="31">
        <f t="shared" ref="K1144:K1148" si="1272">IF($F1144=6.3,$H1144*$B$25,0)</f>
        <v>0</v>
      </c>
      <c r="L1144" s="31">
        <f t="shared" ref="L1144:L1148" si="1273">IF($F1144=8,$H1144*$B$26,0)</f>
        <v>0</v>
      </c>
      <c r="M1144" s="31">
        <f t="shared" ref="M1144:M1148" si="1274">IF($F1144=10,$H1144*$B$27,0)</f>
        <v>0</v>
      </c>
      <c r="N1144" s="31">
        <f t="shared" ref="N1144:N1148" si="1275">IF($F1144=12.5,$H1144*$B$28,0)</f>
        <v>0</v>
      </c>
      <c r="O1144" s="31">
        <f t="shared" ref="O1144:O1148" si="1276">IF($F1144=16,$H1144*$B$29,0)</f>
        <v>0</v>
      </c>
      <c r="P1144" s="31">
        <f t="shared" ref="P1144:P1148" si="1277">IF($F1144=20,$H1144*$B$30,0)</f>
        <v>0</v>
      </c>
      <c r="Q1144" s="49">
        <f t="shared" ref="Q1144:Q1148" si="1278">IF($F1144=25,$H1144*$B$31,0)</f>
        <v>0</v>
      </c>
    </row>
    <row r="1145" spans="4:17" s="16" customFormat="1" ht="13.2" x14ac:dyDescent="0.25">
      <c r="D1145" s="235">
        <v>17</v>
      </c>
      <c r="E1145" s="240">
        <v>2</v>
      </c>
      <c r="F1145" s="241">
        <v>8</v>
      </c>
      <c r="G1145" s="242">
        <v>8.1999999999999993</v>
      </c>
      <c r="H1145" s="239">
        <f t="shared" si="1269"/>
        <v>16.399999999999999</v>
      </c>
      <c r="I1145" s="131">
        <f t="shared" si="1270"/>
        <v>0</v>
      </c>
      <c r="J1145" s="31">
        <f t="shared" si="1271"/>
        <v>0</v>
      </c>
      <c r="K1145" s="31">
        <f t="shared" si="1272"/>
        <v>0</v>
      </c>
      <c r="L1145" s="31">
        <f t="shared" si="1273"/>
        <v>6.4779999999999998</v>
      </c>
      <c r="M1145" s="31">
        <f t="shared" si="1274"/>
        <v>0</v>
      </c>
      <c r="N1145" s="31">
        <f t="shared" si="1275"/>
        <v>0</v>
      </c>
      <c r="O1145" s="31">
        <f t="shared" si="1276"/>
        <v>0</v>
      </c>
      <c r="P1145" s="31">
        <f t="shared" si="1277"/>
        <v>0</v>
      </c>
      <c r="Q1145" s="49">
        <f t="shared" si="1278"/>
        <v>0</v>
      </c>
    </row>
    <row r="1146" spans="4:17" s="16" customFormat="1" ht="13.2" x14ac:dyDescent="0.25">
      <c r="D1146" s="235">
        <v>50</v>
      </c>
      <c r="E1146" s="240">
        <v>1</v>
      </c>
      <c r="F1146" s="241">
        <v>10</v>
      </c>
      <c r="G1146" s="242">
        <v>2.23</v>
      </c>
      <c r="H1146" s="239">
        <f t="shared" si="1269"/>
        <v>2.23</v>
      </c>
      <c r="I1146" s="131">
        <f t="shared" si="1270"/>
        <v>0</v>
      </c>
      <c r="J1146" s="31">
        <f t="shared" si="1271"/>
        <v>0</v>
      </c>
      <c r="K1146" s="31">
        <f t="shared" si="1272"/>
        <v>0</v>
      </c>
      <c r="L1146" s="31">
        <f t="shared" si="1273"/>
        <v>0</v>
      </c>
      <c r="M1146" s="31">
        <f t="shared" si="1274"/>
        <v>1.37591</v>
      </c>
      <c r="N1146" s="31">
        <f t="shared" si="1275"/>
        <v>0</v>
      </c>
      <c r="O1146" s="31">
        <f t="shared" si="1276"/>
        <v>0</v>
      </c>
      <c r="P1146" s="31">
        <f t="shared" si="1277"/>
        <v>0</v>
      </c>
      <c r="Q1146" s="49">
        <f t="shared" si="1278"/>
        <v>0</v>
      </c>
    </row>
    <row r="1147" spans="4:17" s="16" customFormat="1" ht="13.2" x14ac:dyDescent="0.25">
      <c r="D1147" s="235">
        <v>51</v>
      </c>
      <c r="E1147" s="240">
        <v>1</v>
      </c>
      <c r="F1147" s="241">
        <v>10</v>
      </c>
      <c r="G1147" s="242">
        <v>2.1</v>
      </c>
      <c r="H1147" s="239">
        <f t="shared" si="1269"/>
        <v>2.1</v>
      </c>
      <c r="I1147" s="131">
        <f t="shared" si="1270"/>
        <v>0</v>
      </c>
      <c r="J1147" s="31">
        <f t="shared" si="1271"/>
        <v>0</v>
      </c>
      <c r="K1147" s="31">
        <f t="shared" si="1272"/>
        <v>0</v>
      </c>
      <c r="L1147" s="31">
        <f t="shared" si="1273"/>
        <v>0</v>
      </c>
      <c r="M1147" s="31">
        <f t="shared" si="1274"/>
        <v>1.2957000000000001</v>
      </c>
      <c r="N1147" s="31">
        <f t="shared" si="1275"/>
        <v>0</v>
      </c>
      <c r="O1147" s="31">
        <f t="shared" si="1276"/>
        <v>0</v>
      </c>
      <c r="P1147" s="31">
        <f t="shared" si="1277"/>
        <v>0</v>
      </c>
      <c r="Q1147" s="49">
        <f t="shared" si="1278"/>
        <v>0</v>
      </c>
    </row>
    <row r="1148" spans="4:17" s="16" customFormat="1" ht="13.2" x14ac:dyDescent="0.25">
      <c r="D1148" s="235">
        <v>52</v>
      </c>
      <c r="E1148" s="240">
        <v>2</v>
      </c>
      <c r="F1148" s="241">
        <v>10</v>
      </c>
      <c r="G1148" s="242">
        <v>8.1199999999999992</v>
      </c>
      <c r="H1148" s="239">
        <f t="shared" si="1269"/>
        <v>16.239999999999998</v>
      </c>
      <c r="I1148" s="131">
        <f t="shared" si="1270"/>
        <v>0</v>
      </c>
      <c r="J1148" s="31">
        <f t="shared" si="1271"/>
        <v>0</v>
      </c>
      <c r="K1148" s="31">
        <f t="shared" si="1272"/>
        <v>0</v>
      </c>
      <c r="L1148" s="31">
        <f t="shared" si="1273"/>
        <v>0</v>
      </c>
      <c r="M1148" s="31">
        <f t="shared" si="1274"/>
        <v>10.020079999999998</v>
      </c>
      <c r="N1148" s="31">
        <f t="shared" si="1275"/>
        <v>0</v>
      </c>
      <c r="O1148" s="31">
        <f t="shared" si="1276"/>
        <v>0</v>
      </c>
      <c r="P1148" s="31">
        <f t="shared" si="1277"/>
        <v>0</v>
      </c>
      <c r="Q1148" s="49">
        <f t="shared" si="1278"/>
        <v>0</v>
      </c>
    </row>
    <row r="1149" spans="4:17" s="16" customFormat="1" ht="13.8" thickBot="1" x14ac:dyDescent="0.3">
      <c r="D1149" s="307"/>
      <c r="E1149" s="26"/>
      <c r="F1149" s="206"/>
      <c r="G1149" s="207"/>
      <c r="H1149" s="207"/>
      <c r="I1149" s="51"/>
      <c r="J1149" s="308"/>
      <c r="K1149" s="308"/>
      <c r="L1149" s="308"/>
      <c r="M1149" s="308"/>
      <c r="N1149" s="308"/>
      <c r="O1149" s="308"/>
      <c r="P1149" s="308"/>
      <c r="Q1149" s="309"/>
    </row>
    <row r="1150" spans="4:17" s="16" customFormat="1" ht="13.2" x14ac:dyDescent="0.25">
      <c r="D1150" s="796" t="s">
        <v>1782</v>
      </c>
      <c r="E1150" s="797"/>
      <c r="F1150" s="797"/>
      <c r="G1150" s="797"/>
      <c r="H1150" s="797"/>
      <c r="I1150" s="47">
        <f t="shared" ref="I1150:Q1150" si="1279">SUM(I1151:I1163)</f>
        <v>0</v>
      </c>
      <c r="J1150" s="47">
        <f t="shared" si="1279"/>
        <v>19.558</v>
      </c>
      <c r="K1150" s="47">
        <f t="shared" si="1279"/>
        <v>0</v>
      </c>
      <c r="L1150" s="47">
        <f t="shared" si="1279"/>
        <v>23.676300000000005</v>
      </c>
      <c r="M1150" s="47">
        <f t="shared" si="1279"/>
        <v>19.62677</v>
      </c>
      <c r="N1150" s="47">
        <f t="shared" si="1279"/>
        <v>0</v>
      </c>
      <c r="O1150" s="47">
        <f t="shared" si="1279"/>
        <v>0</v>
      </c>
      <c r="P1150" s="47">
        <f t="shared" si="1279"/>
        <v>0</v>
      </c>
      <c r="Q1150" s="47">
        <f t="shared" si="1279"/>
        <v>0</v>
      </c>
    </row>
    <row r="1151" spans="4:17" s="16" customFormat="1" ht="13.2" x14ac:dyDescent="0.25">
      <c r="D1151" s="235">
        <v>2</v>
      </c>
      <c r="E1151" s="237">
        <v>100</v>
      </c>
      <c r="F1151" s="238">
        <v>5</v>
      </c>
      <c r="G1151" s="239">
        <v>1.27</v>
      </c>
      <c r="H1151" s="239">
        <f t="shared" ref="H1151:H1163" si="1280">E1151*G1151</f>
        <v>127</v>
      </c>
      <c r="I1151" s="131">
        <f t="shared" ref="I1151:I1163" si="1281">IF($F1151=4.2,H1151*$B$23,0)</f>
        <v>0</v>
      </c>
      <c r="J1151" s="31">
        <f t="shared" ref="J1151:J1163" si="1282">IF($F1151=5,$H1151*$B$24,0)</f>
        <v>19.558</v>
      </c>
      <c r="K1151" s="31">
        <f t="shared" ref="K1151:K1163" si="1283">IF($F1151=6.3,$H1151*$B$25,0)</f>
        <v>0</v>
      </c>
      <c r="L1151" s="31">
        <f t="shared" ref="L1151:L1163" si="1284">IF($F1151=8,$H1151*$B$26,0)</f>
        <v>0</v>
      </c>
      <c r="M1151" s="31">
        <f t="shared" ref="M1151:M1163" si="1285">IF($F1151=10,$H1151*$B$27,0)</f>
        <v>0</v>
      </c>
      <c r="N1151" s="31">
        <f t="shared" ref="N1151:N1163" si="1286">IF($F1151=12.5,$H1151*$B$28,0)</f>
        <v>0</v>
      </c>
      <c r="O1151" s="31">
        <f t="shared" ref="O1151:O1163" si="1287">IF($F1151=16,$H1151*$B$29,0)</f>
        <v>0</v>
      </c>
      <c r="P1151" s="31">
        <f t="shared" ref="P1151:P1163" si="1288">IF($F1151=20,$H1151*$B$30,0)</f>
        <v>0</v>
      </c>
      <c r="Q1151" s="49">
        <f t="shared" ref="Q1151:Q1163" si="1289">IF($F1151=25,$H1151*$B$31,0)</f>
        <v>0</v>
      </c>
    </row>
    <row r="1152" spans="4:17" s="16" customFormat="1" ht="13.2" x14ac:dyDescent="0.25">
      <c r="D1152" s="235">
        <v>18</v>
      </c>
      <c r="E1152" s="240">
        <v>1</v>
      </c>
      <c r="F1152" s="241">
        <v>8</v>
      </c>
      <c r="G1152" s="242">
        <v>0.71</v>
      </c>
      <c r="H1152" s="239">
        <f t="shared" si="1280"/>
        <v>0.71</v>
      </c>
      <c r="I1152" s="131">
        <f t="shared" si="1281"/>
        <v>0</v>
      </c>
      <c r="J1152" s="31">
        <f t="shared" si="1282"/>
        <v>0</v>
      </c>
      <c r="K1152" s="31">
        <f t="shared" si="1283"/>
        <v>0</v>
      </c>
      <c r="L1152" s="31">
        <f t="shared" si="1284"/>
        <v>0.28044999999999998</v>
      </c>
      <c r="M1152" s="31">
        <f t="shared" si="1285"/>
        <v>0</v>
      </c>
      <c r="N1152" s="31">
        <f t="shared" si="1286"/>
        <v>0</v>
      </c>
      <c r="O1152" s="31">
        <f t="shared" si="1287"/>
        <v>0</v>
      </c>
      <c r="P1152" s="31">
        <f t="shared" si="1288"/>
        <v>0</v>
      </c>
      <c r="Q1152" s="49">
        <f t="shared" si="1289"/>
        <v>0</v>
      </c>
    </row>
    <row r="1153" spans="4:17" s="16" customFormat="1" ht="13.2" x14ac:dyDescent="0.25">
      <c r="D1153" s="235">
        <v>19</v>
      </c>
      <c r="E1153" s="240">
        <v>1</v>
      </c>
      <c r="F1153" s="241">
        <v>8</v>
      </c>
      <c r="G1153" s="242">
        <v>2.4300000000000002</v>
      </c>
      <c r="H1153" s="239">
        <f t="shared" si="1280"/>
        <v>2.4300000000000002</v>
      </c>
      <c r="I1153" s="131">
        <f t="shared" si="1281"/>
        <v>0</v>
      </c>
      <c r="J1153" s="31">
        <f t="shared" si="1282"/>
        <v>0</v>
      </c>
      <c r="K1153" s="31">
        <f t="shared" si="1283"/>
        <v>0</v>
      </c>
      <c r="L1153" s="31">
        <f t="shared" si="1284"/>
        <v>0.95985000000000009</v>
      </c>
      <c r="M1153" s="31">
        <f t="shared" si="1285"/>
        <v>0</v>
      </c>
      <c r="N1153" s="31">
        <f t="shared" si="1286"/>
        <v>0</v>
      </c>
      <c r="O1153" s="31">
        <f t="shared" si="1287"/>
        <v>0</v>
      </c>
      <c r="P1153" s="31">
        <f t="shared" si="1288"/>
        <v>0</v>
      </c>
      <c r="Q1153" s="49">
        <f t="shared" si="1289"/>
        <v>0</v>
      </c>
    </row>
    <row r="1154" spans="4:17" s="16" customFormat="1" ht="13.2" x14ac:dyDescent="0.25">
      <c r="D1154" s="235">
        <v>20</v>
      </c>
      <c r="E1154" s="240">
        <v>1</v>
      </c>
      <c r="F1154" s="241">
        <v>8</v>
      </c>
      <c r="G1154" s="242">
        <v>2.46</v>
      </c>
      <c r="H1154" s="239">
        <f t="shared" ref="H1154:H1157" si="1290">E1154*G1154</f>
        <v>2.46</v>
      </c>
      <c r="I1154" s="131">
        <f t="shared" ref="I1154:I1157" si="1291">IF($F1154=4.2,H1154*$B$23,0)</f>
        <v>0</v>
      </c>
      <c r="J1154" s="31">
        <f t="shared" si="1282"/>
        <v>0</v>
      </c>
      <c r="K1154" s="31">
        <f t="shared" si="1283"/>
        <v>0</v>
      </c>
      <c r="L1154" s="31">
        <f t="shared" si="1284"/>
        <v>0.97170000000000001</v>
      </c>
      <c r="M1154" s="31">
        <f t="shared" si="1285"/>
        <v>0</v>
      </c>
      <c r="N1154" s="31">
        <f t="shared" si="1286"/>
        <v>0</v>
      </c>
      <c r="O1154" s="31">
        <f t="shared" si="1287"/>
        <v>0</v>
      </c>
      <c r="P1154" s="31">
        <f t="shared" si="1288"/>
        <v>0</v>
      </c>
      <c r="Q1154" s="49">
        <f t="shared" si="1289"/>
        <v>0</v>
      </c>
    </row>
    <row r="1155" spans="4:17" s="16" customFormat="1" ht="13.2" x14ac:dyDescent="0.25">
      <c r="D1155" s="235">
        <v>21</v>
      </c>
      <c r="E1155" s="240">
        <v>1</v>
      </c>
      <c r="F1155" s="241">
        <v>8</v>
      </c>
      <c r="G1155" s="242">
        <v>1.82</v>
      </c>
      <c r="H1155" s="239">
        <f t="shared" si="1290"/>
        <v>1.82</v>
      </c>
      <c r="I1155" s="131">
        <f t="shared" si="1291"/>
        <v>0</v>
      </c>
      <c r="J1155" s="31">
        <f t="shared" si="1282"/>
        <v>0</v>
      </c>
      <c r="K1155" s="31">
        <f t="shared" si="1283"/>
        <v>0</v>
      </c>
      <c r="L1155" s="31">
        <f t="shared" si="1284"/>
        <v>0.71890000000000009</v>
      </c>
      <c r="M1155" s="31">
        <f t="shared" si="1285"/>
        <v>0</v>
      </c>
      <c r="N1155" s="31">
        <f t="shared" si="1286"/>
        <v>0</v>
      </c>
      <c r="O1155" s="31">
        <f t="shared" si="1287"/>
        <v>0</v>
      </c>
      <c r="P1155" s="31">
        <f t="shared" si="1288"/>
        <v>0</v>
      </c>
      <c r="Q1155" s="49">
        <f t="shared" si="1289"/>
        <v>0</v>
      </c>
    </row>
    <row r="1156" spans="4:17" s="16" customFormat="1" ht="13.2" x14ac:dyDescent="0.25">
      <c r="D1156" s="235">
        <v>22</v>
      </c>
      <c r="E1156" s="240">
        <v>4</v>
      </c>
      <c r="F1156" s="241">
        <v>8</v>
      </c>
      <c r="G1156" s="242">
        <v>11.13</v>
      </c>
      <c r="H1156" s="239">
        <f t="shared" si="1290"/>
        <v>44.52</v>
      </c>
      <c r="I1156" s="131">
        <f t="shared" si="1291"/>
        <v>0</v>
      </c>
      <c r="J1156" s="31">
        <f t="shared" si="1282"/>
        <v>0</v>
      </c>
      <c r="K1156" s="31">
        <f t="shared" si="1283"/>
        <v>0</v>
      </c>
      <c r="L1156" s="31">
        <f t="shared" si="1284"/>
        <v>17.585400000000003</v>
      </c>
      <c r="M1156" s="31">
        <f t="shared" si="1285"/>
        <v>0</v>
      </c>
      <c r="N1156" s="31">
        <f t="shared" si="1286"/>
        <v>0</v>
      </c>
      <c r="O1156" s="31">
        <f t="shared" si="1287"/>
        <v>0</v>
      </c>
      <c r="P1156" s="31">
        <f t="shared" si="1288"/>
        <v>0</v>
      </c>
      <c r="Q1156" s="49">
        <f t="shared" si="1289"/>
        <v>0</v>
      </c>
    </row>
    <row r="1157" spans="4:17" s="16" customFormat="1" ht="13.2" x14ac:dyDescent="0.25">
      <c r="D1157" s="235">
        <v>23</v>
      </c>
      <c r="E1157" s="240">
        <v>4</v>
      </c>
      <c r="F1157" s="241">
        <v>8</v>
      </c>
      <c r="G1157" s="242">
        <v>2</v>
      </c>
      <c r="H1157" s="239">
        <f t="shared" si="1290"/>
        <v>8</v>
      </c>
      <c r="I1157" s="131">
        <f t="shared" si="1291"/>
        <v>0</v>
      </c>
      <c r="J1157" s="31">
        <f t="shared" si="1282"/>
        <v>0</v>
      </c>
      <c r="K1157" s="31">
        <f t="shared" si="1283"/>
        <v>0</v>
      </c>
      <c r="L1157" s="31">
        <f t="shared" si="1284"/>
        <v>3.16</v>
      </c>
      <c r="M1157" s="31">
        <f t="shared" si="1285"/>
        <v>0</v>
      </c>
      <c r="N1157" s="31">
        <f t="shared" si="1286"/>
        <v>0</v>
      </c>
      <c r="O1157" s="31">
        <f t="shared" si="1287"/>
        <v>0</v>
      </c>
      <c r="P1157" s="31">
        <f t="shared" si="1288"/>
        <v>0</v>
      </c>
      <c r="Q1157" s="49">
        <f t="shared" si="1289"/>
        <v>0</v>
      </c>
    </row>
    <row r="1158" spans="4:17" s="16" customFormat="1" ht="13.2" x14ac:dyDescent="0.25">
      <c r="D1158" s="235">
        <v>53</v>
      </c>
      <c r="E1158" s="240">
        <v>1</v>
      </c>
      <c r="F1158" s="241">
        <v>10</v>
      </c>
      <c r="G1158" s="242">
        <v>1.55</v>
      </c>
      <c r="H1158" s="239">
        <f t="shared" si="1280"/>
        <v>1.55</v>
      </c>
      <c r="I1158" s="131">
        <f t="shared" si="1281"/>
        <v>0</v>
      </c>
      <c r="J1158" s="31">
        <f t="shared" si="1282"/>
        <v>0</v>
      </c>
      <c r="K1158" s="31">
        <f t="shared" si="1283"/>
        <v>0</v>
      </c>
      <c r="L1158" s="31">
        <f t="shared" si="1284"/>
        <v>0</v>
      </c>
      <c r="M1158" s="31">
        <f t="shared" si="1285"/>
        <v>0.95635000000000003</v>
      </c>
      <c r="N1158" s="31">
        <f t="shared" si="1286"/>
        <v>0</v>
      </c>
      <c r="O1158" s="31">
        <f t="shared" si="1287"/>
        <v>0</v>
      </c>
      <c r="P1158" s="31">
        <f t="shared" si="1288"/>
        <v>0</v>
      </c>
      <c r="Q1158" s="49">
        <f t="shared" si="1289"/>
        <v>0</v>
      </c>
    </row>
    <row r="1159" spans="4:17" s="16" customFormat="1" ht="13.2" x14ac:dyDescent="0.25">
      <c r="D1159" s="235">
        <v>54</v>
      </c>
      <c r="E1159" s="240">
        <v>1</v>
      </c>
      <c r="F1159" s="241">
        <v>10</v>
      </c>
      <c r="G1159" s="242">
        <v>2.42</v>
      </c>
      <c r="H1159" s="239">
        <f t="shared" si="1280"/>
        <v>2.42</v>
      </c>
      <c r="I1159" s="131">
        <f t="shared" si="1281"/>
        <v>0</v>
      </c>
      <c r="J1159" s="31">
        <f t="shared" si="1282"/>
        <v>0</v>
      </c>
      <c r="K1159" s="31">
        <f t="shared" si="1283"/>
        <v>0</v>
      </c>
      <c r="L1159" s="31">
        <f t="shared" si="1284"/>
        <v>0</v>
      </c>
      <c r="M1159" s="31">
        <f t="shared" si="1285"/>
        <v>1.4931399999999999</v>
      </c>
      <c r="N1159" s="31">
        <f t="shared" si="1286"/>
        <v>0</v>
      </c>
      <c r="O1159" s="31">
        <f t="shared" si="1287"/>
        <v>0</v>
      </c>
      <c r="P1159" s="31">
        <f t="shared" si="1288"/>
        <v>0</v>
      </c>
      <c r="Q1159" s="49">
        <f t="shared" si="1289"/>
        <v>0</v>
      </c>
    </row>
    <row r="1160" spans="4:17" s="16" customFormat="1" ht="13.2" x14ac:dyDescent="0.25">
      <c r="D1160" s="235">
        <v>55</v>
      </c>
      <c r="E1160" s="240">
        <v>1</v>
      </c>
      <c r="F1160" s="241">
        <v>10</v>
      </c>
      <c r="G1160" s="242">
        <v>2.35</v>
      </c>
      <c r="H1160" s="239">
        <f t="shared" si="1280"/>
        <v>2.35</v>
      </c>
      <c r="I1160" s="131">
        <f t="shared" si="1281"/>
        <v>0</v>
      </c>
      <c r="J1160" s="31">
        <f t="shared" si="1282"/>
        <v>0</v>
      </c>
      <c r="K1160" s="31">
        <f t="shared" si="1283"/>
        <v>0</v>
      </c>
      <c r="L1160" s="31">
        <f t="shared" si="1284"/>
        <v>0</v>
      </c>
      <c r="M1160" s="31">
        <f t="shared" si="1285"/>
        <v>1.4499500000000001</v>
      </c>
      <c r="N1160" s="31">
        <f t="shared" si="1286"/>
        <v>0</v>
      </c>
      <c r="O1160" s="31">
        <f t="shared" si="1287"/>
        <v>0</v>
      </c>
      <c r="P1160" s="31">
        <f t="shared" si="1288"/>
        <v>0</v>
      </c>
      <c r="Q1160" s="49">
        <f t="shared" si="1289"/>
        <v>0</v>
      </c>
    </row>
    <row r="1161" spans="4:17" s="16" customFormat="1" ht="13.2" x14ac:dyDescent="0.25">
      <c r="D1161" s="235">
        <v>56</v>
      </c>
      <c r="E1161" s="240">
        <v>2</v>
      </c>
      <c r="F1161" s="241">
        <v>10</v>
      </c>
      <c r="G1161" s="242">
        <v>11.48</v>
      </c>
      <c r="H1161" s="239">
        <f t="shared" si="1280"/>
        <v>22.96</v>
      </c>
      <c r="I1161" s="131">
        <f t="shared" si="1281"/>
        <v>0</v>
      </c>
      <c r="J1161" s="31">
        <f t="shared" si="1282"/>
        <v>0</v>
      </c>
      <c r="K1161" s="31">
        <f t="shared" si="1283"/>
        <v>0</v>
      </c>
      <c r="L1161" s="31">
        <f t="shared" si="1284"/>
        <v>0</v>
      </c>
      <c r="M1161" s="31">
        <f t="shared" si="1285"/>
        <v>14.166320000000001</v>
      </c>
      <c r="N1161" s="31">
        <f t="shared" si="1286"/>
        <v>0</v>
      </c>
      <c r="O1161" s="31">
        <f t="shared" si="1287"/>
        <v>0</v>
      </c>
      <c r="P1161" s="31">
        <f t="shared" si="1288"/>
        <v>0</v>
      </c>
      <c r="Q1161" s="49">
        <f t="shared" si="1289"/>
        <v>0</v>
      </c>
    </row>
    <row r="1162" spans="4:17" s="16" customFormat="1" ht="13.2" x14ac:dyDescent="0.25">
      <c r="D1162" s="235">
        <v>57</v>
      </c>
      <c r="E1162" s="240">
        <v>1</v>
      </c>
      <c r="F1162" s="241">
        <v>10</v>
      </c>
      <c r="G1162" s="242">
        <v>0.61</v>
      </c>
      <c r="H1162" s="239">
        <f t="shared" si="1280"/>
        <v>0.61</v>
      </c>
      <c r="I1162" s="131">
        <f t="shared" si="1281"/>
        <v>0</v>
      </c>
      <c r="J1162" s="31">
        <f t="shared" si="1282"/>
        <v>0</v>
      </c>
      <c r="K1162" s="31">
        <f t="shared" si="1283"/>
        <v>0</v>
      </c>
      <c r="L1162" s="31">
        <f t="shared" si="1284"/>
        <v>0</v>
      </c>
      <c r="M1162" s="31">
        <f t="shared" si="1285"/>
        <v>0.37636999999999998</v>
      </c>
      <c r="N1162" s="31">
        <f t="shared" si="1286"/>
        <v>0</v>
      </c>
      <c r="O1162" s="31">
        <f t="shared" si="1287"/>
        <v>0</v>
      </c>
      <c r="P1162" s="31">
        <f t="shared" si="1288"/>
        <v>0</v>
      </c>
      <c r="Q1162" s="49">
        <f t="shared" si="1289"/>
        <v>0</v>
      </c>
    </row>
    <row r="1163" spans="4:17" s="16" customFormat="1" ht="13.2" x14ac:dyDescent="0.25">
      <c r="D1163" s="235">
        <v>58</v>
      </c>
      <c r="E1163" s="240">
        <v>2</v>
      </c>
      <c r="F1163" s="241">
        <v>10</v>
      </c>
      <c r="G1163" s="242">
        <v>0.96</v>
      </c>
      <c r="H1163" s="239">
        <f t="shared" si="1280"/>
        <v>1.92</v>
      </c>
      <c r="I1163" s="131">
        <f t="shared" si="1281"/>
        <v>0</v>
      </c>
      <c r="J1163" s="31">
        <f t="shared" si="1282"/>
        <v>0</v>
      </c>
      <c r="K1163" s="31">
        <f t="shared" si="1283"/>
        <v>0</v>
      </c>
      <c r="L1163" s="31">
        <f t="shared" si="1284"/>
        <v>0</v>
      </c>
      <c r="M1163" s="31">
        <f t="shared" si="1285"/>
        <v>1.1846399999999999</v>
      </c>
      <c r="N1163" s="31">
        <f t="shared" si="1286"/>
        <v>0</v>
      </c>
      <c r="O1163" s="31">
        <f t="shared" si="1287"/>
        <v>0</v>
      </c>
      <c r="P1163" s="31">
        <f t="shared" si="1288"/>
        <v>0</v>
      </c>
      <c r="Q1163" s="49">
        <f t="shared" si="1289"/>
        <v>0</v>
      </c>
    </row>
    <row r="1164" spans="4:17" s="16" customFormat="1" ht="13.8" thickBot="1" x14ac:dyDescent="0.3">
      <c r="D1164" s="307"/>
      <c r="E1164" s="26"/>
      <c r="F1164" s="206"/>
      <c r="G1164" s="207"/>
      <c r="H1164" s="207"/>
      <c r="I1164" s="51"/>
      <c r="J1164" s="308"/>
      <c r="K1164" s="308"/>
      <c r="L1164" s="308"/>
      <c r="M1164" s="308"/>
      <c r="N1164" s="308"/>
      <c r="O1164" s="308"/>
      <c r="P1164" s="308"/>
      <c r="Q1164" s="309"/>
    </row>
    <row r="1165" spans="4:17" s="16" customFormat="1" ht="13.2" x14ac:dyDescent="0.25">
      <c r="D1165" s="796" t="s">
        <v>1783</v>
      </c>
      <c r="E1165" s="797"/>
      <c r="F1165" s="797"/>
      <c r="G1165" s="797"/>
      <c r="H1165" s="797"/>
      <c r="I1165" s="47">
        <f t="shared" ref="I1165:Q1165" si="1292">SUM(I1166:I1168)</f>
        <v>0</v>
      </c>
      <c r="J1165" s="47">
        <f t="shared" si="1292"/>
        <v>1.3444199999999999</v>
      </c>
      <c r="K1165" s="47">
        <f t="shared" si="1292"/>
        <v>0</v>
      </c>
      <c r="L1165" s="47">
        <f t="shared" si="1292"/>
        <v>3.6656000000000004</v>
      </c>
      <c r="M1165" s="47">
        <f t="shared" si="1292"/>
        <v>0</v>
      </c>
      <c r="N1165" s="47">
        <f t="shared" si="1292"/>
        <v>0</v>
      </c>
      <c r="O1165" s="47">
        <f t="shared" si="1292"/>
        <v>0</v>
      </c>
      <c r="P1165" s="47">
        <f t="shared" si="1292"/>
        <v>0</v>
      </c>
      <c r="Q1165" s="47">
        <f t="shared" si="1292"/>
        <v>0</v>
      </c>
    </row>
    <row r="1166" spans="4:17" s="16" customFormat="1" ht="13.2" x14ac:dyDescent="0.25">
      <c r="D1166" s="235">
        <v>1</v>
      </c>
      <c r="E1166" s="237">
        <v>9</v>
      </c>
      <c r="F1166" s="238">
        <v>5</v>
      </c>
      <c r="G1166" s="239">
        <v>0.97</v>
      </c>
      <c r="H1166" s="239">
        <f t="shared" ref="H1166:H1168" si="1293">E1166*G1166</f>
        <v>8.73</v>
      </c>
      <c r="I1166" s="131">
        <f t="shared" ref="I1166:I1168" si="1294">IF($F1166=4.2,H1166*$B$23,0)</f>
        <v>0</v>
      </c>
      <c r="J1166" s="31">
        <f t="shared" ref="J1166:J1168" si="1295">IF($F1166=5,$H1166*$B$24,0)</f>
        <v>1.3444199999999999</v>
      </c>
      <c r="K1166" s="31">
        <f t="shared" ref="K1166:K1168" si="1296">IF($F1166=6.3,$H1166*$B$25,0)</f>
        <v>0</v>
      </c>
      <c r="L1166" s="31">
        <f t="shared" ref="L1166:L1168" si="1297">IF($F1166=8,$H1166*$B$26,0)</f>
        <v>0</v>
      </c>
      <c r="M1166" s="31">
        <f t="shared" ref="M1166:M1168" si="1298">IF($F1166=10,$H1166*$B$27,0)</f>
        <v>0</v>
      </c>
      <c r="N1166" s="31">
        <f t="shared" ref="N1166:N1168" si="1299">IF($F1166=12.5,$H1166*$B$28,0)</f>
        <v>0</v>
      </c>
      <c r="O1166" s="31">
        <f t="shared" ref="O1166:O1168" si="1300">IF($F1166=16,$H1166*$B$29,0)</f>
        <v>0</v>
      </c>
      <c r="P1166" s="31">
        <f t="shared" ref="P1166:P1168" si="1301">IF($F1166=20,$H1166*$B$30,0)</f>
        <v>0</v>
      </c>
      <c r="Q1166" s="49">
        <f t="shared" ref="Q1166:Q1168" si="1302">IF($F1166=25,$H1166*$B$31,0)</f>
        <v>0</v>
      </c>
    </row>
    <row r="1167" spans="4:17" s="16" customFormat="1" ht="13.2" x14ac:dyDescent="0.25">
      <c r="D1167" s="235">
        <v>24</v>
      </c>
      <c r="E1167" s="240">
        <v>2</v>
      </c>
      <c r="F1167" s="241">
        <v>8</v>
      </c>
      <c r="G1167" s="242">
        <v>2.12</v>
      </c>
      <c r="H1167" s="239">
        <f t="shared" si="1293"/>
        <v>4.24</v>
      </c>
      <c r="I1167" s="131">
        <f t="shared" si="1294"/>
        <v>0</v>
      </c>
      <c r="J1167" s="31">
        <f t="shared" si="1295"/>
        <v>0</v>
      </c>
      <c r="K1167" s="31">
        <f t="shared" si="1296"/>
        <v>0</v>
      </c>
      <c r="L1167" s="31">
        <f t="shared" si="1297"/>
        <v>1.6748000000000001</v>
      </c>
      <c r="M1167" s="31">
        <f t="shared" si="1298"/>
        <v>0</v>
      </c>
      <c r="N1167" s="31">
        <f t="shared" si="1299"/>
        <v>0</v>
      </c>
      <c r="O1167" s="31">
        <f t="shared" si="1300"/>
        <v>0</v>
      </c>
      <c r="P1167" s="31">
        <f t="shared" si="1301"/>
        <v>0</v>
      </c>
      <c r="Q1167" s="49">
        <f t="shared" si="1302"/>
        <v>0</v>
      </c>
    </row>
    <row r="1168" spans="4:17" s="16" customFormat="1" ht="13.2" x14ac:dyDescent="0.25">
      <c r="D1168" s="235">
        <v>25</v>
      </c>
      <c r="E1168" s="240">
        <v>2</v>
      </c>
      <c r="F1168" s="241">
        <v>8</v>
      </c>
      <c r="G1168" s="242">
        <v>2.52</v>
      </c>
      <c r="H1168" s="239">
        <f t="shared" si="1293"/>
        <v>5.04</v>
      </c>
      <c r="I1168" s="131">
        <f t="shared" si="1294"/>
        <v>0</v>
      </c>
      <c r="J1168" s="31">
        <f t="shared" si="1295"/>
        <v>0</v>
      </c>
      <c r="K1168" s="31">
        <f t="shared" si="1296"/>
        <v>0</v>
      </c>
      <c r="L1168" s="31">
        <f t="shared" si="1297"/>
        <v>1.9908000000000001</v>
      </c>
      <c r="M1168" s="31">
        <f t="shared" si="1298"/>
        <v>0</v>
      </c>
      <c r="N1168" s="31">
        <f t="shared" si="1299"/>
        <v>0</v>
      </c>
      <c r="O1168" s="31">
        <f t="shared" si="1300"/>
        <v>0</v>
      </c>
      <c r="P1168" s="31">
        <f t="shared" si="1301"/>
        <v>0</v>
      </c>
      <c r="Q1168" s="49">
        <f t="shared" si="1302"/>
        <v>0</v>
      </c>
    </row>
    <row r="1169" spans="4:17" s="16" customFormat="1" ht="13.8" thickBot="1" x14ac:dyDescent="0.3">
      <c r="D1169" s="307"/>
      <c r="E1169" s="26"/>
      <c r="F1169" s="206"/>
      <c r="G1169" s="207"/>
      <c r="H1169" s="207"/>
      <c r="I1169" s="51"/>
      <c r="J1169" s="308"/>
      <c r="K1169" s="308"/>
      <c r="L1169" s="308"/>
      <c r="M1169" s="308"/>
      <c r="N1169" s="308"/>
      <c r="O1169" s="308"/>
      <c r="P1169" s="308"/>
      <c r="Q1169" s="309"/>
    </row>
    <row r="1170" spans="4:17" s="16" customFormat="1" ht="13.2" x14ac:dyDescent="0.25">
      <c r="D1170" s="796" t="s">
        <v>1784</v>
      </c>
      <c r="E1170" s="797"/>
      <c r="F1170" s="797"/>
      <c r="G1170" s="797"/>
      <c r="H1170" s="797"/>
      <c r="I1170" s="47">
        <f t="shared" ref="I1170:Q1170" si="1303">SUM(I1171:I1177)</f>
        <v>0</v>
      </c>
      <c r="J1170" s="47">
        <f t="shared" si="1303"/>
        <v>3.5851200000000003</v>
      </c>
      <c r="K1170" s="47">
        <f t="shared" si="1303"/>
        <v>0</v>
      </c>
      <c r="L1170" s="47">
        <f t="shared" si="1303"/>
        <v>6.64785</v>
      </c>
      <c r="M1170" s="47">
        <f t="shared" si="1303"/>
        <v>6.8857200000000001</v>
      </c>
      <c r="N1170" s="47">
        <f t="shared" si="1303"/>
        <v>0</v>
      </c>
      <c r="O1170" s="47">
        <f t="shared" si="1303"/>
        <v>0</v>
      </c>
      <c r="P1170" s="47">
        <f t="shared" si="1303"/>
        <v>0</v>
      </c>
      <c r="Q1170" s="47">
        <f t="shared" si="1303"/>
        <v>0</v>
      </c>
    </row>
    <row r="1171" spans="4:17" s="16" customFormat="1" ht="13.2" x14ac:dyDescent="0.25">
      <c r="D1171" s="235">
        <v>1</v>
      </c>
      <c r="E1171" s="237">
        <v>24</v>
      </c>
      <c r="F1171" s="238">
        <v>5</v>
      </c>
      <c r="G1171" s="239">
        <v>0.97</v>
      </c>
      <c r="H1171" s="239">
        <f t="shared" ref="H1171:H1177" si="1304">E1171*G1171</f>
        <v>23.28</v>
      </c>
      <c r="I1171" s="131">
        <f t="shared" ref="I1171:I1177" si="1305">IF($F1171=4.2,H1171*$B$23,0)</f>
        <v>0</v>
      </c>
      <c r="J1171" s="31">
        <f t="shared" ref="J1171:J1177" si="1306">IF($F1171=5,$H1171*$B$24,0)</f>
        <v>3.5851200000000003</v>
      </c>
      <c r="K1171" s="31">
        <f t="shared" ref="K1171:K1177" si="1307">IF($F1171=6.3,$H1171*$B$25,0)</f>
        <v>0</v>
      </c>
      <c r="L1171" s="31">
        <f t="shared" ref="L1171:L1177" si="1308">IF($F1171=8,$H1171*$B$26,0)</f>
        <v>0</v>
      </c>
      <c r="M1171" s="31">
        <f t="shared" ref="M1171:M1177" si="1309">IF($F1171=10,$H1171*$B$27,0)</f>
        <v>0</v>
      </c>
      <c r="N1171" s="31">
        <f t="shared" ref="N1171:N1177" si="1310">IF($F1171=12.5,$H1171*$B$28,0)</f>
        <v>0</v>
      </c>
      <c r="O1171" s="31">
        <f t="shared" ref="O1171:O1177" si="1311">IF($F1171=16,$H1171*$B$29,0)</f>
        <v>0</v>
      </c>
      <c r="P1171" s="31">
        <f t="shared" ref="P1171:P1177" si="1312">IF($F1171=20,$H1171*$B$30,0)</f>
        <v>0</v>
      </c>
      <c r="Q1171" s="49">
        <f t="shared" ref="Q1171:Q1177" si="1313">IF($F1171=25,$H1171*$B$31,0)</f>
        <v>0</v>
      </c>
    </row>
    <row r="1172" spans="4:17" s="16" customFormat="1" ht="13.2" x14ac:dyDescent="0.25">
      <c r="D1172" s="235">
        <v>26</v>
      </c>
      <c r="E1172" s="240">
        <v>1</v>
      </c>
      <c r="F1172" s="241">
        <v>8</v>
      </c>
      <c r="G1172" s="242">
        <v>0.97</v>
      </c>
      <c r="H1172" s="239">
        <f t="shared" si="1304"/>
        <v>0.97</v>
      </c>
      <c r="I1172" s="131">
        <f t="shared" si="1305"/>
        <v>0</v>
      </c>
      <c r="J1172" s="31">
        <f t="shared" si="1306"/>
        <v>0</v>
      </c>
      <c r="K1172" s="31">
        <f t="shared" si="1307"/>
        <v>0</v>
      </c>
      <c r="L1172" s="31">
        <f t="shared" si="1308"/>
        <v>0.38314999999999999</v>
      </c>
      <c r="M1172" s="31">
        <f t="shared" si="1309"/>
        <v>0</v>
      </c>
      <c r="N1172" s="31">
        <f t="shared" si="1310"/>
        <v>0</v>
      </c>
      <c r="O1172" s="31">
        <f t="shared" si="1311"/>
        <v>0</v>
      </c>
      <c r="P1172" s="31">
        <f t="shared" si="1312"/>
        <v>0</v>
      </c>
      <c r="Q1172" s="49">
        <f t="shared" si="1313"/>
        <v>0</v>
      </c>
    </row>
    <row r="1173" spans="4:17" s="16" customFormat="1" ht="13.2" x14ac:dyDescent="0.25">
      <c r="D1173" s="235">
        <v>27</v>
      </c>
      <c r="E1173" s="240">
        <v>1</v>
      </c>
      <c r="F1173" s="241">
        <v>8</v>
      </c>
      <c r="G1173" s="242">
        <v>1.77</v>
      </c>
      <c r="H1173" s="239">
        <f t="shared" si="1304"/>
        <v>1.77</v>
      </c>
      <c r="I1173" s="131">
        <f t="shared" si="1305"/>
        <v>0</v>
      </c>
      <c r="J1173" s="31">
        <f t="shared" si="1306"/>
        <v>0</v>
      </c>
      <c r="K1173" s="31">
        <f t="shared" si="1307"/>
        <v>0</v>
      </c>
      <c r="L1173" s="31">
        <f t="shared" si="1308"/>
        <v>0.69915000000000005</v>
      </c>
      <c r="M1173" s="31">
        <f t="shared" si="1309"/>
        <v>0</v>
      </c>
      <c r="N1173" s="31">
        <f t="shared" si="1310"/>
        <v>0</v>
      </c>
      <c r="O1173" s="31">
        <f t="shared" si="1311"/>
        <v>0</v>
      </c>
      <c r="P1173" s="31">
        <f t="shared" si="1312"/>
        <v>0</v>
      </c>
      <c r="Q1173" s="49">
        <f t="shared" si="1313"/>
        <v>0</v>
      </c>
    </row>
    <row r="1174" spans="4:17" s="16" customFormat="1" ht="13.2" x14ac:dyDescent="0.25">
      <c r="D1174" s="235">
        <v>28</v>
      </c>
      <c r="E1174" s="240">
        <v>1</v>
      </c>
      <c r="F1174" s="241">
        <v>8</v>
      </c>
      <c r="G1174" s="242">
        <v>1.32</v>
      </c>
      <c r="H1174" s="239">
        <f t="shared" si="1304"/>
        <v>1.32</v>
      </c>
      <c r="I1174" s="131">
        <f t="shared" si="1305"/>
        <v>0</v>
      </c>
      <c r="J1174" s="31">
        <f t="shared" si="1306"/>
        <v>0</v>
      </c>
      <c r="K1174" s="31">
        <f t="shared" si="1307"/>
        <v>0</v>
      </c>
      <c r="L1174" s="31">
        <f t="shared" si="1308"/>
        <v>0.52140000000000009</v>
      </c>
      <c r="M1174" s="31">
        <f t="shared" si="1309"/>
        <v>0</v>
      </c>
      <c r="N1174" s="31">
        <f t="shared" si="1310"/>
        <v>0</v>
      </c>
      <c r="O1174" s="31">
        <f t="shared" si="1311"/>
        <v>0</v>
      </c>
      <c r="P1174" s="31">
        <f t="shared" si="1312"/>
        <v>0</v>
      </c>
      <c r="Q1174" s="49">
        <f t="shared" si="1313"/>
        <v>0</v>
      </c>
    </row>
    <row r="1175" spans="4:17" s="16" customFormat="1" ht="13.2" x14ac:dyDescent="0.25">
      <c r="D1175" s="235">
        <v>29</v>
      </c>
      <c r="E1175" s="240">
        <v>1</v>
      </c>
      <c r="F1175" s="241">
        <v>8</v>
      </c>
      <c r="G1175" s="242">
        <v>1.35</v>
      </c>
      <c r="H1175" s="239">
        <f t="shared" si="1304"/>
        <v>1.35</v>
      </c>
      <c r="I1175" s="131">
        <f t="shared" si="1305"/>
        <v>0</v>
      </c>
      <c r="J1175" s="31">
        <f t="shared" si="1306"/>
        <v>0</v>
      </c>
      <c r="K1175" s="31">
        <f t="shared" si="1307"/>
        <v>0</v>
      </c>
      <c r="L1175" s="31">
        <f t="shared" si="1308"/>
        <v>0.53325000000000011</v>
      </c>
      <c r="M1175" s="31">
        <f t="shared" si="1309"/>
        <v>0</v>
      </c>
      <c r="N1175" s="31">
        <f t="shared" si="1310"/>
        <v>0</v>
      </c>
      <c r="O1175" s="31">
        <f t="shared" si="1311"/>
        <v>0</v>
      </c>
      <c r="P1175" s="31">
        <f t="shared" si="1312"/>
        <v>0</v>
      </c>
      <c r="Q1175" s="49">
        <f t="shared" si="1313"/>
        <v>0</v>
      </c>
    </row>
    <row r="1176" spans="4:17" s="16" customFormat="1" ht="13.2" x14ac:dyDescent="0.25">
      <c r="D1176" s="235">
        <v>30</v>
      </c>
      <c r="E1176" s="240">
        <v>2</v>
      </c>
      <c r="F1176" s="241">
        <v>8</v>
      </c>
      <c r="G1176" s="242">
        <v>5.71</v>
      </c>
      <c r="H1176" s="239">
        <f t="shared" si="1304"/>
        <v>11.42</v>
      </c>
      <c r="I1176" s="131">
        <f t="shared" si="1305"/>
        <v>0</v>
      </c>
      <c r="J1176" s="31">
        <f t="shared" si="1306"/>
        <v>0</v>
      </c>
      <c r="K1176" s="31">
        <f t="shared" si="1307"/>
        <v>0</v>
      </c>
      <c r="L1176" s="31">
        <f t="shared" si="1308"/>
        <v>4.5109000000000004</v>
      </c>
      <c r="M1176" s="31">
        <f t="shared" si="1309"/>
        <v>0</v>
      </c>
      <c r="N1176" s="31">
        <f t="shared" si="1310"/>
        <v>0</v>
      </c>
      <c r="O1176" s="31">
        <f t="shared" si="1311"/>
        <v>0</v>
      </c>
      <c r="P1176" s="31">
        <f t="shared" si="1312"/>
        <v>0</v>
      </c>
      <c r="Q1176" s="49">
        <f t="shared" si="1313"/>
        <v>0</v>
      </c>
    </row>
    <row r="1177" spans="4:17" s="16" customFormat="1" ht="13.2" x14ac:dyDescent="0.25">
      <c r="D1177" s="235">
        <v>59</v>
      </c>
      <c r="E1177" s="240">
        <v>2</v>
      </c>
      <c r="F1177" s="241">
        <v>10</v>
      </c>
      <c r="G1177" s="242">
        <v>5.58</v>
      </c>
      <c r="H1177" s="239">
        <f t="shared" si="1304"/>
        <v>11.16</v>
      </c>
      <c r="I1177" s="131">
        <f t="shared" si="1305"/>
        <v>0</v>
      </c>
      <c r="J1177" s="31">
        <f t="shared" si="1306"/>
        <v>0</v>
      </c>
      <c r="K1177" s="31">
        <f t="shared" si="1307"/>
        <v>0</v>
      </c>
      <c r="L1177" s="31">
        <f t="shared" si="1308"/>
        <v>0</v>
      </c>
      <c r="M1177" s="31">
        <f t="shared" si="1309"/>
        <v>6.8857200000000001</v>
      </c>
      <c r="N1177" s="31">
        <f t="shared" si="1310"/>
        <v>0</v>
      </c>
      <c r="O1177" s="31">
        <f t="shared" si="1311"/>
        <v>0</v>
      </c>
      <c r="P1177" s="31">
        <f t="shared" si="1312"/>
        <v>0</v>
      </c>
      <c r="Q1177" s="49">
        <f t="shared" si="1313"/>
        <v>0</v>
      </c>
    </row>
    <row r="1178" spans="4:17" s="16" customFormat="1" ht="13.8" thickBot="1" x14ac:dyDescent="0.3">
      <c r="D1178" s="307"/>
      <c r="E1178" s="26"/>
      <c r="F1178" s="206"/>
      <c r="G1178" s="207"/>
      <c r="H1178" s="207"/>
      <c r="I1178" s="51"/>
      <c r="J1178" s="308"/>
      <c r="K1178" s="308"/>
      <c r="L1178" s="308"/>
      <c r="M1178" s="308"/>
      <c r="N1178" s="308"/>
      <c r="O1178" s="308"/>
      <c r="P1178" s="308"/>
      <c r="Q1178" s="309"/>
    </row>
    <row r="1179" spans="4:17" s="16" customFormat="1" ht="13.2" x14ac:dyDescent="0.25">
      <c r="D1179" s="796" t="s">
        <v>1785</v>
      </c>
      <c r="E1179" s="797"/>
      <c r="F1179" s="797"/>
      <c r="G1179" s="797"/>
      <c r="H1179" s="797"/>
      <c r="I1179" s="47">
        <f t="shared" ref="I1179:Q1179" si="1314">SUM(I1180:I1185)</f>
        <v>0</v>
      </c>
      <c r="J1179" s="47">
        <f t="shared" si="1314"/>
        <v>3.1369800000000003</v>
      </c>
      <c r="K1179" s="47">
        <f t="shared" si="1314"/>
        <v>0</v>
      </c>
      <c r="L1179" s="47">
        <f t="shared" si="1314"/>
        <v>9.3931000000000004</v>
      </c>
      <c r="M1179" s="47">
        <f t="shared" si="1314"/>
        <v>0</v>
      </c>
      <c r="N1179" s="47">
        <f t="shared" si="1314"/>
        <v>0</v>
      </c>
      <c r="O1179" s="47">
        <f t="shared" si="1314"/>
        <v>0</v>
      </c>
      <c r="P1179" s="47">
        <f t="shared" si="1314"/>
        <v>0</v>
      </c>
      <c r="Q1179" s="47">
        <f t="shared" si="1314"/>
        <v>0</v>
      </c>
    </row>
    <row r="1180" spans="4:17" s="16" customFormat="1" ht="13.2" x14ac:dyDescent="0.25">
      <c r="D1180" s="235">
        <v>1</v>
      </c>
      <c r="E1180" s="237">
        <v>21</v>
      </c>
      <c r="F1180" s="238">
        <v>5</v>
      </c>
      <c r="G1180" s="239">
        <v>0.97</v>
      </c>
      <c r="H1180" s="239">
        <f t="shared" ref="H1180:H1185" si="1315">E1180*G1180</f>
        <v>20.37</v>
      </c>
      <c r="I1180" s="131">
        <f t="shared" ref="I1180:I1185" si="1316">IF($F1180=4.2,H1180*$B$23,0)</f>
        <v>0</v>
      </c>
      <c r="J1180" s="31">
        <f t="shared" ref="J1180:J1185" si="1317">IF($F1180=5,$H1180*$B$24,0)</f>
        <v>3.1369800000000003</v>
      </c>
      <c r="K1180" s="31">
        <f t="shared" ref="K1180:K1185" si="1318">IF($F1180=6.3,$H1180*$B$25,0)</f>
        <v>0</v>
      </c>
      <c r="L1180" s="31">
        <f t="shared" ref="L1180:L1185" si="1319">IF($F1180=8,$H1180*$B$26,0)</f>
        <v>0</v>
      </c>
      <c r="M1180" s="31">
        <f t="shared" ref="M1180:M1185" si="1320">IF($F1180=10,$H1180*$B$27,0)</f>
        <v>0</v>
      </c>
      <c r="N1180" s="31">
        <f t="shared" ref="N1180:N1185" si="1321">IF($F1180=12.5,$H1180*$B$28,0)</f>
        <v>0</v>
      </c>
      <c r="O1180" s="31">
        <f t="shared" ref="O1180:O1185" si="1322">IF($F1180=16,$H1180*$B$29,0)</f>
        <v>0</v>
      </c>
      <c r="P1180" s="31">
        <f t="shared" ref="P1180:P1185" si="1323">IF($F1180=20,$H1180*$B$30,0)</f>
        <v>0</v>
      </c>
      <c r="Q1180" s="49">
        <f t="shared" ref="Q1180:Q1185" si="1324">IF($F1180=25,$H1180*$B$31,0)</f>
        <v>0</v>
      </c>
    </row>
    <row r="1181" spans="4:17" s="16" customFormat="1" ht="13.2" x14ac:dyDescent="0.25">
      <c r="D1181" s="235">
        <v>31</v>
      </c>
      <c r="E1181" s="240">
        <v>1</v>
      </c>
      <c r="F1181" s="241">
        <v>8</v>
      </c>
      <c r="G1181" s="242">
        <v>1.95</v>
      </c>
      <c r="H1181" s="239">
        <f t="shared" si="1315"/>
        <v>1.95</v>
      </c>
      <c r="I1181" s="131">
        <f t="shared" si="1316"/>
        <v>0</v>
      </c>
      <c r="J1181" s="31">
        <f t="shared" si="1317"/>
        <v>0</v>
      </c>
      <c r="K1181" s="31">
        <f t="shared" si="1318"/>
        <v>0</v>
      </c>
      <c r="L1181" s="31">
        <f t="shared" si="1319"/>
        <v>0.77024999999999999</v>
      </c>
      <c r="M1181" s="31">
        <f t="shared" si="1320"/>
        <v>0</v>
      </c>
      <c r="N1181" s="31">
        <f t="shared" si="1321"/>
        <v>0</v>
      </c>
      <c r="O1181" s="31">
        <f t="shared" si="1322"/>
        <v>0</v>
      </c>
      <c r="P1181" s="31">
        <f t="shared" si="1323"/>
        <v>0</v>
      </c>
      <c r="Q1181" s="49">
        <f t="shared" si="1324"/>
        <v>0</v>
      </c>
    </row>
    <row r="1182" spans="4:17" s="16" customFormat="1" ht="13.2" x14ac:dyDescent="0.25">
      <c r="D1182" s="235">
        <v>32</v>
      </c>
      <c r="E1182" s="240">
        <v>2</v>
      </c>
      <c r="F1182" s="241">
        <v>8</v>
      </c>
      <c r="G1182" s="242">
        <v>4.8</v>
      </c>
      <c r="H1182" s="239">
        <f t="shared" si="1315"/>
        <v>9.6</v>
      </c>
      <c r="I1182" s="131">
        <f t="shared" si="1316"/>
        <v>0</v>
      </c>
      <c r="J1182" s="31">
        <f t="shared" si="1317"/>
        <v>0</v>
      </c>
      <c r="K1182" s="31">
        <f t="shared" si="1318"/>
        <v>0</v>
      </c>
      <c r="L1182" s="31">
        <f t="shared" si="1319"/>
        <v>3.7919999999999998</v>
      </c>
      <c r="M1182" s="31">
        <f t="shared" si="1320"/>
        <v>0</v>
      </c>
      <c r="N1182" s="31">
        <f t="shared" si="1321"/>
        <v>0</v>
      </c>
      <c r="O1182" s="31">
        <f t="shared" si="1322"/>
        <v>0</v>
      </c>
      <c r="P1182" s="31">
        <f t="shared" si="1323"/>
        <v>0</v>
      </c>
      <c r="Q1182" s="49">
        <f t="shared" si="1324"/>
        <v>0</v>
      </c>
    </row>
    <row r="1183" spans="4:17" s="16" customFormat="1" ht="13.2" x14ac:dyDescent="0.25">
      <c r="D1183" s="235">
        <v>33</v>
      </c>
      <c r="E1183" s="240">
        <v>1</v>
      </c>
      <c r="F1183" s="241">
        <v>8</v>
      </c>
      <c r="G1183" s="242">
        <v>0.89</v>
      </c>
      <c r="H1183" s="239">
        <f t="shared" si="1315"/>
        <v>0.89</v>
      </c>
      <c r="I1183" s="131">
        <f t="shared" si="1316"/>
        <v>0</v>
      </c>
      <c r="J1183" s="31">
        <f t="shared" si="1317"/>
        <v>0</v>
      </c>
      <c r="K1183" s="31">
        <f t="shared" si="1318"/>
        <v>0</v>
      </c>
      <c r="L1183" s="31">
        <f t="shared" si="1319"/>
        <v>0.35155000000000003</v>
      </c>
      <c r="M1183" s="31">
        <f t="shared" si="1320"/>
        <v>0</v>
      </c>
      <c r="N1183" s="31">
        <f t="shared" si="1321"/>
        <v>0</v>
      </c>
      <c r="O1183" s="31">
        <f t="shared" si="1322"/>
        <v>0</v>
      </c>
      <c r="P1183" s="31">
        <f t="shared" si="1323"/>
        <v>0</v>
      </c>
      <c r="Q1183" s="49">
        <f t="shared" si="1324"/>
        <v>0</v>
      </c>
    </row>
    <row r="1184" spans="4:17" s="16" customFormat="1" ht="13.2" x14ac:dyDescent="0.25">
      <c r="D1184" s="235">
        <v>34</v>
      </c>
      <c r="E1184" s="240">
        <v>1</v>
      </c>
      <c r="F1184" s="241">
        <v>8</v>
      </c>
      <c r="G1184" s="242">
        <v>1.52</v>
      </c>
      <c r="H1184" s="239">
        <f t="shared" si="1315"/>
        <v>1.52</v>
      </c>
      <c r="I1184" s="131">
        <f t="shared" si="1316"/>
        <v>0</v>
      </c>
      <c r="J1184" s="31">
        <f t="shared" si="1317"/>
        <v>0</v>
      </c>
      <c r="K1184" s="31">
        <f t="shared" si="1318"/>
        <v>0</v>
      </c>
      <c r="L1184" s="31">
        <f t="shared" si="1319"/>
        <v>0.60040000000000004</v>
      </c>
      <c r="M1184" s="31">
        <f t="shared" si="1320"/>
        <v>0</v>
      </c>
      <c r="N1184" s="31">
        <f t="shared" si="1321"/>
        <v>0</v>
      </c>
      <c r="O1184" s="31">
        <f t="shared" si="1322"/>
        <v>0</v>
      </c>
      <c r="P1184" s="31">
        <f t="shared" si="1323"/>
        <v>0</v>
      </c>
      <c r="Q1184" s="49">
        <f t="shared" si="1324"/>
        <v>0</v>
      </c>
    </row>
    <row r="1185" spans="4:17" s="16" customFormat="1" ht="13.2" x14ac:dyDescent="0.25">
      <c r="D1185" s="235">
        <v>35</v>
      </c>
      <c r="E1185" s="240">
        <v>2</v>
      </c>
      <c r="F1185" s="241">
        <v>8</v>
      </c>
      <c r="G1185" s="242">
        <v>4.91</v>
      </c>
      <c r="H1185" s="239">
        <f t="shared" si="1315"/>
        <v>9.82</v>
      </c>
      <c r="I1185" s="131">
        <f t="shared" si="1316"/>
        <v>0</v>
      </c>
      <c r="J1185" s="31">
        <f t="shared" si="1317"/>
        <v>0</v>
      </c>
      <c r="K1185" s="31">
        <f t="shared" si="1318"/>
        <v>0</v>
      </c>
      <c r="L1185" s="31">
        <f t="shared" si="1319"/>
        <v>3.8789000000000002</v>
      </c>
      <c r="M1185" s="31">
        <f t="shared" si="1320"/>
        <v>0</v>
      </c>
      <c r="N1185" s="31">
        <f t="shared" si="1321"/>
        <v>0</v>
      </c>
      <c r="O1185" s="31">
        <f t="shared" si="1322"/>
        <v>0</v>
      </c>
      <c r="P1185" s="31">
        <f t="shared" si="1323"/>
        <v>0</v>
      </c>
      <c r="Q1185" s="49">
        <f t="shared" si="1324"/>
        <v>0</v>
      </c>
    </row>
    <row r="1186" spans="4:17" s="16" customFormat="1" ht="13.8" thickBot="1" x14ac:dyDescent="0.3">
      <c r="D1186" s="307"/>
      <c r="E1186" s="26"/>
      <c r="F1186" s="206"/>
      <c r="G1186" s="207"/>
      <c r="H1186" s="207"/>
      <c r="I1186" s="51"/>
      <c r="J1186" s="308"/>
      <c r="K1186" s="308"/>
      <c r="L1186" s="308"/>
      <c r="M1186" s="308"/>
      <c r="N1186" s="308"/>
      <c r="O1186" s="308"/>
      <c r="P1186" s="308"/>
      <c r="Q1186" s="309"/>
    </row>
    <row r="1187" spans="4:17" s="16" customFormat="1" ht="13.2" x14ac:dyDescent="0.25">
      <c r="D1187" s="796" t="s">
        <v>1786</v>
      </c>
      <c r="E1187" s="797"/>
      <c r="F1187" s="797"/>
      <c r="G1187" s="797"/>
      <c r="H1187" s="797"/>
      <c r="I1187" s="47">
        <f t="shared" ref="I1187:Q1187" si="1325">SUM(I1188:I1191)</f>
        <v>0</v>
      </c>
      <c r="J1187" s="47">
        <f t="shared" si="1325"/>
        <v>5.5270599999999996</v>
      </c>
      <c r="K1187" s="47">
        <f t="shared" si="1325"/>
        <v>0</v>
      </c>
      <c r="L1187" s="47">
        <f t="shared" si="1325"/>
        <v>7.220600000000001</v>
      </c>
      <c r="M1187" s="47">
        <f t="shared" si="1325"/>
        <v>9.98306</v>
      </c>
      <c r="N1187" s="47">
        <f t="shared" si="1325"/>
        <v>0</v>
      </c>
      <c r="O1187" s="47">
        <f t="shared" si="1325"/>
        <v>0</v>
      </c>
      <c r="P1187" s="47">
        <f t="shared" si="1325"/>
        <v>0</v>
      </c>
      <c r="Q1187" s="47">
        <f t="shared" si="1325"/>
        <v>0</v>
      </c>
    </row>
    <row r="1188" spans="4:17" s="16" customFormat="1" ht="13.2" x14ac:dyDescent="0.25">
      <c r="D1188" s="235">
        <v>1</v>
      </c>
      <c r="E1188" s="237">
        <v>37</v>
      </c>
      <c r="F1188" s="238">
        <v>5</v>
      </c>
      <c r="G1188" s="239">
        <v>0.97</v>
      </c>
      <c r="H1188" s="239">
        <f t="shared" ref="H1188:H1191" si="1326">E1188*G1188</f>
        <v>35.89</v>
      </c>
      <c r="I1188" s="131">
        <f t="shared" ref="I1188:I1191" si="1327">IF($F1188=4.2,H1188*$B$23,0)</f>
        <v>0</v>
      </c>
      <c r="J1188" s="31">
        <f t="shared" ref="J1188:J1191" si="1328">IF($F1188=5,$H1188*$B$24,0)</f>
        <v>5.5270599999999996</v>
      </c>
      <c r="K1188" s="31">
        <f t="shared" ref="K1188:K1191" si="1329">IF($F1188=6.3,$H1188*$B$25,0)</f>
        <v>0</v>
      </c>
      <c r="L1188" s="31">
        <f t="shared" ref="L1188:L1191" si="1330">IF($F1188=8,$H1188*$B$26,0)</f>
        <v>0</v>
      </c>
      <c r="M1188" s="31">
        <f t="shared" ref="M1188:M1191" si="1331">IF($F1188=10,$H1188*$B$27,0)</f>
        <v>0</v>
      </c>
      <c r="N1188" s="31">
        <f t="shared" ref="N1188:N1191" si="1332">IF($F1188=12.5,$H1188*$B$28,0)</f>
        <v>0</v>
      </c>
      <c r="O1188" s="31">
        <f t="shared" ref="O1188:O1191" si="1333">IF($F1188=16,$H1188*$B$29,0)</f>
        <v>0</v>
      </c>
      <c r="P1188" s="31">
        <f t="shared" ref="P1188:P1191" si="1334">IF($F1188=20,$H1188*$B$30,0)</f>
        <v>0</v>
      </c>
      <c r="Q1188" s="49">
        <f t="shared" ref="Q1188:Q1191" si="1335">IF($F1188=25,$H1188*$B$31,0)</f>
        <v>0</v>
      </c>
    </row>
    <row r="1189" spans="4:17" s="16" customFormat="1" ht="13.2" x14ac:dyDescent="0.25">
      <c r="D1189" s="235">
        <v>36</v>
      </c>
      <c r="E1189" s="240">
        <v>1</v>
      </c>
      <c r="F1189" s="241">
        <v>8</v>
      </c>
      <c r="G1189" s="242">
        <v>1.3</v>
      </c>
      <c r="H1189" s="239">
        <f t="shared" si="1326"/>
        <v>1.3</v>
      </c>
      <c r="I1189" s="131">
        <f t="shared" si="1327"/>
        <v>0</v>
      </c>
      <c r="J1189" s="31">
        <f t="shared" si="1328"/>
        <v>0</v>
      </c>
      <c r="K1189" s="31">
        <f t="shared" si="1329"/>
        <v>0</v>
      </c>
      <c r="L1189" s="31">
        <f t="shared" si="1330"/>
        <v>0.51350000000000007</v>
      </c>
      <c r="M1189" s="31">
        <f t="shared" si="1331"/>
        <v>0</v>
      </c>
      <c r="N1189" s="31">
        <f t="shared" si="1332"/>
        <v>0</v>
      </c>
      <c r="O1189" s="31">
        <f t="shared" si="1333"/>
        <v>0</v>
      </c>
      <c r="P1189" s="31">
        <f t="shared" si="1334"/>
        <v>0</v>
      </c>
      <c r="Q1189" s="49">
        <f t="shared" si="1335"/>
        <v>0</v>
      </c>
    </row>
    <row r="1190" spans="4:17" s="16" customFormat="1" ht="13.2" x14ac:dyDescent="0.25">
      <c r="D1190" s="235">
        <v>37</v>
      </c>
      <c r="E1190" s="240">
        <v>2</v>
      </c>
      <c r="F1190" s="241">
        <v>8</v>
      </c>
      <c r="G1190" s="242">
        <v>8.49</v>
      </c>
      <c r="H1190" s="239">
        <f t="shared" si="1326"/>
        <v>16.98</v>
      </c>
      <c r="I1190" s="131">
        <f t="shared" si="1327"/>
        <v>0</v>
      </c>
      <c r="J1190" s="31">
        <f t="shared" si="1328"/>
        <v>0</v>
      </c>
      <c r="K1190" s="31">
        <f t="shared" si="1329"/>
        <v>0</v>
      </c>
      <c r="L1190" s="31">
        <f t="shared" si="1330"/>
        <v>6.7071000000000005</v>
      </c>
      <c r="M1190" s="31">
        <f t="shared" si="1331"/>
        <v>0</v>
      </c>
      <c r="N1190" s="31">
        <f t="shared" si="1332"/>
        <v>0</v>
      </c>
      <c r="O1190" s="31">
        <f t="shared" si="1333"/>
        <v>0</v>
      </c>
      <c r="P1190" s="31">
        <f t="shared" si="1334"/>
        <v>0</v>
      </c>
      <c r="Q1190" s="49">
        <f t="shared" si="1335"/>
        <v>0</v>
      </c>
    </row>
    <row r="1191" spans="4:17" s="16" customFormat="1" ht="13.2" x14ac:dyDescent="0.25">
      <c r="D1191" s="235">
        <v>60</v>
      </c>
      <c r="E1191" s="240">
        <v>2</v>
      </c>
      <c r="F1191" s="241">
        <v>10</v>
      </c>
      <c r="G1191" s="242">
        <v>8.09</v>
      </c>
      <c r="H1191" s="239">
        <f t="shared" si="1326"/>
        <v>16.18</v>
      </c>
      <c r="I1191" s="131">
        <f t="shared" si="1327"/>
        <v>0</v>
      </c>
      <c r="J1191" s="31">
        <f t="shared" si="1328"/>
        <v>0</v>
      </c>
      <c r="K1191" s="31">
        <f t="shared" si="1329"/>
        <v>0</v>
      </c>
      <c r="L1191" s="31">
        <f t="shared" si="1330"/>
        <v>0</v>
      </c>
      <c r="M1191" s="31">
        <f t="shared" si="1331"/>
        <v>9.98306</v>
      </c>
      <c r="N1191" s="31">
        <f t="shared" si="1332"/>
        <v>0</v>
      </c>
      <c r="O1191" s="31">
        <f t="shared" si="1333"/>
        <v>0</v>
      </c>
      <c r="P1191" s="31">
        <f t="shared" si="1334"/>
        <v>0</v>
      </c>
      <c r="Q1191" s="49">
        <f t="shared" si="1335"/>
        <v>0</v>
      </c>
    </row>
    <row r="1192" spans="4:17" s="16" customFormat="1" ht="13.8" thickBot="1" x14ac:dyDescent="0.3">
      <c r="D1192" s="307"/>
      <c r="E1192" s="26"/>
      <c r="F1192" s="206"/>
      <c r="G1192" s="207"/>
      <c r="H1192" s="207"/>
      <c r="I1192" s="51"/>
      <c r="J1192" s="308"/>
      <c r="K1192" s="308"/>
      <c r="L1192" s="308"/>
      <c r="M1192" s="308"/>
      <c r="N1192" s="308"/>
      <c r="O1192" s="308"/>
      <c r="P1192" s="308"/>
      <c r="Q1192" s="309"/>
    </row>
    <row r="1193" spans="4:17" s="16" customFormat="1" ht="13.2" x14ac:dyDescent="0.25">
      <c r="D1193" s="796" t="s">
        <v>1787</v>
      </c>
      <c r="E1193" s="797"/>
      <c r="F1193" s="797"/>
      <c r="G1193" s="797"/>
      <c r="H1193" s="797"/>
      <c r="I1193" s="47">
        <f t="shared" ref="I1193:Q1193" si="1336">SUM(I1194:I1197)</f>
        <v>0</v>
      </c>
      <c r="J1193" s="47">
        <f t="shared" si="1336"/>
        <v>2.6888399999999999</v>
      </c>
      <c r="K1193" s="47">
        <f t="shared" si="1336"/>
        <v>0</v>
      </c>
      <c r="L1193" s="47">
        <f t="shared" si="1336"/>
        <v>6.8888000000000007</v>
      </c>
      <c r="M1193" s="47">
        <f t="shared" si="1336"/>
        <v>0</v>
      </c>
      <c r="N1193" s="47">
        <f t="shared" si="1336"/>
        <v>0</v>
      </c>
      <c r="O1193" s="47">
        <f t="shared" si="1336"/>
        <v>0</v>
      </c>
      <c r="P1193" s="47">
        <f t="shared" si="1336"/>
        <v>0</v>
      </c>
      <c r="Q1193" s="47">
        <f t="shared" si="1336"/>
        <v>0</v>
      </c>
    </row>
    <row r="1194" spans="4:17" s="16" customFormat="1" ht="13.2" x14ac:dyDescent="0.25">
      <c r="D1194" s="235">
        <v>1</v>
      </c>
      <c r="E1194" s="237">
        <v>18</v>
      </c>
      <c r="F1194" s="238">
        <v>5</v>
      </c>
      <c r="G1194" s="239">
        <v>0.97</v>
      </c>
      <c r="H1194" s="239">
        <f t="shared" ref="H1194:H1197" si="1337">E1194*G1194</f>
        <v>17.46</v>
      </c>
      <c r="I1194" s="131">
        <f t="shared" ref="I1194:I1197" si="1338">IF($F1194=4.2,H1194*$B$23,0)</f>
        <v>0</v>
      </c>
      <c r="J1194" s="31">
        <f t="shared" ref="J1194:J1197" si="1339">IF($F1194=5,$H1194*$B$24,0)</f>
        <v>2.6888399999999999</v>
      </c>
      <c r="K1194" s="31">
        <f t="shared" ref="K1194:K1197" si="1340">IF($F1194=6.3,$H1194*$B$25,0)</f>
        <v>0</v>
      </c>
      <c r="L1194" s="31">
        <f t="shared" ref="L1194:L1197" si="1341">IF($F1194=8,$H1194*$B$26,0)</f>
        <v>0</v>
      </c>
      <c r="M1194" s="31">
        <f t="shared" ref="M1194:M1197" si="1342">IF($F1194=10,$H1194*$B$27,0)</f>
        <v>0</v>
      </c>
      <c r="N1194" s="31">
        <f t="shared" ref="N1194:N1197" si="1343">IF($F1194=12.5,$H1194*$B$28,0)</f>
        <v>0</v>
      </c>
      <c r="O1194" s="31">
        <f t="shared" ref="O1194:O1197" si="1344">IF($F1194=16,$H1194*$B$29,0)</f>
        <v>0</v>
      </c>
      <c r="P1194" s="31">
        <f t="shared" ref="P1194:P1197" si="1345">IF($F1194=20,$H1194*$B$30,0)</f>
        <v>0</v>
      </c>
      <c r="Q1194" s="49">
        <f t="shared" ref="Q1194:Q1197" si="1346">IF($F1194=25,$H1194*$B$31,0)</f>
        <v>0</v>
      </c>
    </row>
    <row r="1195" spans="4:17" s="16" customFormat="1" ht="13.2" x14ac:dyDescent="0.25">
      <c r="D1195" s="235">
        <v>38</v>
      </c>
      <c r="E1195" s="240">
        <v>2</v>
      </c>
      <c r="F1195" s="241">
        <v>8</v>
      </c>
      <c r="G1195" s="242">
        <v>4.12</v>
      </c>
      <c r="H1195" s="239">
        <f t="shared" si="1337"/>
        <v>8.24</v>
      </c>
      <c r="I1195" s="131">
        <f t="shared" si="1338"/>
        <v>0</v>
      </c>
      <c r="J1195" s="31">
        <f t="shared" si="1339"/>
        <v>0</v>
      </c>
      <c r="K1195" s="31">
        <f t="shared" si="1340"/>
        <v>0</v>
      </c>
      <c r="L1195" s="31">
        <f t="shared" si="1341"/>
        <v>3.2548000000000004</v>
      </c>
      <c r="M1195" s="31">
        <f t="shared" si="1342"/>
        <v>0</v>
      </c>
      <c r="N1195" s="31">
        <f t="shared" si="1343"/>
        <v>0</v>
      </c>
      <c r="O1195" s="31">
        <f t="shared" si="1344"/>
        <v>0</v>
      </c>
      <c r="P1195" s="31">
        <f t="shared" si="1345"/>
        <v>0</v>
      </c>
      <c r="Q1195" s="49">
        <f t="shared" si="1346"/>
        <v>0</v>
      </c>
    </row>
    <row r="1196" spans="4:17" s="16" customFormat="1" ht="13.2" x14ac:dyDescent="0.25">
      <c r="D1196" s="235">
        <v>39</v>
      </c>
      <c r="E1196" s="240">
        <v>1</v>
      </c>
      <c r="F1196" s="241">
        <v>8</v>
      </c>
      <c r="G1196" s="242">
        <v>0.8</v>
      </c>
      <c r="H1196" s="239">
        <f t="shared" si="1337"/>
        <v>0.8</v>
      </c>
      <c r="I1196" s="131">
        <f t="shared" si="1338"/>
        <v>0</v>
      </c>
      <c r="J1196" s="31">
        <f t="shared" si="1339"/>
        <v>0</v>
      </c>
      <c r="K1196" s="31">
        <f t="shared" si="1340"/>
        <v>0</v>
      </c>
      <c r="L1196" s="31">
        <f t="shared" si="1341"/>
        <v>0.31600000000000006</v>
      </c>
      <c r="M1196" s="31">
        <f t="shared" si="1342"/>
        <v>0</v>
      </c>
      <c r="N1196" s="31">
        <f t="shared" si="1343"/>
        <v>0</v>
      </c>
      <c r="O1196" s="31">
        <f t="shared" si="1344"/>
        <v>0</v>
      </c>
      <c r="P1196" s="31">
        <f t="shared" si="1345"/>
        <v>0</v>
      </c>
      <c r="Q1196" s="49">
        <f t="shared" si="1346"/>
        <v>0</v>
      </c>
    </row>
    <row r="1197" spans="4:17" s="16" customFormat="1" ht="13.2" x14ac:dyDescent="0.25">
      <c r="D1197" s="235">
        <v>40</v>
      </c>
      <c r="E1197" s="240">
        <v>2</v>
      </c>
      <c r="F1197" s="241">
        <v>8</v>
      </c>
      <c r="G1197" s="242">
        <v>4.2</v>
      </c>
      <c r="H1197" s="239">
        <f t="shared" si="1337"/>
        <v>8.4</v>
      </c>
      <c r="I1197" s="131">
        <f t="shared" si="1338"/>
        <v>0</v>
      </c>
      <c r="J1197" s="31">
        <f t="shared" si="1339"/>
        <v>0</v>
      </c>
      <c r="K1197" s="31">
        <f t="shared" si="1340"/>
        <v>0</v>
      </c>
      <c r="L1197" s="31">
        <f t="shared" si="1341"/>
        <v>3.3180000000000005</v>
      </c>
      <c r="M1197" s="31">
        <f t="shared" si="1342"/>
        <v>0</v>
      </c>
      <c r="N1197" s="31">
        <f t="shared" si="1343"/>
        <v>0</v>
      </c>
      <c r="O1197" s="31">
        <f t="shared" si="1344"/>
        <v>0</v>
      </c>
      <c r="P1197" s="31">
        <f t="shared" si="1345"/>
        <v>0</v>
      </c>
      <c r="Q1197" s="49">
        <f t="shared" si="1346"/>
        <v>0</v>
      </c>
    </row>
    <row r="1198" spans="4:17" s="16" customFormat="1" ht="13.8" thickBot="1" x14ac:dyDescent="0.3">
      <c r="D1198" s="307"/>
      <c r="E1198" s="26"/>
      <c r="F1198" s="206"/>
      <c r="G1198" s="207"/>
      <c r="H1198" s="207"/>
      <c r="I1198" s="51"/>
      <c r="J1198" s="308"/>
      <c r="K1198" s="308"/>
      <c r="L1198" s="308"/>
      <c r="M1198" s="308"/>
      <c r="N1198" s="308"/>
      <c r="O1198" s="308"/>
      <c r="P1198" s="308"/>
      <c r="Q1198" s="309"/>
    </row>
    <row r="1199" spans="4:17" s="16" customFormat="1" ht="13.2" x14ac:dyDescent="0.25">
      <c r="D1199" s="796" t="s">
        <v>1788</v>
      </c>
      <c r="E1199" s="797"/>
      <c r="F1199" s="797"/>
      <c r="G1199" s="797"/>
      <c r="H1199" s="797"/>
      <c r="I1199" s="47">
        <f t="shared" ref="I1199:Q1199" si="1347">SUM(I1200:I1204)</f>
        <v>0</v>
      </c>
      <c r="J1199" s="47">
        <f t="shared" si="1347"/>
        <v>3.7345000000000002</v>
      </c>
      <c r="K1199" s="47">
        <f t="shared" si="1347"/>
        <v>0</v>
      </c>
      <c r="L1199" s="47">
        <f t="shared" si="1347"/>
        <v>8.2120499999999996</v>
      </c>
      <c r="M1199" s="47">
        <f t="shared" si="1347"/>
        <v>7.0584799999999994</v>
      </c>
      <c r="N1199" s="47">
        <f t="shared" si="1347"/>
        <v>0</v>
      </c>
      <c r="O1199" s="47">
        <f t="shared" si="1347"/>
        <v>0</v>
      </c>
      <c r="P1199" s="47">
        <f t="shared" si="1347"/>
        <v>0</v>
      </c>
      <c r="Q1199" s="47">
        <f t="shared" si="1347"/>
        <v>0</v>
      </c>
    </row>
    <row r="1200" spans="4:17" s="16" customFormat="1" ht="13.2" x14ac:dyDescent="0.25">
      <c r="D1200" s="235">
        <v>1</v>
      </c>
      <c r="E1200" s="237">
        <v>25</v>
      </c>
      <c r="F1200" s="238">
        <v>5</v>
      </c>
      <c r="G1200" s="239">
        <v>0.97</v>
      </c>
      <c r="H1200" s="239">
        <f t="shared" ref="H1200:H1204" si="1348">E1200*G1200</f>
        <v>24.25</v>
      </c>
      <c r="I1200" s="131">
        <f t="shared" ref="I1200:I1204" si="1349">IF($F1200=4.2,H1200*$B$23,0)</f>
        <v>0</v>
      </c>
      <c r="J1200" s="31">
        <f t="shared" ref="J1200:J1204" si="1350">IF($F1200=5,$H1200*$B$24,0)</f>
        <v>3.7345000000000002</v>
      </c>
      <c r="K1200" s="31">
        <f t="shared" ref="K1200:K1204" si="1351">IF($F1200=6.3,$H1200*$B$25,0)</f>
        <v>0</v>
      </c>
      <c r="L1200" s="31">
        <f t="shared" ref="L1200:L1204" si="1352">IF($F1200=8,$H1200*$B$26,0)</f>
        <v>0</v>
      </c>
      <c r="M1200" s="31">
        <f t="shared" ref="M1200:M1204" si="1353">IF($F1200=10,$H1200*$B$27,0)</f>
        <v>0</v>
      </c>
      <c r="N1200" s="31">
        <f t="shared" ref="N1200:N1204" si="1354">IF($F1200=12.5,$H1200*$B$28,0)</f>
        <v>0</v>
      </c>
      <c r="O1200" s="31">
        <f t="shared" ref="O1200:O1204" si="1355">IF($F1200=16,$H1200*$B$29,0)</f>
        <v>0</v>
      </c>
      <c r="P1200" s="31">
        <f t="shared" ref="P1200:P1204" si="1356">IF($F1200=20,$H1200*$B$30,0)</f>
        <v>0</v>
      </c>
      <c r="Q1200" s="49">
        <f t="shared" ref="Q1200:Q1204" si="1357">IF($F1200=25,$H1200*$B$31,0)</f>
        <v>0</v>
      </c>
    </row>
    <row r="1201" spans="4:17" s="16" customFormat="1" ht="13.2" x14ac:dyDescent="0.25">
      <c r="D1201" s="235">
        <v>41</v>
      </c>
      <c r="E1201" s="240">
        <v>1</v>
      </c>
      <c r="F1201" s="241">
        <v>8</v>
      </c>
      <c r="G1201" s="242">
        <v>1.27</v>
      </c>
      <c r="H1201" s="239">
        <f t="shared" si="1348"/>
        <v>1.27</v>
      </c>
      <c r="I1201" s="131">
        <f t="shared" si="1349"/>
        <v>0</v>
      </c>
      <c r="J1201" s="31">
        <f t="shared" si="1350"/>
        <v>0</v>
      </c>
      <c r="K1201" s="31">
        <f t="shared" si="1351"/>
        <v>0</v>
      </c>
      <c r="L1201" s="31">
        <f t="shared" si="1352"/>
        <v>0.50165000000000004</v>
      </c>
      <c r="M1201" s="31">
        <f t="shared" si="1353"/>
        <v>0</v>
      </c>
      <c r="N1201" s="31">
        <f t="shared" si="1354"/>
        <v>0</v>
      </c>
      <c r="O1201" s="31">
        <f t="shared" si="1355"/>
        <v>0</v>
      </c>
      <c r="P1201" s="31">
        <f t="shared" si="1356"/>
        <v>0</v>
      </c>
      <c r="Q1201" s="49">
        <f t="shared" si="1357"/>
        <v>0</v>
      </c>
    </row>
    <row r="1202" spans="4:17" s="16" customFormat="1" ht="13.2" x14ac:dyDescent="0.25">
      <c r="D1202" s="235">
        <v>42</v>
      </c>
      <c r="E1202" s="240">
        <v>1</v>
      </c>
      <c r="F1202" s="241">
        <v>8</v>
      </c>
      <c r="G1202" s="242">
        <v>1.46</v>
      </c>
      <c r="H1202" s="239">
        <f t="shared" si="1348"/>
        <v>1.46</v>
      </c>
      <c r="I1202" s="131">
        <f t="shared" si="1349"/>
        <v>0</v>
      </c>
      <c r="J1202" s="31">
        <f t="shared" si="1350"/>
        <v>0</v>
      </c>
      <c r="K1202" s="31">
        <f t="shared" si="1351"/>
        <v>0</v>
      </c>
      <c r="L1202" s="31">
        <f t="shared" si="1352"/>
        <v>0.57669999999999999</v>
      </c>
      <c r="M1202" s="31">
        <f t="shared" si="1353"/>
        <v>0</v>
      </c>
      <c r="N1202" s="31">
        <f t="shared" si="1354"/>
        <v>0</v>
      </c>
      <c r="O1202" s="31">
        <f t="shared" si="1355"/>
        <v>0</v>
      </c>
      <c r="P1202" s="31">
        <f t="shared" si="1356"/>
        <v>0</v>
      </c>
      <c r="Q1202" s="49">
        <f t="shared" si="1357"/>
        <v>0</v>
      </c>
    </row>
    <row r="1203" spans="4:17" s="16" customFormat="1" ht="13.2" x14ac:dyDescent="0.25">
      <c r="D1203" s="235">
        <v>43</v>
      </c>
      <c r="E1203" s="240">
        <v>3</v>
      </c>
      <c r="F1203" s="241">
        <v>8</v>
      </c>
      <c r="G1203" s="242">
        <v>6.02</v>
      </c>
      <c r="H1203" s="239">
        <f t="shared" si="1348"/>
        <v>18.059999999999999</v>
      </c>
      <c r="I1203" s="131">
        <f t="shared" si="1349"/>
        <v>0</v>
      </c>
      <c r="J1203" s="31">
        <f t="shared" si="1350"/>
        <v>0</v>
      </c>
      <c r="K1203" s="31">
        <f t="shared" si="1351"/>
        <v>0</v>
      </c>
      <c r="L1203" s="31">
        <f t="shared" si="1352"/>
        <v>7.1337000000000002</v>
      </c>
      <c r="M1203" s="31">
        <f t="shared" si="1353"/>
        <v>0</v>
      </c>
      <c r="N1203" s="31">
        <f t="shared" si="1354"/>
        <v>0</v>
      </c>
      <c r="O1203" s="31">
        <f t="shared" si="1355"/>
        <v>0</v>
      </c>
      <c r="P1203" s="31">
        <f t="shared" si="1356"/>
        <v>0</v>
      </c>
      <c r="Q1203" s="49">
        <f t="shared" si="1357"/>
        <v>0</v>
      </c>
    </row>
    <row r="1204" spans="4:17" s="16" customFormat="1" ht="13.2" x14ac:dyDescent="0.25">
      <c r="D1204" s="235">
        <v>61</v>
      </c>
      <c r="E1204" s="240">
        <v>2</v>
      </c>
      <c r="F1204" s="241">
        <v>10</v>
      </c>
      <c r="G1204" s="242">
        <v>5.72</v>
      </c>
      <c r="H1204" s="239">
        <f t="shared" si="1348"/>
        <v>11.44</v>
      </c>
      <c r="I1204" s="131">
        <f t="shared" si="1349"/>
        <v>0</v>
      </c>
      <c r="J1204" s="31">
        <f t="shared" si="1350"/>
        <v>0</v>
      </c>
      <c r="K1204" s="31">
        <f t="shared" si="1351"/>
        <v>0</v>
      </c>
      <c r="L1204" s="31">
        <f t="shared" si="1352"/>
        <v>0</v>
      </c>
      <c r="M1204" s="31">
        <f t="shared" si="1353"/>
        <v>7.0584799999999994</v>
      </c>
      <c r="N1204" s="31">
        <f t="shared" si="1354"/>
        <v>0</v>
      </c>
      <c r="O1204" s="31">
        <f t="shared" si="1355"/>
        <v>0</v>
      </c>
      <c r="P1204" s="31">
        <f t="shared" si="1356"/>
        <v>0</v>
      </c>
      <c r="Q1204" s="49">
        <f t="shared" si="1357"/>
        <v>0</v>
      </c>
    </row>
    <row r="1205" spans="4:17" s="16" customFormat="1" ht="13.8" thickBot="1" x14ac:dyDescent="0.3">
      <c r="D1205" s="307"/>
      <c r="E1205" s="26"/>
      <c r="F1205" s="206"/>
      <c r="G1205" s="207"/>
      <c r="H1205" s="207"/>
      <c r="I1205" s="51"/>
      <c r="J1205" s="308"/>
      <c r="K1205" s="308"/>
      <c r="L1205" s="308"/>
      <c r="M1205" s="308"/>
      <c r="N1205" s="308"/>
      <c r="O1205" s="308"/>
      <c r="P1205" s="308"/>
      <c r="Q1205" s="309"/>
    </row>
    <row r="1206" spans="4:17" s="16" customFormat="1" ht="13.2" x14ac:dyDescent="0.25">
      <c r="D1206" s="796" t="s">
        <v>1789</v>
      </c>
      <c r="E1206" s="797"/>
      <c r="F1206" s="797"/>
      <c r="G1206" s="797"/>
      <c r="H1206" s="797"/>
      <c r="I1206" s="47">
        <f t="shared" ref="I1206:Q1206" si="1358">SUM(I1207:I1209)</f>
        <v>0</v>
      </c>
      <c r="J1206" s="47">
        <f t="shared" si="1358"/>
        <v>4.6307799999999997</v>
      </c>
      <c r="K1206" s="47">
        <f t="shared" si="1358"/>
        <v>0</v>
      </c>
      <c r="L1206" s="47">
        <f t="shared" si="1358"/>
        <v>11.0442</v>
      </c>
      <c r="M1206" s="47">
        <f t="shared" si="1358"/>
        <v>0</v>
      </c>
      <c r="N1206" s="47">
        <f t="shared" si="1358"/>
        <v>0</v>
      </c>
      <c r="O1206" s="47">
        <f t="shared" si="1358"/>
        <v>0</v>
      </c>
      <c r="P1206" s="47">
        <f t="shared" si="1358"/>
        <v>0</v>
      </c>
      <c r="Q1206" s="47">
        <f t="shared" si="1358"/>
        <v>0</v>
      </c>
    </row>
    <row r="1207" spans="4:17" s="16" customFormat="1" ht="13.2" x14ac:dyDescent="0.25">
      <c r="D1207" s="235">
        <v>1</v>
      </c>
      <c r="E1207" s="237">
        <v>31</v>
      </c>
      <c r="F1207" s="238">
        <v>5</v>
      </c>
      <c r="G1207" s="239">
        <v>0.97</v>
      </c>
      <c r="H1207" s="239">
        <f t="shared" ref="H1207:H1209" si="1359">E1207*G1207</f>
        <v>30.07</v>
      </c>
      <c r="I1207" s="131">
        <f t="shared" ref="I1207:I1209" si="1360">IF($F1207=4.2,H1207*$B$23,0)</f>
        <v>0</v>
      </c>
      <c r="J1207" s="31">
        <f t="shared" ref="J1207:J1209" si="1361">IF($F1207=5,$H1207*$B$24,0)</f>
        <v>4.6307799999999997</v>
      </c>
      <c r="K1207" s="31">
        <f t="shared" ref="K1207:K1209" si="1362">IF($F1207=6.3,$H1207*$B$25,0)</f>
        <v>0</v>
      </c>
      <c r="L1207" s="31">
        <f t="shared" ref="L1207:L1209" si="1363">IF($F1207=8,$H1207*$B$26,0)</f>
        <v>0</v>
      </c>
      <c r="M1207" s="31">
        <f t="shared" ref="M1207:M1209" si="1364">IF($F1207=10,$H1207*$B$27,0)</f>
        <v>0</v>
      </c>
      <c r="N1207" s="31">
        <f t="shared" ref="N1207:N1209" si="1365">IF($F1207=12.5,$H1207*$B$28,0)</f>
        <v>0</v>
      </c>
      <c r="O1207" s="31">
        <f t="shared" ref="O1207:O1209" si="1366">IF($F1207=16,$H1207*$B$29,0)</f>
        <v>0</v>
      </c>
      <c r="P1207" s="31">
        <f t="shared" ref="P1207:P1209" si="1367">IF($F1207=20,$H1207*$B$30,0)</f>
        <v>0</v>
      </c>
      <c r="Q1207" s="49">
        <f t="shared" ref="Q1207:Q1209" si="1368">IF($F1207=25,$H1207*$B$31,0)</f>
        <v>0</v>
      </c>
    </row>
    <row r="1208" spans="4:17" s="16" customFormat="1" ht="13.2" x14ac:dyDescent="0.25">
      <c r="D1208" s="235">
        <v>44</v>
      </c>
      <c r="E1208" s="240">
        <v>2</v>
      </c>
      <c r="F1208" s="241">
        <v>8</v>
      </c>
      <c r="G1208" s="242">
        <v>6.72</v>
      </c>
      <c r="H1208" s="239">
        <f t="shared" si="1359"/>
        <v>13.44</v>
      </c>
      <c r="I1208" s="131">
        <f t="shared" si="1360"/>
        <v>0</v>
      </c>
      <c r="J1208" s="31">
        <f t="shared" si="1361"/>
        <v>0</v>
      </c>
      <c r="K1208" s="31">
        <f t="shared" si="1362"/>
        <v>0</v>
      </c>
      <c r="L1208" s="31">
        <f t="shared" si="1363"/>
        <v>5.3087999999999997</v>
      </c>
      <c r="M1208" s="31">
        <f t="shared" si="1364"/>
        <v>0</v>
      </c>
      <c r="N1208" s="31">
        <f t="shared" si="1365"/>
        <v>0</v>
      </c>
      <c r="O1208" s="31">
        <f t="shared" si="1366"/>
        <v>0</v>
      </c>
      <c r="P1208" s="31">
        <f t="shared" si="1367"/>
        <v>0</v>
      </c>
      <c r="Q1208" s="49">
        <f t="shared" si="1368"/>
        <v>0</v>
      </c>
    </row>
    <row r="1209" spans="4:17" s="16" customFormat="1" ht="13.2" x14ac:dyDescent="0.25">
      <c r="D1209" s="235">
        <v>45</v>
      </c>
      <c r="E1209" s="240">
        <v>2</v>
      </c>
      <c r="F1209" s="241">
        <v>8</v>
      </c>
      <c r="G1209" s="242">
        <v>7.26</v>
      </c>
      <c r="H1209" s="239">
        <f t="shared" si="1359"/>
        <v>14.52</v>
      </c>
      <c r="I1209" s="131">
        <f t="shared" si="1360"/>
        <v>0</v>
      </c>
      <c r="J1209" s="31">
        <f t="shared" si="1361"/>
        <v>0</v>
      </c>
      <c r="K1209" s="31">
        <f t="shared" si="1362"/>
        <v>0</v>
      </c>
      <c r="L1209" s="31">
        <f t="shared" si="1363"/>
        <v>5.7354000000000003</v>
      </c>
      <c r="M1209" s="31">
        <f t="shared" si="1364"/>
        <v>0</v>
      </c>
      <c r="N1209" s="31">
        <f t="shared" si="1365"/>
        <v>0</v>
      </c>
      <c r="O1209" s="31">
        <f t="shared" si="1366"/>
        <v>0</v>
      </c>
      <c r="P1209" s="31">
        <f t="shared" si="1367"/>
        <v>0</v>
      </c>
      <c r="Q1209" s="49">
        <f t="shared" si="1368"/>
        <v>0</v>
      </c>
    </row>
    <row r="1210" spans="4:17" s="16" customFormat="1" ht="13.8" thickBot="1" x14ac:dyDescent="0.3">
      <c r="D1210" s="307"/>
      <c r="E1210" s="26"/>
      <c r="F1210" s="206"/>
      <c r="G1210" s="207"/>
      <c r="H1210" s="207"/>
      <c r="I1210" s="51"/>
      <c r="J1210" s="308"/>
      <c r="K1210" s="308"/>
      <c r="L1210" s="308"/>
      <c r="M1210" s="308"/>
      <c r="N1210" s="308"/>
      <c r="O1210" s="308"/>
      <c r="P1210" s="308"/>
      <c r="Q1210" s="309"/>
    </row>
    <row r="1211" spans="4:17" s="16" customFormat="1" ht="13.2" x14ac:dyDescent="0.25">
      <c r="D1211" s="796" t="s">
        <v>1790</v>
      </c>
      <c r="E1211" s="797"/>
      <c r="F1211" s="797"/>
      <c r="G1211" s="797"/>
      <c r="H1211" s="797"/>
      <c r="I1211" s="47">
        <f t="shared" ref="I1211:Q1211" si="1369">SUM(I1212:I1216)</f>
        <v>0</v>
      </c>
      <c r="J1211" s="47">
        <f t="shared" si="1369"/>
        <v>3.7345000000000002</v>
      </c>
      <c r="K1211" s="47">
        <f t="shared" si="1369"/>
        <v>0</v>
      </c>
      <c r="L1211" s="47">
        <f t="shared" si="1369"/>
        <v>2.5438000000000001</v>
      </c>
      <c r="M1211" s="47">
        <f t="shared" si="1369"/>
        <v>10.9826</v>
      </c>
      <c r="N1211" s="47">
        <f t="shared" si="1369"/>
        <v>0</v>
      </c>
      <c r="O1211" s="47">
        <f t="shared" si="1369"/>
        <v>0</v>
      </c>
      <c r="P1211" s="47">
        <f t="shared" si="1369"/>
        <v>0</v>
      </c>
      <c r="Q1211" s="47">
        <f t="shared" si="1369"/>
        <v>0</v>
      </c>
    </row>
    <row r="1212" spans="4:17" s="16" customFormat="1" ht="13.2" x14ac:dyDescent="0.25">
      <c r="D1212" s="235">
        <v>1</v>
      </c>
      <c r="E1212" s="237">
        <v>25</v>
      </c>
      <c r="F1212" s="238">
        <v>5</v>
      </c>
      <c r="G1212" s="239">
        <v>0.97</v>
      </c>
      <c r="H1212" s="239">
        <f t="shared" ref="H1212:H1216" si="1370">E1212*G1212</f>
        <v>24.25</v>
      </c>
      <c r="I1212" s="131">
        <f t="shared" ref="I1212:I1216" si="1371">IF($F1212=4.2,H1212*$B$23,0)</f>
        <v>0</v>
      </c>
      <c r="J1212" s="31">
        <f t="shared" ref="J1212:J1216" si="1372">IF($F1212=5,$H1212*$B$24,0)</f>
        <v>3.7345000000000002</v>
      </c>
      <c r="K1212" s="31">
        <f t="shared" ref="K1212:K1216" si="1373">IF($F1212=6.3,$H1212*$B$25,0)</f>
        <v>0</v>
      </c>
      <c r="L1212" s="31">
        <f t="shared" ref="L1212:L1216" si="1374">IF($F1212=8,$H1212*$B$26,0)</f>
        <v>0</v>
      </c>
      <c r="M1212" s="31">
        <f t="shared" ref="M1212:M1216" si="1375">IF($F1212=10,$H1212*$B$27,0)</f>
        <v>0</v>
      </c>
      <c r="N1212" s="31">
        <f t="shared" ref="N1212:N1216" si="1376">IF($F1212=12.5,$H1212*$B$28,0)</f>
        <v>0</v>
      </c>
      <c r="O1212" s="31">
        <f t="shared" ref="O1212:O1216" si="1377">IF($F1212=16,$H1212*$B$29,0)</f>
        <v>0</v>
      </c>
      <c r="P1212" s="31">
        <f t="shared" ref="P1212:P1216" si="1378">IF($F1212=20,$H1212*$B$30,0)</f>
        <v>0</v>
      </c>
      <c r="Q1212" s="49">
        <f t="shared" ref="Q1212:Q1216" si="1379">IF($F1212=25,$H1212*$B$31,0)</f>
        <v>0</v>
      </c>
    </row>
    <row r="1213" spans="4:17" s="16" customFormat="1" ht="13.2" x14ac:dyDescent="0.25">
      <c r="D1213" s="235">
        <v>46</v>
      </c>
      <c r="E1213" s="240">
        <v>2</v>
      </c>
      <c r="F1213" s="241">
        <v>8</v>
      </c>
      <c r="G1213" s="242">
        <v>3.22</v>
      </c>
      <c r="H1213" s="239">
        <f t="shared" si="1370"/>
        <v>6.44</v>
      </c>
      <c r="I1213" s="131">
        <f t="shared" si="1371"/>
        <v>0</v>
      </c>
      <c r="J1213" s="31">
        <f t="shared" si="1372"/>
        <v>0</v>
      </c>
      <c r="K1213" s="31">
        <f t="shared" si="1373"/>
        <v>0</v>
      </c>
      <c r="L1213" s="31">
        <f t="shared" si="1374"/>
        <v>2.5438000000000001</v>
      </c>
      <c r="M1213" s="31">
        <f t="shared" si="1375"/>
        <v>0</v>
      </c>
      <c r="N1213" s="31">
        <f t="shared" si="1376"/>
        <v>0</v>
      </c>
      <c r="O1213" s="31">
        <f t="shared" si="1377"/>
        <v>0</v>
      </c>
      <c r="P1213" s="31">
        <f t="shared" si="1378"/>
        <v>0</v>
      </c>
      <c r="Q1213" s="49">
        <f t="shared" si="1379"/>
        <v>0</v>
      </c>
    </row>
    <row r="1214" spans="4:17" s="16" customFormat="1" ht="13.2" x14ac:dyDescent="0.25">
      <c r="D1214" s="235">
        <v>59</v>
      </c>
      <c r="E1214" s="240">
        <v>2</v>
      </c>
      <c r="F1214" s="241">
        <v>10</v>
      </c>
      <c r="G1214" s="242">
        <v>5.58</v>
      </c>
      <c r="H1214" s="239">
        <f t="shared" si="1370"/>
        <v>11.16</v>
      </c>
      <c r="I1214" s="131">
        <f t="shared" si="1371"/>
        <v>0</v>
      </c>
      <c r="J1214" s="31">
        <f t="shared" si="1372"/>
        <v>0</v>
      </c>
      <c r="K1214" s="31">
        <f t="shared" si="1373"/>
        <v>0</v>
      </c>
      <c r="L1214" s="31">
        <f t="shared" si="1374"/>
        <v>0</v>
      </c>
      <c r="M1214" s="31">
        <f t="shared" si="1375"/>
        <v>6.8857200000000001</v>
      </c>
      <c r="N1214" s="31">
        <f t="shared" si="1376"/>
        <v>0</v>
      </c>
      <c r="O1214" s="31">
        <f t="shared" si="1377"/>
        <v>0</v>
      </c>
      <c r="P1214" s="31">
        <f t="shared" si="1378"/>
        <v>0</v>
      </c>
      <c r="Q1214" s="49">
        <f t="shared" si="1379"/>
        <v>0</v>
      </c>
    </row>
    <row r="1215" spans="4:17" s="16" customFormat="1" ht="13.2" x14ac:dyDescent="0.25">
      <c r="D1215" s="235">
        <v>62</v>
      </c>
      <c r="E1215" s="240">
        <v>2</v>
      </c>
      <c r="F1215" s="241">
        <v>10</v>
      </c>
      <c r="G1215" s="242">
        <v>1.64</v>
      </c>
      <c r="H1215" s="239">
        <f t="shared" si="1370"/>
        <v>3.28</v>
      </c>
      <c r="I1215" s="131">
        <f t="shared" si="1371"/>
        <v>0</v>
      </c>
      <c r="J1215" s="31">
        <f t="shared" si="1372"/>
        <v>0</v>
      </c>
      <c r="K1215" s="31">
        <f t="shared" si="1373"/>
        <v>0</v>
      </c>
      <c r="L1215" s="31">
        <f t="shared" si="1374"/>
        <v>0</v>
      </c>
      <c r="M1215" s="31">
        <f t="shared" si="1375"/>
        <v>2.0237599999999998</v>
      </c>
      <c r="N1215" s="31">
        <f t="shared" si="1376"/>
        <v>0</v>
      </c>
      <c r="O1215" s="31">
        <f t="shared" si="1377"/>
        <v>0</v>
      </c>
      <c r="P1215" s="31">
        <f t="shared" si="1378"/>
        <v>0</v>
      </c>
      <c r="Q1215" s="49">
        <f t="shared" si="1379"/>
        <v>0</v>
      </c>
    </row>
    <row r="1216" spans="4:17" s="16" customFormat="1" ht="13.2" x14ac:dyDescent="0.25">
      <c r="D1216" s="235">
        <v>63</v>
      </c>
      <c r="E1216" s="240">
        <v>2</v>
      </c>
      <c r="F1216" s="241">
        <v>10</v>
      </c>
      <c r="G1216" s="242">
        <v>1.68</v>
      </c>
      <c r="H1216" s="239">
        <f t="shared" si="1370"/>
        <v>3.36</v>
      </c>
      <c r="I1216" s="131">
        <f t="shared" si="1371"/>
        <v>0</v>
      </c>
      <c r="J1216" s="31">
        <f t="shared" si="1372"/>
        <v>0</v>
      </c>
      <c r="K1216" s="31">
        <f t="shared" si="1373"/>
        <v>0</v>
      </c>
      <c r="L1216" s="31">
        <f t="shared" si="1374"/>
        <v>0</v>
      </c>
      <c r="M1216" s="31">
        <f t="shared" si="1375"/>
        <v>2.0731199999999999</v>
      </c>
      <c r="N1216" s="31">
        <f t="shared" si="1376"/>
        <v>0</v>
      </c>
      <c r="O1216" s="31">
        <f t="shared" si="1377"/>
        <v>0</v>
      </c>
      <c r="P1216" s="31">
        <f t="shared" si="1378"/>
        <v>0</v>
      </c>
      <c r="Q1216" s="49">
        <f t="shared" si="1379"/>
        <v>0</v>
      </c>
    </row>
    <row r="1217" spans="4:17" s="16" customFormat="1" ht="13.8" thickBot="1" x14ac:dyDescent="0.3">
      <c r="D1217" s="307"/>
      <c r="E1217" s="26"/>
      <c r="F1217" s="206"/>
      <c r="G1217" s="207"/>
      <c r="H1217" s="207"/>
      <c r="I1217" s="51"/>
      <c r="J1217" s="308"/>
      <c r="K1217" s="308"/>
      <c r="L1217" s="308"/>
      <c r="M1217" s="308"/>
      <c r="N1217" s="308"/>
      <c r="O1217" s="308"/>
      <c r="P1217" s="308"/>
      <c r="Q1217" s="309"/>
    </row>
    <row r="1218" spans="4:17" s="16" customFormat="1" ht="13.2" x14ac:dyDescent="0.25">
      <c r="D1218" s="796" t="s">
        <v>1791</v>
      </c>
      <c r="E1218" s="797"/>
      <c r="F1218" s="797"/>
      <c r="G1218" s="797"/>
      <c r="H1218" s="797"/>
      <c r="I1218" s="47">
        <f t="shared" ref="I1218:Q1218" si="1380">SUM(I1219:I1221)</f>
        <v>0</v>
      </c>
      <c r="J1218" s="47">
        <f t="shared" si="1380"/>
        <v>6.124579999999999</v>
      </c>
      <c r="K1218" s="47">
        <f t="shared" si="1380"/>
        <v>0</v>
      </c>
      <c r="L1218" s="47">
        <f t="shared" si="1380"/>
        <v>7.5524000000000004</v>
      </c>
      <c r="M1218" s="47">
        <f t="shared" si="1380"/>
        <v>11.40216</v>
      </c>
      <c r="N1218" s="47">
        <f t="shared" si="1380"/>
        <v>0</v>
      </c>
      <c r="O1218" s="47">
        <f t="shared" si="1380"/>
        <v>0</v>
      </c>
      <c r="P1218" s="47">
        <f t="shared" si="1380"/>
        <v>0</v>
      </c>
      <c r="Q1218" s="47">
        <f t="shared" si="1380"/>
        <v>0</v>
      </c>
    </row>
    <row r="1219" spans="4:17" s="16" customFormat="1" ht="13.2" x14ac:dyDescent="0.25">
      <c r="D1219" s="235">
        <v>1</v>
      </c>
      <c r="E1219" s="237">
        <v>41</v>
      </c>
      <c r="F1219" s="238">
        <v>5</v>
      </c>
      <c r="G1219" s="239">
        <v>0.97</v>
      </c>
      <c r="H1219" s="239">
        <f t="shared" ref="H1219:H1221" si="1381">E1219*G1219</f>
        <v>39.769999999999996</v>
      </c>
      <c r="I1219" s="131">
        <f t="shared" ref="I1219:I1221" si="1382">IF($F1219=4.2,H1219*$B$23,0)</f>
        <v>0</v>
      </c>
      <c r="J1219" s="31">
        <f t="shared" ref="J1219:J1221" si="1383">IF($F1219=5,$H1219*$B$24,0)</f>
        <v>6.124579999999999</v>
      </c>
      <c r="K1219" s="31">
        <f t="shared" ref="K1219:K1221" si="1384">IF($F1219=6.3,$H1219*$B$25,0)</f>
        <v>0</v>
      </c>
      <c r="L1219" s="31">
        <f t="shared" ref="L1219:L1221" si="1385">IF($F1219=8,$H1219*$B$26,0)</f>
        <v>0</v>
      </c>
      <c r="M1219" s="31">
        <f t="shared" ref="M1219:M1221" si="1386">IF($F1219=10,$H1219*$B$27,0)</f>
        <v>0</v>
      </c>
      <c r="N1219" s="31">
        <f t="shared" ref="N1219:N1221" si="1387">IF($F1219=12.5,$H1219*$B$28,0)</f>
        <v>0</v>
      </c>
      <c r="O1219" s="31">
        <f t="shared" ref="O1219:O1221" si="1388">IF($F1219=16,$H1219*$B$29,0)</f>
        <v>0</v>
      </c>
      <c r="P1219" s="31">
        <f t="shared" ref="P1219:P1221" si="1389">IF($F1219=20,$H1219*$B$30,0)</f>
        <v>0</v>
      </c>
      <c r="Q1219" s="49">
        <f t="shared" ref="Q1219:Q1221" si="1390">IF($F1219=25,$H1219*$B$31,0)</f>
        <v>0</v>
      </c>
    </row>
    <row r="1220" spans="4:17" s="16" customFormat="1" ht="13.2" x14ac:dyDescent="0.25">
      <c r="D1220" s="235">
        <v>47</v>
      </c>
      <c r="E1220" s="240">
        <v>2</v>
      </c>
      <c r="F1220" s="241">
        <v>8</v>
      </c>
      <c r="G1220" s="242">
        <v>9.56</v>
      </c>
      <c r="H1220" s="239">
        <f t="shared" si="1381"/>
        <v>19.12</v>
      </c>
      <c r="I1220" s="131">
        <f t="shared" si="1382"/>
        <v>0</v>
      </c>
      <c r="J1220" s="31">
        <f t="shared" si="1383"/>
        <v>0</v>
      </c>
      <c r="K1220" s="31">
        <f t="shared" si="1384"/>
        <v>0</v>
      </c>
      <c r="L1220" s="31">
        <f t="shared" si="1385"/>
        <v>7.5524000000000004</v>
      </c>
      <c r="M1220" s="31">
        <f t="shared" si="1386"/>
        <v>0</v>
      </c>
      <c r="N1220" s="31">
        <f t="shared" si="1387"/>
        <v>0</v>
      </c>
      <c r="O1220" s="31">
        <f t="shared" si="1388"/>
        <v>0</v>
      </c>
      <c r="P1220" s="31">
        <f t="shared" si="1389"/>
        <v>0</v>
      </c>
      <c r="Q1220" s="49">
        <f t="shared" si="1390"/>
        <v>0</v>
      </c>
    </row>
    <row r="1221" spans="4:17" s="16" customFormat="1" ht="13.2" x14ac:dyDescent="0.25">
      <c r="D1221" s="235">
        <v>64</v>
      </c>
      <c r="E1221" s="240">
        <v>2</v>
      </c>
      <c r="F1221" s="241">
        <v>10</v>
      </c>
      <c r="G1221" s="242">
        <v>9.24</v>
      </c>
      <c r="H1221" s="239">
        <f t="shared" si="1381"/>
        <v>18.48</v>
      </c>
      <c r="I1221" s="131">
        <f t="shared" si="1382"/>
        <v>0</v>
      </c>
      <c r="J1221" s="31">
        <f t="shared" si="1383"/>
        <v>0</v>
      </c>
      <c r="K1221" s="31">
        <f t="shared" si="1384"/>
        <v>0</v>
      </c>
      <c r="L1221" s="31">
        <f t="shared" si="1385"/>
        <v>0</v>
      </c>
      <c r="M1221" s="31">
        <f t="shared" si="1386"/>
        <v>11.40216</v>
      </c>
      <c r="N1221" s="31">
        <f t="shared" si="1387"/>
        <v>0</v>
      </c>
      <c r="O1221" s="31">
        <f t="shared" si="1388"/>
        <v>0</v>
      </c>
      <c r="P1221" s="31">
        <f t="shared" si="1389"/>
        <v>0</v>
      </c>
      <c r="Q1221" s="49">
        <f t="shared" si="1390"/>
        <v>0</v>
      </c>
    </row>
    <row r="1222" spans="4:17" s="16" customFormat="1" ht="13.8" thickBot="1" x14ac:dyDescent="0.3">
      <c r="D1222" s="307"/>
      <c r="E1222" s="26"/>
      <c r="F1222" s="206"/>
      <c r="G1222" s="207"/>
      <c r="H1222" s="207"/>
      <c r="I1222" s="51"/>
      <c r="J1222" s="308"/>
      <c r="K1222" s="308"/>
      <c r="L1222" s="308"/>
      <c r="M1222" s="308"/>
      <c r="N1222" s="308"/>
      <c r="O1222" s="308"/>
      <c r="P1222" s="308"/>
      <c r="Q1222" s="309"/>
    </row>
    <row r="1223" spans="4:17" s="16" customFormat="1" ht="13.2" x14ac:dyDescent="0.25">
      <c r="D1223" s="796" t="s">
        <v>1792</v>
      </c>
      <c r="E1223" s="797"/>
      <c r="F1223" s="797"/>
      <c r="G1223" s="797"/>
      <c r="H1223" s="797"/>
      <c r="I1223" s="47">
        <f>SUM(I1224:I1233)</f>
        <v>0</v>
      </c>
      <c r="J1223" s="47">
        <f t="shared" ref="J1223:Q1223" si="1391">SUM(J1224:J1233)</f>
        <v>7.4690000000000003</v>
      </c>
      <c r="K1223" s="47">
        <f t="shared" si="1391"/>
        <v>0</v>
      </c>
      <c r="L1223" s="47">
        <f t="shared" si="1391"/>
        <v>11.1943</v>
      </c>
      <c r="M1223" s="47">
        <f t="shared" si="1391"/>
        <v>15.017779999999998</v>
      </c>
      <c r="N1223" s="47">
        <f t="shared" si="1391"/>
        <v>0</v>
      </c>
      <c r="O1223" s="47">
        <f t="shared" si="1391"/>
        <v>0</v>
      </c>
      <c r="P1223" s="47">
        <f t="shared" si="1391"/>
        <v>0</v>
      </c>
      <c r="Q1223" s="47">
        <f t="shared" si="1391"/>
        <v>0</v>
      </c>
    </row>
    <row r="1224" spans="4:17" s="16" customFormat="1" ht="13.2" x14ac:dyDescent="0.25">
      <c r="D1224" s="235">
        <v>1</v>
      </c>
      <c r="E1224" s="237">
        <v>50</v>
      </c>
      <c r="F1224" s="238">
        <v>5</v>
      </c>
      <c r="G1224" s="239">
        <v>0.97</v>
      </c>
      <c r="H1224" s="239">
        <f t="shared" ref="H1224:H1233" si="1392">E1224*G1224</f>
        <v>48.5</v>
      </c>
      <c r="I1224" s="131">
        <f t="shared" ref="I1224:I1233" si="1393">IF($F1224=4.2,H1224*$B$23,0)</f>
        <v>0</v>
      </c>
      <c r="J1224" s="31">
        <f t="shared" ref="J1224:J1233" si="1394">IF($F1224=5,$H1224*$B$24,0)</f>
        <v>7.4690000000000003</v>
      </c>
      <c r="K1224" s="31">
        <f t="shared" ref="K1224:K1233" si="1395">IF($F1224=6.3,$H1224*$B$25,0)</f>
        <v>0</v>
      </c>
      <c r="L1224" s="31">
        <f t="shared" ref="L1224:L1233" si="1396">IF($F1224=8,$H1224*$B$26,0)</f>
        <v>0</v>
      </c>
      <c r="M1224" s="31">
        <f t="shared" ref="M1224:M1233" si="1397">IF($F1224=10,$H1224*$B$27,0)</f>
        <v>0</v>
      </c>
      <c r="N1224" s="31">
        <f t="shared" ref="N1224:N1233" si="1398">IF($F1224=12.5,$H1224*$B$28,0)</f>
        <v>0</v>
      </c>
      <c r="O1224" s="31">
        <f t="shared" ref="O1224:O1233" si="1399">IF($F1224=16,$H1224*$B$29,0)</f>
        <v>0</v>
      </c>
      <c r="P1224" s="31">
        <f t="shared" ref="P1224:P1233" si="1400">IF($F1224=20,$H1224*$B$30,0)</f>
        <v>0</v>
      </c>
      <c r="Q1224" s="49">
        <f t="shared" ref="Q1224:Q1233" si="1401">IF($F1224=25,$H1224*$B$31,0)</f>
        <v>0</v>
      </c>
    </row>
    <row r="1225" spans="4:17" s="16" customFormat="1" ht="13.2" x14ac:dyDescent="0.25">
      <c r="D1225" s="235">
        <v>2</v>
      </c>
      <c r="E1225" s="240">
        <v>1</v>
      </c>
      <c r="F1225" s="241">
        <v>8</v>
      </c>
      <c r="G1225" s="242">
        <v>1.6</v>
      </c>
      <c r="H1225" s="239">
        <f t="shared" si="1392"/>
        <v>1.6</v>
      </c>
      <c r="I1225" s="131">
        <f t="shared" si="1393"/>
        <v>0</v>
      </c>
      <c r="J1225" s="31">
        <f t="shared" si="1394"/>
        <v>0</v>
      </c>
      <c r="K1225" s="31">
        <f t="shared" si="1395"/>
        <v>0</v>
      </c>
      <c r="L1225" s="31">
        <f t="shared" si="1396"/>
        <v>0.63200000000000012</v>
      </c>
      <c r="M1225" s="31">
        <f t="shared" si="1397"/>
        <v>0</v>
      </c>
      <c r="N1225" s="31">
        <f t="shared" si="1398"/>
        <v>0</v>
      </c>
      <c r="O1225" s="31">
        <f t="shared" si="1399"/>
        <v>0</v>
      </c>
      <c r="P1225" s="31">
        <f t="shared" si="1400"/>
        <v>0</v>
      </c>
      <c r="Q1225" s="49">
        <f t="shared" si="1401"/>
        <v>0</v>
      </c>
    </row>
    <row r="1226" spans="4:17" s="16" customFormat="1" ht="13.2" x14ac:dyDescent="0.25">
      <c r="D1226" s="235">
        <v>3</v>
      </c>
      <c r="E1226" s="240">
        <v>1</v>
      </c>
      <c r="F1226" s="241">
        <v>8</v>
      </c>
      <c r="G1226" s="242">
        <v>1.52</v>
      </c>
      <c r="H1226" s="239">
        <f t="shared" si="1392"/>
        <v>1.52</v>
      </c>
      <c r="I1226" s="131">
        <f t="shared" si="1393"/>
        <v>0</v>
      </c>
      <c r="J1226" s="31">
        <f t="shared" si="1394"/>
        <v>0</v>
      </c>
      <c r="K1226" s="31">
        <f t="shared" si="1395"/>
        <v>0</v>
      </c>
      <c r="L1226" s="31">
        <f t="shared" si="1396"/>
        <v>0.60040000000000004</v>
      </c>
      <c r="M1226" s="31">
        <f t="shared" si="1397"/>
        <v>0</v>
      </c>
      <c r="N1226" s="31">
        <f t="shared" si="1398"/>
        <v>0</v>
      </c>
      <c r="O1226" s="31">
        <f t="shared" si="1399"/>
        <v>0</v>
      </c>
      <c r="P1226" s="31">
        <f t="shared" si="1400"/>
        <v>0</v>
      </c>
      <c r="Q1226" s="49">
        <f t="shared" si="1401"/>
        <v>0</v>
      </c>
    </row>
    <row r="1227" spans="4:17" s="16" customFormat="1" ht="13.2" x14ac:dyDescent="0.25">
      <c r="D1227" s="235">
        <v>4</v>
      </c>
      <c r="E1227" s="240">
        <v>2</v>
      </c>
      <c r="F1227" s="241">
        <v>8</v>
      </c>
      <c r="G1227" s="242">
        <v>10.93</v>
      </c>
      <c r="H1227" s="239">
        <f t="shared" si="1392"/>
        <v>21.86</v>
      </c>
      <c r="I1227" s="131">
        <f t="shared" si="1393"/>
        <v>0</v>
      </c>
      <c r="J1227" s="31">
        <f t="shared" si="1394"/>
        <v>0</v>
      </c>
      <c r="K1227" s="31">
        <f t="shared" si="1395"/>
        <v>0</v>
      </c>
      <c r="L1227" s="31">
        <f t="shared" si="1396"/>
        <v>8.6347000000000005</v>
      </c>
      <c r="M1227" s="31">
        <f t="shared" si="1397"/>
        <v>0</v>
      </c>
      <c r="N1227" s="31">
        <f t="shared" si="1398"/>
        <v>0</v>
      </c>
      <c r="O1227" s="31">
        <f t="shared" si="1399"/>
        <v>0</v>
      </c>
      <c r="P1227" s="31">
        <f t="shared" si="1400"/>
        <v>0</v>
      </c>
      <c r="Q1227" s="49">
        <f t="shared" si="1401"/>
        <v>0</v>
      </c>
    </row>
    <row r="1228" spans="4:17" s="16" customFormat="1" ht="13.2" x14ac:dyDescent="0.25">
      <c r="D1228" s="235">
        <v>5</v>
      </c>
      <c r="E1228" s="240">
        <v>2</v>
      </c>
      <c r="F1228" s="241">
        <v>8</v>
      </c>
      <c r="G1228" s="242">
        <v>1.68</v>
      </c>
      <c r="H1228" s="239">
        <f t="shared" si="1392"/>
        <v>3.36</v>
      </c>
      <c r="I1228" s="131">
        <f t="shared" si="1393"/>
        <v>0</v>
      </c>
      <c r="J1228" s="31">
        <f t="shared" si="1394"/>
        <v>0</v>
      </c>
      <c r="K1228" s="31">
        <f t="shared" si="1395"/>
        <v>0</v>
      </c>
      <c r="L1228" s="31">
        <f t="shared" si="1396"/>
        <v>1.3271999999999999</v>
      </c>
      <c r="M1228" s="31">
        <f t="shared" si="1397"/>
        <v>0</v>
      </c>
      <c r="N1228" s="31">
        <f t="shared" si="1398"/>
        <v>0</v>
      </c>
      <c r="O1228" s="31">
        <f t="shared" si="1399"/>
        <v>0</v>
      </c>
      <c r="P1228" s="31">
        <f t="shared" si="1400"/>
        <v>0</v>
      </c>
      <c r="Q1228" s="49">
        <f t="shared" si="1401"/>
        <v>0</v>
      </c>
    </row>
    <row r="1229" spans="4:17" s="16" customFormat="1" ht="13.2" x14ac:dyDescent="0.25">
      <c r="D1229" s="235">
        <v>6</v>
      </c>
      <c r="E1229" s="240">
        <v>2</v>
      </c>
      <c r="F1229" s="241">
        <v>10</v>
      </c>
      <c r="G1229" s="242">
        <v>6.6</v>
      </c>
      <c r="H1229" s="239">
        <f t="shared" si="1392"/>
        <v>13.2</v>
      </c>
      <c r="I1229" s="131">
        <f t="shared" si="1393"/>
        <v>0</v>
      </c>
      <c r="J1229" s="31">
        <f t="shared" si="1394"/>
        <v>0</v>
      </c>
      <c r="K1229" s="31">
        <f t="shared" si="1395"/>
        <v>0</v>
      </c>
      <c r="L1229" s="31">
        <f t="shared" si="1396"/>
        <v>0</v>
      </c>
      <c r="M1229" s="31">
        <f t="shared" si="1397"/>
        <v>8.1443999999999992</v>
      </c>
      <c r="N1229" s="31">
        <f t="shared" si="1398"/>
        <v>0</v>
      </c>
      <c r="O1229" s="31">
        <f t="shared" si="1399"/>
        <v>0</v>
      </c>
      <c r="P1229" s="31">
        <f t="shared" si="1400"/>
        <v>0</v>
      </c>
      <c r="Q1229" s="49">
        <f t="shared" si="1401"/>
        <v>0</v>
      </c>
    </row>
    <row r="1230" spans="4:17" s="16" customFormat="1" ht="13.2" x14ac:dyDescent="0.25">
      <c r="D1230" s="235">
        <v>7</v>
      </c>
      <c r="E1230" s="240">
        <v>2</v>
      </c>
      <c r="F1230" s="241">
        <v>10</v>
      </c>
      <c r="G1230" s="242">
        <v>5.57</v>
      </c>
      <c r="H1230" s="239">
        <f t="shared" si="1392"/>
        <v>11.14</v>
      </c>
      <c r="I1230" s="131">
        <f t="shared" si="1393"/>
        <v>0</v>
      </c>
      <c r="J1230" s="31">
        <f t="shared" si="1394"/>
        <v>0</v>
      </c>
      <c r="K1230" s="31">
        <f t="shared" si="1395"/>
        <v>0</v>
      </c>
      <c r="L1230" s="31">
        <f t="shared" si="1396"/>
        <v>0</v>
      </c>
      <c r="M1230" s="31">
        <f t="shared" si="1397"/>
        <v>6.87338</v>
      </c>
      <c r="N1230" s="31">
        <f t="shared" si="1398"/>
        <v>0</v>
      </c>
      <c r="O1230" s="31">
        <f t="shared" si="1399"/>
        <v>0</v>
      </c>
      <c r="P1230" s="31">
        <f t="shared" si="1400"/>
        <v>0</v>
      </c>
      <c r="Q1230" s="49">
        <f t="shared" si="1401"/>
        <v>0</v>
      </c>
    </row>
    <row r="1231" spans="4:17" s="16" customFormat="1" ht="13.2" x14ac:dyDescent="0.25">
      <c r="D1231" s="235"/>
      <c r="E1231" s="240"/>
      <c r="F1231" s="241"/>
      <c r="G1231" s="242"/>
      <c r="H1231" s="239">
        <f t="shared" si="1392"/>
        <v>0</v>
      </c>
      <c r="I1231" s="131">
        <f t="shared" si="1393"/>
        <v>0</v>
      </c>
      <c r="J1231" s="31">
        <f t="shared" si="1394"/>
        <v>0</v>
      </c>
      <c r="K1231" s="31">
        <f t="shared" si="1395"/>
        <v>0</v>
      </c>
      <c r="L1231" s="31">
        <f t="shared" si="1396"/>
        <v>0</v>
      </c>
      <c r="M1231" s="31">
        <f t="shared" si="1397"/>
        <v>0</v>
      </c>
      <c r="N1231" s="31">
        <f t="shared" si="1398"/>
        <v>0</v>
      </c>
      <c r="O1231" s="31">
        <f t="shared" si="1399"/>
        <v>0</v>
      </c>
      <c r="P1231" s="31">
        <f t="shared" si="1400"/>
        <v>0</v>
      </c>
      <c r="Q1231" s="49">
        <f t="shared" si="1401"/>
        <v>0</v>
      </c>
    </row>
    <row r="1232" spans="4:17" s="16" customFormat="1" ht="13.2" x14ac:dyDescent="0.25">
      <c r="D1232" s="235"/>
      <c r="E1232" s="240"/>
      <c r="F1232" s="241"/>
      <c r="G1232" s="242"/>
      <c r="H1232" s="239">
        <f t="shared" si="1392"/>
        <v>0</v>
      </c>
      <c r="I1232" s="131">
        <f t="shared" si="1393"/>
        <v>0</v>
      </c>
      <c r="J1232" s="31">
        <f t="shared" si="1394"/>
        <v>0</v>
      </c>
      <c r="K1232" s="31">
        <f t="shared" si="1395"/>
        <v>0</v>
      </c>
      <c r="L1232" s="31">
        <f t="shared" si="1396"/>
        <v>0</v>
      </c>
      <c r="M1232" s="31">
        <f t="shared" si="1397"/>
        <v>0</v>
      </c>
      <c r="N1232" s="31">
        <f t="shared" si="1398"/>
        <v>0</v>
      </c>
      <c r="O1232" s="31">
        <f t="shared" si="1399"/>
        <v>0</v>
      </c>
      <c r="P1232" s="31">
        <f t="shared" si="1400"/>
        <v>0</v>
      </c>
      <c r="Q1232" s="49">
        <f t="shared" si="1401"/>
        <v>0</v>
      </c>
    </row>
    <row r="1233" spans="2:20" s="16" customFormat="1" ht="13.2" x14ac:dyDescent="0.25">
      <c r="D1233" s="235"/>
      <c r="E1233" s="240"/>
      <c r="F1233" s="241"/>
      <c r="G1233" s="242"/>
      <c r="H1233" s="239">
        <f t="shared" si="1392"/>
        <v>0</v>
      </c>
      <c r="I1233" s="131">
        <f t="shared" si="1393"/>
        <v>0</v>
      </c>
      <c r="J1233" s="31">
        <f t="shared" si="1394"/>
        <v>0</v>
      </c>
      <c r="K1233" s="31">
        <f t="shared" si="1395"/>
        <v>0</v>
      </c>
      <c r="L1233" s="31">
        <f t="shared" si="1396"/>
        <v>0</v>
      </c>
      <c r="M1233" s="31">
        <f t="shared" si="1397"/>
        <v>0</v>
      </c>
      <c r="N1233" s="31">
        <f t="shared" si="1398"/>
        <v>0</v>
      </c>
      <c r="O1233" s="31">
        <f t="shared" si="1399"/>
        <v>0</v>
      </c>
      <c r="P1233" s="31">
        <f t="shared" si="1400"/>
        <v>0</v>
      </c>
      <c r="Q1233" s="49">
        <f t="shared" si="1401"/>
        <v>0</v>
      </c>
    </row>
    <row r="1234" spans="2:20" s="16" customFormat="1" ht="13.8" thickBot="1" x14ac:dyDescent="0.3">
      <c r="D1234" s="307"/>
      <c r="E1234" s="26"/>
      <c r="F1234" s="206"/>
      <c r="G1234" s="207"/>
      <c r="H1234" s="207"/>
      <c r="I1234" s="51"/>
      <c r="J1234" s="308"/>
      <c r="K1234" s="308"/>
      <c r="L1234" s="308"/>
      <c r="M1234" s="308"/>
      <c r="N1234" s="308"/>
      <c r="O1234" s="308"/>
      <c r="P1234" s="308"/>
      <c r="Q1234" s="309"/>
    </row>
    <row r="1235" spans="2:20" s="16" customFormat="1" ht="15" customHeight="1" thickBot="1" x14ac:dyDescent="0.3">
      <c r="B1235" s="34"/>
      <c r="D1235" s="792" t="s">
        <v>1985</v>
      </c>
      <c r="E1235" s="793"/>
      <c r="F1235" s="793"/>
      <c r="G1235" s="793"/>
      <c r="H1235" s="793"/>
      <c r="I1235" s="793"/>
      <c r="J1235" s="793"/>
      <c r="K1235" s="793"/>
      <c r="L1235" s="793"/>
      <c r="M1235" s="793"/>
      <c r="N1235" s="793"/>
      <c r="O1235" s="793"/>
      <c r="P1235" s="793"/>
      <c r="Q1235" s="794"/>
      <c r="S1235" s="795"/>
      <c r="T1235" s="795"/>
    </row>
    <row r="1236" spans="2:20" s="16" customFormat="1" ht="13.2" x14ac:dyDescent="0.25">
      <c r="D1236" s="796" t="s">
        <v>1988</v>
      </c>
      <c r="E1236" s="797"/>
      <c r="F1236" s="797"/>
      <c r="G1236" s="797"/>
      <c r="H1236" s="797"/>
      <c r="I1236" s="47">
        <f t="shared" ref="I1236:Q1236" si="1402">SUM(I1237:I1240)</f>
        <v>0</v>
      </c>
      <c r="J1236" s="47">
        <f t="shared" si="1402"/>
        <v>3.2863599999999997</v>
      </c>
      <c r="K1236" s="47">
        <f t="shared" si="1402"/>
        <v>0</v>
      </c>
      <c r="L1236" s="47">
        <f t="shared" si="1402"/>
        <v>8.433250000000001</v>
      </c>
      <c r="M1236" s="47">
        <f t="shared" si="1402"/>
        <v>0</v>
      </c>
      <c r="N1236" s="47">
        <f t="shared" si="1402"/>
        <v>0</v>
      </c>
      <c r="O1236" s="47">
        <f t="shared" si="1402"/>
        <v>0</v>
      </c>
      <c r="P1236" s="47">
        <f t="shared" si="1402"/>
        <v>0</v>
      </c>
      <c r="Q1236" s="47">
        <f t="shared" si="1402"/>
        <v>0</v>
      </c>
    </row>
    <row r="1237" spans="2:20" s="16" customFormat="1" ht="13.2" x14ac:dyDescent="0.25">
      <c r="D1237" s="235">
        <v>3</v>
      </c>
      <c r="E1237" s="237">
        <v>22</v>
      </c>
      <c r="F1237" s="238">
        <v>5</v>
      </c>
      <c r="G1237" s="239">
        <v>0.97</v>
      </c>
      <c r="H1237" s="239">
        <f t="shared" ref="H1237:H1240" si="1403">E1237*G1237</f>
        <v>21.34</v>
      </c>
      <c r="I1237" s="131">
        <f t="shared" ref="I1237:I1240" si="1404">IF($F1237=4.2,H1237*$B$23,0)</f>
        <v>0</v>
      </c>
      <c r="J1237" s="31">
        <f t="shared" ref="J1237:J1240" si="1405">IF($F1237=5,$H1237*$B$24,0)</f>
        <v>3.2863599999999997</v>
      </c>
      <c r="K1237" s="31">
        <f t="shared" ref="K1237:K1240" si="1406">IF($F1237=6.3,$H1237*$B$25,0)</f>
        <v>0</v>
      </c>
      <c r="L1237" s="31">
        <f t="shared" ref="L1237:L1240" si="1407">IF($F1237=8,$H1237*$B$26,0)</f>
        <v>0</v>
      </c>
      <c r="M1237" s="31">
        <f t="shared" ref="M1237:M1240" si="1408">IF($F1237=10,$H1237*$B$27,0)</f>
        <v>0</v>
      </c>
      <c r="N1237" s="31">
        <f t="shared" ref="N1237:N1240" si="1409">IF($F1237=12.5,$H1237*$B$28,0)</f>
        <v>0</v>
      </c>
      <c r="O1237" s="31">
        <f t="shared" ref="O1237:O1240" si="1410">IF($F1237=16,$H1237*$B$29,0)</f>
        <v>0</v>
      </c>
      <c r="P1237" s="31">
        <f t="shared" ref="P1237:P1240" si="1411">IF($F1237=20,$H1237*$B$30,0)</f>
        <v>0</v>
      </c>
      <c r="Q1237" s="49">
        <f t="shared" ref="Q1237:Q1240" si="1412">IF($F1237=25,$H1237*$B$31,0)</f>
        <v>0</v>
      </c>
    </row>
    <row r="1238" spans="2:20" s="16" customFormat="1" ht="13.2" x14ac:dyDescent="0.25">
      <c r="D1238" s="235">
        <v>6</v>
      </c>
      <c r="E1238" s="240">
        <v>2</v>
      </c>
      <c r="F1238" s="241">
        <v>8</v>
      </c>
      <c r="G1238" s="242">
        <v>5.04</v>
      </c>
      <c r="H1238" s="239">
        <f t="shared" si="1403"/>
        <v>10.08</v>
      </c>
      <c r="I1238" s="131">
        <f t="shared" si="1404"/>
        <v>0</v>
      </c>
      <c r="J1238" s="31">
        <f t="shared" si="1405"/>
        <v>0</v>
      </c>
      <c r="K1238" s="31">
        <f t="shared" si="1406"/>
        <v>0</v>
      </c>
      <c r="L1238" s="31">
        <f t="shared" si="1407"/>
        <v>3.9816000000000003</v>
      </c>
      <c r="M1238" s="31">
        <f t="shared" si="1408"/>
        <v>0</v>
      </c>
      <c r="N1238" s="31">
        <f t="shared" si="1409"/>
        <v>0</v>
      </c>
      <c r="O1238" s="31">
        <f t="shared" si="1410"/>
        <v>0</v>
      </c>
      <c r="P1238" s="31">
        <f t="shared" si="1411"/>
        <v>0</v>
      </c>
      <c r="Q1238" s="49">
        <f t="shared" si="1412"/>
        <v>0</v>
      </c>
    </row>
    <row r="1239" spans="2:20" s="16" customFormat="1" ht="13.2" x14ac:dyDescent="0.25">
      <c r="D1239" s="235">
        <v>7</v>
      </c>
      <c r="E1239" s="240">
        <v>1</v>
      </c>
      <c r="F1239" s="241">
        <v>8</v>
      </c>
      <c r="G1239" s="242">
        <v>0.75</v>
      </c>
      <c r="H1239" s="239">
        <f t="shared" si="1403"/>
        <v>0.75</v>
      </c>
      <c r="I1239" s="131">
        <f t="shared" si="1404"/>
        <v>0</v>
      </c>
      <c r="J1239" s="31">
        <f t="shared" si="1405"/>
        <v>0</v>
      </c>
      <c r="K1239" s="31">
        <f t="shared" si="1406"/>
        <v>0</v>
      </c>
      <c r="L1239" s="31">
        <f t="shared" si="1407"/>
        <v>0.29625000000000001</v>
      </c>
      <c r="M1239" s="31">
        <f t="shared" si="1408"/>
        <v>0</v>
      </c>
      <c r="N1239" s="31">
        <f t="shared" si="1409"/>
        <v>0</v>
      </c>
      <c r="O1239" s="31">
        <f t="shared" si="1410"/>
        <v>0</v>
      </c>
      <c r="P1239" s="31">
        <f t="shared" si="1411"/>
        <v>0</v>
      </c>
      <c r="Q1239" s="49">
        <f t="shared" si="1412"/>
        <v>0</v>
      </c>
    </row>
    <row r="1240" spans="2:20" s="16" customFormat="1" ht="13.2" x14ac:dyDescent="0.25">
      <c r="D1240" s="235">
        <v>8</v>
      </c>
      <c r="E1240" s="240">
        <v>2</v>
      </c>
      <c r="F1240" s="241">
        <v>8</v>
      </c>
      <c r="G1240" s="242">
        <v>5.26</v>
      </c>
      <c r="H1240" s="239">
        <f t="shared" si="1403"/>
        <v>10.52</v>
      </c>
      <c r="I1240" s="131">
        <f t="shared" si="1404"/>
        <v>0</v>
      </c>
      <c r="J1240" s="31">
        <f t="shared" si="1405"/>
        <v>0</v>
      </c>
      <c r="K1240" s="31">
        <f t="shared" si="1406"/>
        <v>0</v>
      </c>
      <c r="L1240" s="31">
        <f t="shared" si="1407"/>
        <v>4.1554000000000002</v>
      </c>
      <c r="M1240" s="31">
        <f t="shared" si="1408"/>
        <v>0</v>
      </c>
      <c r="N1240" s="31">
        <f t="shared" si="1409"/>
        <v>0</v>
      </c>
      <c r="O1240" s="31">
        <f t="shared" si="1410"/>
        <v>0</v>
      </c>
      <c r="P1240" s="31">
        <f t="shared" si="1411"/>
        <v>0</v>
      </c>
      <c r="Q1240" s="49">
        <f t="shared" si="1412"/>
        <v>0</v>
      </c>
    </row>
    <row r="1241" spans="2:20" s="16" customFormat="1" ht="13.8" thickBot="1" x14ac:dyDescent="0.3">
      <c r="D1241" s="307"/>
      <c r="E1241" s="26"/>
      <c r="F1241" s="206"/>
      <c r="G1241" s="207"/>
      <c r="H1241" s="207"/>
      <c r="I1241" s="51"/>
      <c r="J1241" s="308"/>
      <c r="K1241" s="308"/>
      <c r="L1241" s="308"/>
      <c r="M1241" s="308"/>
      <c r="N1241" s="308"/>
      <c r="O1241" s="308"/>
      <c r="P1241" s="308"/>
      <c r="Q1241" s="309"/>
    </row>
    <row r="1242" spans="2:20" s="16" customFormat="1" ht="13.2" x14ac:dyDescent="0.25">
      <c r="D1242" s="796" t="s">
        <v>1989</v>
      </c>
      <c r="E1242" s="797"/>
      <c r="F1242" s="797"/>
      <c r="G1242" s="797"/>
      <c r="H1242" s="797"/>
      <c r="I1242" s="47">
        <f t="shared" ref="I1242:Q1242" si="1413">SUM(I1243:I1246)</f>
        <v>0</v>
      </c>
      <c r="J1242" s="47">
        <f t="shared" si="1413"/>
        <v>3.4357399999999996</v>
      </c>
      <c r="K1242" s="47">
        <f t="shared" si="1413"/>
        <v>0</v>
      </c>
      <c r="L1242" s="47">
        <f t="shared" si="1413"/>
        <v>11.45895</v>
      </c>
      <c r="M1242" s="47">
        <f t="shared" si="1413"/>
        <v>0</v>
      </c>
      <c r="N1242" s="47">
        <f t="shared" si="1413"/>
        <v>0</v>
      </c>
      <c r="O1242" s="47">
        <f t="shared" si="1413"/>
        <v>0</v>
      </c>
      <c r="P1242" s="47">
        <f t="shared" si="1413"/>
        <v>0</v>
      </c>
      <c r="Q1242" s="47">
        <f t="shared" si="1413"/>
        <v>0</v>
      </c>
    </row>
    <row r="1243" spans="2:20" s="16" customFormat="1" ht="13.2" x14ac:dyDescent="0.25">
      <c r="D1243" s="235">
        <v>3</v>
      </c>
      <c r="E1243" s="237">
        <v>23</v>
      </c>
      <c r="F1243" s="238">
        <v>5</v>
      </c>
      <c r="G1243" s="239">
        <v>0.97</v>
      </c>
      <c r="H1243" s="239">
        <f t="shared" ref="H1243:H1246" si="1414">E1243*G1243</f>
        <v>22.31</v>
      </c>
      <c r="I1243" s="131">
        <f t="shared" ref="I1243:I1246" si="1415">IF($F1243=4.2,H1243*$B$23,0)</f>
        <v>0</v>
      </c>
      <c r="J1243" s="31">
        <f t="shared" ref="J1243:J1246" si="1416">IF($F1243=5,$H1243*$B$24,0)</f>
        <v>3.4357399999999996</v>
      </c>
      <c r="K1243" s="31">
        <f t="shared" ref="K1243:K1246" si="1417">IF($F1243=6.3,$H1243*$B$25,0)</f>
        <v>0</v>
      </c>
      <c r="L1243" s="31">
        <f t="shared" ref="L1243:L1246" si="1418">IF($F1243=8,$H1243*$B$26,0)</f>
        <v>0</v>
      </c>
      <c r="M1243" s="31">
        <f t="shared" ref="M1243:M1246" si="1419">IF($F1243=10,$H1243*$B$27,0)</f>
        <v>0</v>
      </c>
      <c r="N1243" s="31">
        <f t="shared" ref="N1243:N1246" si="1420">IF($F1243=12.5,$H1243*$B$28,0)</f>
        <v>0</v>
      </c>
      <c r="O1243" s="31">
        <f t="shared" ref="O1243:O1246" si="1421">IF($F1243=16,$H1243*$B$29,0)</f>
        <v>0</v>
      </c>
      <c r="P1243" s="31">
        <f t="shared" ref="P1243:P1246" si="1422">IF($F1243=20,$H1243*$B$30,0)</f>
        <v>0</v>
      </c>
      <c r="Q1243" s="49">
        <f t="shared" ref="Q1243:Q1246" si="1423">IF($F1243=25,$H1243*$B$31,0)</f>
        <v>0</v>
      </c>
    </row>
    <row r="1244" spans="2:20" s="16" customFormat="1" ht="13.2" x14ac:dyDescent="0.25">
      <c r="D1244" s="235">
        <v>7</v>
      </c>
      <c r="E1244" s="240">
        <v>11</v>
      </c>
      <c r="F1244" s="241">
        <v>8</v>
      </c>
      <c r="G1244" s="242">
        <v>0.75</v>
      </c>
      <c r="H1244" s="239">
        <f t="shared" si="1414"/>
        <v>8.25</v>
      </c>
      <c r="I1244" s="131">
        <f t="shared" si="1415"/>
        <v>0</v>
      </c>
      <c r="J1244" s="31">
        <f t="shared" si="1416"/>
        <v>0</v>
      </c>
      <c r="K1244" s="31">
        <f t="shared" si="1417"/>
        <v>0</v>
      </c>
      <c r="L1244" s="31">
        <f t="shared" si="1418"/>
        <v>3.25875</v>
      </c>
      <c r="M1244" s="31">
        <f t="shared" si="1419"/>
        <v>0</v>
      </c>
      <c r="N1244" s="31">
        <f t="shared" si="1420"/>
        <v>0</v>
      </c>
      <c r="O1244" s="31">
        <f t="shared" si="1421"/>
        <v>0</v>
      </c>
      <c r="P1244" s="31">
        <f t="shared" si="1422"/>
        <v>0</v>
      </c>
      <c r="Q1244" s="49">
        <f t="shared" si="1423"/>
        <v>0</v>
      </c>
    </row>
    <row r="1245" spans="2:20" s="16" customFormat="1" ht="13.2" x14ac:dyDescent="0.25">
      <c r="D1245" s="235">
        <v>9</v>
      </c>
      <c r="E1245" s="240">
        <v>2</v>
      </c>
      <c r="F1245" s="241">
        <v>8</v>
      </c>
      <c r="G1245" s="242">
        <v>5.07</v>
      </c>
      <c r="H1245" s="239">
        <f t="shared" si="1414"/>
        <v>10.14</v>
      </c>
      <c r="I1245" s="131">
        <f t="shared" si="1415"/>
        <v>0</v>
      </c>
      <c r="J1245" s="31">
        <f t="shared" si="1416"/>
        <v>0</v>
      </c>
      <c r="K1245" s="31">
        <f t="shared" si="1417"/>
        <v>0</v>
      </c>
      <c r="L1245" s="31">
        <f t="shared" si="1418"/>
        <v>4.0053000000000001</v>
      </c>
      <c r="M1245" s="31">
        <f t="shared" si="1419"/>
        <v>0</v>
      </c>
      <c r="N1245" s="31">
        <f t="shared" si="1420"/>
        <v>0</v>
      </c>
      <c r="O1245" s="31">
        <f t="shared" si="1421"/>
        <v>0</v>
      </c>
      <c r="P1245" s="31">
        <f t="shared" si="1422"/>
        <v>0</v>
      </c>
      <c r="Q1245" s="49">
        <f t="shared" si="1423"/>
        <v>0</v>
      </c>
    </row>
    <row r="1246" spans="2:20" s="16" customFormat="1" ht="13.2" x14ac:dyDescent="0.25">
      <c r="D1246" s="235">
        <v>10</v>
      </c>
      <c r="E1246" s="240">
        <v>2</v>
      </c>
      <c r="F1246" s="241">
        <v>8</v>
      </c>
      <c r="G1246" s="242">
        <v>5.31</v>
      </c>
      <c r="H1246" s="239">
        <f t="shared" si="1414"/>
        <v>10.62</v>
      </c>
      <c r="I1246" s="131">
        <f t="shared" si="1415"/>
        <v>0</v>
      </c>
      <c r="J1246" s="31">
        <f t="shared" si="1416"/>
        <v>0</v>
      </c>
      <c r="K1246" s="31">
        <f t="shared" si="1417"/>
        <v>0</v>
      </c>
      <c r="L1246" s="31">
        <f t="shared" si="1418"/>
        <v>4.1948999999999996</v>
      </c>
      <c r="M1246" s="31">
        <f t="shared" si="1419"/>
        <v>0</v>
      </c>
      <c r="N1246" s="31">
        <f t="shared" si="1420"/>
        <v>0</v>
      </c>
      <c r="O1246" s="31">
        <f t="shared" si="1421"/>
        <v>0</v>
      </c>
      <c r="P1246" s="31">
        <f t="shared" si="1422"/>
        <v>0</v>
      </c>
      <c r="Q1246" s="49">
        <f t="shared" si="1423"/>
        <v>0</v>
      </c>
    </row>
    <row r="1247" spans="2:20" s="16" customFormat="1" ht="13.8" thickBot="1" x14ac:dyDescent="0.3">
      <c r="D1247" s="307"/>
      <c r="E1247" s="26"/>
      <c r="F1247" s="206"/>
      <c r="G1247" s="207"/>
      <c r="H1247" s="207"/>
      <c r="I1247" s="51"/>
      <c r="J1247" s="308"/>
      <c r="K1247" s="308"/>
      <c r="L1247" s="308"/>
      <c r="M1247" s="308"/>
      <c r="N1247" s="308"/>
      <c r="O1247" s="308"/>
      <c r="P1247" s="308"/>
      <c r="Q1247" s="309"/>
    </row>
    <row r="1248" spans="2:20" s="16" customFormat="1" ht="13.2" x14ac:dyDescent="0.25">
      <c r="D1248" s="796" t="s">
        <v>1990</v>
      </c>
      <c r="E1248" s="797"/>
      <c r="F1248" s="797"/>
      <c r="G1248" s="797"/>
      <c r="H1248" s="797"/>
      <c r="I1248" s="47">
        <f t="shared" ref="I1248:Q1248" si="1424">SUM(I1249:I1253)</f>
        <v>0</v>
      </c>
      <c r="J1248" s="47">
        <f t="shared" si="1424"/>
        <v>8.2158999999999995</v>
      </c>
      <c r="K1248" s="47">
        <f t="shared" si="1424"/>
        <v>0</v>
      </c>
      <c r="L1248" s="47">
        <f t="shared" si="1424"/>
        <v>20.034400000000002</v>
      </c>
      <c r="M1248" s="47">
        <f t="shared" si="1424"/>
        <v>0</v>
      </c>
      <c r="N1248" s="47">
        <f t="shared" si="1424"/>
        <v>0</v>
      </c>
      <c r="O1248" s="47">
        <f t="shared" si="1424"/>
        <v>0</v>
      </c>
      <c r="P1248" s="47">
        <f t="shared" si="1424"/>
        <v>0</v>
      </c>
      <c r="Q1248" s="47">
        <f t="shared" si="1424"/>
        <v>0</v>
      </c>
    </row>
    <row r="1249" spans="4:17" s="16" customFormat="1" ht="13.2" x14ac:dyDescent="0.25">
      <c r="D1249" s="235">
        <v>3</v>
      </c>
      <c r="E1249" s="237">
        <v>55</v>
      </c>
      <c r="F1249" s="238">
        <v>5</v>
      </c>
      <c r="G1249" s="239">
        <v>0.97</v>
      </c>
      <c r="H1249" s="239">
        <f t="shared" ref="H1249:H1253" si="1425">E1249*G1249</f>
        <v>53.35</v>
      </c>
      <c r="I1249" s="131">
        <f t="shared" ref="I1249:I1253" si="1426">IF($F1249=4.2,H1249*$B$23,0)</f>
        <v>0</v>
      </c>
      <c r="J1249" s="31">
        <f t="shared" ref="J1249:J1253" si="1427">IF($F1249=5,$H1249*$B$24,0)</f>
        <v>8.2158999999999995</v>
      </c>
      <c r="K1249" s="31">
        <f t="shared" ref="K1249:K1253" si="1428">IF($F1249=6.3,$H1249*$B$25,0)</f>
        <v>0</v>
      </c>
      <c r="L1249" s="31">
        <f t="shared" ref="L1249:L1253" si="1429">IF($F1249=8,$H1249*$B$26,0)</f>
        <v>0</v>
      </c>
      <c r="M1249" s="31">
        <f t="shared" ref="M1249:M1253" si="1430">IF($F1249=10,$H1249*$B$27,0)</f>
        <v>0</v>
      </c>
      <c r="N1249" s="31">
        <f t="shared" ref="N1249:N1253" si="1431">IF($F1249=12.5,$H1249*$B$28,0)</f>
        <v>0</v>
      </c>
      <c r="O1249" s="31">
        <f t="shared" ref="O1249:O1253" si="1432">IF($F1249=16,$H1249*$B$29,0)</f>
        <v>0</v>
      </c>
      <c r="P1249" s="31">
        <f t="shared" ref="P1249:P1253" si="1433">IF($F1249=20,$H1249*$B$30,0)</f>
        <v>0</v>
      </c>
      <c r="Q1249" s="49">
        <f t="shared" ref="Q1249:Q1253" si="1434">IF($F1249=25,$H1249*$B$31,0)</f>
        <v>0</v>
      </c>
    </row>
    <row r="1250" spans="4:17" s="16" customFormat="1" ht="13.2" x14ac:dyDescent="0.25">
      <c r="D1250" s="235">
        <v>11</v>
      </c>
      <c r="E1250" s="240">
        <v>2</v>
      </c>
      <c r="F1250" s="241">
        <v>8</v>
      </c>
      <c r="G1250" s="242">
        <v>8.24</v>
      </c>
      <c r="H1250" s="239">
        <f t="shared" si="1425"/>
        <v>16.48</v>
      </c>
      <c r="I1250" s="131">
        <f t="shared" si="1426"/>
        <v>0</v>
      </c>
      <c r="J1250" s="31">
        <f t="shared" si="1427"/>
        <v>0</v>
      </c>
      <c r="K1250" s="31">
        <f t="shared" si="1428"/>
        <v>0</v>
      </c>
      <c r="L1250" s="31">
        <f t="shared" si="1429"/>
        <v>6.5096000000000007</v>
      </c>
      <c r="M1250" s="31">
        <f t="shared" si="1430"/>
        <v>0</v>
      </c>
      <c r="N1250" s="31">
        <f t="shared" si="1431"/>
        <v>0</v>
      </c>
      <c r="O1250" s="31">
        <f t="shared" si="1432"/>
        <v>0</v>
      </c>
      <c r="P1250" s="31">
        <f t="shared" si="1433"/>
        <v>0</v>
      </c>
      <c r="Q1250" s="49">
        <f t="shared" si="1434"/>
        <v>0</v>
      </c>
    </row>
    <row r="1251" spans="4:17" s="16" customFormat="1" ht="13.2" x14ac:dyDescent="0.25">
      <c r="D1251" s="235">
        <v>12</v>
      </c>
      <c r="E1251" s="240">
        <v>2</v>
      </c>
      <c r="F1251" s="241">
        <v>8</v>
      </c>
      <c r="G1251" s="242">
        <v>4.1900000000000004</v>
      </c>
      <c r="H1251" s="239">
        <f t="shared" si="1425"/>
        <v>8.3800000000000008</v>
      </c>
      <c r="I1251" s="131">
        <f t="shared" si="1426"/>
        <v>0</v>
      </c>
      <c r="J1251" s="31">
        <f t="shared" si="1427"/>
        <v>0</v>
      </c>
      <c r="K1251" s="31">
        <f t="shared" si="1428"/>
        <v>0</v>
      </c>
      <c r="L1251" s="31">
        <f t="shared" si="1429"/>
        <v>3.3101000000000003</v>
      </c>
      <c r="M1251" s="31">
        <f t="shared" si="1430"/>
        <v>0</v>
      </c>
      <c r="N1251" s="31">
        <f t="shared" si="1431"/>
        <v>0</v>
      </c>
      <c r="O1251" s="31">
        <f t="shared" si="1432"/>
        <v>0</v>
      </c>
      <c r="P1251" s="31">
        <f t="shared" si="1433"/>
        <v>0</v>
      </c>
      <c r="Q1251" s="49">
        <f t="shared" si="1434"/>
        <v>0</v>
      </c>
    </row>
    <row r="1252" spans="4:17" s="16" customFormat="1" ht="13.2" x14ac:dyDescent="0.25">
      <c r="D1252" s="235">
        <v>13</v>
      </c>
      <c r="E1252" s="240">
        <v>2</v>
      </c>
      <c r="F1252" s="241">
        <v>8</v>
      </c>
      <c r="G1252" s="242">
        <v>11.13</v>
      </c>
      <c r="H1252" s="239">
        <f t="shared" si="1425"/>
        <v>22.26</v>
      </c>
      <c r="I1252" s="131">
        <f t="shared" si="1426"/>
        <v>0</v>
      </c>
      <c r="J1252" s="31">
        <f t="shared" si="1427"/>
        <v>0</v>
      </c>
      <c r="K1252" s="31">
        <f t="shared" si="1428"/>
        <v>0</v>
      </c>
      <c r="L1252" s="31">
        <f t="shared" si="1429"/>
        <v>8.7927000000000017</v>
      </c>
      <c r="M1252" s="31">
        <f t="shared" si="1430"/>
        <v>0</v>
      </c>
      <c r="N1252" s="31">
        <f t="shared" si="1431"/>
        <v>0</v>
      </c>
      <c r="O1252" s="31">
        <f t="shared" si="1432"/>
        <v>0</v>
      </c>
      <c r="P1252" s="31">
        <f t="shared" si="1433"/>
        <v>0</v>
      </c>
      <c r="Q1252" s="49">
        <f t="shared" si="1434"/>
        <v>0</v>
      </c>
    </row>
    <row r="1253" spans="4:17" s="16" customFormat="1" ht="13.2" x14ac:dyDescent="0.25">
      <c r="D1253" s="235">
        <v>14</v>
      </c>
      <c r="E1253" s="240">
        <v>2</v>
      </c>
      <c r="F1253" s="241">
        <v>8</v>
      </c>
      <c r="G1253" s="242">
        <v>1.8</v>
      </c>
      <c r="H1253" s="239">
        <f t="shared" si="1425"/>
        <v>3.6</v>
      </c>
      <c r="I1253" s="131">
        <f t="shared" si="1426"/>
        <v>0</v>
      </c>
      <c r="J1253" s="31">
        <f t="shared" si="1427"/>
        <v>0</v>
      </c>
      <c r="K1253" s="31">
        <f t="shared" si="1428"/>
        <v>0</v>
      </c>
      <c r="L1253" s="31">
        <f t="shared" si="1429"/>
        <v>1.4220000000000002</v>
      </c>
      <c r="M1253" s="31">
        <f t="shared" si="1430"/>
        <v>0</v>
      </c>
      <c r="N1253" s="31">
        <f t="shared" si="1431"/>
        <v>0</v>
      </c>
      <c r="O1253" s="31">
        <f t="shared" si="1432"/>
        <v>0</v>
      </c>
      <c r="P1253" s="31">
        <f t="shared" si="1433"/>
        <v>0</v>
      </c>
      <c r="Q1253" s="49">
        <f t="shared" si="1434"/>
        <v>0</v>
      </c>
    </row>
    <row r="1254" spans="4:17" s="16" customFormat="1" ht="13.8" thickBot="1" x14ac:dyDescent="0.3">
      <c r="D1254" s="307"/>
      <c r="E1254" s="26"/>
      <c r="F1254" s="206"/>
      <c r="G1254" s="207"/>
      <c r="H1254" s="207"/>
      <c r="I1254" s="51"/>
      <c r="J1254" s="308"/>
      <c r="K1254" s="308"/>
      <c r="L1254" s="308"/>
      <c r="M1254" s="308"/>
      <c r="N1254" s="308"/>
      <c r="O1254" s="308"/>
      <c r="P1254" s="308"/>
      <c r="Q1254" s="309"/>
    </row>
    <row r="1255" spans="4:17" s="16" customFormat="1" ht="13.2" x14ac:dyDescent="0.25">
      <c r="D1255" s="796" t="s">
        <v>1991</v>
      </c>
      <c r="E1255" s="797"/>
      <c r="F1255" s="797"/>
      <c r="G1255" s="797"/>
      <c r="H1255" s="797"/>
      <c r="I1255" s="47">
        <f t="shared" ref="I1255:Q1255" si="1435">SUM(I1256:I1259)</f>
        <v>0</v>
      </c>
      <c r="J1255" s="47">
        <f t="shared" si="1435"/>
        <v>2.9875999999999996</v>
      </c>
      <c r="K1255" s="47">
        <f t="shared" si="1435"/>
        <v>0</v>
      </c>
      <c r="L1255" s="47">
        <f t="shared" si="1435"/>
        <v>9.4760500000000008</v>
      </c>
      <c r="M1255" s="47">
        <f t="shared" si="1435"/>
        <v>0</v>
      </c>
      <c r="N1255" s="47">
        <f t="shared" si="1435"/>
        <v>0</v>
      </c>
      <c r="O1255" s="47">
        <f t="shared" si="1435"/>
        <v>0</v>
      </c>
      <c r="P1255" s="47">
        <f t="shared" si="1435"/>
        <v>0</v>
      </c>
      <c r="Q1255" s="47">
        <f t="shared" si="1435"/>
        <v>0</v>
      </c>
    </row>
    <row r="1256" spans="4:17" s="16" customFormat="1" ht="13.2" x14ac:dyDescent="0.25">
      <c r="D1256" s="235">
        <v>3</v>
      </c>
      <c r="E1256" s="237">
        <v>20</v>
      </c>
      <c r="F1256" s="238">
        <v>5</v>
      </c>
      <c r="G1256" s="239">
        <v>0.97</v>
      </c>
      <c r="H1256" s="239">
        <f t="shared" ref="H1256:H1259" si="1436">E1256*G1256</f>
        <v>19.399999999999999</v>
      </c>
      <c r="I1256" s="131">
        <f t="shared" ref="I1256:I1259" si="1437">IF($F1256=4.2,H1256*$B$23,0)</f>
        <v>0</v>
      </c>
      <c r="J1256" s="31">
        <f t="shared" ref="J1256:J1259" si="1438">IF($F1256=5,$H1256*$B$24,0)</f>
        <v>2.9875999999999996</v>
      </c>
      <c r="K1256" s="31">
        <f t="shared" ref="K1256:K1259" si="1439">IF($F1256=6.3,$H1256*$B$25,0)</f>
        <v>0</v>
      </c>
      <c r="L1256" s="31">
        <f t="shared" ref="L1256:L1259" si="1440">IF($F1256=8,$H1256*$B$26,0)</f>
        <v>0</v>
      </c>
      <c r="M1256" s="31">
        <f t="shared" ref="M1256:M1259" si="1441">IF($F1256=10,$H1256*$B$27,0)</f>
        <v>0</v>
      </c>
      <c r="N1256" s="31">
        <f t="shared" ref="N1256:N1259" si="1442">IF($F1256=12.5,$H1256*$B$28,0)</f>
        <v>0</v>
      </c>
      <c r="O1256" s="31">
        <f t="shared" ref="O1256:O1259" si="1443">IF($F1256=16,$H1256*$B$29,0)</f>
        <v>0</v>
      </c>
      <c r="P1256" s="31">
        <f t="shared" ref="P1256:P1259" si="1444">IF($F1256=20,$H1256*$B$30,0)</f>
        <v>0</v>
      </c>
      <c r="Q1256" s="49">
        <f t="shared" ref="Q1256:Q1259" si="1445">IF($F1256=25,$H1256*$B$31,0)</f>
        <v>0</v>
      </c>
    </row>
    <row r="1257" spans="4:17" s="16" customFormat="1" ht="13.2" x14ac:dyDescent="0.25">
      <c r="D1257" s="235">
        <v>15</v>
      </c>
      <c r="E1257" s="240">
        <v>1</v>
      </c>
      <c r="F1257" s="241">
        <v>8</v>
      </c>
      <c r="G1257" s="242">
        <v>1.19</v>
      </c>
      <c r="H1257" s="239">
        <f t="shared" si="1436"/>
        <v>1.19</v>
      </c>
      <c r="I1257" s="131">
        <f t="shared" si="1437"/>
        <v>0</v>
      </c>
      <c r="J1257" s="31">
        <f t="shared" si="1438"/>
        <v>0</v>
      </c>
      <c r="K1257" s="31">
        <f t="shared" si="1439"/>
        <v>0</v>
      </c>
      <c r="L1257" s="31">
        <f t="shared" si="1440"/>
        <v>0.47005000000000002</v>
      </c>
      <c r="M1257" s="31">
        <f t="shared" si="1441"/>
        <v>0</v>
      </c>
      <c r="N1257" s="31">
        <f t="shared" si="1442"/>
        <v>0</v>
      </c>
      <c r="O1257" s="31">
        <f t="shared" si="1443"/>
        <v>0</v>
      </c>
      <c r="P1257" s="31">
        <f t="shared" si="1444"/>
        <v>0</v>
      </c>
      <c r="Q1257" s="49">
        <f t="shared" si="1445"/>
        <v>0</v>
      </c>
    </row>
    <row r="1258" spans="4:17" s="16" customFormat="1" ht="13.2" x14ac:dyDescent="0.25">
      <c r="D1258" s="235">
        <v>16</v>
      </c>
      <c r="E1258" s="240">
        <v>1</v>
      </c>
      <c r="F1258" s="241">
        <v>8</v>
      </c>
      <c r="G1258" s="242">
        <v>2.2000000000000002</v>
      </c>
      <c r="H1258" s="239">
        <f t="shared" si="1436"/>
        <v>2.2000000000000002</v>
      </c>
      <c r="I1258" s="131">
        <f t="shared" si="1437"/>
        <v>0</v>
      </c>
      <c r="J1258" s="31">
        <f t="shared" si="1438"/>
        <v>0</v>
      </c>
      <c r="K1258" s="31">
        <f t="shared" si="1439"/>
        <v>0</v>
      </c>
      <c r="L1258" s="31">
        <f t="shared" si="1440"/>
        <v>0.86900000000000011</v>
      </c>
      <c r="M1258" s="31">
        <f t="shared" si="1441"/>
        <v>0</v>
      </c>
      <c r="N1258" s="31">
        <f t="shared" si="1442"/>
        <v>0</v>
      </c>
      <c r="O1258" s="31">
        <f t="shared" si="1443"/>
        <v>0</v>
      </c>
      <c r="P1258" s="31">
        <f t="shared" si="1444"/>
        <v>0</v>
      </c>
      <c r="Q1258" s="49">
        <f t="shared" si="1445"/>
        <v>0</v>
      </c>
    </row>
    <row r="1259" spans="4:17" s="16" customFormat="1" ht="13.2" x14ac:dyDescent="0.25">
      <c r="D1259" s="235">
        <v>17</v>
      </c>
      <c r="E1259" s="240">
        <v>4</v>
      </c>
      <c r="F1259" s="241">
        <v>8</v>
      </c>
      <c r="G1259" s="242">
        <v>5.15</v>
      </c>
      <c r="H1259" s="239">
        <f t="shared" si="1436"/>
        <v>20.6</v>
      </c>
      <c r="I1259" s="131">
        <f t="shared" si="1437"/>
        <v>0</v>
      </c>
      <c r="J1259" s="31">
        <f t="shared" si="1438"/>
        <v>0</v>
      </c>
      <c r="K1259" s="31">
        <f t="shared" si="1439"/>
        <v>0</v>
      </c>
      <c r="L1259" s="31">
        <f t="shared" si="1440"/>
        <v>8.1370000000000005</v>
      </c>
      <c r="M1259" s="31">
        <f t="shared" si="1441"/>
        <v>0</v>
      </c>
      <c r="N1259" s="31">
        <f t="shared" si="1442"/>
        <v>0</v>
      </c>
      <c r="O1259" s="31">
        <f t="shared" si="1443"/>
        <v>0</v>
      </c>
      <c r="P1259" s="31">
        <f t="shared" si="1444"/>
        <v>0</v>
      </c>
      <c r="Q1259" s="49">
        <f t="shared" si="1445"/>
        <v>0</v>
      </c>
    </row>
    <row r="1260" spans="4:17" s="16" customFormat="1" ht="13.8" thickBot="1" x14ac:dyDescent="0.3">
      <c r="D1260" s="307"/>
      <c r="E1260" s="26"/>
      <c r="F1260" s="206"/>
      <c r="G1260" s="207"/>
      <c r="H1260" s="207"/>
      <c r="I1260" s="51"/>
      <c r="J1260" s="308"/>
      <c r="K1260" s="308"/>
      <c r="L1260" s="308"/>
      <c r="M1260" s="308"/>
      <c r="N1260" s="308"/>
      <c r="O1260" s="308"/>
      <c r="P1260" s="308"/>
      <c r="Q1260" s="309"/>
    </row>
    <row r="1261" spans="4:17" s="16" customFormat="1" ht="13.2" x14ac:dyDescent="0.25">
      <c r="D1261" s="796" t="s">
        <v>1992</v>
      </c>
      <c r="E1261" s="797"/>
      <c r="F1261" s="797"/>
      <c r="G1261" s="797"/>
      <c r="H1261" s="797"/>
      <c r="I1261" s="47">
        <f t="shared" ref="I1261:Q1261" si="1446">SUM(I1262:I1269)</f>
        <v>0</v>
      </c>
      <c r="J1261" s="47">
        <f t="shared" si="1446"/>
        <v>8.2158999999999995</v>
      </c>
      <c r="K1261" s="47">
        <f t="shared" si="1446"/>
        <v>0</v>
      </c>
      <c r="L1261" s="47">
        <f t="shared" si="1446"/>
        <v>22.096300000000003</v>
      </c>
      <c r="M1261" s="47">
        <f t="shared" si="1446"/>
        <v>0</v>
      </c>
      <c r="N1261" s="47">
        <f t="shared" si="1446"/>
        <v>0</v>
      </c>
      <c r="O1261" s="47">
        <f t="shared" si="1446"/>
        <v>0</v>
      </c>
      <c r="P1261" s="47">
        <f t="shared" si="1446"/>
        <v>0</v>
      </c>
      <c r="Q1261" s="47">
        <f t="shared" si="1446"/>
        <v>0</v>
      </c>
    </row>
    <row r="1262" spans="4:17" s="16" customFormat="1" ht="13.2" x14ac:dyDescent="0.25">
      <c r="D1262" s="235">
        <v>3</v>
      </c>
      <c r="E1262" s="237">
        <v>55</v>
      </c>
      <c r="F1262" s="238">
        <v>5</v>
      </c>
      <c r="G1262" s="239">
        <v>0.97</v>
      </c>
      <c r="H1262" s="239">
        <f t="shared" ref="H1262:H1269" si="1447">E1262*G1262</f>
        <v>53.35</v>
      </c>
      <c r="I1262" s="131">
        <f t="shared" ref="I1262:I1269" si="1448">IF($F1262=4.2,H1262*$B$23,0)</f>
        <v>0</v>
      </c>
      <c r="J1262" s="31">
        <f t="shared" ref="J1262:J1269" si="1449">IF($F1262=5,$H1262*$B$24,0)</f>
        <v>8.2158999999999995</v>
      </c>
      <c r="K1262" s="31">
        <f t="shared" ref="K1262:K1269" si="1450">IF($F1262=6.3,$H1262*$B$25,0)</f>
        <v>0</v>
      </c>
      <c r="L1262" s="31">
        <f t="shared" ref="L1262:L1269" si="1451">IF($F1262=8,$H1262*$B$26,0)</f>
        <v>0</v>
      </c>
      <c r="M1262" s="31">
        <f t="shared" ref="M1262:M1269" si="1452">IF($F1262=10,$H1262*$B$27,0)</f>
        <v>0</v>
      </c>
      <c r="N1262" s="31">
        <f t="shared" ref="N1262:N1269" si="1453">IF($F1262=12.5,$H1262*$B$28,0)</f>
        <v>0</v>
      </c>
      <c r="O1262" s="31">
        <f t="shared" ref="O1262:O1269" si="1454">IF($F1262=16,$H1262*$B$29,0)</f>
        <v>0</v>
      </c>
      <c r="P1262" s="31">
        <f t="shared" ref="P1262:P1269" si="1455">IF($F1262=20,$H1262*$B$30,0)</f>
        <v>0</v>
      </c>
      <c r="Q1262" s="49">
        <f t="shared" ref="Q1262:Q1269" si="1456">IF($F1262=25,$H1262*$B$31,0)</f>
        <v>0</v>
      </c>
    </row>
    <row r="1263" spans="4:17" s="16" customFormat="1" ht="13.2" x14ac:dyDescent="0.25">
      <c r="D1263" s="235">
        <v>16</v>
      </c>
      <c r="E1263" s="240">
        <v>1</v>
      </c>
      <c r="F1263" s="241">
        <v>8</v>
      </c>
      <c r="G1263" s="242">
        <v>2.2000000000000002</v>
      </c>
      <c r="H1263" s="239">
        <f t="shared" si="1447"/>
        <v>2.2000000000000002</v>
      </c>
      <c r="I1263" s="131">
        <f t="shared" si="1448"/>
        <v>0</v>
      </c>
      <c r="J1263" s="31">
        <f t="shared" si="1449"/>
        <v>0</v>
      </c>
      <c r="K1263" s="31">
        <f t="shared" si="1450"/>
        <v>0</v>
      </c>
      <c r="L1263" s="31">
        <f t="shared" si="1451"/>
        <v>0.86900000000000011</v>
      </c>
      <c r="M1263" s="31">
        <f t="shared" si="1452"/>
        <v>0</v>
      </c>
      <c r="N1263" s="31">
        <f t="shared" si="1453"/>
        <v>0</v>
      </c>
      <c r="O1263" s="31">
        <f t="shared" si="1454"/>
        <v>0</v>
      </c>
      <c r="P1263" s="31">
        <f t="shared" si="1455"/>
        <v>0</v>
      </c>
      <c r="Q1263" s="49">
        <f t="shared" si="1456"/>
        <v>0</v>
      </c>
    </row>
    <row r="1264" spans="4:17" s="16" customFormat="1" ht="13.2" x14ac:dyDescent="0.25">
      <c r="D1264" s="235">
        <v>18</v>
      </c>
      <c r="E1264" s="240">
        <v>1</v>
      </c>
      <c r="F1264" s="241">
        <v>8</v>
      </c>
      <c r="G1264" s="242">
        <v>2.25</v>
      </c>
      <c r="H1264" s="239">
        <f t="shared" si="1447"/>
        <v>2.25</v>
      </c>
      <c r="I1264" s="131">
        <f t="shared" si="1448"/>
        <v>0</v>
      </c>
      <c r="J1264" s="31">
        <f t="shared" si="1449"/>
        <v>0</v>
      </c>
      <c r="K1264" s="31">
        <f t="shared" si="1450"/>
        <v>0</v>
      </c>
      <c r="L1264" s="31">
        <f t="shared" si="1451"/>
        <v>0.88875000000000004</v>
      </c>
      <c r="M1264" s="31">
        <f t="shared" si="1452"/>
        <v>0</v>
      </c>
      <c r="N1264" s="31">
        <f t="shared" si="1453"/>
        <v>0</v>
      </c>
      <c r="O1264" s="31">
        <f t="shared" si="1454"/>
        <v>0</v>
      </c>
      <c r="P1264" s="31">
        <f t="shared" si="1455"/>
        <v>0</v>
      </c>
      <c r="Q1264" s="49">
        <f t="shared" si="1456"/>
        <v>0</v>
      </c>
    </row>
    <row r="1265" spans="4:17" s="16" customFormat="1" ht="13.2" x14ac:dyDescent="0.25">
      <c r="D1265" s="235">
        <v>19</v>
      </c>
      <c r="E1265" s="240">
        <v>2</v>
      </c>
      <c r="F1265" s="241">
        <v>8</v>
      </c>
      <c r="G1265" s="242">
        <v>8.07</v>
      </c>
      <c r="H1265" s="239">
        <f t="shared" si="1447"/>
        <v>16.14</v>
      </c>
      <c r="I1265" s="131">
        <f t="shared" si="1448"/>
        <v>0</v>
      </c>
      <c r="J1265" s="31">
        <f t="shared" si="1449"/>
        <v>0</v>
      </c>
      <c r="K1265" s="31">
        <f t="shared" si="1450"/>
        <v>0</v>
      </c>
      <c r="L1265" s="31">
        <f t="shared" si="1451"/>
        <v>6.3753000000000002</v>
      </c>
      <c r="M1265" s="31">
        <f t="shared" si="1452"/>
        <v>0</v>
      </c>
      <c r="N1265" s="31">
        <f t="shared" si="1453"/>
        <v>0</v>
      </c>
      <c r="O1265" s="31">
        <f t="shared" si="1454"/>
        <v>0</v>
      </c>
      <c r="P1265" s="31">
        <f t="shared" si="1455"/>
        <v>0</v>
      </c>
      <c r="Q1265" s="49">
        <f t="shared" si="1456"/>
        <v>0</v>
      </c>
    </row>
    <row r="1266" spans="4:17" s="16" customFormat="1" ht="13.2" x14ac:dyDescent="0.25">
      <c r="D1266" s="235">
        <v>20</v>
      </c>
      <c r="E1266" s="240">
        <v>1</v>
      </c>
      <c r="F1266" s="241">
        <v>8</v>
      </c>
      <c r="G1266" s="242">
        <v>1.75</v>
      </c>
      <c r="H1266" s="239">
        <f t="shared" si="1447"/>
        <v>1.75</v>
      </c>
      <c r="I1266" s="131">
        <f t="shared" si="1448"/>
        <v>0</v>
      </c>
      <c r="J1266" s="31">
        <f t="shared" si="1449"/>
        <v>0</v>
      </c>
      <c r="K1266" s="31">
        <f t="shared" si="1450"/>
        <v>0</v>
      </c>
      <c r="L1266" s="31">
        <f t="shared" si="1451"/>
        <v>0.69125000000000003</v>
      </c>
      <c r="M1266" s="31">
        <f t="shared" si="1452"/>
        <v>0</v>
      </c>
      <c r="N1266" s="31">
        <f t="shared" si="1453"/>
        <v>0</v>
      </c>
      <c r="O1266" s="31">
        <f t="shared" si="1454"/>
        <v>0</v>
      </c>
      <c r="P1266" s="31">
        <f t="shared" si="1455"/>
        <v>0</v>
      </c>
      <c r="Q1266" s="49">
        <f t="shared" si="1456"/>
        <v>0</v>
      </c>
    </row>
    <row r="1267" spans="4:17" s="16" customFormat="1" ht="13.2" x14ac:dyDescent="0.25">
      <c r="D1267" s="235">
        <v>21</v>
      </c>
      <c r="E1267" s="240">
        <v>2</v>
      </c>
      <c r="F1267" s="241">
        <v>8</v>
      </c>
      <c r="G1267" s="242">
        <v>4.0199999999999996</v>
      </c>
      <c r="H1267" s="239">
        <f t="shared" si="1447"/>
        <v>8.0399999999999991</v>
      </c>
      <c r="I1267" s="131">
        <f t="shared" si="1448"/>
        <v>0</v>
      </c>
      <c r="J1267" s="31">
        <f t="shared" si="1449"/>
        <v>0</v>
      </c>
      <c r="K1267" s="31">
        <f t="shared" si="1450"/>
        <v>0</v>
      </c>
      <c r="L1267" s="31">
        <f t="shared" si="1451"/>
        <v>3.1757999999999997</v>
      </c>
      <c r="M1267" s="31">
        <f t="shared" si="1452"/>
        <v>0</v>
      </c>
      <c r="N1267" s="31">
        <f t="shared" si="1453"/>
        <v>0</v>
      </c>
      <c r="O1267" s="31">
        <f t="shared" si="1454"/>
        <v>0</v>
      </c>
      <c r="P1267" s="31">
        <f t="shared" si="1455"/>
        <v>0</v>
      </c>
      <c r="Q1267" s="49">
        <f t="shared" si="1456"/>
        <v>0</v>
      </c>
    </row>
    <row r="1268" spans="4:17" s="16" customFormat="1" ht="13.2" x14ac:dyDescent="0.25">
      <c r="D1268" s="235">
        <v>22</v>
      </c>
      <c r="E1268" s="240">
        <v>2</v>
      </c>
      <c r="F1268" s="241">
        <v>8</v>
      </c>
      <c r="G1268" s="242">
        <v>10.97</v>
      </c>
      <c r="H1268" s="239">
        <f t="shared" si="1447"/>
        <v>21.94</v>
      </c>
      <c r="I1268" s="131">
        <f t="shared" si="1448"/>
        <v>0</v>
      </c>
      <c r="J1268" s="31">
        <f t="shared" si="1449"/>
        <v>0</v>
      </c>
      <c r="K1268" s="31">
        <f t="shared" si="1450"/>
        <v>0</v>
      </c>
      <c r="L1268" s="31">
        <f t="shared" si="1451"/>
        <v>8.6663000000000014</v>
      </c>
      <c r="M1268" s="31">
        <f t="shared" si="1452"/>
        <v>0</v>
      </c>
      <c r="N1268" s="31">
        <f t="shared" si="1453"/>
        <v>0</v>
      </c>
      <c r="O1268" s="31">
        <f t="shared" si="1454"/>
        <v>0</v>
      </c>
      <c r="P1268" s="31">
        <f t="shared" si="1455"/>
        <v>0</v>
      </c>
      <c r="Q1268" s="49">
        <f t="shared" si="1456"/>
        <v>0</v>
      </c>
    </row>
    <row r="1269" spans="4:17" s="16" customFormat="1" ht="13.2" x14ac:dyDescent="0.25">
      <c r="D1269" s="235">
        <v>23</v>
      </c>
      <c r="E1269" s="240">
        <v>2</v>
      </c>
      <c r="F1269" s="241">
        <v>8</v>
      </c>
      <c r="G1269" s="242">
        <v>1.81</v>
      </c>
      <c r="H1269" s="239">
        <f t="shared" si="1447"/>
        <v>3.62</v>
      </c>
      <c r="I1269" s="131">
        <f t="shared" si="1448"/>
        <v>0</v>
      </c>
      <c r="J1269" s="31">
        <f t="shared" si="1449"/>
        <v>0</v>
      </c>
      <c r="K1269" s="31">
        <f t="shared" si="1450"/>
        <v>0</v>
      </c>
      <c r="L1269" s="31">
        <f t="shared" si="1451"/>
        <v>1.4299000000000002</v>
      </c>
      <c r="M1269" s="31">
        <f t="shared" si="1452"/>
        <v>0</v>
      </c>
      <c r="N1269" s="31">
        <f t="shared" si="1453"/>
        <v>0</v>
      </c>
      <c r="O1269" s="31">
        <f t="shared" si="1454"/>
        <v>0</v>
      </c>
      <c r="P1269" s="31">
        <f t="shared" si="1455"/>
        <v>0</v>
      </c>
      <c r="Q1269" s="49">
        <f t="shared" si="1456"/>
        <v>0</v>
      </c>
    </row>
    <row r="1270" spans="4:17" s="16" customFormat="1" ht="13.8" thickBot="1" x14ac:dyDescent="0.3">
      <c r="D1270" s="307"/>
      <c r="E1270" s="26"/>
      <c r="F1270" s="206"/>
      <c r="G1270" s="207"/>
      <c r="H1270" s="207"/>
      <c r="I1270" s="51"/>
      <c r="J1270" s="308"/>
      <c r="K1270" s="308"/>
      <c r="L1270" s="308"/>
      <c r="M1270" s="308"/>
      <c r="N1270" s="308"/>
      <c r="O1270" s="308"/>
      <c r="P1270" s="308"/>
      <c r="Q1270" s="309"/>
    </row>
    <row r="1271" spans="4:17" s="16" customFormat="1" ht="13.2" x14ac:dyDescent="0.25">
      <c r="D1271" s="796" t="s">
        <v>1993</v>
      </c>
      <c r="E1271" s="797"/>
      <c r="F1271" s="797"/>
      <c r="G1271" s="797"/>
      <c r="H1271" s="797"/>
      <c r="I1271" s="47">
        <f t="shared" ref="I1271:Q1271" si="1457">SUM(I1272:I1274)</f>
        <v>0</v>
      </c>
      <c r="J1271" s="47">
        <f t="shared" si="1457"/>
        <v>2.9875999999999996</v>
      </c>
      <c r="K1271" s="47">
        <f t="shared" si="1457"/>
        <v>0</v>
      </c>
      <c r="L1271" s="47">
        <f t="shared" si="1457"/>
        <v>7.6156000000000006</v>
      </c>
      <c r="M1271" s="47">
        <f t="shared" si="1457"/>
        <v>0</v>
      </c>
      <c r="N1271" s="47">
        <f t="shared" si="1457"/>
        <v>0</v>
      </c>
      <c r="O1271" s="47">
        <f t="shared" si="1457"/>
        <v>0</v>
      </c>
      <c r="P1271" s="47">
        <f t="shared" si="1457"/>
        <v>0</v>
      </c>
      <c r="Q1271" s="47">
        <f t="shared" si="1457"/>
        <v>0</v>
      </c>
    </row>
    <row r="1272" spans="4:17" s="16" customFormat="1" ht="13.2" x14ac:dyDescent="0.25">
      <c r="D1272" s="235">
        <v>3</v>
      </c>
      <c r="E1272" s="237">
        <f>2*10</f>
        <v>20</v>
      </c>
      <c r="F1272" s="238">
        <v>5</v>
      </c>
      <c r="G1272" s="239">
        <v>0.97</v>
      </c>
      <c r="H1272" s="239">
        <f t="shared" ref="H1272:H1274" si="1458">E1272*G1272</f>
        <v>19.399999999999999</v>
      </c>
      <c r="I1272" s="131">
        <f t="shared" ref="I1272:I1274" si="1459">IF($F1272=4.2,H1272*$B$23,0)</f>
        <v>0</v>
      </c>
      <c r="J1272" s="31">
        <f t="shared" ref="J1272:J1274" si="1460">IF($F1272=5,$H1272*$B$24,0)</f>
        <v>2.9875999999999996</v>
      </c>
      <c r="K1272" s="31">
        <f t="shared" ref="K1272:K1274" si="1461">IF($F1272=6.3,$H1272*$B$25,0)</f>
        <v>0</v>
      </c>
      <c r="L1272" s="31">
        <f t="shared" ref="L1272:L1274" si="1462">IF($F1272=8,$H1272*$B$26,0)</f>
        <v>0</v>
      </c>
      <c r="M1272" s="31">
        <f t="shared" ref="M1272:M1274" si="1463">IF($F1272=10,$H1272*$B$27,0)</f>
        <v>0</v>
      </c>
      <c r="N1272" s="31">
        <f t="shared" ref="N1272:N1274" si="1464">IF($F1272=12.5,$H1272*$B$28,0)</f>
        <v>0</v>
      </c>
      <c r="O1272" s="31">
        <f t="shared" ref="O1272:O1274" si="1465">IF($F1272=16,$H1272*$B$29,0)</f>
        <v>0</v>
      </c>
      <c r="P1272" s="31">
        <f t="shared" ref="P1272:P1274" si="1466">IF($F1272=20,$H1272*$B$30,0)</f>
        <v>0</v>
      </c>
      <c r="Q1272" s="49">
        <f t="shared" ref="Q1272:Q1274" si="1467">IF($F1272=25,$H1272*$B$31,0)</f>
        <v>0</v>
      </c>
    </row>
    <row r="1273" spans="4:17" s="16" customFormat="1" ht="13.2" x14ac:dyDescent="0.25">
      <c r="D1273" s="235">
        <v>27</v>
      </c>
      <c r="E1273" s="240">
        <f>2*2</f>
        <v>4</v>
      </c>
      <c r="F1273" s="241">
        <v>8</v>
      </c>
      <c r="G1273" s="242">
        <v>2.14</v>
      </c>
      <c r="H1273" s="239">
        <f t="shared" si="1458"/>
        <v>8.56</v>
      </c>
      <c r="I1273" s="131">
        <f t="shared" si="1459"/>
        <v>0</v>
      </c>
      <c r="J1273" s="31">
        <f t="shared" si="1460"/>
        <v>0</v>
      </c>
      <c r="K1273" s="31">
        <f t="shared" si="1461"/>
        <v>0</v>
      </c>
      <c r="L1273" s="31">
        <f t="shared" si="1462"/>
        <v>3.3812000000000002</v>
      </c>
      <c r="M1273" s="31">
        <f t="shared" si="1463"/>
        <v>0</v>
      </c>
      <c r="N1273" s="31">
        <f t="shared" si="1464"/>
        <v>0</v>
      </c>
      <c r="O1273" s="31">
        <f t="shared" si="1465"/>
        <v>0</v>
      </c>
      <c r="P1273" s="31">
        <f t="shared" si="1466"/>
        <v>0</v>
      </c>
      <c r="Q1273" s="49">
        <f t="shared" si="1467"/>
        <v>0</v>
      </c>
    </row>
    <row r="1274" spans="4:17" s="16" customFormat="1" ht="13.2" x14ac:dyDescent="0.25">
      <c r="D1274" s="235">
        <v>28</v>
      </c>
      <c r="E1274" s="240">
        <f>2*2</f>
        <v>4</v>
      </c>
      <c r="F1274" s="241">
        <v>8</v>
      </c>
      <c r="G1274" s="242">
        <v>2.68</v>
      </c>
      <c r="H1274" s="239">
        <f t="shared" si="1458"/>
        <v>10.72</v>
      </c>
      <c r="I1274" s="131">
        <f t="shared" si="1459"/>
        <v>0</v>
      </c>
      <c r="J1274" s="31">
        <f t="shared" si="1460"/>
        <v>0</v>
      </c>
      <c r="K1274" s="31">
        <f t="shared" si="1461"/>
        <v>0</v>
      </c>
      <c r="L1274" s="31">
        <f t="shared" si="1462"/>
        <v>4.2344000000000008</v>
      </c>
      <c r="M1274" s="31">
        <f t="shared" si="1463"/>
        <v>0</v>
      </c>
      <c r="N1274" s="31">
        <f t="shared" si="1464"/>
        <v>0</v>
      </c>
      <c r="O1274" s="31">
        <f t="shared" si="1465"/>
        <v>0</v>
      </c>
      <c r="P1274" s="31">
        <f t="shared" si="1466"/>
        <v>0</v>
      </c>
      <c r="Q1274" s="49">
        <f t="shared" si="1467"/>
        <v>0</v>
      </c>
    </row>
    <row r="1275" spans="4:17" s="16" customFormat="1" ht="13.8" thickBot="1" x14ac:dyDescent="0.3">
      <c r="D1275" s="307"/>
      <c r="E1275" s="26"/>
      <c r="F1275" s="206"/>
      <c r="G1275" s="207"/>
      <c r="H1275" s="207"/>
      <c r="I1275" s="51"/>
      <c r="J1275" s="308"/>
      <c r="K1275" s="308"/>
      <c r="L1275" s="308"/>
      <c r="M1275" s="308"/>
      <c r="N1275" s="308"/>
      <c r="O1275" s="308"/>
      <c r="P1275" s="308"/>
      <c r="Q1275" s="309"/>
    </row>
    <row r="1276" spans="4:17" s="16" customFormat="1" ht="13.2" x14ac:dyDescent="0.25">
      <c r="D1276" s="796" t="s">
        <v>1994</v>
      </c>
      <c r="E1276" s="797"/>
      <c r="F1276" s="797"/>
      <c r="G1276" s="797"/>
      <c r="H1276" s="797"/>
      <c r="I1276" s="47">
        <f t="shared" ref="I1276:Q1276" si="1468">SUM(I1277:I1279)</f>
        <v>0</v>
      </c>
      <c r="J1276" s="47">
        <f t="shared" si="1468"/>
        <v>5.2282999999999991</v>
      </c>
      <c r="K1276" s="47">
        <f t="shared" si="1468"/>
        <v>0</v>
      </c>
      <c r="L1276" s="47">
        <f t="shared" si="1468"/>
        <v>12.8454</v>
      </c>
      <c r="M1276" s="47">
        <f t="shared" si="1468"/>
        <v>0</v>
      </c>
      <c r="N1276" s="47">
        <f t="shared" si="1468"/>
        <v>0</v>
      </c>
      <c r="O1276" s="47">
        <f t="shared" si="1468"/>
        <v>0</v>
      </c>
      <c r="P1276" s="47">
        <f t="shared" si="1468"/>
        <v>0</v>
      </c>
      <c r="Q1276" s="47">
        <f t="shared" si="1468"/>
        <v>0</v>
      </c>
    </row>
    <row r="1277" spans="4:17" s="16" customFormat="1" ht="13.2" x14ac:dyDescent="0.25">
      <c r="D1277" s="235">
        <v>3</v>
      </c>
      <c r="E1277" s="237">
        <v>35</v>
      </c>
      <c r="F1277" s="238">
        <v>5</v>
      </c>
      <c r="G1277" s="239">
        <v>0.97</v>
      </c>
      <c r="H1277" s="239">
        <f t="shared" ref="H1277:H1279" si="1469">E1277*G1277</f>
        <v>33.949999999999996</v>
      </c>
      <c r="I1277" s="131">
        <f t="shared" ref="I1277:I1279" si="1470">IF($F1277=4.2,H1277*$B$23,0)</f>
        <v>0</v>
      </c>
      <c r="J1277" s="31">
        <f t="shared" ref="J1277:J1279" si="1471">IF($F1277=5,$H1277*$B$24,0)</f>
        <v>5.2282999999999991</v>
      </c>
      <c r="K1277" s="31">
        <f t="shared" ref="K1277:K1279" si="1472">IF($F1277=6.3,$H1277*$B$25,0)</f>
        <v>0</v>
      </c>
      <c r="L1277" s="31">
        <f t="shared" ref="L1277:L1279" si="1473">IF($F1277=8,$H1277*$B$26,0)</f>
        <v>0</v>
      </c>
      <c r="M1277" s="31">
        <f t="shared" ref="M1277:M1279" si="1474">IF($F1277=10,$H1277*$B$27,0)</f>
        <v>0</v>
      </c>
      <c r="N1277" s="31">
        <f t="shared" ref="N1277:N1279" si="1475">IF($F1277=12.5,$H1277*$B$28,0)</f>
        <v>0</v>
      </c>
      <c r="O1277" s="31">
        <f t="shared" ref="O1277:O1279" si="1476">IF($F1277=16,$H1277*$B$29,0)</f>
        <v>0</v>
      </c>
      <c r="P1277" s="31">
        <f t="shared" ref="P1277:P1279" si="1477">IF($F1277=20,$H1277*$B$30,0)</f>
        <v>0</v>
      </c>
      <c r="Q1277" s="49">
        <f t="shared" ref="Q1277:Q1279" si="1478">IF($F1277=25,$H1277*$B$31,0)</f>
        <v>0</v>
      </c>
    </row>
    <row r="1278" spans="4:17" s="16" customFormat="1" ht="13.2" x14ac:dyDescent="0.25">
      <c r="D1278" s="235">
        <v>29</v>
      </c>
      <c r="E1278" s="240">
        <v>2</v>
      </c>
      <c r="F1278" s="241">
        <v>8</v>
      </c>
      <c r="G1278" s="242">
        <v>8.09</v>
      </c>
      <c r="H1278" s="239">
        <f t="shared" si="1469"/>
        <v>16.18</v>
      </c>
      <c r="I1278" s="131">
        <f t="shared" si="1470"/>
        <v>0</v>
      </c>
      <c r="J1278" s="31">
        <f t="shared" si="1471"/>
        <v>0</v>
      </c>
      <c r="K1278" s="31">
        <f t="shared" si="1472"/>
        <v>0</v>
      </c>
      <c r="L1278" s="31">
        <f t="shared" si="1473"/>
        <v>6.3910999999999998</v>
      </c>
      <c r="M1278" s="31">
        <f t="shared" si="1474"/>
        <v>0</v>
      </c>
      <c r="N1278" s="31">
        <f t="shared" si="1475"/>
        <v>0</v>
      </c>
      <c r="O1278" s="31">
        <f t="shared" si="1476"/>
        <v>0</v>
      </c>
      <c r="P1278" s="31">
        <f t="shared" si="1477"/>
        <v>0</v>
      </c>
      <c r="Q1278" s="49">
        <f t="shared" si="1478"/>
        <v>0</v>
      </c>
    </row>
    <row r="1279" spans="4:17" s="16" customFormat="1" ht="13.2" x14ac:dyDescent="0.25">
      <c r="D1279" s="235">
        <v>30</v>
      </c>
      <c r="E1279" s="240">
        <v>2</v>
      </c>
      <c r="F1279" s="241">
        <v>8</v>
      </c>
      <c r="G1279" s="242">
        <v>8.17</v>
      </c>
      <c r="H1279" s="239">
        <f t="shared" si="1469"/>
        <v>16.34</v>
      </c>
      <c r="I1279" s="131">
        <f t="shared" si="1470"/>
        <v>0</v>
      </c>
      <c r="J1279" s="31">
        <f t="shared" si="1471"/>
        <v>0</v>
      </c>
      <c r="K1279" s="31">
        <f t="shared" si="1472"/>
        <v>0</v>
      </c>
      <c r="L1279" s="31">
        <f t="shared" si="1473"/>
        <v>6.4542999999999999</v>
      </c>
      <c r="M1279" s="31">
        <f t="shared" si="1474"/>
        <v>0</v>
      </c>
      <c r="N1279" s="31">
        <f t="shared" si="1475"/>
        <v>0</v>
      </c>
      <c r="O1279" s="31">
        <f t="shared" si="1476"/>
        <v>0</v>
      </c>
      <c r="P1279" s="31">
        <f t="shared" si="1477"/>
        <v>0</v>
      </c>
      <c r="Q1279" s="49">
        <f t="shared" si="1478"/>
        <v>0</v>
      </c>
    </row>
    <row r="1280" spans="4:17" s="16" customFormat="1" ht="13.8" thickBot="1" x14ac:dyDescent="0.3">
      <c r="D1280" s="307"/>
      <c r="E1280" s="26"/>
      <c r="F1280" s="206"/>
      <c r="G1280" s="207"/>
      <c r="H1280" s="207"/>
      <c r="I1280" s="51"/>
      <c r="J1280" s="308"/>
      <c r="K1280" s="308"/>
      <c r="L1280" s="308"/>
      <c r="M1280" s="308"/>
      <c r="N1280" s="308"/>
      <c r="O1280" s="308"/>
      <c r="P1280" s="308"/>
      <c r="Q1280" s="309"/>
    </row>
    <row r="1281" spans="4:17" s="16" customFormat="1" ht="13.2" x14ac:dyDescent="0.25">
      <c r="D1281" s="796" t="s">
        <v>1995</v>
      </c>
      <c r="E1281" s="797"/>
      <c r="F1281" s="797"/>
      <c r="G1281" s="797"/>
      <c r="H1281" s="797"/>
      <c r="I1281" s="47">
        <f t="shared" ref="I1281:Q1281" si="1479">SUM(I1282:I1284)</f>
        <v>0</v>
      </c>
      <c r="J1281" s="47">
        <f t="shared" si="1479"/>
        <v>1.3444199999999999</v>
      </c>
      <c r="K1281" s="47">
        <f t="shared" si="1479"/>
        <v>0</v>
      </c>
      <c r="L1281" s="47">
        <f t="shared" si="1479"/>
        <v>4.0289999999999999</v>
      </c>
      <c r="M1281" s="47">
        <f t="shared" si="1479"/>
        <v>0</v>
      </c>
      <c r="N1281" s="47">
        <f t="shared" si="1479"/>
        <v>0</v>
      </c>
      <c r="O1281" s="47">
        <f t="shared" si="1479"/>
        <v>0</v>
      </c>
      <c r="P1281" s="47">
        <f t="shared" si="1479"/>
        <v>0</v>
      </c>
      <c r="Q1281" s="47">
        <f t="shared" si="1479"/>
        <v>0</v>
      </c>
    </row>
    <row r="1282" spans="4:17" s="16" customFormat="1" ht="13.2" x14ac:dyDescent="0.25">
      <c r="D1282" s="235">
        <v>3</v>
      </c>
      <c r="E1282" s="237">
        <v>9</v>
      </c>
      <c r="F1282" s="238">
        <v>5</v>
      </c>
      <c r="G1282" s="239">
        <v>0.97</v>
      </c>
      <c r="H1282" s="239">
        <f t="shared" ref="H1282:H1284" si="1480">E1282*G1282</f>
        <v>8.73</v>
      </c>
      <c r="I1282" s="131">
        <f t="shared" ref="I1282:I1284" si="1481">IF($F1282=4.2,H1282*$B$23,0)</f>
        <v>0</v>
      </c>
      <c r="J1282" s="31">
        <f t="shared" ref="J1282:J1284" si="1482">IF($F1282=5,$H1282*$B$24,0)</f>
        <v>1.3444199999999999</v>
      </c>
      <c r="K1282" s="31">
        <f t="shared" ref="K1282:K1284" si="1483">IF($F1282=6.3,$H1282*$B$25,0)</f>
        <v>0</v>
      </c>
      <c r="L1282" s="31">
        <f t="shared" ref="L1282:L1284" si="1484">IF($F1282=8,$H1282*$B$26,0)</f>
        <v>0</v>
      </c>
      <c r="M1282" s="31">
        <f t="shared" ref="M1282:M1284" si="1485">IF($F1282=10,$H1282*$B$27,0)</f>
        <v>0</v>
      </c>
      <c r="N1282" s="31">
        <f t="shared" ref="N1282:N1284" si="1486">IF($F1282=12.5,$H1282*$B$28,0)</f>
        <v>0</v>
      </c>
      <c r="O1282" s="31">
        <f t="shared" ref="O1282:O1284" si="1487">IF($F1282=16,$H1282*$B$29,0)</f>
        <v>0</v>
      </c>
      <c r="P1282" s="31">
        <f t="shared" ref="P1282:P1284" si="1488">IF($F1282=20,$H1282*$B$30,0)</f>
        <v>0</v>
      </c>
      <c r="Q1282" s="49">
        <f t="shared" ref="Q1282:Q1284" si="1489">IF($F1282=25,$H1282*$B$31,0)</f>
        <v>0</v>
      </c>
    </row>
    <row r="1283" spans="4:17" s="16" customFormat="1" ht="13.2" x14ac:dyDescent="0.25">
      <c r="D1283" s="235">
        <v>24</v>
      </c>
      <c r="E1283" s="240">
        <v>2</v>
      </c>
      <c r="F1283" s="241">
        <v>8</v>
      </c>
      <c r="G1283" s="242">
        <v>2.39</v>
      </c>
      <c r="H1283" s="239">
        <f t="shared" si="1480"/>
        <v>4.78</v>
      </c>
      <c r="I1283" s="131">
        <f t="shared" si="1481"/>
        <v>0</v>
      </c>
      <c r="J1283" s="31">
        <f t="shared" si="1482"/>
        <v>0</v>
      </c>
      <c r="K1283" s="31">
        <f t="shared" si="1483"/>
        <v>0</v>
      </c>
      <c r="L1283" s="31">
        <f t="shared" si="1484"/>
        <v>1.8881000000000001</v>
      </c>
      <c r="M1283" s="31">
        <f t="shared" si="1485"/>
        <v>0</v>
      </c>
      <c r="N1283" s="31">
        <f t="shared" si="1486"/>
        <v>0</v>
      </c>
      <c r="O1283" s="31">
        <f t="shared" si="1487"/>
        <v>0</v>
      </c>
      <c r="P1283" s="31">
        <f t="shared" si="1488"/>
        <v>0</v>
      </c>
      <c r="Q1283" s="49">
        <f t="shared" si="1489"/>
        <v>0</v>
      </c>
    </row>
    <row r="1284" spans="4:17" s="16" customFormat="1" ht="13.2" x14ac:dyDescent="0.25">
      <c r="D1284" s="235">
        <v>25</v>
      </c>
      <c r="E1284" s="240">
        <v>2</v>
      </c>
      <c r="F1284" s="241">
        <v>8</v>
      </c>
      <c r="G1284" s="242">
        <v>2.71</v>
      </c>
      <c r="H1284" s="239">
        <f t="shared" si="1480"/>
        <v>5.42</v>
      </c>
      <c r="I1284" s="131">
        <f t="shared" si="1481"/>
        <v>0</v>
      </c>
      <c r="J1284" s="31">
        <f t="shared" si="1482"/>
        <v>0</v>
      </c>
      <c r="K1284" s="31">
        <f t="shared" si="1483"/>
        <v>0</v>
      </c>
      <c r="L1284" s="31">
        <f t="shared" si="1484"/>
        <v>2.1409000000000002</v>
      </c>
      <c r="M1284" s="31">
        <f t="shared" si="1485"/>
        <v>0</v>
      </c>
      <c r="N1284" s="31">
        <f t="shared" si="1486"/>
        <v>0</v>
      </c>
      <c r="O1284" s="31">
        <f t="shared" si="1487"/>
        <v>0</v>
      </c>
      <c r="P1284" s="31">
        <f t="shared" si="1488"/>
        <v>0</v>
      </c>
      <c r="Q1284" s="49">
        <f t="shared" si="1489"/>
        <v>0</v>
      </c>
    </row>
    <row r="1285" spans="4:17" s="16" customFormat="1" ht="13.8" thickBot="1" x14ac:dyDescent="0.3">
      <c r="D1285" s="307"/>
      <c r="E1285" s="26"/>
      <c r="F1285" s="206"/>
      <c r="G1285" s="207"/>
      <c r="H1285" s="207"/>
      <c r="I1285" s="51"/>
      <c r="J1285" s="308"/>
      <c r="K1285" s="308"/>
      <c r="L1285" s="308"/>
      <c r="M1285" s="308"/>
      <c r="N1285" s="308"/>
      <c r="O1285" s="308"/>
      <c r="P1285" s="308"/>
      <c r="Q1285" s="309"/>
    </row>
    <row r="1286" spans="4:17" s="16" customFormat="1" ht="13.2" x14ac:dyDescent="0.25">
      <c r="D1286" s="796" t="s">
        <v>1996</v>
      </c>
      <c r="E1286" s="797"/>
      <c r="F1286" s="797"/>
      <c r="G1286" s="797"/>
      <c r="H1286" s="797"/>
      <c r="I1286" s="47">
        <f t="shared" ref="I1286:Q1286" si="1490">SUM(I1287:I1289)</f>
        <v>0</v>
      </c>
      <c r="J1286" s="47">
        <f t="shared" si="1490"/>
        <v>1.1950399999999999</v>
      </c>
      <c r="K1286" s="47">
        <f t="shared" si="1490"/>
        <v>0</v>
      </c>
      <c r="L1286" s="47">
        <f t="shared" si="1490"/>
        <v>3.6340000000000003</v>
      </c>
      <c r="M1286" s="47">
        <f t="shared" si="1490"/>
        <v>0</v>
      </c>
      <c r="N1286" s="47">
        <f t="shared" si="1490"/>
        <v>0</v>
      </c>
      <c r="O1286" s="47">
        <f t="shared" si="1490"/>
        <v>0</v>
      </c>
      <c r="P1286" s="47">
        <f t="shared" si="1490"/>
        <v>0</v>
      </c>
      <c r="Q1286" s="47">
        <f t="shared" si="1490"/>
        <v>0</v>
      </c>
    </row>
    <row r="1287" spans="4:17" s="16" customFormat="1" ht="13.2" x14ac:dyDescent="0.25">
      <c r="D1287" s="235">
        <v>3</v>
      </c>
      <c r="E1287" s="237">
        <v>8</v>
      </c>
      <c r="F1287" s="238">
        <v>5</v>
      </c>
      <c r="G1287" s="239">
        <v>0.97</v>
      </c>
      <c r="H1287" s="239">
        <f t="shared" ref="H1287:H1289" si="1491">E1287*G1287</f>
        <v>7.76</v>
      </c>
      <c r="I1287" s="131">
        <f t="shared" ref="I1287:I1289" si="1492">IF($F1287=4.2,H1287*$B$23,0)</f>
        <v>0</v>
      </c>
      <c r="J1287" s="31">
        <f t="shared" ref="J1287:J1289" si="1493">IF($F1287=5,$H1287*$B$24,0)</f>
        <v>1.1950399999999999</v>
      </c>
      <c r="K1287" s="31">
        <f t="shared" ref="K1287:K1289" si="1494">IF($F1287=6.3,$H1287*$B$25,0)</f>
        <v>0</v>
      </c>
      <c r="L1287" s="31">
        <f t="shared" ref="L1287:L1289" si="1495">IF($F1287=8,$H1287*$B$26,0)</f>
        <v>0</v>
      </c>
      <c r="M1287" s="31">
        <f t="shared" ref="M1287:M1289" si="1496">IF($F1287=10,$H1287*$B$27,0)</f>
        <v>0</v>
      </c>
      <c r="N1287" s="31">
        <f t="shared" ref="N1287:N1289" si="1497">IF($F1287=12.5,$H1287*$B$28,0)</f>
        <v>0</v>
      </c>
      <c r="O1287" s="31">
        <f t="shared" ref="O1287:O1289" si="1498">IF($F1287=16,$H1287*$B$29,0)</f>
        <v>0</v>
      </c>
      <c r="P1287" s="31">
        <f t="shared" ref="P1287:P1289" si="1499">IF($F1287=20,$H1287*$B$30,0)</f>
        <v>0</v>
      </c>
      <c r="Q1287" s="49">
        <f t="shared" ref="Q1287:Q1289" si="1500">IF($F1287=25,$H1287*$B$31,0)</f>
        <v>0</v>
      </c>
    </row>
    <row r="1288" spans="4:17" s="16" customFormat="1" ht="13.2" x14ac:dyDescent="0.25">
      <c r="D1288" s="235">
        <v>27</v>
      </c>
      <c r="E1288" s="240">
        <v>2</v>
      </c>
      <c r="F1288" s="241">
        <v>8</v>
      </c>
      <c r="G1288" s="242">
        <v>2.14</v>
      </c>
      <c r="H1288" s="239">
        <f t="shared" si="1491"/>
        <v>4.28</v>
      </c>
      <c r="I1288" s="131">
        <f t="shared" si="1492"/>
        <v>0</v>
      </c>
      <c r="J1288" s="31">
        <f t="shared" si="1493"/>
        <v>0</v>
      </c>
      <c r="K1288" s="31">
        <f t="shared" si="1494"/>
        <v>0</v>
      </c>
      <c r="L1288" s="31">
        <f t="shared" si="1495"/>
        <v>1.6906000000000001</v>
      </c>
      <c r="M1288" s="31">
        <f t="shared" si="1496"/>
        <v>0</v>
      </c>
      <c r="N1288" s="31">
        <f t="shared" si="1497"/>
        <v>0</v>
      </c>
      <c r="O1288" s="31">
        <f t="shared" si="1498"/>
        <v>0</v>
      </c>
      <c r="P1288" s="31">
        <f t="shared" si="1499"/>
        <v>0</v>
      </c>
      <c r="Q1288" s="49">
        <f t="shared" si="1500"/>
        <v>0</v>
      </c>
    </row>
    <row r="1289" spans="4:17" s="16" customFormat="1" ht="13.2" x14ac:dyDescent="0.25">
      <c r="D1289" s="235">
        <v>31</v>
      </c>
      <c r="E1289" s="240">
        <v>2</v>
      </c>
      <c r="F1289" s="241">
        <v>8</v>
      </c>
      <c r="G1289" s="242">
        <v>2.46</v>
      </c>
      <c r="H1289" s="239">
        <f t="shared" si="1491"/>
        <v>4.92</v>
      </c>
      <c r="I1289" s="131">
        <f t="shared" si="1492"/>
        <v>0</v>
      </c>
      <c r="J1289" s="31">
        <f t="shared" si="1493"/>
        <v>0</v>
      </c>
      <c r="K1289" s="31">
        <f t="shared" si="1494"/>
        <v>0</v>
      </c>
      <c r="L1289" s="31">
        <f t="shared" si="1495"/>
        <v>1.9434</v>
      </c>
      <c r="M1289" s="31">
        <f t="shared" si="1496"/>
        <v>0</v>
      </c>
      <c r="N1289" s="31">
        <f t="shared" si="1497"/>
        <v>0</v>
      </c>
      <c r="O1289" s="31">
        <f t="shared" si="1498"/>
        <v>0</v>
      </c>
      <c r="P1289" s="31">
        <f t="shared" si="1499"/>
        <v>0</v>
      </c>
      <c r="Q1289" s="49">
        <f t="shared" si="1500"/>
        <v>0</v>
      </c>
    </row>
    <row r="1290" spans="4:17" s="16" customFormat="1" ht="13.8" thickBot="1" x14ac:dyDescent="0.3">
      <c r="D1290" s="307"/>
      <c r="E1290" s="26"/>
      <c r="F1290" s="206"/>
      <c r="G1290" s="207"/>
      <c r="H1290" s="207"/>
      <c r="I1290" s="51"/>
      <c r="J1290" s="308"/>
      <c r="K1290" s="308"/>
      <c r="L1290" s="308"/>
      <c r="M1290" s="308"/>
      <c r="N1290" s="308"/>
      <c r="O1290" s="308"/>
      <c r="P1290" s="308"/>
      <c r="Q1290" s="309"/>
    </row>
    <row r="1291" spans="4:17" s="16" customFormat="1" ht="13.2" x14ac:dyDescent="0.25">
      <c r="D1291" s="796" t="s">
        <v>1997</v>
      </c>
      <c r="E1291" s="797"/>
      <c r="F1291" s="797"/>
      <c r="G1291" s="797"/>
      <c r="H1291" s="797"/>
      <c r="I1291" s="47">
        <f t="shared" ref="I1291:Q1291" si="1501">SUM(I1292:I1294)</f>
        <v>0</v>
      </c>
      <c r="J1291" s="47">
        <f t="shared" si="1501"/>
        <v>1.4937999999999998</v>
      </c>
      <c r="K1291" s="47">
        <f t="shared" si="1501"/>
        <v>0</v>
      </c>
      <c r="L1291" s="47">
        <f t="shared" si="1501"/>
        <v>3.8078000000000003</v>
      </c>
      <c r="M1291" s="47">
        <f t="shared" si="1501"/>
        <v>0</v>
      </c>
      <c r="N1291" s="47">
        <f t="shared" si="1501"/>
        <v>0</v>
      </c>
      <c r="O1291" s="47">
        <f t="shared" si="1501"/>
        <v>0</v>
      </c>
      <c r="P1291" s="47">
        <f t="shared" si="1501"/>
        <v>0</v>
      </c>
      <c r="Q1291" s="47">
        <f t="shared" si="1501"/>
        <v>0</v>
      </c>
    </row>
    <row r="1292" spans="4:17" s="16" customFormat="1" ht="13.2" x14ac:dyDescent="0.25">
      <c r="D1292" s="235">
        <v>3</v>
      </c>
      <c r="E1292" s="237">
        <v>10</v>
      </c>
      <c r="F1292" s="238">
        <v>5</v>
      </c>
      <c r="G1292" s="239">
        <v>0.97</v>
      </c>
      <c r="H1292" s="239">
        <f t="shared" ref="H1292:H1294" si="1502">E1292*G1292</f>
        <v>9.6999999999999993</v>
      </c>
      <c r="I1292" s="131">
        <f t="shared" ref="I1292:I1294" si="1503">IF($F1292=4.2,H1292*$B$23,0)</f>
        <v>0</v>
      </c>
      <c r="J1292" s="31">
        <f t="shared" ref="J1292:J1294" si="1504">IF($F1292=5,$H1292*$B$24,0)</f>
        <v>1.4937999999999998</v>
      </c>
      <c r="K1292" s="31">
        <f t="shared" ref="K1292:K1294" si="1505">IF($F1292=6.3,$H1292*$B$25,0)</f>
        <v>0</v>
      </c>
      <c r="L1292" s="31">
        <f t="shared" ref="L1292:L1294" si="1506">IF($F1292=8,$H1292*$B$26,0)</f>
        <v>0</v>
      </c>
      <c r="M1292" s="31">
        <f t="shared" ref="M1292:M1294" si="1507">IF($F1292=10,$H1292*$B$27,0)</f>
        <v>0</v>
      </c>
      <c r="N1292" s="31">
        <f t="shared" ref="N1292:N1294" si="1508">IF($F1292=12.5,$H1292*$B$28,0)</f>
        <v>0</v>
      </c>
      <c r="O1292" s="31">
        <f t="shared" ref="O1292:O1294" si="1509">IF($F1292=16,$H1292*$B$29,0)</f>
        <v>0</v>
      </c>
      <c r="P1292" s="31">
        <f t="shared" ref="P1292:P1294" si="1510">IF($F1292=20,$H1292*$B$30,0)</f>
        <v>0</v>
      </c>
      <c r="Q1292" s="49">
        <f t="shared" ref="Q1292:Q1294" si="1511">IF($F1292=25,$H1292*$B$31,0)</f>
        <v>0</v>
      </c>
    </row>
    <row r="1293" spans="4:17" s="16" customFormat="1" ht="13.2" x14ac:dyDescent="0.25">
      <c r="D1293" s="235">
        <v>27</v>
      </c>
      <c r="E1293" s="240">
        <v>2</v>
      </c>
      <c r="F1293" s="241">
        <v>8</v>
      </c>
      <c r="G1293" s="242">
        <v>2.14</v>
      </c>
      <c r="H1293" s="239">
        <f t="shared" si="1502"/>
        <v>4.28</v>
      </c>
      <c r="I1293" s="131">
        <f t="shared" si="1503"/>
        <v>0</v>
      </c>
      <c r="J1293" s="31">
        <f t="shared" si="1504"/>
        <v>0</v>
      </c>
      <c r="K1293" s="31">
        <f t="shared" si="1505"/>
        <v>0</v>
      </c>
      <c r="L1293" s="31">
        <f t="shared" si="1506"/>
        <v>1.6906000000000001</v>
      </c>
      <c r="M1293" s="31">
        <f t="shared" si="1507"/>
        <v>0</v>
      </c>
      <c r="N1293" s="31">
        <f t="shared" si="1508"/>
        <v>0</v>
      </c>
      <c r="O1293" s="31">
        <f t="shared" si="1509"/>
        <v>0</v>
      </c>
      <c r="P1293" s="31">
        <f t="shared" si="1510"/>
        <v>0</v>
      </c>
      <c r="Q1293" s="49">
        <f t="shared" si="1511"/>
        <v>0</v>
      </c>
    </row>
    <row r="1294" spans="4:17" s="16" customFormat="1" ht="13.2" x14ac:dyDescent="0.25">
      <c r="D1294" s="235">
        <v>28</v>
      </c>
      <c r="E1294" s="240">
        <v>2</v>
      </c>
      <c r="F1294" s="241">
        <v>8</v>
      </c>
      <c r="G1294" s="242">
        <v>2.68</v>
      </c>
      <c r="H1294" s="239">
        <f t="shared" si="1502"/>
        <v>5.36</v>
      </c>
      <c r="I1294" s="131">
        <f t="shared" si="1503"/>
        <v>0</v>
      </c>
      <c r="J1294" s="31">
        <f t="shared" si="1504"/>
        <v>0</v>
      </c>
      <c r="K1294" s="31">
        <f t="shared" si="1505"/>
        <v>0</v>
      </c>
      <c r="L1294" s="31">
        <f t="shared" si="1506"/>
        <v>2.1172000000000004</v>
      </c>
      <c r="M1294" s="31">
        <f t="shared" si="1507"/>
        <v>0</v>
      </c>
      <c r="N1294" s="31">
        <f t="shared" si="1508"/>
        <v>0</v>
      </c>
      <c r="O1294" s="31">
        <f t="shared" si="1509"/>
        <v>0</v>
      </c>
      <c r="P1294" s="31">
        <f t="shared" si="1510"/>
        <v>0</v>
      </c>
      <c r="Q1294" s="49">
        <f t="shared" si="1511"/>
        <v>0</v>
      </c>
    </row>
    <row r="1295" spans="4:17" s="16" customFormat="1" ht="13.8" thickBot="1" x14ac:dyDescent="0.3">
      <c r="D1295" s="307"/>
      <c r="E1295" s="26"/>
      <c r="F1295" s="206"/>
      <c r="G1295" s="207"/>
      <c r="H1295" s="207"/>
      <c r="I1295" s="51"/>
      <c r="J1295" s="308"/>
      <c r="K1295" s="308"/>
      <c r="L1295" s="308"/>
      <c r="M1295" s="308"/>
      <c r="N1295" s="308"/>
      <c r="O1295" s="308"/>
      <c r="P1295" s="308"/>
      <c r="Q1295" s="309"/>
    </row>
    <row r="1296" spans="4:17" s="16" customFormat="1" ht="13.2" x14ac:dyDescent="0.25">
      <c r="D1296" s="796" t="s">
        <v>1998</v>
      </c>
      <c r="E1296" s="797"/>
      <c r="F1296" s="797"/>
      <c r="G1296" s="797"/>
      <c r="H1296" s="797"/>
      <c r="I1296" s="47">
        <f t="shared" ref="I1296:Q1296" si="1512">SUM(I1297:I1299)</f>
        <v>0</v>
      </c>
      <c r="J1296" s="47">
        <f t="shared" si="1512"/>
        <v>3.8838799999999996</v>
      </c>
      <c r="K1296" s="47">
        <f t="shared" si="1512"/>
        <v>0</v>
      </c>
      <c r="L1296" s="47">
        <f t="shared" si="1512"/>
        <v>10.0488</v>
      </c>
      <c r="M1296" s="47">
        <f t="shared" si="1512"/>
        <v>0</v>
      </c>
      <c r="N1296" s="47">
        <f t="shared" si="1512"/>
        <v>0</v>
      </c>
      <c r="O1296" s="47">
        <f t="shared" si="1512"/>
        <v>0</v>
      </c>
      <c r="P1296" s="47">
        <f t="shared" si="1512"/>
        <v>0</v>
      </c>
      <c r="Q1296" s="47">
        <f t="shared" si="1512"/>
        <v>0</v>
      </c>
    </row>
    <row r="1297" spans="4:17" s="16" customFormat="1" ht="13.2" x14ac:dyDescent="0.25">
      <c r="D1297" s="235">
        <v>3</v>
      </c>
      <c r="E1297" s="237">
        <v>26</v>
      </c>
      <c r="F1297" s="238">
        <v>5</v>
      </c>
      <c r="G1297" s="239">
        <v>0.97</v>
      </c>
      <c r="H1297" s="239">
        <f t="shared" ref="H1297:H1299" si="1513">E1297*G1297</f>
        <v>25.22</v>
      </c>
      <c r="I1297" s="131">
        <f t="shared" ref="I1297:I1299" si="1514">IF($F1297=4.2,H1297*$B$23,0)</f>
        <v>0</v>
      </c>
      <c r="J1297" s="31">
        <f t="shared" ref="J1297:J1299" si="1515">IF($F1297=5,$H1297*$B$24,0)</f>
        <v>3.8838799999999996</v>
      </c>
      <c r="K1297" s="31">
        <f t="shared" ref="K1297:K1299" si="1516">IF($F1297=6.3,$H1297*$B$25,0)</f>
        <v>0</v>
      </c>
      <c r="L1297" s="31">
        <f t="shared" ref="L1297:L1299" si="1517">IF($F1297=8,$H1297*$B$26,0)</f>
        <v>0</v>
      </c>
      <c r="M1297" s="31">
        <f t="shared" ref="M1297:M1299" si="1518">IF($F1297=10,$H1297*$B$27,0)</f>
        <v>0</v>
      </c>
      <c r="N1297" s="31">
        <f t="shared" ref="N1297:N1299" si="1519">IF($F1297=12.5,$H1297*$B$28,0)</f>
        <v>0</v>
      </c>
      <c r="O1297" s="31">
        <f t="shared" ref="O1297:O1299" si="1520">IF($F1297=16,$H1297*$B$29,0)</f>
        <v>0</v>
      </c>
      <c r="P1297" s="31">
        <f t="shared" ref="P1297:P1299" si="1521">IF($F1297=20,$H1297*$B$30,0)</f>
        <v>0</v>
      </c>
      <c r="Q1297" s="49">
        <f t="shared" ref="Q1297:Q1299" si="1522">IF($F1297=25,$H1297*$B$31,0)</f>
        <v>0</v>
      </c>
    </row>
    <row r="1298" spans="4:17" s="16" customFormat="1" ht="13.2" x14ac:dyDescent="0.25">
      <c r="D1298" s="235">
        <v>32</v>
      </c>
      <c r="E1298" s="240">
        <v>2</v>
      </c>
      <c r="F1298" s="241">
        <v>8</v>
      </c>
      <c r="G1298" s="242">
        <v>6.04</v>
      </c>
      <c r="H1298" s="239">
        <f t="shared" si="1513"/>
        <v>12.08</v>
      </c>
      <c r="I1298" s="131">
        <f t="shared" si="1514"/>
        <v>0</v>
      </c>
      <c r="J1298" s="31">
        <f t="shared" si="1515"/>
        <v>0</v>
      </c>
      <c r="K1298" s="31">
        <f t="shared" si="1516"/>
        <v>0</v>
      </c>
      <c r="L1298" s="31">
        <f t="shared" si="1517"/>
        <v>4.7716000000000003</v>
      </c>
      <c r="M1298" s="31">
        <f t="shared" si="1518"/>
        <v>0</v>
      </c>
      <c r="N1298" s="31">
        <f t="shared" si="1519"/>
        <v>0</v>
      </c>
      <c r="O1298" s="31">
        <f t="shared" si="1520"/>
        <v>0</v>
      </c>
      <c r="P1298" s="31">
        <f t="shared" si="1521"/>
        <v>0</v>
      </c>
      <c r="Q1298" s="49">
        <f t="shared" si="1522"/>
        <v>0</v>
      </c>
    </row>
    <row r="1299" spans="4:17" s="16" customFormat="1" ht="13.2" x14ac:dyDescent="0.25">
      <c r="D1299" s="235">
        <v>33</v>
      </c>
      <c r="E1299" s="240">
        <v>2</v>
      </c>
      <c r="F1299" s="241">
        <v>8</v>
      </c>
      <c r="G1299" s="242">
        <v>6.68</v>
      </c>
      <c r="H1299" s="239">
        <f t="shared" si="1513"/>
        <v>13.36</v>
      </c>
      <c r="I1299" s="131">
        <f t="shared" si="1514"/>
        <v>0</v>
      </c>
      <c r="J1299" s="31">
        <f t="shared" si="1515"/>
        <v>0</v>
      </c>
      <c r="K1299" s="31">
        <f t="shared" si="1516"/>
        <v>0</v>
      </c>
      <c r="L1299" s="31">
        <f t="shared" si="1517"/>
        <v>5.2771999999999997</v>
      </c>
      <c r="M1299" s="31">
        <f t="shared" si="1518"/>
        <v>0</v>
      </c>
      <c r="N1299" s="31">
        <f t="shared" si="1519"/>
        <v>0</v>
      </c>
      <c r="O1299" s="31">
        <f t="shared" si="1520"/>
        <v>0</v>
      </c>
      <c r="P1299" s="31">
        <f t="shared" si="1521"/>
        <v>0</v>
      </c>
      <c r="Q1299" s="49">
        <f t="shared" si="1522"/>
        <v>0</v>
      </c>
    </row>
    <row r="1300" spans="4:17" s="16" customFormat="1" ht="13.8" thickBot="1" x14ac:dyDescent="0.3">
      <c r="D1300" s="307"/>
      <c r="E1300" s="26"/>
      <c r="F1300" s="206"/>
      <c r="G1300" s="207"/>
      <c r="H1300" s="207"/>
      <c r="I1300" s="51"/>
      <c r="J1300" s="308"/>
      <c r="K1300" s="308"/>
      <c r="L1300" s="308"/>
      <c r="M1300" s="308"/>
      <c r="N1300" s="308"/>
      <c r="O1300" s="308"/>
      <c r="P1300" s="308"/>
      <c r="Q1300" s="309"/>
    </row>
    <row r="1301" spans="4:17" s="16" customFormat="1" ht="13.2" x14ac:dyDescent="0.25">
      <c r="D1301" s="796" t="s">
        <v>1999</v>
      </c>
      <c r="E1301" s="797"/>
      <c r="F1301" s="797"/>
      <c r="G1301" s="797"/>
      <c r="H1301" s="797"/>
      <c r="I1301" s="47">
        <f t="shared" ref="I1301:Q1301" si="1523">SUM(I1302:I1306)</f>
        <v>0</v>
      </c>
      <c r="J1301" s="47">
        <f t="shared" si="1523"/>
        <v>8.0665199999999988</v>
      </c>
      <c r="K1301" s="47">
        <f t="shared" si="1523"/>
        <v>0</v>
      </c>
      <c r="L1301" s="47">
        <f t="shared" si="1523"/>
        <v>19.457700000000003</v>
      </c>
      <c r="M1301" s="47">
        <f t="shared" si="1523"/>
        <v>0</v>
      </c>
      <c r="N1301" s="47">
        <f t="shared" si="1523"/>
        <v>0</v>
      </c>
      <c r="O1301" s="47">
        <f t="shared" si="1523"/>
        <v>0</v>
      </c>
      <c r="P1301" s="47">
        <f t="shared" si="1523"/>
        <v>0</v>
      </c>
      <c r="Q1301" s="47">
        <f t="shared" si="1523"/>
        <v>0</v>
      </c>
    </row>
    <row r="1302" spans="4:17" s="16" customFormat="1" ht="13.2" x14ac:dyDescent="0.25">
      <c r="D1302" s="235">
        <v>3</v>
      </c>
      <c r="E1302" s="237">
        <v>54</v>
      </c>
      <c r="F1302" s="238">
        <v>5</v>
      </c>
      <c r="G1302" s="239">
        <v>0.97</v>
      </c>
      <c r="H1302" s="239">
        <f t="shared" ref="H1302:H1306" si="1524">E1302*G1302</f>
        <v>52.379999999999995</v>
      </c>
      <c r="I1302" s="131">
        <f t="shared" ref="I1302:I1306" si="1525">IF($F1302=4.2,H1302*$B$23,0)</f>
        <v>0</v>
      </c>
      <c r="J1302" s="31">
        <f t="shared" ref="J1302:J1306" si="1526">IF($F1302=5,$H1302*$B$24,0)</f>
        <v>8.0665199999999988</v>
      </c>
      <c r="K1302" s="31">
        <f t="shared" ref="K1302:K1306" si="1527">IF($F1302=6.3,$H1302*$B$25,0)</f>
        <v>0</v>
      </c>
      <c r="L1302" s="31">
        <f t="shared" ref="L1302:L1306" si="1528">IF($F1302=8,$H1302*$B$26,0)</f>
        <v>0</v>
      </c>
      <c r="M1302" s="31">
        <f t="shared" ref="M1302:M1306" si="1529">IF($F1302=10,$H1302*$B$27,0)</f>
        <v>0</v>
      </c>
      <c r="N1302" s="31">
        <f t="shared" ref="N1302:N1306" si="1530">IF($F1302=12.5,$H1302*$B$28,0)</f>
        <v>0</v>
      </c>
      <c r="O1302" s="31">
        <f t="shared" ref="O1302:O1306" si="1531">IF($F1302=16,$H1302*$B$29,0)</f>
        <v>0</v>
      </c>
      <c r="P1302" s="31">
        <f t="shared" ref="P1302:P1306" si="1532">IF($F1302=20,$H1302*$B$30,0)</f>
        <v>0</v>
      </c>
      <c r="Q1302" s="49">
        <f t="shared" ref="Q1302:Q1306" si="1533">IF($F1302=25,$H1302*$B$31,0)</f>
        <v>0</v>
      </c>
    </row>
    <row r="1303" spans="4:17" s="16" customFormat="1" ht="13.2" x14ac:dyDescent="0.25">
      <c r="D1303" s="235">
        <v>22</v>
      </c>
      <c r="E1303" s="240">
        <v>2</v>
      </c>
      <c r="F1303" s="241">
        <v>8</v>
      </c>
      <c r="G1303" s="242">
        <v>10.97</v>
      </c>
      <c r="H1303" s="239">
        <f t="shared" si="1524"/>
        <v>21.94</v>
      </c>
      <c r="I1303" s="131">
        <f t="shared" si="1525"/>
        <v>0</v>
      </c>
      <c r="J1303" s="31">
        <f t="shared" si="1526"/>
        <v>0</v>
      </c>
      <c r="K1303" s="31">
        <f t="shared" si="1527"/>
        <v>0</v>
      </c>
      <c r="L1303" s="31">
        <f t="shared" si="1528"/>
        <v>8.6663000000000014</v>
      </c>
      <c r="M1303" s="31">
        <f t="shared" si="1529"/>
        <v>0</v>
      </c>
      <c r="N1303" s="31">
        <f t="shared" si="1530"/>
        <v>0</v>
      </c>
      <c r="O1303" s="31">
        <f t="shared" si="1531"/>
        <v>0</v>
      </c>
      <c r="P1303" s="31">
        <f t="shared" si="1532"/>
        <v>0</v>
      </c>
      <c r="Q1303" s="49">
        <f t="shared" si="1533"/>
        <v>0</v>
      </c>
    </row>
    <row r="1304" spans="4:17" s="16" customFormat="1" ht="13.2" x14ac:dyDescent="0.25">
      <c r="D1304" s="235">
        <v>34</v>
      </c>
      <c r="E1304" s="240">
        <v>2</v>
      </c>
      <c r="F1304" s="241">
        <v>8</v>
      </c>
      <c r="G1304" s="242">
        <v>8.0500000000000007</v>
      </c>
      <c r="H1304" s="239">
        <f t="shared" si="1524"/>
        <v>16.100000000000001</v>
      </c>
      <c r="I1304" s="131">
        <f t="shared" si="1525"/>
        <v>0</v>
      </c>
      <c r="J1304" s="31">
        <f t="shared" si="1526"/>
        <v>0</v>
      </c>
      <c r="K1304" s="31">
        <f t="shared" si="1527"/>
        <v>0</v>
      </c>
      <c r="L1304" s="31">
        <f t="shared" si="1528"/>
        <v>6.3595000000000006</v>
      </c>
      <c r="M1304" s="31">
        <f t="shared" si="1529"/>
        <v>0</v>
      </c>
      <c r="N1304" s="31">
        <f t="shared" si="1530"/>
        <v>0</v>
      </c>
      <c r="O1304" s="31">
        <f t="shared" si="1531"/>
        <v>0</v>
      </c>
      <c r="P1304" s="31">
        <f t="shared" si="1532"/>
        <v>0</v>
      </c>
      <c r="Q1304" s="49">
        <f t="shared" si="1533"/>
        <v>0</v>
      </c>
    </row>
    <row r="1305" spans="4:17" s="16" customFormat="1" ht="13.2" x14ac:dyDescent="0.25">
      <c r="D1305" s="235">
        <v>35</v>
      </c>
      <c r="E1305" s="240">
        <v>2</v>
      </c>
      <c r="F1305" s="241">
        <v>8</v>
      </c>
      <c r="G1305" s="242">
        <v>3.85</v>
      </c>
      <c r="H1305" s="239">
        <f t="shared" si="1524"/>
        <v>7.7</v>
      </c>
      <c r="I1305" s="131">
        <f t="shared" si="1525"/>
        <v>0</v>
      </c>
      <c r="J1305" s="31">
        <f t="shared" si="1526"/>
        <v>0</v>
      </c>
      <c r="K1305" s="31">
        <f t="shared" si="1527"/>
        <v>0</v>
      </c>
      <c r="L1305" s="31">
        <f t="shared" si="1528"/>
        <v>3.0415000000000001</v>
      </c>
      <c r="M1305" s="31">
        <f t="shared" si="1529"/>
        <v>0</v>
      </c>
      <c r="N1305" s="31">
        <f t="shared" si="1530"/>
        <v>0</v>
      </c>
      <c r="O1305" s="31">
        <f t="shared" si="1531"/>
        <v>0</v>
      </c>
      <c r="P1305" s="31">
        <f t="shared" si="1532"/>
        <v>0</v>
      </c>
      <c r="Q1305" s="49">
        <f t="shared" si="1533"/>
        <v>0</v>
      </c>
    </row>
    <row r="1306" spans="4:17" s="16" customFormat="1" ht="13.2" x14ac:dyDescent="0.25">
      <c r="D1306" s="235">
        <v>36</v>
      </c>
      <c r="E1306" s="240">
        <v>2</v>
      </c>
      <c r="F1306" s="241">
        <v>8</v>
      </c>
      <c r="G1306" s="242">
        <v>1.76</v>
      </c>
      <c r="H1306" s="239">
        <f t="shared" si="1524"/>
        <v>3.52</v>
      </c>
      <c r="I1306" s="131">
        <f t="shared" si="1525"/>
        <v>0</v>
      </c>
      <c r="J1306" s="31">
        <f t="shared" si="1526"/>
        <v>0</v>
      </c>
      <c r="K1306" s="31">
        <f t="shared" si="1527"/>
        <v>0</v>
      </c>
      <c r="L1306" s="31">
        <f t="shared" si="1528"/>
        <v>1.3904000000000001</v>
      </c>
      <c r="M1306" s="31">
        <f t="shared" si="1529"/>
        <v>0</v>
      </c>
      <c r="N1306" s="31">
        <f t="shared" si="1530"/>
        <v>0</v>
      </c>
      <c r="O1306" s="31">
        <f t="shared" si="1531"/>
        <v>0</v>
      </c>
      <c r="P1306" s="31">
        <f t="shared" si="1532"/>
        <v>0</v>
      </c>
      <c r="Q1306" s="49">
        <f t="shared" si="1533"/>
        <v>0</v>
      </c>
    </row>
    <row r="1307" spans="4:17" s="16" customFormat="1" ht="13.8" thickBot="1" x14ac:dyDescent="0.3">
      <c r="D1307" s="307"/>
      <c r="E1307" s="26"/>
      <c r="F1307" s="206"/>
      <c r="G1307" s="207"/>
      <c r="H1307" s="207"/>
      <c r="I1307" s="51"/>
      <c r="J1307" s="308"/>
      <c r="K1307" s="308"/>
      <c r="L1307" s="308"/>
      <c r="M1307" s="308"/>
      <c r="N1307" s="308"/>
      <c r="O1307" s="308"/>
      <c r="P1307" s="308"/>
      <c r="Q1307" s="309"/>
    </row>
    <row r="1308" spans="4:17" s="16" customFormat="1" ht="13.2" x14ac:dyDescent="0.25">
      <c r="D1308" s="796" t="s">
        <v>2000</v>
      </c>
      <c r="E1308" s="797"/>
      <c r="F1308" s="797"/>
      <c r="G1308" s="797"/>
      <c r="H1308" s="797"/>
      <c r="I1308" s="47">
        <f t="shared" ref="I1308:Q1308" si="1534">SUM(I1309:I1311)</f>
        <v>0</v>
      </c>
      <c r="J1308" s="47">
        <f t="shared" si="1534"/>
        <v>2.8382199999999997</v>
      </c>
      <c r="K1308" s="47">
        <f t="shared" si="1534"/>
        <v>0</v>
      </c>
      <c r="L1308" s="47">
        <f t="shared" si="1534"/>
        <v>7.5682</v>
      </c>
      <c r="M1308" s="47">
        <f t="shared" si="1534"/>
        <v>0</v>
      </c>
      <c r="N1308" s="47">
        <f t="shared" si="1534"/>
        <v>0</v>
      </c>
      <c r="O1308" s="47">
        <f t="shared" si="1534"/>
        <v>0</v>
      </c>
      <c r="P1308" s="47">
        <f t="shared" si="1534"/>
        <v>0</v>
      </c>
      <c r="Q1308" s="47">
        <f t="shared" si="1534"/>
        <v>0</v>
      </c>
    </row>
    <row r="1309" spans="4:17" s="16" customFormat="1" ht="13.2" x14ac:dyDescent="0.25">
      <c r="D1309" s="235">
        <v>3</v>
      </c>
      <c r="E1309" s="237">
        <v>19</v>
      </c>
      <c r="F1309" s="238">
        <v>5</v>
      </c>
      <c r="G1309" s="239">
        <v>0.97</v>
      </c>
      <c r="H1309" s="239">
        <f t="shared" ref="H1309:H1311" si="1535">E1309*G1309</f>
        <v>18.43</v>
      </c>
      <c r="I1309" s="131">
        <f t="shared" ref="I1309:I1311" si="1536">IF($F1309=4.2,H1309*$B$23,0)</f>
        <v>0</v>
      </c>
      <c r="J1309" s="31">
        <f t="shared" ref="J1309:J1311" si="1537">IF($F1309=5,$H1309*$B$24,0)</f>
        <v>2.8382199999999997</v>
      </c>
      <c r="K1309" s="31">
        <f t="shared" ref="K1309:K1311" si="1538">IF($F1309=6.3,$H1309*$B$25,0)</f>
        <v>0</v>
      </c>
      <c r="L1309" s="31">
        <f t="shared" ref="L1309:L1311" si="1539">IF($F1309=8,$H1309*$B$26,0)</f>
        <v>0</v>
      </c>
      <c r="M1309" s="31">
        <f t="shared" ref="M1309:M1311" si="1540">IF($F1309=10,$H1309*$B$27,0)</f>
        <v>0</v>
      </c>
      <c r="N1309" s="31">
        <f t="shared" ref="N1309:N1311" si="1541">IF($F1309=12.5,$H1309*$B$28,0)</f>
        <v>0</v>
      </c>
      <c r="O1309" s="31">
        <f t="shared" ref="O1309:O1311" si="1542">IF($F1309=16,$H1309*$B$29,0)</f>
        <v>0</v>
      </c>
      <c r="P1309" s="31">
        <f t="shared" ref="P1309:P1311" si="1543">IF($F1309=20,$H1309*$B$30,0)</f>
        <v>0</v>
      </c>
      <c r="Q1309" s="49">
        <f t="shared" ref="Q1309:Q1311" si="1544">IF($F1309=25,$H1309*$B$31,0)</f>
        <v>0</v>
      </c>
    </row>
    <row r="1310" spans="4:17" s="16" customFormat="1" ht="13.2" x14ac:dyDescent="0.25">
      <c r="D1310" s="235">
        <v>37</v>
      </c>
      <c r="E1310" s="240">
        <v>4</v>
      </c>
      <c r="F1310" s="241">
        <v>8</v>
      </c>
      <c r="G1310" s="242">
        <v>4.09</v>
      </c>
      <c r="H1310" s="239">
        <f t="shared" si="1535"/>
        <v>16.36</v>
      </c>
      <c r="I1310" s="131">
        <f t="shared" si="1536"/>
        <v>0</v>
      </c>
      <c r="J1310" s="31">
        <f t="shared" si="1537"/>
        <v>0</v>
      </c>
      <c r="K1310" s="31">
        <f t="shared" si="1538"/>
        <v>0</v>
      </c>
      <c r="L1310" s="31">
        <f t="shared" si="1539"/>
        <v>6.4622000000000002</v>
      </c>
      <c r="M1310" s="31">
        <f t="shared" si="1540"/>
        <v>0</v>
      </c>
      <c r="N1310" s="31">
        <f t="shared" si="1541"/>
        <v>0</v>
      </c>
      <c r="O1310" s="31">
        <f t="shared" si="1542"/>
        <v>0</v>
      </c>
      <c r="P1310" s="31">
        <f t="shared" si="1543"/>
        <v>0</v>
      </c>
      <c r="Q1310" s="49">
        <f t="shared" si="1544"/>
        <v>0</v>
      </c>
    </row>
    <row r="1311" spans="4:17" s="16" customFormat="1" ht="13.2" x14ac:dyDescent="0.25">
      <c r="D1311" s="235">
        <v>38</v>
      </c>
      <c r="E1311" s="240">
        <v>1</v>
      </c>
      <c r="F1311" s="241">
        <v>8</v>
      </c>
      <c r="G1311" s="242">
        <v>2.8</v>
      </c>
      <c r="H1311" s="239">
        <f t="shared" si="1535"/>
        <v>2.8</v>
      </c>
      <c r="I1311" s="131">
        <f t="shared" si="1536"/>
        <v>0</v>
      </c>
      <c r="J1311" s="31">
        <f t="shared" si="1537"/>
        <v>0</v>
      </c>
      <c r="K1311" s="31">
        <f t="shared" si="1538"/>
        <v>0</v>
      </c>
      <c r="L1311" s="31">
        <f t="shared" si="1539"/>
        <v>1.1059999999999999</v>
      </c>
      <c r="M1311" s="31">
        <f t="shared" si="1540"/>
        <v>0</v>
      </c>
      <c r="N1311" s="31">
        <f t="shared" si="1541"/>
        <v>0</v>
      </c>
      <c r="O1311" s="31">
        <f t="shared" si="1542"/>
        <v>0</v>
      </c>
      <c r="P1311" s="31">
        <f t="shared" si="1543"/>
        <v>0</v>
      </c>
      <c r="Q1311" s="49">
        <f t="shared" si="1544"/>
        <v>0</v>
      </c>
    </row>
    <row r="1312" spans="4:17" s="16" customFormat="1" ht="13.8" thickBot="1" x14ac:dyDescent="0.3">
      <c r="D1312" s="307"/>
      <c r="E1312" s="26"/>
      <c r="F1312" s="206"/>
      <c r="G1312" s="207"/>
      <c r="H1312" s="207"/>
      <c r="I1312" s="51"/>
      <c r="J1312" s="308"/>
      <c r="K1312" s="308"/>
      <c r="L1312" s="308"/>
      <c r="M1312" s="308"/>
      <c r="N1312" s="308"/>
      <c r="O1312" s="308"/>
      <c r="P1312" s="308"/>
      <c r="Q1312" s="309"/>
    </row>
    <row r="1313" spans="4:17" s="16" customFormat="1" ht="13.2" x14ac:dyDescent="0.25">
      <c r="D1313" s="796" t="s">
        <v>2001</v>
      </c>
      <c r="E1313" s="797"/>
      <c r="F1313" s="797"/>
      <c r="G1313" s="797"/>
      <c r="H1313" s="797"/>
      <c r="I1313" s="47">
        <f t="shared" ref="I1313:Q1313" si="1545">SUM(I1314:I1318)</f>
        <v>0</v>
      </c>
      <c r="J1313" s="47">
        <f t="shared" si="1545"/>
        <v>8.0665199999999988</v>
      </c>
      <c r="K1313" s="47">
        <f t="shared" si="1545"/>
        <v>0</v>
      </c>
      <c r="L1313" s="47">
        <f t="shared" si="1545"/>
        <v>19.449800000000003</v>
      </c>
      <c r="M1313" s="47">
        <f t="shared" si="1545"/>
        <v>0</v>
      </c>
      <c r="N1313" s="47">
        <f t="shared" si="1545"/>
        <v>0</v>
      </c>
      <c r="O1313" s="47">
        <f t="shared" si="1545"/>
        <v>0</v>
      </c>
      <c r="P1313" s="47">
        <f t="shared" si="1545"/>
        <v>0</v>
      </c>
      <c r="Q1313" s="47">
        <f t="shared" si="1545"/>
        <v>0</v>
      </c>
    </row>
    <row r="1314" spans="4:17" s="16" customFormat="1" ht="13.2" x14ac:dyDescent="0.25">
      <c r="D1314" s="235">
        <v>3</v>
      </c>
      <c r="E1314" s="237">
        <v>54</v>
      </c>
      <c r="F1314" s="238">
        <v>5</v>
      </c>
      <c r="G1314" s="239">
        <v>0.97</v>
      </c>
      <c r="H1314" s="239">
        <f t="shared" ref="H1314:H1318" si="1546">E1314*G1314</f>
        <v>52.379999999999995</v>
      </c>
      <c r="I1314" s="131">
        <f t="shared" ref="I1314:I1318" si="1547">IF($F1314=4.2,H1314*$B$23,0)</f>
        <v>0</v>
      </c>
      <c r="J1314" s="31">
        <f t="shared" ref="J1314:J1318" si="1548">IF($F1314=5,$H1314*$B$24,0)</f>
        <v>8.0665199999999988</v>
      </c>
      <c r="K1314" s="31">
        <f t="shared" ref="K1314:K1318" si="1549">IF($F1314=6.3,$H1314*$B$25,0)</f>
        <v>0</v>
      </c>
      <c r="L1314" s="31">
        <f t="shared" ref="L1314:L1318" si="1550">IF($F1314=8,$H1314*$B$26,0)</f>
        <v>0</v>
      </c>
      <c r="M1314" s="31">
        <f t="shared" ref="M1314:M1318" si="1551">IF($F1314=10,$H1314*$B$27,0)</f>
        <v>0</v>
      </c>
      <c r="N1314" s="31">
        <f t="shared" ref="N1314:N1318" si="1552">IF($F1314=12.5,$H1314*$B$28,0)</f>
        <v>0</v>
      </c>
      <c r="O1314" s="31">
        <f t="shared" ref="O1314:O1318" si="1553">IF($F1314=16,$H1314*$B$29,0)</f>
        <v>0</v>
      </c>
      <c r="P1314" s="31">
        <f t="shared" ref="P1314:P1318" si="1554">IF($F1314=20,$H1314*$B$30,0)</f>
        <v>0</v>
      </c>
      <c r="Q1314" s="49">
        <f t="shared" ref="Q1314:Q1318" si="1555">IF($F1314=25,$H1314*$B$31,0)</f>
        <v>0</v>
      </c>
    </row>
    <row r="1315" spans="4:17" s="16" customFormat="1" ht="13.2" x14ac:dyDescent="0.25">
      <c r="D1315" s="235">
        <v>19</v>
      </c>
      <c r="E1315" s="240">
        <v>2</v>
      </c>
      <c r="F1315" s="241">
        <v>8</v>
      </c>
      <c r="G1315" s="242">
        <v>8.07</v>
      </c>
      <c r="H1315" s="239">
        <f t="shared" si="1546"/>
        <v>16.14</v>
      </c>
      <c r="I1315" s="131">
        <f t="shared" si="1547"/>
        <v>0</v>
      </c>
      <c r="J1315" s="31">
        <f t="shared" si="1548"/>
        <v>0</v>
      </c>
      <c r="K1315" s="31">
        <f t="shared" si="1549"/>
        <v>0</v>
      </c>
      <c r="L1315" s="31">
        <f t="shared" si="1550"/>
        <v>6.3753000000000002</v>
      </c>
      <c r="M1315" s="31">
        <f t="shared" si="1551"/>
        <v>0</v>
      </c>
      <c r="N1315" s="31">
        <f t="shared" si="1552"/>
        <v>0</v>
      </c>
      <c r="O1315" s="31">
        <f t="shared" si="1553"/>
        <v>0</v>
      </c>
      <c r="P1315" s="31">
        <f t="shared" si="1554"/>
        <v>0</v>
      </c>
      <c r="Q1315" s="49">
        <f t="shared" si="1555"/>
        <v>0</v>
      </c>
    </row>
    <row r="1316" spans="4:17" s="16" customFormat="1" ht="13.2" x14ac:dyDescent="0.25">
      <c r="D1316" s="235">
        <v>36</v>
      </c>
      <c r="E1316" s="240">
        <v>2</v>
      </c>
      <c r="F1316" s="241">
        <v>8</v>
      </c>
      <c r="G1316" s="242">
        <v>1.76</v>
      </c>
      <c r="H1316" s="239">
        <f t="shared" si="1546"/>
        <v>3.52</v>
      </c>
      <c r="I1316" s="131">
        <f t="shared" si="1547"/>
        <v>0</v>
      </c>
      <c r="J1316" s="31">
        <f t="shared" si="1548"/>
        <v>0</v>
      </c>
      <c r="K1316" s="31">
        <f t="shared" si="1549"/>
        <v>0</v>
      </c>
      <c r="L1316" s="31">
        <f t="shared" si="1550"/>
        <v>1.3904000000000001</v>
      </c>
      <c r="M1316" s="31">
        <f t="shared" si="1551"/>
        <v>0</v>
      </c>
      <c r="N1316" s="31">
        <f t="shared" si="1552"/>
        <v>0</v>
      </c>
      <c r="O1316" s="31">
        <f t="shared" si="1553"/>
        <v>0</v>
      </c>
      <c r="P1316" s="31">
        <f t="shared" si="1554"/>
        <v>0</v>
      </c>
      <c r="Q1316" s="49">
        <f t="shared" si="1555"/>
        <v>0</v>
      </c>
    </row>
    <row r="1317" spans="4:17" s="16" customFormat="1" ht="13.2" x14ac:dyDescent="0.25">
      <c r="D1317" s="235">
        <v>39</v>
      </c>
      <c r="E1317" s="240">
        <v>2</v>
      </c>
      <c r="F1317" s="241">
        <v>8</v>
      </c>
      <c r="G1317" s="242">
        <v>3.82</v>
      </c>
      <c r="H1317" s="239">
        <f t="shared" si="1546"/>
        <v>7.64</v>
      </c>
      <c r="I1317" s="131">
        <f t="shared" si="1547"/>
        <v>0</v>
      </c>
      <c r="J1317" s="31">
        <f t="shared" si="1548"/>
        <v>0</v>
      </c>
      <c r="K1317" s="31">
        <f t="shared" si="1549"/>
        <v>0</v>
      </c>
      <c r="L1317" s="31">
        <f t="shared" si="1550"/>
        <v>3.0177999999999998</v>
      </c>
      <c r="M1317" s="31">
        <f t="shared" si="1551"/>
        <v>0</v>
      </c>
      <c r="N1317" s="31">
        <f t="shared" si="1552"/>
        <v>0</v>
      </c>
      <c r="O1317" s="31">
        <f t="shared" si="1553"/>
        <v>0</v>
      </c>
      <c r="P1317" s="31">
        <f t="shared" si="1554"/>
        <v>0</v>
      </c>
      <c r="Q1317" s="49">
        <f t="shared" si="1555"/>
        <v>0</v>
      </c>
    </row>
    <row r="1318" spans="4:17" s="16" customFormat="1" ht="13.2" x14ac:dyDescent="0.25">
      <c r="D1318" s="235">
        <v>40</v>
      </c>
      <c r="E1318" s="240">
        <v>2</v>
      </c>
      <c r="F1318" s="241">
        <v>8</v>
      </c>
      <c r="G1318" s="242">
        <v>10.97</v>
      </c>
      <c r="H1318" s="239">
        <f t="shared" si="1546"/>
        <v>21.94</v>
      </c>
      <c r="I1318" s="131">
        <f t="shared" si="1547"/>
        <v>0</v>
      </c>
      <c r="J1318" s="31">
        <f t="shared" si="1548"/>
        <v>0</v>
      </c>
      <c r="K1318" s="31">
        <f t="shared" si="1549"/>
        <v>0</v>
      </c>
      <c r="L1318" s="31">
        <f t="shared" si="1550"/>
        <v>8.6663000000000014</v>
      </c>
      <c r="M1318" s="31">
        <f t="shared" si="1551"/>
        <v>0</v>
      </c>
      <c r="N1318" s="31">
        <f t="shared" si="1552"/>
        <v>0</v>
      </c>
      <c r="O1318" s="31">
        <f t="shared" si="1553"/>
        <v>0</v>
      </c>
      <c r="P1318" s="31">
        <f t="shared" si="1554"/>
        <v>0</v>
      </c>
      <c r="Q1318" s="49">
        <f t="shared" si="1555"/>
        <v>0</v>
      </c>
    </row>
    <row r="1319" spans="4:17" s="16" customFormat="1" ht="13.8" thickBot="1" x14ac:dyDescent="0.3">
      <c r="D1319" s="307"/>
      <c r="E1319" s="26"/>
      <c r="F1319" s="206"/>
      <c r="G1319" s="207"/>
      <c r="H1319" s="207"/>
      <c r="I1319" s="51"/>
      <c r="J1319" s="308"/>
      <c r="K1319" s="308"/>
      <c r="L1319" s="308"/>
      <c r="M1319" s="308"/>
      <c r="N1319" s="308"/>
      <c r="O1319" s="308"/>
      <c r="P1319" s="308"/>
      <c r="Q1319" s="309"/>
    </row>
    <row r="1320" spans="4:17" s="16" customFormat="1" ht="13.2" x14ac:dyDescent="0.25">
      <c r="D1320" s="796" t="s">
        <v>2002</v>
      </c>
      <c r="E1320" s="797"/>
      <c r="F1320" s="797"/>
      <c r="G1320" s="797"/>
      <c r="H1320" s="797"/>
      <c r="I1320" s="47">
        <f t="shared" ref="I1320:Q1320" si="1556">SUM(I1321:I1325)</f>
        <v>0</v>
      </c>
      <c r="J1320" s="47">
        <f t="shared" si="1556"/>
        <v>7.917139999999999</v>
      </c>
      <c r="K1320" s="47">
        <f t="shared" si="1556"/>
        <v>0</v>
      </c>
      <c r="L1320" s="47">
        <f t="shared" si="1556"/>
        <v>19.505100000000002</v>
      </c>
      <c r="M1320" s="47">
        <f t="shared" si="1556"/>
        <v>0</v>
      </c>
      <c r="N1320" s="47">
        <f t="shared" si="1556"/>
        <v>0</v>
      </c>
      <c r="O1320" s="47">
        <f t="shared" si="1556"/>
        <v>0</v>
      </c>
      <c r="P1320" s="47">
        <f t="shared" si="1556"/>
        <v>0</v>
      </c>
      <c r="Q1320" s="47">
        <f t="shared" si="1556"/>
        <v>0</v>
      </c>
    </row>
    <row r="1321" spans="4:17" s="16" customFormat="1" ht="13.2" x14ac:dyDescent="0.25">
      <c r="D1321" s="235">
        <v>3</v>
      </c>
      <c r="E1321" s="237">
        <v>53</v>
      </c>
      <c r="F1321" s="238">
        <v>5</v>
      </c>
      <c r="G1321" s="239">
        <v>0.97</v>
      </c>
      <c r="H1321" s="239">
        <f t="shared" ref="H1321:H1325" si="1557">E1321*G1321</f>
        <v>51.41</v>
      </c>
      <c r="I1321" s="131">
        <f t="shared" ref="I1321:I1325" si="1558">IF($F1321=4.2,H1321*$B$23,0)</f>
        <v>0</v>
      </c>
      <c r="J1321" s="31">
        <f t="shared" ref="J1321:J1325" si="1559">IF($F1321=5,$H1321*$B$24,0)</f>
        <v>7.917139999999999</v>
      </c>
      <c r="K1321" s="31">
        <f t="shared" ref="K1321:K1325" si="1560">IF($F1321=6.3,$H1321*$B$25,0)</f>
        <v>0</v>
      </c>
      <c r="L1321" s="31">
        <f t="shared" ref="L1321:L1325" si="1561">IF($F1321=8,$H1321*$B$26,0)</f>
        <v>0</v>
      </c>
      <c r="M1321" s="31">
        <f t="shared" ref="M1321:M1325" si="1562">IF($F1321=10,$H1321*$B$27,0)</f>
        <v>0</v>
      </c>
      <c r="N1321" s="31">
        <f t="shared" ref="N1321:N1325" si="1563">IF($F1321=12.5,$H1321*$B$28,0)</f>
        <v>0</v>
      </c>
      <c r="O1321" s="31">
        <f t="shared" ref="O1321:O1325" si="1564">IF($F1321=16,$H1321*$B$29,0)</f>
        <v>0</v>
      </c>
      <c r="P1321" s="31">
        <f t="shared" ref="P1321:P1325" si="1565">IF($F1321=20,$H1321*$B$30,0)</f>
        <v>0</v>
      </c>
      <c r="Q1321" s="49">
        <f t="shared" ref="Q1321:Q1325" si="1566">IF($F1321=25,$H1321*$B$31,0)</f>
        <v>0</v>
      </c>
    </row>
    <row r="1322" spans="4:17" s="16" customFormat="1" ht="13.2" x14ac:dyDescent="0.25">
      <c r="D1322" s="235">
        <v>22</v>
      </c>
      <c r="E1322" s="240">
        <v>2</v>
      </c>
      <c r="F1322" s="241">
        <v>8</v>
      </c>
      <c r="G1322" s="242">
        <v>10.97</v>
      </c>
      <c r="H1322" s="239">
        <f t="shared" si="1557"/>
        <v>21.94</v>
      </c>
      <c r="I1322" s="131">
        <f t="shared" si="1558"/>
        <v>0</v>
      </c>
      <c r="J1322" s="31">
        <f t="shared" si="1559"/>
        <v>0</v>
      </c>
      <c r="K1322" s="31">
        <f t="shared" si="1560"/>
        <v>0</v>
      </c>
      <c r="L1322" s="31">
        <f t="shared" si="1561"/>
        <v>8.6663000000000014</v>
      </c>
      <c r="M1322" s="31">
        <f t="shared" si="1562"/>
        <v>0</v>
      </c>
      <c r="N1322" s="31">
        <f t="shared" si="1563"/>
        <v>0</v>
      </c>
      <c r="O1322" s="31">
        <f t="shared" si="1564"/>
        <v>0</v>
      </c>
      <c r="P1322" s="31">
        <f t="shared" si="1565"/>
        <v>0</v>
      </c>
      <c r="Q1322" s="49">
        <f t="shared" si="1566"/>
        <v>0</v>
      </c>
    </row>
    <row r="1323" spans="4:17" s="16" customFormat="1" ht="13.2" x14ac:dyDescent="0.25">
      <c r="D1323" s="235">
        <v>36</v>
      </c>
      <c r="E1323" s="240">
        <v>2</v>
      </c>
      <c r="F1323" s="241">
        <v>8</v>
      </c>
      <c r="G1323" s="242">
        <v>1.76</v>
      </c>
      <c r="H1323" s="239">
        <f t="shared" si="1557"/>
        <v>3.52</v>
      </c>
      <c r="I1323" s="131">
        <f t="shared" si="1558"/>
        <v>0</v>
      </c>
      <c r="J1323" s="31">
        <f t="shared" si="1559"/>
        <v>0</v>
      </c>
      <c r="K1323" s="31">
        <f t="shared" si="1560"/>
        <v>0</v>
      </c>
      <c r="L1323" s="31">
        <f t="shared" si="1561"/>
        <v>1.3904000000000001</v>
      </c>
      <c r="M1323" s="31">
        <f t="shared" si="1562"/>
        <v>0</v>
      </c>
      <c r="N1323" s="31">
        <f t="shared" si="1563"/>
        <v>0</v>
      </c>
      <c r="O1323" s="31">
        <f t="shared" si="1564"/>
        <v>0</v>
      </c>
      <c r="P1323" s="31">
        <f t="shared" si="1565"/>
        <v>0</v>
      </c>
      <c r="Q1323" s="49">
        <f t="shared" si="1566"/>
        <v>0</v>
      </c>
    </row>
    <row r="1324" spans="4:17" s="16" customFormat="1" ht="13.2" x14ac:dyDescent="0.25">
      <c r="D1324" s="235">
        <v>41</v>
      </c>
      <c r="E1324" s="240">
        <v>2</v>
      </c>
      <c r="F1324" s="241">
        <v>8</v>
      </c>
      <c r="G1324" s="242">
        <v>7.9</v>
      </c>
      <c r="H1324" s="239">
        <f t="shared" si="1557"/>
        <v>15.8</v>
      </c>
      <c r="I1324" s="131">
        <f t="shared" si="1558"/>
        <v>0</v>
      </c>
      <c r="J1324" s="31">
        <f t="shared" si="1559"/>
        <v>0</v>
      </c>
      <c r="K1324" s="31">
        <f t="shared" si="1560"/>
        <v>0</v>
      </c>
      <c r="L1324" s="31">
        <f t="shared" si="1561"/>
        <v>6.2410000000000005</v>
      </c>
      <c r="M1324" s="31">
        <f t="shared" si="1562"/>
        <v>0</v>
      </c>
      <c r="N1324" s="31">
        <f t="shared" si="1563"/>
        <v>0</v>
      </c>
      <c r="O1324" s="31">
        <f t="shared" si="1564"/>
        <v>0</v>
      </c>
      <c r="P1324" s="31">
        <f t="shared" si="1565"/>
        <v>0</v>
      </c>
      <c r="Q1324" s="49">
        <f t="shared" si="1566"/>
        <v>0</v>
      </c>
    </row>
    <row r="1325" spans="4:17" s="16" customFormat="1" ht="13.2" x14ac:dyDescent="0.25">
      <c r="D1325" s="235">
        <v>42</v>
      </c>
      <c r="E1325" s="240">
        <v>2</v>
      </c>
      <c r="F1325" s="241">
        <v>8</v>
      </c>
      <c r="G1325" s="242">
        <v>4.0599999999999996</v>
      </c>
      <c r="H1325" s="239">
        <f t="shared" si="1557"/>
        <v>8.1199999999999992</v>
      </c>
      <c r="I1325" s="131">
        <f t="shared" si="1558"/>
        <v>0</v>
      </c>
      <c r="J1325" s="31">
        <f t="shared" si="1559"/>
        <v>0</v>
      </c>
      <c r="K1325" s="31">
        <f t="shared" si="1560"/>
        <v>0</v>
      </c>
      <c r="L1325" s="31">
        <f t="shared" si="1561"/>
        <v>3.2073999999999998</v>
      </c>
      <c r="M1325" s="31">
        <f t="shared" si="1562"/>
        <v>0</v>
      </c>
      <c r="N1325" s="31">
        <f t="shared" si="1563"/>
        <v>0</v>
      </c>
      <c r="O1325" s="31">
        <f t="shared" si="1564"/>
        <v>0</v>
      </c>
      <c r="P1325" s="31">
        <f t="shared" si="1565"/>
        <v>0</v>
      </c>
      <c r="Q1325" s="49">
        <f t="shared" si="1566"/>
        <v>0</v>
      </c>
    </row>
    <row r="1326" spans="4:17" s="16" customFormat="1" ht="13.8" thickBot="1" x14ac:dyDescent="0.3">
      <c r="D1326" s="307"/>
      <c r="E1326" s="26"/>
      <c r="F1326" s="206"/>
      <c r="G1326" s="207"/>
      <c r="H1326" s="207"/>
      <c r="I1326" s="51"/>
      <c r="J1326" s="308"/>
      <c r="K1326" s="308"/>
      <c r="L1326" s="308"/>
      <c r="M1326" s="308"/>
      <c r="N1326" s="308"/>
      <c r="O1326" s="308"/>
      <c r="P1326" s="308"/>
      <c r="Q1326" s="309"/>
    </row>
    <row r="1327" spans="4:17" s="16" customFormat="1" ht="13.2" x14ac:dyDescent="0.25">
      <c r="D1327" s="796" t="s">
        <v>2003</v>
      </c>
      <c r="E1327" s="797"/>
      <c r="F1327" s="797"/>
      <c r="G1327" s="797"/>
      <c r="H1327" s="797"/>
      <c r="I1327" s="47">
        <f t="shared" ref="I1327:Q1327" si="1567">SUM(I1328:I1330)</f>
        <v>0</v>
      </c>
      <c r="J1327" s="47">
        <f t="shared" si="1567"/>
        <v>5.0789199999999992</v>
      </c>
      <c r="K1327" s="47">
        <f t="shared" si="1567"/>
        <v>0</v>
      </c>
      <c r="L1327" s="47">
        <f t="shared" si="1567"/>
        <v>6.4700999999999995</v>
      </c>
      <c r="M1327" s="47">
        <f t="shared" si="1567"/>
        <v>10.007739999999998</v>
      </c>
      <c r="N1327" s="47">
        <f t="shared" si="1567"/>
        <v>0</v>
      </c>
      <c r="O1327" s="47">
        <f t="shared" si="1567"/>
        <v>0</v>
      </c>
      <c r="P1327" s="47">
        <f t="shared" si="1567"/>
        <v>0</v>
      </c>
      <c r="Q1327" s="47">
        <f t="shared" si="1567"/>
        <v>0</v>
      </c>
    </row>
    <row r="1328" spans="4:17" s="16" customFormat="1" ht="13.2" x14ac:dyDescent="0.25">
      <c r="D1328" s="235">
        <v>1</v>
      </c>
      <c r="E1328" s="237">
        <v>34</v>
      </c>
      <c r="F1328" s="238">
        <v>5</v>
      </c>
      <c r="G1328" s="239">
        <v>0.97</v>
      </c>
      <c r="H1328" s="239">
        <f t="shared" ref="H1328:H1330" si="1568">E1328*G1328</f>
        <v>32.979999999999997</v>
      </c>
      <c r="I1328" s="131">
        <f t="shared" ref="I1328:I1330" si="1569">IF($F1328=4.2,H1328*$B$23,0)</f>
        <v>0</v>
      </c>
      <c r="J1328" s="31">
        <f t="shared" ref="J1328:J1330" si="1570">IF($F1328=5,$H1328*$B$24,0)</f>
        <v>5.0789199999999992</v>
      </c>
      <c r="K1328" s="31">
        <f t="shared" ref="K1328:K1330" si="1571">IF($F1328=6.3,$H1328*$B$25,0)</f>
        <v>0</v>
      </c>
      <c r="L1328" s="31">
        <f t="shared" ref="L1328:L1330" si="1572">IF($F1328=8,$H1328*$B$26,0)</f>
        <v>0</v>
      </c>
      <c r="M1328" s="31">
        <f t="shared" ref="M1328:M1330" si="1573">IF($F1328=10,$H1328*$B$27,0)</f>
        <v>0</v>
      </c>
      <c r="N1328" s="31">
        <f t="shared" ref="N1328:N1330" si="1574">IF($F1328=12.5,$H1328*$B$28,0)</f>
        <v>0</v>
      </c>
      <c r="O1328" s="31">
        <f t="shared" ref="O1328:O1330" si="1575">IF($F1328=16,$H1328*$B$29,0)</f>
        <v>0</v>
      </c>
      <c r="P1328" s="31">
        <f t="shared" ref="P1328:P1330" si="1576">IF($F1328=20,$H1328*$B$30,0)</f>
        <v>0</v>
      </c>
      <c r="Q1328" s="49">
        <f t="shared" ref="Q1328:Q1330" si="1577">IF($F1328=25,$H1328*$B$31,0)</f>
        <v>0</v>
      </c>
    </row>
    <row r="1329" spans="4:17" s="16" customFormat="1" ht="13.2" x14ac:dyDescent="0.25">
      <c r="D1329" s="235">
        <v>4</v>
      </c>
      <c r="E1329" s="240">
        <v>2</v>
      </c>
      <c r="F1329" s="241">
        <v>8</v>
      </c>
      <c r="G1329" s="242">
        <v>8.19</v>
      </c>
      <c r="H1329" s="239">
        <f t="shared" si="1568"/>
        <v>16.38</v>
      </c>
      <c r="I1329" s="131">
        <f t="shared" si="1569"/>
        <v>0</v>
      </c>
      <c r="J1329" s="31">
        <f t="shared" si="1570"/>
        <v>0</v>
      </c>
      <c r="K1329" s="31">
        <f t="shared" si="1571"/>
        <v>0</v>
      </c>
      <c r="L1329" s="31">
        <f t="shared" si="1572"/>
        <v>6.4700999999999995</v>
      </c>
      <c r="M1329" s="31">
        <f t="shared" si="1573"/>
        <v>0</v>
      </c>
      <c r="N1329" s="31">
        <f t="shared" si="1574"/>
        <v>0</v>
      </c>
      <c r="O1329" s="31">
        <f t="shared" si="1575"/>
        <v>0</v>
      </c>
      <c r="P1329" s="31">
        <f t="shared" si="1576"/>
        <v>0</v>
      </c>
      <c r="Q1329" s="49">
        <f t="shared" si="1577"/>
        <v>0</v>
      </c>
    </row>
    <row r="1330" spans="4:17" s="16" customFormat="1" ht="13.2" x14ac:dyDescent="0.25">
      <c r="D1330" s="235">
        <v>30</v>
      </c>
      <c r="E1330" s="240">
        <v>2</v>
      </c>
      <c r="F1330" s="241">
        <v>10</v>
      </c>
      <c r="G1330" s="242">
        <v>8.11</v>
      </c>
      <c r="H1330" s="239">
        <f t="shared" si="1568"/>
        <v>16.22</v>
      </c>
      <c r="I1330" s="131">
        <f t="shared" si="1569"/>
        <v>0</v>
      </c>
      <c r="J1330" s="31">
        <f t="shared" si="1570"/>
        <v>0</v>
      </c>
      <c r="K1330" s="31">
        <f t="shared" si="1571"/>
        <v>0</v>
      </c>
      <c r="L1330" s="31">
        <f t="shared" si="1572"/>
        <v>0</v>
      </c>
      <c r="M1330" s="31">
        <f t="shared" si="1573"/>
        <v>10.007739999999998</v>
      </c>
      <c r="N1330" s="31">
        <f t="shared" si="1574"/>
        <v>0</v>
      </c>
      <c r="O1330" s="31">
        <f t="shared" si="1575"/>
        <v>0</v>
      </c>
      <c r="P1330" s="31">
        <f t="shared" si="1576"/>
        <v>0</v>
      </c>
      <c r="Q1330" s="49">
        <f t="shared" si="1577"/>
        <v>0</v>
      </c>
    </row>
    <row r="1331" spans="4:17" s="16" customFormat="1" ht="13.8" thickBot="1" x14ac:dyDescent="0.3">
      <c r="D1331" s="307"/>
      <c r="E1331" s="26"/>
      <c r="F1331" s="206"/>
      <c r="G1331" s="207"/>
      <c r="H1331" s="207"/>
      <c r="I1331" s="51"/>
      <c r="J1331" s="308"/>
      <c r="K1331" s="308"/>
      <c r="L1331" s="308"/>
      <c r="M1331" s="308"/>
      <c r="N1331" s="308"/>
      <c r="O1331" s="308"/>
      <c r="P1331" s="308"/>
      <c r="Q1331" s="309"/>
    </row>
    <row r="1332" spans="4:17" s="16" customFormat="1" ht="13.2" x14ac:dyDescent="0.25">
      <c r="D1332" s="796" t="s">
        <v>2004</v>
      </c>
      <c r="E1332" s="797"/>
      <c r="F1332" s="797"/>
      <c r="G1332" s="797"/>
      <c r="H1332" s="797"/>
      <c r="I1332" s="47">
        <f t="shared" ref="I1332:Q1332" si="1578">SUM(I1333:I1336)</f>
        <v>0</v>
      </c>
      <c r="J1332" s="47">
        <f t="shared" si="1578"/>
        <v>6.6112200000000003</v>
      </c>
      <c r="K1332" s="47">
        <f t="shared" si="1578"/>
        <v>0</v>
      </c>
      <c r="L1332" s="47">
        <f t="shared" si="1578"/>
        <v>0</v>
      </c>
      <c r="M1332" s="47">
        <f t="shared" si="1578"/>
        <v>11.92661</v>
      </c>
      <c r="N1332" s="47">
        <f t="shared" si="1578"/>
        <v>0</v>
      </c>
      <c r="O1332" s="47">
        <f t="shared" si="1578"/>
        <v>0</v>
      </c>
      <c r="P1332" s="47">
        <f t="shared" si="1578"/>
        <v>0</v>
      </c>
      <c r="Q1332" s="47">
        <f t="shared" si="1578"/>
        <v>0</v>
      </c>
    </row>
    <row r="1333" spans="4:17" s="16" customFormat="1" ht="13.2" x14ac:dyDescent="0.25">
      <c r="D1333" s="235">
        <v>2</v>
      </c>
      <c r="E1333" s="237">
        <v>29</v>
      </c>
      <c r="F1333" s="238">
        <v>5</v>
      </c>
      <c r="G1333" s="239">
        <v>1.17</v>
      </c>
      <c r="H1333" s="239">
        <f t="shared" ref="H1333:H1336" si="1579">E1333*G1333</f>
        <v>33.93</v>
      </c>
      <c r="I1333" s="131">
        <f t="shared" ref="I1333:I1336" si="1580">IF($F1333=4.2,H1333*$B$23,0)</f>
        <v>0</v>
      </c>
      <c r="J1333" s="31">
        <f t="shared" ref="J1333:J1336" si="1581">IF($F1333=5,$H1333*$B$24,0)</f>
        <v>5.2252200000000002</v>
      </c>
      <c r="K1333" s="31">
        <f t="shared" ref="K1333:K1336" si="1582">IF($F1333=6.3,$H1333*$B$25,0)</f>
        <v>0</v>
      </c>
      <c r="L1333" s="31">
        <f t="shared" ref="L1333:L1336" si="1583">IF($F1333=8,$H1333*$B$26,0)</f>
        <v>0</v>
      </c>
      <c r="M1333" s="31">
        <f t="shared" ref="M1333:M1336" si="1584">IF($F1333=10,$H1333*$B$27,0)</f>
        <v>0</v>
      </c>
      <c r="N1333" s="31">
        <f t="shared" ref="N1333:N1336" si="1585">IF($F1333=12.5,$H1333*$B$28,0)</f>
        <v>0</v>
      </c>
      <c r="O1333" s="31">
        <f t="shared" ref="O1333:O1336" si="1586">IF($F1333=16,$H1333*$B$29,0)</f>
        <v>0</v>
      </c>
      <c r="P1333" s="31">
        <f t="shared" ref="P1333:P1336" si="1587">IF($F1333=20,$H1333*$B$30,0)</f>
        <v>0</v>
      </c>
      <c r="Q1333" s="49">
        <f t="shared" ref="Q1333:Q1336" si="1588">IF($F1333=25,$H1333*$B$31,0)</f>
        <v>0</v>
      </c>
    </row>
    <row r="1334" spans="4:17" s="16" customFormat="1" ht="13.2" x14ac:dyDescent="0.25">
      <c r="D1334" s="235">
        <v>3</v>
      </c>
      <c r="E1334" s="240">
        <v>4</v>
      </c>
      <c r="F1334" s="241">
        <v>5</v>
      </c>
      <c r="G1334" s="242">
        <v>2.25</v>
      </c>
      <c r="H1334" s="239">
        <f t="shared" si="1579"/>
        <v>9</v>
      </c>
      <c r="I1334" s="131">
        <f t="shared" si="1580"/>
        <v>0</v>
      </c>
      <c r="J1334" s="31">
        <f t="shared" si="1581"/>
        <v>1.3859999999999999</v>
      </c>
      <c r="K1334" s="31">
        <f t="shared" si="1582"/>
        <v>0</v>
      </c>
      <c r="L1334" s="31">
        <f t="shared" si="1583"/>
        <v>0</v>
      </c>
      <c r="M1334" s="31">
        <f t="shared" si="1584"/>
        <v>0</v>
      </c>
      <c r="N1334" s="31">
        <f t="shared" si="1585"/>
        <v>0</v>
      </c>
      <c r="O1334" s="31">
        <f t="shared" si="1586"/>
        <v>0</v>
      </c>
      <c r="P1334" s="31">
        <f t="shared" si="1587"/>
        <v>0</v>
      </c>
      <c r="Q1334" s="49">
        <f t="shared" si="1588"/>
        <v>0</v>
      </c>
    </row>
    <row r="1335" spans="4:17" s="16" customFormat="1" ht="13.2" x14ac:dyDescent="0.25">
      <c r="D1335" s="235">
        <v>31</v>
      </c>
      <c r="E1335" s="240">
        <v>4</v>
      </c>
      <c r="F1335" s="241">
        <v>10</v>
      </c>
      <c r="G1335" s="242">
        <v>4.49</v>
      </c>
      <c r="H1335" s="239">
        <f t="shared" si="1579"/>
        <v>17.96</v>
      </c>
      <c r="I1335" s="131">
        <f t="shared" si="1580"/>
        <v>0</v>
      </c>
      <c r="J1335" s="31">
        <f t="shared" si="1581"/>
        <v>0</v>
      </c>
      <c r="K1335" s="31">
        <f t="shared" si="1582"/>
        <v>0</v>
      </c>
      <c r="L1335" s="31">
        <f t="shared" si="1583"/>
        <v>0</v>
      </c>
      <c r="M1335" s="31">
        <f t="shared" si="1584"/>
        <v>11.08132</v>
      </c>
      <c r="N1335" s="31">
        <f t="shared" si="1585"/>
        <v>0</v>
      </c>
      <c r="O1335" s="31">
        <f t="shared" si="1586"/>
        <v>0</v>
      </c>
      <c r="P1335" s="31">
        <f t="shared" si="1587"/>
        <v>0</v>
      </c>
      <c r="Q1335" s="49">
        <f t="shared" si="1588"/>
        <v>0</v>
      </c>
    </row>
    <row r="1336" spans="4:17" s="16" customFormat="1" ht="13.2" x14ac:dyDescent="0.25">
      <c r="D1336" s="235">
        <v>32</v>
      </c>
      <c r="E1336" s="240">
        <v>1</v>
      </c>
      <c r="F1336" s="241">
        <v>10</v>
      </c>
      <c r="G1336" s="242">
        <v>1.37</v>
      </c>
      <c r="H1336" s="239">
        <f t="shared" si="1579"/>
        <v>1.37</v>
      </c>
      <c r="I1336" s="131">
        <f t="shared" si="1580"/>
        <v>0</v>
      </c>
      <c r="J1336" s="31">
        <f t="shared" si="1581"/>
        <v>0</v>
      </c>
      <c r="K1336" s="31">
        <f t="shared" si="1582"/>
        <v>0</v>
      </c>
      <c r="L1336" s="31">
        <f t="shared" si="1583"/>
        <v>0</v>
      </c>
      <c r="M1336" s="31">
        <f t="shared" si="1584"/>
        <v>0.8452900000000001</v>
      </c>
      <c r="N1336" s="31">
        <f t="shared" si="1585"/>
        <v>0</v>
      </c>
      <c r="O1336" s="31">
        <f t="shared" si="1586"/>
        <v>0</v>
      </c>
      <c r="P1336" s="31">
        <f t="shared" si="1587"/>
        <v>0</v>
      </c>
      <c r="Q1336" s="49">
        <f t="shared" si="1588"/>
        <v>0</v>
      </c>
    </row>
    <row r="1337" spans="4:17" s="16" customFormat="1" ht="13.8" thickBot="1" x14ac:dyDescent="0.3">
      <c r="D1337" s="307"/>
      <c r="E1337" s="26"/>
      <c r="F1337" s="206"/>
      <c r="G1337" s="207"/>
      <c r="H1337" s="207"/>
      <c r="I1337" s="51"/>
      <c r="J1337" s="308"/>
      <c r="K1337" s="308"/>
      <c r="L1337" s="308"/>
      <c r="M1337" s="308"/>
      <c r="N1337" s="308"/>
      <c r="O1337" s="308"/>
      <c r="P1337" s="308"/>
      <c r="Q1337" s="309"/>
    </row>
    <row r="1338" spans="4:17" s="16" customFormat="1" ht="13.2" x14ac:dyDescent="0.25">
      <c r="D1338" s="796" t="s">
        <v>2005</v>
      </c>
      <c r="E1338" s="797"/>
      <c r="F1338" s="797"/>
      <c r="G1338" s="797"/>
      <c r="H1338" s="797"/>
      <c r="I1338" s="47">
        <f t="shared" ref="I1338:Q1338" si="1589">SUM(I1339:I1341)</f>
        <v>0</v>
      </c>
      <c r="J1338" s="47">
        <f t="shared" si="1589"/>
        <v>11.352879999999999</v>
      </c>
      <c r="K1338" s="47">
        <f t="shared" si="1589"/>
        <v>0</v>
      </c>
      <c r="L1338" s="47">
        <f t="shared" si="1589"/>
        <v>28.629600000000003</v>
      </c>
      <c r="M1338" s="47">
        <f t="shared" si="1589"/>
        <v>0</v>
      </c>
      <c r="N1338" s="47">
        <f t="shared" si="1589"/>
        <v>0</v>
      </c>
      <c r="O1338" s="47">
        <f t="shared" si="1589"/>
        <v>0</v>
      </c>
      <c r="P1338" s="47">
        <f t="shared" si="1589"/>
        <v>0</v>
      </c>
      <c r="Q1338" s="47">
        <f t="shared" si="1589"/>
        <v>0</v>
      </c>
    </row>
    <row r="1339" spans="4:17" s="16" customFormat="1" ht="13.2" x14ac:dyDescent="0.25">
      <c r="D1339" s="235">
        <v>1</v>
      </c>
      <c r="E1339" s="237">
        <f>2*38</f>
        <v>76</v>
      </c>
      <c r="F1339" s="238">
        <v>5</v>
      </c>
      <c r="G1339" s="239">
        <v>0.97</v>
      </c>
      <c r="H1339" s="239">
        <f t="shared" ref="H1339:H1341" si="1590">E1339*G1339</f>
        <v>73.72</v>
      </c>
      <c r="I1339" s="131">
        <f t="shared" ref="I1339:I1341" si="1591">IF($F1339=4.2,H1339*$B$23,0)</f>
        <v>0</v>
      </c>
      <c r="J1339" s="31">
        <f t="shared" ref="J1339:J1341" si="1592">IF($F1339=5,$H1339*$B$24,0)</f>
        <v>11.352879999999999</v>
      </c>
      <c r="K1339" s="31">
        <f t="shared" ref="K1339:K1341" si="1593">IF($F1339=6.3,$H1339*$B$25,0)</f>
        <v>0</v>
      </c>
      <c r="L1339" s="31">
        <f t="shared" ref="L1339:L1341" si="1594">IF($F1339=8,$H1339*$B$26,0)</f>
        <v>0</v>
      </c>
      <c r="M1339" s="31">
        <f t="shared" ref="M1339:M1341" si="1595">IF($F1339=10,$H1339*$B$27,0)</f>
        <v>0</v>
      </c>
      <c r="N1339" s="31">
        <f t="shared" ref="N1339:N1341" si="1596">IF($F1339=12.5,$H1339*$B$28,0)</f>
        <v>0</v>
      </c>
      <c r="O1339" s="31">
        <f t="shared" ref="O1339:O1341" si="1597">IF($F1339=16,$H1339*$B$29,0)</f>
        <v>0</v>
      </c>
      <c r="P1339" s="31">
        <f t="shared" ref="P1339:P1341" si="1598">IF($F1339=20,$H1339*$B$30,0)</f>
        <v>0</v>
      </c>
      <c r="Q1339" s="49">
        <f t="shared" ref="Q1339:Q1341" si="1599">IF($F1339=25,$H1339*$B$31,0)</f>
        <v>0</v>
      </c>
    </row>
    <row r="1340" spans="4:17" s="16" customFormat="1" ht="13.2" x14ac:dyDescent="0.25">
      <c r="D1340" s="235">
        <v>5</v>
      </c>
      <c r="E1340" s="240">
        <f>2*2</f>
        <v>4</v>
      </c>
      <c r="F1340" s="241">
        <v>8</v>
      </c>
      <c r="G1340" s="242">
        <v>8.9</v>
      </c>
      <c r="H1340" s="239">
        <f t="shared" si="1590"/>
        <v>35.6</v>
      </c>
      <c r="I1340" s="131">
        <f t="shared" si="1591"/>
        <v>0</v>
      </c>
      <c r="J1340" s="31">
        <f t="shared" si="1592"/>
        <v>0</v>
      </c>
      <c r="K1340" s="31">
        <f t="shared" si="1593"/>
        <v>0</v>
      </c>
      <c r="L1340" s="31">
        <f t="shared" si="1594"/>
        <v>14.062000000000001</v>
      </c>
      <c r="M1340" s="31">
        <f t="shared" si="1595"/>
        <v>0</v>
      </c>
      <c r="N1340" s="31">
        <f t="shared" si="1596"/>
        <v>0</v>
      </c>
      <c r="O1340" s="31">
        <f t="shared" si="1597"/>
        <v>0</v>
      </c>
      <c r="P1340" s="31">
        <f t="shared" si="1598"/>
        <v>0</v>
      </c>
      <c r="Q1340" s="49">
        <f t="shared" si="1599"/>
        <v>0</v>
      </c>
    </row>
    <row r="1341" spans="4:17" s="16" customFormat="1" ht="13.2" x14ac:dyDescent="0.25">
      <c r="D1341" s="235">
        <v>6</v>
      </c>
      <c r="E1341" s="240">
        <f>2*2</f>
        <v>4</v>
      </c>
      <c r="F1341" s="241">
        <v>8</v>
      </c>
      <c r="G1341" s="242">
        <v>9.2200000000000006</v>
      </c>
      <c r="H1341" s="239">
        <f t="shared" si="1590"/>
        <v>36.880000000000003</v>
      </c>
      <c r="I1341" s="131">
        <f t="shared" si="1591"/>
        <v>0</v>
      </c>
      <c r="J1341" s="31">
        <f t="shared" si="1592"/>
        <v>0</v>
      </c>
      <c r="K1341" s="31">
        <f t="shared" si="1593"/>
        <v>0</v>
      </c>
      <c r="L1341" s="31">
        <f t="shared" si="1594"/>
        <v>14.567600000000002</v>
      </c>
      <c r="M1341" s="31">
        <f t="shared" si="1595"/>
        <v>0</v>
      </c>
      <c r="N1341" s="31">
        <f t="shared" si="1596"/>
        <v>0</v>
      </c>
      <c r="O1341" s="31">
        <f t="shared" si="1597"/>
        <v>0</v>
      </c>
      <c r="P1341" s="31">
        <f t="shared" si="1598"/>
        <v>0</v>
      </c>
      <c r="Q1341" s="49">
        <f t="shared" si="1599"/>
        <v>0</v>
      </c>
    </row>
    <row r="1342" spans="4:17" s="16" customFormat="1" ht="13.8" thickBot="1" x14ac:dyDescent="0.3">
      <c r="D1342" s="307"/>
      <c r="E1342" s="26"/>
      <c r="F1342" s="206"/>
      <c r="G1342" s="207"/>
      <c r="H1342" s="207"/>
      <c r="I1342" s="51"/>
      <c r="J1342" s="308"/>
      <c r="K1342" s="308"/>
      <c r="L1342" s="308"/>
      <c r="M1342" s="308"/>
      <c r="N1342" s="308"/>
      <c r="O1342" s="308"/>
      <c r="P1342" s="308"/>
      <c r="Q1342" s="309"/>
    </row>
    <row r="1343" spans="4:17" s="16" customFormat="1" ht="13.2" x14ac:dyDescent="0.25">
      <c r="D1343" s="796" t="s">
        <v>2006</v>
      </c>
      <c r="E1343" s="797"/>
      <c r="F1343" s="797"/>
      <c r="G1343" s="797"/>
      <c r="H1343" s="797"/>
      <c r="I1343" s="47">
        <f t="shared" ref="I1343:Q1343" si="1600">SUM(I1344:I1348)</f>
        <v>0</v>
      </c>
      <c r="J1343" s="47">
        <f t="shared" si="1600"/>
        <v>7.917139999999999</v>
      </c>
      <c r="K1343" s="47">
        <f t="shared" si="1600"/>
        <v>0</v>
      </c>
      <c r="L1343" s="47">
        <f t="shared" si="1600"/>
        <v>20.026500000000002</v>
      </c>
      <c r="M1343" s="47">
        <f t="shared" si="1600"/>
        <v>0</v>
      </c>
      <c r="N1343" s="47">
        <f t="shared" si="1600"/>
        <v>0</v>
      </c>
      <c r="O1343" s="47">
        <f t="shared" si="1600"/>
        <v>0</v>
      </c>
      <c r="P1343" s="47">
        <f t="shared" si="1600"/>
        <v>0</v>
      </c>
      <c r="Q1343" s="47">
        <f t="shared" si="1600"/>
        <v>0</v>
      </c>
    </row>
    <row r="1344" spans="4:17" s="16" customFormat="1" ht="13.2" x14ac:dyDescent="0.25">
      <c r="D1344" s="235">
        <v>1</v>
      </c>
      <c r="E1344" s="237">
        <v>53</v>
      </c>
      <c r="F1344" s="238">
        <v>5</v>
      </c>
      <c r="G1344" s="239">
        <v>0.97</v>
      </c>
      <c r="H1344" s="239">
        <f t="shared" ref="H1344:H1348" si="1601">E1344*G1344</f>
        <v>51.41</v>
      </c>
      <c r="I1344" s="131">
        <f t="shared" ref="I1344:I1348" si="1602">IF($F1344=4.2,H1344*$B$23,0)</f>
        <v>0</v>
      </c>
      <c r="J1344" s="31">
        <f t="shared" ref="J1344:J1348" si="1603">IF($F1344=5,$H1344*$B$24,0)</f>
        <v>7.917139999999999</v>
      </c>
      <c r="K1344" s="31">
        <f t="shared" ref="K1344:K1348" si="1604">IF($F1344=6.3,$H1344*$B$25,0)</f>
        <v>0</v>
      </c>
      <c r="L1344" s="31">
        <f t="shared" ref="L1344:L1348" si="1605">IF($F1344=8,$H1344*$B$26,0)</f>
        <v>0</v>
      </c>
      <c r="M1344" s="31">
        <f t="shared" ref="M1344:M1348" si="1606">IF($F1344=10,$H1344*$B$27,0)</f>
        <v>0</v>
      </c>
      <c r="N1344" s="31">
        <f t="shared" ref="N1344:N1348" si="1607">IF($F1344=12.5,$H1344*$B$28,0)</f>
        <v>0</v>
      </c>
      <c r="O1344" s="31">
        <f t="shared" ref="O1344:O1348" si="1608">IF($F1344=16,$H1344*$B$29,0)</f>
        <v>0</v>
      </c>
      <c r="P1344" s="31">
        <f t="shared" ref="P1344:P1348" si="1609">IF($F1344=20,$H1344*$B$30,0)</f>
        <v>0</v>
      </c>
      <c r="Q1344" s="49">
        <f t="shared" ref="Q1344:Q1348" si="1610">IF($F1344=25,$H1344*$B$31,0)</f>
        <v>0</v>
      </c>
    </row>
    <row r="1345" spans="4:17" s="16" customFormat="1" ht="13.2" x14ac:dyDescent="0.25">
      <c r="D1345" s="235">
        <v>7</v>
      </c>
      <c r="E1345" s="240">
        <v>2</v>
      </c>
      <c r="F1345" s="241">
        <v>8</v>
      </c>
      <c r="G1345" s="242">
        <v>8.39</v>
      </c>
      <c r="H1345" s="239">
        <f t="shared" si="1601"/>
        <v>16.78</v>
      </c>
      <c r="I1345" s="131">
        <f t="shared" si="1602"/>
        <v>0</v>
      </c>
      <c r="J1345" s="31">
        <f t="shared" si="1603"/>
        <v>0</v>
      </c>
      <c r="K1345" s="31">
        <f t="shared" si="1604"/>
        <v>0</v>
      </c>
      <c r="L1345" s="31">
        <f t="shared" si="1605"/>
        <v>6.6281000000000008</v>
      </c>
      <c r="M1345" s="31">
        <f t="shared" si="1606"/>
        <v>0</v>
      </c>
      <c r="N1345" s="31">
        <f t="shared" si="1607"/>
        <v>0</v>
      </c>
      <c r="O1345" s="31">
        <f t="shared" si="1608"/>
        <v>0</v>
      </c>
      <c r="P1345" s="31">
        <f t="shared" si="1609"/>
        <v>0</v>
      </c>
      <c r="Q1345" s="49">
        <f t="shared" si="1610"/>
        <v>0</v>
      </c>
    </row>
    <row r="1346" spans="4:17" s="16" customFormat="1" ht="13.2" x14ac:dyDescent="0.25">
      <c r="D1346" s="235">
        <v>8</v>
      </c>
      <c r="E1346" s="240">
        <v>2</v>
      </c>
      <c r="F1346" s="241">
        <v>8</v>
      </c>
      <c r="G1346" s="242">
        <v>4.1100000000000003</v>
      </c>
      <c r="H1346" s="239">
        <f t="shared" si="1601"/>
        <v>8.2200000000000006</v>
      </c>
      <c r="I1346" s="131">
        <f t="shared" si="1602"/>
        <v>0</v>
      </c>
      <c r="J1346" s="31">
        <f t="shared" si="1603"/>
        <v>0</v>
      </c>
      <c r="K1346" s="31">
        <f t="shared" si="1604"/>
        <v>0</v>
      </c>
      <c r="L1346" s="31">
        <f t="shared" si="1605"/>
        <v>3.2469000000000006</v>
      </c>
      <c r="M1346" s="31">
        <f t="shared" si="1606"/>
        <v>0</v>
      </c>
      <c r="N1346" s="31">
        <f t="shared" si="1607"/>
        <v>0</v>
      </c>
      <c r="O1346" s="31">
        <f t="shared" si="1608"/>
        <v>0</v>
      </c>
      <c r="P1346" s="31">
        <f t="shared" si="1609"/>
        <v>0</v>
      </c>
      <c r="Q1346" s="49">
        <f t="shared" si="1610"/>
        <v>0</v>
      </c>
    </row>
    <row r="1347" spans="4:17" s="16" customFormat="1" ht="13.2" x14ac:dyDescent="0.25">
      <c r="D1347" s="235">
        <v>9</v>
      </c>
      <c r="E1347" s="240">
        <v>2</v>
      </c>
      <c r="F1347" s="241">
        <v>8</v>
      </c>
      <c r="G1347" s="242">
        <v>11.17</v>
      </c>
      <c r="H1347" s="239">
        <f t="shared" si="1601"/>
        <v>22.34</v>
      </c>
      <c r="I1347" s="131">
        <f t="shared" si="1602"/>
        <v>0</v>
      </c>
      <c r="J1347" s="31">
        <f t="shared" si="1603"/>
        <v>0</v>
      </c>
      <c r="K1347" s="31">
        <f t="shared" si="1604"/>
        <v>0</v>
      </c>
      <c r="L1347" s="31">
        <f t="shared" si="1605"/>
        <v>8.8243000000000009</v>
      </c>
      <c r="M1347" s="31">
        <f t="shared" si="1606"/>
        <v>0</v>
      </c>
      <c r="N1347" s="31">
        <f t="shared" si="1607"/>
        <v>0</v>
      </c>
      <c r="O1347" s="31">
        <f t="shared" si="1608"/>
        <v>0</v>
      </c>
      <c r="P1347" s="31">
        <f t="shared" si="1609"/>
        <v>0</v>
      </c>
      <c r="Q1347" s="49">
        <f t="shared" si="1610"/>
        <v>0</v>
      </c>
    </row>
    <row r="1348" spans="4:17" s="16" customFormat="1" ht="13.2" x14ac:dyDescent="0.25">
      <c r="D1348" s="235">
        <v>10</v>
      </c>
      <c r="E1348" s="240">
        <v>2</v>
      </c>
      <c r="F1348" s="241">
        <v>8</v>
      </c>
      <c r="G1348" s="242">
        <v>1.68</v>
      </c>
      <c r="H1348" s="239">
        <f t="shared" si="1601"/>
        <v>3.36</v>
      </c>
      <c r="I1348" s="131">
        <f t="shared" si="1602"/>
        <v>0</v>
      </c>
      <c r="J1348" s="31">
        <f t="shared" si="1603"/>
        <v>0</v>
      </c>
      <c r="K1348" s="31">
        <f t="shared" si="1604"/>
        <v>0</v>
      </c>
      <c r="L1348" s="31">
        <f t="shared" si="1605"/>
        <v>1.3271999999999999</v>
      </c>
      <c r="M1348" s="31">
        <f t="shared" si="1606"/>
        <v>0</v>
      </c>
      <c r="N1348" s="31">
        <f t="shared" si="1607"/>
        <v>0</v>
      </c>
      <c r="O1348" s="31">
        <f t="shared" si="1608"/>
        <v>0</v>
      </c>
      <c r="P1348" s="31">
        <f t="shared" si="1609"/>
        <v>0</v>
      </c>
      <c r="Q1348" s="49">
        <f t="shared" si="1610"/>
        <v>0</v>
      </c>
    </row>
    <row r="1349" spans="4:17" s="16" customFormat="1" ht="13.8" thickBot="1" x14ac:dyDescent="0.3">
      <c r="D1349" s="307"/>
      <c r="E1349" s="26"/>
      <c r="F1349" s="206"/>
      <c r="G1349" s="207"/>
      <c r="H1349" s="207"/>
      <c r="I1349" s="51"/>
      <c r="J1349" s="308"/>
      <c r="K1349" s="308"/>
      <c r="L1349" s="308"/>
      <c r="M1349" s="308"/>
      <c r="N1349" s="308"/>
      <c r="O1349" s="308"/>
      <c r="P1349" s="308"/>
      <c r="Q1349" s="309"/>
    </row>
    <row r="1350" spans="4:17" s="16" customFormat="1" ht="13.2" x14ac:dyDescent="0.25">
      <c r="D1350" s="796" t="s">
        <v>2007</v>
      </c>
      <c r="E1350" s="797"/>
      <c r="F1350" s="797"/>
      <c r="G1350" s="797"/>
      <c r="H1350" s="797"/>
      <c r="I1350" s="47">
        <f t="shared" ref="I1350:Q1350" si="1611">SUM(I1351:I1353)</f>
        <v>0</v>
      </c>
      <c r="J1350" s="47">
        <f t="shared" si="1611"/>
        <v>2.6888399999999999</v>
      </c>
      <c r="K1350" s="47">
        <f t="shared" si="1611"/>
        <v>0</v>
      </c>
      <c r="L1350" s="47">
        <f t="shared" si="1611"/>
        <v>6.7782</v>
      </c>
      <c r="M1350" s="47">
        <f t="shared" si="1611"/>
        <v>0</v>
      </c>
      <c r="N1350" s="47">
        <f t="shared" si="1611"/>
        <v>0</v>
      </c>
      <c r="O1350" s="47">
        <f t="shared" si="1611"/>
        <v>0</v>
      </c>
      <c r="P1350" s="47">
        <f t="shared" si="1611"/>
        <v>0</v>
      </c>
      <c r="Q1350" s="47">
        <f t="shared" si="1611"/>
        <v>0</v>
      </c>
    </row>
    <row r="1351" spans="4:17" s="16" customFormat="1" ht="13.2" x14ac:dyDescent="0.25">
      <c r="D1351" s="235">
        <v>1</v>
      </c>
      <c r="E1351" s="237">
        <v>18</v>
      </c>
      <c r="F1351" s="238">
        <v>5</v>
      </c>
      <c r="G1351" s="239">
        <v>0.97</v>
      </c>
      <c r="H1351" s="239">
        <f t="shared" ref="H1351:H1353" si="1612">E1351*G1351</f>
        <v>17.46</v>
      </c>
      <c r="I1351" s="131">
        <f t="shared" ref="I1351:I1353" si="1613">IF($F1351=4.2,H1351*$B$23,0)</f>
        <v>0</v>
      </c>
      <c r="J1351" s="31">
        <f t="shared" ref="J1351:J1353" si="1614">IF($F1351=5,$H1351*$B$24,0)</f>
        <v>2.6888399999999999</v>
      </c>
      <c r="K1351" s="31">
        <f t="shared" ref="K1351:K1353" si="1615">IF($F1351=6.3,$H1351*$B$25,0)</f>
        <v>0</v>
      </c>
      <c r="L1351" s="31">
        <f t="shared" ref="L1351:L1353" si="1616">IF($F1351=8,$H1351*$B$26,0)</f>
        <v>0</v>
      </c>
      <c r="M1351" s="31">
        <f t="shared" ref="M1351:M1353" si="1617">IF($F1351=10,$H1351*$B$27,0)</f>
        <v>0</v>
      </c>
      <c r="N1351" s="31">
        <f t="shared" ref="N1351:N1353" si="1618">IF($F1351=12.5,$H1351*$B$28,0)</f>
        <v>0</v>
      </c>
      <c r="O1351" s="31">
        <f t="shared" ref="O1351:O1353" si="1619">IF($F1351=16,$H1351*$B$29,0)</f>
        <v>0</v>
      </c>
      <c r="P1351" s="31">
        <f t="shared" ref="P1351:P1353" si="1620">IF($F1351=20,$H1351*$B$30,0)</f>
        <v>0</v>
      </c>
      <c r="Q1351" s="49">
        <f t="shared" ref="Q1351:Q1353" si="1621">IF($F1351=25,$H1351*$B$31,0)</f>
        <v>0</v>
      </c>
    </row>
    <row r="1352" spans="4:17" s="16" customFormat="1" ht="13.2" x14ac:dyDescent="0.25">
      <c r="D1352" s="235">
        <v>11</v>
      </c>
      <c r="E1352" s="240">
        <v>2</v>
      </c>
      <c r="F1352" s="241">
        <v>8</v>
      </c>
      <c r="G1352" s="242">
        <v>4.18</v>
      </c>
      <c r="H1352" s="239">
        <f t="shared" si="1612"/>
        <v>8.36</v>
      </c>
      <c r="I1352" s="131">
        <f t="shared" si="1613"/>
        <v>0</v>
      </c>
      <c r="J1352" s="31">
        <f t="shared" si="1614"/>
        <v>0</v>
      </c>
      <c r="K1352" s="31">
        <f t="shared" si="1615"/>
        <v>0</v>
      </c>
      <c r="L1352" s="31">
        <f t="shared" si="1616"/>
        <v>3.3022</v>
      </c>
      <c r="M1352" s="31">
        <f t="shared" si="1617"/>
        <v>0</v>
      </c>
      <c r="N1352" s="31">
        <f t="shared" si="1618"/>
        <v>0</v>
      </c>
      <c r="O1352" s="31">
        <f t="shared" si="1619"/>
        <v>0</v>
      </c>
      <c r="P1352" s="31">
        <f t="shared" si="1620"/>
        <v>0</v>
      </c>
      <c r="Q1352" s="49">
        <f t="shared" si="1621"/>
        <v>0</v>
      </c>
    </row>
    <row r="1353" spans="4:17" s="16" customFormat="1" ht="13.2" x14ac:dyDescent="0.25">
      <c r="D1353" s="235">
        <v>12</v>
      </c>
      <c r="E1353" s="240">
        <v>2</v>
      </c>
      <c r="F1353" s="241">
        <v>8</v>
      </c>
      <c r="G1353" s="242">
        <v>4.4000000000000004</v>
      </c>
      <c r="H1353" s="239">
        <f t="shared" si="1612"/>
        <v>8.8000000000000007</v>
      </c>
      <c r="I1353" s="131">
        <f t="shared" si="1613"/>
        <v>0</v>
      </c>
      <c r="J1353" s="31">
        <f t="shared" si="1614"/>
        <v>0</v>
      </c>
      <c r="K1353" s="31">
        <f t="shared" si="1615"/>
        <v>0</v>
      </c>
      <c r="L1353" s="31">
        <f t="shared" si="1616"/>
        <v>3.4760000000000004</v>
      </c>
      <c r="M1353" s="31">
        <f t="shared" si="1617"/>
        <v>0</v>
      </c>
      <c r="N1353" s="31">
        <f t="shared" si="1618"/>
        <v>0</v>
      </c>
      <c r="O1353" s="31">
        <f t="shared" si="1619"/>
        <v>0</v>
      </c>
      <c r="P1353" s="31">
        <f t="shared" si="1620"/>
        <v>0</v>
      </c>
      <c r="Q1353" s="49">
        <f t="shared" si="1621"/>
        <v>0</v>
      </c>
    </row>
    <row r="1354" spans="4:17" s="16" customFormat="1" ht="13.8" thickBot="1" x14ac:dyDescent="0.3">
      <c r="D1354" s="307"/>
      <c r="E1354" s="26"/>
      <c r="F1354" s="206"/>
      <c r="G1354" s="207"/>
      <c r="H1354" s="207"/>
      <c r="I1354" s="51"/>
      <c r="J1354" s="308"/>
      <c r="K1354" s="308"/>
      <c r="L1354" s="308"/>
      <c r="M1354" s="308"/>
      <c r="N1354" s="308"/>
      <c r="O1354" s="308"/>
      <c r="P1354" s="308"/>
      <c r="Q1354" s="309"/>
    </row>
    <row r="1355" spans="4:17" s="16" customFormat="1" ht="13.2" x14ac:dyDescent="0.25">
      <c r="D1355" s="796" t="s">
        <v>2008</v>
      </c>
      <c r="E1355" s="797"/>
      <c r="F1355" s="797"/>
      <c r="G1355" s="797"/>
      <c r="H1355" s="797"/>
      <c r="I1355" s="47">
        <f t="shared" ref="I1355:Q1355" si="1622">SUM(I1356:I1361)</f>
        <v>0</v>
      </c>
      <c r="J1355" s="47">
        <f t="shared" si="1622"/>
        <v>5.5270599999999996</v>
      </c>
      <c r="K1355" s="47">
        <f t="shared" si="1622"/>
        <v>0</v>
      </c>
      <c r="L1355" s="47">
        <f t="shared" si="1622"/>
        <v>14.923100000000002</v>
      </c>
      <c r="M1355" s="47">
        <f t="shared" si="1622"/>
        <v>0</v>
      </c>
      <c r="N1355" s="47">
        <f t="shared" si="1622"/>
        <v>0</v>
      </c>
      <c r="O1355" s="47">
        <f t="shared" si="1622"/>
        <v>0</v>
      </c>
      <c r="P1355" s="47">
        <f t="shared" si="1622"/>
        <v>0</v>
      </c>
      <c r="Q1355" s="47">
        <f t="shared" si="1622"/>
        <v>0</v>
      </c>
    </row>
    <row r="1356" spans="4:17" s="16" customFormat="1" ht="13.2" x14ac:dyDescent="0.25">
      <c r="D1356" s="235">
        <v>1</v>
      </c>
      <c r="E1356" s="237">
        <v>37</v>
      </c>
      <c r="F1356" s="238">
        <v>5</v>
      </c>
      <c r="G1356" s="239">
        <v>0.97</v>
      </c>
      <c r="H1356" s="239">
        <f t="shared" ref="H1356:H1361" si="1623">E1356*G1356</f>
        <v>35.89</v>
      </c>
      <c r="I1356" s="131">
        <f t="shared" ref="I1356:I1361" si="1624">IF($F1356=4.2,H1356*$B$23,0)</f>
        <v>0</v>
      </c>
      <c r="J1356" s="31">
        <f t="shared" ref="J1356:J1361" si="1625">IF($F1356=5,$H1356*$B$24,0)</f>
        <v>5.5270599999999996</v>
      </c>
      <c r="K1356" s="31">
        <f t="shared" ref="K1356:K1361" si="1626">IF($F1356=6.3,$H1356*$B$25,0)</f>
        <v>0</v>
      </c>
      <c r="L1356" s="31">
        <f t="shared" ref="L1356:L1361" si="1627">IF($F1356=8,$H1356*$B$26,0)</f>
        <v>0</v>
      </c>
      <c r="M1356" s="31">
        <f t="shared" ref="M1356:M1361" si="1628">IF($F1356=10,$H1356*$B$27,0)</f>
        <v>0</v>
      </c>
      <c r="N1356" s="31">
        <f t="shared" ref="N1356:N1361" si="1629">IF($F1356=12.5,$H1356*$B$28,0)</f>
        <v>0</v>
      </c>
      <c r="O1356" s="31">
        <f t="shared" ref="O1356:O1361" si="1630">IF($F1356=16,$H1356*$B$29,0)</f>
        <v>0</v>
      </c>
      <c r="P1356" s="31">
        <f t="shared" ref="P1356:P1361" si="1631">IF($F1356=20,$H1356*$B$30,0)</f>
        <v>0</v>
      </c>
      <c r="Q1356" s="49">
        <f t="shared" ref="Q1356:Q1361" si="1632">IF($F1356=25,$H1356*$B$31,0)</f>
        <v>0</v>
      </c>
    </row>
    <row r="1357" spans="4:17" s="16" customFormat="1" ht="13.2" x14ac:dyDescent="0.25">
      <c r="D1357" s="235">
        <v>13</v>
      </c>
      <c r="E1357" s="240">
        <v>1</v>
      </c>
      <c r="F1357" s="241">
        <v>8</v>
      </c>
      <c r="G1357" s="242">
        <v>2.08</v>
      </c>
      <c r="H1357" s="239">
        <f t="shared" si="1623"/>
        <v>2.08</v>
      </c>
      <c r="I1357" s="131">
        <f t="shared" si="1624"/>
        <v>0</v>
      </c>
      <c r="J1357" s="31">
        <f t="shared" si="1625"/>
        <v>0</v>
      </c>
      <c r="K1357" s="31">
        <f t="shared" si="1626"/>
        <v>0</v>
      </c>
      <c r="L1357" s="31">
        <f t="shared" si="1627"/>
        <v>0.82160000000000011</v>
      </c>
      <c r="M1357" s="31">
        <f t="shared" si="1628"/>
        <v>0</v>
      </c>
      <c r="N1357" s="31">
        <f t="shared" si="1629"/>
        <v>0</v>
      </c>
      <c r="O1357" s="31">
        <f t="shared" si="1630"/>
        <v>0</v>
      </c>
      <c r="P1357" s="31">
        <f t="shared" si="1631"/>
        <v>0</v>
      </c>
      <c r="Q1357" s="49">
        <f t="shared" si="1632"/>
        <v>0</v>
      </c>
    </row>
    <row r="1358" spans="4:17" s="16" customFormat="1" ht="13.2" x14ac:dyDescent="0.25">
      <c r="D1358" s="235">
        <v>14</v>
      </c>
      <c r="E1358" s="240">
        <v>1</v>
      </c>
      <c r="F1358" s="241">
        <v>8</v>
      </c>
      <c r="G1358" s="242">
        <v>2.25</v>
      </c>
      <c r="H1358" s="239">
        <f t="shared" si="1623"/>
        <v>2.25</v>
      </c>
      <c r="I1358" s="131">
        <f t="shared" si="1624"/>
        <v>0</v>
      </c>
      <c r="J1358" s="31">
        <f t="shared" si="1625"/>
        <v>0</v>
      </c>
      <c r="K1358" s="31">
        <f t="shared" si="1626"/>
        <v>0</v>
      </c>
      <c r="L1358" s="31">
        <f t="shared" si="1627"/>
        <v>0.88875000000000004</v>
      </c>
      <c r="M1358" s="31">
        <f t="shared" si="1628"/>
        <v>0</v>
      </c>
      <c r="N1358" s="31">
        <f t="shared" si="1629"/>
        <v>0</v>
      </c>
      <c r="O1358" s="31">
        <f t="shared" si="1630"/>
        <v>0</v>
      </c>
      <c r="P1358" s="31">
        <f t="shared" si="1631"/>
        <v>0</v>
      </c>
      <c r="Q1358" s="49">
        <f t="shared" si="1632"/>
        <v>0</v>
      </c>
    </row>
    <row r="1359" spans="4:17" s="16" customFormat="1" ht="13.2" x14ac:dyDescent="0.25">
      <c r="D1359" s="235">
        <v>15</v>
      </c>
      <c r="E1359" s="240">
        <v>2</v>
      </c>
      <c r="F1359" s="241">
        <v>8</v>
      </c>
      <c r="G1359" s="242">
        <v>8.07</v>
      </c>
      <c r="H1359" s="239">
        <f t="shared" si="1623"/>
        <v>16.14</v>
      </c>
      <c r="I1359" s="131">
        <f t="shared" si="1624"/>
        <v>0</v>
      </c>
      <c r="J1359" s="31">
        <f t="shared" si="1625"/>
        <v>0</v>
      </c>
      <c r="K1359" s="31">
        <f t="shared" si="1626"/>
        <v>0</v>
      </c>
      <c r="L1359" s="31">
        <f t="shared" si="1627"/>
        <v>6.3753000000000002</v>
      </c>
      <c r="M1359" s="31">
        <f t="shared" si="1628"/>
        <v>0</v>
      </c>
      <c r="N1359" s="31">
        <f t="shared" si="1629"/>
        <v>0</v>
      </c>
      <c r="O1359" s="31">
        <f t="shared" si="1630"/>
        <v>0</v>
      </c>
      <c r="P1359" s="31">
        <f t="shared" si="1631"/>
        <v>0</v>
      </c>
      <c r="Q1359" s="49">
        <f t="shared" si="1632"/>
        <v>0</v>
      </c>
    </row>
    <row r="1360" spans="4:17" s="16" customFormat="1" ht="13.2" x14ac:dyDescent="0.25">
      <c r="D1360" s="235">
        <v>16</v>
      </c>
      <c r="E1360" s="240">
        <v>1</v>
      </c>
      <c r="F1360" s="241">
        <v>8</v>
      </c>
      <c r="G1360" s="242">
        <v>0.85</v>
      </c>
      <c r="H1360" s="239">
        <f t="shared" si="1623"/>
        <v>0.85</v>
      </c>
      <c r="I1360" s="131">
        <f t="shared" si="1624"/>
        <v>0</v>
      </c>
      <c r="J1360" s="31">
        <f t="shared" si="1625"/>
        <v>0</v>
      </c>
      <c r="K1360" s="31">
        <f t="shared" si="1626"/>
        <v>0</v>
      </c>
      <c r="L1360" s="31">
        <f t="shared" si="1627"/>
        <v>0.33574999999999999</v>
      </c>
      <c r="M1360" s="31">
        <f t="shared" si="1628"/>
        <v>0</v>
      </c>
      <c r="N1360" s="31">
        <f t="shared" si="1629"/>
        <v>0</v>
      </c>
      <c r="O1360" s="31">
        <f t="shared" si="1630"/>
        <v>0</v>
      </c>
      <c r="P1360" s="31">
        <f t="shared" si="1631"/>
        <v>0</v>
      </c>
      <c r="Q1360" s="49">
        <f t="shared" si="1632"/>
        <v>0</v>
      </c>
    </row>
    <row r="1361" spans="4:17" s="16" customFormat="1" ht="13.2" x14ac:dyDescent="0.25">
      <c r="D1361" s="235">
        <v>17</v>
      </c>
      <c r="E1361" s="240">
        <v>2</v>
      </c>
      <c r="F1361" s="241">
        <v>8</v>
      </c>
      <c r="G1361" s="242">
        <v>8.23</v>
      </c>
      <c r="H1361" s="239">
        <f t="shared" si="1623"/>
        <v>16.46</v>
      </c>
      <c r="I1361" s="131">
        <f t="shared" si="1624"/>
        <v>0</v>
      </c>
      <c r="J1361" s="31">
        <f t="shared" si="1625"/>
        <v>0</v>
      </c>
      <c r="K1361" s="31">
        <f t="shared" si="1626"/>
        <v>0</v>
      </c>
      <c r="L1361" s="31">
        <f t="shared" si="1627"/>
        <v>6.5017000000000005</v>
      </c>
      <c r="M1361" s="31">
        <f t="shared" si="1628"/>
        <v>0</v>
      </c>
      <c r="N1361" s="31">
        <f t="shared" si="1629"/>
        <v>0</v>
      </c>
      <c r="O1361" s="31">
        <f t="shared" si="1630"/>
        <v>0</v>
      </c>
      <c r="P1361" s="31">
        <f t="shared" si="1631"/>
        <v>0</v>
      </c>
      <c r="Q1361" s="49">
        <f t="shared" si="1632"/>
        <v>0</v>
      </c>
    </row>
    <row r="1362" spans="4:17" s="16" customFormat="1" ht="13.8" thickBot="1" x14ac:dyDescent="0.3">
      <c r="D1362" s="307"/>
      <c r="E1362" s="26"/>
      <c r="F1362" s="206"/>
      <c r="G1362" s="207"/>
      <c r="H1362" s="207"/>
      <c r="I1362" s="51"/>
      <c r="J1362" s="308"/>
      <c r="K1362" s="308"/>
      <c r="L1362" s="308"/>
      <c r="M1362" s="308"/>
      <c r="N1362" s="308"/>
      <c r="O1362" s="308"/>
      <c r="P1362" s="308"/>
      <c r="Q1362" s="309"/>
    </row>
    <row r="1363" spans="4:17" s="16" customFormat="1" ht="13.2" x14ac:dyDescent="0.25">
      <c r="D1363" s="796" t="s">
        <v>2009</v>
      </c>
      <c r="E1363" s="797"/>
      <c r="F1363" s="797"/>
      <c r="G1363" s="797"/>
      <c r="H1363" s="797"/>
      <c r="I1363" s="47">
        <f t="shared" ref="I1363:Q1363" si="1633">SUM(I1364:I1370)</f>
        <v>0</v>
      </c>
      <c r="J1363" s="47">
        <f t="shared" si="1633"/>
        <v>5.5270599999999996</v>
      </c>
      <c r="K1363" s="47">
        <f t="shared" si="1633"/>
        <v>0</v>
      </c>
      <c r="L1363" s="47">
        <f t="shared" si="1633"/>
        <v>15.827650000000002</v>
      </c>
      <c r="M1363" s="47">
        <f t="shared" si="1633"/>
        <v>0</v>
      </c>
      <c r="N1363" s="47">
        <f t="shared" si="1633"/>
        <v>0</v>
      </c>
      <c r="O1363" s="47">
        <f t="shared" si="1633"/>
        <v>0</v>
      </c>
      <c r="P1363" s="47">
        <f t="shared" si="1633"/>
        <v>0</v>
      </c>
      <c r="Q1363" s="47">
        <f t="shared" si="1633"/>
        <v>0</v>
      </c>
    </row>
    <row r="1364" spans="4:17" s="16" customFormat="1" ht="13.2" x14ac:dyDescent="0.25">
      <c r="D1364" s="235">
        <v>1</v>
      </c>
      <c r="E1364" s="237">
        <v>37</v>
      </c>
      <c r="F1364" s="238">
        <v>5</v>
      </c>
      <c r="G1364" s="239">
        <v>0.97</v>
      </c>
      <c r="H1364" s="239">
        <f t="shared" ref="H1364:H1370" si="1634">E1364*G1364</f>
        <v>35.89</v>
      </c>
      <c r="I1364" s="131">
        <f t="shared" ref="I1364:I1370" si="1635">IF($F1364=4.2,H1364*$B$23,0)</f>
        <v>0</v>
      </c>
      <c r="J1364" s="31">
        <f t="shared" ref="J1364:J1370" si="1636">IF($F1364=5,$H1364*$B$24,0)</f>
        <v>5.5270599999999996</v>
      </c>
      <c r="K1364" s="31">
        <f t="shared" ref="K1364:K1370" si="1637">IF($F1364=6.3,$H1364*$B$25,0)</f>
        <v>0</v>
      </c>
      <c r="L1364" s="31">
        <f t="shared" ref="L1364:L1370" si="1638">IF($F1364=8,$H1364*$B$26,0)</f>
        <v>0</v>
      </c>
      <c r="M1364" s="31">
        <f t="shared" ref="M1364:M1370" si="1639">IF($F1364=10,$H1364*$B$27,0)</f>
        <v>0</v>
      </c>
      <c r="N1364" s="31">
        <f t="shared" ref="N1364:N1370" si="1640">IF($F1364=12.5,$H1364*$B$28,0)</f>
        <v>0</v>
      </c>
      <c r="O1364" s="31">
        <f t="shared" ref="O1364:O1370" si="1641">IF($F1364=16,$H1364*$B$29,0)</f>
        <v>0</v>
      </c>
      <c r="P1364" s="31">
        <f t="shared" ref="P1364:P1370" si="1642">IF($F1364=20,$H1364*$B$30,0)</f>
        <v>0</v>
      </c>
      <c r="Q1364" s="49">
        <f t="shared" ref="Q1364:Q1370" si="1643">IF($F1364=25,$H1364*$B$31,0)</f>
        <v>0</v>
      </c>
    </row>
    <row r="1365" spans="4:17" s="16" customFormat="1" ht="13.2" x14ac:dyDescent="0.25">
      <c r="D1365" s="235">
        <v>16</v>
      </c>
      <c r="E1365" s="240">
        <v>1</v>
      </c>
      <c r="F1365" s="241">
        <v>8</v>
      </c>
      <c r="G1365" s="242">
        <v>0.85</v>
      </c>
      <c r="H1365" s="239">
        <f t="shared" si="1634"/>
        <v>0.85</v>
      </c>
      <c r="I1365" s="131">
        <f t="shared" si="1635"/>
        <v>0</v>
      </c>
      <c r="J1365" s="31">
        <f t="shared" si="1636"/>
        <v>0</v>
      </c>
      <c r="K1365" s="31">
        <f t="shared" si="1637"/>
        <v>0</v>
      </c>
      <c r="L1365" s="31">
        <f t="shared" si="1638"/>
        <v>0.33574999999999999</v>
      </c>
      <c r="M1365" s="31">
        <f t="shared" si="1639"/>
        <v>0</v>
      </c>
      <c r="N1365" s="31">
        <f t="shared" si="1640"/>
        <v>0</v>
      </c>
      <c r="O1365" s="31">
        <f t="shared" si="1641"/>
        <v>0</v>
      </c>
      <c r="P1365" s="31">
        <f t="shared" si="1642"/>
        <v>0</v>
      </c>
      <c r="Q1365" s="49">
        <f t="shared" si="1643"/>
        <v>0</v>
      </c>
    </row>
    <row r="1366" spans="4:17" s="16" customFormat="1" ht="13.2" x14ac:dyDescent="0.25">
      <c r="D1366" s="235">
        <v>18</v>
      </c>
      <c r="E1366" s="240">
        <v>1</v>
      </c>
      <c r="F1366" s="241">
        <v>8</v>
      </c>
      <c r="G1366" s="242">
        <v>2.02</v>
      </c>
      <c r="H1366" s="239">
        <f t="shared" si="1634"/>
        <v>2.02</v>
      </c>
      <c r="I1366" s="131">
        <f t="shared" si="1635"/>
        <v>0</v>
      </c>
      <c r="J1366" s="31">
        <f t="shared" si="1636"/>
        <v>0</v>
      </c>
      <c r="K1366" s="31">
        <f t="shared" si="1637"/>
        <v>0</v>
      </c>
      <c r="L1366" s="31">
        <f t="shared" si="1638"/>
        <v>0.79790000000000005</v>
      </c>
      <c r="M1366" s="31">
        <f t="shared" si="1639"/>
        <v>0</v>
      </c>
      <c r="N1366" s="31">
        <f t="shared" si="1640"/>
        <v>0</v>
      </c>
      <c r="O1366" s="31">
        <f t="shared" si="1641"/>
        <v>0</v>
      </c>
      <c r="P1366" s="31">
        <f t="shared" si="1642"/>
        <v>0</v>
      </c>
      <c r="Q1366" s="49">
        <f t="shared" si="1643"/>
        <v>0</v>
      </c>
    </row>
    <row r="1367" spans="4:17" s="16" customFormat="1" ht="13.2" x14ac:dyDescent="0.25">
      <c r="D1367" s="235">
        <v>19</v>
      </c>
      <c r="E1367" s="240">
        <v>1</v>
      </c>
      <c r="F1367" s="241">
        <v>8</v>
      </c>
      <c r="G1367" s="242">
        <v>2.06</v>
      </c>
      <c r="H1367" s="239">
        <f t="shared" si="1634"/>
        <v>2.06</v>
      </c>
      <c r="I1367" s="131">
        <f t="shared" si="1635"/>
        <v>0</v>
      </c>
      <c r="J1367" s="31">
        <f t="shared" si="1636"/>
        <v>0</v>
      </c>
      <c r="K1367" s="31">
        <f t="shared" si="1637"/>
        <v>0</v>
      </c>
      <c r="L1367" s="31">
        <f t="shared" si="1638"/>
        <v>0.81370000000000009</v>
      </c>
      <c r="M1367" s="31">
        <f t="shared" si="1639"/>
        <v>0</v>
      </c>
      <c r="N1367" s="31">
        <f t="shared" si="1640"/>
        <v>0</v>
      </c>
      <c r="O1367" s="31">
        <f t="shared" si="1641"/>
        <v>0</v>
      </c>
      <c r="P1367" s="31">
        <f t="shared" si="1642"/>
        <v>0</v>
      </c>
      <c r="Q1367" s="49">
        <f t="shared" si="1643"/>
        <v>0</v>
      </c>
    </row>
    <row r="1368" spans="4:17" s="16" customFormat="1" ht="13.2" x14ac:dyDescent="0.25">
      <c r="D1368" s="235">
        <v>20</v>
      </c>
      <c r="E1368" s="240">
        <v>2</v>
      </c>
      <c r="F1368" s="241">
        <v>8</v>
      </c>
      <c r="G1368" s="242">
        <v>8.42</v>
      </c>
      <c r="H1368" s="239">
        <f t="shared" si="1634"/>
        <v>16.84</v>
      </c>
      <c r="I1368" s="131">
        <f t="shared" si="1635"/>
        <v>0</v>
      </c>
      <c r="J1368" s="31">
        <f t="shared" si="1636"/>
        <v>0</v>
      </c>
      <c r="K1368" s="31">
        <f t="shared" si="1637"/>
        <v>0</v>
      </c>
      <c r="L1368" s="31">
        <f t="shared" si="1638"/>
        <v>6.6518000000000006</v>
      </c>
      <c r="M1368" s="31">
        <f t="shared" si="1639"/>
        <v>0</v>
      </c>
      <c r="N1368" s="31">
        <f t="shared" si="1640"/>
        <v>0</v>
      </c>
      <c r="O1368" s="31">
        <f t="shared" si="1641"/>
        <v>0</v>
      </c>
      <c r="P1368" s="31">
        <f t="shared" si="1642"/>
        <v>0</v>
      </c>
      <c r="Q1368" s="49">
        <f t="shared" si="1643"/>
        <v>0</v>
      </c>
    </row>
    <row r="1369" spans="4:17" s="16" customFormat="1" ht="13.2" x14ac:dyDescent="0.25">
      <c r="D1369" s="235">
        <v>21</v>
      </c>
      <c r="E1369" s="240">
        <v>1</v>
      </c>
      <c r="F1369" s="241">
        <v>8</v>
      </c>
      <c r="G1369" s="242">
        <v>1.3</v>
      </c>
      <c r="H1369" s="239">
        <f t="shared" si="1634"/>
        <v>1.3</v>
      </c>
      <c r="I1369" s="131">
        <f t="shared" si="1635"/>
        <v>0</v>
      </c>
      <c r="J1369" s="31">
        <f t="shared" si="1636"/>
        <v>0</v>
      </c>
      <c r="K1369" s="31">
        <f t="shared" si="1637"/>
        <v>0</v>
      </c>
      <c r="L1369" s="31">
        <f t="shared" si="1638"/>
        <v>0.51350000000000007</v>
      </c>
      <c r="M1369" s="31">
        <f t="shared" si="1639"/>
        <v>0</v>
      </c>
      <c r="N1369" s="31">
        <f t="shared" si="1640"/>
        <v>0</v>
      </c>
      <c r="O1369" s="31">
        <f t="shared" si="1641"/>
        <v>0</v>
      </c>
      <c r="P1369" s="31">
        <f t="shared" si="1642"/>
        <v>0</v>
      </c>
      <c r="Q1369" s="49">
        <f t="shared" si="1643"/>
        <v>0</v>
      </c>
    </row>
    <row r="1370" spans="4:17" s="16" customFormat="1" ht="13.2" x14ac:dyDescent="0.25">
      <c r="D1370" s="235">
        <v>22</v>
      </c>
      <c r="E1370" s="240">
        <v>2</v>
      </c>
      <c r="F1370" s="241">
        <v>8</v>
      </c>
      <c r="G1370" s="242">
        <v>8.5</v>
      </c>
      <c r="H1370" s="239">
        <f t="shared" si="1634"/>
        <v>17</v>
      </c>
      <c r="I1370" s="131">
        <f t="shared" si="1635"/>
        <v>0</v>
      </c>
      <c r="J1370" s="31">
        <f t="shared" si="1636"/>
        <v>0</v>
      </c>
      <c r="K1370" s="31">
        <f t="shared" si="1637"/>
        <v>0</v>
      </c>
      <c r="L1370" s="31">
        <f t="shared" si="1638"/>
        <v>6.7149999999999999</v>
      </c>
      <c r="M1370" s="31">
        <f t="shared" si="1639"/>
        <v>0</v>
      </c>
      <c r="N1370" s="31">
        <f t="shared" si="1640"/>
        <v>0</v>
      </c>
      <c r="O1370" s="31">
        <f t="shared" si="1641"/>
        <v>0</v>
      </c>
      <c r="P1370" s="31">
        <f t="shared" si="1642"/>
        <v>0</v>
      </c>
      <c r="Q1370" s="49">
        <f t="shared" si="1643"/>
        <v>0</v>
      </c>
    </row>
    <row r="1371" spans="4:17" s="16" customFormat="1" ht="13.8" thickBot="1" x14ac:dyDescent="0.3">
      <c r="D1371" s="307"/>
      <c r="E1371" s="26"/>
      <c r="F1371" s="206"/>
      <c r="G1371" s="207"/>
      <c r="H1371" s="207"/>
      <c r="I1371" s="51"/>
      <c r="J1371" s="308"/>
      <c r="K1371" s="308"/>
      <c r="L1371" s="308"/>
      <c r="M1371" s="308"/>
      <c r="N1371" s="308"/>
      <c r="O1371" s="308"/>
      <c r="P1371" s="308"/>
      <c r="Q1371" s="309"/>
    </row>
    <row r="1372" spans="4:17" s="16" customFormat="1" ht="13.2" x14ac:dyDescent="0.25">
      <c r="D1372" s="796" t="s">
        <v>2010</v>
      </c>
      <c r="E1372" s="797"/>
      <c r="F1372" s="797"/>
      <c r="G1372" s="797"/>
      <c r="H1372" s="797"/>
      <c r="I1372" s="47">
        <f t="shared" ref="I1372:Q1372" si="1644">SUM(I1373:I1374)</f>
        <v>0</v>
      </c>
      <c r="J1372" s="47">
        <f t="shared" si="1644"/>
        <v>4.7801599999999995</v>
      </c>
      <c r="K1372" s="47">
        <f t="shared" si="1644"/>
        <v>0</v>
      </c>
      <c r="L1372" s="47">
        <f t="shared" si="1644"/>
        <v>12.9244</v>
      </c>
      <c r="M1372" s="47">
        <f t="shared" si="1644"/>
        <v>0</v>
      </c>
      <c r="N1372" s="47">
        <f t="shared" si="1644"/>
        <v>0</v>
      </c>
      <c r="O1372" s="47">
        <f t="shared" si="1644"/>
        <v>0</v>
      </c>
      <c r="P1372" s="47">
        <f t="shared" si="1644"/>
        <v>0</v>
      </c>
      <c r="Q1372" s="47">
        <f t="shared" si="1644"/>
        <v>0</v>
      </c>
    </row>
    <row r="1373" spans="4:17" s="16" customFormat="1" ht="13.2" x14ac:dyDescent="0.25">
      <c r="D1373" s="235">
        <v>1</v>
      </c>
      <c r="E1373" s="237">
        <f>2*16</f>
        <v>32</v>
      </c>
      <c r="F1373" s="238">
        <v>5</v>
      </c>
      <c r="G1373" s="239">
        <v>0.97</v>
      </c>
      <c r="H1373" s="239">
        <f t="shared" ref="H1373:H1374" si="1645">E1373*G1373</f>
        <v>31.04</v>
      </c>
      <c r="I1373" s="131">
        <f t="shared" ref="I1373:I1374" si="1646">IF($F1373=4.2,H1373*$B$23,0)</f>
        <v>0</v>
      </c>
      <c r="J1373" s="31">
        <f t="shared" ref="J1373:J1374" si="1647">IF($F1373=5,$H1373*$B$24,0)</f>
        <v>4.7801599999999995</v>
      </c>
      <c r="K1373" s="31">
        <f t="shared" ref="K1373:K1374" si="1648">IF($F1373=6.3,$H1373*$B$25,0)</f>
        <v>0</v>
      </c>
      <c r="L1373" s="31">
        <f t="shared" ref="L1373:L1374" si="1649">IF($F1373=8,$H1373*$B$26,0)</f>
        <v>0</v>
      </c>
      <c r="M1373" s="31">
        <f t="shared" ref="M1373:M1374" si="1650">IF($F1373=10,$H1373*$B$27,0)</f>
        <v>0</v>
      </c>
      <c r="N1373" s="31">
        <f t="shared" ref="N1373:N1374" si="1651">IF($F1373=12.5,$H1373*$B$28,0)</f>
        <v>0</v>
      </c>
      <c r="O1373" s="31">
        <f t="shared" ref="O1373:O1374" si="1652">IF($F1373=16,$H1373*$B$29,0)</f>
        <v>0</v>
      </c>
      <c r="P1373" s="31">
        <f t="shared" ref="P1373:P1374" si="1653">IF($F1373=20,$H1373*$B$30,0)</f>
        <v>0</v>
      </c>
      <c r="Q1373" s="49">
        <f t="shared" ref="Q1373:Q1374" si="1654">IF($F1373=25,$H1373*$B$31,0)</f>
        <v>0</v>
      </c>
    </row>
    <row r="1374" spans="4:17" s="16" customFormat="1" ht="13.2" x14ac:dyDescent="0.25">
      <c r="D1374" s="235">
        <v>23</v>
      </c>
      <c r="E1374" s="240">
        <f>2*4</f>
        <v>8</v>
      </c>
      <c r="F1374" s="241">
        <v>8</v>
      </c>
      <c r="G1374" s="242">
        <v>4.09</v>
      </c>
      <c r="H1374" s="239">
        <f t="shared" si="1645"/>
        <v>32.72</v>
      </c>
      <c r="I1374" s="131">
        <f t="shared" si="1646"/>
        <v>0</v>
      </c>
      <c r="J1374" s="31">
        <f t="shared" si="1647"/>
        <v>0</v>
      </c>
      <c r="K1374" s="31">
        <f t="shared" si="1648"/>
        <v>0</v>
      </c>
      <c r="L1374" s="31">
        <f t="shared" si="1649"/>
        <v>12.9244</v>
      </c>
      <c r="M1374" s="31">
        <f t="shared" si="1650"/>
        <v>0</v>
      </c>
      <c r="N1374" s="31">
        <f t="shared" si="1651"/>
        <v>0</v>
      </c>
      <c r="O1374" s="31">
        <f t="shared" si="1652"/>
        <v>0</v>
      </c>
      <c r="P1374" s="31">
        <f t="shared" si="1653"/>
        <v>0</v>
      </c>
      <c r="Q1374" s="49">
        <f t="shared" si="1654"/>
        <v>0</v>
      </c>
    </row>
    <row r="1375" spans="4:17" s="16" customFormat="1" ht="13.8" thickBot="1" x14ac:dyDescent="0.3">
      <c r="D1375" s="307"/>
      <c r="E1375" s="26"/>
      <c r="F1375" s="206"/>
      <c r="G1375" s="207"/>
      <c r="H1375" s="207"/>
      <c r="I1375" s="51"/>
      <c r="J1375" s="308"/>
      <c r="K1375" s="308"/>
      <c r="L1375" s="308"/>
      <c r="M1375" s="308"/>
      <c r="N1375" s="308"/>
      <c r="O1375" s="308"/>
      <c r="P1375" s="308"/>
      <c r="Q1375" s="309"/>
    </row>
    <row r="1376" spans="4:17" s="16" customFormat="1" ht="13.2" x14ac:dyDescent="0.25">
      <c r="D1376" s="796" t="s">
        <v>2011</v>
      </c>
      <c r="E1376" s="797"/>
      <c r="F1376" s="797"/>
      <c r="G1376" s="797"/>
      <c r="H1376" s="797"/>
      <c r="I1376" s="47">
        <f t="shared" ref="I1376:Q1376" si="1655">SUM(I1377:I1381)</f>
        <v>0</v>
      </c>
      <c r="J1376" s="47">
        <f t="shared" si="1655"/>
        <v>5.3776799999999998</v>
      </c>
      <c r="K1376" s="47">
        <f t="shared" si="1655"/>
        <v>0</v>
      </c>
      <c r="L1376" s="47">
        <f t="shared" si="1655"/>
        <v>14.642650000000001</v>
      </c>
      <c r="M1376" s="47">
        <f t="shared" si="1655"/>
        <v>0</v>
      </c>
      <c r="N1376" s="47">
        <f t="shared" si="1655"/>
        <v>0</v>
      </c>
      <c r="O1376" s="47">
        <f t="shared" si="1655"/>
        <v>0</v>
      </c>
      <c r="P1376" s="47">
        <f t="shared" si="1655"/>
        <v>0</v>
      </c>
      <c r="Q1376" s="47">
        <f t="shared" si="1655"/>
        <v>0</v>
      </c>
    </row>
    <row r="1377" spans="4:17" s="16" customFormat="1" ht="13.2" x14ac:dyDescent="0.25">
      <c r="D1377" s="235">
        <v>1</v>
      </c>
      <c r="E1377" s="237">
        <v>36</v>
      </c>
      <c r="F1377" s="238">
        <v>5</v>
      </c>
      <c r="G1377" s="239">
        <v>0.97</v>
      </c>
      <c r="H1377" s="239">
        <f t="shared" ref="H1377:H1381" si="1656">E1377*G1377</f>
        <v>34.92</v>
      </c>
      <c r="I1377" s="131">
        <f t="shared" ref="I1377:I1381" si="1657">IF($F1377=4.2,H1377*$B$23,0)</f>
        <v>0</v>
      </c>
      <c r="J1377" s="31">
        <f t="shared" ref="J1377:J1381" si="1658">IF($F1377=5,$H1377*$B$24,0)</f>
        <v>5.3776799999999998</v>
      </c>
      <c r="K1377" s="31">
        <f t="shared" ref="K1377:K1381" si="1659">IF($F1377=6.3,$H1377*$B$25,0)</f>
        <v>0</v>
      </c>
      <c r="L1377" s="31">
        <f t="shared" ref="L1377:L1381" si="1660">IF($F1377=8,$H1377*$B$26,0)</f>
        <v>0</v>
      </c>
      <c r="M1377" s="31">
        <f t="shared" ref="M1377:M1381" si="1661">IF($F1377=10,$H1377*$B$27,0)</f>
        <v>0</v>
      </c>
      <c r="N1377" s="31">
        <f t="shared" ref="N1377:N1381" si="1662">IF($F1377=12.5,$H1377*$B$28,0)</f>
        <v>0</v>
      </c>
      <c r="O1377" s="31">
        <f t="shared" ref="O1377:O1381" si="1663">IF($F1377=16,$H1377*$B$29,0)</f>
        <v>0</v>
      </c>
      <c r="P1377" s="31">
        <f t="shared" ref="P1377:P1381" si="1664">IF($F1377=20,$H1377*$B$30,0)</f>
        <v>0</v>
      </c>
      <c r="Q1377" s="49">
        <f t="shared" ref="Q1377:Q1381" si="1665">IF($F1377=25,$H1377*$B$31,0)</f>
        <v>0</v>
      </c>
    </row>
    <row r="1378" spans="4:17" s="16" customFormat="1" ht="13.2" x14ac:dyDescent="0.25">
      <c r="D1378" s="235">
        <v>13</v>
      </c>
      <c r="E1378" s="240">
        <v>1</v>
      </c>
      <c r="F1378" s="241">
        <v>8</v>
      </c>
      <c r="G1378" s="242">
        <v>2.08</v>
      </c>
      <c r="H1378" s="239">
        <f t="shared" si="1656"/>
        <v>2.08</v>
      </c>
      <c r="I1378" s="131">
        <f t="shared" si="1657"/>
        <v>0</v>
      </c>
      <c r="J1378" s="31">
        <f t="shared" si="1658"/>
        <v>0</v>
      </c>
      <c r="K1378" s="31">
        <f t="shared" si="1659"/>
        <v>0</v>
      </c>
      <c r="L1378" s="31">
        <f t="shared" si="1660"/>
        <v>0.82160000000000011</v>
      </c>
      <c r="M1378" s="31">
        <f t="shared" si="1661"/>
        <v>0</v>
      </c>
      <c r="N1378" s="31">
        <f t="shared" si="1662"/>
        <v>0</v>
      </c>
      <c r="O1378" s="31">
        <f t="shared" si="1663"/>
        <v>0</v>
      </c>
      <c r="P1378" s="31">
        <f t="shared" si="1664"/>
        <v>0</v>
      </c>
      <c r="Q1378" s="49">
        <f t="shared" si="1665"/>
        <v>0</v>
      </c>
    </row>
    <row r="1379" spans="4:17" s="16" customFormat="1" ht="13.2" x14ac:dyDescent="0.25">
      <c r="D1379" s="235">
        <v>15</v>
      </c>
      <c r="E1379" s="240">
        <v>2</v>
      </c>
      <c r="F1379" s="241">
        <v>8</v>
      </c>
      <c r="G1379" s="242">
        <v>8.07</v>
      </c>
      <c r="H1379" s="239">
        <f t="shared" si="1656"/>
        <v>16.14</v>
      </c>
      <c r="I1379" s="131">
        <f t="shared" si="1657"/>
        <v>0</v>
      </c>
      <c r="J1379" s="31">
        <f t="shared" si="1658"/>
        <v>0</v>
      </c>
      <c r="K1379" s="31">
        <f t="shared" si="1659"/>
        <v>0</v>
      </c>
      <c r="L1379" s="31">
        <f t="shared" si="1660"/>
        <v>6.3753000000000002</v>
      </c>
      <c r="M1379" s="31">
        <f t="shared" si="1661"/>
        <v>0</v>
      </c>
      <c r="N1379" s="31">
        <f t="shared" si="1662"/>
        <v>0</v>
      </c>
      <c r="O1379" s="31">
        <f t="shared" si="1663"/>
        <v>0</v>
      </c>
      <c r="P1379" s="31">
        <f t="shared" si="1664"/>
        <v>0</v>
      </c>
      <c r="Q1379" s="49">
        <f t="shared" si="1665"/>
        <v>0</v>
      </c>
    </row>
    <row r="1380" spans="4:17" s="16" customFormat="1" ht="13.2" x14ac:dyDescent="0.25">
      <c r="D1380" s="235">
        <v>24</v>
      </c>
      <c r="E1380" s="240">
        <v>1</v>
      </c>
      <c r="F1380" s="241">
        <v>8</v>
      </c>
      <c r="G1380" s="242">
        <v>2.0499999999999998</v>
      </c>
      <c r="H1380" s="239">
        <f t="shared" si="1656"/>
        <v>2.0499999999999998</v>
      </c>
      <c r="I1380" s="131">
        <f t="shared" si="1657"/>
        <v>0</v>
      </c>
      <c r="J1380" s="31">
        <f t="shared" si="1658"/>
        <v>0</v>
      </c>
      <c r="K1380" s="31">
        <f t="shared" si="1659"/>
        <v>0</v>
      </c>
      <c r="L1380" s="31">
        <f t="shared" si="1660"/>
        <v>0.80974999999999997</v>
      </c>
      <c r="M1380" s="31">
        <f t="shared" si="1661"/>
        <v>0</v>
      </c>
      <c r="N1380" s="31">
        <f t="shared" si="1662"/>
        <v>0</v>
      </c>
      <c r="O1380" s="31">
        <f t="shared" si="1663"/>
        <v>0</v>
      </c>
      <c r="P1380" s="31">
        <f t="shared" si="1664"/>
        <v>0</v>
      </c>
      <c r="Q1380" s="49">
        <f t="shared" si="1665"/>
        <v>0</v>
      </c>
    </row>
    <row r="1381" spans="4:17" s="16" customFormat="1" ht="13.2" x14ac:dyDescent="0.25">
      <c r="D1381" s="235">
        <v>25</v>
      </c>
      <c r="E1381" s="240">
        <v>2</v>
      </c>
      <c r="F1381" s="241">
        <v>8</v>
      </c>
      <c r="G1381" s="242">
        <v>8.4</v>
      </c>
      <c r="H1381" s="239">
        <f t="shared" si="1656"/>
        <v>16.8</v>
      </c>
      <c r="I1381" s="131">
        <f t="shared" si="1657"/>
        <v>0</v>
      </c>
      <c r="J1381" s="31">
        <f t="shared" si="1658"/>
        <v>0</v>
      </c>
      <c r="K1381" s="31">
        <f t="shared" si="1659"/>
        <v>0</v>
      </c>
      <c r="L1381" s="31">
        <f t="shared" si="1660"/>
        <v>6.636000000000001</v>
      </c>
      <c r="M1381" s="31">
        <f t="shared" si="1661"/>
        <v>0</v>
      </c>
      <c r="N1381" s="31">
        <f t="shared" si="1662"/>
        <v>0</v>
      </c>
      <c r="O1381" s="31">
        <f t="shared" si="1663"/>
        <v>0</v>
      </c>
      <c r="P1381" s="31">
        <f t="shared" si="1664"/>
        <v>0</v>
      </c>
      <c r="Q1381" s="49">
        <f t="shared" si="1665"/>
        <v>0</v>
      </c>
    </row>
    <row r="1382" spans="4:17" s="16" customFormat="1" ht="13.8" thickBot="1" x14ac:dyDescent="0.3">
      <c r="D1382" s="307"/>
      <c r="E1382" s="26"/>
      <c r="F1382" s="206"/>
      <c r="G1382" s="207"/>
      <c r="H1382" s="207"/>
      <c r="I1382" s="51"/>
      <c r="J1382" s="308"/>
      <c r="K1382" s="308"/>
      <c r="L1382" s="308"/>
      <c r="M1382" s="308"/>
      <c r="N1382" s="308"/>
      <c r="O1382" s="308"/>
      <c r="P1382" s="308"/>
      <c r="Q1382" s="309"/>
    </row>
    <row r="1383" spans="4:17" s="16" customFormat="1" ht="13.2" x14ac:dyDescent="0.25">
      <c r="D1383" s="796" t="s">
        <v>2012</v>
      </c>
      <c r="E1383" s="797"/>
      <c r="F1383" s="797"/>
      <c r="G1383" s="797"/>
      <c r="H1383" s="797"/>
      <c r="I1383" s="47">
        <f t="shared" ref="I1383:Q1383" si="1666">SUM(I1384:I1386)</f>
        <v>0</v>
      </c>
      <c r="J1383" s="47">
        <f t="shared" si="1666"/>
        <v>5.5270599999999996</v>
      </c>
      <c r="K1383" s="47">
        <f t="shared" si="1666"/>
        <v>0</v>
      </c>
      <c r="L1383" s="47">
        <f t="shared" si="1666"/>
        <v>13.366800000000001</v>
      </c>
      <c r="M1383" s="47">
        <f t="shared" si="1666"/>
        <v>0</v>
      </c>
      <c r="N1383" s="47">
        <f t="shared" si="1666"/>
        <v>0</v>
      </c>
      <c r="O1383" s="47">
        <f t="shared" si="1666"/>
        <v>0</v>
      </c>
      <c r="P1383" s="47">
        <f t="shared" si="1666"/>
        <v>0</v>
      </c>
      <c r="Q1383" s="47">
        <f t="shared" si="1666"/>
        <v>0</v>
      </c>
    </row>
    <row r="1384" spans="4:17" s="16" customFormat="1" ht="13.2" x14ac:dyDescent="0.25">
      <c r="D1384" s="235">
        <v>1</v>
      </c>
      <c r="E1384" s="237">
        <v>37</v>
      </c>
      <c r="F1384" s="238">
        <v>5</v>
      </c>
      <c r="G1384" s="239">
        <v>0.97</v>
      </c>
      <c r="H1384" s="239">
        <f t="shared" ref="H1384:H1386" si="1667">E1384*G1384</f>
        <v>35.89</v>
      </c>
      <c r="I1384" s="131">
        <f t="shared" ref="I1384:I1386" si="1668">IF($F1384=4.2,H1384*$B$23,0)</f>
        <v>0</v>
      </c>
      <c r="J1384" s="31">
        <f t="shared" ref="J1384:J1386" si="1669">IF($F1384=5,$H1384*$B$24,0)</f>
        <v>5.5270599999999996</v>
      </c>
      <c r="K1384" s="31">
        <f t="shared" ref="K1384:K1386" si="1670">IF($F1384=6.3,$H1384*$B$25,0)</f>
        <v>0</v>
      </c>
      <c r="L1384" s="31">
        <f t="shared" ref="L1384:L1386" si="1671">IF($F1384=8,$H1384*$B$26,0)</f>
        <v>0</v>
      </c>
      <c r="M1384" s="31">
        <f t="shared" ref="M1384:M1386" si="1672">IF($F1384=10,$H1384*$B$27,0)</f>
        <v>0</v>
      </c>
      <c r="N1384" s="31">
        <f t="shared" ref="N1384:N1386" si="1673">IF($F1384=12.5,$H1384*$B$28,0)</f>
        <v>0</v>
      </c>
      <c r="O1384" s="31">
        <f t="shared" ref="O1384:O1386" si="1674">IF($F1384=16,$H1384*$B$29,0)</f>
        <v>0</v>
      </c>
      <c r="P1384" s="31">
        <f t="shared" ref="P1384:P1386" si="1675">IF($F1384=20,$H1384*$B$30,0)</f>
        <v>0</v>
      </c>
      <c r="Q1384" s="49">
        <f t="shared" ref="Q1384:Q1386" si="1676">IF($F1384=25,$H1384*$B$31,0)</f>
        <v>0</v>
      </c>
    </row>
    <row r="1385" spans="4:17" s="16" customFormat="1" ht="13.2" x14ac:dyDescent="0.25">
      <c r="D1385" s="235">
        <v>20</v>
      </c>
      <c r="E1385" s="240">
        <v>2</v>
      </c>
      <c r="F1385" s="241">
        <v>8</v>
      </c>
      <c r="G1385" s="242">
        <v>8.42</v>
      </c>
      <c r="H1385" s="239">
        <f t="shared" si="1667"/>
        <v>16.84</v>
      </c>
      <c r="I1385" s="131">
        <f t="shared" si="1668"/>
        <v>0</v>
      </c>
      <c r="J1385" s="31">
        <f t="shared" si="1669"/>
        <v>0</v>
      </c>
      <c r="K1385" s="31">
        <f t="shared" si="1670"/>
        <v>0</v>
      </c>
      <c r="L1385" s="31">
        <f t="shared" si="1671"/>
        <v>6.6518000000000006</v>
      </c>
      <c r="M1385" s="31">
        <f t="shared" si="1672"/>
        <v>0</v>
      </c>
      <c r="N1385" s="31">
        <f t="shared" si="1673"/>
        <v>0</v>
      </c>
      <c r="O1385" s="31">
        <f t="shared" si="1674"/>
        <v>0</v>
      </c>
      <c r="P1385" s="31">
        <f t="shared" si="1675"/>
        <v>0</v>
      </c>
      <c r="Q1385" s="49">
        <f t="shared" si="1676"/>
        <v>0</v>
      </c>
    </row>
    <row r="1386" spans="4:17" s="16" customFormat="1" ht="13.2" x14ac:dyDescent="0.25">
      <c r="D1386" s="235">
        <v>22</v>
      </c>
      <c r="E1386" s="240">
        <v>2</v>
      </c>
      <c r="F1386" s="241">
        <v>8</v>
      </c>
      <c r="G1386" s="242">
        <v>8.5</v>
      </c>
      <c r="H1386" s="239">
        <f t="shared" si="1667"/>
        <v>17</v>
      </c>
      <c r="I1386" s="131">
        <f t="shared" si="1668"/>
        <v>0</v>
      </c>
      <c r="J1386" s="31">
        <f t="shared" si="1669"/>
        <v>0</v>
      </c>
      <c r="K1386" s="31">
        <f t="shared" si="1670"/>
        <v>0</v>
      </c>
      <c r="L1386" s="31">
        <f t="shared" si="1671"/>
        <v>6.7149999999999999</v>
      </c>
      <c r="M1386" s="31">
        <f t="shared" si="1672"/>
        <v>0</v>
      </c>
      <c r="N1386" s="31">
        <f t="shared" si="1673"/>
        <v>0</v>
      </c>
      <c r="O1386" s="31">
        <f t="shared" si="1674"/>
        <v>0</v>
      </c>
      <c r="P1386" s="31">
        <f t="shared" si="1675"/>
        <v>0</v>
      </c>
      <c r="Q1386" s="49">
        <f t="shared" si="1676"/>
        <v>0</v>
      </c>
    </row>
    <row r="1387" spans="4:17" s="16" customFormat="1" ht="13.8" thickBot="1" x14ac:dyDescent="0.3">
      <c r="D1387" s="307"/>
      <c r="E1387" s="26"/>
      <c r="F1387" s="206"/>
      <c r="G1387" s="207"/>
      <c r="H1387" s="207"/>
      <c r="I1387" s="51"/>
      <c r="J1387" s="308"/>
      <c r="K1387" s="308"/>
      <c r="L1387" s="308"/>
      <c r="M1387" s="308"/>
      <c r="N1387" s="308"/>
      <c r="O1387" s="308"/>
      <c r="P1387" s="308"/>
      <c r="Q1387" s="309"/>
    </row>
    <row r="1388" spans="4:17" s="16" customFormat="1" ht="13.2" x14ac:dyDescent="0.25">
      <c r="D1388" s="796" t="s">
        <v>2013</v>
      </c>
      <c r="E1388" s="797"/>
      <c r="F1388" s="797"/>
      <c r="G1388" s="797"/>
      <c r="H1388" s="797"/>
      <c r="I1388" s="47">
        <f t="shared" ref="I1388:Q1388" si="1677">SUM(I1389:I1391)</f>
        <v>0</v>
      </c>
      <c r="J1388" s="47">
        <f t="shared" si="1677"/>
        <v>5.2282999999999991</v>
      </c>
      <c r="K1388" s="47">
        <f t="shared" si="1677"/>
        <v>0</v>
      </c>
      <c r="L1388" s="47">
        <f t="shared" si="1677"/>
        <v>13.3352</v>
      </c>
      <c r="M1388" s="47">
        <f t="shared" si="1677"/>
        <v>0</v>
      </c>
      <c r="N1388" s="47">
        <f t="shared" si="1677"/>
        <v>0</v>
      </c>
      <c r="O1388" s="47">
        <f t="shared" si="1677"/>
        <v>0</v>
      </c>
      <c r="P1388" s="47">
        <f t="shared" si="1677"/>
        <v>0</v>
      </c>
      <c r="Q1388" s="47">
        <f t="shared" si="1677"/>
        <v>0</v>
      </c>
    </row>
    <row r="1389" spans="4:17" s="16" customFormat="1" ht="13.2" x14ac:dyDescent="0.25">
      <c r="D1389" s="235">
        <v>1</v>
      </c>
      <c r="E1389" s="237">
        <v>35</v>
      </c>
      <c r="F1389" s="238">
        <v>5</v>
      </c>
      <c r="G1389" s="239">
        <v>0.97</v>
      </c>
      <c r="H1389" s="239">
        <f t="shared" ref="H1389:H1391" si="1678">E1389*G1389</f>
        <v>33.949999999999996</v>
      </c>
      <c r="I1389" s="131">
        <f t="shared" ref="I1389:I1391" si="1679">IF($F1389=4.2,H1389*$B$23,0)</f>
        <v>0</v>
      </c>
      <c r="J1389" s="31">
        <f t="shared" ref="J1389:J1391" si="1680">IF($F1389=5,$H1389*$B$24,0)</f>
        <v>5.2282999999999991</v>
      </c>
      <c r="K1389" s="31">
        <f t="shared" ref="K1389:K1391" si="1681">IF($F1389=6.3,$H1389*$B$25,0)</f>
        <v>0</v>
      </c>
      <c r="L1389" s="31">
        <f t="shared" ref="L1389:L1391" si="1682">IF($F1389=8,$H1389*$B$26,0)</f>
        <v>0</v>
      </c>
      <c r="M1389" s="31">
        <f t="shared" ref="M1389:M1391" si="1683">IF($F1389=10,$H1389*$B$27,0)</f>
        <v>0</v>
      </c>
      <c r="N1389" s="31">
        <f t="shared" ref="N1389:N1391" si="1684">IF($F1389=12.5,$H1389*$B$28,0)</f>
        <v>0</v>
      </c>
      <c r="O1389" s="31">
        <f t="shared" ref="O1389:O1391" si="1685">IF($F1389=16,$H1389*$B$29,0)</f>
        <v>0</v>
      </c>
      <c r="P1389" s="31">
        <f t="shared" ref="P1389:P1391" si="1686">IF($F1389=20,$H1389*$B$30,0)</f>
        <v>0</v>
      </c>
      <c r="Q1389" s="49">
        <f t="shared" ref="Q1389:Q1391" si="1687">IF($F1389=25,$H1389*$B$31,0)</f>
        <v>0</v>
      </c>
    </row>
    <row r="1390" spans="4:17" s="16" customFormat="1" ht="13.2" x14ac:dyDescent="0.25">
      <c r="D1390" s="235">
        <v>26</v>
      </c>
      <c r="E1390" s="240">
        <v>2</v>
      </c>
      <c r="F1390" s="241">
        <v>8</v>
      </c>
      <c r="G1390" s="242">
        <v>8.1199999999999992</v>
      </c>
      <c r="H1390" s="239">
        <f t="shared" si="1678"/>
        <v>16.239999999999998</v>
      </c>
      <c r="I1390" s="131">
        <f t="shared" si="1679"/>
        <v>0</v>
      </c>
      <c r="J1390" s="31">
        <f t="shared" si="1680"/>
        <v>0</v>
      </c>
      <c r="K1390" s="31">
        <f t="shared" si="1681"/>
        <v>0</v>
      </c>
      <c r="L1390" s="31">
        <f t="shared" si="1682"/>
        <v>6.4147999999999996</v>
      </c>
      <c r="M1390" s="31">
        <f t="shared" si="1683"/>
        <v>0</v>
      </c>
      <c r="N1390" s="31">
        <f t="shared" si="1684"/>
        <v>0</v>
      </c>
      <c r="O1390" s="31">
        <f t="shared" si="1685"/>
        <v>0</v>
      </c>
      <c r="P1390" s="31">
        <f t="shared" si="1686"/>
        <v>0</v>
      </c>
      <c r="Q1390" s="49">
        <f t="shared" si="1687"/>
        <v>0</v>
      </c>
    </row>
    <row r="1391" spans="4:17" s="16" customFormat="1" ht="13.2" x14ac:dyDescent="0.25">
      <c r="D1391" s="235">
        <v>27</v>
      </c>
      <c r="E1391" s="240">
        <v>2</v>
      </c>
      <c r="F1391" s="241">
        <v>8</v>
      </c>
      <c r="G1391" s="242">
        <v>8.76</v>
      </c>
      <c r="H1391" s="239">
        <f t="shared" si="1678"/>
        <v>17.52</v>
      </c>
      <c r="I1391" s="131">
        <f t="shared" si="1679"/>
        <v>0</v>
      </c>
      <c r="J1391" s="31">
        <f t="shared" si="1680"/>
        <v>0</v>
      </c>
      <c r="K1391" s="31">
        <f t="shared" si="1681"/>
        <v>0</v>
      </c>
      <c r="L1391" s="31">
        <f t="shared" si="1682"/>
        <v>6.9203999999999999</v>
      </c>
      <c r="M1391" s="31">
        <f t="shared" si="1683"/>
        <v>0</v>
      </c>
      <c r="N1391" s="31">
        <f t="shared" si="1684"/>
        <v>0</v>
      </c>
      <c r="O1391" s="31">
        <f t="shared" si="1685"/>
        <v>0</v>
      </c>
      <c r="P1391" s="31">
        <f t="shared" si="1686"/>
        <v>0</v>
      </c>
      <c r="Q1391" s="49">
        <f t="shared" si="1687"/>
        <v>0</v>
      </c>
    </row>
    <row r="1392" spans="4:17" s="16" customFormat="1" ht="13.8" thickBot="1" x14ac:dyDescent="0.3">
      <c r="D1392" s="307"/>
      <c r="E1392" s="26"/>
      <c r="F1392" s="206"/>
      <c r="G1392" s="207"/>
      <c r="H1392" s="207"/>
      <c r="I1392" s="51"/>
      <c r="J1392" s="308"/>
      <c r="K1392" s="308"/>
      <c r="L1392" s="308"/>
      <c r="M1392" s="308"/>
      <c r="N1392" s="308"/>
      <c r="O1392" s="308"/>
      <c r="P1392" s="308"/>
      <c r="Q1392" s="309"/>
    </row>
    <row r="1393" spans="2:20" s="16" customFormat="1" ht="13.2" x14ac:dyDescent="0.25">
      <c r="D1393" s="796" t="s">
        <v>2014</v>
      </c>
      <c r="E1393" s="797"/>
      <c r="F1393" s="797"/>
      <c r="G1393" s="797"/>
      <c r="H1393" s="797"/>
      <c r="I1393" s="47">
        <f t="shared" ref="I1393:Q1393" si="1688">SUM(I1394:I1398)</f>
        <v>0</v>
      </c>
      <c r="J1393" s="47">
        <f t="shared" si="1688"/>
        <v>8.0665199999999988</v>
      </c>
      <c r="K1393" s="47">
        <f t="shared" si="1688"/>
        <v>0</v>
      </c>
      <c r="L1393" s="47">
        <f t="shared" si="1688"/>
        <v>19.900100000000002</v>
      </c>
      <c r="M1393" s="47">
        <f t="shared" si="1688"/>
        <v>0</v>
      </c>
      <c r="N1393" s="47">
        <f t="shared" si="1688"/>
        <v>0</v>
      </c>
      <c r="O1393" s="47">
        <f t="shared" si="1688"/>
        <v>0</v>
      </c>
      <c r="P1393" s="47">
        <f t="shared" si="1688"/>
        <v>0</v>
      </c>
      <c r="Q1393" s="47">
        <f t="shared" si="1688"/>
        <v>0</v>
      </c>
    </row>
    <row r="1394" spans="2:20" s="16" customFormat="1" ht="13.2" x14ac:dyDescent="0.25">
      <c r="D1394" s="235">
        <v>1</v>
      </c>
      <c r="E1394" s="237">
        <v>54</v>
      </c>
      <c r="F1394" s="238">
        <v>5</v>
      </c>
      <c r="G1394" s="239">
        <v>0.97</v>
      </c>
      <c r="H1394" s="239">
        <f t="shared" ref="H1394:H1398" si="1689">E1394*G1394</f>
        <v>52.379999999999995</v>
      </c>
      <c r="I1394" s="131">
        <f t="shared" ref="I1394:I1398" si="1690">IF($F1394=4.2,H1394*$B$23,0)</f>
        <v>0</v>
      </c>
      <c r="J1394" s="31">
        <f t="shared" ref="J1394:J1398" si="1691">IF($F1394=5,$H1394*$B$24,0)</f>
        <v>8.0665199999999988</v>
      </c>
      <c r="K1394" s="31">
        <f t="shared" ref="K1394:K1398" si="1692">IF($F1394=6.3,$H1394*$B$25,0)</f>
        <v>0</v>
      </c>
      <c r="L1394" s="31">
        <f t="shared" ref="L1394:L1398" si="1693">IF($F1394=8,$H1394*$B$26,0)</f>
        <v>0</v>
      </c>
      <c r="M1394" s="31">
        <f t="shared" ref="M1394:M1398" si="1694">IF($F1394=10,$H1394*$B$27,0)</f>
        <v>0</v>
      </c>
      <c r="N1394" s="31">
        <f t="shared" ref="N1394:N1398" si="1695">IF($F1394=12.5,$H1394*$B$28,0)</f>
        <v>0</v>
      </c>
      <c r="O1394" s="31">
        <f t="shared" ref="O1394:O1398" si="1696">IF($F1394=16,$H1394*$B$29,0)</f>
        <v>0</v>
      </c>
      <c r="P1394" s="31">
        <f t="shared" ref="P1394:P1398" si="1697">IF($F1394=20,$H1394*$B$30,0)</f>
        <v>0</v>
      </c>
      <c r="Q1394" s="49">
        <f t="shared" ref="Q1394:Q1398" si="1698">IF($F1394=25,$H1394*$B$31,0)</f>
        <v>0</v>
      </c>
    </row>
    <row r="1395" spans="2:20" s="16" customFormat="1" ht="13.2" x14ac:dyDescent="0.25">
      <c r="D1395" s="235">
        <v>9</v>
      </c>
      <c r="E1395" s="240">
        <v>2</v>
      </c>
      <c r="F1395" s="241">
        <v>8</v>
      </c>
      <c r="G1395" s="242">
        <v>11.17</v>
      </c>
      <c r="H1395" s="239">
        <f t="shared" si="1689"/>
        <v>22.34</v>
      </c>
      <c r="I1395" s="131">
        <f t="shared" si="1690"/>
        <v>0</v>
      </c>
      <c r="J1395" s="31">
        <f t="shared" si="1691"/>
        <v>0</v>
      </c>
      <c r="K1395" s="31">
        <f t="shared" si="1692"/>
        <v>0</v>
      </c>
      <c r="L1395" s="31">
        <f t="shared" si="1693"/>
        <v>8.8243000000000009</v>
      </c>
      <c r="M1395" s="31">
        <f t="shared" si="1694"/>
        <v>0</v>
      </c>
      <c r="N1395" s="31">
        <f t="shared" si="1695"/>
        <v>0</v>
      </c>
      <c r="O1395" s="31">
        <f t="shared" si="1696"/>
        <v>0</v>
      </c>
      <c r="P1395" s="31">
        <f t="shared" si="1697"/>
        <v>0</v>
      </c>
      <c r="Q1395" s="49">
        <f t="shared" si="1698"/>
        <v>0</v>
      </c>
    </row>
    <row r="1396" spans="2:20" s="16" customFormat="1" ht="13.2" x14ac:dyDescent="0.25">
      <c r="D1396" s="235">
        <v>10</v>
      </c>
      <c r="E1396" s="240">
        <v>2</v>
      </c>
      <c r="F1396" s="241">
        <v>8</v>
      </c>
      <c r="G1396" s="242">
        <v>1.68</v>
      </c>
      <c r="H1396" s="239">
        <f t="shared" si="1689"/>
        <v>3.36</v>
      </c>
      <c r="I1396" s="131">
        <f t="shared" si="1690"/>
        <v>0</v>
      </c>
      <c r="J1396" s="31">
        <f t="shared" si="1691"/>
        <v>0</v>
      </c>
      <c r="K1396" s="31">
        <f t="shared" si="1692"/>
        <v>0</v>
      </c>
      <c r="L1396" s="31">
        <f t="shared" si="1693"/>
        <v>1.3271999999999999</v>
      </c>
      <c r="M1396" s="31">
        <f t="shared" si="1694"/>
        <v>0</v>
      </c>
      <c r="N1396" s="31">
        <f t="shared" si="1695"/>
        <v>0</v>
      </c>
      <c r="O1396" s="31">
        <f t="shared" si="1696"/>
        <v>0</v>
      </c>
      <c r="P1396" s="31">
        <f t="shared" si="1697"/>
        <v>0</v>
      </c>
      <c r="Q1396" s="49">
        <f t="shared" si="1698"/>
        <v>0</v>
      </c>
    </row>
    <row r="1397" spans="2:20" s="16" customFormat="1" ht="13.2" x14ac:dyDescent="0.25">
      <c r="D1397" s="235">
        <v>28</v>
      </c>
      <c r="E1397" s="240">
        <v>2</v>
      </c>
      <c r="F1397" s="241">
        <v>8</v>
      </c>
      <c r="G1397" s="242">
        <v>8.35</v>
      </c>
      <c r="H1397" s="239">
        <f t="shared" si="1689"/>
        <v>16.7</v>
      </c>
      <c r="I1397" s="131">
        <f t="shared" si="1690"/>
        <v>0</v>
      </c>
      <c r="J1397" s="31">
        <f t="shared" si="1691"/>
        <v>0</v>
      </c>
      <c r="K1397" s="31">
        <f t="shared" si="1692"/>
        <v>0</v>
      </c>
      <c r="L1397" s="31">
        <f t="shared" si="1693"/>
        <v>6.5964999999999998</v>
      </c>
      <c r="M1397" s="31">
        <f t="shared" si="1694"/>
        <v>0</v>
      </c>
      <c r="N1397" s="31">
        <f t="shared" si="1695"/>
        <v>0</v>
      </c>
      <c r="O1397" s="31">
        <f t="shared" si="1696"/>
        <v>0</v>
      </c>
      <c r="P1397" s="31">
        <f t="shared" si="1697"/>
        <v>0</v>
      </c>
      <c r="Q1397" s="49">
        <f t="shared" si="1698"/>
        <v>0</v>
      </c>
    </row>
    <row r="1398" spans="2:20" s="16" customFormat="1" ht="13.2" x14ac:dyDescent="0.25">
      <c r="D1398" s="235">
        <v>29</v>
      </c>
      <c r="E1398" s="240">
        <v>2</v>
      </c>
      <c r="F1398" s="241">
        <v>8</v>
      </c>
      <c r="G1398" s="242">
        <v>3.99</v>
      </c>
      <c r="H1398" s="239">
        <f t="shared" si="1689"/>
        <v>7.98</v>
      </c>
      <c r="I1398" s="131">
        <f t="shared" si="1690"/>
        <v>0</v>
      </c>
      <c r="J1398" s="31">
        <f t="shared" si="1691"/>
        <v>0</v>
      </c>
      <c r="K1398" s="31">
        <f t="shared" si="1692"/>
        <v>0</v>
      </c>
      <c r="L1398" s="31">
        <f t="shared" si="1693"/>
        <v>3.1521000000000003</v>
      </c>
      <c r="M1398" s="31">
        <f t="shared" si="1694"/>
        <v>0</v>
      </c>
      <c r="N1398" s="31">
        <f t="shared" si="1695"/>
        <v>0</v>
      </c>
      <c r="O1398" s="31">
        <f t="shared" si="1696"/>
        <v>0</v>
      </c>
      <c r="P1398" s="31">
        <f t="shared" si="1697"/>
        <v>0</v>
      </c>
      <c r="Q1398" s="49">
        <f t="shared" si="1698"/>
        <v>0</v>
      </c>
    </row>
    <row r="1399" spans="2:20" s="16" customFormat="1" ht="13.8" thickBot="1" x14ac:dyDescent="0.3">
      <c r="D1399" s="307"/>
      <c r="E1399" s="26"/>
      <c r="F1399" s="206"/>
      <c r="G1399" s="207"/>
      <c r="H1399" s="207"/>
      <c r="I1399" s="51"/>
      <c r="J1399" s="308"/>
      <c r="K1399" s="308"/>
      <c r="L1399" s="308"/>
      <c r="M1399" s="308"/>
      <c r="N1399" s="308"/>
      <c r="O1399" s="308"/>
      <c r="P1399" s="308"/>
      <c r="Q1399" s="309"/>
    </row>
    <row r="1400" spans="2:20" s="16" customFormat="1" ht="15" customHeight="1" thickBot="1" x14ac:dyDescent="0.3">
      <c r="B1400" s="34"/>
      <c r="D1400" s="792" t="s">
        <v>1985</v>
      </c>
      <c r="E1400" s="793"/>
      <c r="F1400" s="793"/>
      <c r="G1400" s="793"/>
      <c r="H1400" s="793"/>
      <c r="I1400" s="793"/>
      <c r="J1400" s="793"/>
      <c r="K1400" s="793"/>
      <c r="L1400" s="793"/>
      <c r="M1400" s="793"/>
      <c r="N1400" s="793"/>
      <c r="O1400" s="793"/>
      <c r="P1400" s="793"/>
      <c r="Q1400" s="794"/>
      <c r="S1400" s="795"/>
      <c r="T1400" s="795"/>
    </row>
    <row r="1401" spans="2:20" s="16" customFormat="1" ht="13.2" x14ac:dyDescent="0.25">
      <c r="D1401" s="796" t="s">
        <v>2197</v>
      </c>
      <c r="E1401" s="797"/>
      <c r="F1401" s="797"/>
      <c r="G1401" s="797"/>
      <c r="H1401" s="797"/>
      <c r="I1401" s="47">
        <f t="shared" ref="I1401:Q1401" si="1699">SUM(I1402:I1406)</f>
        <v>0</v>
      </c>
      <c r="J1401" s="47">
        <f t="shared" si="1699"/>
        <v>12.68806</v>
      </c>
      <c r="K1401" s="47">
        <f t="shared" si="1699"/>
        <v>0</v>
      </c>
      <c r="L1401" s="47">
        <f t="shared" si="1699"/>
        <v>27.349800000000002</v>
      </c>
      <c r="M1401" s="47">
        <f t="shared" si="1699"/>
        <v>0</v>
      </c>
      <c r="N1401" s="47">
        <f t="shared" si="1699"/>
        <v>0</v>
      </c>
      <c r="O1401" s="47">
        <f t="shared" si="1699"/>
        <v>0</v>
      </c>
      <c r="P1401" s="47">
        <f t="shared" si="1699"/>
        <v>0</v>
      </c>
      <c r="Q1401" s="47">
        <f t="shared" si="1699"/>
        <v>0</v>
      </c>
    </row>
    <row r="1402" spans="2:20" s="16" customFormat="1" ht="13.2" x14ac:dyDescent="0.25">
      <c r="D1402" s="235">
        <v>5</v>
      </c>
      <c r="E1402" s="237">
        <v>107</v>
      </c>
      <c r="F1402" s="238">
        <v>5</v>
      </c>
      <c r="G1402" s="239">
        <v>0.77</v>
      </c>
      <c r="H1402" s="239">
        <f t="shared" ref="H1402:H1406" si="1700">E1402*G1402</f>
        <v>82.39</v>
      </c>
      <c r="I1402" s="131">
        <f t="shared" ref="I1402:I1406" si="1701">IF($F1402=4.2,H1402*$B$23,0)</f>
        <v>0</v>
      </c>
      <c r="J1402" s="31">
        <f t="shared" ref="J1402:J1406" si="1702">IF($F1402=5,$H1402*$B$24,0)</f>
        <v>12.68806</v>
      </c>
      <c r="K1402" s="31">
        <f t="shared" ref="K1402:K1406" si="1703">IF($F1402=6.3,$H1402*$B$25,0)</f>
        <v>0</v>
      </c>
      <c r="L1402" s="31">
        <f t="shared" ref="L1402:L1406" si="1704">IF($F1402=8,$H1402*$B$26,0)</f>
        <v>0</v>
      </c>
      <c r="M1402" s="31">
        <f t="shared" ref="M1402:M1406" si="1705">IF($F1402=10,$H1402*$B$27,0)</f>
        <v>0</v>
      </c>
      <c r="N1402" s="31">
        <f t="shared" ref="N1402:N1406" si="1706">IF($F1402=12.5,$H1402*$B$28,0)</f>
        <v>0</v>
      </c>
      <c r="O1402" s="31">
        <f t="shared" ref="O1402:O1406" si="1707">IF($F1402=16,$H1402*$B$29,0)</f>
        <v>0</v>
      </c>
      <c r="P1402" s="31">
        <f t="shared" ref="P1402:P1406" si="1708">IF($F1402=20,$H1402*$B$30,0)</f>
        <v>0</v>
      </c>
      <c r="Q1402" s="49">
        <f t="shared" ref="Q1402:Q1406" si="1709">IF($F1402=25,$H1402*$B$31,0)</f>
        <v>0</v>
      </c>
    </row>
    <row r="1403" spans="2:20" s="16" customFormat="1" ht="13.2" x14ac:dyDescent="0.25">
      <c r="D1403" s="235">
        <v>8</v>
      </c>
      <c r="E1403" s="240">
        <v>2</v>
      </c>
      <c r="F1403" s="241">
        <v>8</v>
      </c>
      <c r="G1403" s="242">
        <v>7.94</v>
      </c>
      <c r="H1403" s="239">
        <f t="shared" si="1700"/>
        <v>15.88</v>
      </c>
      <c r="I1403" s="131">
        <f t="shared" si="1701"/>
        <v>0</v>
      </c>
      <c r="J1403" s="31">
        <f t="shared" si="1702"/>
        <v>0</v>
      </c>
      <c r="K1403" s="31">
        <f t="shared" si="1703"/>
        <v>0</v>
      </c>
      <c r="L1403" s="31">
        <f t="shared" si="1704"/>
        <v>6.2726000000000006</v>
      </c>
      <c r="M1403" s="31">
        <f t="shared" si="1705"/>
        <v>0</v>
      </c>
      <c r="N1403" s="31">
        <f t="shared" si="1706"/>
        <v>0</v>
      </c>
      <c r="O1403" s="31">
        <f t="shared" si="1707"/>
        <v>0</v>
      </c>
      <c r="P1403" s="31">
        <f t="shared" si="1708"/>
        <v>0</v>
      </c>
      <c r="Q1403" s="49">
        <f t="shared" si="1709"/>
        <v>0</v>
      </c>
    </row>
    <row r="1404" spans="2:20" s="16" customFormat="1" ht="13.2" x14ac:dyDescent="0.25">
      <c r="D1404" s="235">
        <v>9</v>
      </c>
      <c r="E1404" s="240">
        <v>2</v>
      </c>
      <c r="F1404" s="241">
        <v>8</v>
      </c>
      <c r="G1404" s="242">
        <v>9.3000000000000007</v>
      </c>
      <c r="H1404" s="239">
        <f t="shared" si="1700"/>
        <v>18.600000000000001</v>
      </c>
      <c r="I1404" s="131">
        <f t="shared" si="1701"/>
        <v>0</v>
      </c>
      <c r="J1404" s="31">
        <f t="shared" si="1702"/>
        <v>0</v>
      </c>
      <c r="K1404" s="31">
        <f t="shared" si="1703"/>
        <v>0</v>
      </c>
      <c r="L1404" s="31">
        <f t="shared" si="1704"/>
        <v>7.3470000000000013</v>
      </c>
      <c r="M1404" s="31">
        <f t="shared" si="1705"/>
        <v>0</v>
      </c>
      <c r="N1404" s="31">
        <f t="shared" si="1706"/>
        <v>0</v>
      </c>
      <c r="O1404" s="31">
        <f t="shared" si="1707"/>
        <v>0</v>
      </c>
      <c r="P1404" s="31">
        <f t="shared" si="1708"/>
        <v>0</v>
      </c>
      <c r="Q1404" s="49">
        <f t="shared" si="1709"/>
        <v>0</v>
      </c>
    </row>
    <row r="1405" spans="2:20" s="16" customFormat="1" ht="13.2" x14ac:dyDescent="0.25">
      <c r="D1405" s="235">
        <v>10</v>
      </c>
      <c r="E1405" s="240">
        <v>2</v>
      </c>
      <c r="F1405" s="241">
        <v>8</v>
      </c>
      <c r="G1405" s="242">
        <v>12</v>
      </c>
      <c r="H1405" s="239">
        <f t="shared" si="1700"/>
        <v>24</v>
      </c>
      <c r="I1405" s="131">
        <f t="shared" si="1701"/>
        <v>0</v>
      </c>
      <c r="J1405" s="31">
        <f t="shared" si="1702"/>
        <v>0</v>
      </c>
      <c r="K1405" s="31">
        <f t="shared" si="1703"/>
        <v>0</v>
      </c>
      <c r="L1405" s="31">
        <f t="shared" si="1704"/>
        <v>9.48</v>
      </c>
      <c r="M1405" s="31">
        <f t="shared" si="1705"/>
        <v>0</v>
      </c>
      <c r="N1405" s="31">
        <f t="shared" si="1706"/>
        <v>0</v>
      </c>
      <c r="O1405" s="31">
        <f t="shared" si="1707"/>
        <v>0</v>
      </c>
      <c r="P1405" s="31">
        <f t="shared" si="1708"/>
        <v>0</v>
      </c>
      <c r="Q1405" s="49">
        <f t="shared" si="1709"/>
        <v>0</v>
      </c>
    </row>
    <row r="1406" spans="2:20" s="16" customFormat="1" ht="13.2" x14ac:dyDescent="0.25">
      <c r="D1406" s="235">
        <v>11</v>
      </c>
      <c r="E1406" s="240">
        <v>2</v>
      </c>
      <c r="F1406" s="241">
        <v>8</v>
      </c>
      <c r="G1406" s="242">
        <v>5.38</v>
      </c>
      <c r="H1406" s="239">
        <f t="shared" si="1700"/>
        <v>10.76</v>
      </c>
      <c r="I1406" s="131">
        <f t="shared" si="1701"/>
        <v>0</v>
      </c>
      <c r="J1406" s="31">
        <f t="shared" si="1702"/>
        <v>0</v>
      </c>
      <c r="K1406" s="31">
        <f t="shared" si="1703"/>
        <v>0</v>
      </c>
      <c r="L1406" s="31">
        <f t="shared" si="1704"/>
        <v>4.2502000000000004</v>
      </c>
      <c r="M1406" s="31">
        <f t="shared" si="1705"/>
        <v>0</v>
      </c>
      <c r="N1406" s="31">
        <f t="shared" si="1706"/>
        <v>0</v>
      </c>
      <c r="O1406" s="31">
        <f t="shared" si="1707"/>
        <v>0</v>
      </c>
      <c r="P1406" s="31">
        <f t="shared" si="1708"/>
        <v>0</v>
      </c>
      <c r="Q1406" s="49">
        <f t="shared" si="1709"/>
        <v>0</v>
      </c>
    </row>
    <row r="1407" spans="2:20" s="16" customFormat="1" ht="13.8" thickBot="1" x14ac:dyDescent="0.3">
      <c r="D1407" s="307"/>
      <c r="E1407" s="26"/>
      <c r="F1407" s="206"/>
      <c r="G1407" s="207"/>
      <c r="H1407" s="207"/>
      <c r="I1407" s="51"/>
      <c r="J1407" s="308"/>
      <c r="K1407" s="308"/>
      <c r="L1407" s="308"/>
      <c r="M1407" s="308"/>
      <c r="N1407" s="308"/>
      <c r="O1407" s="308"/>
      <c r="P1407" s="308"/>
      <c r="Q1407" s="309"/>
    </row>
    <row r="1408" spans="2:20" s="16" customFormat="1" ht="13.2" x14ac:dyDescent="0.25">
      <c r="D1408" s="796" t="s">
        <v>2198</v>
      </c>
      <c r="E1408" s="797"/>
      <c r="F1408" s="797"/>
      <c r="G1408" s="797"/>
      <c r="H1408" s="797"/>
      <c r="I1408" s="47">
        <f t="shared" ref="I1408:Q1408" si="1710">SUM(I1409:I1411)</f>
        <v>0</v>
      </c>
      <c r="J1408" s="47">
        <f t="shared" si="1710"/>
        <v>5.8104200000000006</v>
      </c>
      <c r="K1408" s="47">
        <f t="shared" si="1710"/>
        <v>0</v>
      </c>
      <c r="L1408" s="47">
        <f t="shared" si="1710"/>
        <v>12.671600000000002</v>
      </c>
      <c r="M1408" s="47">
        <f t="shared" si="1710"/>
        <v>0</v>
      </c>
      <c r="N1408" s="47">
        <f t="shared" si="1710"/>
        <v>0</v>
      </c>
      <c r="O1408" s="47">
        <f t="shared" si="1710"/>
        <v>0</v>
      </c>
      <c r="P1408" s="47">
        <f t="shared" si="1710"/>
        <v>0</v>
      </c>
      <c r="Q1408" s="47">
        <f t="shared" si="1710"/>
        <v>0</v>
      </c>
    </row>
    <row r="1409" spans="4:17" s="16" customFormat="1" ht="13.2" x14ac:dyDescent="0.25">
      <c r="D1409" s="235">
        <v>1</v>
      </c>
      <c r="E1409" s="237">
        <v>49</v>
      </c>
      <c r="F1409" s="238">
        <v>5</v>
      </c>
      <c r="G1409" s="239">
        <v>0.77</v>
      </c>
      <c r="H1409" s="239">
        <f t="shared" ref="H1409:H1411" si="1711">E1409*G1409</f>
        <v>37.730000000000004</v>
      </c>
      <c r="I1409" s="131">
        <f t="shared" ref="I1409:I1411" si="1712">IF($F1409=4.2,H1409*$B$23,0)</f>
        <v>0</v>
      </c>
      <c r="J1409" s="31">
        <f t="shared" ref="J1409:J1411" si="1713">IF($F1409=5,$H1409*$B$24,0)</f>
        <v>5.8104200000000006</v>
      </c>
      <c r="K1409" s="31">
        <f t="shared" ref="K1409:K1411" si="1714">IF($F1409=6.3,$H1409*$B$25,0)</f>
        <v>0</v>
      </c>
      <c r="L1409" s="31">
        <f t="shared" ref="L1409:L1411" si="1715">IF($F1409=8,$H1409*$B$26,0)</f>
        <v>0</v>
      </c>
      <c r="M1409" s="31">
        <f t="shared" ref="M1409:M1411" si="1716">IF($F1409=10,$H1409*$B$27,0)</f>
        <v>0</v>
      </c>
      <c r="N1409" s="31">
        <f t="shared" ref="N1409:N1411" si="1717">IF($F1409=12.5,$H1409*$B$28,0)</f>
        <v>0</v>
      </c>
      <c r="O1409" s="31">
        <f t="shared" ref="O1409:O1411" si="1718">IF($F1409=16,$H1409*$B$29,0)</f>
        <v>0</v>
      </c>
      <c r="P1409" s="31">
        <f t="shared" ref="P1409:P1411" si="1719">IF($F1409=20,$H1409*$B$30,0)</f>
        <v>0</v>
      </c>
      <c r="Q1409" s="49">
        <f t="shared" ref="Q1409:Q1411" si="1720">IF($F1409=25,$H1409*$B$31,0)</f>
        <v>0</v>
      </c>
    </row>
    <row r="1410" spans="4:17" s="16" customFormat="1" ht="13.2" x14ac:dyDescent="0.25">
      <c r="D1410" s="235">
        <v>3</v>
      </c>
      <c r="E1410" s="240">
        <v>2</v>
      </c>
      <c r="F1410" s="241">
        <v>8</v>
      </c>
      <c r="G1410" s="242">
        <v>7.87</v>
      </c>
      <c r="H1410" s="239">
        <f t="shared" si="1711"/>
        <v>15.74</v>
      </c>
      <c r="I1410" s="131">
        <f t="shared" si="1712"/>
        <v>0</v>
      </c>
      <c r="J1410" s="31">
        <f t="shared" si="1713"/>
        <v>0</v>
      </c>
      <c r="K1410" s="31">
        <f t="shared" si="1714"/>
        <v>0</v>
      </c>
      <c r="L1410" s="31">
        <f t="shared" si="1715"/>
        <v>6.2173000000000007</v>
      </c>
      <c r="M1410" s="31">
        <f t="shared" si="1716"/>
        <v>0</v>
      </c>
      <c r="N1410" s="31">
        <f t="shared" si="1717"/>
        <v>0</v>
      </c>
      <c r="O1410" s="31">
        <f t="shared" si="1718"/>
        <v>0</v>
      </c>
      <c r="P1410" s="31">
        <f t="shared" si="1719"/>
        <v>0</v>
      </c>
      <c r="Q1410" s="49">
        <f t="shared" si="1720"/>
        <v>0</v>
      </c>
    </row>
    <row r="1411" spans="4:17" s="16" customFormat="1" ht="13.2" x14ac:dyDescent="0.25">
      <c r="D1411" s="235">
        <v>4</v>
      </c>
      <c r="E1411" s="240">
        <v>2</v>
      </c>
      <c r="F1411" s="241">
        <v>8</v>
      </c>
      <c r="G1411" s="242">
        <v>8.17</v>
      </c>
      <c r="H1411" s="239">
        <f t="shared" si="1711"/>
        <v>16.34</v>
      </c>
      <c r="I1411" s="131">
        <f t="shared" si="1712"/>
        <v>0</v>
      </c>
      <c r="J1411" s="31">
        <f t="shared" si="1713"/>
        <v>0</v>
      </c>
      <c r="K1411" s="31">
        <f t="shared" si="1714"/>
        <v>0</v>
      </c>
      <c r="L1411" s="31">
        <f t="shared" si="1715"/>
        <v>6.4542999999999999</v>
      </c>
      <c r="M1411" s="31">
        <f t="shared" si="1716"/>
        <v>0</v>
      </c>
      <c r="N1411" s="31">
        <f t="shared" si="1717"/>
        <v>0</v>
      </c>
      <c r="O1411" s="31">
        <f t="shared" si="1718"/>
        <v>0</v>
      </c>
      <c r="P1411" s="31">
        <f t="shared" si="1719"/>
        <v>0</v>
      </c>
      <c r="Q1411" s="49">
        <f t="shared" si="1720"/>
        <v>0</v>
      </c>
    </row>
    <row r="1412" spans="4:17" s="16" customFormat="1" ht="13.8" thickBot="1" x14ac:dyDescent="0.3">
      <c r="D1412" s="307"/>
      <c r="E1412" s="26"/>
      <c r="F1412" s="206"/>
      <c r="G1412" s="207"/>
      <c r="H1412" s="207"/>
      <c r="I1412" s="51"/>
      <c r="J1412" s="308"/>
      <c r="K1412" s="308"/>
      <c r="L1412" s="308"/>
      <c r="M1412" s="308"/>
      <c r="N1412" s="308"/>
      <c r="O1412" s="308"/>
      <c r="P1412" s="308"/>
      <c r="Q1412" s="309"/>
    </row>
    <row r="1413" spans="4:17" s="16" customFormat="1" ht="13.2" x14ac:dyDescent="0.25">
      <c r="D1413" s="796" t="s">
        <v>2199</v>
      </c>
      <c r="E1413" s="797"/>
      <c r="F1413" s="797"/>
      <c r="G1413" s="797"/>
      <c r="H1413" s="797"/>
      <c r="I1413" s="47">
        <f t="shared" ref="I1413:Q1413" si="1721">SUM(I1414:I1416)</f>
        <v>0</v>
      </c>
      <c r="J1413" s="47">
        <f t="shared" si="1721"/>
        <v>0.71148</v>
      </c>
      <c r="K1413" s="47">
        <f t="shared" si="1721"/>
        <v>0</v>
      </c>
      <c r="L1413" s="47">
        <f t="shared" si="1721"/>
        <v>1.8486000000000002</v>
      </c>
      <c r="M1413" s="47">
        <f t="shared" si="1721"/>
        <v>0</v>
      </c>
      <c r="N1413" s="47">
        <f t="shared" si="1721"/>
        <v>0</v>
      </c>
      <c r="O1413" s="47">
        <f t="shared" si="1721"/>
        <v>0</v>
      </c>
      <c r="P1413" s="47">
        <f t="shared" si="1721"/>
        <v>0</v>
      </c>
      <c r="Q1413" s="47">
        <f t="shared" si="1721"/>
        <v>0</v>
      </c>
    </row>
    <row r="1414" spans="4:17" s="16" customFormat="1" ht="13.2" x14ac:dyDescent="0.25">
      <c r="D1414" s="235">
        <v>1</v>
      </c>
      <c r="E1414" s="237">
        <v>6</v>
      </c>
      <c r="F1414" s="238">
        <v>5</v>
      </c>
      <c r="G1414" s="239">
        <v>0.77</v>
      </c>
      <c r="H1414" s="239">
        <f t="shared" ref="H1414:H1416" si="1722">E1414*G1414</f>
        <v>4.62</v>
      </c>
      <c r="I1414" s="131">
        <f t="shared" ref="I1414:I1416" si="1723">IF($F1414=4.2,H1414*$B$23,0)</f>
        <v>0</v>
      </c>
      <c r="J1414" s="31">
        <f t="shared" ref="J1414:J1416" si="1724">IF($F1414=5,$H1414*$B$24,0)</f>
        <v>0.71148</v>
      </c>
      <c r="K1414" s="31">
        <f t="shared" ref="K1414:K1416" si="1725">IF($F1414=6.3,$H1414*$B$25,0)</f>
        <v>0</v>
      </c>
      <c r="L1414" s="31">
        <f t="shared" ref="L1414:L1416" si="1726">IF($F1414=8,$H1414*$B$26,0)</f>
        <v>0</v>
      </c>
      <c r="M1414" s="31">
        <f t="shared" ref="M1414:M1416" si="1727">IF($F1414=10,$H1414*$B$27,0)</f>
        <v>0</v>
      </c>
      <c r="N1414" s="31">
        <f t="shared" ref="N1414:N1416" si="1728">IF($F1414=12.5,$H1414*$B$28,0)</f>
        <v>0</v>
      </c>
      <c r="O1414" s="31">
        <f t="shared" ref="O1414:O1416" si="1729">IF($F1414=16,$H1414*$B$29,0)</f>
        <v>0</v>
      </c>
      <c r="P1414" s="31">
        <f t="shared" ref="P1414:P1416" si="1730">IF($F1414=20,$H1414*$B$30,0)</f>
        <v>0</v>
      </c>
      <c r="Q1414" s="49">
        <f t="shared" ref="Q1414:Q1416" si="1731">IF($F1414=25,$H1414*$B$31,0)</f>
        <v>0</v>
      </c>
    </row>
    <row r="1415" spans="4:17" s="16" customFormat="1" ht="13.2" x14ac:dyDescent="0.25">
      <c r="D1415" s="235">
        <v>5</v>
      </c>
      <c r="E1415" s="240">
        <v>2</v>
      </c>
      <c r="F1415" s="241">
        <v>8</v>
      </c>
      <c r="G1415" s="242">
        <v>1.02</v>
      </c>
      <c r="H1415" s="239">
        <f t="shared" si="1722"/>
        <v>2.04</v>
      </c>
      <c r="I1415" s="131">
        <f t="shared" si="1723"/>
        <v>0</v>
      </c>
      <c r="J1415" s="31">
        <f t="shared" si="1724"/>
        <v>0</v>
      </c>
      <c r="K1415" s="31">
        <f t="shared" si="1725"/>
        <v>0</v>
      </c>
      <c r="L1415" s="31">
        <f t="shared" si="1726"/>
        <v>0.80580000000000007</v>
      </c>
      <c r="M1415" s="31">
        <f t="shared" si="1727"/>
        <v>0</v>
      </c>
      <c r="N1415" s="31">
        <f t="shared" si="1728"/>
        <v>0</v>
      </c>
      <c r="O1415" s="31">
        <f t="shared" si="1729"/>
        <v>0</v>
      </c>
      <c r="P1415" s="31">
        <f t="shared" si="1730"/>
        <v>0</v>
      </c>
      <c r="Q1415" s="49">
        <f t="shared" si="1731"/>
        <v>0</v>
      </c>
    </row>
    <row r="1416" spans="4:17" s="16" customFormat="1" ht="13.2" x14ac:dyDescent="0.25">
      <c r="D1416" s="235">
        <v>6</v>
      </c>
      <c r="E1416" s="240">
        <v>2</v>
      </c>
      <c r="F1416" s="241">
        <v>8</v>
      </c>
      <c r="G1416" s="242">
        <v>1.32</v>
      </c>
      <c r="H1416" s="239">
        <f t="shared" si="1722"/>
        <v>2.64</v>
      </c>
      <c r="I1416" s="131">
        <f t="shared" si="1723"/>
        <v>0</v>
      </c>
      <c r="J1416" s="31">
        <f t="shared" si="1724"/>
        <v>0</v>
      </c>
      <c r="K1416" s="31">
        <f t="shared" si="1725"/>
        <v>0</v>
      </c>
      <c r="L1416" s="31">
        <f t="shared" si="1726"/>
        <v>1.0428000000000002</v>
      </c>
      <c r="M1416" s="31">
        <f t="shared" si="1727"/>
        <v>0</v>
      </c>
      <c r="N1416" s="31">
        <f t="shared" si="1728"/>
        <v>0</v>
      </c>
      <c r="O1416" s="31">
        <f t="shared" si="1729"/>
        <v>0</v>
      </c>
      <c r="P1416" s="31">
        <f t="shared" si="1730"/>
        <v>0</v>
      </c>
      <c r="Q1416" s="49">
        <f t="shared" si="1731"/>
        <v>0</v>
      </c>
    </row>
    <row r="1417" spans="4:17" s="16" customFormat="1" ht="13.8" thickBot="1" x14ac:dyDescent="0.3">
      <c r="D1417" s="307"/>
      <c r="E1417" s="26"/>
      <c r="F1417" s="206"/>
      <c r="G1417" s="207"/>
      <c r="H1417" s="207"/>
      <c r="I1417" s="51"/>
      <c r="J1417" s="308"/>
      <c r="K1417" s="308"/>
      <c r="L1417" s="308"/>
      <c r="M1417" s="308"/>
      <c r="N1417" s="308"/>
      <c r="O1417" s="308"/>
      <c r="P1417" s="308"/>
      <c r="Q1417" s="309"/>
    </row>
    <row r="1418" spans="4:17" s="16" customFormat="1" ht="13.2" x14ac:dyDescent="0.25">
      <c r="D1418" s="796" t="s">
        <v>2200</v>
      </c>
      <c r="E1418" s="797"/>
      <c r="F1418" s="797"/>
      <c r="G1418" s="797"/>
      <c r="H1418" s="797"/>
      <c r="I1418" s="47">
        <f t="shared" ref="I1418:Q1418" si="1732">SUM(I1419:I1422)</f>
        <v>0</v>
      </c>
      <c r="J1418" s="47">
        <f t="shared" si="1732"/>
        <v>5.1189600000000004</v>
      </c>
      <c r="K1418" s="47">
        <f t="shared" si="1732"/>
        <v>0</v>
      </c>
      <c r="L1418" s="47">
        <f t="shared" si="1732"/>
        <v>7.8131000000000004</v>
      </c>
      <c r="M1418" s="47">
        <f t="shared" si="1732"/>
        <v>0</v>
      </c>
      <c r="N1418" s="47">
        <f t="shared" si="1732"/>
        <v>0</v>
      </c>
      <c r="O1418" s="47">
        <f t="shared" si="1732"/>
        <v>0</v>
      </c>
      <c r="P1418" s="47">
        <f t="shared" si="1732"/>
        <v>0</v>
      </c>
      <c r="Q1418" s="47">
        <f t="shared" si="1732"/>
        <v>0</v>
      </c>
    </row>
    <row r="1419" spans="4:17" s="16" customFormat="1" ht="13.2" x14ac:dyDescent="0.25">
      <c r="D1419" s="235">
        <v>1</v>
      </c>
      <c r="E1419" s="237">
        <v>32</v>
      </c>
      <c r="F1419" s="238">
        <v>5</v>
      </c>
      <c r="G1419" s="239">
        <v>0.77</v>
      </c>
      <c r="H1419" s="239">
        <f t="shared" ref="H1419:H1422" si="1733">E1419*G1419</f>
        <v>24.64</v>
      </c>
      <c r="I1419" s="131">
        <f t="shared" ref="I1419:I1422" si="1734">IF($F1419=4.2,H1419*$B$23,0)</f>
        <v>0</v>
      </c>
      <c r="J1419" s="31">
        <f t="shared" ref="J1419:J1422" si="1735">IF($F1419=5,$H1419*$B$24,0)</f>
        <v>3.7945600000000002</v>
      </c>
      <c r="K1419" s="31">
        <f t="shared" ref="K1419:K1422" si="1736">IF($F1419=6.3,$H1419*$B$25,0)</f>
        <v>0</v>
      </c>
      <c r="L1419" s="31">
        <f t="shared" ref="L1419:L1422" si="1737">IF($F1419=8,$H1419*$B$26,0)</f>
        <v>0</v>
      </c>
      <c r="M1419" s="31">
        <f t="shared" ref="M1419:M1422" si="1738">IF($F1419=10,$H1419*$B$27,0)</f>
        <v>0</v>
      </c>
      <c r="N1419" s="31">
        <f t="shared" ref="N1419:N1422" si="1739">IF($F1419=12.5,$H1419*$B$28,0)</f>
        <v>0</v>
      </c>
      <c r="O1419" s="31">
        <f t="shared" ref="O1419:O1422" si="1740">IF($F1419=16,$H1419*$B$29,0)</f>
        <v>0</v>
      </c>
      <c r="P1419" s="31">
        <f t="shared" ref="P1419:P1422" si="1741">IF($F1419=20,$H1419*$B$30,0)</f>
        <v>0</v>
      </c>
      <c r="Q1419" s="49">
        <f t="shared" ref="Q1419:Q1422" si="1742">IF($F1419=25,$H1419*$B$31,0)</f>
        <v>0</v>
      </c>
    </row>
    <row r="1420" spans="4:17" s="16" customFormat="1" ht="13.2" x14ac:dyDescent="0.25">
      <c r="D1420" s="235">
        <v>2</v>
      </c>
      <c r="E1420" s="240">
        <v>4</v>
      </c>
      <c r="F1420" s="241">
        <v>5</v>
      </c>
      <c r="G1420" s="242">
        <v>2.15</v>
      </c>
      <c r="H1420" s="239">
        <f t="shared" si="1733"/>
        <v>8.6</v>
      </c>
      <c r="I1420" s="131">
        <f t="shared" si="1734"/>
        <v>0</v>
      </c>
      <c r="J1420" s="31">
        <f t="shared" si="1735"/>
        <v>1.3244</v>
      </c>
      <c r="K1420" s="31">
        <f t="shared" si="1736"/>
        <v>0</v>
      </c>
      <c r="L1420" s="31">
        <f t="shared" si="1737"/>
        <v>0</v>
      </c>
      <c r="M1420" s="31">
        <f t="shared" si="1738"/>
        <v>0</v>
      </c>
      <c r="N1420" s="31">
        <f t="shared" si="1739"/>
        <v>0</v>
      </c>
      <c r="O1420" s="31">
        <f t="shared" si="1740"/>
        <v>0</v>
      </c>
      <c r="P1420" s="31">
        <f t="shared" si="1741"/>
        <v>0</v>
      </c>
      <c r="Q1420" s="49">
        <f t="shared" si="1742"/>
        <v>0</v>
      </c>
    </row>
    <row r="1421" spans="4:17" s="16" customFormat="1" ht="13.2" x14ac:dyDescent="0.25">
      <c r="D1421" s="235">
        <v>7</v>
      </c>
      <c r="E1421" s="240">
        <v>2</v>
      </c>
      <c r="F1421" s="241">
        <v>8</v>
      </c>
      <c r="G1421" s="242">
        <v>4.75</v>
      </c>
      <c r="H1421" s="239">
        <f t="shared" si="1733"/>
        <v>9.5</v>
      </c>
      <c r="I1421" s="131">
        <f t="shared" si="1734"/>
        <v>0</v>
      </c>
      <c r="J1421" s="31">
        <f t="shared" si="1735"/>
        <v>0</v>
      </c>
      <c r="K1421" s="31">
        <f t="shared" si="1736"/>
        <v>0</v>
      </c>
      <c r="L1421" s="31">
        <f t="shared" si="1737"/>
        <v>3.7525000000000004</v>
      </c>
      <c r="M1421" s="31">
        <f t="shared" si="1738"/>
        <v>0</v>
      </c>
      <c r="N1421" s="31">
        <f t="shared" si="1739"/>
        <v>0</v>
      </c>
      <c r="O1421" s="31">
        <f t="shared" si="1740"/>
        <v>0</v>
      </c>
      <c r="P1421" s="31">
        <f t="shared" si="1741"/>
        <v>0</v>
      </c>
      <c r="Q1421" s="49">
        <f t="shared" si="1742"/>
        <v>0</v>
      </c>
    </row>
    <row r="1422" spans="4:17" s="16" customFormat="1" ht="13.2" x14ac:dyDescent="0.25">
      <c r="D1422" s="235">
        <v>8</v>
      </c>
      <c r="E1422" s="240">
        <v>2</v>
      </c>
      <c r="F1422" s="241">
        <v>8</v>
      </c>
      <c r="G1422" s="242">
        <v>5.14</v>
      </c>
      <c r="H1422" s="239">
        <f t="shared" si="1733"/>
        <v>10.28</v>
      </c>
      <c r="I1422" s="131">
        <f t="shared" si="1734"/>
        <v>0</v>
      </c>
      <c r="J1422" s="31">
        <f t="shared" si="1735"/>
        <v>0</v>
      </c>
      <c r="K1422" s="31">
        <f t="shared" si="1736"/>
        <v>0</v>
      </c>
      <c r="L1422" s="31">
        <f t="shared" si="1737"/>
        <v>4.0606</v>
      </c>
      <c r="M1422" s="31">
        <f t="shared" si="1738"/>
        <v>0</v>
      </c>
      <c r="N1422" s="31">
        <f t="shared" si="1739"/>
        <v>0</v>
      </c>
      <c r="O1422" s="31">
        <f t="shared" si="1740"/>
        <v>0</v>
      </c>
      <c r="P1422" s="31">
        <f t="shared" si="1741"/>
        <v>0</v>
      </c>
      <c r="Q1422" s="49">
        <f t="shared" si="1742"/>
        <v>0</v>
      </c>
    </row>
    <row r="1423" spans="4:17" s="16" customFormat="1" ht="13.8" thickBot="1" x14ac:dyDescent="0.3">
      <c r="D1423" s="307"/>
      <c r="E1423" s="26"/>
      <c r="F1423" s="206"/>
      <c r="G1423" s="207"/>
      <c r="H1423" s="207"/>
      <c r="I1423" s="51"/>
      <c r="J1423" s="308"/>
      <c r="K1423" s="308"/>
      <c r="L1423" s="308"/>
      <c r="M1423" s="308"/>
      <c r="N1423" s="308"/>
      <c r="O1423" s="308"/>
      <c r="P1423" s="308"/>
      <c r="Q1423" s="309"/>
    </row>
    <row r="1424" spans="4:17" s="16" customFormat="1" ht="13.2" x14ac:dyDescent="0.25">
      <c r="D1424" s="796" t="s">
        <v>2201</v>
      </c>
      <c r="E1424" s="797"/>
      <c r="F1424" s="797"/>
      <c r="G1424" s="797"/>
      <c r="H1424" s="797"/>
      <c r="I1424" s="47">
        <f t="shared" ref="I1424:Q1424" si="1743">SUM(I1425:I1427)</f>
        <v>0</v>
      </c>
      <c r="J1424" s="47">
        <f t="shared" si="1743"/>
        <v>1.1858</v>
      </c>
      <c r="K1424" s="47">
        <f t="shared" si="1743"/>
        <v>0</v>
      </c>
      <c r="L1424" s="47">
        <f t="shared" si="1743"/>
        <v>3.2706</v>
      </c>
      <c r="M1424" s="47">
        <f t="shared" si="1743"/>
        <v>0</v>
      </c>
      <c r="N1424" s="47">
        <f t="shared" si="1743"/>
        <v>0</v>
      </c>
      <c r="O1424" s="47">
        <f t="shared" si="1743"/>
        <v>0</v>
      </c>
      <c r="P1424" s="47">
        <f t="shared" si="1743"/>
        <v>0</v>
      </c>
      <c r="Q1424" s="47">
        <f t="shared" si="1743"/>
        <v>0</v>
      </c>
    </row>
    <row r="1425" spans="4:17" s="16" customFormat="1" ht="13.2" x14ac:dyDescent="0.25">
      <c r="D1425" s="235">
        <v>1</v>
      </c>
      <c r="E1425" s="237">
        <v>10</v>
      </c>
      <c r="F1425" s="238">
        <v>5</v>
      </c>
      <c r="G1425" s="239">
        <v>0.77</v>
      </c>
      <c r="H1425" s="239">
        <f t="shared" ref="H1425:H1427" si="1744">E1425*G1425</f>
        <v>7.7</v>
      </c>
      <c r="I1425" s="131">
        <f t="shared" ref="I1425:I1427" si="1745">IF($F1425=4.2,H1425*$B$23,0)</f>
        <v>0</v>
      </c>
      <c r="J1425" s="31">
        <f t="shared" ref="J1425:J1427" si="1746">IF($F1425=5,$H1425*$B$24,0)</f>
        <v>1.1858</v>
      </c>
      <c r="K1425" s="31">
        <f t="shared" ref="K1425:K1427" si="1747">IF($F1425=6.3,$H1425*$B$25,0)</f>
        <v>0</v>
      </c>
      <c r="L1425" s="31">
        <f t="shared" ref="L1425:L1427" si="1748">IF($F1425=8,$H1425*$B$26,0)</f>
        <v>0</v>
      </c>
      <c r="M1425" s="31">
        <f t="shared" ref="M1425:M1427" si="1749">IF($F1425=10,$H1425*$B$27,0)</f>
        <v>0</v>
      </c>
      <c r="N1425" s="31">
        <f t="shared" ref="N1425:N1427" si="1750">IF($F1425=12.5,$H1425*$B$28,0)</f>
        <v>0</v>
      </c>
      <c r="O1425" s="31">
        <f t="shared" ref="O1425:O1427" si="1751">IF($F1425=16,$H1425*$B$29,0)</f>
        <v>0</v>
      </c>
      <c r="P1425" s="31">
        <f t="shared" ref="P1425:P1427" si="1752">IF($F1425=20,$H1425*$B$30,0)</f>
        <v>0</v>
      </c>
      <c r="Q1425" s="49">
        <f t="shared" ref="Q1425:Q1427" si="1753">IF($F1425=25,$H1425*$B$31,0)</f>
        <v>0</v>
      </c>
    </row>
    <row r="1426" spans="4:17" s="16" customFormat="1" ht="13.2" x14ac:dyDescent="0.25">
      <c r="D1426" s="235">
        <v>9</v>
      </c>
      <c r="E1426" s="240">
        <v>2</v>
      </c>
      <c r="F1426" s="241">
        <v>8</v>
      </c>
      <c r="G1426" s="242">
        <v>1.95</v>
      </c>
      <c r="H1426" s="239">
        <f t="shared" si="1744"/>
        <v>3.9</v>
      </c>
      <c r="I1426" s="131">
        <f t="shared" si="1745"/>
        <v>0</v>
      </c>
      <c r="J1426" s="31">
        <f t="shared" si="1746"/>
        <v>0</v>
      </c>
      <c r="K1426" s="31">
        <f t="shared" si="1747"/>
        <v>0</v>
      </c>
      <c r="L1426" s="31">
        <f t="shared" si="1748"/>
        <v>1.5405</v>
      </c>
      <c r="M1426" s="31">
        <f t="shared" si="1749"/>
        <v>0</v>
      </c>
      <c r="N1426" s="31">
        <f t="shared" si="1750"/>
        <v>0</v>
      </c>
      <c r="O1426" s="31">
        <f t="shared" si="1751"/>
        <v>0</v>
      </c>
      <c r="P1426" s="31">
        <f t="shared" si="1752"/>
        <v>0</v>
      </c>
      <c r="Q1426" s="49">
        <f t="shared" si="1753"/>
        <v>0</v>
      </c>
    </row>
    <row r="1427" spans="4:17" s="16" customFormat="1" ht="13.2" x14ac:dyDescent="0.25">
      <c r="D1427" s="235">
        <v>10</v>
      </c>
      <c r="E1427" s="240">
        <v>2</v>
      </c>
      <c r="F1427" s="241">
        <v>8</v>
      </c>
      <c r="G1427" s="242">
        <v>2.19</v>
      </c>
      <c r="H1427" s="239">
        <f t="shared" si="1744"/>
        <v>4.38</v>
      </c>
      <c r="I1427" s="131">
        <f t="shared" si="1745"/>
        <v>0</v>
      </c>
      <c r="J1427" s="31">
        <f t="shared" si="1746"/>
        <v>0</v>
      </c>
      <c r="K1427" s="31">
        <f t="shared" si="1747"/>
        <v>0</v>
      </c>
      <c r="L1427" s="31">
        <f t="shared" si="1748"/>
        <v>1.7301</v>
      </c>
      <c r="M1427" s="31">
        <f t="shared" si="1749"/>
        <v>0</v>
      </c>
      <c r="N1427" s="31">
        <f t="shared" si="1750"/>
        <v>0</v>
      </c>
      <c r="O1427" s="31">
        <f t="shared" si="1751"/>
        <v>0</v>
      </c>
      <c r="P1427" s="31">
        <f t="shared" si="1752"/>
        <v>0</v>
      </c>
      <c r="Q1427" s="49">
        <f t="shared" si="1753"/>
        <v>0</v>
      </c>
    </row>
    <row r="1428" spans="4:17" s="16" customFormat="1" ht="13.8" thickBot="1" x14ac:dyDescent="0.3">
      <c r="D1428" s="307"/>
      <c r="E1428" s="26"/>
      <c r="F1428" s="206"/>
      <c r="G1428" s="207"/>
      <c r="H1428" s="207"/>
      <c r="I1428" s="51"/>
      <c r="J1428" s="308"/>
      <c r="K1428" s="308"/>
      <c r="L1428" s="308"/>
      <c r="M1428" s="308"/>
      <c r="N1428" s="308"/>
      <c r="O1428" s="308"/>
      <c r="P1428" s="308"/>
      <c r="Q1428" s="309"/>
    </row>
    <row r="1429" spans="4:17" s="16" customFormat="1" ht="13.2" x14ac:dyDescent="0.25">
      <c r="D1429" s="796" t="s">
        <v>2202</v>
      </c>
      <c r="E1429" s="797"/>
      <c r="F1429" s="797"/>
      <c r="G1429" s="797"/>
      <c r="H1429" s="797"/>
      <c r="I1429" s="47">
        <f t="shared" ref="I1429:Q1429" si="1754">SUM(I1430:I1433)</f>
        <v>0</v>
      </c>
      <c r="J1429" s="47">
        <f t="shared" si="1754"/>
        <v>5.1189600000000004</v>
      </c>
      <c r="K1429" s="47">
        <f t="shared" si="1754"/>
        <v>0</v>
      </c>
      <c r="L1429" s="47">
        <f t="shared" si="1754"/>
        <v>7.7578000000000005</v>
      </c>
      <c r="M1429" s="47">
        <f t="shared" si="1754"/>
        <v>0</v>
      </c>
      <c r="N1429" s="47">
        <f t="shared" si="1754"/>
        <v>0</v>
      </c>
      <c r="O1429" s="47">
        <f t="shared" si="1754"/>
        <v>0</v>
      </c>
      <c r="P1429" s="47">
        <f t="shared" si="1754"/>
        <v>0</v>
      </c>
      <c r="Q1429" s="47">
        <f t="shared" si="1754"/>
        <v>0</v>
      </c>
    </row>
    <row r="1430" spans="4:17" s="16" customFormat="1" ht="13.2" x14ac:dyDescent="0.25">
      <c r="D1430" s="235">
        <v>1</v>
      </c>
      <c r="E1430" s="237">
        <v>32</v>
      </c>
      <c r="F1430" s="238">
        <v>5</v>
      </c>
      <c r="G1430" s="239">
        <v>0.77</v>
      </c>
      <c r="H1430" s="239">
        <f t="shared" ref="H1430:H1433" si="1755">E1430*G1430</f>
        <v>24.64</v>
      </c>
      <c r="I1430" s="131">
        <f t="shared" ref="I1430:I1433" si="1756">IF($F1430=4.2,H1430*$B$23,0)</f>
        <v>0</v>
      </c>
      <c r="J1430" s="31">
        <f t="shared" ref="J1430:J1433" si="1757">IF($F1430=5,$H1430*$B$24,0)</f>
        <v>3.7945600000000002</v>
      </c>
      <c r="K1430" s="31">
        <f t="shared" ref="K1430:K1433" si="1758">IF($F1430=6.3,$H1430*$B$25,0)</f>
        <v>0</v>
      </c>
      <c r="L1430" s="31">
        <f t="shared" ref="L1430:L1433" si="1759">IF($F1430=8,$H1430*$B$26,0)</f>
        <v>0</v>
      </c>
      <c r="M1430" s="31">
        <f t="shared" ref="M1430:M1433" si="1760">IF($F1430=10,$H1430*$B$27,0)</f>
        <v>0</v>
      </c>
      <c r="N1430" s="31">
        <f t="shared" ref="N1430:N1433" si="1761">IF($F1430=12.5,$H1430*$B$28,0)</f>
        <v>0</v>
      </c>
      <c r="O1430" s="31">
        <f t="shared" ref="O1430:O1433" si="1762">IF($F1430=16,$H1430*$B$29,0)</f>
        <v>0</v>
      </c>
      <c r="P1430" s="31">
        <f t="shared" ref="P1430:P1433" si="1763">IF($F1430=20,$H1430*$B$30,0)</f>
        <v>0</v>
      </c>
      <c r="Q1430" s="49">
        <f t="shared" ref="Q1430:Q1433" si="1764">IF($F1430=25,$H1430*$B$31,0)</f>
        <v>0</v>
      </c>
    </row>
    <row r="1431" spans="4:17" s="16" customFormat="1" ht="13.2" x14ac:dyDescent="0.25">
      <c r="D1431" s="235">
        <v>2</v>
      </c>
      <c r="E1431" s="240">
        <v>4</v>
      </c>
      <c r="F1431" s="241">
        <v>5</v>
      </c>
      <c r="G1431" s="242">
        <v>2.15</v>
      </c>
      <c r="H1431" s="239">
        <f t="shared" si="1755"/>
        <v>8.6</v>
      </c>
      <c r="I1431" s="131">
        <f t="shared" si="1756"/>
        <v>0</v>
      </c>
      <c r="J1431" s="31">
        <f t="shared" si="1757"/>
        <v>1.3244</v>
      </c>
      <c r="K1431" s="31">
        <f t="shared" si="1758"/>
        <v>0</v>
      </c>
      <c r="L1431" s="31">
        <f t="shared" si="1759"/>
        <v>0</v>
      </c>
      <c r="M1431" s="31">
        <f t="shared" si="1760"/>
        <v>0</v>
      </c>
      <c r="N1431" s="31">
        <f t="shared" si="1761"/>
        <v>0</v>
      </c>
      <c r="O1431" s="31">
        <f t="shared" si="1762"/>
        <v>0</v>
      </c>
      <c r="P1431" s="31">
        <f t="shared" si="1763"/>
        <v>0</v>
      </c>
      <c r="Q1431" s="49">
        <f t="shared" si="1764"/>
        <v>0</v>
      </c>
    </row>
    <row r="1432" spans="4:17" s="16" customFormat="1" ht="13.2" x14ac:dyDescent="0.25">
      <c r="D1432" s="235">
        <v>11</v>
      </c>
      <c r="E1432" s="240">
        <v>2</v>
      </c>
      <c r="F1432" s="241">
        <v>8</v>
      </c>
      <c r="G1432" s="242">
        <v>4.83</v>
      </c>
      <c r="H1432" s="239">
        <f t="shared" si="1755"/>
        <v>9.66</v>
      </c>
      <c r="I1432" s="131">
        <f t="shared" si="1756"/>
        <v>0</v>
      </c>
      <c r="J1432" s="31">
        <f t="shared" si="1757"/>
        <v>0</v>
      </c>
      <c r="K1432" s="31">
        <f t="shared" si="1758"/>
        <v>0</v>
      </c>
      <c r="L1432" s="31">
        <f t="shared" si="1759"/>
        <v>3.8157000000000001</v>
      </c>
      <c r="M1432" s="31">
        <f t="shared" si="1760"/>
        <v>0</v>
      </c>
      <c r="N1432" s="31">
        <f t="shared" si="1761"/>
        <v>0</v>
      </c>
      <c r="O1432" s="31">
        <f t="shared" si="1762"/>
        <v>0</v>
      </c>
      <c r="P1432" s="31">
        <f t="shared" si="1763"/>
        <v>0</v>
      </c>
      <c r="Q1432" s="49">
        <f t="shared" si="1764"/>
        <v>0</v>
      </c>
    </row>
    <row r="1433" spans="4:17" s="16" customFormat="1" ht="13.2" x14ac:dyDescent="0.25">
      <c r="D1433" s="235">
        <v>12</v>
      </c>
      <c r="E1433" s="240">
        <v>2</v>
      </c>
      <c r="F1433" s="241">
        <v>8</v>
      </c>
      <c r="G1433" s="242">
        <v>4.99</v>
      </c>
      <c r="H1433" s="239">
        <f t="shared" si="1755"/>
        <v>9.98</v>
      </c>
      <c r="I1433" s="131">
        <f t="shared" si="1756"/>
        <v>0</v>
      </c>
      <c r="J1433" s="31">
        <f t="shared" si="1757"/>
        <v>0</v>
      </c>
      <c r="K1433" s="31">
        <f t="shared" si="1758"/>
        <v>0</v>
      </c>
      <c r="L1433" s="31">
        <f t="shared" si="1759"/>
        <v>3.9421000000000004</v>
      </c>
      <c r="M1433" s="31">
        <f t="shared" si="1760"/>
        <v>0</v>
      </c>
      <c r="N1433" s="31">
        <f t="shared" si="1761"/>
        <v>0</v>
      </c>
      <c r="O1433" s="31">
        <f t="shared" si="1762"/>
        <v>0</v>
      </c>
      <c r="P1433" s="31">
        <f t="shared" si="1763"/>
        <v>0</v>
      </c>
      <c r="Q1433" s="49">
        <f t="shared" si="1764"/>
        <v>0</v>
      </c>
    </row>
    <row r="1434" spans="4:17" s="16" customFormat="1" ht="13.8" thickBot="1" x14ac:dyDescent="0.3">
      <c r="D1434" s="307"/>
      <c r="E1434" s="26"/>
      <c r="F1434" s="206"/>
      <c r="G1434" s="207"/>
      <c r="H1434" s="207"/>
      <c r="I1434" s="51"/>
      <c r="J1434" s="308"/>
      <c r="K1434" s="308"/>
      <c r="L1434" s="308"/>
      <c r="M1434" s="308"/>
      <c r="N1434" s="308"/>
      <c r="O1434" s="308"/>
      <c r="P1434" s="308"/>
      <c r="Q1434" s="309"/>
    </row>
    <row r="1435" spans="4:17" s="16" customFormat="1" ht="13.2" x14ac:dyDescent="0.25">
      <c r="D1435" s="796" t="s">
        <v>2203</v>
      </c>
      <c r="E1435" s="797"/>
      <c r="F1435" s="797"/>
      <c r="G1435" s="797"/>
      <c r="H1435" s="797"/>
      <c r="I1435" s="47">
        <f t="shared" ref="I1435:Q1435" si="1765">SUM(I1436:I1440)</f>
        <v>0</v>
      </c>
      <c r="J1435" s="47">
        <f t="shared" si="1765"/>
        <v>15.53398</v>
      </c>
      <c r="K1435" s="47">
        <f t="shared" si="1765"/>
        <v>0</v>
      </c>
      <c r="L1435" s="47">
        <f t="shared" si="1765"/>
        <v>33.488100000000003</v>
      </c>
      <c r="M1435" s="47">
        <f t="shared" si="1765"/>
        <v>0</v>
      </c>
      <c r="N1435" s="47">
        <f t="shared" si="1765"/>
        <v>0</v>
      </c>
      <c r="O1435" s="47">
        <f t="shared" si="1765"/>
        <v>0</v>
      </c>
      <c r="P1435" s="47">
        <f t="shared" si="1765"/>
        <v>0</v>
      </c>
      <c r="Q1435" s="47">
        <f t="shared" si="1765"/>
        <v>0</v>
      </c>
    </row>
    <row r="1436" spans="4:17" s="16" customFormat="1" ht="13.2" x14ac:dyDescent="0.25">
      <c r="D1436" s="235">
        <v>1</v>
      </c>
      <c r="E1436" s="237">
        <v>131</v>
      </c>
      <c r="F1436" s="238">
        <v>5</v>
      </c>
      <c r="G1436" s="239">
        <v>0.77</v>
      </c>
      <c r="H1436" s="239">
        <f t="shared" ref="H1436:H1440" si="1766">E1436*G1436</f>
        <v>100.87</v>
      </c>
      <c r="I1436" s="131">
        <f t="shared" ref="I1436:I1440" si="1767">IF($F1436=4.2,H1436*$B$23,0)</f>
        <v>0</v>
      </c>
      <c r="J1436" s="31">
        <f t="shared" ref="J1436:J1440" si="1768">IF($F1436=5,$H1436*$B$24,0)</f>
        <v>15.53398</v>
      </c>
      <c r="K1436" s="31">
        <f t="shared" ref="K1436:K1440" si="1769">IF($F1436=6.3,$H1436*$B$25,0)</f>
        <v>0</v>
      </c>
      <c r="L1436" s="31">
        <f t="shared" ref="L1436:L1440" si="1770">IF($F1436=8,$H1436*$B$26,0)</f>
        <v>0</v>
      </c>
      <c r="M1436" s="31">
        <f t="shared" ref="M1436:M1440" si="1771">IF($F1436=10,$H1436*$B$27,0)</f>
        <v>0</v>
      </c>
      <c r="N1436" s="31">
        <f t="shared" ref="N1436:N1440" si="1772">IF($F1436=12.5,$H1436*$B$28,0)</f>
        <v>0</v>
      </c>
      <c r="O1436" s="31">
        <f t="shared" ref="O1436:O1440" si="1773">IF($F1436=16,$H1436*$B$29,0)</f>
        <v>0</v>
      </c>
      <c r="P1436" s="31">
        <f t="shared" ref="P1436:P1440" si="1774">IF($F1436=20,$H1436*$B$30,0)</f>
        <v>0</v>
      </c>
      <c r="Q1436" s="49">
        <f t="shared" ref="Q1436:Q1440" si="1775">IF($F1436=25,$H1436*$B$31,0)</f>
        <v>0</v>
      </c>
    </row>
    <row r="1437" spans="4:17" s="16" customFormat="1" ht="13.2" x14ac:dyDescent="0.25">
      <c r="D1437" s="235">
        <v>16</v>
      </c>
      <c r="E1437" s="240">
        <v>2</v>
      </c>
      <c r="F1437" s="241">
        <v>8</v>
      </c>
      <c r="G1437" s="242">
        <v>12</v>
      </c>
      <c r="H1437" s="239">
        <f t="shared" si="1766"/>
        <v>24</v>
      </c>
      <c r="I1437" s="131">
        <f t="shared" si="1767"/>
        <v>0</v>
      </c>
      <c r="J1437" s="31">
        <f t="shared" si="1768"/>
        <v>0</v>
      </c>
      <c r="K1437" s="31">
        <f t="shared" si="1769"/>
        <v>0</v>
      </c>
      <c r="L1437" s="31">
        <f t="shared" si="1770"/>
        <v>9.48</v>
      </c>
      <c r="M1437" s="31">
        <f t="shared" si="1771"/>
        <v>0</v>
      </c>
      <c r="N1437" s="31">
        <f t="shared" si="1772"/>
        <v>0</v>
      </c>
      <c r="O1437" s="31">
        <f t="shared" si="1773"/>
        <v>0</v>
      </c>
      <c r="P1437" s="31">
        <f t="shared" si="1774"/>
        <v>0</v>
      </c>
      <c r="Q1437" s="49">
        <f t="shared" si="1775"/>
        <v>0</v>
      </c>
    </row>
    <row r="1438" spans="4:17" s="16" customFormat="1" ht="13.2" x14ac:dyDescent="0.25">
      <c r="D1438" s="235">
        <v>21</v>
      </c>
      <c r="E1438" s="240">
        <v>2</v>
      </c>
      <c r="F1438" s="241">
        <v>8</v>
      </c>
      <c r="G1438" s="242">
        <v>10.82</v>
      </c>
      <c r="H1438" s="239">
        <f t="shared" si="1766"/>
        <v>21.64</v>
      </c>
      <c r="I1438" s="131">
        <f t="shared" si="1767"/>
        <v>0</v>
      </c>
      <c r="J1438" s="31">
        <f t="shared" si="1768"/>
        <v>0</v>
      </c>
      <c r="K1438" s="31">
        <f t="shared" si="1769"/>
        <v>0</v>
      </c>
      <c r="L1438" s="31">
        <f t="shared" si="1770"/>
        <v>8.5478000000000005</v>
      </c>
      <c r="M1438" s="31">
        <f t="shared" si="1771"/>
        <v>0</v>
      </c>
      <c r="N1438" s="31">
        <f t="shared" si="1772"/>
        <v>0</v>
      </c>
      <c r="O1438" s="31">
        <f t="shared" si="1773"/>
        <v>0</v>
      </c>
      <c r="P1438" s="31">
        <f t="shared" si="1774"/>
        <v>0</v>
      </c>
      <c r="Q1438" s="49">
        <f t="shared" si="1775"/>
        <v>0</v>
      </c>
    </row>
    <row r="1439" spans="4:17" s="16" customFormat="1" ht="13.2" x14ac:dyDescent="0.25">
      <c r="D1439" s="235">
        <v>22</v>
      </c>
      <c r="E1439" s="240">
        <v>2</v>
      </c>
      <c r="F1439" s="241">
        <v>8</v>
      </c>
      <c r="G1439" s="242">
        <v>10.17</v>
      </c>
      <c r="H1439" s="239">
        <f t="shared" si="1766"/>
        <v>20.34</v>
      </c>
      <c r="I1439" s="131">
        <f t="shared" si="1767"/>
        <v>0</v>
      </c>
      <c r="J1439" s="31">
        <f t="shared" si="1768"/>
        <v>0</v>
      </c>
      <c r="K1439" s="31">
        <f t="shared" si="1769"/>
        <v>0</v>
      </c>
      <c r="L1439" s="31">
        <f t="shared" si="1770"/>
        <v>8.0343</v>
      </c>
      <c r="M1439" s="31">
        <f t="shared" si="1771"/>
        <v>0</v>
      </c>
      <c r="N1439" s="31">
        <f t="shared" si="1772"/>
        <v>0</v>
      </c>
      <c r="O1439" s="31">
        <f t="shared" si="1773"/>
        <v>0</v>
      </c>
      <c r="P1439" s="31">
        <f t="shared" si="1774"/>
        <v>0</v>
      </c>
      <c r="Q1439" s="49">
        <f t="shared" si="1775"/>
        <v>0</v>
      </c>
    </row>
    <row r="1440" spans="4:17" s="16" customFormat="1" ht="13.2" x14ac:dyDescent="0.25">
      <c r="D1440" s="235">
        <v>23</v>
      </c>
      <c r="E1440" s="240">
        <v>2</v>
      </c>
      <c r="F1440" s="241">
        <v>8</v>
      </c>
      <c r="G1440" s="242">
        <v>9.4</v>
      </c>
      <c r="H1440" s="239">
        <f t="shared" si="1766"/>
        <v>18.8</v>
      </c>
      <c r="I1440" s="131">
        <f t="shared" si="1767"/>
        <v>0</v>
      </c>
      <c r="J1440" s="31">
        <f t="shared" si="1768"/>
        <v>0</v>
      </c>
      <c r="K1440" s="31">
        <f t="shared" si="1769"/>
        <v>0</v>
      </c>
      <c r="L1440" s="31">
        <f t="shared" si="1770"/>
        <v>7.426000000000001</v>
      </c>
      <c r="M1440" s="31">
        <f t="shared" si="1771"/>
        <v>0</v>
      </c>
      <c r="N1440" s="31">
        <f t="shared" si="1772"/>
        <v>0</v>
      </c>
      <c r="O1440" s="31">
        <f t="shared" si="1773"/>
        <v>0</v>
      </c>
      <c r="P1440" s="31">
        <f t="shared" si="1774"/>
        <v>0</v>
      </c>
      <c r="Q1440" s="49">
        <f t="shared" si="1775"/>
        <v>0</v>
      </c>
    </row>
    <row r="1441" spans="4:17" s="16" customFormat="1" ht="13.8" thickBot="1" x14ac:dyDescent="0.3">
      <c r="D1441" s="307"/>
      <c r="E1441" s="26"/>
      <c r="F1441" s="206"/>
      <c r="G1441" s="207"/>
      <c r="H1441" s="207"/>
      <c r="I1441" s="51"/>
      <c r="J1441" s="308"/>
      <c r="K1441" s="308"/>
      <c r="L1441" s="308"/>
      <c r="M1441" s="308"/>
      <c r="N1441" s="308"/>
      <c r="O1441" s="308"/>
      <c r="P1441" s="308"/>
      <c r="Q1441" s="309"/>
    </row>
    <row r="1442" spans="4:17" s="16" customFormat="1" ht="13.2" x14ac:dyDescent="0.25">
      <c r="D1442" s="796" t="s">
        <v>2204</v>
      </c>
      <c r="E1442" s="797"/>
      <c r="F1442" s="797"/>
      <c r="G1442" s="797"/>
      <c r="H1442" s="797"/>
      <c r="I1442" s="47">
        <f t="shared" ref="I1442:Q1442" si="1776">SUM(I1443:I1448)</f>
        <v>0</v>
      </c>
      <c r="J1442" s="47">
        <f t="shared" si="1776"/>
        <v>16.50264</v>
      </c>
      <c r="K1442" s="47">
        <f t="shared" si="1776"/>
        <v>0</v>
      </c>
      <c r="L1442" s="47">
        <f t="shared" si="1776"/>
        <v>32.405800000000006</v>
      </c>
      <c r="M1442" s="47">
        <f t="shared" si="1776"/>
        <v>0</v>
      </c>
      <c r="N1442" s="47">
        <f t="shared" si="1776"/>
        <v>0</v>
      </c>
      <c r="O1442" s="47">
        <f t="shared" si="1776"/>
        <v>0</v>
      </c>
      <c r="P1442" s="47">
        <f t="shared" si="1776"/>
        <v>0</v>
      </c>
      <c r="Q1442" s="47">
        <f t="shared" si="1776"/>
        <v>0</v>
      </c>
    </row>
    <row r="1443" spans="4:17" s="16" customFormat="1" ht="13.2" x14ac:dyDescent="0.25">
      <c r="D1443" s="235">
        <v>1</v>
      </c>
      <c r="E1443" s="237">
        <v>128</v>
      </c>
      <c r="F1443" s="238">
        <v>5</v>
      </c>
      <c r="G1443" s="239">
        <v>0.77</v>
      </c>
      <c r="H1443" s="239">
        <f t="shared" ref="H1443:H1448" si="1777">E1443*G1443</f>
        <v>98.56</v>
      </c>
      <c r="I1443" s="131">
        <f t="shared" ref="I1443:I1448" si="1778">IF($F1443=4.2,H1443*$B$23,0)</f>
        <v>0</v>
      </c>
      <c r="J1443" s="31">
        <f t="shared" ref="J1443:J1448" si="1779">IF($F1443=5,$H1443*$B$24,0)</f>
        <v>15.178240000000001</v>
      </c>
      <c r="K1443" s="31">
        <f t="shared" ref="K1443:K1448" si="1780">IF($F1443=6.3,$H1443*$B$25,0)</f>
        <v>0</v>
      </c>
      <c r="L1443" s="31">
        <f t="shared" ref="L1443:L1448" si="1781">IF($F1443=8,$H1443*$B$26,0)</f>
        <v>0</v>
      </c>
      <c r="M1443" s="31">
        <f t="shared" ref="M1443:M1448" si="1782">IF($F1443=10,$H1443*$B$27,0)</f>
        <v>0</v>
      </c>
      <c r="N1443" s="31">
        <f t="shared" ref="N1443:N1448" si="1783">IF($F1443=12.5,$H1443*$B$28,0)</f>
        <v>0</v>
      </c>
      <c r="O1443" s="31">
        <f t="shared" ref="O1443:O1448" si="1784">IF($F1443=16,$H1443*$B$29,0)</f>
        <v>0</v>
      </c>
      <c r="P1443" s="31">
        <f t="shared" ref="P1443:P1448" si="1785">IF($F1443=20,$H1443*$B$30,0)</f>
        <v>0</v>
      </c>
      <c r="Q1443" s="49">
        <f t="shared" ref="Q1443:Q1448" si="1786">IF($F1443=25,$H1443*$B$31,0)</f>
        <v>0</v>
      </c>
    </row>
    <row r="1444" spans="4:17" s="16" customFormat="1" ht="13.2" x14ac:dyDescent="0.25">
      <c r="D1444" s="235">
        <v>2</v>
      </c>
      <c r="E1444" s="240">
        <v>4</v>
      </c>
      <c r="F1444" s="241">
        <v>5</v>
      </c>
      <c r="G1444" s="242">
        <v>2.15</v>
      </c>
      <c r="H1444" s="239">
        <f t="shared" si="1777"/>
        <v>8.6</v>
      </c>
      <c r="I1444" s="131">
        <f t="shared" si="1778"/>
        <v>0</v>
      </c>
      <c r="J1444" s="31">
        <f t="shared" si="1779"/>
        <v>1.3244</v>
      </c>
      <c r="K1444" s="31">
        <f t="shared" si="1780"/>
        <v>0</v>
      </c>
      <c r="L1444" s="31">
        <f t="shared" si="1781"/>
        <v>0</v>
      </c>
      <c r="M1444" s="31">
        <f t="shared" si="1782"/>
        <v>0</v>
      </c>
      <c r="N1444" s="31">
        <f t="shared" si="1783"/>
        <v>0</v>
      </c>
      <c r="O1444" s="31">
        <f t="shared" si="1784"/>
        <v>0</v>
      </c>
      <c r="P1444" s="31">
        <f t="shared" si="1785"/>
        <v>0</v>
      </c>
      <c r="Q1444" s="49">
        <f t="shared" si="1786"/>
        <v>0</v>
      </c>
    </row>
    <row r="1445" spans="4:17" s="16" customFormat="1" ht="13.2" x14ac:dyDescent="0.25">
      <c r="D1445" s="235">
        <v>24</v>
      </c>
      <c r="E1445" s="240">
        <v>2</v>
      </c>
      <c r="F1445" s="241">
        <v>8</v>
      </c>
      <c r="G1445" s="242">
        <v>11.3</v>
      </c>
      <c r="H1445" s="239">
        <f t="shared" si="1777"/>
        <v>22.6</v>
      </c>
      <c r="I1445" s="131">
        <f t="shared" si="1778"/>
        <v>0</v>
      </c>
      <c r="J1445" s="31">
        <f t="shared" si="1779"/>
        <v>0</v>
      </c>
      <c r="K1445" s="31">
        <f t="shared" si="1780"/>
        <v>0</v>
      </c>
      <c r="L1445" s="31">
        <f t="shared" si="1781"/>
        <v>8.9270000000000014</v>
      </c>
      <c r="M1445" s="31">
        <f t="shared" si="1782"/>
        <v>0</v>
      </c>
      <c r="N1445" s="31">
        <f t="shared" si="1783"/>
        <v>0</v>
      </c>
      <c r="O1445" s="31">
        <f t="shared" si="1784"/>
        <v>0</v>
      </c>
      <c r="P1445" s="31">
        <f t="shared" si="1785"/>
        <v>0</v>
      </c>
      <c r="Q1445" s="49">
        <f t="shared" si="1786"/>
        <v>0</v>
      </c>
    </row>
    <row r="1446" spans="4:17" s="16" customFormat="1" ht="13.2" x14ac:dyDescent="0.25">
      <c r="D1446" s="235">
        <v>25</v>
      </c>
      <c r="E1446" s="240">
        <v>2</v>
      </c>
      <c r="F1446" s="241">
        <v>8</v>
      </c>
      <c r="G1446" s="242">
        <v>9.02</v>
      </c>
      <c r="H1446" s="239">
        <f t="shared" si="1777"/>
        <v>18.04</v>
      </c>
      <c r="I1446" s="131">
        <f t="shared" si="1778"/>
        <v>0</v>
      </c>
      <c r="J1446" s="31">
        <f t="shared" si="1779"/>
        <v>0</v>
      </c>
      <c r="K1446" s="31">
        <f t="shared" si="1780"/>
        <v>0</v>
      </c>
      <c r="L1446" s="31">
        <f t="shared" si="1781"/>
        <v>7.1257999999999999</v>
      </c>
      <c r="M1446" s="31">
        <f t="shared" si="1782"/>
        <v>0</v>
      </c>
      <c r="N1446" s="31">
        <f t="shared" si="1783"/>
        <v>0</v>
      </c>
      <c r="O1446" s="31">
        <f t="shared" si="1784"/>
        <v>0</v>
      </c>
      <c r="P1446" s="31">
        <f t="shared" si="1785"/>
        <v>0</v>
      </c>
      <c r="Q1446" s="49">
        <f t="shared" si="1786"/>
        <v>0</v>
      </c>
    </row>
    <row r="1447" spans="4:17" s="16" customFormat="1" ht="13.2" x14ac:dyDescent="0.25">
      <c r="D1447" s="235">
        <v>26</v>
      </c>
      <c r="E1447" s="240">
        <v>2</v>
      </c>
      <c r="F1447" s="241">
        <v>8</v>
      </c>
      <c r="G1447" s="242">
        <v>11.98</v>
      </c>
      <c r="H1447" s="239">
        <f t="shared" si="1777"/>
        <v>23.96</v>
      </c>
      <c r="I1447" s="131">
        <f t="shared" si="1778"/>
        <v>0</v>
      </c>
      <c r="J1447" s="31">
        <f t="shared" si="1779"/>
        <v>0</v>
      </c>
      <c r="K1447" s="31">
        <f t="shared" si="1780"/>
        <v>0</v>
      </c>
      <c r="L1447" s="31">
        <f t="shared" si="1781"/>
        <v>9.4641999999999999</v>
      </c>
      <c r="M1447" s="31">
        <f t="shared" si="1782"/>
        <v>0</v>
      </c>
      <c r="N1447" s="31">
        <f t="shared" si="1783"/>
        <v>0</v>
      </c>
      <c r="O1447" s="31">
        <f t="shared" si="1784"/>
        <v>0</v>
      </c>
      <c r="P1447" s="31">
        <f t="shared" si="1785"/>
        <v>0</v>
      </c>
      <c r="Q1447" s="49">
        <f t="shared" si="1786"/>
        <v>0</v>
      </c>
    </row>
    <row r="1448" spans="4:17" s="16" customFormat="1" ht="13.2" x14ac:dyDescent="0.25">
      <c r="D1448" s="235">
        <v>27</v>
      </c>
      <c r="E1448" s="240">
        <v>2</v>
      </c>
      <c r="F1448" s="241">
        <v>8</v>
      </c>
      <c r="G1448" s="242">
        <v>8.7200000000000006</v>
      </c>
      <c r="H1448" s="239">
        <f t="shared" si="1777"/>
        <v>17.440000000000001</v>
      </c>
      <c r="I1448" s="131">
        <f t="shared" si="1778"/>
        <v>0</v>
      </c>
      <c r="J1448" s="31">
        <f t="shared" si="1779"/>
        <v>0</v>
      </c>
      <c r="K1448" s="31">
        <f t="shared" si="1780"/>
        <v>0</v>
      </c>
      <c r="L1448" s="31">
        <f t="shared" si="1781"/>
        <v>6.8888000000000007</v>
      </c>
      <c r="M1448" s="31">
        <f t="shared" si="1782"/>
        <v>0</v>
      </c>
      <c r="N1448" s="31">
        <f t="shared" si="1783"/>
        <v>0</v>
      </c>
      <c r="O1448" s="31">
        <f t="shared" si="1784"/>
        <v>0</v>
      </c>
      <c r="P1448" s="31">
        <f t="shared" si="1785"/>
        <v>0</v>
      </c>
      <c r="Q1448" s="49">
        <f t="shared" si="1786"/>
        <v>0</v>
      </c>
    </row>
    <row r="1449" spans="4:17" s="16" customFormat="1" ht="13.8" thickBot="1" x14ac:dyDescent="0.3">
      <c r="D1449" s="307"/>
      <c r="E1449" s="26"/>
      <c r="F1449" s="206"/>
      <c r="G1449" s="207"/>
      <c r="H1449" s="207"/>
      <c r="I1449" s="51"/>
      <c r="J1449" s="308"/>
      <c r="K1449" s="308"/>
      <c r="L1449" s="308"/>
      <c r="M1449" s="308"/>
      <c r="N1449" s="308"/>
      <c r="O1449" s="308"/>
      <c r="P1449" s="308"/>
      <c r="Q1449" s="309"/>
    </row>
    <row r="1450" spans="4:17" s="16" customFormat="1" ht="13.2" x14ac:dyDescent="0.25">
      <c r="D1450" s="796" t="s">
        <v>2205</v>
      </c>
      <c r="E1450" s="797"/>
      <c r="F1450" s="797"/>
      <c r="G1450" s="797"/>
      <c r="H1450" s="797"/>
      <c r="I1450" s="47">
        <f t="shared" ref="I1450:Q1450" si="1787">SUM(I1451:I1452)</f>
        <v>0</v>
      </c>
      <c r="J1450" s="47">
        <f t="shared" si="1787"/>
        <v>3.3202400000000005</v>
      </c>
      <c r="K1450" s="47">
        <f t="shared" si="1787"/>
        <v>0</v>
      </c>
      <c r="L1450" s="47">
        <f t="shared" si="1787"/>
        <v>7.1732000000000005</v>
      </c>
      <c r="M1450" s="47">
        <f t="shared" si="1787"/>
        <v>0</v>
      </c>
      <c r="N1450" s="47">
        <f t="shared" si="1787"/>
        <v>0</v>
      </c>
      <c r="O1450" s="47">
        <f t="shared" si="1787"/>
        <v>0</v>
      </c>
      <c r="P1450" s="47">
        <f t="shared" si="1787"/>
        <v>0</v>
      </c>
      <c r="Q1450" s="47">
        <f t="shared" si="1787"/>
        <v>0</v>
      </c>
    </row>
    <row r="1451" spans="4:17" s="16" customFormat="1" ht="13.2" x14ac:dyDescent="0.25">
      <c r="D1451" s="235">
        <v>1</v>
      </c>
      <c r="E1451" s="237">
        <v>28</v>
      </c>
      <c r="F1451" s="238">
        <v>5</v>
      </c>
      <c r="G1451" s="239">
        <v>0.77</v>
      </c>
      <c r="H1451" s="239">
        <f t="shared" ref="H1451:H1452" si="1788">E1451*G1451</f>
        <v>21.560000000000002</v>
      </c>
      <c r="I1451" s="131">
        <f t="shared" ref="I1451:I1452" si="1789">IF($F1451=4.2,H1451*$B$23,0)</f>
        <v>0</v>
      </c>
      <c r="J1451" s="31">
        <f t="shared" ref="J1451:J1452" si="1790">IF($F1451=5,$H1451*$B$24,0)</f>
        <v>3.3202400000000005</v>
      </c>
      <c r="K1451" s="31">
        <f t="shared" ref="K1451:K1452" si="1791">IF($F1451=6.3,$H1451*$B$25,0)</f>
        <v>0</v>
      </c>
      <c r="L1451" s="31">
        <f t="shared" ref="L1451:L1452" si="1792">IF($F1451=8,$H1451*$B$26,0)</f>
        <v>0</v>
      </c>
      <c r="M1451" s="31">
        <f t="shared" ref="M1451:M1452" si="1793">IF($F1451=10,$H1451*$B$27,0)</f>
        <v>0</v>
      </c>
      <c r="N1451" s="31">
        <f t="shared" ref="N1451:N1452" si="1794">IF($F1451=12.5,$H1451*$B$28,0)</f>
        <v>0</v>
      </c>
      <c r="O1451" s="31">
        <f t="shared" ref="O1451:O1452" si="1795">IF($F1451=16,$H1451*$B$29,0)</f>
        <v>0</v>
      </c>
      <c r="P1451" s="31">
        <f t="shared" ref="P1451:P1452" si="1796">IF($F1451=20,$H1451*$B$30,0)</f>
        <v>0</v>
      </c>
      <c r="Q1451" s="49">
        <f t="shared" ref="Q1451:Q1452" si="1797">IF($F1451=25,$H1451*$B$31,0)</f>
        <v>0</v>
      </c>
    </row>
    <row r="1452" spans="4:17" s="16" customFormat="1" ht="13.2" x14ac:dyDescent="0.25">
      <c r="D1452" s="235">
        <v>28</v>
      </c>
      <c r="E1452" s="240">
        <v>4</v>
      </c>
      <c r="F1452" s="241">
        <v>8</v>
      </c>
      <c r="G1452" s="242">
        <v>4.54</v>
      </c>
      <c r="H1452" s="239">
        <f t="shared" si="1788"/>
        <v>18.16</v>
      </c>
      <c r="I1452" s="131">
        <f t="shared" si="1789"/>
        <v>0</v>
      </c>
      <c r="J1452" s="31">
        <f t="shared" si="1790"/>
        <v>0</v>
      </c>
      <c r="K1452" s="31">
        <f t="shared" si="1791"/>
        <v>0</v>
      </c>
      <c r="L1452" s="31">
        <f t="shared" si="1792"/>
        <v>7.1732000000000005</v>
      </c>
      <c r="M1452" s="31">
        <f t="shared" si="1793"/>
        <v>0</v>
      </c>
      <c r="N1452" s="31">
        <f t="shared" si="1794"/>
        <v>0</v>
      </c>
      <c r="O1452" s="31">
        <f t="shared" si="1795"/>
        <v>0</v>
      </c>
      <c r="P1452" s="31">
        <f t="shared" si="1796"/>
        <v>0</v>
      </c>
      <c r="Q1452" s="49">
        <f t="shared" si="1797"/>
        <v>0</v>
      </c>
    </row>
    <row r="1453" spans="4:17" s="16" customFormat="1" ht="13.8" thickBot="1" x14ac:dyDescent="0.3">
      <c r="D1453" s="307"/>
      <c r="E1453" s="26"/>
      <c r="F1453" s="206"/>
      <c r="G1453" s="207"/>
      <c r="H1453" s="207"/>
      <c r="I1453" s="51"/>
      <c r="J1453" s="308"/>
      <c r="K1453" s="308"/>
      <c r="L1453" s="308"/>
      <c r="M1453" s="308"/>
      <c r="N1453" s="308"/>
      <c r="O1453" s="308"/>
      <c r="P1453" s="308"/>
      <c r="Q1453" s="309"/>
    </row>
    <row r="1454" spans="4:17" s="16" customFormat="1" ht="13.2" x14ac:dyDescent="0.25">
      <c r="D1454" s="796" t="s">
        <v>2206</v>
      </c>
      <c r="E1454" s="797"/>
      <c r="F1454" s="797"/>
      <c r="G1454" s="797"/>
      <c r="H1454" s="797"/>
      <c r="I1454" s="47">
        <f t="shared" ref="I1454:Q1454" si="1798">SUM(I1455:I1456)</f>
        <v>0</v>
      </c>
      <c r="J1454" s="47">
        <f t="shared" si="1798"/>
        <v>2.7273399999999999</v>
      </c>
      <c r="K1454" s="47">
        <f t="shared" si="1798"/>
        <v>0</v>
      </c>
      <c r="L1454" s="47">
        <f t="shared" si="1798"/>
        <v>6.3042000000000007</v>
      </c>
      <c r="M1454" s="47">
        <f t="shared" si="1798"/>
        <v>0</v>
      </c>
      <c r="N1454" s="47">
        <f t="shared" si="1798"/>
        <v>0</v>
      </c>
      <c r="O1454" s="47">
        <f t="shared" si="1798"/>
        <v>0</v>
      </c>
      <c r="P1454" s="47">
        <f t="shared" si="1798"/>
        <v>0</v>
      </c>
      <c r="Q1454" s="47">
        <f t="shared" si="1798"/>
        <v>0</v>
      </c>
    </row>
    <row r="1455" spans="4:17" s="16" customFormat="1" ht="13.2" x14ac:dyDescent="0.25">
      <c r="D1455" s="235">
        <v>1</v>
      </c>
      <c r="E1455" s="237">
        <v>23</v>
      </c>
      <c r="F1455" s="238">
        <v>5</v>
      </c>
      <c r="G1455" s="239">
        <v>0.77</v>
      </c>
      <c r="H1455" s="239">
        <f t="shared" ref="H1455:H1456" si="1799">E1455*G1455</f>
        <v>17.71</v>
      </c>
      <c r="I1455" s="131">
        <f t="shared" ref="I1455:I1456" si="1800">IF($F1455=4.2,H1455*$B$23,0)</f>
        <v>0</v>
      </c>
      <c r="J1455" s="31">
        <f t="shared" ref="J1455:J1456" si="1801">IF($F1455=5,$H1455*$B$24,0)</f>
        <v>2.7273399999999999</v>
      </c>
      <c r="K1455" s="31">
        <f t="shared" ref="K1455:K1456" si="1802">IF($F1455=6.3,$H1455*$B$25,0)</f>
        <v>0</v>
      </c>
      <c r="L1455" s="31">
        <f t="shared" ref="L1455:L1456" si="1803">IF($F1455=8,$H1455*$B$26,0)</f>
        <v>0</v>
      </c>
      <c r="M1455" s="31">
        <f t="shared" ref="M1455:M1456" si="1804">IF($F1455=10,$H1455*$B$27,0)</f>
        <v>0</v>
      </c>
      <c r="N1455" s="31">
        <f t="shared" ref="N1455:N1456" si="1805">IF($F1455=12.5,$H1455*$B$28,0)</f>
        <v>0</v>
      </c>
      <c r="O1455" s="31">
        <f t="shared" ref="O1455:O1456" si="1806">IF($F1455=16,$H1455*$B$29,0)</f>
        <v>0</v>
      </c>
      <c r="P1455" s="31">
        <f t="shared" ref="P1455:P1456" si="1807">IF($F1455=20,$H1455*$B$30,0)</f>
        <v>0</v>
      </c>
      <c r="Q1455" s="49">
        <f t="shared" ref="Q1455:Q1456" si="1808">IF($F1455=25,$H1455*$B$31,0)</f>
        <v>0</v>
      </c>
    </row>
    <row r="1456" spans="4:17" s="16" customFormat="1" ht="13.2" x14ac:dyDescent="0.25">
      <c r="D1456" s="235">
        <v>29</v>
      </c>
      <c r="E1456" s="240">
        <v>4</v>
      </c>
      <c r="F1456" s="241">
        <v>8</v>
      </c>
      <c r="G1456" s="242">
        <v>3.99</v>
      </c>
      <c r="H1456" s="239">
        <f t="shared" si="1799"/>
        <v>15.96</v>
      </c>
      <c r="I1456" s="131">
        <f t="shared" si="1800"/>
        <v>0</v>
      </c>
      <c r="J1456" s="31">
        <f t="shared" si="1801"/>
        <v>0</v>
      </c>
      <c r="K1456" s="31">
        <f t="shared" si="1802"/>
        <v>0</v>
      </c>
      <c r="L1456" s="31">
        <f t="shared" si="1803"/>
        <v>6.3042000000000007</v>
      </c>
      <c r="M1456" s="31">
        <f t="shared" si="1804"/>
        <v>0</v>
      </c>
      <c r="N1456" s="31">
        <f t="shared" si="1805"/>
        <v>0</v>
      </c>
      <c r="O1456" s="31">
        <f t="shared" si="1806"/>
        <v>0</v>
      </c>
      <c r="P1456" s="31">
        <f t="shared" si="1807"/>
        <v>0</v>
      </c>
      <c r="Q1456" s="49">
        <f t="shared" si="1808"/>
        <v>0</v>
      </c>
    </row>
    <row r="1457" spans="4:17" s="16" customFormat="1" ht="13.8" thickBot="1" x14ac:dyDescent="0.3">
      <c r="D1457" s="307"/>
      <c r="E1457" s="26"/>
      <c r="F1457" s="206"/>
      <c r="G1457" s="207"/>
      <c r="H1457" s="207"/>
      <c r="I1457" s="51"/>
      <c r="J1457" s="308"/>
      <c r="K1457" s="308"/>
      <c r="L1457" s="308"/>
      <c r="M1457" s="308"/>
      <c r="N1457" s="308"/>
      <c r="O1457" s="308"/>
      <c r="P1457" s="308"/>
      <c r="Q1457" s="309"/>
    </row>
    <row r="1458" spans="4:17" s="16" customFormat="1" ht="13.2" x14ac:dyDescent="0.25">
      <c r="D1458" s="796" t="s">
        <v>2207</v>
      </c>
      <c r="E1458" s="797"/>
      <c r="F1458" s="797"/>
      <c r="G1458" s="797"/>
      <c r="H1458" s="797"/>
      <c r="I1458" s="47">
        <f t="shared" ref="I1458:Q1458" si="1809">SUM(I1459:I1461)</f>
        <v>0</v>
      </c>
      <c r="J1458" s="47">
        <f t="shared" si="1809"/>
        <v>2.01586</v>
      </c>
      <c r="K1458" s="47">
        <f t="shared" si="1809"/>
        <v>0</v>
      </c>
      <c r="L1458" s="47">
        <f t="shared" si="1809"/>
        <v>4.8348000000000004</v>
      </c>
      <c r="M1458" s="47">
        <f t="shared" si="1809"/>
        <v>0</v>
      </c>
      <c r="N1458" s="47">
        <f t="shared" si="1809"/>
        <v>0</v>
      </c>
      <c r="O1458" s="47">
        <f t="shared" si="1809"/>
        <v>0</v>
      </c>
      <c r="P1458" s="47">
        <f t="shared" si="1809"/>
        <v>0</v>
      </c>
      <c r="Q1458" s="47">
        <f t="shared" si="1809"/>
        <v>0</v>
      </c>
    </row>
    <row r="1459" spans="4:17" s="16" customFormat="1" ht="13.2" x14ac:dyDescent="0.25">
      <c r="D1459" s="235">
        <v>1</v>
      </c>
      <c r="E1459" s="237">
        <v>17</v>
      </c>
      <c r="F1459" s="238">
        <v>5</v>
      </c>
      <c r="G1459" s="239">
        <v>0.77</v>
      </c>
      <c r="H1459" s="239">
        <f t="shared" ref="H1459:H1461" si="1810">E1459*G1459</f>
        <v>13.09</v>
      </c>
      <c r="I1459" s="131">
        <f t="shared" ref="I1459:I1461" si="1811">IF($F1459=4.2,H1459*$B$23,0)</f>
        <v>0</v>
      </c>
      <c r="J1459" s="31">
        <f t="shared" ref="J1459:J1461" si="1812">IF($F1459=5,$H1459*$B$24,0)</f>
        <v>2.01586</v>
      </c>
      <c r="K1459" s="31">
        <f t="shared" ref="K1459:K1461" si="1813">IF($F1459=6.3,$H1459*$B$25,0)</f>
        <v>0</v>
      </c>
      <c r="L1459" s="31">
        <f t="shared" ref="L1459:L1461" si="1814">IF($F1459=8,$H1459*$B$26,0)</f>
        <v>0</v>
      </c>
      <c r="M1459" s="31">
        <f t="shared" ref="M1459:M1461" si="1815">IF($F1459=10,$H1459*$B$27,0)</f>
        <v>0</v>
      </c>
      <c r="N1459" s="31">
        <f t="shared" ref="N1459:N1461" si="1816">IF($F1459=12.5,$H1459*$B$28,0)</f>
        <v>0</v>
      </c>
      <c r="O1459" s="31">
        <f t="shared" ref="O1459:O1461" si="1817">IF($F1459=16,$H1459*$B$29,0)</f>
        <v>0</v>
      </c>
      <c r="P1459" s="31">
        <f t="shared" ref="P1459:P1461" si="1818">IF($F1459=20,$H1459*$B$30,0)</f>
        <v>0</v>
      </c>
      <c r="Q1459" s="49">
        <f t="shared" ref="Q1459:Q1461" si="1819">IF($F1459=25,$H1459*$B$31,0)</f>
        <v>0</v>
      </c>
    </row>
    <row r="1460" spans="4:17" s="16" customFormat="1" ht="13.2" x14ac:dyDescent="0.25">
      <c r="D1460" s="235">
        <v>30</v>
      </c>
      <c r="E1460" s="240">
        <v>2</v>
      </c>
      <c r="F1460" s="241">
        <v>8</v>
      </c>
      <c r="G1460" s="242">
        <v>3.02</v>
      </c>
      <c r="H1460" s="239">
        <f t="shared" si="1810"/>
        <v>6.04</v>
      </c>
      <c r="I1460" s="131">
        <f t="shared" si="1811"/>
        <v>0</v>
      </c>
      <c r="J1460" s="31">
        <f t="shared" si="1812"/>
        <v>0</v>
      </c>
      <c r="K1460" s="31">
        <f t="shared" si="1813"/>
        <v>0</v>
      </c>
      <c r="L1460" s="31">
        <f t="shared" si="1814"/>
        <v>2.3858000000000001</v>
      </c>
      <c r="M1460" s="31">
        <f t="shared" si="1815"/>
        <v>0</v>
      </c>
      <c r="N1460" s="31">
        <f t="shared" si="1816"/>
        <v>0</v>
      </c>
      <c r="O1460" s="31">
        <f t="shared" si="1817"/>
        <v>0</v>
      </c>
      <c r="P1460" s="31">
        <f t="shared" si="1818"/>
        <v>0</v>
      </c>
      <c r="Q1460" s="49">
        <f t="shared" si="1819"/>
        <v>0</v>
      </c>
    </row>
    <row r="1461" spans="4:17" s="16" customFormat="1" ht="13.2" x14ac:dyDescent="0.25">
      <c r="D1461" s="235">
        <v>31</v>
      </c>
      <c r="E1461" s="240">
        <v>2</v>
      </c>
      <c r="F1461" s="241">
        <v>8</v>
      </c>
      <c r="G1461" s="242">
        <v>3.1</v>
      </c>
      <c r="H1461" s="239">
        <f t="shared" si="1810"/>
        <v>6.2</v>
      </c>
      <c r="I1461" s="131">
        <f t="shared" si="1811"/>
        <v>0</v>
      </c>
      <c r="J1461" s="31">
        <f t="shared" si="1812"/>
        <v>0</v>
      </c>
      <c r="K1461" s="31">
        <f t="shared" si="1813"/>
        <v>0</v>
      </c>
      <c r="L1461" s="31">
        <f t="shared" si="1814"/>
        <v>2.4490000000000003</v>
      </c>
      <c r="M1461" s="31">
        <f t="shared" si="1815"/>
        <v>0</v>
      </c>
      <c r="N1461" s="31">
        <f t="shared" si="1816"/>
        <v>0</v>
      </c>
      <c r="O1461" s="31">
        <f t="shared" si="1817"/>
        <v>0</v>
      </c>
      <c r="P1461" s="31">
        <f t="shared" si="1818"/>
        <v>0</v>
      </c>
      <c r="Q1461" s="49">
        <f t="shared" si="1819"/>
        <v>0</v>
      </c>
    </row>
    <row r="1462" spans="4:17" s="16" customFormat="1" ht="13.8" thickBot="1" x14ac:dyDescent="0.3">
      <c r="D1462" s="307"/>
      <c r="E1462" s="26"/>
      <c r="F1462" s="206"/>
      <c r="G1462" s="207"/>
      <c r="H1462" s="207"/>
      <c r="I1462" s="51"/>
      <c r="J1462" s="308"/>
      <c r="K1462" s="308"/>
      <c r="L1462" s="308"/>
      <c r="M1462" s="308"/>
      <c r="N1462" s="308"/>
      <c r="O1462" s="308"/>
      <c r="P1462" s="308"/>
      <c r="Q1462" s="309"/>
    </row>
    <row r="1463" spans="4:17" s="16" customFormat="1" ht="13.2" x14ac:dyDescent="0.25">
      <c r="D1463" s="796" t="s">
        <v>2208</v>
      </c>
      <c r="E1463" s="797"/>
      <c r="F1463" s="797"/>
      <c r="G1463" s="797"/>
      <c r="H1463" s="797"/>
      <c r="I1463" s="47">
        <f t="shared" ref="I1463:Q1463" si="1820">SUM(I1464:I1466)</f>
        <v>0</v>
      </c>
      <c r="J1463" s="47">
        <f t="shared" si="1820"/>
        <v>1.1858</v>
      </c>
      <c r="K1463" s="47">
        <f t="shared" si="1820"/>
        <v>0</v>
      </c>
      <c r="L1463" s="47">
        <f t="shared" si="1820"/>
        <v>3.1758000000000002</v>
      </c>
      <c r="M1463" s="47">
        <f t="shared" si="1820"/>
        <v>0</v>
      </c>
      <c r="N1463" s="47">
        <f t="shared" si="1820"/>
        <v>0</v>
      </c>
      <c r="O1463" s="47">
        <f t="shared" si="1820"/>
        <v>0</v>
      </c>
      <c r="P1463" s="47">
        <f t="shared" si="1820"/>
        <v>0</v>
      </c>
      <c r="Q1463" s="47">
        <f t="shared" si="1820"/>
        <v>0</v>
      </c>
    </row>
    <row r="1464" spans="4:17" s="16" customFormat="1" ht="13.2" x14ac:dyDescent="0.25">
      <c r="D1464" s="235">
        <v>1</v>
      </c>
      <c r="E1464" s="237">
        <v>10</v>
      </c>
      <c r="F1464" s="238">
        <v>5</v>
      </c>
      <c r="G1464" s="239">
        <v>0.77</v>
      </c>
      <c r="H1464" s="239">
        <f t="shared" ref="H1464:H1466" si="1821">E1464*G1464</f>
        <v>7.7</v>
      </c>
      <c r="I1464" s="131">
        <f t="shared" ref="I1464:I1466" si="1822">IF($F1464=4.2,H1464*$B$23,0)</f>
        <v>0</v>
      </c>
      <c r="J1464" s="31">
        <f t="shared" ref="J1464:J1466" si="1823">IF($F1464=5,$H1464*$B$24,0)</f>
        <v>1.1858</v>
      </c>
      <c r="K1464" s="31">
        <f t="shared" ref="K1464:K1466" si="1824">IF($F1464=6.3,$H1464*$B$25,0)</f>
        <v>0</v>
      </c>
      <c r="L1464" s="31">
        <f t="shared" ref="L1464:L1466" si="1825">IF($F1464=8,$H1464*$B$26,0)</f>
        <v>0</v>
      </c>
      <c r="M1464" s="31">
        <f t="shared" ref="M1464:M1466" si="1826">IF($F1464=10,$H1464*$B$27,0)</f>
        <v>0</v>
      </c>
      <c r="N1464" s="31">
        <f t="shared" ref="N1464:N1466" si="1827">IF($F1464=12.5,$H1464*$B$28,0)</f>
        <v>0</v>
      </c>
      <c r="O1464" s="31">
        <f t="shared" ref="O1464:O1466" si="1828">IF($F1464=16,$H1464*$B$29,0)</f>
        <v>0</v>
      </c>
      <c r="P1464" s="31">
        <f t="shared" ref="P1464:P1466" si="1829">IF($F1464=20,$H1464*$B$30,0)</f>
        <v>0</v>
      </c>
      <c r="Q1464" s="49">
        <f t="shared" ref="Q1464:Q1466" si="1830">IF($F1464=25,$H1464*$B$31,0)</f>
        <v>0</v>
      </c>
    </row>
    <row r="1465" spans="4:17" s="16" customFormat="1" ht="13.2" x14ac:dyDescent="0.25">
      <c r="D1465" s="235">
        <v>32</v>
      </c>
      <c r="E1465" s="240">
        <v>2</v>
      </c>
      <c r="F1465" s="241">
        <v>8</v>
      </c>
      <c r="G1465" s="242">
        <v>1.85</v>
      </c>
      <c r="H1465" s="239">
        <f t="shared" si="1821"/>
        <v>3.7</v>
      </c>
      <c r="I1465" s="131">
        <f t="shared" si="1822"/>
        <v>0</v>
      </c>
      <c r="J1465" s="31">
        <f t="shared" si="1823"/>
        <v>0</v>
      </c>
      <c r="K1465" s="31">
        <f t="shared" si="1824"/>
        <v>0</v>
      </c>
      <c r="L1465" s="31">
        <f t="shared" si="1825"/>
        <v>1.4615000000000002</v>
      </c>
      <c r="M1465" s="31">
        <f t="shared" si="1826"/>
        <v>0</v>
      </c>
      <c r="N1465" s="31">
        <f t="shared" si="1827"/>
        <v>0</v>
      </c>
      <c r="O1465" s="31">
        <f t="shared" si="1828"/>
        <v>0</v>
      </c>
      <c r="P1465" s="31">
        <f t="shared" si="1829"/>
        <v>0</v>
      </c>
      <c r="Q1465" s="49">
        <f t="shared" si="1830"/>
        <v>0</v>
      </c>
    </row>
    <row r="1466" spans="4:17" s="16" customFormat="1" ht="13.2" x14ac:dyDescent="0.25">
      <c r="D1466" s="235">
        <v>33</v>
      </c>
      <c r="E1466" s="240">
        <v>2</v>
      </c>
      <c r="F1466" s="241">
        <v>8</v>
      </c>
      <c r="G1466" s="242">
        <v>2.17</v>
      </c>
      <c r="H1466" s="239">
        <f t="shared" si="1821"/>
        <v>4.34</v>
      </c>
      <c r="I1466" s="131">
        <f t="shared" si="1822"/>
        <v>0</v>
      </c>
      <c r="J1466" s="31">
        <f t="shared" si="1823"/>
        <v>0</v>
      </c>
      <c r="K1466" s="31">
        <f t="shared" si="1824"/>
        <v>0</v>
      </c>
      <c r="L1466" s="31">
        <f t="shared" si="1825"/>
        <v>1.7142999999999999</v>
      </c>
      <c r="M1466" s="31">
        <f t="shared" si="1826"/>
        <v>0</v>
      </c>
      <c r="N1466" s="31">
        <f t="shared" si="1827"/>
        <v>0</v>
      </c>
      <c r="O1466" s="31">
        <f t="shared" si="1828"/>
        <v>0</v>
      </c>
      <c r="P1466" s="31">
        <f t="shared" si="1829"/>
        <v>0</v>
      </c>
      <c r="Q1466" s="49">
        <f t="shared" si="1830"/>
        <v>0</v>
      </c>
    </row>
    <row r="1467" spans="4:17" s="16" customFormat="1" ht="13.8" thickBot="1" x14ac:dyDescent="0.3">
      <c r="D1467" s="307"/>
      <c r="E1467" s="26"/>
      <c r="F1467" s="206"/>
      <c r="G1467" s="207"/>
      <c r="H1467" s="207"/>
      <c r="I1467" s="51"/>
      <c r="J1467" s="308"/>
      <c r="K1467" s="308"/>
      <c r="L1467" s="308"/>
      <c r="M1467" s="308"/>
      <c r="N1467" s="308"/>
      <c r="O1467" s="308"/>
      <c r="P1467" s="308"/>
      <c r="Q1467" s="309"/>
    </row>
    <row r="1468" spans="4:17" s="16" customFormat="1" ht="13.2" x14ac:dyDescent="0.25">
      <c r="D1468" s="796" t="s">
        <v>2209</v>
      </c>
      <c r="E1468" s="797"/>
      <c r="F1468" s="797"/>
      <c r="G1468" s="797"/>
      <c r="H1468" s="797"/>
      <c r="I1468" s="47">
        <f t="shared" ref="I1468:Q1468" si="1831">SUM(I1469:I1471)</f>
        <v>0</v>
      </c>
      <c r="J1468" s="47">
        <f t="shared" si="1831"/>
        <v>1.42296</v>
      </c>
      <c r="K1468" s="47">
        <f t="shared" si="1831"/>
        <v>0</v>
      </c>
      <c r="L1468" s="47">
        <f t="shared" si="1831"/>
        <v>4.266</v>
      </c>
      <c r="M1468" s="47">
        <f t="shared" si="1831"/>
        <v>0</v>
      </c>
      <c r="N1468" s="47">
        <f t="shared" si="1831"/>
        <v>0</v>
      </c>
      <c r="O1468" s="47">
        <f t="shared" si="1831"/>
        <v>0</v>
      </c>
      <c r="P1468" s="47">
        <f t="shared" si="1831"/>
        <v>0</v>
      </c>
      <c r="Q1468" s="47">
        <f t="shared" si="1831"/>
        <v>0</v>
      </c>
    </row>
    <row r="1469" spans="4:17" s="16" customFormat="1" ht="13.2" x14ac:dyDescent="0.25">
      <c r="D1469" s="235">
        <v>1</v>
      </c>
      <c r="E1469" s="237">
        <f>2*6</f>
        <v>12</v>
      </c>
      <c r="F1469" s="238">
        <v>5</v>
      </c>
      <c r="G1469" s="239">
        <v>0.77</v>
      </c>
      <c r="H1469" s="239">
        <f t="shared" ref="H1469:H1471" si="1832">E1469*G1469</f>
        <v>9.24</v>
      </c>
      <c r="I1469" s="131">
        <f t="shared" ref="I1469:I1471" si="1833">IF($F1469=4.2,H1469*$B$23,0)</f>
        <v>0</v>
      </c>
      <c r="J1469" s="31">
        <f t="shared" ref="J1469:J1471" si="1834">IF($F1469=5,$H1469*$B$24,0)</f>
        <v>1.42296</v>
      </c>
      <c r="K1469" s="31">
        <f t="shared" ref="K1469:K1471" si="1835">IF($F1469=6.3,$H1469*$B$25,0)</f>
        <v>0</v>
      </c>
      <c r="L1469" s="31">
        <f t="shared" ref="L1469:L1471" si="1836">IF($F1469=8,$H1469*$B$26,0)</f>
        <v>0</v>
      </c>
      <c r="M1469" s="31">
        <f t="shared" ref="M1469:M1471" si="1837">IF($F1469=10,$H1469*$B$27,0)</f>
        <v>0</v>
      </c>
      <c r="N1469" s="31">
        <f t="shared" ref="N1469:N1471" si="1838">IF($F1469=12.5,$H1469*$B$28,0)</f>
        <v>0</v>
      </c>
      <c r="O1469" s="31">
        <f t="shared" ref="O1469:O1471" si="1839">IF($F1469=16,$H1469*$B$29,0)</f>
        <v>0</v>
      </c>
      <c r="P1469" s="31">
        <f t="shared" ref="P1469:P1471" si="1840">IF($F1469=20,$H1469*$B$30,0)</f>
        <v>0</v>
      </c>
      <c r="Q1469" s="49">
        <f t="shared" ref="Q1469:Q1471" si="1841">IF($F1469=25,$H1469*$B$31,0)</f>
        <v>0</v>
      </c>
    </row>
    <row r="1470" spans="4:17" s="16" customFormat="1" ht="13.2" x14ac:dyDescent="0.25">
      <c r="D1470" s="235">
        <v>34</v>
      </c>
      <c r="E1470" s="240">
        <f>2*2</f>
        <v>4</v>
      </c>
      <c r="F1470" s="241">
        <v>8</v>
      </c>
      <c r="G1470" s="242">
        <v>1.28</v>
      </c>
      <c r="H1470" s="239">
        <f t="shared" si="1832"/>
        <v>5.12</v>
      </c>
      <c r="I1470" s="131">
        <f t="shared" si="1833"/>
        <v>0</v>
      </c>
      <c r="J1470" s="31">
        <f t="shared" si="1834"/>
        <v>0</v>
      </c>
      <c r="K1470" s="31">
        <f t="shared" si="1835"/>
        <v>0</v>
      </c>
      <c r="L1470" s="31">
        <f t="shared" si="1836"/>
        <v>2.0224000000000002</v>
      </c>
      <c r="M1470" s="31">
        <f t="shared" si="1837"/>
        <v>0</v>
      </c>
      <c r="N1470" s="31">
        <f t="shared" si="1838"/>
        <v>0</v>
      </c>
      <c r="O1470" s="31">
        <f t="shared" si="1839"/>
        <v>0</v>
      </c>
      <c r="P1470" s="31">
        <f t="shared" si="1840"/>
        <v>0</v>
      </c>
      <c r="Q1470" s="49">
        <f t="shared" si="1841"/>
        <v>0</v>
      </c>
    </row>
    <row r="1471" spans="4:17" s="16" customFormat="1" ht="13.2" x14ac:dyDescent="0.25">
      <c r="D1471" s="235">
        <v>35</v>
      </c>
      <c r="E1471" s="240">
        <f>2*2</f>
        <v>4</v>
      </c>
      <c r="F1471" s="241">
        <v>8</v>
      </c>
      <c r="G1471" s="242">
        <v>1.42</v>
      </c>
      <c r="H1471" s="239">
        <f t="shared" si="1832"/>
        <v>5.68</v>
      </c>
      <c r="I1471" s="131">
        <f t="shared" si="1833"/>
        <v>0</v>
      </c>
      <c r="J1471" s="31">
        <f t="shared" si="1834"/>
        <v>0</v>
      </c>
      <c r="K1471" s="31">
        <f t="shared" si="1835"/>
        <v>0</v>
      </c>
      <c r="L1471" s="31">
        <f t="shared" si="1836"/>
        <v>2.2435999999999998</v>
      </c>
      <c r="M1471" s="31">
        <f t="shared" si="1837"/>
        <v>0</v>
      </c>
      <c r="N1471" s="31">
        <f t="shared" si="1838"/>
        <v>0</v>
      </c>
      <c r="O1471" s="31">
        <f t="shared" si="1839"/>
        <v>0</v>
      </c>
      <c r="P1471" s="31">
        <f t="shared" si="1840"/>
        <v>0</v>
      </c>
      <c r="Q1471" s="49">
        <f t="shared" si="1841"/>
        <v>0</v>
      </c>
    </row>
    <row r="1472" spans="4:17" s="16" customFormat="1" ht="13.8" thickBot="1" x14ac:dyDescent="0.3">
      <c r="D1472" s="307"/>
      <c r="E1472" s="26"/>
      <c r="F1472" s="206"/>
      <c r="G1472" s="207"/>
      <c r="H1472" s="207"/>
      <c r="I1472" s="51"/>
      <c r="J1472" s="308"/>
      <c r="K1472" s="308"/>
      <c r="L1472" s="308"/>
      <c r="M1472" s="308"/>
      <c r="N1472" s="308"/>
      <c r="O1472" s="308"/>
      <c r="P1472" s="308"/>
      <c r="Q1472" s="309"/>
    </row>
    <row r="1473" spans="4:17" s="16" customFormat="1" ht="13.2" x14ac:dyDescent="0.25">
      <c r="D1473" s="796" t="s">
        <v>2210</v>
      </c>
      <c r="E1473" s="797"/>
      <c r="F1473" s="797"/>
      <c r="G1473" s="797"/>
      <c r="H1473" s="797"/>
      <c r="I1473" s="47">
        <f>SUM(I1474:I1483)</f>
        <v>0</v>
      </c>
      <c r="J1473" s="47">
        <f t="shared" ref="J1473:Q1473" si="1842">SUM(J1474:J1483)</f>
        <v>14.348179999999999</v>
      </c>
      <c r="K1473" s="47">
        <f t="shared" si="1842"/>
        <v>0</v>
      </c>
      <c r="L1473" s="47">
        <f t="shared" si="1842"/>
        <v>30.304400000000001</v>
      </c>
      <c r="M1473" s="47">
        <f t="shared" si="1842"/>
        <v>0</v>
      </c>
      <c r="N1473" s="47">
        <f t="shared" si="1842"/>
        <v>0</v>
      </c>
      <c r="O1473" s="47">
        <f t="shared" si="1842"/>
        <v>0</v>
      </c>
      <c r="P1473" s="47">
        <f t="shared" si="1842"/>
        <v>0</v>
      </c>
      <c r="Q1473" s="47">
        <f t="shared" si="1842"/>
        <v>0</v>
      </c>
    </row>
    <row r="1474" spans="4:17" s="16" customFormat="1" ht="13.2" x14ac:dyDescent="0.25">
      <c r="D1474" s="235">
        <v>1</v>
      </c>
      <c r="E1474" s="237">
        <v>121</v>
      </c>
      <c r="F1474" s="238">
        <v>5</v>
      </c>
      <c r="G1474" s="239">
        <v>0.77</v>
      </c>
      <c r="H1474" s="239">
        <f t="shared" ref="H1474:H1483" si="1843">E1474*G1474</f>
        <v>93.17</v>
      </c>
      <c r="I1474" s="131">
        <f t="shared" ref="I1474:I1483" si="1844">IF($F1474=4.2,H1474*$B$23,0)</f>
        <v>0</v>
      </c>
      <c r="J1474" s="31">
        <f t="shared" ref="J1474:J1483" si="1845">IF($F1474=5,$H1474*$B$24,0)</f>
        <v>14.348179999999999</v>
      </c>
      <c r="K1474" s="31">
        <f t="shared" ref="K1474:K1483" si="1846">IF($F1474=6.3,$H1474*$B$25,0)</f>
        <v>0</v>
      </c>
      <c r="L1474" s="31">
        <f t="shared" ref="L1474:L1483" si="1847">IF($F1474=8,$H1474*$B$26,0)</f>
        <v>0</v>
      </c>
      <c r="M1474" s="31">
        <f t="shared" ref="M1474:M1483" si="1848">IF($F1474=10,$H1474*$B$27,0)</f>
        <v>0</v>
      </c>
      <c r="N1474" s="31">
        <f t="shared" ref="N1474:N1483" si="1849">IF($F1474=12.5,$H1474*$B$28,0)</f>
        <v>0</v>
      </c>
      <c r="O1474" s="31">
        <f t="shared" ref="O1474:O1483" si="1850">IF($F1474=16,$H1474*$B$29,0)</f>
        <v>0</v>
      </c>
      <c r="P1474" s="31">
        <f t="shared" ref="P1474:P1483" si="1851">IF($F1474=20,$H1474*$B$30,0)</f>
        <v>0</v>
      </c>
      <c r="Q1474" s="49">
        <f t="shared" ref="Q1474:Q1483" si="1852">IF($F1474=25,$H1474*$B$31,0)</f>
        <v>0</v>
      </c>
    </row>
    <row r="1475" spans="4:17" s="16" customFormat="1" ht="13.2" x14ac:dyDescent="0.25">
      <c r="D1475" s="235">
        <v>2</v>
      </c>
      <c r="E1475" s="240">
        <v>2</v>
      </c>
      <c r="F1475" s="241">
        <v>8</v>
      </c>
      <c r="G1475" s="242">
        <v>8.07</v>
      </c>
      <c r="H1475" s="239">
        <f t="shared" si="1843"/>
        <v>16.14</v>
      </c>
      <c r="I1475" s="131">
        <f t="shared" si="1844"/>
        <v>0</v>
      </c>
      <c r="J1475" s="31">
        <f t="shared" si="1845"/>
        <v>0</v>
      </c>
      <c r="K1475" s="31">
        <f t="shared" si="1846"/>
        <v>0</v>
      </c>
      <c r="L1475" s="31">
        <f t="shared" si="1847"/>
        <v>6.3753000000000002</v>
      </c>
      <c r="M1475" s="31">
        <f t="shared" si="1848"/>
        <v>0</v>
      </c>
      <c r="N1475" s="31">
        <f t="shared" si="1849"/>
        <v>0</v>
      </c>
      <c r="O1475" s="31">
        <f t="shared" si="1850"/>
        <v>0</v>
      </c>
      <c r="P1475" s="31">
        <f t="shared" si="1851"/>
        <v>0</v>
      </c>
      <c r="Q1475" s="49">
        <f t="shared" si="1852"/>
        <v>0</v>
      </c>
    </row>
    <row r="1476" spans="4:17" s="16" customFormat="1" ht="13.2" x14ac:dyDescent="0.25">
      <c r="D1476" s="235">
        <v>3</v>
      </c>
      <c r="E1476" s="240">
        <v>2</v>
      </c>
      <c r="F1476" s="241">
        <v>8</v>
      </c>
      <c r="G1476" s="242">
        <v>10.85</v>
      </c>
      <c r="H1476" s="239">
        <f t="shared" si="1843"/>
        <v>21.7</v>
      </c>
      <c r="I1476" s="131">
        <f t="shared" si="1844"/>
        <v>0</v>
      </c>
      <c r="J1476" s="31">
        <f t="shared" si="1845"/>
        <v>0</v>
      </c>
      <c r="K1476" s="31">
        <f t="shared" si="1846"/>
        <v>0</v>
      </c>
      <c r="L1476" s="31">
        <f t="shared" si="1847"/>
        <v>8.5715000000000003</v>
      </c>
      <c r="M1476" s="31">
        <f t="shared" si="1848"/>
        <v>0</v>
      </c>
      <c r="N1476" s="31">
        <f t="shared" si="1849"/>
        <v>0</v>
      </c>
      <c r="O1476" s="31">
        <f t="shared" si="1850"/>
        <v>0</v>
      </c>
      <c r="P1476" s="31">
        <f t="shared" si="1851"/>
        <v>0</v>
      </c>
      <c r="Q1476" s="49">
        <f t="shared" si="1852"/>
        <v>0</v>
      </c>
    </row>
    <row r="1477" spans="4:17" s="16" customFormat="1" ht="13.2" x14ac:dyDescent="0.25">
      <c r="D1477" s="235">
        <v>4</v>
      </c>
      <c r="E1477" s="240">
        <v>2</v>
      </c>
      <c r="F1477" s="241">
        <v>8</v>
      </c>
      <c r="G1477" s="242">
        <v>11.98</v>
      </c>
      <c r="H1477" s="239">
        <f t="shared" si="1843"/>
        <v>23.96</v>
      </c>
      <c r="I1477" s="131">
        <f t="shared" si="1844"/>
        <v>0</v>
      </c>
      <c r="J1477" s="31">
        <f t="shared" si="1845"/>
        <v>0</v>
      </c>
      <c r="K1477" s="31">
        <f t="shared" si="1846"/>
        <v>0</v>
      </c>
      <c r="L1477" s="31">
        <f t="shared" si="1847"/>
        <v>9.4641999999999999</v>
      </c>
      <c r="M1477" s="31">
        <f t="shared" si="1848"/>
        <v>0</v>
      </c>
      <c r="N1477" s="31">
        <f t="shared" si="1849"/>
        <v>0</v>
      </c>
      <c r="O1477" s="31">
        <f t="shared" si="1850"/>
        <v>0</v>
      </c>
      <c r="P1477" s="31">
        <f t="shared" si="1851"/>
        <v>0</v>
      </c>
      <c r="Q1477" s="49">
        <f t="shared" si="1852"/>
        <v>0</v>
      </c>
    </row>
    <row r="1478" spans="4:17" s="16" customFormat="1" ht="13.2" x14ac:dyDescent="0.25">
      <c r="D1478" s="235">
        <v>5</v>
      </c>
      <c r="E1478" s="240">
        <v>2</v>
      </c>
      <c r="F1478" s="241">
        <v>8</v>
      </c>
      <c r="G1478" s="242">
        <v>7.46</v>
      </c>
      <c r="H1478" s="239">
        <f t="shared" si="1843"/>
        <v>14.92</v>
      </c>
      <c r="I1478" s="131">
        <f t="shared" si="1844"/>
        <v>0</v>
      </c>
      <c r="J1478" s="31">
        <f t="shared" si="1845"/>
        <v>0</v>
      </c>
      <c r="K1478" s="31">
        <f t="shared" si="1846"/>
        <v>0</v>
      </c>
      <c r="L1478" s="31">
        <f t="shared" si="1847"/>
        <v>5.8934000000000006</v>
      </c>
      <c r="M1478" s="31">
        <f t="shared" si="1848"/>
        <v>0</v>
      </c>
      <c r="N1478" s="31">
        <f t="shared" si="1849"/>
        <v>0</v>
      </c>
      <c r="O1478" s="31">
        <f t="shared" si="1850"/>
        <v>0</v>
      </c>
      <c r="P1478" s="31">
        <f t="shared" si="1851"/>
        <v>0</v>
      </c>
      <c r="Q1478" s="49">
        <f t="shared" si="1852"/>
        <v>0</v>
      </c>
    </row>
    <row r="1479" spans="4:17" s="16" customFormat="1" ht="13.2" x14ac:dyDescent="0.25">
      <c r="D1479" s="235"/>
      <c r="E1479" s="240"/>
      <c r="F1479" s="241"/>
      <c r="G1479" s="242"/>
      <c r="H1479" s="239">
        <f t="shared" si="1843"/>
        <v>0</v>
      </c>
      <c r="I1479" s="131">
        <f t="shared" si="1844"/>
        <v>0</v>
      </c>
      <c r="J1479" s="31">
        <f t="shared" si="1845"/>
        <v>0</v>
      </c>
      <c r="K1479" s="31">
        <f t="shared" si="1846"/>
        <v>0</v>
      </c>
      <c r="L1479" s="31">
        <f t="shared" si="1847"/>
        <v>0</v>
      </c>
      <c r="M1479" s="31">
        <f t="shared" si="1848"/>
        <v>0</v>
      </c>
      <c r="N1479" s="31">
        <f t="shared" si="1849"/>
        <v>0</v>
      </c>
      <c r="O1479" s="31">
        <f t="shared" si="1850"/>
        <v>0</v>
      </c>
      <c r="P1479" s="31">
        <f t="shared" si="1851"/>
        <v>0</v>
      </c>
      <c r="Q1479" s="49">
        <f t="shared" si="1852"/>
        <v>0</v>
      </c>
    </row>
    <row r="1480" spans="4:17" s="16" customFormat="1" ht="13.2" x14ac:dyDescent="0.25">
      <c r="D1480" s="235"/>
      <c r="E1480" s="240"/>
      <c r="F1480" s="241"/>
      <c r="G1480" s="242"/>
      <c r="H1480" s="239">
        <f t="shared" si="1843"/>
        <v>0</v>
      </c>
      <c r="I1480" s="131">
        <f t="shared" si="1844"/>
        <v>0</v>
      </c>
      <c r="J1480" s="31">
        <f t="shared" si="1845"/>
        <v>0</v>
      </c>
      <c r="K1480" s="31">
        <f t="shared" si="1846"/>
        <v>0</v>
      </c>
      <c r="L1480" s="31">
        <f t="shared" si="1847"/>
        <v>0</v>
      </c>
      <c r="M1480" s="31">
        <f t="shared" si="1848"/>
        <v>0</v>
      </c>
      <c r="N1480" s="31">
        <f t="shared" si="1849"/>
        <v>0</v>
      </c>
      <c r="O1480" s="31">
        <f t="shared" si="1850"/>
        <v>0</v>
      </c>
      <c r="P1480" s="31">
        <f t="shared" si="1851"/>
        <v>0</v>
      </c>
      <c r="Q1480" s="49">
        <f t="shared" si="1852"/>
        <v>0</v>
      </c>
    </row>
    <row r="1481" spans="4:17" s="16" customFormat="1" ht="13.2" x14ac:dyDescent="0.25">
      <c r="D1481" s="235"/>
      <c r="E1481" s="240"/>
      <c r="F1481" s="241"/>
      <c r="G1481" s="242"/>
      <c r="H1481" s="239">
        <f t="shared" si="1843"/>
        <v>0</v>
      </c>
      <c r="I1481" s="131">
        <f t="shared" si="1844"/>
        <v>0</v>
      </c>
      <c r="J1481" s="31">
        <f t="shared" si="1845"/>
        <v>0</v>
      </c>
      <c r="K1481" s="31">
        <f t="shared" si="1846"/>
        <v>0</v>
      </c>
      <c r="L1481" s="31">
        <f t="shared" si="1847"/>
        <v>0</v>
      </c>
      <c r="M1481" s="31">
        <f t="shared" si="1848"/>
        <v>0</v>
      </c>
      <c r="N1481" s="31">
        <f t="shared" si="1849"/>
        <v>0</v>
      </c>
      <c r="O1481" s="31">
        <f t="shared" si="1850"/>
        <v>0</v>
      </c>
      <c r="P1481" s="31">
        <f t="shared" si="1851"/>
        <v>0</v>
      </c>
      <c r="Q1481" s="49">
        <f t="shared" si="1852"/>
        <v>0</v>
      </c>
    </row>
    <row r="1482" spans="4:17" s="16" customFormat="1" ht="13.2" x14ac:dyDescent="0.25">
      <c r="D1482" s="235"/>
      <c r="E1482" s="240"/>
      <c r="F1482" s="241"/>
      <c r="G1482" s="242"/>
      <c r="H1482" s="239">
        <f t="shared" si="1843"/>
        <v>0</v>
      </c>
      <c r="I1482" s="131">
        <f t="shared" si="1844"/>
        <v>0</v>
      </c>
      <c r="J1482" s="31">
        <f t="shared" si="1845"/>
        <v>0</v>
      </c>
      <c r="K1482" s="31">
        <f t="shared" si="1846"/>
        <v>0</v>
      </c>
      <c r="L1482" s="31">
        <f t="shared" si="1847"/>
        <v>0</v>
      </c>
      <c r="M1482" s="31">
        <f t="shared" si="1848"/>
        <v>0</v>
      </c>
      <c r="N1482" s="31">
        <f t="shared" si="1849"/>
        <v>0</v>
      </c>
      <c r="O1482" s="31">
        <f t="shared" si="1850"/>
        <v>0</v>
      </c>
      <c r="P1482" s="31">
        <f t="shared" si="1851"/>
        <v>0</v>
      </c>
      <c r="Q1482" s="49">
        <f t="shared" si="1852"/>
        <v>0</v>
      </c>
    </row>
    <row r="1483" spans="4:17" s="16" customFormat="1" ht="13.2" x14ac:dyDescent="0.25">
      <c r="D1483" s="235"/>
      <c r="E1483" s="240"/>
      <c r="F1483" s="241"/>
      <c r="G1483" s="242"/>
      <c r="H1483" s="239">
        <f t="shared" si="1843"/>
        <v>0</v>
      </c>
      <c r="I1483" s="131">
        <f t="shared" si="1844"/>
        <v>0</v>
      </c>
      <c r="J1483" s="31">
        <f t="shared" si="1845"/>
        <v>0</v>
      </c>
      <c r="K1483" s="31">
        <f t="shared" si="1846"/>
        <v>0</v>
      </c>
      <c r="L1483" s="31">
        <f t="shared" si="1847"/>
        <v>0</v>
      </c>
      <c r="M1483" s="31">
        <f t="shared" si="1848"/>
        <v>0</v>
      </c>
      <c r="N1483" s="31">
        <f t="shared" si="1849"/>
        <v>0</v>
      </c>
      <c r="O1483" s="31">
        <f t="shared" si="1850"/>
        <v>0</v>
      </c>
      <c r="P1483" s="31">
        <f t="shared" si="1851"/>
        <v>0</v>
      </c>
      <c r="Q1483" s="49">
        <f t="shared" si="1852"/>
        <v>0</v>
      </c>
    </row>
    <row r="1484" spans="4:17" s="16" customFormat="1" ht="13.8" thickBot="1" x14ac:dyDescent="0.3">
      <c r="D1484" s="307"/>
      <c r="E1484" s="26"/>
      <c r="F1484" s="206"/>
      <c r="G1484" s="207"/>
      <c r="H1484" s="207"/>
      <c r="I1484" s="51"/>
      <c r="J1484" s="308"/>
      <c r="K1484" s="308"/>
      <c r="L1484" s="308"/>
      <c r="M1484" s="308"/>
      <c r="N1484" s="308"/>
      <c r="O1484" s="308"/>
      <c r="P1484" s="308"/>
      <c r="Q1484" s="309"/>
    </row>
    <row r="1485" spans="4:17" s="16" customFormat="1" ht="13.2" x14ac:dyDescent="0.25">
      <c r="D1485" s="796" t="s">
        <v>1680</v>
      </c>
      <c r="E1485" s="797"/>
      <c r="F1485" s="797"/>
      <c r="G1485" s="797"/>
      <c r="H1485" s="797"/>
      <c r="I1485" s="47">
        <f>SUM(I1486:I1495)</f>
        <v>0</v>
      </c>
      <c r="J1485" s="47">
        <f t="shared" ref="J1485:Q1485" si="1853">SUM(J1486:J1495)</f>
        <v>0</v>
      </c>
      <c r="K1485" s="47">
        <f t="shared" si="1853"/>
        <v>0</v>
      </c>
      <c r="L1485" s="47">
        <f t="shared" si="1853"/>
        <v>0</v>
      </c>
      <c r="M1485" s="47">
        <f t="shared" si="1853"/>
        <v>0</v>
      </c>
      <c r="N1485" s="47">
        <f t="shared" si="1853"/>
        <v>0</v>
      </c>
      <c r="O1485" s="47">
        <f t="shared" si="1853"/>
        <v>0</v>
      </c>
      <c r="P1485" s="47">
        <f t="shared" si="1853"/>
        <v>0</v>
      </c>
      <c r="Q1485" s="47">
        <f t="shared" si="1853"/>
        <v>0</v>
      </c>
    </row>
    <row r="1486" spans="4:17" s="16" customFormat="1" ht="13.2" x14ac:dyDescent="0.25">
      <c r="D1486" s="235"/>
      <c r="E1486" s="237"/>
      <c r="F1486" s="238"/>
      <c r="G1486" s="239"/>
      <c r="H1486" s="239">
        <f t="shared" ref="H1486:H1495" si="1854">E1486*G1486</f>
        <v>0</v>
      </c>
      <c r="I1486" s="131">
        <f t="shared" ref="I1486:I1495" si="1855">IF($F1486=4.2,H1486*$B$23,0)</f>
        <v>0</v>
      </c>
      <c r="J1486" s="31">
        <f t="shared" ref="J1486:J1495" si="1856">IF($F1486=5,$H1486*$B$24,0)</f>
        <v>0</v>
      </c>
      <c r="K1486" s="31">
        <f t="shared" ref="K1486:K1495" si="1857">IF($F1486=6.3,$H1486*$B$25,0)</f>
        <v>0</v>
      </c>
      <c r="L1486" s="31">
        <f t="shared" ref="L1486:L1495" si="1858">IF($F1486=8,$H1486*$B$26,0)</f>
        <v>0</v>
      </c>
      <c r="M1486" s="31">
        <f t="shared" ref="M1486:M1495" si="1859">IF($F1486=10,$H1486*$B$27,0)</f>
        <v>0</v>
      </c>
      <c r="N1486" s="31">
        <f t="shared" ref="N1486:N1495" si="1860">IF($F1486=12.5,$H1486*$B$28,0)</f>
        <v>0</v>
      </c>
      <c r="O1486" s="31">
        <f t="shared" ref="O1486:O1495" si="1861">IF($F1486=16,$H1486*$B$29,0)</f>
        <v>0</v>
      </c>
      <c r="P1486" s="31">
        <f t="shared" ref="P1486:P1495" si="1862">IF($F1486=20,$H1486*$B$30,0)</f>
        <v>0</v>
      </c>
      <c r="Q1486" s="49">
        <f t="shared" ref="Q1486:Q1495" si="1863">IF($F1486=25,$H1486*$B$31,0)</f>
        <v>0</v>
      </c>
    </row>
    <row r="1487" spans="4:17" s="16" customFormat="1" ht="13.2" x14ac:dyDescent="0.25">
      <c r="D1487" s="235"/>
      <c r="E1487" s="240"/>
      <c r="F1487" s="241"/>
      <c r="G1487" s="242"/>
      <c r="H1487" s="239">
        <f t="shared" si="1854"/>
        <v>0</v>
      </c>
      <c r="I1487" s="131">
        <f t="shared" si="1855"/>
        <v>0</v>
      </c>
      <c r="J1487" s="31">
        <f t="shared" si="1856"/>
        <v>0</v>
      </c>
      <c r="K1487" s="31">
        <f t="shared" si="1857"/>
        <v>0</v>
      </c>
      <c r="L1487" s="31">
        <f t="shared" si="1858"/>
        <v>0</v>
      </c>
      <c r="M1487" s="31">
        <f t="shared" si="1859"/>
        <v>0</v>
      </c>
      <c r="N1487" s="31">
        <f t="shared" si="1860"/>
        <v>0</v>
      </c>
      <c r="O1487" s="31">
        <f t="shared" si="1861"/>
        <v>0</v>
      </c>
      <c r="P1487" s="31">
        <f t="shared" si="1862"/>
        <v>0</v>
      </c>
      <c r="Q1487" s="49">
        <f t="shared" si="1863"/>
        <v>0</v>
      </c>
    </row>
    <row r="1488" spans="4:17" s="16" customFormat="1" ht="13.2" x14ac:dyDescent="0.25">
      <c r="D1488" s="235"/>
      <c r="E1488" s="240"/>
      <c r="F1488" s="241"/>
      <c r="G1488" s="242"/>
      <c r="H1488" s="239">
        <f t="shared" si="1854"/>
        <v>0</v>
      </c>
      <c r="I1488" s="131">
        <f t="shared" si="1855"/>
        <v>0</v>
      </c>
      <c r="J1488" s="31">
        <f t="shared" si="1856"/>
        <v>0</v>
      </c>
      <c r="K1488" s="31">
        <f t="shared" si="1857"/>
        <v>0</v>
      </c>
      <c r="L1488" s="31">
        <f t="shared" si="1858"/>
        <v>0</v>
      </c>
      <c r="M1488" s="31">
        <f t="shared" si="1859"/>
        <v>0</v>
      </c>
      <c r="N1488" s="31">
        <f t="shared" si="1860"/>
        <v>0</v>
      </c>
      <c r="O1488" s="31">
        <f t="shared" si="1861"/>
        <v>0</v>
      </c>
      <c r="P1488" s="31">
        <f t="shared" si="1862"/>
        <v>0</v>
      </c>
      <c r="Q1488" s="49">
        <f t="shared" si="1863"/>
        <v>0</v>
      </c>
    </row>
    <row r="1489" spans="4:17" s="16" customFormat="1" ht="13.2" x14ac:dyDescent="0.25">
      <c r="D1489" s="235"/>
      <c r="E1489" s="240"/>
      <c r="F1489" s="241"/>
      <c r="G1489" s="242"/>
      <c r="H1489" s="239">
        <f t="shared" si="1854"/>
        <v>0</v>
      </c>
      <c r="I1489" s="131">
        <f t="shared" si="1855"/>
        <v>0</v>
      </c>
      <c r="J1489" s="31">
        <f t="shared" si="1856"/>
        <v>0</v>
      </c>
      <c r="K1489" s="31">
        <f t="shared" si="1857"/>
        <v>0</v>
      </c>
      <c r="L1489" s="31">
        <f t="shared" si="1858"/>
        <v>0</v>
      </c>
      <c r="M1489" s="31">
        <f t="shared" si="1859"/>
        <v>0</v>
      </c>
      <c r="N1489" s="31">
        <f t="shared" si="1860"/>
        <v>0</v>
      </c>
      <c r="O1489" s="31">
        <f t="shared" si="1861"/>
        <v>0</v>
      </c>
      <c r="P1489" s="31">
        <f t="shared" si="1862"/>
        <v>0</v>
      </c>
      <c r="Q1489" s="49">
        <f t="shared" si="1863"/>
        <v>0</v>
      </c>
    </row>
    <row r="1490" spans="4:17" s="16" customFormat="1" ht="13.2" x14ac:dyDescent="0.25">
      <c r="D1490" s="235"/>
      <c r="E1490" s="240"/>
      <c r="F1490" s="241"/>
      <c r="G1490" s="242"/>
      <c r="H1490" s="239">
        <f t="shared" si="1854"/>
        <v>0</v>
      </c>
      <c r="I1490" s="131">
        <f t="shared" si="1855"/>
        <v>0</v>
      </c>
      <c r="J1490" s="31">
        <f t="shared" si="1856"/>
        <v>0</v>
      </c>
      <c r="K1490" s="31">
        <f t="shared" si="1857"/>
        <v>0</v>
      </c>
      <c r="L1490" s="31">
        <f t="shared" si="1858"/>
        <v>0</v>
      </c>
      <c r="M1490" s="31">
        <f t="shared" si="1859"/>
        <v>0</v>
      </c>
      <c r="N1490" s="31">
        <f t="shared" si="1860"/>
        <v>0</v>
      </c>
      <c r="O1490" s="31">
        <f t="shared" si="1861"/>
        <v>0</v>
      </c>
      <c r="P1490" s="31">
        <f t="shared" si="1862"/>
        <v>0</v>
      </c>
      <c r="Q1490" s="49">
        <f t="shared" si="1863"/>
        <v>0</v>
      </c>
    </row>
    <row r="1491" spans="4:17" s="16" customFormat="1" ht="13.2" x14ac:dyDescent="0.25">
      <c r="D1491" s="235"/>
      <c r="E1491" s="240"/>
      <c r="F1491" s="241"/>
      <c r="G1491" s="242"/>
      <c r="H1491" s="239">
        <f t="shared" si="1854"/>
        <v>0</v>
      </c>
      <c r="I1491" s="131">
        <f t="shared" si="1855"/>
        <v>0</v>
      </c>
      <c r="J1491" s="31">
        <f t="shared" si="1856"/>
        <v>0</v>
      </c>
      <c r="K1491" s="31">
        <f t="shared" si="1857"/>
        <v>0</v>
      </c>
      <c r="L1491" s="31">
        <f t="shared" si="1858"/>
        <v>0</v>
      </c>
      <c r="M1491" s="31">
        <f t="shared" si="1859"/>
        <v>0</v>
      </c>
      <c r="N1491" s="31">
        <f t="shared" si="1860"/>
        <v>0</v>
      </c>
      <c r="O1491" s="31">
        <f t="shared" si="1861"/>
        <v>0</v>
      </c>
      <c r="P1491" s="31">
        <f t="shared" si="1862"/>
        <v>0</v>
      </c>
      <c r="Q1491" s="49">
        <f t="shared" si="1863"/>
        <v>0</v>
      </c>
    </row>
    <row r="1492" spans="4:17" s="16" customFormat="1" ht="13.2" x14ac:dyDescent="0.25">
      <c r="D1492" s="235"/>
      <c r="E1492" s="240"/>
      <c r="F1492" s="241"/>
      <c r="G1492" s="242"/>
      <c r="H1492" s="239">
        <f t="shared" si="1854"/>
        <v>0</v>
      </c>
      <c r="I1492" s="131">
        <f t="shared" si="1855"/>
        <v>0</v>
      </c>
      <c r="J1492" s="31">
        <f t="shared" si="1856"/>
        <v>0</v>
      </c>
      <c r="K1492" s="31">
        <f t="shared" si="1857"/>
        <v>0</v>
      </c>
      <c r="L1492" s="31">
        <f t="shared" si="1858"/>
        <v>0</v>
      </c>
      <c r="M1492" s="31">
        <f t="shared" si="1859"/>
        <v>0</v>
      </c>
      <c r="N1492" s="31">
        <f t="shared" si="1860"/>
        <v>0</v>
      </c>
      <c r="O1492" s="31">
        <f t="shared" si="1861"/>
        <v>0</v>
      </c>
      <c r="P1492" s="31">
        <f t="shared" si="1862"/>
        <v>0</v>
      </c>
      <c r="Q1492" s="49">
        <f t="shared" si="1863"/>
        <v>0</v>
      </c>
    </row>
    <row r="1493" spans="4:17" s="16" customFormat="1" ht="13.2" x14ac:dyDescent="0.25">
      <c r="D1493" s="235"/>
      <c r="E1493" s="240"/>
      <c r="F1493" s="241"/>
      <c r="G1493" s="242"/>
      <c r="H1493" s="239">
        <f t="shared" si="1854"/>
        <v>0</v>
      </c>
      <c r="I1493" s="131">
        <f t="shared" si="1855"/>
        <v>0</v>
      </c>
      <c r="J1493" s="31">
        <f t="shared" si="1856"/>
        <v>0</v>
      </c>
      <c r="K1493" s="31">
        <f t="shared" si="1857"/>
        <v>0</v>
      </c>
      <c r="L1493" s="31">
        <f t="shared" si="1858"/>
        <v>0</v>
      </c>
      <c r="M1493" s="31">
        <f t="shared" si="1859"/>
        <v>0</v>
      </c>
      <c r="N1493" s="31">
        <f t="shared" si="1860"/>
        <v>0</v>
      </c>
      <c r="O1493" s="31">
        <f t="shared" si="1861"/>
        <v>0</v>
      </c>
      <c r="P1493" s="31">
        <f t="shared" si="1862"/>
        <v>0</v>
      </c>
      <c r="Q1493" s="49">
        <f t="shared" si="1863"/>
        <v>0</v>
      </c>
    </row>
    <row r="1494" spans="4:17" s="16" customFormat="1" ht="13.2" x14ac:dyDescent="0.25">
      <c r="D1494" s="235"/>
      <c r="E1494" s="240"/>
      <c r="F1494" s="241"/>
      <c r="G1494" s="242"/>
      <c r="H1494" s="239">
        <f t="shared" si="1854"/>
        <v>0</v>
      </c>
      <c r="I1494" s="131">
        <f t="shared" si="1855"/>
        <v>0</v>
      </c>
      <c r="J1494" s="31">
        <f t="shared" si="1856"/>
        <v>0</v>
      </c>
      <c r="K1494" s="31">
        <f t="shared" si="1857"/>
        <v>0</v>
      </c>
      <c r="L1494" s="31">
        <f t="shared" si="1858"/>
        <v>0</v>
      </c>
      <c r="M1494" s="31">
        <f t="shared" si="1859"/>
        <v>0</v>
      </c>
      <c r="N1494" s="31">
        <f t="shared" si="1860"/>
        <v>0</v>
      </c>
      <c r="O1494" s="31">
        <f t="shared" si="1861"/>
        <v>0</v>
      </c>
      <c r="P1494" s="31">
        <f t="shared" si="1862"/>
        <v>0</v>
      </c>
      <c r="Q1494" s="49">
        <f t="shared" si="1863"/>
        <v>0</v>
      </c>
    </row>
    <row r="1495" spans="4:17" s="16" customFormat="1" ht="13.2" x14ac:dyDescent="0.25">
      <c r="D1495" s="235"/>
      <c r="E1495" s="240"/>
      <c r="F1495" s="241"/>
      <c r="G1495" s="242"/>
      <c r="H1495" s="239">
        <f t="shared" si="1854"/>
        <v>0</v>
      </c>
      <c r="I1495" s="131">
        <f t="shared" si="1855"/>
        <v>0</v>
      </c>
      <c r="J1495" s="31">
        <f t="shared" si="1856"/>
        <v>0</v>
      </c>
      <c r="K1495" s="31">
        <f t="shared" si="1857"/>
        <v>0</v>
      </c>
      <c r="L1495" s="31">
        <f t="shared" si="1858"/>
        <v>0</v>
      </c>
      <c r="M1495" s="31">
        <f t="shared" si="1859"/>
        <v>0</v>
      </c>
      <c r="N1495" s="31">
        <f t="shared" si="1860"/>
        <v>0</v>
      </c>
      <c r="O1495" s="31">
        <f t="shared" si="1861"/>
        <v>0</v>
      </c>
      <c r="P1495" s="31">
        <f t="shared" si="1862"/>
        <v>0</v>
      </c>
      <c r="Q1495" s="49">
        <f t="shared" si="1863"/>
        <v>0</v>
      </c>
    </row>
    <row r="1496" spans="4:17" s="16" customFormat="1" ht="13.8" thickBot="1" x14ac:dyDescent="0.3">
      <c r="D1496" s="307"/>
      <c r="E1496" s="26"/>
      <c r="F1496" s="206"/>
      <c r="G1496" s="207"/>
      <c r="H1496" s="207"/>
      <c r="I1496" s="51"/>
      <c r="J1496" s="308"/>
      <c r="K1496" s="308"/>
      <c r="L1496" s="308"/>
      <c r="M1496" s="308"/>
      <c r="N1496" s="308"/>
      <c r="O1496" s="308"/>
      <c r="P1496" s="308"/>
      <c r="Q1496" s="309"/>
    </row>
    <row r="1497" spans="4:17" s="16" customFormat="1" ht="13.2" x14ac:dyDescent="0.25">
      <c r="D1497" s="796" t="s">
        <v>1680</v>
      </c>
      <c r="E1497" s="797"/>
      <c r="F1497" s="797"/>
      <c r="G1497" s="797"/>
      <c r="H1497" s="797"/>
      <c r="I1497" s="47">
        <f>SUM(I1498:I1507)</f>
        <v>0</v>
      </c>
      <c r="J1497" s="47">
        <f t="shared" ref="J1497:Q1497" si="1864">SUM(J1498:J1507)</f>
        <v>0</v>
      </c>
      <c r="K1497" s="47">
        <f t="shared" si="1864"/>
        <v>0</v>
      </c>
      <c r="L1497" s="47">
        <f t="shared" si="1864"/>
        <v>0</v>
      </c>
      <c r="M1497" s="47">
        <f t="shared" si="1864"/>
        <v>0</v>
      </c>
      <c r="N1497" s="47">
        <f t="shared" si="1864"/>
        <v>0</v>
      </c>
      <c r="O1497" s="47">
        <f t="shared" si="1864"/>
        <v>0</v>
      </c>
      <c r="P1497" s="47">
        <f t="shared" si="1864"/>
        <v>0</v>
      </c>
      <c r="Q1497" s="47">
        <f t="shared" si="1864"/>
        <v>0</v>
      </c>
    </row>
    <row r="1498" spans="4:17" s="16" customFormat="1" ht="13.2" x14ac:dyDescent="0.25">
      <c r="D1498" s="235"/>
      <c r="E1498" s="237"/>
      <c r="F1498" s="238"/>
      <c r="G1498" s="239"/>
      <c r="H1498" s="239">
        <f t="shared" ref="H1498:H1507" si="1865">E1498*G1498</f>
        <v>0</v>
      </c>
      <c r="I1498" s="131">
        <f t="shared" ref="I1498:I1507" si="1866">IF($F1498=4.2,H1498*$B$23,0)</f>
        <v>0</v>
      </c>
      <c r="J1498" s="31">
        <f t="shared" ref="J1498:J1507" si="1867">IF($F1498=5,$H1498*$B$24,0)</f>
        <v>0</v>
      </c>
      <c r="K1498" s="31">
        <f t="shared" ref="K1498:K1507" si="1868">IF($F1498=6.3,$H1498*$B$25,0)</f>
        <v>0</v>
      </c>
      <c r="L1498" s="31">
        <f t="shared" ref="L1498:L1507" si="1869">IF($F1498=8,$H1498*$B$26,0)</f>
        <v>0</v>
      </c>
      <c r="M1498" s="31">
        <f t="shared" ref="M1498:M1507" si="1870">IF($F1498=10,$H1498*$B$27,0)</f>
        <v>0</v>
      </c>
      <c r="N1498" s="31">
        <f t="shared" ref="N1498:N1507" si="1871">IF($F1498=12.5,$H1498*$B$28,0)</f>
        <v>0</v>
      </c>
      <c r="O1498" s="31">
        <f t="shared" ref="O1498:O1507" si="1872">IF($F1498=16,$H1498*$B$29,0)</f>
        <v>0</v>
      </c>
      <c r="P1498" s="31">
        <f t="shared" ref="P1498:P1507" si="1873">IF($F1498=20,$H1498*$B$30,0)</f>
        <v>0</v>
      </c>
      <c r="Q1498" s="49">
        <f t="shared" ref="Q1498:Q1507" si="1874">IF($F1498=25,$H1498*$B$31,0)</f>
        <v>0</v>
      </c>
    </row>
    <row r="1499" spans="4:17" s="16" customFormat="1" ht="13.2" x14ac:dyDescent="0.25">
      <c r="D1499" s="235"/>
      <c r="E1499" s="240"/>
      <c r="F1499" s="241"/>
      <c r="G1499" s="242"/>
      <c r="H1499" s="239">
        <f t="shared" si="1865"/>
        <v>0</v>
      </c>
      <c r="I1499" s="131">
        <f t="shared" si="1866"/>
        <v>0</v>
      </c>
      <c r="J1499" s="31">
        <f t="shared" si="1867"/>
        <v>0</v>
      </c>
      <c r="K1499" s="31">
        <f t="shared" si="1868"/>
        <v>0</v>
      </c>
      <c r="L1499" s="31">
        <f t="shared" si="1869"/>
        <v>0</v>
      </c>
      <c r="M1499" s="31">
        <f t="shared" si="1870"/>
        <v>0</v>
      </c>
      <c r="N1499" s="31">
        <f t="shared" si="1871"/>
        <v>0</v>
      </c>
      <c r="O1499" s="31">
        <f t="shared" si="1872"/>
        <v>0</v>
      </c>
      <c r="P1499" s="31">
        <f t="shared" si="1873"/>
        <v>0</v>
      </c>
      <c r="Q1499" s="49">
        <f t="shared" si="1874"/>
        <v>0</v>
      </c>
    </row>
    <row r="1500" spans="4:17" s="16" customFormat="1" ht="13.2" x14ac:dyDescent="0.25">
      <c r="D1500" s="235"/>
      <c r="E1500" s="240"/>
      <c r="F1500" s="241"/>
      <c r="G1500" s="242"/>
      <c r="H1500" s="239">
        <f t="shared" si="1865"/>
        <v>0</v>
      </c>
      <c r="I1500" s="131">
        <f t="shared" si="1866"/>
        <v>0</v>
      </c>
      <c r="J1500" s="31">
        <f t="shared" si="1867"/>
        <v>0</v>
      </c>
      <c r="K1500" s="31">
        <f t="shared" si="1868"/>
        <v>0</v>
      </c>
      <c r="L1500" s="31">
        <f t="shared" si="1869"/>
        <v>0</v>
      </c>
      <c r="M1500" s="31">
        <f t="shared" si="1870"/>
        <v>0</v>
      </c>
      <c r="N1500" s="31">
        <f t="shared" si="1871"/>
        <v>0</v>
      </c>
      <c r="O1500" s="31">
        <f t="shared" si="1872"/>
        <v>0</v>
      </c>
      <c r="P1500" s="31">
        <f t="shared" si="1873"/>
        <v>0</v>
      </c>
      <c r="Q1500" s="49">
        <f t="shared" si="1874"/>
        <v>0</v>
      </c>
    </row>
    <row r="1501" spans="4:17" s="16" customFormat="1" ht="13.2" x14ac:dyDescent="0.25">
      <c r="D1501" s="235"/>
      <c r="E1501" s="240"/>
      <c r="F1501" s="241"/>
      <c r="G1501" s="242"/>
      <c r="H1501" s="239">
        <f t="shared" si="1865"/>
        <v>0</v>
      </c>
      <c r="I1501" s="131">
        <f t="shared" si="1866"/>
        <v>0</v>
      </c>
      <c r="J1501" s="31">
        <f t="shared" si="1867"/>
        <v>0</v>
      </c>
      <c r="K1501" s="31">
        <f t="shared" si="1868"/>
        <v>0</v>
      </c>
      <c r="L1501" s="31">
        <f t="shared" si="1869"/>
        <v>0</v>
      </c>
      <c r="M1501" s="31">
        <f t="shared" si="1870"/>
        <v>0</v>
      </c>
      <c r="N1501" s="31">
        <f t="shared" si="1871"/>
        <v>0</v>
      </c>
      <c r="O1501" s="31">
        <f t="shared" si="1872"/>
        <v>0</v>
      </c>
      <c r="P1501" s="31">
        <f t="shared" si="1873"/>
        <v>0</v>
      </c>
      <c r="Q1501" s="49">
        <f t="shared" si="1874"/>
        <v>0</v>
      </c>
    </row>
    <row r="1502" spans="4:17" s="16" customFormat="1" ht="13.2" x14ac:dyDescent="0.25">
      <c r="D1502" s="235"/>
      <c r="E1502" s="240"/>
      <c r="F1502" s="241"/>
      <c r="G1502" s="242"/>
      <c r="H1502" s="239">
        <f t="shared" si="1865"/>
        <v>0</v>
      </c>
      <c r="I1502" s="131">
        <f t="shared" si="1866"/>
        <v>0</v>
      </c>
      <c r="J1502" s="31">
        <f t="shared" si="1867"/>
        <v>0</v>
      </c>
      <c r="K1502" s="31">
        <f t="shared" si="1868"/>
        <v>0</v>
      </c>
      <c r="L1502" s="31">
        <f t="shared" si="1869"/>
        <v>0</v>
      </c>
      <c r="M1502" s="31">
        <f t="shared" si="1870"/>
        <v>0</v>
      </c>
      <c r="N1502" s="31">
        <f t="shared" si="1871"/>
        <v>0</v>
      </c>
      <c r="O1502" s="31">
        <f t="shared" si="1872"/>
        <v>0</v>
      </c>
      <c r="P1502" s="31">
        <f t="shared" si="1873"/>
        <v>0</v>
      </c>
      <c r="Q1502" s="49">
        <f t="shared" si="1874"/>
        <v>0</v>
      </c>
    </row>
    <row r="1503" spans="4:17" s="16" customFormat="1" ht="13.2" x14ac:dyDescent="0.25">
      <c r="D1503" s="235"/>
      <c r="E1503" s="240"/>
      <c r="F1503" s="241"/>
      <c r="G1503" s="242"/>
      <c r="H1503" s="239">
        <f t="shared" si="1865"/>
        <v>0</v>
      </c>
      <c r="I1503" s="131">
        <f t="shared" si="1866"/>
        <v>0</v>
      </c>
      <c r="J1503" s="31">
        <f t="shared" si="1867"/>
        <v>0</v>
      </c>
      <c r="K1503" s="31">
        <f t="shared" si="1868"/>
        <v>0</v>
      </c>
      <c r="L1503" s="31">
        <f t="shared" si="1869"/>
        <v>0</v>
      </c>
      <c r="M1503" s="31">
        <f t="shared" si="1870"/>
        <v>0</v>
      </c>
      <c r="N1503" s="31">
        <f t="shared" si="1871"/>
        <v>0</v>
      </c>
      <c r="O1503" s="31">
        <f t="shared" si="1872"/>
        <v>0</v>
      </c>
      <c r="P1503" s="31">
        <f t="shared" si="1873"/>
        <v>0</v>
      </c>
      <c r="Q1503" s="49">
        <f t="shared" si="1874"/>
        <v>0</v>
      </c>
    </row>
    <row r="1504" spans="4:17" s="16" customFormat="1" ht="13.2" x14ac:dyDescent="0.25">
      <c r="D1504" s="235"/>
      <c r="E1504" s="240"/>
      <c r="F1504" s="241"/>
      <c r="G1504" s="242"/>
      <c r="H1504" s="239">
        <f t="shared" si="1865"/>
        <v>0</v>
      </c>
      <c r="I1504" s="131">
        <f t="shared" si="1866"/>
        <v>0</v>
      </c>
      <c r="J1504" s="31">
        <f t="shared" si="1867"/>
        <v>0</v>
      </c>
      <c r="K1504" s="31">
        <f t="shared" si="1868"/>
        <v>0</v>
      </c>
      <c r="L1504" s="31">
        <f t="shared" si="1869"/>
        <v>0</v>
      </c>
      <c r="M1504" s="31">
        <f t="shared" si="1870"/>
        <v>0</v>
      </c>
      <c r="N1504" s="31">
        <f t="shared" si="1871"/>
        <v>0</v>
      </c>
      <c r="O1504" s="31">
        <f t="shared" si="1872"/>
        <v>0</v>
      </c>
      <c r="P1504" s="31">
        <f t="shared" si="1873"/>
        <v>0</v>
      </c>
      <c r="Q1504" s="49">
        <f t="shared" si="1874"/>
        <v>0</v>
      </c>
    </row>
    <row r="1505" spans="4:17" s="16" customFormat="1" ht="13.2" x14ac:dyDescent="0.25">
      <c r="D1505" s="235"/>
      <c r="E1505" s="240"/>
      <c r="F1505" s="241"/>
      <c r="G1505" s="242"/>
      <c r="H1505" s="239">
        <f t="shared" si="1865"/>
        <v>0</v>
      </c>
      <c r="I1505" s="131">
        <f t="shared" si="1866"/>
        <v>0</v>
      </c>
      <c r="J1505" s="31">
        <f t="shared" si="1867"/>
        <v>0</v>
      </c>
      <c r="K1505" s="31">
        <f t="shared" si="1868"/>
        <v>0</v>
      </c>
      <c r="L1505" s="31">
        <f t="shared" si="1869"/>
        <v>0</v>
      </c>
      <c r="M1505" s="31">
        <f t="shared" si="1870"/>
        <v>0</v>
      </c>
      <c r="N1505" s="31">
        <f t="shared" si="1871"/>
        <v>0</v>
      </c>
      <c r="O1505" s="31">
        <f t="shared" si="1872"/>
        <v>0</v>
      </c>
      <c r="P1505" s="31">
        <f t="shared" si="1873"/>
        <v>0</v>
      </c>
      <c r="Q1505" s="49">
        <f t="shared" si="1874"/>
        <v>0</v>
      </c>
    </row>
    <row r="1506" spans="4:17" s="16" customFormat="1" ht="13.2" x14ac:dyDescent="0.25">
      <c r="D1506" s="235"/>
      <c r="E1506" s="240"/>
      <c r="F1506" s="241"/>
      <c r="G1506" s="242"/>
      <c r="H1506" s="239">
        <f t="shared" si="1865"/>
        <v>0</v>
      </c>
      <c r="I1506" s="131">
        <f t="shared" si="1866"/>
        <v>0</v>
      </c>
      <c r="J1506" s="31">
        <f t="shared" si="1867"/>
        <v>0</v>
      </c>
      <c r="K1506" s="31">
        <f t="shared" si="1868"/>
        <v>0</v>
      </c>
      <c r="L1506" s="31">
        <f t="shared" si="1869"/>
        <v>0</v>
      </c>
      <c r="M1506" s="31">
        <f t="shared" si="1870"/>
        <v>0</v>
      </c>
      <c r="N1506" s="31">
        <f t="shared" si="1871"/>
        <v>0</v>
      </c>
      <c r="O1506" s="31">
        <f t="shared" si="1872"/>
        <v>0</v>
      </c>
      <c r="P1506" s="31">
        <f t="shared" si="1873"/>
        <v>0</v>
      </c>
      <c r="Q1506" s="49">
        <f t="shared" si="1874"/>
        <v>0</v>
      </c>
    </row>
    <row r="1507" spans="4:17" s="16" customFormat="1" ht="13.2" x14ac:dyDescent="0.25">
      <c r="D1507" s="235"/>
      <c r="E1507" s="240"/>
      <c r="F1507" s="241"/>
      <c r="G1507" s="242"/>
      <c r="H1507" s="239">
        <f t="shared" si="1865"/>
        <v>0</v>
      </c>
      <c r="I1507" s="131">
        <f t="shared" si="1866"/>
        <v>0</v>
      </c>
      <c r="J1507" s="31">
        <f t="shared" si="1867"/>
        <v>0</v>
      </c>
      <c r="K1507" s="31">
        <f t="shared" si="1868"/>
        <v>0</v>
      </c>
      <c r="L1507" s="31">
        <f t="shared" si="1869"/>
        <v>0</v>
      </c>
      <c r="M1507" s="31">
        <f t="shared" si="1870"/>
        <v>0</v>
      </c>
      <c r="N1507" s="31">
        <f t="shared" si="1871"/>
        <v>0</v>
      </c>
      <c r="O1507" s="31">
        <f t="shared" si="1872"/>
        <v>0</v>
      </c>
      <c r="P1507" s="31">
        <f t="shared" si="1873"/>
        <v>0</v>
      </c>
      <c r="Q1507" s="49">
        <f t="shared" si="1874"/>
        <v>0</v>
      </c>
    </row>
    <row r="1508" spans="4:17" s="16" customFormat="1" ht="13.8" thickBot="1" x14ac:dyDescent="0.3">
      <c r="D1508" s="307"/>
      <c r="E1508" s="26"/>
      <c r="F1508" s="206"/>
      <c r="G1508" s="207"/>
      <c r="H1508" s="207"/>
      <c r="I1508" s="51"/>
      <c r="J1508" s="308"/>
      <c r="K1508" s="308"/>
      <c r="L1508" s="308"/>
      <c r="M1508" s="308"/>
      <c r="N1508" s="308"/>
      <c r="O1508" s="308"/>
      <c r="P1508" s="308"/>
      <c r="Q1508" s="309"/>
    </row>
    <row r="1509" spans="4:17" s="16" customFormat="1" ht="13.2" x14ac:dyDescent="0.25">
      <c r="D1509" s="796" t="s">
        <v>1680</v>
      </c>
      <c r="E1509" s="797"/>
      <c r="F1509" s="797"/>
      <c r="G1509" s="797"/>
      <c r="H1509" s="797"/>
      <c r="I1509" s="47">
        <f>SUM(I1510:I1519)</f>
        <v>0</v>
      </c>
      <c r="J1509" s="47">
        <f t="shared" ref="J1509:Q1509" si="1875">SUM(J1510:J1519)</f>
        <v>0</v>
      </c>
      <c r="K1509" s="47">
        <f t="shared" si="1875"/>
        <v>0</v>
      </c>
      <c r="L1509" s="47">
        <f t="shared" si="1875"/>
        <v>0</v>
      </c>
      <c r="M1509" s="47">
        <f t="shared" si="1875"/>
        <v>0</v>
      </c>
      <c r="N1509" s="47">
        <f t="shared" si="1875"/>
        <v>0</v>
      </c>
      <c r="O1509" s="47">
        <f t="shared" si="1875"/>
        <v>0</v>
      </c>
      <c r="P1509" s="47">
        <f t="shared" si="1875"/>
        <v>0</v>
      </c>
      <c r="Q1509" s="47">
        <f t="shared" si="1875"/>
        <v>0</v>
      </c>
    </row>
    <row r="1510" spans="4:17" s="16" customFormat="1" ht="13.2" x14ac:dyDescent="0.25">
      <c r="D1510" s="235"/>
      <c r="E1510" s="237"/>
      <c r="F1510" s="238"/>
      <c r="G1510" s="239"/>
      <c r="H1510" s="239">
        <f t="shared" ref="H1510:H1519" si="1876">E1510*G1510</f>
        <v>0</v>
      </c>
      <c r="I1510" s="131">
        <f t="shared" ref="I1510:I1519" si="1877">IF($F1510=4.2,H1510*$B$23,0)</f>
        <v>0</v>
      </c>
      <c r="J1510" s="31">
        <f t="shared" ref="J1510:J1519" si="1878">IF($F1510=5,$H1510*$B$24,0)</f>
        <v>0</v>
      </c>
      <c r="K1510" s="31">
        <f t="shared" ref="K1510:K1519" si="1879">IF($F1510=6.3,$H1510*$B$25,0)</f>
        <v>0</v>
      </c>
      <c r="L1510" s="31">
        <f t="shared" ref="L1510:L1519" si="1880">IF($F1510=8,$H1510*$B$26,0)</f>
        <v>0</v>
      </c>
      <c r="M1510" s="31">
        <f t="shared" ref="M1510:M1519" si="1881">IF($F1510=10,$H1510*$B$27,0)</f>
        <v>0</v>
      </c>
      <c r="N1510" s="31">
        <f t="shared" ref="N1510:N1519" si="1882">IF($F1510=12.5,$H1510*$B$28,0)</f>
        <v>0</v>
      </c>
      <c r="O1510" s="31">
        <f t="shared" ref="O1510:O1519" si="1883">IF($F1510=16,$H1510*$B$29,0)</f>
        <v>0</v>
      </c>
      <c r="P1510" s="31">
        <f t="shared" ref="P1510:P1519" si="1884">IF($F1510=20,$H1510*$B$30,0)</f>
        <v>0</v>
      </c>
      <c r="Q1510" s="49">
        <f t="shared" ref="Q1510:Q1519" si="1885">IF($F1510=25,$H1510*$B$31,0)</f>
        <v>0</v>
      </c>
    </row>
    <row r="1511" spans="4:17" s="16" customFormat="1" ht="13.2" x14ac:dyDescent="0.25">
      <c r="D1511" s="235"/>
      <c r="E1511" s="240"/>
      <c r="F1511" s="241"/>
      <c r="G1511" s="242"/>
      <c r="H1511" s="239">
        <f t="shared" si="1876"/>
        <v>0</v>
      </c>
      <c r="I1511" s="131">
        <f t="shared" si="1877"/>
        <v>0</v>
      </c>
      <c r="J1511" s="31">
        <f t="shared" si="1878"/>
        <v>0</v>
      </c>
      <c r="K1511" s="31">
        <f t="shared" si="1879"/>
        <v>0</v>
      </c>
      <c r="L1511" s="31">
        <f t="shared" si="1880"/>
        <v>0</v>
      </c>
      <c r="M1511" s="31">
        <f t="shared" si="1881"/>
        <v>0</v>
      </c>
      <c r="N1511" s="31">
        <f t="shared" si="1882"/>
        <v>0</v>
      </c>
      <c r="O1511" s="31">
        <f t="shared" si="1883"/>
        <v>0</v>
      </c>
      <c r="P1511" s="31">
        <f t="shared" si="1884"/>
        <v>0</v>
      </c>
      <c r="Q1511" s="49">
        <f t="shared" si="1885"/>
        <v>0</v>
      </c>
    </row>
    <row r="1512" spans="4:17" s="16" customFormat="1" ht="13.2" x14ac:dyDescent="0.25">
      <c r="D1512" s="235"/>
      <c r="E1512" s="240"/>
      <c r="F1512" s="241"/>
      <c r="G1512" s="242"/>
      <c r="H1512" s="239">
        <f t="shared" si="1876"/>
        <v>0</v>
      </c>
      <c r="I1512" s="131">
        <f t="shared" si="1877"/>
        <v>0</v>
      </c>
      <c r="J1512" s="31">
        <f t="shared" si="1878"/>
        <v>0</v>
      </c>
      <c r="K1512" s="31">
        <f t="shared" si="1879"/>
        <v>0</v>
      </c>
      <c r="L1512" s="31">
        <f t="shared" si="1880"/>
        <v>0</v>
      </c>
      <c r="M1512" s="31">
        <f t="shared" si="1881"/>
        <v>0</v>
      </c>
      <c r="N1512" s="31">
        <f t="shared" si="1882"/>
        <v>0</v>
      </c>
      <c r="O1512" s="31">
        <f t="shared" si="1883"/>
        <v>0</v>
      </c>
      <c r="P1512" s="31">
        <f t="shared" si="1884"/>
        <v>0</v>
      </c>
      <c r="Q1512" s="49">
        <f t="shared" si="1885"/>
        <v>0</v>
      </c>
    </row>
    <row r="1513" spans="4:17" s="16" customFormat="1" ht="13.2" x14ac:dyDescent="0.25">
      <c r="D1513" s="235"/>
      <c r="E1513" s="240"/>
      <c r="F1513" s="241"/>
      <c r="G1513" s="242"/>
      <c r="H1513" s="239">
        <f t="shared" si="1876"/>
        <v>0</v>
      </c>
      <c r="I1513" s="131">
        <f t="shared" si="1877"/>
        <v>0</v>
      </c>
      <c r="J1513" s="31">
        <f t="shared" si="1878"/>
        <v>0</v>
      </c>
      <c r="K1513" s="31">
        <f t="shared" si="1879"/>
        <v>0</v>
      </c>
      <c r="L1513" s="31">
        <f t="shared" si="1880"/>
        <v>0</v>
      </c>
      <c r="M1513" s="31">
        <f t="shared" si="1881"/>
        <v>0</v>
      </c>
      <c r="N1513" s="31">
        <f t="shared" si="1882"/>
        <v>0</v>
      </c>
      <c r="O1513" s="31">
        <f t="shared" si="1883"/>
        <v>0</v>
      </c>
      <c r="P1513" s="31">
        <f t="shared" si="1884"/>
        <v>0</v>
      </c>
      <c r="Q1513" s="49">
        <f t="shared" si="1885"/>
        <v>0</v>
      </c>
    </row>
    <row r="1514" spans="4:17" s="16" customFormat="1" ht="13.2" x14ac:dyDescent="0.25">
      <c r="D1514" s="235"/>
      <c r="E1514" s="240"/>
      <c r="F1514" s="241"/>
      <c r="G1514" s="242"/>
      <c r="H1514" s="239">
        <f t="shared" si="1876"/>
        <v>0</v>
      </c>
      <c r="I1514" s="131">
        <f t="shared" si="1877"/>
        <v>0</v>
      </c>
      <c r="J1514" s="31">
        <f t="shared" si="1878"/>
        <v>0</v>
      </c>
      <c r="K1514" s="31">
        <f t="shared" si="1879"/>
        <v>0</v>
      </c>
      <c r="L1514" s="31">
        <f t="shared" si="1880"/>
        <v>0</v>
      </c>
      <c r="M1514" s="31">
        <f t="shared" si="1881"/>
        <v>0</v>
      </c>
      <c r="N1514" s="31">
        <f t="shared" si="1882"/>
        <v>0</v>
      </c>
      <c r="O1514" s="31">
        <f t="shared" si="1883"/>
        <v>0</v>
      </c>
      <c r="P1514" s="31">
        <f t="shared" si="1884"/>
        <v>0</v>
      </c>
      <c r="Q1514" s="49">
        <f t="shared" si="1885"/>
        <v>0</v>
      </c>
    </row>
    <row r="1515" spans="4:17" s="16" customFormat="1" ht="13.2" x14ac:dyDescent="0.25">
      <c r="D1515" s="235"/>
      <c r="E1515" s="240"/>
      <c r="F1515" s="241"/>
      <c r="G1515" s="242"/>
      <c r="H1515" s="239">
        <f t="shared" si="1876"/>
        <v>0</v>
      </c>
      <c r="I1515" s="131">
        <f t="shared" si="1877"/>
        <v>0</v>
      </c>
      <c r="J1515" s="31">
        <f t="shared" si="1878"/>
        <v>0</v>
      </c>
      <c r="K1515" s="31">
        <f t="shared" si="1879"/>
        <v>0</v>
      </c>
      <c r="L1515" s="31">
        <f t="shared" si="1880"/>
        <v>0</v>
      </c>
      <c r="M1515" s="31">
        <f t="shared" si="1881"/>
        <v>0</v>
      </c>
      <c r="N1515" s="31">
        <f t="shared" si="1882"/>
        <v>0</v>
      </c>
      <c r="O1515" s="31">
        <f t="shared" si="1883"/>
        <v>0</v>
      </c>
      <c r="P1515" s="31">
        <f t="shared" si="1884"/>
        <v>0</v>
      </c>
      <c r="Q1515" s="49">
        <f t="shared" si="1885"/>
        <v>0</v>
      </c>
    </row>
    <row r="1516" spans="4:17" s="16" customFormat="1" ht="13.2" x14ac:dyDescent="0.25">
      <c r="D1516" s="235"/>
      <c r="E1516" s="240"/>
      <c r="F1516" s="241"/>
      <c r="G1516" s="242"/>
      <c r="H1516" s="239">
        <f t="shared" si="1876"/>
        <v>0</v>
      </c>
      <c r="I1516" s="131">
        <f t="shared" si="1877"/>
        <v>0</v>
      </c>
      <c r="J1516" s="31">
        <f t="shared" si="1878"/>
        <v>0</v>
      </c>
      <c r="K1516" s="31">
        <f t="shared" si="1879"/>
        <v>0</v>
      </c>
      <c r="L1516" s="31">
        <f t="shared" si="1880"/>
        <v>0</v>
      </c>
      <c r="M1516" s="31">
        <f t="shared" si="1881"/>
        <v>0</v>
      </c>
      <c r="N1516" s="31">
        <f t="shared" si="1882"/>
        <v>0</v>
      </c>
      <c r="O1516" s="31">
        <f t="shared" si="1883"/>
        <v>0</v>
      </c>
      <c r="P1516" s="31">
        <f t="shared" si="1884"/>
        <v>0</v>
      </c>
      <c r="Q1516" s="49">
        <f t="shared" si="1885"/>
        <v>0</v>
      </c>
    </row>
    <row r="1517" spans="4:17" s="16" customFormat="1" ht="13.2" x14ac:dyDescent="0.25">
      <c r="D1517" s="235"/>
      <c r="E1517" s="240"/>
      <c r="F1517" s="241"/>
      <c r="G1517" s="242"/>
      <c r="H1517" s="239">
        <f t="shared" si="1876"/>
        <v>0</v>
      </c>
      <c r="I1517" s="131">
        <f t="shared" si="1877"/>
        <v>0</v>
      </c>
      <c r="J1517" s="31">
        <f t="shared" si="1878"/>
        <v>0</v>
      </c>
      <c r="K1517" s="31">
        <f t="shared" si="1879"/>
        <v>0</v>
      </c>
      <c r="L1517" s="31">
        <f t="shared" si="1880"/>
        <v>0</v>
      </c>
      <c r="M1517" s="31">
        <f t="shared" si="1881"/>
        <v>0</v>
      </c>
      <c r="N1517" s="31">
        <f t="shared" si="1882"/>
        <v>0</v>
      </c>
      <c r="O1517" s="31">
        <f t="shared" si="1883"/>
        <v>0</v>
      </c>
      <c r="P1517" s="31">
        <f t="shared" si="1884"/>
        <v>0</v>
      </c>
      <c r="Q1517" s="49">
        <f t="shared" si="1885"/>
        <v>0</v>
      </c>
    </row>
    <row r="1518" spans="4:17" s="16" customFormat="1" ht="13.2" x14ac:dyDescent="0.25">
      <c r="D1518" s="235"/>
      <c r="E1518" s="240"/>
      <c r="F1518" s="241"/>
      <c r="G1518" s="242"/>
      <c r="H1518" s="239">
        <f t="shared" si="1876"/>
        <v>0</v>
      </c>
      <c r="I1518" s="131">
        <f t="shared" si="1877"/>
        <v>0</v>
      </c>
      <c r="J1518" s="31">
        <f t="shared" si="1878"/>
        <v>0</v>
      </c>
      <c r="K1518" s="31">
        <f t="shared" si="1879"/>
        <v>0</v>
      </c>
      <c r="L1518" s="31">
        <f t="shared" si="1880"/>
        <v>0</v>
      </c>
      <c r="M1518" s="31">
        <f t="shared" si="1881"/>
        <v>0</v>
      </c>
      <c r="N1518" s="31">
        <f t="shared" si="1882"/>
        <v>0</v>
      </c>
      <c r="O1518" s="31">
        <f t="shared" si="1883"/>
        <v>0</v>
      </c>
      <c r="P1518" s="31">
        <f t="shared" si="1884"/>
        <v>0</v>
      </c>
      <c r="Q1518" s="49">
        <f t="shared" si="1885"/>
        <v>0</v>
      </c>
    </row>
    <row r="1519" spans="4:17" s="16" customFormat="1" ht="13.2" x14ac:dyDescent="0.25">
      <c r="D1519" s="235"/>
      <c r="E1519" s="240"/>
      <c r="F1519" s="241"/>
      <c r="G1519" s="242"/>
      <c r="H1519" s="239">
        <f t="shared" si="1876"/>
        <v>0</v>
      </c>
      <c r="I1519" s="131">
        <f t="shared" si="1877"/>
        <v>0</v>
      </c>
      <c r="J1519" s="31">
        <f t="shared" si="1878"/>
        <v>0</v>
      </c>
      <c r="K1519" s="31">
        <f t="shared" si="1879"/>
        <v>0</v>
      </c>
      <c r="L1519" s="31">
        <f t="shared" si="1880"/>
        <v>0</v>
      </c>
      <c r="M1519" s="31">
        <f t="shared" si="1881"/>
        <v>0</v>
      </c>
      <c r="N1519" s="31">
        <f t="shared" si="1882"/>
        <v>0</v>
      </c>
      <c r="O1519" s="31">
        <f t="shared" si="1883"/>
        <v>0</v>
      </c>
      <c r="P1519" s="31">
        <f t="shared" si="1884"/>
        <v>0</v>
      </c>
      <c r="Q1519" s="49">
        <f t="shared" si="1885"/>
        <v>0</v>
      </c>
    </row>
    <row r="1520" spans="4:17" s="16" customFormat="1" ht="13.8" thickBot="1" x14ac:dyDescent="0.3">
      <c r="D1520" s="307"/>
      <c r="E1520" s="26"/>
      <c r="F1520" s="206"/>
      <c r="G1520" s="207"/>
      <c r="H1520" s="207"/>
      <c r="I1520" s="51"/>
      <c r="J1520" s="308"/>
      <c r="K1520" s="308"/>
      <c r="L1520" s="308"/>
      <c r="M1520" s="308"/>
      <c r="N1520" s="308"/>
      <c r="O1520" s="308"/>
      <c r="P1520" s="308"/>
      <c r="Q1520" s="309"/>
    </row>
    <row r="1521" spans="4:17" s="16" customFormat="1" ht="13.2" x14ac:dyDescent="0.25">
      <c r="D1521" s="796" t="s">
        <v>1680</v>
      </c>
      <c r="E1521" s="797"/>
      <c r="F1521" s="797"/>
      <c r="G1521" s="797"/>
      <c r="H1521" s="797"/>
      <c r="I1521" s="47">
        <f>SUM(I1522:I1531)</f>
        <v>0</v>
      </c>
      <c r="J1521" s="47">
        <f t="shared" ref="J1521:Q1521" si="1886">SUM(J1522:J1531)</f>
        <v>0</v>
      </c>
      <c r="K1521" s="47">
        <f t="shared" si="1886"/>
        <v>0</v>
      </c>
      <c r="L1521" s="47">
        <f t="shared" si="1886"/>
        <v>0</v>
      </c>
      <c r="M1521" s="47">
        <f t="shared" si="1886"/>
        <v>0</v>
      </c>
      <c r="N1521" s="47">
        <f t="shared" si="1886"/>
        <v>0</v>
      </c>
      <c r="O1521" s="47">
        <f t="shared" si="1886"/>
        <v>0</v>
      </c>
      <c r="P1521" s="47">
        <f t="shared" si="1886"/>
        <v>0</v>
      </c>
      <c r="Q1521" s="47">
        <f t="shared" si="1886"/>
        <v>0</v>
      </c>
    </row>
    <row r="1522" spans="4:17" s="16" customFormat="1" ht="13.2" x14ac:dyDescent="0.25">
      <c r="D1522" s="235"/>
      <c r="E1522" s="237"/>
      <c r="F1522" s="238"/>
      <c r="G1522" s="239"/>
      <c r="H1522" s="239">
        <f t="shared" ref="H1522:H1531" si="1887">E1522*G1522</f>
        <v>0</v>
      </c>
      <c r="I1522" s="131">
        <f t="shared" ref="I1522:I1531" si="1888">IF($F1522=4.2,H1522*$B$23,0)</f>
        <v>0</v>
      </c>
      <c r="J1522" s="31">
        <f t="shared" ref="J1522:J1531" si="1889">IF($F1522=5,$H1522*$B$24,0)</f>
        <v>0</v>
      </c>
      <c r="K1522" s="31">
        <f t="shared" ref="K1522:K1531" si="1890">IF($F1522=6.3,$H1522*$B$25,0)</f>
        <v>0</v>
      </c>
      <c r="L1522" s="31">
        <f t="shared" ref="L1522:L1531" si="1891">IF($F1522=8,$H1522*$B$26,0)</f>
        <v>0</v>
      </c>
      <c r="M1522" s="31">
        <f t="shared" ref="M1522:M1531" si="1892">IF($F1522=10,$H1522*$B$27,0)</f>
        <v>0</v>
      </c>
      <c r="N1522" s="31">
        <f t="shared" ref="N1522:N1531" si="1893">IF($F1522=12.5,$H1522*$B$28,0)</f>
        <v>0</v>
      </c>
      <c r="O1522" s="31">
        <f t="shared" ref="O1522:O1531" si="1894">IF($F1522=16,$H1522*$B$29,0)</f>
        <v>0</v>
      </c>
      <c r="P1522" s="31">
        <f t="shared" ref="P1522:P1531" si="1895">IF($F1522=20,$H1522*$B$30,0)</f>
        <v>0</v>
      </c>
      <c r="Q1522" s="49">
        <f t="shared" ref="Q1522:Q1531" si="1896">IF($F1522=25,$H1522*$B$31,0)</f>
        <v>0</v>
      </c>
    </row>
    <row r="1523" spans="4:17" s="16" customFormat="1" ht="13.2" x14ac:dyDescent="0.25">
      <c r="D1523" s="235"/>
      <c r="E1523" s="240"/>
      <c r="F1523" s="241"/>
      <c r="G1523" s="242"/>
      <c r="H1523" s="239">
        <f t="shared" si="1887"/>
        <v>0</v>
      </c>
      <c r="I1523" s="131">
        <f t="shared" si="1888"/>
        <v>0</v>
      </c>
      <c r="J1523" s="31">
        <f t="shared" si="1889"/>
        <v>0</v>
      </c>
      <c r="K1523" s="31">
        <f t="shared" si="1890"/>
        <v>0</v>
      </c>
      <c r="L1523" s="31">
        <f t="shared" si="1891"/>
        <v>0</v>
      </c>
      <c r="M1523" s="31">
        <f t="shared" si="1892"/>
        <v>0</v>
      </c>
      <c r="N1523" s="31">
        <f t="shared" si="1893"/>
        <v>0</v>
      </c>
      <c r="O1523" s="31">
        <f t="shared" si="1894"/>
        <v>0</v>
      </c>
      <c r="P1523" s="31">
        <f t="shared" si="1895"/>
        <v>0</v>
      </c>
      <c r="Q1523" s="49">
        <f t="shared" si="1896"/>
        <v>0</v>
      </c>
    </row>
    <row r="1524" spans="4:17" s="16" customFormat="1" ht="13.2" x14ac:dyDescent="0.25">
      <c r="D1524" s="235"/>
      <c r="E1524" s="240"/>
      <c r="F1524" s="241"/>
      <c r="G1524" s="242"/>
      <c r="H1524" s="239">
        <f t="shared" si="1887"/>
        <v>0</v>
      </c>
      <c r="I1524" s="131">
        <f t="shared" si="1888"/>
        <v>0</v>
      </c>
      <c r="J1524" s="31">
        <f t="shared" si="1889"/>
        <v>0</v>
      </c>
      <c r="K1524" s="31">
        <f t="shared" si="1890"/>
        <v>0</v>
      </c>
      <c r="L1524" s="31">
        <f t="shared" si="1891"/>
        <v>0</v>
      </c>
      <c r="M1524" s="31">
        <f t="shared" si="1892"/>
        <v>0</v>
      </c>
      <c r="N1524" s="31">
        <f t="shared" si="1893"/>
        <v>0</v>
      </c>
      <c r="O1524" s="31">
        <f t="shared" si="1894"/>
        <v>0</v>
      </c>
      <c r="P1524" s="31">
        <f t="shared" si="1895"/>
        <v>0</v>
      </c>
      <c r="Q1524" s="49">
        <f t="shared" si="1896"/>
        <v>0</v>
      </c>
    </row>
    <row r="1525" spans="4:17" s="16" customFormat="1" ht="13.2" x14ac:dyDescent="0.25">
      <c r="D1525" s="235"/>
      <c r="E1525" s="240"/>
      <c r="F1525" s="241"/>
      <c r="G1525" s="242"/>
      <c r="H1525" s="239">
        <f t="shared" si="1887"/>
        <v>0</v>
      </c>
      <c r="I1525" s="131">
        <f t="shared" si="1888"/>
        <v>0</v>
      </c>
      <c r="J1525" s="31">
        <f t="shared" si="1889"/>
        <v>0</v>
      </c>
      <c r="K1525" s="31">
        <f t="shared" si="1890"/>
        <v>0</v>
      </c>
      <c r="L1525" s="31">
        <f t="shared" si="1891"/>
        <v>0</v>
      </c>
      <c r="M1525" s="31">
        <f t="shared" si="1892"/>
        <v>0</v>
      </c>
      <c r="N1525" s="31">
        <f t="shared" si="1893"/>
        <v>0</v>
      </c>
      <c r="O1525" s="31">
        <f t="shared" si="1894"/>
        <v>0</v>
      </c>
      <c r="P1525" s="31">
        <f t="shared" si="1895"/>
        <v>0</v>
      </c>
      <c r="Q1525" s="49">
        <f t="shared" si="1896"/>
        <v>0</v>
      </c>
    </row>
    <row r="1526" spans="4:17" s="16" customFormat="1" ht="13.2" x14ac:dyDescent="0.25">
      <c r="D1526" s="235"/>
      <c r="E1526" s="240"/>
      <c r="F1526" s="241"/>
      <c r="G1526" s="242"/>
      <c r="H1526" s="239">
        <f t="shared" si="1887"/>
        <v>0</v>
      </c>
      <c r="I1526" s="131">
        <f t="shared" si="1888"/>
        <v>0</v>
      </c>
      <c r="J1526" s="31">
        <f t="shared" si="1889"/>
        <v>0</v>
      </c>
      <c r="K1526" s="31">
        <f t="shared" si="1890"/>
        <v>0</v>
      </c>
      <c r="L1526" s="31">
        <f t="shared" si="1891"/>
        <v>0</v>
      </c>
      <c r="M1526" s="31">
        <f t="shared" si="1892"/>
        <v>0</v>
      </c>
      <c r="N1526" s="31">
        <f t="shared" si="1893"/>
        <v>0</v>
      </c>
      <c r="O1526" s="31">
        <f t="shared" si="1894"/>
        <v>0</v>
      </c>
      <c r="P1526" s="31">
        <f t="shared" si="1895"/>
        <v>0</v>
      </c>
      <c r="Q1526" s="49">
        <f t="shared" si="1896"/>
        <v>0</v>
      </c>
    </row>
    <row r="1527" spans="4:17" s="16" customFormat="1" ht="13.2" x14ac:dyDescent="0.25">
      <c r="D1527" s="235"/>
      <c r="E1527" s="240"/>
      <c r="F1527" s="241"/>
      <c r="G1527" s="242"/>
      <c r="H1527" s="239">
        <f t="shared" si="1887"/>
        <v>0</v>
      </c>
      <c r="I1527" s="131">
        <f t="shared" si="1888"/>
        <v>0</v>
      </c>
      <c r="J1527" s="31">
        <f t="shared" si="1889"/>
        <v>0</v>
      </c>
      <c r="K1527" s="31">
        <f t="shared" si="1890"/>
        <v>0</v>
      </c>
      <c r="L1527" s="31">
        <f t="shared" si="1891"/>
        <v>0</v>
      </c>
      <c r="M1527" s="31">
        <f t="shared" si="1892"/>
        <v>0</v>
      </c>
      <c r="N1527" s="31">
        <f t="shared" si="1893"/>
        <v>0</v>
      </c>
      <c r="O1527" s="31">
        <f t="shared" si="1894"/>
        <v>0</v>
      </c>
      <c r="P1527" s="31">
        <f t="shared" si="1895"/>
        <v>0</v>
      </c>
      <c r="Q1527" s="49">
        <f t="shared" si="1896"/>
        <v>0</v>
      </c>
    </row>
    <row r="1528" spans="4:17" s="16" customFormat="1" ht="13.2" x14ac:dyDescent="0.25">
      <c r="D1528" s="235"/>
      <c r="E1528" s="240"/>
      <c r="F1528" s="241"/>
      <c r="G1528" s="242"/>
      <c r="H1528" s="239">
        <f t="shared" si="1887"/>
        <v>0</v>
      </c>
      <c r="I1528" s="131">
        <f t="shared" si="1888"/>
        <v>0</v>
      </c>
      <c r="J1528" s="31">
        <f t="shared" si="1889"/>
        <v>0</v>
      </c>
      <c r="K1528" s="31">
        <f t="shared" si="1890"/>
        <v>0</v>
      </c>
      <c r="L1528" s="31">
        <f t="shared" si="1891"/>
        <v>0</v>
      </c>
      <c r="M1528" s="31">
        <f t="shared" si="1892"/>
        <v>0</v>
      </c>
      <c r="N1528" s="31">
        <f t="shared" si="1893"/>
        <v>0</v>
      </c>
      <c r="O1528" s="31">
        <f t="shared" si="1894"/>
        <v>0</v>
      </c>
      <c r="P1528" s="31">
        <f t="shared" si="1895"/>
        <v>0</v>
      </c>
      <c r="Q1528" s="49">
        <f t="shared" si="1896"/>
        <v>0</v>
      </c>
    </row>
    <row r="1529" spans="4:17" s="16" customFormat="1" ht="13.2" x14ac:dyDescent="0.25">
      <c r="D1529" s="235"/>
      <c r="E1529" s="240"/>
      <c r="F1529" s="241"/>
      <c r="G1529" s="242"/>
      <c r="H1529" s="239">
        <f t="shared" si="1887"/>
        <v>0</v>
      </c>
      <c r="I1529" s="131">
        <f t="shared" si="1888"/>
        <v>0</v>
      </c>
      <c r="J1529" s="31">
        <f t="shared" si="1889"/>
        <v>0</v>
      </c>
      <c r="K1529" s="31">
        <f t="shared" si="1890"/>
        <v>0</v>
      </c>
      <c r="L1529" s="31">
        <f t="shared" si="1891"/>
        <v>0</v>
      </c>
      <c r="M1529" s="31">
        <f t="shared" si="1892"/>
        <v>0</v>
      </c>
      <c r="N1529" s="31">
        <f t="shared" si="1893"/>
        <v>0</v>
      </c>
      <c r="O1529" s="31">
        <f t="shared" si="1894"/>
        <v>0</v>
      </c>
      <c r="P1529" s="31">
        <f t="shared" si="1895"/>
        <v>0</v>
      </c>
      <c r="Q1529" s="49">
        <f t="shared" si="1896"/>
        <v>0</v>
      </c>
    </row>
    <row r="1530" spans="4:17" s="16" customFormat="1" ht="13.2" x14ac:dyDescent="0.25">
      <c r="D1530" s="235"/>
      <c r="E1530" s="240"/>
      <c r="F1530" s="241"/>
      <c r="G1530" s="242"/>
      <c r="H1530" s="239">
        <f t="shared" si="1887"/>
        <v>0</v>
      </c>
      <c r="I1530" s="131">
        <f t="shared" si="1888"/>
        <v>0</v>
      </c>
      <c r="J1530" s="31">
        <f t="shared" si="1889"/>
        <v>0</v>
      </c>
      <c r="K1530" s="31">
        <f t="shared" si="1890"/>
        <v>0</v>
      </c>
      <c r="L1530" s="31">
        <f t="shared" si="1891"/>
        <v>0</v>
      </c>
      <c r="M1530" s="31">
        <f t="shared" si="1892"/>
        <v>0</v>
      </c>
      <c r="N1530" s="31">
        <f t="shared" si="1893"/>
        <v>0</v>
      </c>
      <c r="O1530" s="31">
        <f t="shared" si="1894"/>
        <v>0</v>
      </c>
      <c r="P1530" s="31">
        <f t="shared" si="1895"/>
        <v>0</v>
      </c>
      <c r="Q1530" s="49">
        <f t="shared" si="1896"/>
        <v>0</v>
      </c>
    </row>
    <row r="1531" spans="4:17" s="16" customFormat="1" ht="13.2" x14ac:dyDescent="0.25">
      <c r="D1531" s="235"/>
      <c r="E1531" s="240"/>
      <c r="F1531" s="241"/>
      <c r="G1531" s="242"/>
      <c r="H1531" s="239">
        <f t="shared" si="1887"/>
        <v>0</v>
      </c>
      <c r="I1531" s="131">
        <f t="shared" si="1888"/>
        <v>0</v>
      </c>
      <c r="J1531" s="31">
        <f t="shared" si="1889"/>
        <v>0</v>
      </c>
      <c r="K1531" s="31">
        <f t="shared" si="1890"/>
        <v>0</v>
      </c>
      <c r="L1531" s="31">
        <f t="shared" si="1891"/>
        <v>0</v>
      </c>
      <c r="M1531" s="31">
        <f t="shared" si="1892"/>
        <v>0</v>
      </c>
      <c r="N1531" s="31">
        <f t="shared" si="1893"/>
        <v>0</v>
      </c>
      <c r="O1531" s="31">
        <f t="shared" si="1894"/>
        <v>0</v>
      </c>
      <c r="P1531" s="31">
        <f t="shared" si="1895"/>
        <v>0</v>
      </c>
      <c r="Q1531" s="49">
        <f t="shared" si="1896"/>
        <v>0</v>
      </c>
    </row>
    <row r="1532" spans="4:17" s="16" customFormat="1" ht="13.8" thickBot="1" x14ac:dyDescent="0.3">
      <c r="D1532" s="307"/>
      <c r="E1532" s="26"/>
      <c r="F1532" s="206"/>
      <c r="G1532" s="207"/>
      <c r="H1532" s="207"/>
      <c r="I1532" s="51"/>
      <c r="J1532" s="308"/>
      <c r="K1532" s="308"/>
      <c r="L1532" s="308"/>
      <c r="M1532" s="308"/>
      <c r="N1532" s="308"/>
      <c r="O1532" s="308"/>
      <c r="P1532" s="308"/>
      <c r="Q1532" s="309"/>
    </row>
    <row r="1533" spans="4:17" s="16" customFormat="1" ht="13.2" x14ac:dyDescent="0.25">
      <c r="D1533" s="796" t="s">
        <v>1680</v>
      </c>
      <c r="E1533" s="797"/>
      <c r="F1533" s="797"/>
      <c r="G1533" s="797"/>
      <c r="H1533" s="797"/>
      <c r="I1533" s="47">
        <f>SUM(I1534:I1543)</f>
        <v>0</v>
      </c>
      <c r="J1533" s="47">
        <f t="shared" ref="J1533:Q1533" si="1897">SUM(J1534:J1543)</f>
        <v>0</v>
      </c>
      <c r="K1533" s="47">
        <f t="shared" si="1897"/>
        <v>0</v>
      </c>
      <c r="L1533" s="47">
        <f t="shared" si="1897"/>
        <v>0</v>
      </c>
      <c r="M1533" s="47">
        <f t="shared" si="1897"/>
        <v>0</v>
      </c>
      <c r="N1533" s="47">
        <f t="shared" si="1897"/>
        <v>0</v>
      </c>
      <c r="O1533" s="47">
        <f t="shared" si="1897"/>
        <v>0</v>
      </c>
      <c r="P1533" s="47">
        <f t="shared" si="1897"/>
        <v>0</v>
      </c>
      <c r="Q1533" s="47">
        <f t="shared" si="1897"/>
        <v>0</v>
      </c>
    </row>
    <row r="1534" spans="4:17" s="16" customFormat="1" ht="13.2" x14ac:dyDescent="0.25">
      <c r="D1534" s="235"/>
      <c r="E1534" s="237"/>
      <c r="F1534" s="238"/>
      <c r="G1534" s="239"/>
      <c r="H1534" s="239">
        <f t="shared" ref="H1534:H1543" si="1898">E1534*G1534</f>
        <v>0</v>
      </c>
      <c r="I1534" s="131">
        <f t="shared" ref="I1534:I1543" si="1899">IF($F1534=4.2,H1534*$B$23,0)</f>
        <v>0</v>
      </c>
      <c r="J1534" s="31">
        <f t="shared" ref="J1534:J1543" si="1900">IF($F1534=5,$H1534*$B$24,0)</f>
        <v>0</v>
      </c>
      <c r="K1534" s="31">
        <f t="shared" ref="K1534:K1543" si="1901">IF($F1534=6.3,$H1534*$B$25,0)</f>
        <v>0</v>
      </c>
      <c r="L1534" s="31">
        <f t="shared" ref="L1534:L1543" si="1902">IF($F1534=8,$H1534*$B$26,0)</f>
        <v>0</v>
      </c>
      <c r="M1534" s="31">
        <f t="shared" ref="M1534:M1543" si="1903">IF($F1534=10,$H1534*$B$27,0)</f>
        <v>0</v>
      </c>
      <c r="N1534" s="31">
        <f t="shared" ref="N1534:N1543" si="1904">IF($F1534=12.5,$H1534*$B$28,0)</f>
        <v>0</v>
      </c>
      <c r="O1534" s="31">
        <f t="shared" ref="O1534:O1543" si="1905">IF($F1534=16,$H1534*$B$29,0)</f>
        <v>0</v>
      </c>
      <c r="P1534" s="31">
        <f t="shared" ref="P1534:P1543" si="1906">IF($F1534=20,$H1534*$B$30,0)</f>
        <v>0</v>
      </c>
      <c r="Q1534" s="49">
        <f t="shared" ref="Q1534:Q1543" si="1907">IF($F1534=25,$H1534*$B$31,0)</f>
        <v>0</v>
      </c>
    </row>
    <row r="1535" spans="4:17" s="16" customFormat="1" ht="13.2" x14ac:dyDescent="0.25">
      <c r="D1535" s="235"/>
      <c r="E1535" s="240"/>
      <c r="F1535" s="241"/>
      <c r="G1535" s="242"/>
      <c r="H1535" s="239">
        <f t="shared" si="1898"/>
        <v>0</v>
      </c>
      <c r="I1535" s="131">
        <f t="shared" si="1899"/>
        <v>0</v>
      </c>
      <c r="J1535" s="31">
        <f t="shared" si="1900"/>
        <v>0</v>
      </c>
      <c r="K1535" s="31">
        <f t="shared" si="1901"/>
        <v>0</v>
      </c>
      <c r="L1535" s="31">
        <f t="shared" si="1902"/>
        <v>0</v>
      </c>
      <c r="M1535" s="31">
        <f t="shared" si="1903"/>
        <v>0</v>
      </c>
      <c r="N1535" s="31">
        <f t="shared" si="1904"/>
        <v>0</v>
      </c>
      <c r="O1535" s="31">
        <f t="shared" si="1905"/>
        <v>0</v>
      </c>
      <c r="P1535" s="31">
        <f t="shared" si="1906"/>
        <v>0</v>
      </c>
      <c r="Q1535" s="49">
        <f t="shared" si="1907"/>
        <v>0</v>
      </c>
    </row>
    <row r="1536" spans="4:17" s="16" customFormat="1" ht="13.2" x14ac:dyDescent="0.25">
      <c r="D1536" s="235"/>
      <c r="E1536" s="240"/>
      <c r="F1536" s="241"/>
      <c r="G1536" s="242"/>
      <c r="H1536" s="239">
        <f t="shared" si="1898"/>
        <v>0</v>
      </c>
      <c r="I1536" s="131">
        <f t="shared" si="1899"/>
        <v>0</v>
      </c>
      <c r="J1536" s="31">
        <f t="shared" si="1900"/>
        <v>0</v>
      </c>
      <c r="K1536" s="31">
        <f t="shared" si="1901"/>
        <v>0</v>
      </c>
      <c r="L1536" s="31">
        <f t="shared" si="1902"/>
        <v>0</v>
      </c>
      <c r="M1536" s="31">
        <f t="shared" si="1903"/>
        <v>0</v>
      </c>
      <c r="N1536" s="31">
        <f t="shared" si="1904"/>
        <v>0</v>
      </c>
      <c r="O1536" s="31">
        <f t="shared" si="1905"/>
        <v>0</v>
      </c>
      <c r="P1536" s="31">
        <f t="shared" si="1906"/>
        <v>0</v>
      </c>
      <c r="Q1536" s="49">
        <f t="shared" si="1907"/>
        <v>0</v>
      </c>
    </row>
    <row r="1537" spans="4:17" s="16" customFormat="1" ht="13.2" x14ac:dyDescent="0.25">
      <c r="D1537" s="235"/>
      <c r="E1537" s="240"/>
      <c r="F1537" s="241"/>
      <c r="G1537" s="242"/>
      <c r="H1537" s="239">
        <f t="shared" si="1898"/>
        <v>0</v>
      </c>
      <c r="I1537" s="131">
        <f t="shared" si="1899"/>
        <v>0</v>
      </c>
      <c r="J1537" s="31">
        <f t="shared" si="1900"/>
        <v>0</v>
      </c>
      <c r="K1537" s="31">
        <f t="shared" si="1901"/>
        <v>0</v>
      </c>
      <c r="L1537" s="31">
        <f t="shared" si="1902"/>
        <v>0</v>
      </c>
      <c r="M1537" s="31">
        <f t="shared" si="1903"/>
        <v>0</v>
      </c>
      <c r="N1537" s="31">
        <f t="shared" si="1904"/>
        <v>0</v>
      </c>
      <c r="O1537" s="31">
        <f t="shared" si="1905"/>
        <v>0</v>
      </c>
      <c r="P1537" s="31">
        <f t="shared" si="1906"/>
        <v>0</v>
      </c>
      <c r="Q1537" s="49">
        <f t="shared" si="1907"/>
        <v>0</v>
      </c>
    </row>
    <row r="1538" spans="4:17" s="16" customFormat="1" ht="13.2" x14ac:dyDescent="0.25">
      <c r="D1538" s="235"/>
      <c r="E1538" s="240"/>
      <c r="F1538" s="241"/>
      <c r="G1538" s="242"/>
      <c r="H1538" s="239">
        <f t="shared" si="1898"/>
        <v>0</v>
      </c>
      <c r="I1538" s="131">
        <f t="shared" si="1899"/>
        <v>0</v>
      </c>
      <c r="J1538" s="31">
        <f t="shared" si="1900"/>
        <v>0</v>
      </c>
      <c r="K1538" s="31">
        <f t="shared" si="1901"/>
        <v>0</v>
      </c>
      <c r="L1538" s="31">
        <f t="shared" si="1902"/>
        <v>0</v>
      </c>
      <c r="M1538" s="31">
        <f t="shared" si="1903"/>
        <v>0</v>
      </c>
      <c r="N1538" s="31">
        <f t="shared" si="1904"/>
        <v>0</v>
      </c>
      <c r="O1538" s="31">
        <f t="shared" si="1905"/>
        <v>0</v>
      </c>
      <c r="P1538" s="31">
        <f t="shared" si="1906"/>
        <v>0</v>
      </c>
      <c r="Q1538" s="49">
        <f t="shared" si="1907"/>
        <v>0</v>
      </c>
    </row>
    <row r="1539" spans="4:17" s="16" customFormat="1" ht="13.2" x14ac:dyDescent="0.25">
      <c r="D1539" s="235"/>
      <c r="E1539" s="240"/>
      <c r="F1539" s="241"/>
      <c r="G1539" s="242"/>
      <c r="H1539" s="239">
        <f t="shared" si="1898"/>
        <v>0</v>
      </c>
      <c r="I1539" s="131">
        <f t="shared" si="1899"/>
        <v>0</v>
      </c>
      <c r="J1539" s="31">
        <f t="shared" si="1900"/>
        <v>0</v>
      </c>
      <c r="K1539" s="31">
        <f t="shared" si="1901"/>
        <v>0</v>
      </c>
      <c r="L1539" s="31">
        <f t="shared" si="1902"/>
        <v>0</v>
      </c>
      <c r="M1539" s="31">
        <f t="shared" si="1903"/>
        <v>0</v>
      </c>
      <c r="N1539" s="31">
        <f t="shared" si="1904"/>
        <v>0</v>
      </c>
      <c r="O1539" s="31">
        <f t="shared" si="1905"/>
        <v>0</v>
      </c>
      <c r="P1539" s="31">
        <f t="shared" si="1906"/>
        <v>0</v>
      </c>
      <c r="Q1539" s="49">
        <f t="shared" si="1907"/>
        <v>0</v>
      </c>
    </row>
    <row r="1540" spans="4:17" s="16" customFormat="1" ht="13.2" x14ac:dyDescent="0.25">
      <c r="D1540" s="235"/>
      <c r="E1540" s="240"/>
      <c r="F1540" s="241"/>
      <c r="G1540" s="242"/>
      <c r="H1540" s="239">
        <f t="shared" si="1898"/>
        <v>0</v>
      </c>
      <c r="I1540" s="131">
        <f t="shared" si="1899"/>
        <v>0</v>
      </c>
      <c r="J1540" s="31">
        <f t="shared" si="1900"/>
        <v>0</v>
      </c>
      <c r="K1540" s="31">
        <f t="shared" si="1901"/>
        <v>0</v>
      </c>
      <c r="L1540" s="31">
        <f t="shared" si="1902"/>
        <v>0</v>
      </c>
      <c r="M1540" s="31">
        <f t="shared" si="1903"/>
        <v>0</v>
      </c>
      <c r="N1540" s="31">
        <f t="shared" si="1904"/>
        <v>0</v>
      </c>
      <c r="O1540" s="31">
        <f t="shared" si="1905"/>
        <v>0</v>
      </c>
      <c r="P1540" s="31">
        <f t="shared" si="1906"/>
        <v>0</v>
      </c>
      <c r="Q1540" s="49">
        <f t="shared" si="1907"/>
        <v>0</v>
      </c>
    </row>
    <row r="1541" spans="4:17" s="16" customFormat="1" ht="13.2" x14ac:dyDescent="0.25">
      <c r="D1541" s="235"/>
      <c r="E1541" s="240"/>
      <c r="F1541" s="241"/>
      <c r="G1541" s="242"/>
      <c r="H1541" s="239">
        <f t="shared" si="1898"/>
        <v>0</v>
      </c>
      <c r="I1541" s="131">
        <f t="shared" si="1899"/>
        <v>0</v>
      </c>
      <c r="J1541" s="31">
        <f t="shared" si="1900"/>
        <v>0</v>
      </c>
      <c r="K1541" s="31">
        <f t="shared" si="1901"/>
        <v>0</v>
      </c>
      <c r="L1541" s="31">
        <f t="shared" si="1902"/>
        <v>0</v>
      </c>
      <c r="M1541" s="31">
        <f t="shared" si="1903"/>
        <v>0</v>
      </c>
      <c r="N1541" s="31">
        <f t="shared" si="1904"/>
        <v>0</v>
      </c>
      <c r="O1541" s="31">
        <f t="shared" si="1905"/>
        <v>0</v>
      </c>
      <c r="P1541" s="31">
        <f t="shared" si="1906"/>
        <v>0</v>
      </c>
      <c r="Q1541" s="49">
        <f t="shared" si="1907"/>
        <v>0</v>
      </c>
    </row>
    <row r="1542" spans="4:17" s="16" customFormat="1" ht="13.2" x14ac:dyDescent="0.25">
      <c r="D1542" s="235"/>
      <c r="E1542" s="240"/>
      <c r="F1542" s="241"/>
      <c r="G1542" s="242"/>
      <c r="H1542" s="239">
        <f t="shared" si="1898"/>
        <v>0</v>
      </c>
      <c r="I1542" s="131">
        <f t="shared" si="1899"/>
        <v>0</v>
      </c>
      <c r="J1542" s="31">
        <f t="shared" si="1900"/>
        <v>0</v>
      </c>
      <c r="K1542" s="31">
        <f t="shared" si="1901"/>
        <v>0</v>
      </c>
      <c r="L1542" s="31">
        <f t="shared" si="1902"/>
        <v>0</v>
      </c>
      <c r="M1542" s="31">
        <f t="shared" si="1903"/>
        <v>0</v>
      </c>
      <c r="N1542" s="31">
        <f t="shared" si="1904"/>
        <v>0</v>
      </c>
      <c r="O1542" s="31">
        <f t="shared" si="1905"/>
        <v>0</v>
      </c>
      <c r="P1542" s="31">
        <f t="shared" si="1906"/>
        <v>0</v>
      </c>
      <c r="Q1542" s="49">
        <f t="shared" si="1907"/>
        <v>0</v>
      </c>
    </row>
    <row r="1543" spans="4:17" s="16" customFormat="1" ht="13.2" x14ac:dyDescent="0.25">
      <c r="D1543" s="235"/>
      <c r="E1543" s="240"/>
      <c r="F1543" s="241"/>
      <c r="G1543" s="242"/>
      <c r="H1543" s="239">
        <f t="shared" si="1898"/>
        <v>0</v>
      </c>
      <c r="I1543" s="131">
        <f t="shared" si="1899"/>
        <v>0</v>
      </c>
      <c r="J1543" s="31">
        <f t="shared" si="1900"/>
        <v>0</v>
      </c>
      <c r="K1543" s="31">
        <f t="shared" si="1901"/>
        <v>0</v>
      </c>
      <c r="L1543" s="31">
        <f t="shared" si="1902"/>
        <v>0</v>
      </c>
      <c r="M1543" s="31">
        <f t="shared" si="1903"/>
        <v>0</v>
      </c>
      <c r="N1543" s="31">
        <f t="shared" si="1904"/>
        <v>0</v>
      </c>
      <c r="O1543" s="31">
        <f t="shared" si="1905"/>
        <v>0</v>
      </c>
      <c r="P1543" s="31">
        <f t="shared" si="1906"/>
        <v>0</v>
      </c>
      <c r="Q1543" s="49">
        <f t="shared" si="1907"/>
        <v>0</v>
      </c>
    </row>
    <row r="1544" spans="4:17" s="16" customFormat="1" ht="13.8" thickBot="1" x14ac:dyDescent="0.3">
      <c r="D1544" s="307"/>
      <c r="E1544" s="26"/>
      <c r="F1544" s="206"/>
      <c r="G1544" s="207"/>
      <c r="H1544" s="207"/>
      <c r="I1544" s="51"/>
      <c r="J1544" s="308"/>
      <c r="K1544" s="308"/>
      <c r="L1544" s="308"/>
      <c r="M1544" s="308"/>
      <c r="N1544" s="308"/>
      <c r="O1544" s="308"/>
      <c r="P1544" s="308"/>
      <c r="Q1544" s="309"/>
    </row>
    <row r="1545" spans="4:17" s="16" customFormat="1" ht="13.2" x14ac:dyDescent="0.25">
      <c r="D1545" s="796" t="s">
        <v>1680</v>
      </c>
      <c r="E1545" s="797"/>
      <c r="F1545" s="797"/>
      <c r="G1545" s="797"/>
      <c r="H1545" s="797"/>
      <c r="I1545" s="47">
        <f>SUM(I1546:I1555)</f>
        <v>0</v>
      </c>
      <c r="J1545" s="47">
        <f t="shared" ref="J1545:Q1545" si="1908">SUM(J1546:J1555)</f>
        <v>0</v>
      </c>
      <c r="K1545" s="47">
        <f t="shared" si="1908"/>
        <v>0</v>
      </c>
      <c r="L1545" s="47">
        <f t="shared" si="1908"/>
        <v>0</v>
      </c>
      <c r="M1545" s="47">
        <f t="shared" si="1908"/>
        <v>0</v>
      </c>
      <c r="N1545" s="47">
        <f t="shared" si="1908"/>
        <v>0</v>
      </c>
      <c r="O1545" s="47">
        <f t="shared" si="1908"/>
        <v>0</v>
      </c>
      <c r="P1545" s="47">
        <f t="shared" si="1908"/>
        <v>0</v>
      </c>
      <c r="Q1545" s="47">
        <f t="shared" si="1908"/>
        <v>0</v>
      </c>
    </row>
    <row r="1546" spans="4:17" s="16" customFormat="1" ht="13.2" x14ac:dyDescent="0.25">
      <c r="D1546" s="235"/>
      <c r="E1546" s="237"/>
      <c r="F1546" s="238"/>
      <c r="G1546" s="239"/>
      <c r="H1546" s="239">
        <f t="shared" ref="H1546:H1555" si="1909">E1546*G1546</f>
        <v>0</v>
      </c>
      <c r="I1546" s="131">
        <f t="shared" ref="I1546:I1555" si="1910">IF($F1546=4.2,H1546*$B$23,0)</f>
        <v>0</v>
      </c>
      <c r="J1546" s="31">
        <f t="shared" ref="J1546:J1555" si="1911">IF($F1546=5,$H1546*$B$24,0)</f>
        <v>0</v>
      </c>
      <c r="K1546" s="31">
        <f t="shared" ref="K1546:K1555" si="1912">IF($F1546=6.3,$H1546*$B$25,0)</f>
        <v>0</v>
      </c>
      <c r="L1546" s="31">
        <f t="shared" ref="L1546:L1555" si="1913">IF($F1546=8,$H1546*$B$26,0)</f>
        <v>0</v>
      </c>
      <c r="M1546" s="31">
        <f t="shared" ref="M1546:M1555" si="1914">IF($F1546=10,$H1546*$B$27,0)</f>
        <v>0</v>
      </c>
      <c r="N1546" s="31">
        <f t="shared" ref="N1546:N1555" si="1915">IF($F1546=12.5,$H1546*$B$28,0)</f>
        <v>0</v>
      </c>
      <c r="O1546" s="31">
        <f t="shared" ref="O1546:O1555" si="1916">IF($F1546=16,$H1546*$B$29,0)</f>
        <v>0</v>
      </c>
      <c r="P1546" s="31">
        <f t="shared" ref="P1546:P1555" si="1917">IF($F1546=20,$H1546*$B$30,0)</f>
        <v>0</v>
      </c>
      <c r="Q1546" s="49">
        <f t="shared" ref="Q1546:Q1555" si="1918">IF($F1546=25,$H1546*$B$31,0)</f>
        <v>0</v>
      </c>
    </row>
    <row r="1547" spans="4:17" s="16" customFormat="1" ht="13.2" x14ac:dyDescent="0.25">
      <c r="D1547" s="235"/>
      <c r="E1547" s="240"/>
      <c r="F1547" s="241"/>
      <c r="G1547" s="242"/>
      <c r="H1547" s="239">
        <f t="shared" si="1909"/>
        <v>0</v>
      </c>
      <c r="I1547" s="131">
        <f t="shared" si="1910"/>
        <v>0</v>
      </c>
      <c r="J1547" s="31">
        <f t="shared" si="1911"/>
        <v>0</v>
      </c>
      <c r="K1547" s="31">
        <f t="shared" si="1912"/>
        <v>0</v>
      </c>
      <c r="L1547" s="31">
        <f t="shared" si="1913"/>
        <v>0</v>
      </c>
      <c r="M1547" s="31">
        <f t="shared" si="1914"/>
        <v>0</v>
      </c>
      <c r="N1547" s="31">
        <f t="shared" si="1915"/>
        <v>0</v>
      </c>
      <c r="O1547" s="31">
        <f t="shared" si="1916"/>
        <v>0</v>
      </c>
      <c r="P1547" s="31">
        <f t="shared" si="1917"/>
        <v>0</v>
      </c>
      <c r="Q1547" s="49">
        <f t="shared" si="1918"/>
        <v>0</v>
      </c>
    </row>
    <row r="1548" spans="4:17" s="16" customFormat="1" ht="13.2" x14ac:dyDescent="0.25">
      <c r="D1548" s="235"/>
      <c r="E1548" s="240"/>
      <c r="F1548" s="241"/>
      <c r="G1548" s="242"/>
      <c r="H1548" s="239">
        <f t="shared" si="1909"/>
        <v>0</v>
      </c>
      <c r="I1548" s="131">
        <f t="shared" si="1910"/>
        <v>0</v>
      </c>
      <c r="J1548" s="31">
        <f t="shared" si="1911"/>
        <v>0</v>
      </c>
      <c r="K1548" s="31">
        <f t="shared" si="1912"/>
        <v>0</v>
      </c>
      <c r="L1548" s="31">
        <f t="shared" si="1913"/>
        <v>0</v>
      </c>
      <c r="M1548" s="31">
        <f t="shared" si="1914"/>
        <v>0</v>
      </c>
      <c r="N1548" s="31">
        <f t="shared" si="1915"/>
        <v>0</v>
      </c>
      <c r="O1548" s="31">
        <f t="shared" si="1916"/>
        <v>0</v>
      </c>
      <c r="P1548" s="31">
        <f t="shared" si="1917"/>
        <v>0</v>
      </c>
      <c r="Q1548" s="49">
        <f t="shared" si="1918"/>
        <v>0</v>
      </c>
    </row>
    <row r="1549" spans="4:17" s="16" customFormat="1" ht="13.2" x14ac:dyDescent="0.25">
      <c r="D1549" s="235"/>
      <c r="E1549" s="240"/>
      <c r="F1549" s="241"/>
      <c r="G1549" s="242"/>
      <c r="H1549" s="239">
        <f t="shared" si="1909"/>
        <v>0</v>
      </c>
      <c r="I1549" s="131">
        <f t="shared" si="1910"/>
        <v>0</v>
      </c>
      <c r="J1549" s="31">
        <f t="shared" si="1911"/>
        <v>0</v>
      </c>
      <c r="K1549" s="31">
        <f t="shared" si="1912"/>
        <v>0</v>
      </c>
      <c r="L1549" s="31">
        <f t="shared" si="1913"/>
        <v>0</v>
      </c>
      <c r="M1549" s="31">
        <f t="shared" si="1914"/>
        <v>0</v>
      </c>
      <c r="N1549" s="31">
        <f t="shared" si="1915"/>
        <v>0</v>
      </c>
      <c r="O1549" s="31">
        <f t="shared" si="1916"/>
        <v>0</v>
      </c>
      <c r="P1549" s="31">
        <f t="shared" si="1917"/>
        <v>0</v>
      </c>
      <c r="Q1549" s="49">
        <f t="shared" si="1918"/>
        <v>0</v>
      </c>
    </row>
    <row r="1550" spans="4:17" s="16" customFormat="1" ht="13.2" x14ac:dyDescent="0.25">
      <c r="D1550" s="235"/>
      <c r="E1550" s="240"/>
      <c r="F1550" s="241"/>
      <c r="G1550" s="242"/>
      <c r="H1550" s="239">
        <f t="shared" si="1909"/>
        <v>0</v>
      </c>
      <c r="I1550" s="131">
        <f t="shared" si="1910"/>
        <v>0</v>
      </c>
      <c r="J1550" s="31">
        <f t="shared" si="1911"/>
        <v>0</v>
      </c>
      <c r="K1550" s="31">
        <f t="shared" si="1912"/>
        <v>0</v>
      </c>
      <c r="L1550" s="31">
        <f t="shared" si="1913"/>
        <v>0</v>
      </c>
      <c r="M1550" s="31">
        <f t="shared" si="1914"/>
        <v>0</v>
      </c>
      <c r="N1550" s="31">
        <f t="shared" si="1915"/>
        <v>0</v>
      </c>
      <c r="O1550" s="31">
        <f t="shared" si="1916"/>
        <v>0</v>
      </c>
      <c r="P1550" s="31">
        <f t="shared" si="1917"/>
        <v>0</v>
      </c>
      <c r="Q1550" s="49">
        <f t="shared" si="1918"/>
        <v>0</v>
      </c>
    </row>
    <row r="1551" spans="4:17" s="16" customFormat="1" ht="13.2" x14ac:dyDescent="0.25">
      <c r="D1551" s="235"/>
      <c r="E1551" s="240"/>
      <c r="F1551" s="241"/>
      <c r="G1551" s="242"/>
      <c r="H1551" s="239">
        <f t="shared" si="1909"/>
        <v>0</v>
      </c>
      <c r="I1551" s="131">
        <f t="shared" si="1910"/>
        <v>0</v>
      </c>
      <c r="J1551" s="31">
        <f t="shared" si="1911"/>
        <v>0</v>
      </c>
      <c r="K1551" s="31">
        <f t="shared" si="1912"/>
        <v>0</v>
      </c>
      <c r="L1551" s="31">
        <f t="shared" si="1913"/>
        <v>0</v>
      </c>
      <c r="M1551" s="31">
        <f t="shared" si="1914"/>
        <v>0</v>
      </c>
      <c r="N1551" s="31">
        <f t="shared" si="1915"/>
        <v>0</v>
      </c>
      <c r="O1551" s="31">
        <f t="shared" si="1916"/>
        <v>0</v>
      </c>
      <c r="P1551" s="31">
        <f t="shared" si="1917"/>
        <v>0</v>
      </c>
      <c r="Q1551" s="49">
        <f t="shared" si="1918"/>
        <v>0</v>
      </c>
    </row>
    <row r="1552" spans="4:17" s="16" customFormat="1" ht="13.2" x14ac:dyDescent="0.25">
      <c r="D1552" s="235"/>
      <c r="E1552" s="240"/>
      <c r="F1552" s="241"/>
      <c r="G1552" s="242"/>
      <c r="H1552" s="239">
        <f t="shared" si="1909"/>
        <v>0</v>
      </c>
      <c r="I1552" s="131">
        <f t="shared" si="1910"/>
        <v>0</v>
      </c>
      <c r="J1552" s="31">
        <f t="shared" si="1911"/>
        <v>0</v>
      </c>
      <c r="K1552" s="31">
        <f t="shared" si="1912"/>
        <v>0</v>
      </c>
      <c r="L1552" s="31">
        <f t="shared" si="1913"/>
        <v>0</v>
      </c>
      <c r="M1552" s="31">
        <f t="shared" si="1914"/>
        <v>0</v>
      </c>
      <c r="N1552" s="31">
        <f t="shared" si="1915"/>
        <v>0</v>
      </c>
      <c r="O1552" s="31">
        <f t="shared" si="1916"/>
        <v>0</v>
      </c>
      <c r="P1552" s="31">
        <f t="shared" si="1917"/>
        <v>0</v>
      </c>
      <c r="Q1552" s="49">
        <f t="shared" si="1918"/>
        <v>0</v>
      </c>
    </row>
    <row r="1553" spans="4:17" s="16" customFormat="1" ht="13.2" x14ac:dyDescent="0.25">
      <c r="D1553" s="235"/>
      <c r="E1553" s="240"/>
      <c r="F1553" s="241"/>
      <c r="G1553" s="242"/>
      <c r="H1553" s="239">
        <f t="shared" si="1909"/>
        <v>0</v>
      </c>
      <c r="I1553" s="131">
        <f t="shared" si="1910"/>
        <v>0</v>
      </c>
      <c r="J1553" s="31">
        <f t="shared" si="1911"/>
        <v>0</v>
      </c>
      <c r="K1553" s="31">
        <f t="shared" si="1912"/>
        <v>0</v>
      </c>
      <c r="L1553" s="31">
        <f t="shared" si="1913"/>
        <v>0</v>
      </c>
      <c r="M1553" s="31">
        <f t="shared" si="1914"/>
        <v>0</v>
      </c>
      <c r="N1553" s="31">
        <f t="shared" si="1915"/>
        <v>0</v>
      </c>
      <c r="O1553" s="31">
        <f t="shared" si="1916"/>
        <v>0</v>
      </c>
      <c r="P1553" s="31">
        <f t="shared" si="1917"/>
        <v>0</v>
      </c>
      <c r="Q1553" s="49">
        <f t="shared" si="1918"/>
        <v>0</v>
      </c>
    </row>
    <row r="1554" spans="4:17" s="16" customFormat="1" ht="13.2" x14ac:dyDescent="0.25">
      <c r="D1554" s="235"/>
      <c r="E1554" s="240"/>
      <c r="F1554" s="241"/>
      <c r="G1554" s="242"/>
      <c r="H1554" s="239">
        <f t="shared" si="1909"/>
        <v>0</v>
      </c>
      <c r="I1554" s="131">
        <f t="shared" si="1910"/>
        <v>0</v>
      </c>
      <c r="J1554" s="31">
        <f t="shared" si="1911"/>
        <v>0</v>
      </c>
      <c r="K1554" s="31">
        <f t="shared" si="1912"/>
        <v>0</v>
      </c>
      <c r="L1554" s="31">
        <f t="shared" si="1913"/>
        <v>0</v>
      </c>
      <c r="M1554" s="31">
        <f t="shared" si="1914"/>
        <v>0</v>
      </c>
      <c r="N1554" s="31">
        <f t="shared" si="1915"/>
        <v>0</v>
      </c>
      <c r="O1554" s="31">
        <f t="shared" si="1916"/>
        <v>0</v>
      </c>
      <c r="P1554" s="31">
        <f t="shared" si="1917"/>
        <v>0</v>
      </c>
      <c r="Q1554" s="49">
        <f t="shared" si="1918"/>
        <v>0</v>
      </c>
    </row>
    <row r="1555" spans="4:17" s="16" customFormat="1" ht="13.2" x14ac:dyDescent="0.25">
      <c r="D1555" s="235"/>
      <c r="E1555" s="240"/>
      <c r="F1555" s="241"/>
      <c r="G1555" s="242"/>
      <c r="H1555" s="239">
        <f t="shared" si="1909"/>
        <v>0</v>
      </c>
      <c r="I1555" s="131">
        <f t="shared" si="1910"/>
        <v>0</v>
      </c>
      <c r="J1555" s="31">
        <f t="shared" si="1911"/>
        <v>0</v>
      </c>
      <c r="K1555" s="31">
        <f t="shared" si="1912"/>
        <v>0</v>
      </c>
      <c r="L1555" s="31">
        <f t="shared" si="1913"/>
        <v>0</v>
      </c>
      <c r="M1555" s="31">
        <f t="shared" si="1914"/>
        <v>0</v>
      </c>
      <c r="N1555" s="31">
        <f t="shared" si="1915"/>
        <v>0</v>
      </c>
      <c r="O1555" s="31">
        <f t="shared" si="1916"/>
        <v>0</v>
      </c>
      <c r="P1555" s="31">
        <f t="shared" si="1917"/>
        <v>0</v>
      </c>
      <c r="Q1555" s="49">
        <f t="shared" si="1918"/>
        <v>0</v>
      </c>
    </row>
    <row r="1556" spans="4:17" s="16" customFormat="1" ht="13.8" thickBot="1" x14ac:dyDescent="0.3">
      <c r="D1556" s="307"/>
      <c r="E1556" s="26"/>
      <c r="F1556" s="206"/>
      <c r="G1556" s="207"/>
      <c r="H1556" s="207"/>
      <c r="I1556" s="51"/>
      <c r="J1556" s="308"/>
      <c r="K1556" s="308"/>
      <c r="L1556" s="308"/>
      <c r="M1556" s="308"/>
      <c r="N1556" s="308"/>
      <c r="O1556" s="308"/>
      <c r="P1556" s="308"/>
      <c r="Q1556" s="309"/>
    </row>
    <row r="1557" spans="4:17" s="16" customFormat="1" ht="13.2" x14ac:dyDescent="0.25">
      <c r="D1557" s="796" t="s">
        <v>1680</v>
      </c>
      <c r="E1557" s="797"/>
      <c r="F1557" s="797"/>
      <c r="G1557" s="797"/>
      <c r="H1557" s="797"/>
      <c r="I1557" s="47">
        <f>SUM(I1558:I1567)</f>
        <v>0</v>
      </c>
      <c r="J1557" s="47">
        <f t="shared" ref="J1557:Q1557" si="1919">SUM(J1558:J1567)</f>
        <v>0</v>
      </c>
      <c r="K1557" s="47">
        <f t="shared" si="1919"/>
        <v>0</v>
      </c>
      <c r="L1557" s="47">
        <f t="shared" si="1919"/>
        <v>0</v>
      </c>
      <c r="M1557" s="47">
        <f t="shared" si="1919"/>
        <v>0</v>
      </c>
      <c r="N1557" s="47">
        <f t="shared" si="1919"/>
        <v>0</v>
      </c>
      <c r="O1557" s="47">
        <f t="shared" si="1919"/>
        <v>0</v>
      </c>
      <c r="P1557" s="47">
        <f t="shared" si="1919"/>
        <v>0</v>
      </c>
      <c r="Q1557" s="47">
        <f t="shared" si="1919"/>
        <v>0</v>
      </c>
    </row>
    <row r="1558" spans="4:17" s="16" customFormat="1" ht="13.2" x14ac:dyDescent="0.25">
      <c r="D1558" s="235"/>
      <c r="E1558" s="237"/>
      <c r="F1558" s="238"/>
      <c r="G1558" s="239"/>
      <c r="H1558" s="239">
        <f t="shared" ref="H1558:H1567" si="1920">E1558*G1558</f>
        <v>0</v>
      </c>
      <c r="I1558" s="131">
        <f t="shared" ref="I1558:I1567" si="1921">IF($F1558=4.2,H1558*$B$23,0)</f>
        <v>0</v>
      </c>
      <c r="J1558" s="31">
        <f t="shared" ref="J1558:J1567" si="1922">IF($F1558=5,$H1558*$B$24,0)</f>
        <v>0</v>
      </c>
      <c r="K1558" s="31">
        <f t="shared" ref="K1558:K1567" si="1923">IF($F1558=6.3,$H1558*$B$25,0)</f>
        <v>0</v>
      </c>
      <c r="L1558" s="31">
        <f t="shared" ref="L1558:L1567" si="1924">IF($F1558=8,$H1558*$B$26,0)</f>
        <v>0</v>
      </c>
      <c r="M1558" s="31">
        <f t="shared" ref="M1558:M1567" si="1925">IF($F1558=10,$H1558*$B$27,0)</f>
        <v>0</v>
      </c>
      <c r="N1558" s="31">
        <f t="shared" ref="N1558:N1567" si="1926">IF($F1558=12.5,$H1558*$B$28,0)</f>
        <v>0</v>
      </c>
      <c r="O1558" s="31">
        <f t="shared" ref="O1558:O1567" si="1927">IF($F1558=16,$H1558*$B$29,0)</f>
        <v>0</v>
      </c>
      <c r="P1558" s="31">
        <f t="shared" ref="P1558:P1567" si="1928">IF($F1558=20,$H1558*$B$30,0)</f>
        <v>0</v>
      </c>
      <c r="Q1558" s="49">
        <f t="shared" ref="Q1558:Q1567" si="1929">IF($F1558=25,$H1558*$B$31,0)</f>
        <v>0</v>
      </c>
    </row>
    <row r="1559" spans="4:17" s="16" customFormat="1" ht="13.2" x14ac:dyDescent="0.25">
      <c r="D1559" s="235"/>
      <c r="E1559" s="240"/>
      <c r="F1559" s="241"/>
      <c r="G1559" s="242"/>
      <c r="H1559" s="239">
        <f t="shared" si="1920"/>
        <v>0</v>
      </c>
      <c r="I1559" s="131">
        <f t="shared" si="1921"/>
        <v>0</v>
      </c>
      <c r="J1559" s="31">
        <f t="shared" si="1922"/>
        <v>0</v>
      </c>
      <c r="K1559" s="31">
        <f t="shared" si="1923"/>
        <v>0</v>
      </c>
      <c r="L1559" s="31">
        <f t="shared" si="1924"/>
        <v>0</v>
      </c>
      <c r="M1559" s="31">
        <f t="shared" si="1925"/>
        <v>0</v>
      </c>
      <c r="N1559" s="31">
        <f t="shared" si="1926"/>
        <v>0</v>
      </c>
      <c r="O1559" s="31">
        <f t="shared" si="1927"/>
        <v>0</v>
      </c>
      <c r="P1559" s="31">
        <f t="shared" si="1928"/>
        <v>0</v>
      </c>
      <c r="Q1559" s="49">
        <f t="shared" si="1929"/>
        <v>0</v>
      </c>
    </row>
    <row r="1560" spans="4:17" s="16" customFormat="1" ht="13.2" x14ac:dyDescent="0.25">
      <c r="D1560" s="235"/>
      <c r="E1560" s="240"/>
      <c r="F1560" s="241"/>
      <c r="G1560" s="242"/>
      <c r="H1560" s="239">
        <f t="shared" si="1920"/>
        <v>0</v>
      </c>
      <c r="I1560" s="131">
        <f t="shared" si="1921"/>
        <v>0</v>
      </c>
      <c r="J1560" s="31">
        <f t="shared" si="1922"/>
        <v>0</v>
      </c>
      <c r="K1560" s="31">
        <f t="shared" si="1923"/>
        <v>0</v>
      </c>
      <c r="L1560" s="31">
        <f t="shared" si="1924"/>
        <v>0</v>
      </c>
      <c r="M1560" s="31">
        <f t="shared" si="1925"/>
        <v>0</v>
      </c>
      <c r="N1560" s="31">
        <f t="shared" si="1926"/>
        <v>0</v>
      </c>
      <c r="O1560" s="31">
        <f t="shared" si="1927"/>
        <v>0</v>
      </c>
      <c r="P1560" s="31">
        <f t="shared" si="1928"/>
        <v>0</v>
      </c>
      <c r="Q1560" s="49">
        <f t="shared" si="1929"/>
        <v>0</v>
      </c>
    </row>
    <row r="1561" spans="4:17" s="16" customFormat="1" ht="13.2" x14ac:dyDescent="0.25">
      <c r="D1561" s="235"/>
      <c r="E1561" s="240"/>
      <c r="F1561" s="241"/>
      <c r="G1561" s="242"/>
      <c r="H1561" s="239">
        <f t="shared" si="1920"/>
        <v>0</v>
      </c>
      <c r="I1561" s="131">
        <f t="shared" si="1921"/>
        <v>0</v>
      </c>
      <c r="J1561" s="31">
        <f t="shared" si="1922"/>
        <v>0</v>
      </c>
      <c r="K1561" s="31">
        <f t="shared" si="1923"/>
        <v>0</v>
      </c>
      <c r="L1561" s="31">
        <f t="shared" si="1924"/>
        <v>0</v>
      </c>
      <c r="M1561" s="31">
        <f t="shared" si="1925"/>
        <v>0</v>
      </c>
      <c r="N1561" s="31">
        <f t="shared" si="1926"/>
        <v>0</v>
      </c>
      <c r="O1561" s="31">
        <f t="shared" si="1927"/>
        <v>0</v>
      </c>
      <c r="P1561" s="31">
        <f t="shared" si="1928"/>
        <v>0</v>
      </c>
      <c r="Q1561" s="49">
        <f t="shared" si="1929"/>
        <v>0</v>
      </c>
    </row>
    <row r="1562" spans="4:17" s="16" customFormat="1" ht="13.2" x14ac:dyDescent="0.25">
      <c r="D1562" s="235"/>
      <c r="E1562" s="240"/>
      <c r="F1562" s="241"/>
      <c r="G1562" s="242"/>
      <c r="H1562" s="239">
        <f t="shared" si="1920"/>
        <v>0</v>
      </c>
      <c r="I1562" s="131">
        <f t="shared" si="1921"/>
        <v>0</v>
      </c>
      <c r="J1562" s="31">
        <f t="shared" si="1922"/>
        <v>0</v>
      </c>
      <c r="K1562" s="31">
        <f t="shared" si="1923"/>
        <v>0</v>
      </c>
      <c r="L1562" s="31">
        <f t="shared" si="1924"/>
        <v>0</v>
      </c>
      <c r="M1562" s="31">
        <f t="shared" si="1925"/>
        <v>0</v>
      </c>
      <c r="N1562" s="31">
        <f t="shared" si="1926"/>
        <v>0</v>
      </c>
      <c r="O1562" s="31">
        <f t="shared" si="1927"/>
        <v>0</v>
      </c>
      <c r="P1562" s="31">
        <f t="shared" si="1928"/>
        <v>0</v>
      </c>
      <c r="Q1562" s="49">
        <f t="shared" si="1929"/>
        <v>0</v>
      </c>
    </row>
    <row r="1563" spans="4:17" s="16" customFormat="1" ht="13.2" x14ac:dyDescent="0.25">
      <c r="D1563" s="235"/>
      <c r="E1563" s="240"/>
      <c r="F1563" s="241"/>
      <c r="G1563" s="242"/>
      <c r="H1563" s="239">
        <f t="shared" si="1920"/>
        <v>0</v>
      </c>
      <c r="I1563" s="131">
        <f t="shared" si="1921"/>
        <v>0</v>
      </c>
      <c r="J1563" s="31">
        <f t="shared" si="1922"/>
        <v>0</v>
      </c>
      <c r="K1563" s="31">
        <f t="shared" si="1923"/>
        <v>0</v>
      </c>
      <c r="L1563" s="31">
        <f t="shared" si="1924"/>
        <v>0</v>
      </c>
      <c r="M1563" s="31">
        <f t="shared" si="1925"/>
        <v>0</v>
      </c>
      <c r="N1563" s="31">
        <f t="shared" si="1926"/>
        <v>0</v>
      </c>
      <c r="O1563" s="31">
        <f t="shared" si="1927"/>
        <v>0</v>
      </c>
      <c r="P1563" s="31">
        <f t="shared" si="1928"/>
        <v>0</v>
      </c>
      <c r="Q1563" s="49">
        <f t="shared" si="1929"/>
        <v>0</v>
      </c>
    </row>
    <row r="1564" spans="4:17" s="16" customFormat="1" ht="13.2" x14ac:dyDescent="0.25">
      <c r="D1564" s="235"/>
      <c r="E1564" s="240"/>
      <c r="F1564" s="241"/>
      <c r="G1564" s="242"/>
      <c r="H1564" s="239">
        <f t="shared" si="1920"/>
        <v>0</v>
      </c>
      <c r="I1564" s="131">
        <f t="shared" si="1921"/>
        <v>0</v>
      </c>
      <c r="J1564" s="31">
        <f t="shared" si="1922"/>
        <v>0</v>
      </c>
      <c r="K1564" s="31">
        <f t="shared" si="1923"/>
        <v>0</v>
      </c>
      <c r="L1564" s="31">
        <f t="shared" si="1924"/>
        <v>0</v>
      </c>
      <c r="M1564" s="31">
        <f t="shared" si="1925"/>
        <v>0</v>
      </c>
      <c r="N1564" s="31">
        <f t="shared" si="1926"/>
        <v>0</v>
      </c>
      <c r="O1564" s="31">
        <f t="shared" si="1927"/>
        <v>0</v>
      </c>
      <c r="P1564" s="31">
        <f t="shared" si="1928"/>
        <v>0</v>
      </c>
      <c r="Q1564" s="49">
        <f t="shared" si="1929"/>
        <v>0</v>
      </c>
    </row>
    <row r="1565" spans="4:17" s="16" customFormat="1" ht="13.2" x14ac:dyDescent="0.25">
      <c r="D1565" s="235"/>
      <c r="E1565" s="240"/>
      <c r="F1565" s="241"/>
      <c r="G1565" s="242"/>
      <c r="H1565" s="239">
        <f t="shared" si="1920"/>
        <v>0</v>
      </c>
      <c r="I1565" s="131">
        <f t="shared" si="1921"/>
        <v>0</v>
      </c>
      <c r="J1565" s="31">
        <f t="shared" si="1922"/>
        <v>0</v>
      </c>
      <c r="K1565" s="31">
        <f t="shared" si="1923"/>
        <v>0</v>
      </c>
      <c r="L1565" s="31">
        <f t="shared" si="1924"/>
        <v>0</v>
      </c>
      <c r="M1565" s="31">
        <f t="shared" si="1925"/>
        <v>0</v>
      </c>
      <c r="N1565" s="31">
        <f t="shared" si="1926"/>
        <v>0</v>
      </c>
      <c r="O1565" s="31">
        <f t="shared" si="1927"/>
        <v>0</v>
      </c>
      <c r="P1565" s="31">
        <f t="shared" si="1928"/>
        <v>0</v>
      </c>
      <c r="Q1565" s="49">
        <f t="shared" si="1929"/>
        <v>0</v>
      </c>
    </row>
    <row r="1566" spans="4:17" s="16" customFormat="1" ht="13.2" x14ac:dyDescent="0.25">
      <c r="D1566" s="235"/>
      <c r="E1566" s="240"/>
      <c r="F1566" s="241"/>
      <c r="G1566" s="242"/>
      <c r="H1566" s="239">
        <f t="shared" si="1920"/>
        <v>0</v>
      </c>
      <c r="I1566" s="131">
        <f t="shared" si="1921"/>
        <v>0</v>
      </c>
      <c r="J1566" s="31">
        <f t="shared" si="1922"/>
        <v>0</v>
      </c>
      <c r="K1566" s="31">
        <f t="shared" si="1923"/>
        <v>0</v>
      </c>
      <c r="L1566" s="31">
        <f t="shared" si="1924"/>
        <v>0</v>
      </c>
      <c r="M1566" s="31">
        <f t="shared" si="1925"/>
        <v>0</v>
      </c>
      <c r="N1566" s="31">
        <f t="shared" si="1926"/>
        <v>0</v>
      </c>
      <c r="O1566" s="31">
        <f t="shared" si="1927"/>
        <v>0</v>
      </c>
      <c r="P1566" s="31">
        <f t="shared" si="1928"/>
        <v>0</v>
      </c>
      <c r="Q1566" s="49">
        <f t="shared" si="1929"/>
        <v>0</v>
      </c>
    </row>
    <row r="1567" spans="4:17" s="16" customFormat="1" ht="13.2" x14ac:dyDescent="0.25">
      <c r="D1567" s="235"/>
      <c r="E1567" s="240"/>
      <c r="F1567" s="241"/>
      <c r="G1567" s="242"/>
      <c r="H1567" s="239">
        <f t="shared" si="1920"/>
        <v>0</v>
      </c>
      <c r="I1567" s="131">
        <f t="shared" si="1921"/>
        <v>0</v>
      </c>
      <c r="J1567" s="31">
        <f t="shared" si="1922"/>
        <v>0</v>
      </c>
      <c r="K1567" s="31">
        <f t="shared" si="1923"/>
        <v>0</v>
      </c>
      <c r="L1567" s="31">
        <f t="shared" si="1924"/>
        <v>0</v>
      </c>
      <c r="M1567" s="31">
        <f t="shared" si="1925"/>
        <v>0</v>
      </c>
      <c r="N1567" s="31">
        <f t="shared" si="1926"/>
        <v>0</v>
      </c>
      <c r="O1567" s="31">
        <f t="shared" si="1927"/>
        <v>0</v>
      </c>
      <c r="P1567" s="31">
        <f t="shared" si="1928"/>
        <v>0</v>
      </c>
      <c r="Q1567" s="49">
        <f t="shared" si="1929"/>
        <v>0</v>
      </c>
    </row>
    <row r="1568" spans="4:17" s="16" customFormat="1" ht="13.8" thickBot="1" x14ac:dyDescent="0.3">
      <c r="D1568" s="307"/>
      <c r="E1568" s="26"/>
      <c r="F1568" s="206"/>
      <c r="G1568" s="207"/>
      <c r="H1568" s="207"/>
      <c r="I1568" s="51"/>
      <c r="J1568" s="308"/>
      <c r="K1568" s="308"/>
      <c r="L1568" s="308"/>
      <c r="M1568" s="308"/>
      <c r="N1568" s="308"/>
      <c r="O1568" s="308"/>
      <c r="P1568" s="308"/>
      <c r="Q1568" s="309"/>
    </row>
    <row r="1569" spans="4:17" s="16" customFormat="1" ht="13.2" x14ac:dyDescent="0.25">
      <c r="D1569" s="796" t="s">
        <v>1680</v>
      </c>
      <c r="E1569" s="797"/>
      <c r="F1569" s="797"/>
      <c r="G1569" s="797"/>
      <c r="H1569" s="797"/>
      <c r="I1569" s="47">
        <f>SUM(I1570:I1579)</f>
        <v>0</v>
      </c>
      <c r="J1569" s="47">
        <f t="shared" ref="J1569:Q1569" si="1930">SUM(J1570:J1579)</f>
        <v>0</v>
      </c>
      <c r="K1569" s="47">
        <f t="shared" si="1930"/>
        <v>0</v>
      </c>
      <c r="L1569" s="47">
        <f t="shared" si="1930"/>
        <v>0</v>
      </c>
      <c r="M1569" s="47">
        <f t="shared" si="1930"/>
        <v>0</v>
      </c>
      <c r="N1569" s="47">
        <f t="shared" si="1930"/>
        <v>0</v>
      </c>
      <c r="O1569" s="47">
        <f t="shared" si="1930"/>
        <v>0</v>
      </c>
      <c r="P1569" s="47">
        <f t="shared" si="1930"/>
        <v>0</v>
      </c>
      <c r="Q1569" s="47">
        <f t="shared" si="1930"/>
        <v>0</v>
      </c>
    </row>
    <row r="1570" spans="4:17" s="16" customFormat="1" ht="13.2" x14ac:dyDescent="0.25">
      <c r="D1570" s="235"/>
      <c r="E1570" s="237"/>
      <c r="F1570" s="238"/>
      <c r="G1570" s="239"/>
      <c r="H1570" s="239">
        <f t="shared" ref="H1570:H1579" si="1931">E1570*G1570</f>
        <v>0</v>
      </c>
      <c r="I1570" s="131">
        <f t="shared" ref="I1570:I1579" si="1932">IF($F1570=4.2,H1570*$B$23,0)</f>
        <v>0</v>
      </c>
      <c r="J1570" s="31">
        <f t="shared" ref="J1570:J1579" si="1933">IF($F1570=5,$H1570*$B$24,0)</f>
        <v>0</v>
      </c>
      <c r="K1570" s="31">
        <f t="shared" ref="K1570:K1579" si="1934">IF($F1570=6.3,$H1570*$B$25,0)</f>
        <v>0</v>
      </c>
      <c r="L1570" s="31">
        <f t="shared" ref="L1570:L1579" si="1935">IF($F1570=8,$H1570*$B$26,0)</f>
        <v>0</v>
      </c>
      <c r="M1570" s="31">
        <f t="shared" ref="M1570:M1579" si="1936">IF($F1570=10,$H1570*$B$27,0)</f>
        <v>0</v>
      </c>
      <c r="N1570" s="31">
        <f t="shared" ref="N1570:N1579" si="1937">IF($F1570=12.5,$H1570*$B$28,0)</f>
        <v>0</v>
      </c>
      <c r="O1570" s="31">
        <f t="shared" ref="O1570:O1579" si="1938">IF($F1570=16,$H1570*$B$29,0)</f>
        <v>0</v>
      </c>
      <c r="P1570" s="31">
        <f t="shared" ref="P1570:P1579" si="1939">IF($F1570=20,$H1570*$B$30,0)</f>
        <v>0</v>
      </c>
      <c r="Q1570" s="49">
        <f t="shared" ref="Q1570:Q1579" si="1940">IF($F1570=25,$H1570*$B$31,0)</f>
        <v>0</v>
      </c>
    </row>
    <row r="1571" spans="4:17" s="16" customFormat="1" ht="13.2" x14ac:dyDescent="0.25">
      <c r="D1571" s="235"/>
      <c r="E1571" s="240"/>
      <c r="F1571" s="241"/>
      <c r="G1571" s="242"/>
      <c r="H1571" s="239">
        <f t="shared" si="1931"/>
        <v>0</v>
      </c>
      <c r="I1571" s="131">
        <f t="shared" si="1932"/>
        <v>0</v>
      </c>
      <c r="J1571" s="31">
        <f t="shared" si="1933"/>
        <v>0</v>
      </c>
      <c r="K1571" s="31">
        <f t="shared" si="1934"/>
        <v>0</v>
      </c>
      <c r="L1571" s="31">
        <f t="shared" si="1935"/>
        <v>0</v>
      </c>
      <c r="M1571" s="31">
        <f t="shared" si="1936"/>
        <v>0</v>
      </c>
      <c r="N1571" s="31">
        <f t="shared" si="1937"/>
        <v>0</v>
      </c>
      <c r="O1571" s="31">
        <f t="shared" si="1938"/>
        <v>0</v>
      </c>
      <c r="P1571" s="31">
        <f t="shared" si="1939"/>
        <v>0</v>
      </c>
      <c r="Q1571" s="49">
        <f t="shared" si="1940"/>
        <v>0</v>
      </c>
    </row>
    <row r="1572" spans="4:17" s="16" customFormat="1" ht="13.2" x14ac:dyDescent="0.25">
      <c r="D1572" s="235"/>
      <c r="E1572" s="240"/>
      <c r="F1572" s="241"/>
      <c r="G1572" s="242"/>
      <c r="H1572" s="239">
        <f t="shared" si="1931"/>
        <v>0</v>
      </c>
      <c r="I1572" s="131">
        <f t="shared" si="1932"/>
        <v>0</v>
      </c>
      <c r="J1572" s="31">
        <f t="shared" si="1933"/>
        <v>0</v>
      </c>
      <c r="K1572" s="31">
        <f t="shared" si="1934"/>
        <v>0</v>
      </c>
      <c r="L1572" s="31">
        <f t="shared" si="1935"/>
        <v>0</v>
      </c>
      <c r="M1572" s="31">
        <f t="shared" si="1936"/>
        <v>0</v>
      </c>
      <c r="N1572" s="31">
        <f t="shared" si="1937"/>
        <v>0</v>
      </c>
      <c r="O1572" s="31">
        <f t="shared" si="1938"/>
        <v>0</v>
      </c>
      <c r="P1572" s="31">
        <f t="shared" si="1939"/>
        <v>0</v>
      </c>
      <c r="Q1572" s="49">
        <f t="shared" si="1940"/>
        <v>0</v>
      </c>
    </row>
    <row r="1573" spans="4:17" s="16" customFormat="1" ht="13.2" x14ac:dyDescent="0.25">
      <c r="D1573" s="235"/>
      <c r="E1573" s="240"/>
      <c r="F1573" s="241"/>
      <c r="G1573" s="242"/>
      <c r="H1573" s="239">
        <f t="shared" si="1931"/>
        <v>0</v>
      </c>
      <c r="I1573" s="131">
        <f t="shared" si="1932"/>
        <v>0</v>
      </c>
      <c r="J1573" s="31">
        <f t="shared" si="1933"/>
        <v>0</v>
      </c>
      <c r="K1573" s="31">
        <f t="shared" si="1934"/>
        <v>0</v>
      </c>
      <c r="L1573" s="31">
        <f t="shared" si="1935"/>
        <v>0</v>
      </c>
      <c r="M1573" s="31">
        <f t="shared" si="1936"/>
        <v>0</v>
      </c>
      <c r="N1573" s="31">
        <f t="shared" si="1937"/>
        <v>0</v>
      </c>
      <c r="O1573" s="31">
        <f t="shared" si="1938"/>
        <v>0</v>
      </c>
      <c r="P1573" s="31">
        <f t="shared" si="1939"/>
        <v>0</v>
      </c>
      <c r="Q1573" s="49">
        <f t="shared" si="1940"/>
        <v>0</v>
      </c>
    </row>
    <row r="1574" spans="4:17" s="16" customFormat="1" ht="13.2" x14ac:dyDescent="0.25">
      <c r="D1574" s="235"/>
      <c r="E1574" s="240"/>
      <c r="F1574" s="241"/>
      <c r="G1574" s="242"/>
      <c r="H1574" s="239">
        <f t="shared" si="1931"/>
        <v>0</v>
      </c>
      <c r="I1574" s="131">
        <f t="shared" si="1932"/>
        <v>0</v>
      </c>
      <c r="J1574" s="31">
        <f t="shared" si="1933"/>
        <v>0</v>
      </c>
      <c r="K1574" s="31">
        <f t="shared" si="1934"/>
        <v>0</v>
      </c>
      <c r="L1574" s="31">
        <f t="shared" si="1935"/>
        <v>0</v>
      </c>
      <c r="M1574" s="31">
        <f t="shared" si="1936"/>
        <v>0</v>
      </c>
      <c r="N1574" s="31">
        <f t="shared" si="1937"/>
        <v>0</v>
      </c>
      <c r="O1574" s="31">
        <f t="shared" si="1938"/>
        <v>0</v>
      </c>
      <c r="P1574" s="31">
        <f t="shared" si="1939"/>
        <v>0</v>
      </c>
      <c r="Q1574" s="49">
        <f t="shared" si="1940"/>
        <v>0</v>
      </c>
    </row>
    <row r="1575" spans="4:17" s="16" customFormat="1" ht="13.2" x14ac:dyDescent="0.25">
      <c r="D1575" s="235"/>
      <c r="E1575" s="240"/>
      <c r="F1575" s="241"/>
      <c r="G1575" s="242"/>
      <c r="H1575" s="239">
        <f t="shared" si="1931"/>
        <v>0</v>
      </c>
      <c r="I1575" s="131">
        <f t="shared" si="1932"/>
        <v>0</v>
      </c>
      <c r="J1575" s="31">
        <f t="shared" si="1933"/>
        <v>0</v>
      </c>
      <c r="K1575" s="31">
        <f t="shared" si="1934"/>
        <v>0</v>
      </c>
      <c r="L1575" s="31">
        <f t="shared" si="1935"/>
        <v>0</v>
      </c>
      <c r="M1575" s="31">
        <f t="shared" si="1936"/>
        <v>0</v>
      </c>
      <c r="N1575" s="31">
        <f t="shared" si="1937"/>
        <v>0</v>
      </c>
      <c r="O1575" s="31">
        <f t="shared" si="1938"/>
        <v>0</v>
      </c>
      <c r="P1575" s="31">
        <f t="shared" si="1939"/>
        <v>0</v>
      </c>
      <c r="Q1575" s="49">
        <f t="shared" si="1940"/>
        <v>0</v>
      </c>
    </row>
    <row r="1576" spans="4:17" s="16" customFormat="1" ht="13.2" x14ac:dyDescent="0.25">
      <c r="D1576" s="235"/>
      <c r="E1576" s="240"/>
      <c r="F1576" s="241"/>
      <c r="G1576" s="242"/>
      <c r="H1576" s="239">
        <f t="shared" si="1931"/>
        <v>0</v>
      </c>
      <c r="I1576" s="131">
        <f t="shared" si="1932"/>
        <v>0</v>
      </c>
      <c r="J1576" s="31">
        <f t="shared" si="1933"/>
        <v>0</v>
      </c>
      <c r="K1576" s="31">
        <f t="shared" si="1934"/>
        <v>0</v>
      </c>
      <c r="L1576" s="31">
        <f t="shared" si="1935"/>
        <v>0</v>
      </c>
      <c r="M1576" s="31">
        <f t="shared" si="1936"/>
        <v>0</v>
      </c>
      <c r="N1576" s="31">
        <f t="shared" si="1937"/>
        <v>0</v>
      </c>
      <c r="O1576" s="31">
        <f t="shared" si="1938"/>
        <v>0</v>
      </c>
      <c r="P1576" s="31">
        <f t="shared" si="1939"/>
        <v>0</v>
      </c>
      <c r="Q1576" s="49">
        <f t="shared" si="1940"/>
        <v>0</v>
      </c>
    </row>
    <row r="1577" spans="4:17" s="16" customFormat="1" ht="13.2" x14ac:dyDescent="0.25">
      <c r="D1577" s="235"/>
      <c r="E1577" s="240"/>
      <c r="F1577" s="241"/>
      <c r="G1577" s="242"/>
      <c r="H1577" s="239">
        <f t="shared" si="1931"/>
        <v>0</v>
      </c>
      <c r="I1577" s="131">
        <f t="shared" si="1932"/>
        <v>0</v>
      </c>
      <c r="J1577" s="31">
        <f t="shared" si="1933"/>
        <v>0</v>
      </c>
      <c r="K1577" s="31">
        <f t="shared" si="1934"/>
        <v>0</v>
      </c>
      <c r="L1577" s="31">
        <f t="shared" si="1935"/>
        <v>0</v>
      </c>
      <c r="M1577" s="31">
        <f t="shared" si="1936"/>
        <v>0</v>
      </c>
      <c r="N1577" s="31">
        <f t="shared" si="1937"/>
        <v>0</v>
      </c>
      <c r="O1577" s="31">
        <f t="shared" si="1938"/>
        <v>0</v>
      </c>
      <c r="P1577" s="31">
        <f t="shared" si="1939"/>
        <v>0</v>
      </c>
      <c r="Q1577" s="49">
        <f t="shared" si="1940"/>
        <v>0</v>
      </c>
    </row>
    <row r="1578" spans="4:17" s="16" customFormat="1" ht="13.2" x14ac:dyDescent="0.25">
      <c r="D1578" s="235"/>
      <c r="E1578" s="240"/>
      <c r="F1578" s="241"/>
      <c r="G1578" s="242"/>
      <c r="H1578" s="239">
        <f t="shared" si="1931"/>
        <v>0</v>
      </c>
      <c r="I1578" s="131">
        <f t="shared" si="1932"/>
        <v>0</v>
      </c>
      <c r="J1578" s="31">
        <f t="shared" si="1933"/>
        <v>0</v>
      </c>
      <c r="K1578" s="31">
        <f t="shared" si="1934"/>
        <v>0</v>
      </c>
      <c r="L1578" s="31">
        <f t="shared" si="1935"/>
        <v>0</v>
      </c>
      <c r="M1578" s="31">
        <f t="shared" si="1936"/>
        <v>0</v>
      </c>
      <c r="N1578" s="31">
        <f t="shared" si="1937"/>
        <v>0</v>
      </c>
      <c r="O1578" s="31">
        <f t="shared" si="1938"/>
        <v>0</v>
      </c>
      <c r="P1578" s="31">
        <f t="shared" si="1939"/>
        <v>0</v>
      </c>
      <c r="Q1578" s="49">
        <f t="shared" si="1940"/>
        <v>0</v>
      </c>
    </row>
    <row r="1579" spans="4:17" s="16" customFormat="1" ht="13.2" x14ac:dyDescent="0.25">
      <c r="D1579" s="235"/>
      <c r="E1579" s="240"/>
      <c r="F1579" s="241"/>
      <c r="G1579" s="242"/>
      <c r="H1579" s="239">
        <f t="shared" si="1931"/>
        <v>0</v>
      </c>
      <c r="I1579" s="131">
        <f t="shared" si="1932"/>
        <v>0</v>
      </c>
      <c r="J1579" s="31">
        <f t="shared" si="1933"/>
        <v>0</v>
      </c>
      <c r="K1579" s="31">
        <f t="shared" si="1934"/>
        <v>0</v>
      </c>
      <c r="L1579" s="31">
        <f t="shared" si="1935"/>
        <v>0</v>
      </c>
      <c r="M1579" s="31">
        <f t="shared" si="1936"/>
        <v>0</v>
      </c>
      <c r="N1579" s="31">
        <f t="shared" si="1937"/>
        <v>0</v>
      </c>
      <c r="O1579" s="31">
        <f t="shared" si="1938"/>
        <v>0</v>
      </c>
      <c r="P1579" s="31">
        <f t="shared" si="1939"/>
        <v>0</v>
      </c>
      <c r="Q1579" s="49">
        <f t="shared" si="1940"/>
        <v>0</v>
      </c>
    </row>
    <row r="1580" spans="4:17" s="16" customFormat="1" ht="13.8" thickBot="1" x14ac:dyDescent="0.3">
      <c r="D1580" s="307"/>
      <c r="E1580" s="26"/>
      <c r="F1580" s="206"/>
      <c r="G1580" s="207"/>
      <c r="H1580" s="207"/>
      <c r="I1580" s="51"/>
      <c r="J1580" s="308"/>
      <c r="K1580" s="308"/>
      <c r="L1580" s="308"/>
      <c r="M1580" s="308"/>
      <c r="N1580" s="308"/>
      <c r="O1580" s="308"/>
      <c r="P1580" s="308"/>
      <c r="Q1580" s="309"/>
    </row>
    <row r="1581" spans="4:17" s="16" customFormat="1" ht="13.2" x14ac:dyDescent="0.25">
      <c r="D1581" s="796" t="s">
        <v>1680</v>
      </c>
      <c r="E1581" s="797"/>
      <c r="F1581" s="797"/>
      <c r="G1581" s="797"/>
      <c r="H1581" s="797"/>
      <c r="I1581" s="47">
        <f>SUM(I1582:I1591)</f>
        <v>0</v>
      </c>
      <c r="J1581" s="47">
        <f t="shared" ref="J1581:Q1581" si="1941">SUM(J1582:J1591)</f>
        <v>0</v>
      </c>
      <c r="K1581" s="47">
        <f t="shared" si="1941"/>
        <v>0</v>
      </c>
      <c r="L1581" s="47">
        <f t="shared" si="1941"/>
        <v>0</v>
      </c>
      <c r="M1581" s="47">
        <f t="shared" si="1941"/>
        <v>0</v>
      </c>
      <c r="N1581" s="47">
        <f t="shared" si="1941"/>
        <v>0</v>
      </c>
      <c r="O1581" s="47">
        <f t="shared" si="1941"/>
        <v>0</v>
      </c>
      <c r="P1581" s="47">
        <f t="shared" si="1941"/>
        <v>0</v>
      </c>
      <c r="Q1581" s="47">
        <f t="shared" si="1941"/>
        <v>0</v>
      </c>
    </row>
    <row r="1582" spans="4:17" s="16" customFormat="1" ht="13.2" x14ac:dyDescent="0.25">
      <c r="D1582" s="235"/>
      <c r="E1582" s="237"/>
      <c r="F1582" s="238"/>
      <c r="G1582" s="239"/>
      <c r="H1582" s="239">
        <f t="shared" ref="H1582:H1591" si="1942">E1582*G1582</f>
        <v>0</v>
      </c>
      <c r="I1582" s="131">
        <f t="shared" ref="I1582:I1591" si="1943">IF($F1582=4.2,H1582*$B$23,0)</f>
        <v>0</v>
      </c>
      <c r="J1582" s="31">
        <f t="shared" ref="J1582:J1591" si="1944">IF($F1582=5,$H1582*$B$24,0)</f>
        <v>0</v>
      </c>
      <c r="K1582" s="31">
        <f t="shared" ref="K1582:K1591" si="1945">IF($F1582=6.3,$H1582*$B$25,0)</f>
        <v>0</v>
      </c>
      <c r="L1582" s="31">
        <f t="shared" ref="L1582:L1591" si="1946">IF($F1582=8,$H1582*$B$26,0)</f>
        <v>0</v>
      </c>
      <c r="M1582" s="31">
        <f t="shared" ref="M1582:M1591" si="1947">IF($F1582=10,$H1582*$B$27,0)</f>
        <v>0</v>
      </c>
      <c r="N1582" s="31">
        <f t="shared" ref="N1582:N1591" si="1948">IF($F1582=12.5,$H1582*$B$28,0)</f>
        <v>0</v>
      </c>
      <c r="O1582" s="31">
        <f t="shared" ref="O1582:O1591" si="1949">IF($F1582=16,$H1582*$B$29,0)</f>
        <v>0</v>
      </c>
      <c r="P1582" s="31">
        <f t="shared" ref="P1582:P1591" si="1950">IF($F1582=20,$H1582*$B$30,0)</f>
        <v>0</v>
      </c>
      <c r="Q1582" s="49">
        <f t="shared" ref="Q1582:Q1591" si="1951">IF($F1582=25,$H1582*$B$31,0)</f>
        <v>0</v>
      </c>
    </row>
    <row r="1583" spans="4:17" s="16" customFormat="1" ht="13.2" x14ac:dyDescent="0.25">
      <c r="D1583" s="235"/>
      <c r="E1583" s="240"/>
      <c r="F1583" s="241"/>
      <c r="G1583" s="242"/>
      <c r="H1583" s="239">
        <f t="shared" si="1942"/>
        <v>0</v>
      </c>
      <c r="I1583" s="131">
        <f t="shared" si="1943"/>
        <v>0</v>
      </c>
      <c r="J1583" s="31">
        <f t="shared" si="1944"/>
        <v>0</v>
      </c>
      <c r="K1583" s="31">
        <f t="shared" si="1945"/>
        <v>0</v>
      </c>
      <c r="L1583" s="31">
        <f t="shared" si="1946"/>
        <v>0</v>
      </c>
      <c r="M1583" s="31">
        <f t="shared" si="1947"/>
        <v>0</v>
      </c>
      <c r="N1583" s="31">
        <f t="shared" si="1948"/>
        <v>0</v>
      </c>
      <c r="O1583" s="31">
        <f t="shared" si="1949"/>
        <v>0</v>
      </c>
      <c r="P1583" s="31">
        <f t="shared" si="1950"/>
        <v>0</v>
      </c>
      <c r="Q1583" s="49">
        <f t="shared" si="1951"/>
        <v>0</v>
      </c>
    </row>
    <row r="1584" spans="4:17" s="16" customFormat="1" ht="13.2" x14ac:dyDescent="0.25">
      <c r="D1584" s="235"/>
      <c r="E1584" s="240"/>
      <c r="F1584" s="241"/>
      <c r="G1584" s="242"/>
      <c r="H1584" s="239">
        <f t="shared" si="1942"/>
        <v>0</v>
      </c>
      <c r="I1584" s="131">
        <f t="shared" si="1943"/>
        <v>0</v>
      </c>
      <c r="J1584" s="31">
        <f t="shared" si="1944"/>
        <v>0</v>
      </c>
      <c r="K1584" s="31">
        <f t="shared" si="1945"/>
        <v>0</v>
      </c>
      <c r="L1584" s="31">
        <f t="shared" si="1946"/>
        <v>0</v>
      </c>
      <c r="M1584" s="31">
        <f t="shared" si="1947"/>
        <v>0</v>
      </c>
      <c r="N1584" s="31">
        <f t="shared" si="1948"/>
        <v>0</v>
      </c>
      <c r="O1584" s="31">
        <f t="shared" si="1949"/>
        <v>0</v>
      </c>
      <c r="P1584" s="31">
        <f t="shared" si="1950"/>
        <v>0</v>
      </c>
      <c r="Q1584" s="49">
        <f t="shared" si="1951"/>
        <v>0</v>
      </c>
    </row>
    <row r="1585" spans="4:17" s="16" customFormat="1" ht="13.2" x14ac:dyDescent="0.25">
      <c r="D1585" s="235"/>
      <c r="E1585" s="240"/>
      <c r="F1585" s="241"/>
      <c r="G1585" s="242"/>
      <c r="H1585" s="239">
        <f t="shared" si="1942"/>
        <v>0</v>
      </c>
      <c r="I1585" s="131">
        <f t="shared" si="1943"/>
        <v>0</v>
      </c>
      <c r="J1585" s="31">
        <f t="shared" si="1944"/>
        <v>0</v>
      </c>
      <c r="K1585" s="31">
        <f t="shared" si="1945"/>
        <v>0</v>
      </c>
      <c r="L1585" s="31">
        <f t="shared" si="1946"/>
        <v>0</v>
      </c>
      <c r="M1585" s="31">
        <f t="shared" si="1947"/>
        <v>0</v>
      </c>
      <c r="N1585" s="31">
        <f t="shared" si="1948"/>
        <v>0</v>
      </c>
      <c r="O1585" s="31">
        <f t="shared" si="1949"/>
        <v>0</v>
      </c>
      <c r="P1585" s="31">
        <f t="shared" si="1950"/>
        <v>0</v>
      </c>
      <c r="Q1585" s="49">
        <f t="shared" si="1951"/>
        <v>0</v>
      </c>
    </row>
    <row r="1586" spans="4:17" s="16" customFormat="1" ht="13.2" x14ac:dyDescent="0.25">
      <c r="D1586" s="235"/>
      <c r="E1586" s="240"/>
      <c r="F1586" s="241"/>
      <c r="G1586" s="242"/>
      <c r="H1586" s="239">
        <f t="shared" si="1942"/>
        <v>0</v>
      </c>
      <c r="I1586" s="131">
        <f t="shared" si="1943"/>
        <v>0</v>
      </c>
      <c r="J1586" s="31">
        <f t="shared" si="1944"/>
        <v>0</v>
      </c>
      <c r="K1586" s="31">
        <f t="shared" si="1945"/>
        <v>0</v>
      </c>
      <c r="L1586" s="31">
        <f t="shared" si="1946"/>
        <v>0</v>
      </c>
      <c r="M1586" s="31">
        <f t="shared" si="1947"/>
        <v>0</v>
      </c>
      <c r="N1586" s="31">
        <f t="shared" si="1948"/>
        <v>0</v>
      </c>
      <c r="O1586" s="31">
        <f t="shared" si="1949"/>
        <v>0</v>
      </c>
      <c r="P1586" s="31">
        <f t="shared" si="1950"/>
        <v>0</v>
      </c>
      <c r="Q1586" s="49">
        <f t="shared" si="1951"/>
        <v>0</v>
      </c>
    </row>
    <row r="1587" spans="4:17" s="16" customFormat="1" ht="13.2" x14ac:dyDescent="0.25">
      <c r="D1587" s="235"/>
      <c r="E1587" s="240"/>
      <c r="F1587" s="241"/>
      <c r="G1587" s="242"/>
      <c r="H1587" s="239">
        <f t="shared" si="1942"/>
        <v>0</v>
      </c>
      <c r="I1587" s="131">
        <f t="shared" si="1943"/>
        <v>0</v>
      </c>
      <c r="J1587" s="31">
        <f t="shared" si="1944"/>
        <v>0</v>
      </c>
      <c r="K1587" s="31">
        <f t="shared" si="1945"/>
        <v>0</v>
      </c>
      <c r="L1587" s="31">
        <f t="shared" si="1946"/>
        <v>0</v>
      </c>
      <c r="M1587" s="31">
        <f t="shared" si="1947"/>
        <v>0</v>
      </c>
      <c r="N1587" s="31">
        <f t="shared" si="1948"/>
        <v>0</v>
      </c>
      <c r="O1587" s="31">
        <f t="shared" si="1949"/>
        <v>0</v>
      </c>
      <c r="P1587" s="31">
        <f t="shared" si="1950"/>
        <v>0</v>
      </c>
      <c r="Q1587" s="49">
        <f t="shared" si="1951"/>
        <v>0</v>
      </c>
    </row>
    <row r="1588" spans="4:17" s="16" customFormat="1" ht="13.2" x14ac:dyDescent="0.25">
      <c r="D1588" s="235"/>
      <c r="E1588" s="240"/>
      <c r="F1588" s="241"/>
      <c r="G1588" s="242"/>
      <c r="H1588" s="239">
        <f t="shared" si="1942"/>
        <v>0</v>
      </c>
      <c r="I1588" s="131">
        <f t="shared" si="1943"/>
        <v>0</v>
      </c>
      <c r="J1588" s="31">
        <f t="shared" si="1944"/>
        <v>0</v>
      </c>
      <c r="K1588" s="31">
        <f t="shared" si="1945"/>
        <v>0</v>
      </c>
      <c r="L1588" s="31">
        <f t="shared" si="1946"/>
        <v>0</v>
      </c>
      <c r="M1588" s="31">
        <f t="shared" si="1947"/>
        <v>0</v>
      </c>
      <c r="N1588" s="31">
        <f t="shared" si="1948"/>
        <v>0</v>
      </c>
      <c r="O1588" s="31">
        <f t="shared" si="1949"/>
        <v>0</v>
      </c>
      <c r="P1588" s="31">
        <f t="shared" si="1950"/>
        <v>0</v>
      </c>
      <c r="Q1588" s="49">
        <f t="shared" si="1951"/>
        <v>0</v>
      </c>
    </row>
    <row r="1589" spans="4:17" s="16" customFormat="1" ht="13.2" x14ac:dyDescent="0.25">
      <c r="D1589" s="235"/>
      <c r="E1589" s="240"/>
      <c r="F1589" s="241"/>
      <c r="G1589" s="242"/>
      <c r="H1589" s="239">
        <f t="shared" si="1942"/>
        <v>0</v>
      </c>
      <c r="I1589" s="131">
        <f t="shared" si="1943"/>
        <v>0</v>
      </c>
      <c r="J1589" s="31">
        <f t="shared" si="1944"/>
        <v>0</v>
      </c>
      <c r="K1589" s="31">
        <f t="shared" si="1945"/>
        <v>0</v>
      </c>
      <c r="L1589" s="31">
        <f t="shared" si="1946"/>
        <v>0</v>
      </c>
      <c r="M1589" s="31">
        <f t="shared" si="1947"/>
        <v>0</v>
      </c>
      <c r="N1589" s="31">
        <f t="shared" si="1948"/>
        <v>0</v>
      </c>
      <c r="O1589" s="31">
        <f t="shared" si="1949"/>
        <v>0</v>
      </c>
      <c r="P1589" s="31">
        <f t="shared" si="1950"/>
        <v>0</v>
      </c>
      <c r="Q1589" s="49">
        <f t="shared" si="1951"/>
        <v>0</v>
      </c>
    </row>
    <row r="1590" spans="4:17" s="16" customFormat="1" ht="13.2" x14ac:dyDescent="0.25">
      <c r="D1590" s="235"/>
      <c r="E1590" s="240"/>
      <c r="F1590" s="241"/>
      <c r="G1590" s="242"/>
      <c r="H1590" s="239">
        <f t="shared" si="1942"/>
        <v>0</v>
      </c>
      <c r="I1590" s="131">
        <f t="shared" si="1943"/>
        <v>0</v>
      </c>
      <c r="J1590" s="31">
        <f t="shared" si="1944"/>
        <v>0</v>
      </c>
      <c r="K1590" s="31">
        <f t="shared" si="1945"/>
        <v>0</v>
      </c>
      <c r="L1590" s="31">
        <f t="shared" si="1946"/>
        <v>0</v>
      </c>
      <c r="M1590" s="31">
        <f t="shared" si="1947"/>
        <v>0</v>
      </c>
      <c r="N1590" s="31">
        <f t="shared" si="1948"/>
        <v>0</v>
      </c>
      <c r="O1590" s="31">
        <f t="shared" si="1949"/>
        <v>0</v>
      </c>
      <c r="P1590" s="31">
        <f t="shared" si="1950"/>
        <v>0</v>
      </c>
      <c r="Q1590" s="49">
        <f t="shared" si="1951"/>
        <v>0</v>
      </c>
    </row>
    <row r="1591" spans="4:17" s="16" customFormat="1" ht="13.2" x14ac:dyDescent="0.25">
      <c r="D1591" s="235"/>
      <c r="E1591" s="240"/>
      <c r="F1591" s="241"/>
      <c r="G1591" s="242"/>
      <c r="H1591" s="239">
        <f t="shared" si="1942"/>
        <v>0</v>
      </c>
      <c r="I1591" s="131">
        <f t="shared" si="1943"/>
        <v>0</v>
      </c>
      <c r="J1591" s="31">
        <f t="shared" si="1944"/>
        <v>0</v>
      </c>
      <c r="K1591" s="31">
        <f t="shared" si="1945"/>
        <v>0</v>
      </c>
      <c r="L1591" s="31">
        <f t="shared" si="1946"/>
        <v>0</v>
      </c>
      <c r="M1591" s="31">
        <f t="shared" si="1947"/>
        <v>0</v>
      </c>
      <c r="N1591" s="31">
        <f t="shared" si="1948"/>
        <v>0</v>
      </c>
      <c r="O1591" s="31">
        <f t="shared" si="1949"/>
        <v>0</v>
      </c>
      <c r="P1591" s="31">
        <f t="shared" si="1950"/>
        <v>0</v>
      </c>
      <c r="Q1591" s="49">
        <f t="shared" si="1951"/>
        <v>0</v>
      </c>
    </row>
    <row r="1592" spans="4:17" s="16" customFormat="1" ht="13.8" thickBot="1" x14ac:dyDescent="0.3">
      <c r="D1592" s="307"/>
      <c r="E1592" s="26"/>
      <c r="F1592" s="206"/>
      <c r="G1592" s="207"/>
      <c r="H1592" s="207"/>
      <c r="I1592" s="51"/>
      <c r="J1592" s="308"/>
      <c r="K1592" s="308"/>
      <c r="L1592" s="308"/>
      <c r="M1592" s="308"/>
      <c r="N1592" s="308"/>
      <c r="O1592" s="308"/>
      <c r="P1592" s="308"/>
      <c r="Q1592" s="309"/>
    </row>
    <row r="1593" spans="4:17" s="16" customFormat="1" ht="13.2" x14ac:dyDescent="0.25">
      <c r="D1593" s="796" t="s">
        <v>1680</v>
      </c>
      <c r="E1593" s="797"/>
      <c r="F1593" s="797"/>
      <c r="G1593" s="797"/>
      <c r="H1593" s="797"/>
      <c r="I1593" s="47">
        <f>SUM(I1594:I1603)</f>
        <v>0</v>
      </c>
      <c r="J1593" s="47">
        <f t="shared" ref="J1593:Q1593" si="1952">SUM(J1594:J1603)</f>
        <v>0</v>
      </c>
      <c r="K1593" s="47">
        <f t="shared" si="1952"/>
        <v>0</v>
      </c>
      <c r="L1593" s="47">
        <f t="shared" si="1952"/>
        <v>0</v>
      </c>
      <c r="M1593" s="47">
        <f t="shared" si="1952"/>
        <v>0</v>
      </c>
      <c r="N1593" s="47">
        <f t="shared" si="1952"/>
        <v>0</v>
      </c>
      <c r="O1593" s="47">
        <f t="shared" si="1952"/>
        <v>0</v>
      </c>
      <c r="P1593" s="47">
        <f t="shared" si="1952"/>
        <v>0</v>
      </c>
      <c r="Q1593" s="47">
        <f t="shared" si="1952"/>
        <v>0</v>
      </c>
    </row>
    <row r="1594" spans="4:17" s="16" customFormat="1" ht="13.2" x14ac:dyDescent="0.25">
      <c r="D1594" s="235"/>
      <c r="E1594" s="237"/>
      <c r="F1594" s="238"/>
      <c r="G1594" s="239"/>
      <c r="H1594" s="239">
        <f t="shared" ref="H1594:H1603" si="1953">E1594*G1594</f>
        <v>0</v>
      </c>
      <c r="I1594" s="131">
        <f t="shared" ref="I1594:I1603" si="1954">IF($F1594=4.2,H1594*$B$23,0)</f>
        <v>0</v>
      </c>
      <c r="J1594" s="31">
        <f t="shared" ref="J1594:J1603" si="1955">IF($F1594=5,$H1594*$B$24,0)</f>
        <v>0</v>
      </c>
      <c r="K1594" s="31">
        <f t="shared" ref="K1594:K1603" si="1956">IF($F1594=6.3,$H1594*$B$25,0)</f>
        <v>0</v>
      </c>
      <c r="L1594" s="31">
        <f t="shared" ref="L1594:L1603" si="1957">IF($F1594=8,$H1594*$B$26,0)</f>
        <v>0</v>
      </c>
      <c r="M1594" s="31">
        <f t="shared" ref="M1594:M1603" si="1958">IF($F1594=10,$H1594*$B$27,0)</f>
        <v>0</v>
      </c>
      <c r="N1594" s="31">
        <f t="shared" ref="N1594:N1603" si="1959">IF($F1594=12.5,$H1594*$B$28,0)</f>
        <v>0</v>
      </c>
      <c r="O1594" s="31">
        <f t="shared" ref="O1594:O1603" si="1960">IF($F1594=16,$H1594*$B$29,0)</f>
        <v>0</v>
      </c>
      <c r="P1594" s="31">
        <f t="shared" ref="P1594:P1603" si="1961">IF($F1594=20,$H1594*$B$30,0)</f>
        <v>0</v>
      </c>
      <c r="Q1594" s="49">
        <f t="shared" ref="Q1594:Q1603" si="1962">IF($F1594=25,$H1594*$B$31,0)</f>
        <v>0</v>
      </c>
    </row>
    <row r="1595" spans="4:17" s="16" customFormat="1" ht="13.2" x14ac:dyDescent="0.25">
      <c r="D1595" s="235"/>
      <c r="E1595" s="240"/>
      <c r="F1595" s="241"/>
      <c r="G1595" s="242"/>
      <c r="H1595" s="239">
        <f t="shared" si="1953"/>
        <v>0</v>
      </c>
      <c r="I1595" s="131">
        <f t="shared" si="1954"/>
        <v>0</v>
      </c>
      <c r="J1595" s="31">
        <f t="shared" si="1955"/>
        <v>0</v>
      </c>
      <c r="K1595" s="31">
        <f t="shared" si="1956"/>
        <v>0</v>
      </c>
      <c r="L1595" s="31">
        <f t="shared" si="1957"/>
        <v>0</v>
      </c>
      <c r="M1595" s="31">
        <f t="shared" si="1958"/>
        <v>0</v>
      </c>
      <c r="N1595" s="31">
        <f t="shared" si="1959"/>
        <v>0</v>
      </c>
      <c r="O1595" s="31">
        <f t="shared" si="1960"/>
        <v>0</v>
      </c>
      <c r="P1595" s="31">
        <f t="shared" si="1961"/>
        <v>0</v>
      </c>
      <c r="Q1595" s="49">
        <f t="shared" si="1962"/>
        <v>0</v>
      </c>
    </row>
    <row r="1596" spans="4:17" s="16" customFormat="1" ht="13.2" x14ac:dyDescent="0.25">
      <c r="D1596" s="235"/>
      <c r="E1596" s="240"/>
      <c r="F1596" s="241"/>
      <c r="G1596" s="242"/>
      <c r="H1596" s="239">
        <f t="shared" si="1953"/>
        <v>0</v>
      </c>
      <c r="I1596" s="131">
        <f t="shared" si="1954"/>
        <v>0</v>
      </c>
      <c r="J1596" s="31">
        <f t="shared" si="1955"/>
        <v>0</v>
      </c>
      <c r="K1596" s="31">
        <f t="shared" si="1956"/>
        <v>0</v>
      </c>
      <c r="L1596" s="31">
        <f t="shared" si="1957"/>
        <v>0</v>
      </c>
      <c r="M1596" s="31">
        <f t="shared" si="1958"/>
        <v>0</v>
      </c>
      <c r="N1596" s="31">
        <f t="shared" si="1959"/>
        <v>0</v>
      </c>
      <c r="O1596" s="31">
        <f t="shared" si="1960"/>
        <v>0</v>
      </c>
      <c r="P1596" s="31">
        <f t="shared" si="1961"/>
        <v>0</v>
      </c>
      <c r="Q1596" s="49">
        <f t="shared" si="1962"/>
        <v>0</v>
      </c>
    </row>
    <row r="1597" spans="4:17" s="16" customFormat="1" ht="13.2" x14ac:dyDescent="0.25">
      <c r="D1597" s="235"/>
      <c r="E1597" s="240"/>
      <c r="F1597" s="241"/>
      <c r="G1597" s="242"/>
      <c r="H1597" s="239">
        <f t="shared" si="1953"/>
        <v>0</v>
      </c>
      <c r="I1597" s="131">
        <f t="shared" si="1954"/>
        <v>0</v>
      </c>
      <c r="J1597" s="31">
        <f t="shared" si="1955"/>
        <v>0</v>
      </c>
      <c r="K1597" s="31">
        <f t="shared" si="1956"/>
        <v>0</v>
      </c>
      <c r="L1597" s="31">
        <f t="shared" si="1957"/>
        <v>0</v>
      </c>
      <c r="M1597" s="31">
        <f t="shared" si="1958"/>
        <v>0</v>
      </c>
      <c r="N1597" s="31">
        <f t="shared" si="1959"/>
        <v>0</v>
      </c>
      <c r="O1597" s="31">
        <f t="shared" si="1960"/>
        <v>0</v>
      </c>
      <c r="P1597" s="31">
        <f t="shared" si="1961"/>
        <v>0</v>
      </c>
      <c r="Q1597" s="49">
        <f t="shared" si="1962"/>
        <v>0</v>
      </c>
    </row>
    <row r="1598" spans="4:17" s="16" customFormat="1" ht="13.2" x14ac:dyDescent="0.25">
      <c r="D1598" s="235"/>
      <c r="E1598" s="240"/>
      <c r="F1598" s="241"/>
      <c r="G1598" s="242"/>
      <c r="H1598" s="239">
        <f t="shared" si="1953"/>
        <v>0</v>
      </c>
      <c r="I1598" s="131">
        <f t="shared" si="1954"/>
        <v>0</v>
      </c>
      <c r="J1598" s="31">
        <f t="shared" si="1955"/>
        <v>0</v>
      </c>
      <c r="K1598" s="31">
        <f t="shared" si="1956"/>
        <v>0</v>
      </c>
      <c r="L1598" s="31">
        <f t="shared" si="1957"/>
        <v>0</v>
      </c>
      <c r="M1598" s="31">
        <f t="shared" si="1958"/>
        <v>0</v>
      </c>
      <c r="N1598" s="31">
        <f t="shared" si="1959"/>
        <v>0</v>
      </c>
      <c r="O1598" s="31">
        <f t="shared" si="1960"/>
        <v>0</v>
      </c>
      <c r="P1598" s="31">
        <f t="shared" si="1961"/>
        <v>0</v>
      </c>
      <c r="Q1598" s="49">
        <f t="shared" si="1962"/>
        <v>0</v>
      </c>
    </row>
    <row r="1599" spans="4:17" s="16" customFormat="1" ht="13.2" x14ac:dyDescent="0.25">
      <c r="D1599" s="235"/>
      <c r="E1599" s="240"/>
      <c r="F1599" s="241"/>
      <c r="G1599" s="242"/>
      <c r="H1599" s="239">
        <f t="shared" si="1953"/>
        <v>0</v>
      </c>
      <c r="I1599" s="131">
        <f t="shared" si="1954"/>
        <v>0</v>
      </c>
      <c r="J1599" s="31">
        <f t="shared" si="1955"/>
        <v>0</v>
      </c>
      <c r="K1599" s="31">
        <f t="shared" si="1956"/>
        <v>0</v>
      </c>
      <c r="L1599" s="31">
        <f t="shared" si="1957"/>
        <v>0</v>
      </c>
      <c r="M1599" s="31">
        <f t="shared" si="1958"/>
        <v>0</v>
      </c>
      <c r="N1599" s="31">
        <f t="shared" si="1959"/>
        <v>0</v>
      </c>
      <c r="O1599" s="31">
        <f t="shared" si="1960"/>
        <v>0</v>
      </c>
      <c r="P1599" s="31">
        <f t="shared" si="1961"/>
        <v>0</v>
      </c>
      <c r="Q1599" s="49">
        <f t="shared" si="1962"/>
        <v>0</v>
      </c>
    </row>
    <row r="1600" spans="4:17" s="16" customFormat="1" ht="13.2" x14ac:dyDescent="0.25">
      <c r="D1600" s="235"/>
      <c r="E1600" s="240"/>
      <c r="F1600" s="241"/>
      <c r="G1600" s="242"/>
      <c r="H1600" s="239">
        <f t="shared" si="1953"/>
        <v>0</v>
      </c>
      <c r="I1600" s="131">
        <f t="shared" si="1954"/>
        <v>0</v>
      </c>
      <c r="J1600" s="31">
        <f t="shared" si="1955"/>
        <v>0</v>
      </c>
      <c r="K1600" s="31">
        <f t="shared" si="1956"/>
        <v>0</v>
      </c>
      <c r="L1600" s="31">
        <f t="shared" si="1957"/>
        <v>0</v>
      </c>
      <c r="M1600" s="31">
        <f t="shared" si="1958"/>
        <v>0</v>
      </c>
      <c r="N1600" s="31">
        <f t="shared" si="1959"/>
        <v>0</v>
      </c>
      <c r="O1600" s="31">
        <f t="shared" si="1960"/>
        <v>0</v>
      </c>
      <c r="P1600" s="31">
        <f t="shared" si="1961"/>
        <v>0</v>
      </c>
      <c r="Q1600" s="49">
        <f t="shared" si="1962"/>
        <v>0</v>
      </c>
    </row>
    <row r="1601" spans="4:17" s="16" customFormat="1" ht="13.2" x14ac:dyDescent="0.25">
      <c r="D1601" s="235"/>
      <c r="E1601" s="240"/>
      <c r="F1601" s="241"/>
      <c r="G1601" s="242"/>
      <c r="H1601" s="239">
        <f t="shared" si="1953"/>
        <v>0</v>
      </c>
      <c r="I1601" s="131">
        <f t="shared" si="1954"/>
        <v>0</v>
      </c>
      <c r="J1601" s="31">
        <f t="shared" si="1955"/>
        <v>0</v>
      </c>
      <c r="K1601" s="31">
        <f t="shared" si="1956"/>
        <v>0</v>
      </c>
      <c r="L1601" s="31">
        <f t="shared" si="1957"/>
        <v>0</v>
      </c>
      <c r="M1601" s="31">
        <f t="shared" si="1958"/>
        <v>0</v>
      </c>
      <c r="N1601" s="31">
        <f t="shared" si="1959"/>
        <v>0</v>
      </c>
      <c r="O1601" s="31">
        <f t="shared" si="1960"/>
        <v>0</v>
      </c>
      <c r="P1601" s="31">
        <f t="shared" si="1961"/>
        <v>0</v>
      </c>
      <c r="Q1601" s="49">
        <f t="shared" si="1962"/>
        <v>0</v>
      </c>
    </row>
    <row r="1602" spans="4:17" s="16" customFormat="1" ht="13.2" x14ac:dyDescent="0.25">
      <c r="D1602" s="235"/>
      <c r="E1602" s="240"/>
      <c r="F1602" s="241"/>
      <c r="G1602" s="242"/>
      <c r="H1602" s="239">
        <f t="shared" si="1953"/>
        <v>0</v>
      </c>
      <c r="I1602" s="131">
        <f t="shared" si="1954"/>
        <v>0</v>
      </c>
      <c r="J1602" s="31">
        <f t="shared" si="1955"/>
        <v>0</v>
      </c>
      <c r="K1602" s="31">
        <f t="shared" si="1956"/>
        <v>0</v>
      </c>
      <c r="L1602" s="31">
        <f t="shared" si="1957"/>
        <v>0</v>
      </c>
      <c r="M1602" s="31">
        <f t="shared" si="1958"/>
        <v>0</v>
      </c>
      <c r="N1602" s="31">
        <f t="shared" si="1959"/>
        <v>0</v>
      </c>
      <c r="O1602" s="31">
        <f t="shared" si="1960"/>
        <v>0</v>
      </c>
      <c r="P1602" s="31">
        <f t="shared" si="1961"/>
        <v>0</v>
      </c>
      <c r="Q1602" s="49">
        <f t="shared" si="1962"/>
        <v>0</v>
      </c>
    </row>
    <row r="1603" spans="4:17" s="16" customFormat="1" ht="13.2" x14ac:dyDescent="0.25">
      <c r="D1603" s="235"/>
      <c r="E1603" s="240"/>
      <c r="F1603" s="241"/>
      <c r="G1603" s="242"/>
      <c r="H1603" s="239">
        <f t="shared" si="1953"/>
        <v>0</v>
      </c>
      <c r="I1603" s="131">
        <f t="shared" si="1954"/>
        <v>0</v>
      </c>
      <c r="J1603" s="31">
        <f t="shared" si="1955"/>
        <v>0</v>
      </c>
      <c r="K1603" s="31">
        <f t="shared" si="1956"/>
        <v>0</v>
      </c>
      <c r="L1603" s="31">
        <f t="shared" si="1957"/>
        <v>0</v>
      </c>
      <c r="M1603" s="31">
        <f t="shared" si="1958"/>
        <v>0</v>
      </c>
      <c r="N1603" s="31">
        <f t="shared" si="1959"/>
        <v>0</v>
      </c>
      <c r="O1603" s="31">
        <f t="shared" si="1960"/>
        <v>0</v>
      </c>
      <c r="P1603" s="31">
        <f t="shared" si="1961"/>
        <v>0</v>
      </c>
      <c r="Q1603" s="49">
        <f t="shared" si="1962"/>
        <v>0</v>
      </c>
    </row>
    <row r="1604" spans="4:17" s="16" customFormat="1" ht="13.8" thickBot="1" x14ac:dyDescent="0.3">
      <c r="D1604" s="307"/>
      <c r="E1604" s="26"/>
      <c r="F1604" s="206"/>
      <c r="G1604" s="207"/>
      <c r="H1604" s="207"/>
      <c r="I1604" s="51"/>
      <c r="J1604" s="308"/>
      <c r="K1604" s="308"/>
      <c r="L1604" s="308"/>
      <c r="M1604" s="308"/>
      <c r="N1604" s="308"/>
      <c r="O1604" s="308"/>
      <c r="P1604" s="308"/>
      <c r="Q1604" s="309"/>
    </row>
    <row r="1605" spans="4:17" s="16" customFormat="1" ht="13.2" x14ac:dyDescent="0.25">
      <c r="D1605" s="796" t="s">
        <v>1680</v>
      </c>
      <c r="E1605" s="797"/>
      <c r="F1605" s="797"/>
      <c r="G1605" s="797"/>
      <c r="H1605" s="797"/>
      <c r="I1605" s="47">
        <f>SUM(I1606:I1615)</f>
        <v>0</v>
      </c>
      <c r="J1605" s="47">
        <f t="shared" ref="J1605:Q1605" si="1963">SUM(J1606:J1615)</f>
        <v>0</v>
      </c>
      <c r="K1605" s="47">
        <f t="shared" si="1963"/>
        <v>0</v>
      </c>
      <c r="L1605" s="47">
        <f t="shared" si="1963"/>
        <v>0</v>
      </c>
      <c r="M1605" s="47">
        <f t="shared" si="1963"/>
        <v>0</v>
      </c>
      <c r="N1605" s="47">
        <f t="shared" si="1963"/>
        <v>0</v>
      </c>
      <c r="O1605" s="47">
        <f t="shared" si="1963"/>
        <v>0</v>
      </c>
      <c r="P1605" s="47">
        <f t="shared" si="1963"/>
        <v>0</v>
      </c>
      <c r="Q1605" s="47">
        <f t="shared" si="1963"/>
        <v>0</v>
      </c>
    </row>
    <row r="1606" spans="4:17" s="16" customFormat="1" ht="13.2" x14ac:dyDescent="0.25">
      <c r="D1606" s="235"/>
      <c r="E1606" s="237"/>
      <c r="F1606" s="238"/>
      <c r="G1606" s="239"/>
      <c r="H1606" s="239">
        <f t="shared" ref="H1606:H1615" si="1964">E1606*G1606</f>
        <v>0</v>
      </c>
      <c r="I1606" s="131">
        <f t="shared" ref="I1606:I1615" si="1965">IF($F1606=4.2,H1606*$B$23,0)</f>
        <v>0</v>
      </c>
      <c r="J1606" s="31">
        <f t="shared" ref="J1606:J1615" si="1966">IF($F1606=5,$H1606*$B$24,0)</f>
        <v>0</v>
      </c>
      <c r="K1606" s="31">
        <f t="shared" ref="K1606:K1615" si="1967">IF($F1606=6.3,$H1606*$B$25,0)</f>
        <v>0</v>
      </c>
      <c r="L1606" s="31">
        <f t="shared" ref="L1606:L1615" si="1968">IF($F1606=8,$H1606*$B$26,0)</f>
        <v>0</v>
      </c>
      <c r="M1606" s="31">
        <f t="shared" ref="M1606:M1615" si="1969">IF($F1606=10,$H1606*$B$27,0)</f>
        <v>0</v>
      </c>
      <c r="N1606" s="31">
        <f t="shared" ref="N1606:N1615" si="1970">IF($F1606=12.5,$H1606*$B$28,0)</f>
        <v>0</v>
      </c>
      <c r="O1606" s="31">
        <f t="shared" ref="O1606:O1615" si="1971">IF($F1606=16,$H1606*$B$29,0)</f>
        <v>0</v>
      </c>
      <c r="P1606" s="31">
        <f t="shared" ref="P1606:P1615" si="1972">IF($F1606=20,$H1606*$B$30,0)</f>
        <v>0</v>
      </c>
      <c r="Q1606" s="49">
        <f t="shared" ref="Q1606:Q1615" si="1973">IF($F1606=25,$H1606*$B$31,0)</f>
        <v>0</v>
      </c>
    </row>
    <row r="1607" spans="4:17" s="16" customFormat="1" ht="13.2" x14ac:dyDescent="0.25">
      <c r="D1607" s="235"/>
      <c r="E1607" s="240"/>
      <c r="F1607" s="241"/>
      <c r="G1607" s="242"/>
      <c r="H1607" s="239">
        <f t="shared" si="1964"/>
        <v>0</v>
      </c>
      <c r="I1607" s="131">
        <f t="shared" si="1965"/>
        <v>0</v>
      </c>
      <c r="J1607" s="31">
        <f t="shared" si="1966"/>
        <v>0</v>
      </c>
      <c r="K1607" s="31">
        <f t="shared" si="1967"/>
        <v>0</v>
      </c>
      <c r="L1607" s="31">
        <f t="shared" si="1968"/>
        <v>0</v>
      </c>
      <c r="M1607" s="31">
        <f t="shared" si="1969"/>
        <v>0</v>
      </c>
      <c r="N1607" s="31">
        <f t="shared" si="1970"/>
        <v>0</v>
      </c>
      <c r="O1607" s="31">
        <f t="shared" si="1971"/>
        <v>0</v>
      </c>
      <c r="P1607" s="31">
        <f t="shared" si="1972"/>
        <v>0</v>
      </c>
      <c r="Q1607" s="49">
        <f t="shared" si="1973"/>
        <v>0</v>
      </c>
    </row>
    <row r="1608" spans="4:17" s="16" customFormat="1" ht="13.2" x14ac:dyDescent="0.25">
      <c r="D1608" s="235"/>
      <c r="E1608" s="240"/>
      <c r="F1608" s="241"/>
      <c r="G1608" s="242"/>
      <c r="H1608" s="239">
        <f t="shared" si="1964"/>
        <v>0</v>
      </c>
      <c r="I1608" s="131">
        <f t="shared" si="1965"/>
        <v>0</v>
      </c>
      <c r="J1608" s="31">
        <f t="shared" si="1966"/>
        <v>0</v>
      </c>
      <c r="K1608" s="31">
        <f t="shared" si="1967"/>
        <v>0</v>
      </c>
      <c r="L1608" s="31">
        <f t="shared" si="1968"/>
        <v>0</v>
      </c>
      <c r="M1608" s="31">
        <f t="shared" si="1969"/>
        <v>0</v>
      </c>
      <c r="N1608" s="31">
        <f t="shared" si="1970"/>
        <v>0</v>
      </c>
      <c r="O1608" s="31">
        <f t="shared" si="1971"/>
        <v>0</v>
      </c>
      <c r="P1608" s="31">
        <f t="shared" si="1972"/>
        <v>0</v>
      </c>
      <c r="Q1608" s="49">
        <f t="shared" si="1973"/>
        <v>0</v>
      </c>
    </row>
    <row r="1609" spans="4:17" s="16" customFormat="1" ht="13.2" x14ac:dyDescent="0.25">
      <c r="D1609" s="235"/>
      <c r="E1609" s="240"/>
      <c r="F1609" s="241"/>
      <c r="G1609" s="242"/>
      <c r="H1609" s="239">
        <f t="shared" si="1964"/>
        <v>0</v>
      </c>
      <c r="I1609" s="131">
        <f t="shared" si="1965"/>
        <v>0</v>
      </c>
      <c r="J1609" s="31">
        <f t="shared" si="1966"/>
        <v>0</v>
      </c>
      <c r="K1609" s="31">
        <f t="shared" si="1967"/>
        <v>0</v>
      </c>
      <c r="L1609" s="31">
        <f t="shared" si="1968"/>
        <v>0</v>
      </c>
      <c r="M1609" s="31">
        <f t="shared" si="1969"/>
        <v>0</v>
      </c>
      <c r="N1609" s="31">
        <f t="shared" si="1970"/>
        <v>0</v>
      </c>
      <c r="O1609" s="31">
        <f t="shared" si="1971"/>
        <v>0</v>
      </c>
      <c r="P1609" s="31">
        <f t="shared" si="1972"/>
        <v>0</v>
      </c>
      <c r="Q1609" s="49">
        <f t="shared" si="1973"/>
        <v>0</v>
      </c>
    </row>
    <row r="1610" spans="4:17" s="16" customFormat="1" ht="13.2" x14ac:dyDescent="0.25">
      <c r="D1610" s="235"/>
      <c r="E1610" s="240"/>
      <c r="F1610" s="241"/>
      <c r="G1610" s="242"/>
      <c r="H1610" s="239">
        <f t="shared" si="1964"/>
        <v>0</v>
      </c>
      <c r="I1610" s="131">
        <f t="shared" si="1965"/>
        <v>0</v>
      </c>
      <c r="J1610" s="31">
        <f t="shared" si="1966"/>
        <v>0</v>
      </c>
      <c r="K1610" s="31">
        <f t="shared" si="1967"/>
        <v>0</v>
      </c>
      <c r="L1610" s="31">
        <f t="shared" si="1968"/>
        <v>0</v>
      </c>
      <c r="M1610" s="31">
        <f t="shared" si="1969"/>
        <v>0</v>
      </c>
      <c r="N1610" s="31">
        <f t="shared" si="1970"/>
        <v>0</v>
      </c>
      <c r="O1610" s="31">
        <f t="shared" si="1971"/>
        <v>0</v>
      </c>
      <c r="P1610" s="31">
        <f t="shared" si="1972"/>
        <v>0</v>
      </c>
      <c r="Q1610" s="49">
        <f t="shared" si="1973"/>
        <v>0</v>
      </c>
    </row>
    <row r="1611" spans="4:17" s="16" customFormat="1" ht="13.2" x14ac:dyDescent="0.25">
      <c r="D1611" s="235"/>
      <c r="E1611" s="240"/>
      <c r="F1611" s="241"/>
      <c r="G1611" s="242"/>
      <c r="H1611" s="239">
        <f t="shared" si="1964"/>
        <v>0</v>
      </c>
      <c r="I1611" s="131">
        <f t="shared" si="1965"/>
        <v>0</v>
      </c>
      <c r="J1611" s="31">
        <f t="shared" si="1966"/>
        <v>0</v>
      </c>
      <c r="K1611" s="31">
        <f t="shared" si="1967"/>
        <v>0</v>
      </c>
      <c r="L1611" s="31">
        <f t="shared" si="1968"/>
        <v>0</v>
      </c>
      <c r="M1611" s="31">
        <f t="shared" si="1969"/>
        <v>0</v>
      </c>
      <c r="N1611" s="31">
        <f t="shared" si="1970"/>
        <v>0</v>
      </c>
      <c r="O1611" s="31">
        <f t="shared" si="1971"/>
        <v>0</v>
      </c>
      <c r="P1611" s="31">
        <f t="shared" si="1972"/>
        <v>0</v>
      </c>
      <c r="Q1611" s="49">
        <f t="shared" si="1973"/>
        <v>0</v>
      </c>
    </row>
    <row r="1612" spans="4:17" s="16" customFormat="1" ht="13.2" x14ac:dyDescent="0.25">
      <c r="D1612" s="235"/>
      <c r="E1612" s="240"/>
      <c r="F1612" s="241"/>
      <c r="G1612" s="242"/>
      <c r="H1612" s="239">
        <f t="shared" si="1964"/>
        <v>0</v>
      </c>
      <c r="I1612" s="131">
        <f t="shared" si="1965"/>
        <v>0</v>
      </c>
      <c r="J1612" s="31">
        <f t="shared" si="1966"/>
        <v>0</v>
      </c>
      <c r="K1612" s="31">
        <f t="shared" si="1967"/>
        <v>0</v>
      </c>
      <c r="L1612" s="31">
        <f t="shared" si="1968"/>
        <v>0</v>
      </c>
      <c r="M1612" s="31">
        <f t="shared" si="1969"/>
        <v>0</v>
      </c>
      <c r="N1612" s="31">
        <f t="shared" si="1970"/>
        <v>0</v>
      </c>
      <c r="O1612" s="31">
        <f t="shared" si="1971"/>
        <v>0</v>
      </c>
      <c r="P1612" s="31">
        <f t="shared" si="1972"/>
        <v>0</v>
      </c>
      <c r="Q1612" s="49">
        <f t="shared" si="1973"/>
        <v>0</v>
      </c>
    </row>
    <row r="1613" spans="4:17" s="16" customFormat="1" ht="13.2" x14ac:dyDescent="0.25">
      <c r="D1613" s="235"/>
      <c r="E1613" s="240"/>
      <c r="F1613" s="241"/>
      <c r="G1613" s="242"/>
      <c r="H1613" s="239">
        <f t="shared" si="1964"/>
        <v>0</v>
      </c>
      <c r="I1613" s="131">
        <f t="shared" si="1965"/>
        <v>0</v>
      </c>
      <c r="J1613" s="31">
        <f t="shared" si="1966"/>
        <v>0</v>
      </c>
      <c r="K1613" s="31">
        <f t="shared" si="1967"/>
        <v>0</v>
      </c>
      <c r="L1613" s="31">
        <f t="shared" si="1968"/>
        <v>0</v>
      </c>
      <c r="M1613" s="31">
        <f t="shared" si="1969"/>
        <v>0</v>
      </c>
      <c r="N1613" s="31">
        <f t="shared" si="1970"/>
        <v>0</v>
      </c>
      <c r="O1613" s="31">
        <f t="shared" si="1971"/>
        <v>0</v>
      </c>
      <c r="P1613" s="31">
        <f t="shared" si="1972"/>
        <v>0</v>
      </c>
      <c r="Q1613" s="49">
        <f t="shared" si="1973"/>
        <v>0</v>
      </c>
    </row>
    <row r="1614" spans="4:17" s="16" customFormat="1" ht="13.2" x14ac:dyDescent="0.25">
      <c r="D1614" s="235"/>
      <c r="E1614" s="240"/>
      <c r="F1614" s="241"/>
      <c r="G1614" s="242"/>
      <c r="H1614" s="239">
        <f t="shared" si="1964"/>
        <v>0</v>
      </c>
      <c r="I1614" s="131">
        <f t="shared" si="1965"/>
        <v>0</v>
      </c>
      <c r="J1614" s="31">
        <f t="shared" si="1966"/>
        <v>0</v>
      </c>
      <c r="K1614" s="31">
        <f t="shared" si="1967"/>
        <v>0</v>
      </c>
      <c r="L1614" s="31">
        <f t="shared" si="1968"/>
        <v>0</v>
      </c>
      <c r="M1614" s="31">
        <f t="shared" si="1969"/>
        <v>0</v>
      </c>
      <c r="N1614" s="31">
        <f t="shared" si="1970"/>
        <v>0</v>
      </c>
      <c r="O1614" s="31">
        <f t="shared" si="1971"/>
        <v>0</v>
      </c>
      <c r="P1614" s="31">
        <f t="shared" si="1972"/>
        <v>0</v>
      </c>
      <c r="Q1614" s="49">
        <f t="shared" si="1973"/>
        <v>0</v>
      </c>
    </row>
    <row r="1615" spans="4:17" s="16" customFormat="1" ht="13.2" x14ac:dyDescent="0.25">
      <c r="D1615" s="235"/>
      <c r="E1615" s="240"/>
      <c r="F1615" s="241"/>
      <c r="G1615" s="242"/>
      <c r="H1615" s="239">
        <f t="shared" si="1964"/>
        <v>0</v>
      </c>
      <c r="I1615" s="131">
        <f t="shared" si="1965"/>
        <v>0</v>
      </c>
      <c r="J1615" s="31">
        <f t="shared" si="1966"/>
        <v>0</v>
      </c>
      <c r="K1615" s="31">
        <f t="shared" si="1967"/>
        <v>0</v>
      </c>
      <c r="L1615" s="31">
        <f t="shared" si="1968"/>
        <v>0</v>
      </c>
      <c r="M1615" s="31">
        <f t="shared" si="1969"/>
        <v>0</v>
      </c>
      <c r="N1615" s="31">
        <f t="shared" si="1970"/>
        <v>0</v>
      </c>
      <c r="O1615" s="31">
        <f t="shared" si="1971"/>
        <v>0</v>
      </c>
      <c r="P1615" s="31">
        <f t="shared" si="1972"/>
        <v>0</v>
      </c>
      <c r="Q1615" s="49">
        <f t="shared" si="1973"/>
        <v>0</v>
      </c>
    </row>
    <row r="1616" spans="4:17" s="16" customFormat="1" ht="13.8" thickBot="1" x14ac:dyDescent="0.3">
      <c r="D1616" s="307"/>
      <c r="E1616" s="26"/>
      <c r="F1616" s="206"/>
      <c r="G1616" s="207"/>
      <c r="H1616" s="207"/>
      <c r="I1616" s="51"/>
      <c r="J1616" s="308"/>
      <c r="K1616" s="308"/>
      <c r="L1616" s="308"/>
      <c r="M1616" s="308"/>
      <c r="N1616" s="308"/>
      <c r="O1616" s="308"/>
      <c r="P1616" s="308"/>
      <c r="Q1616" s="309"/>
    </row>
    <row r="1617" spans="4:17" s="16" customFormat="1" ht="13.2" x14ac:dyDescent="0.25">
      <c r="D1617" s="796" t="s">
        <v>1680</v>
      </c>
      <c r="E1617" s="797"/>
      <c r="F1617" s="797"/>
      <c r="G1617" s="797"/>
      <c r="H1617" s="797"/>
      <c r="I1617" s="47">
        <f>SUM(I1618:I1627)</f>
        <v>0</v>
      </c>
      <c r="J1617" s="47">
        <f t="shared" ref="J1617:Q1617" si="1974">SUM(J1618:J1627)</f>
        <v>0</v>
      </c>
      <c r="K1617" s="47">
        <f t="shared" si="1974"/>
        <v>0</v>
      </c>
      <c r="L1617" s="47">
        <f t="shared" si="1974"/>
        <v>0</v>
      </c>
      <c r="M1617" s="47">
        <f t="shared" si="1974"/>
        <v>0</v>
      </c>
      <c r="N1617" s="47">
        <f t="shared" si="1974"/>
        <v>0</v>
      </c>
      <c r="O1617" s="47">
        <f t="shared" si="1974"/>
        <v>0</v>
      </c>
      <c r="P1617" s="47">
        <f t="shared" si="1974"/>
        <v>0</v>
      </c>
      <c r="Q1617" s="47">
        <f t="shared" si="1974"/>
        <v>0</v>
      </c>
    </row>
    <row r="1618" spans="4:17" s="16" customFormat="1" ht="13.2" x14ac:dyDescent="0.25">
      <c r="D1618" s="235"/>
      <c r="E1618" s="237"/>
      <c r="F1618" s="238"/>
      <c r="G1618" s="239"/>
      <c r="H1618" s="239">
        <f t="shared" ref="H1618:H1627" si="1975">E1618*G1618</f>
        <v>0</v>
      </c>
      <c r="I1618" s="131">
        <f t="shared" ref="I1618:I1627" si="1976">IF($F1618=4.2,H1618*$B$23,0)</f>
        <v>0</v>
      </c>
      <c r="J1618" s="31">
        <f t="shared" ref="J1618:J1627" si="1977">IF($F1618=5,$H1618*$B$24,0)</f>
        <v>0</v>
      </c>
      <c r="K1618" s="31">
        <f t="shared" ref="K1618:K1627" si="1978">IF($F1618=6.3,$H1618*$B$25,0)</f>
        <v>0</v>
      </c>
      <c r="L1618" s="31">
        <f t="shared" ref="L1618:L1627" si="1979">IF($F1618=8,$H1618*$B$26,0)</f>
        <v>0</v>
      </c>
      <c r="M1618" s="31">
        <f t="shared" ref="M1618:M1627" si="1980">IF($F1618=10,$H1618*$B$27,0)</f>
        <v>0</v>
      </c>
      <c r="N1618" s="31">
        <f t="shared" ref="N1618:N1627" si="1981">IF($F1618=12.5,$H1618*$B$28,0)</f>
        <v>0</v>
      </c>
      <c r="O1618" s="31">
        <f t="shared" ref="O1618:O1627" si="1982">IF($F1618=16,$H1618*$B$29,0)</f>
        <v>0</v>
      </c>
      <c r="P1618" s="31">
        <f t="shared" ref="P1618:P1627" si="1983">IF($F1618=20,$H1618*$B$30,0)</f>
        <v>0</v>
      </c>
      <c r="Q1618" s="49">
        <f t="shared" ref="Q1618:Q1627" si="1984">IF($F1618=25,$H1618*$B$31,0)</f>
        <v>0</v>
      </c>
    </row>
    <row r="1619" spans="4:17" s="16" customFormat="1" ht="13.2" x14ac:dyDescent="0.25">
      <c r="D1619" s="235"/>
      <c r="E1619" s="240"/>
      <c r="F1619" s="241"/>
      <c r="G1619" s="242"/>
      <c r="H1619" s="239">
        <f t="shared" si="1975"/>
        <v>0</v>
      </c>
      <c r="I1619" s="131">
        <f t="shared" si="1976"/>
        <v>0</v>
      </c>
      <c r="J1619" s="31">
        <f t="shared" si="1977"/>
        <v>0</v>
      </c>
      <c r="K1619" s="31">
        <f t="shared" si="1978"/>
        <v>0</v>
      </c>
      <c r="L1619" s="31">
        <f t="shared" si="1979"/>
        <v>0</v>
      </c>
      <c r="M1619" s="31">
        <f t="shared" si="1980"/>
        <v>0</v>
      </c>
      <c r="N1619" s="31">
        <f t="shared" si="1981"/>
        <v>0</v>
      </c>
      <c r="O1619" s="31">
        <f t="shared" si="1982"/>
        <v>0</v>
      </c>
      <c r="P1619" s="31">
        <f t="shared" si="1983"/>
        <v>0</v>
      </c>
      <c r="Q1619" s="49">
        <f t="shared" si="1984"/>
        <v>0</v>
      </c>
    </row>
    <row r="1620" spans="4:17" s="16" customFormat="1" ht="13.2" x14ac:dyDescent="0.25">
      <c r="D1620" s="235"/>
      <c r="E1620" s="240"/>
      <c r="F1620" s="241"/>
      <c r="G1620" s="242"/>
      <c r="H1620" s="239">
        <f t="shared" si="1975"/>
        <v>0</v>
      </c>
      <c r="I1620" s="131">
        <f t="shared" si="1976"/>
        <v>0</v>
      </c>
      <c r="J1620" s="31">
        <f t="shared" si="1977"/>
        <v>0</v>
      </c>
      <c r="K1620" s="31">
        <f t="shared" si="1978"/>
        <v>0</v>
      </c>
      <c r="L1620" s="31">
        <f t="shared" si="1979"/>
        <v>0</v>
      </c>
      <c r="M1620" s="31">
        <f t="shared" si="1980"/>
        <v>0</v>
      </c>
      <c r="N1620" s="31">
        <f t="shared" si="1981"/>
        <v>0</v>
      </c>
      <c r="O1620" s="31">
        <f t="shared" si="1982"/>
        <v>0</v>
      </c>
      <c r="P1620" s="31">
        <f t="shared" si="1983"/>
        <v>0</v>
      </c>
      <c r="Q1620" s="49">
        <f t="shared" si="1984"/>
        <v>0</v>
      </c>
    </row>
    <row r="1621" spans="4:17" s="16" customFormat="1" ht="13.2" x14ac:dyDescent="0.25">
      <c r="D1621" s="235"/>
      <c r="E1621" s="240"/>
      <c r="F1621" s="241"/>
      <c r="G1621" s="242"/>
      <c r="H1621" s="239">
        <f t="shared" si="1975"/>
        <v>0</v>
      </c>
      <c r="I1621" s="131">
        <f t="shared" si="1976"/>
        <v>0</v>
      </c>
      <c r="J1621" s="31">
        <f t="shared" si="1977"/>
        <v>0</v>
      </c>
      <c r="K1621" s="31">
        <f t="shared" si="1978"/>
        <v>0</v>
      </c>
      <c r="L1621" s="31">
        <f t="shared" si="1979"/>
        <v>0</v>
      </c>
      <c r="M1621" s="31">
        <f t="shared" si="1980"/>
        <v>0</v>
      </c>
      <c r="N1621" s="31">
        <f t="shared" si="1981"/>
        <v>0</v>
      </c>
      <c r="O1621" s="31">
        <f t="shared" si="1982"/>
        <v>0</v>
      </c>
      <c r="P1621" s="31">
        <f t="shared" si="1983"/>
        <v>0</v>
      </c>
      <c r="Q1621" s="49">
        <f t="shared" si="1984"/>
        <v>0</v>
      </c>
    </row>
    <row r="1622" spans="4:17" s="16" customFormat="1" ht="13.2" x14ac:dyDescent="0.25">
      <c r="D1622" s="235"/>
      <c r="E1622" s="240"/>
      <c r="F1622" s="241"/>
      <c r="G1622" s="242"/>
      <c r="H1622" s="239">
        <f t="shared" si="1975"/>
        <v>0</v>
      </c>
      <c r="I1622" s="131">
        <f t="shared" si="1976"/>
        <v>0</v>
      </c>
      <c r="J1622" s="31">
        <f t="shared" si="1977"/>
        <v>0</v>
      </c>
      <c r="K1622" s="31">
        <f t="shared" si="1978"/>
        <v>0</v>
      </c>
      <c r="L1622" s="31">
        <f t="shared" si="1979"/>
        <v>0</v>
      </c>
      <c r="M1622" s="31">
        <f t="shared" si="1980"/>
        <v>0</v>
      </c>
      <c r="N1622" s="31">
        <f t="shared" si="1981"/>
        <v>0</v>
      </c>
      <c r="O1622" s="31">
        <f t="shared" si="1982"/>
        <v>0</v>
      </c>
      <c r="P1622" s="31">
        <f t="shared" si="1983"/>
        <v>0</v>
      </c>
      <c r="Q1622" s="49">
        <f t="shared" si="1984"/>
        <v>0</v>
      </c>
    </row>
    <row r="1623" spans="4:17" s="16" customFormat="1" ht="13.2" x14ac:dyDescent="0.25">
      <c r="D1623" s="235"/>
      <c r="E1623" s="240"/>
      <c r="F1623" s="241"/>
      <c r="G1623" s="242"/>
      <c r="H1623" s="239">
        <f t="shared" si="1975"/>
        <v>0</v>
      </c>
      <c r="I1623" s="131">
        <f t="shared" si="1976"/>
        <v>0</v>
      </c>
      <c r="J1623" s="31">
        <f t="shared" si="1977"/>
        <v>0</v>
      </c>
      <c r="K1623" s="31">
        <f t="shared" si="1978"/>
        <v>0</v>
      </c>
      <c r="L1623" s="31">
        <f t="shared" si="1979"/>
        <v>0</v>
      </c>
      <c r="M1623" s="31">
        <f t="shared" si="1980"/>
        <v>0</v>
      </c>
      <c r="N1623" s="31">
        <f t="shared" si="1981"/>
        <v>0</v>
      </c>
      <c r="O1623" s="31">
        <f t="shared" si="1982"/>
        <v>0</v>
      </c>
      <c r="P1623" s="31">
        <f t="shared" si="1983"/>
        <v>0</v>
      </c>
      <c r="Q1623" s="49">
        <f t="shared" si="1984"/>
        <v>0</v>
      </c>
    </row>
    <row r="1624" spans="4:17" s="16" customFormat="1" ht="13.2" x14ac:dyDescent="0.25">
      <c r="D1624" s="235"/>
      <c r="E1624" s="240"/>
      <c r="F1624" s="241"/>
      <c r="G1624" s="242"/>
      <c r="H1624" s="239">
        <f t="shared" si="1975"/>
        <v>0</v>
      </c>
      <c r="I1624" s="131">
        <f t="shared" si="1976"/>
        <v>0</v>
      </c>
      <c r="J1624" s="31">
        <f t="shared" si="1977"/>
        <v>0</v>
      </c>
      <c r="K1624" s="31">
        <f t="shared" si="1978"/>
        <v>0</v>
      </c>
      <c r="L1624" s="31">
        <f t="shared" si="1979"/>
        <v>0</v>
      </c>
      <c r="M1624" s="31">
        <f t="shared" si="1980"/>
        <v>0</v>
      </c>
      <c r="N1624" s="31">
        <f t="shared" si="1981"/>
        <v>0</v>
      </c>
      <c r="O1624" s="31">
        <f t="shared" si="1982"/>
        <v>0</v>
      </c>
      <c r="P1624" s="31">
        <f t="shared" si="1983"/>
        <v>0</v>
      </c>
      <c r="Q1624" s="49">
        <f t="shared" si="1984"/>
        <v>0</v>
      </c>
    </row>
    <row r="1625" spans="4:17" s="16" customFormat="1" ht="13.2" x14ac:dyDescent="0.25">
      <c r="D1625" s="235"/>
      <c r="E1625" s="240"/>
      <c r="F1625" s="241"/>
      <c r="G1625" s="242"/>
      <c r="H1625" s="239">
        <f t="shared" si="1975"/>
        <v>0</v>
      </c>
      <c r="I1625" s="131">
        <f t="shared" si="1976"/>
        <v>0</v>
      </c>
      <c r="J1625" s="31">
        <f t="shared" si="1977"/>
        <v>0</v>
      </c>
      <c r="K1625" s="31">
        <f t="shared" si="1978"/>
        <v>0</v>
      </c>
      <c r="L1625" s="31">
        <f t="shared" si="1979"/>
        <v>0</v>
      </c>
      <c r="M1625" s="31">
        <f t="shared" si="1980"/>
        <v>0</v>
      </c>
      <c r="N1625" s="31">
        <f t="shared" si="1981"/>
        <v>0</v>
      </c>
      <c r="O1625" s="31">
        <f t="shared" si="1982"/>
        <v>0</v>
      </c>
      <c r="P1625" s="31">
        <f t="shared" si="1983"/>
        <v>0</v>
      </c>
      <c r="Q1625" s="49">
        <f t="shared" si="1984"/>
        <v>0</v>
      </c>
    </row>
    <row r="1626" spans="4:17" s="16" customFormat="1" ht="13.2" x14ac:dyDescent="0.25">
      <c r="D1626" s="235"/>
      <c r="E1626" s="240"/>
      <c r="F1626" s="241"/>
      <c r="G1626" s="242"/>
      <c r="H1626" s="239">
        <f t="shared" si="1975"/>
        <v>0</v>
      </c>
      <c r="I1626" s="131">
        <f t="shared" si="1976"/>
        <v>0</v>
      </c>
      <c r="J1626" s="31">
        <f t="shared" si="1977"/>
        <v>0</v>
      </c>
      <c r="K1626" s="31">
        <f t="shared" si="1978"/>
        <v>0</v>
      </c>
      <c r="L1626" s="31">
        <f t="shared" si="1979"/>
        <v>0</v>
      </c>
      <c r="M1626" s="31">
        <f t="shared" si="1980"/>
        <v>0</v>
      </c>
      <c r="N1626" s="31">
        <f t="shared" si="1981"/>
        <v>0</v>
      </c>
      <c r="O1626" s="31">
        <f t="shared" si="1982"/>
        <v>0</v>
      </c>
      <c r="P1626" s="31">
        <f t="shared" si="1983"/>
        <v>0</v>
      </c>
      <c r="Q1626" s="49">
        <f t="shared" si="1984"/>
        <v>0</v>
      </c>
    </row>
    <row r="1627" spans="4:17" s="16" customFormat="1" ht="13.2" x14ac:dyDescent="0.25">
      <c r="D1627" s="235"/>
      <c r="E1627" s="240"/>
      <c r="F1627" s="241"/>
      <c r="G1627" s="242"/>
      <c r="H1627" s="239">
        <f t="shared" si="1975"/>
        <v>0</v>
      </c>
      <c r="I1627" s="131">
        <f t="shared" si="1976"/>
        <v>0</v>
      </c>
      <c r="J1627" s="31">
        <f t="shared" si="1977"/>
        <v>0</v>
      </c>
      <c r="K1627" s="31">
        <f t="shared" si="1978"/>
        <v>0</v>
      </c>
      <c r="L1627" s="31">
        <f t="shared" si="1979"/>
        <v>0</v>
      </c>
      <c r="M1627" s="31">
        <f t="shared" si="1980"/>
        <v>0</v>
      </c>
      <c r="N1627" s="31">
        <f t="shared" si="1981"/>
        <v>0</v>
      </c>
      <c r="O1627" s="31">
        <f t="shared" si="1982"/>
        <v>0</v>
      </c>
      <c r="P1627" s="31">
        <f t="shared" si="1983"/>
        <v>0</v>
      </c>
      <c r="Q1627" s="49">
        <f t="shared" si="1984"/>
        <v>0</v>
      </c>
    </row>
    <row r="1628" spans="4:17" s="16" customFormat="1" ht="13.8" thickBot="1" x14ac:dyDescent="0.3">
      <c r="D1628" s="307"/>
      <c r="E1628" s="26"/>
      <c r="F1628" s="206"/>
      <c r="G1628" s="207"/>
      <c r="H1628" s="207"/>
      <c r="I1628" s="51"/>
      <c r="J1628" s="308"/>
      <c r="K1628" s="308"/>
      <c r="L1628" s="308"/>
      <c r="M1628" s="308"/>
      <c r="N1628" s="308"/>
      <c r="O1628" s="308"/>
      <c r="P1628" s="308"/>
      <c r="Q1628" s="309"/>
    </row>
    <row r="1629" spans="4:17" s="16" customFormat="1" ht="13.2" x14ac:dyDescent="0.25">
      <c r="D1629" s="796" t="s">
        <v>1680</v>
      </c>
      <c r="E1629" s="797"/>
      <c r="F1629" s="797"/>
      <c r="G1629" s="797"/>
      <c r="H1629" s="797"/>
      <c r="I1629" s="47">
        <f>SUM(I1630:I1639)</f>
        <v>0</v>
      </c>
      <c r="J1629" s="47">
        <f t="shared" ref="J1629:Q1629" si="1985">SUM(J1630:J1639)</f>
        <v>0</v>
      </c>
      <c r="K1629" s="47">
        <f t="shared" si="1985"/>
        <v>0</v>
      </c>
      <c r="L1629" s="47">
        <f t="shared" si="1985"/>
        <v>0</v>
      </c>
      <c r="M1629" s="47">
        <f t="shared" si="1985"/>
        <v>0</v>
      </c>
      <c r="N1629" s="47">
        <f t="shared" si="1985"/>
        <v>0</v>
      </c>
      <c r="O1629" s="47">
        <f t="shared" si="1985"/>
        <v>0</v>
      </c>
      <c r="P1629" s="47">
        <f t="shared" si="1985"/>
        <v>0</v>
      </c>
      <c r="Q1629" s="47">
        <f t="shared" si="1985"/>
        <v>0</v>
      </c>
    </row>
    <row r="1630" spans="4:17" s="16" customFormat="1" ht="13.2" x14ac:dyDescent="0.25">
      <c r="D1630" s="235"/>
      <c r="E1630" s="237"/>
      <c r="F1630" s="238"/>
      <c r="G1630" s="239"/>
      <c r="H1630" s="239">
        <f t="shared" ref="H1630:H1639" si="1986">E1630*G1630</f>
        <v>0</v>
      </c>
      <c r="I1630" s="131">
        <f t="shared" ref="I1630:I1639" si="1987">IF($F1630=4.2,H1630*$B$23,0)</f>
        <v>0</v>
      </c>
      <c r="J1630" s="31">
        <f t="shared" ref="J1630:J1639" si="1988">IF($F1630=5,$H1630*$B$24,0)</f>
        <v>0</v>
      </c>
      <c r="K1630" s="31">
        <f t="shared" ref="K1630:K1639" si="1989">IF($F1630=6.3,$H1630*$B$25,0)</f>
        <v>0</v>
      </c>
      <c r="L1630" s="31">
        <f t="shared" ref="L1630:L1639" si="1990">IF($F1630=8,$H1630*$B$26,0)</f>
        <v>0</v>
      </c>
      <c r="M1630" s="31">
        <f t="shared" ref="M1630:M1639" si="1991">IF($F1630=10,$H1630*$B$27,0)</f>
        <v>0</v>
      </c>
      <c r="N1630" s="31">
        <f t="shared" ref="N1630:N1639" si="1992">IF($F1630=12.5,$H1630*$B$28,0)</f>
        <v>0</v>
      </c>
      <c r="O1630" s="31">
        <f t="shared" ref="O1630:O1639" si="1993">IF($F1630=16,$H1630*$B$29,0)</f>
        <v>0</v>
      </c>
      <c r="P1630" s="31">
        <f t="shared" ref="P1630:P1639" si="1994">IF($F1630=20,$H1630*$B$30,0)</f>
        <v>0</v>
      </c>
      <c r="Q1630" s="49">
        <f t="shared" ref="Q1630:Q1639" si="1995">IF($F1630=25,$H1630*$B$31,0)</f>
        <v>0</v>
      </c>
    </row>
    <row r="1631" spans="4:17" s="16" customFormat="1" ht="13.2" x14ac:dyDescent="0.25">
      <c r="D1631" s="235"/>
      <c r="E1631" s="240"/>
      <c r="F1631" s="241"/>
      <c r="G1631" s="242"/>
      <c r="H1631" s="239">
        <f t="shared" si="1986"/>
        <v>0</v>
      </c>
      <c r="I1631" s="131">
        <f t="shared" si="1987"/>
        <v>0</v>
      </c>
      <c r="J1631" s="31">
        <f t="shared" si="1988"/>
        <v>0</v>
      </c>
      <c r="K1631" s="31">
        <f t="shared" si="1989"/>
        <v>0</v>
      </c>
      <c r="L1631" s="31">
        <f t="shared" si="1990"/>
        <v>0</v>
      </c>
      <c r="M1631" s="31">
        <f t="shared" si="1991"/>
        <v>0</v>
      </c>
      <c r="N1631" s="31">
        <f t="shared" si="1992"/>
        <v>0</v>
      </c>
      <c r="O1631" s="31">
        <f t="shared" si="1993"/>
        <v>0</v>
      </c>
      <c r="P1631" s="31">
        <f t="shared" si="1994"/>
        <v>0</v>
      </c>
      <c r="Q1631" s="49">
        <f t="shared" si="1995"/>
        <v>0</v>
      </c>
    </row>
    <row r="1632" spans="4:17" s="16" customFormat="1" ht="13.2" x14ac:dyDescent="0.25">
      <c r="D1632" s="235"/>
      <c r="E1632" s="240"/>
      <c r="F1632" s="241"/>
      <c r="G1632" s="242"/>
      <c r="H1632" s="239">
        <f t="shared" si="1986"/>
        <v>0</v>
      </c>
      <c r="I1632" s="131">
        <f t="shared" si="1987"/>
        <v>0</v>
      </c>
      <c r="J1632" s="31">
        <f t="shared" si="1988"/>
        <v>0</v>
      </c>
      <c r="K1632" s="31">
        <f t="shared" si="1989"/>
        <v>0</v>
      </c>
      <c r="L1632" s="31">
        <f t="shared" si="1990"/>
        <v>0</v>
      </c>
      <c r="M1632" s="31">
        <f t="shared" si="1991"/>
        <v>0</v>
      </c>
      <c r="N1632" s="31">
        <f t="shared" si="1992"/>
        <v>0</v>
      </c>
      <c r="O1632" s="31">
        <f t="shared" si="1993"/>
        <v>0</v>
      </c>
      <c r="P1632" s="31">
        <f t="shared" si="1994"/>
        <v>0</v>
      </c>
      <c r="Q1632" s="49">
        <f t="shared" si="1995"/>
        <v>0</v>
      </c>
    </row>
    <row r="1633" spans="4:17" s="16" customFormat="1" ht="13.2" x14ac:dyDescent="0.25">
      <c r="D1633" s="235"/>
      <c r="E1633" s="240"/>
      <c r="F1633" s="241"/>
      <c r="G1633" s="242"/>
      <c r="H1633" s="239">
        <f t="shared" si="1986"/>
        <v>0</v>
      </c>
      <c r="I1633" s="131">
        <f t="shared" si="1987"/>
        <v>0</v>
      </c>
      <c r="J1633" s="31">
        <f t="shared" si="1988"/>
        <v>0</v>
      </c>
      <c r="K1633" s="31">
        <f t="shared" si="1989"/>
        <v>0</v>
      </c>
      <c r="L1633" s="31">
        <f t="shared" si="1990"/>
        <v>0</v>
      </c>
      <c r="M1633" s="31">
        <f t="shared" si="1991"/>
        <v>0</v>
      </c>
      <c r="N1633" s="31">
        <f t="shared" si="1992"/>
        <v>0</v>
      </c>
      <c r="O1633" s="31">
        <f t="shared" si="1993"/>
        <v>0</v>
      </c>
      <c r="P1633" s="31">
        <f t="shared" si="1994"/>
        <v>0</v>
      </c>
      <c r="Q1633" s="49">
        <f t="shared" si="1995"/>
        <v>0</v>
      </c>
    </row>
    <row r="1634" spans="4:17" s="16" customFormat="1" ht="13.2" x14ac:dyDescent="0.25">
      <c r="D1634" s="235"/>
      <c r="E1634" s="240"/>
      <c r="F1634" s="241"/>
      <c r="G1634" s="242"/>
      <c r="H1634" s="239">
        <f t="shared" si="1986"/>
        <v>0</v>
      </c>
      <c r="I1634" s="131">
        <f t="shared" si="1987"/>
        <v>0</v>
      </c>
      <c r="J1634" s="31">
        <f t="shared" si="1988"/>
        <v>0</v>
      </c>
      <c r="K1634" s="31">
        <f t="shared" si="1989"/>
        <v>0</v>
      </c>
      <c r="L1634" s="31">
        <f t="shared" si="1990"/>
        <v>0</v>
      </c>
      <c r="M1634" s="31">
        <f t="shared" si="1991"/>
        <v>0</v>
      </c>
      <c r="N1634" s="31">
        <f t="shared" si="1992"/>
        <v>0</v>
      </c>
      <c r="O1634" s="31">
        <f t="shared" si="1993"/>
        <v>0</v>
      </c>
      <c r="P1634" s="31">
        <f t="shared" si="1994"/>
        <v>0</v>
      </c>
      <c r="Q1634" s="49">
        <f t="shared" si="1995"/>
        <v>0</v>
      </c>
    </row>
    <row r="1635" spans="4:17" s="16" customFormat="1" ht="13.2" x14ac:dyDescent="0.25">
      <c r="D1635" s="235"/>
      <c r="E1635" s="240"/>
      <c r="F1635" s="241"/>
      <c r="G1635" s="242"/>
      <c r="H1635" s="239">
        <f t="shared" si="1986"/>
        <v>0</v>
      </c>
      <c r="I1635" s="131">
        <f t="shared" si="1987"/>
        <v>0</v>
      </c>
      <c r="J1635" s="31">
        <f t="shared" si="1988"/>
        <v>0</v>
      </c>
      <c r="K1635" s="31">
        <f t="shared" si="1989"/>
        <v>0</v>
      </c>
      <c r="L1635" s="31">
        <f t="shared" si="1990"/>
        <v>0</v>
      </c>
      <c r="M1635" s="31">
        <f t="shared" si="1991"/>
        <v>0</v>
      </c>
      <c r="N1635" s="31">
        <f t="shared" si="1992"/>
        <v>0</v>
      </c>
      <c r="O1635" s="31">
        <f t="shared" si="1993"/>
        <v>0</v>
      </c>
      <c r="P1635" s="31">
        <f t="shared" si="1994"/>
        <v>0</v>
      </c>
      <c r="Q1635" s="49">
        <f t="shared" si="1995"/>
        <v>0</v>
      </c>
    </row>
    <row r="1636" spans="4:17" s="16" customFormat="1" ht="13.2" x14ac:dyDescent="0.25">
      <c r="D1636" s="235"/>
      <c r="E1636" s="240"/>
      <c r="F1636" s="241"/>
      <c r="G1636" s="242"/>
      <c r="H1636" s="239">
        <f t="shared" si="1986"/>
        <v>0</v>
      </c>
      <c r="I1636" s="131">
        <f t="shared" si="1987"/>
        <v>0</v>
      </c>
      <c r="J1636" s="31">
        <f t="shared" si="1988"/>
        <v>0</v>
      </c>
      <c r="K1636" s="31">
        <f t="shared" si="1989"/>
        <v>0</v>
      </c>
      <c r="L1636" s="31">
        <f t="shared" si="1990"/>
        <v>0</v>
      </c>
      <c r="M1636" s="31">
        <f t="shared" si="1991"/>
        <v>0</v>
      </c>
      <c r="N1636" s="31">
        <f t="shared" si="1992"/>
        <v>0</v>
      </c>
      <c r="O1636" s="31">
        <f t="shared" si="1993"/>
        <v>0</v>
      </c>
      <c r="P1636" s="31">
        <f t="shared" si="1994"/>
        <v>0</v>
      </c>
      <c r="Q1636" s="49">
        <f t="shared" si="1995"/>
        <v>0</v>
      </c>
    </row>
    <row r="1637" spans="4:17" s="16" customFormat="1" ht="13.2" x14ac:dyDescent="0.25">
      <c r="D1637" s="235"/>
      <c r="E1637" s="240"/>
      <c r="F1637" s="241"/>
      <c r="G1637" s="242"/>
      <c r="H1637" s="239">
        <f t="shared" si="1986"/>
        <v>0</v>
      </c>
      <c r="I1637" s="131">
        <f t="shared" si="1987"/>
        <v>0</v>
      </c>
      <c r="J1637" s="31">
        <f t="shared" si="1988"/>
        <v>0</v>
      </c>
      <c r="K1637" s="31">
        <f t="shared" si="1989"/>
        <v>0</v>
      </c>
      <c r="L1637" s="31">
        <f t="shared" si="1990"/>
        <v>0</v>
      </c>
      <c r="M1637" s="31">
        <f t="shared" si="1991"/>
        <v>0</v>
      </c>
      <c r="N1637" s="31">
        <f t="shared" si="1992"/>
        <v>0</v>
      </c>
      <c r="O1637" s="31">
        <f t="shared" si="1993"/>
        <v>0</v>
      </c>
      <c r="P1637" s="31">
        <f t="shared" si="1994"/>
        <v>0</v>
      </c>
      <c r="Q1637" s="49">
        <f t="shared" si="1995"/>
        <v>0</v>
      </c>
    </row>
    <row r="1638" spans="4:17" s="16" customFormat="1" ht="13.2" x14ac:dyDescent="0.25">
      <c r="D1638" s="235"/>
      <c r="E1638" s="240"/>
      <c r="F1638" s="241"/>
      <c r="G1638" s="242"/>
      <c r="H1638" s="239">
        <f t="shared" si="1986"/>
        <v>0</v>
      </c>
      <c r="I1638" s="131">
        <f t="shared" si="1987"/>
        <v>0</v>
      </c>
      <c r="J1638" s="31">
        <f t="shared" si="1988"/>
        <v>0</v>
      </c>
      <c r="K1638" s="31">
        <f t="shared" si="1989"/>
        <v>0</v>
      </c>
      <c r="L1638" s="31">
        <f t="shared" si="1990"/>
        <v>0</v>
      </c>
      <c r="M1638" s="31">
        <f t="shared" si="1991"/>
        <v>0</v>
      </c>
      <c r="N1638" s="31">
        <f t="shared" si="1992"/>
        <v>0</v>
      </c>
      <c r="O1638" s="31">
        <f t="shared" si="1993"/>
        <v>0</v>
      </c>
      <c r="P1638" s="31">
        <f t="shared" si="1994"/>
        <v>0</v>
      </c>
      <c r="Q1638" s="49">
        <f t="shared" si="1995"/>
        <v>0</v>
      </c>
    </row>
    <row r="1639" spans="4:17" s="16" customFormat="1" ht="13.2" x14ac:dyDescent="0.25">
      <c r="D1639" s="235"/>
      <c r="E1639" s="240"/>
      <c r="F1639" s="241"/>
      <c r="G1639" s="242"/>
      <c r="H1639" s="239">
        <f t="shared" si="1986"/>
        <v>0</v>
      </c>
      <c r="I1639" s="131">
        <f t="shared" si="1987"/>
        <v>0</v>
      </c>
      <c r="J1639" s="31">
        <f t="shared" si="1988"/>
        <v>0</v>
      </c>
      <c r="K1639" s="31">
        <f t="shared" si="1989"/>
        <v>0</v>
      </c>
      <c r="L1639" s="31">
        <f t="shared" si="1990"/>
        <v>0</v>
      </c>
      <c r="M1639" s="31">
        <f t="shared" si="1991"/>
        <v>0</v>
      </c>
      <c r="N1639" s="31">
        <f t="shared" si="1992"/>
        <v>0</v>
      </c>
      <c r="O1639" s="31">
        <f t="shared" si="1993"/>
        <v>0</v>
      </c>
      <c r="P1639" s="31">
        <f t="shared" si="1994"/>
        <v>0</v>
      </c>
      <c r="Q1639" s="49">
        <f t="shared" si="1995"/>
        <v>0</v>
      </c>
    </row>
    <row r="1640" spans="4:17" s="16" customFormat="1" ht="13.8" thickBot="1" x14ac:dyDescent="0.3">
      <c r="D1640" s="307"/>
      <c r="E1640" s="26"/>
      <c r="F1640" s="206"/>
      <c r="G1640" s="207"/>
      <c r="H1640" s="207"/>
      <c r="I1640" s="51"/>
      <c r="J1640" s="308"/>
      <c r="K1640" s="308"/>
      <c r="L1640" s="308"/>
      <c r="M1640" s="308"/>
      <c r="N1640" s="308"/>
      <c r="O1640" s="308"/>
      <c r="P1640" s="308"/>
      <c r="Q1640" s="309"/>
    </row>
    <row r="1641" spans="4:17" s="16" customFormat="1" ht="13.2" x14ac:dyDescent="0.25">
      <c r="D1641" s="796" t="s">
        <v>1680</v>
      </c>
      <c r="E1641" s="797"/>
      <c r="F1641" s="797"/>
      <c r="G1641" s="797"/>
      <c r="H1641" s="797"/>
      <c r="I1641" s="47">
        <f>SUM(I1642:I1651)</f>
        <v>0</v>
      </c>
      <c r="J1641" s="47">
        <f t="shared" ref="J1641:Q1641" si="1996">SUM(J1642:J1651)</f>
        <v>0</v>
      </c>
      <c r="K1641" s="47">
        <f t="shared" si="1996"/>
        <v>0</v>
      </c>
      <c r="L1641" s="47">
        <f t="shared" si="1996"/>
        <v>0</v>
      </c>
      <c r="M1641" s="47">
        <f t="shared" si="1996"/>
        <v>0</v>
      </c>
      <c r="N1641" s="47">
        <f t="shared" si="1996"/>
        <v>0</v>
      </c>
      <c r="O1641" s="47">
        <f t="shared" si="1996"/>
        <v>0</v>
      </c>
      <c r="P1641" s="47">
        <f t="shared" si="1996"/>
        <v>0</v>
      </c>
      <c r="Q1641" s="47">
        <f t="shared" si="1996"/>
        <v>0</v>
      </c>
    </row>
    <row r="1642" spans="4:17" s="16" customFormat="1" ht="13.2" x14ac:dyDescent="0.25">
      <c r="D1642" s="235"/>
      <c r="E1642" s="237"/>
      <c r="F1642" s="238"/>
      <c r="G1642" s="239"/>
      <c r="H1642" s="239">
        <f t="shared" ref="H1642:H1651" si="1997">E1642*G1642</f>
        <v>0</v>
      </c>
      <c r="I1642" s="131">
        <f t="shared" ref="I1642:I1651" si="1998">IF($F1642=4.2,H1642*$B$23,0)</f>
        <v>0</v>
      </c>
      <c r="J1642" s="31">
        <f t="shared" ref="J1642:J1651" si="1999">IF($F1642=5,$H1642*$B$24,0)</f>
        <v>0</v>
      </c>
      <c r="K1642" s="31">
        <f t="shared" ref="K1642:K1651" si="2000">IF($F1642=6.3,$H1642*$B$25,0)</f>
        <v>0</v>
      </c>
      <c r="L1642" s="31">
        <f t="shared" ref="L1642:L1651" si="2001">IF($F1642=8,$H1642*$B$26,0)</f>
        <v>0</v>
      </c>
      <c r="M1642" s="31">
        <f t="shared" ref="M1642:M1651" si="2002">IF($F1642=10,$H1642*$B$27,0)</f>
        <v>0</v>
      </c>
      <c r="N1642" s="31">
        <f t="shared" ref="N1642:N1651" si="2003">IF($F1642=12.5,$H1642*$B$28,0)</f>
        <v>0</v>
      </c>
      <c r="O1642" s="31">
        <f t="shared" ref="O1642:O1651" si="2004">IF($F1642=16,$H1642*$B$29,0)</f>
        <v>0</v>
      </c>
      <c r="P1642" s="31">
        <f t="shared" ref="P1642:P1651" si="2005">IF($F1642=20,$H1642*$B$30,0)</f>
        <v>0</v>
      </c>
      <c r="Q1642" s="49">
        <f t="shared" ref="Q1642:Q1651" si="2006">IF($F1642=25,$H1642*$B$31,0)</f>
        <v>0</v>
      </c>
    </row>
    <row r="1643" spans="4:17" s="16" customFormat="1" ht="13.2" x14ac:dyDescent="0.25">
      <c r="D1643" s="235"/>
      <c r="E1643" s="240"/>
      <c r="F1643" s="241"/>
      <c r="G1643" s="242"/>
      <c r="H1643" s="239">
        <f t="shared" si="1997"/>
        <v>0</v>
      </c>
      <c r="I1643" s="131">
        <f t="shared" si="1998"/>
        <v>0</v>
      </c>
      <c r="J1643" s="31">
        <f t="shared" si="1999"/>
        <v>0</v>
      </c>
      <c r="K1643" s="31">
        <f t="shared" si="2000"/>
        <v>0</v>
      </c>
      <c r="L1643" s="31">
        <f t="shared" si="2001"/>
        <v>0</v>
      </c>
      <c r="M1643" s="31">
        <f t="shared" si="2002"/>
        <v>0</v>
      </c>
      <c r="N1643" s="31">
        <f t="shared" si="2003"/>
        <v>0</v>
      </c>
      <c r="O1643" s="31">
        <f t="shared" si="2004"/>
        <v>0</v>
      </c>
      <c r="P1643" s="31">
        <f t="shared" si="2005"/>
        <v>0</v>
      </c>
      <c r="Q1643" s="49">
        <f t="shared" si="2006"/>
        <v>0</v>
      </c>
    </row>
    <row r="1644" spans="4:17" s="16" customFormat="1" ht="13.2" x14ac:dyDescent="0.25">
      <c r="D1644" s="235"/>
      <c r="E1644" s="240"/>
      <c r="F1644" s="241"/>
      <c r="G1644" s="242"/>
      <c r="H1644" s="239">
        <f t="shared" si="1997"/>
        <v>0</v>
      </c>
      <c r="I1644" s="131">
        <f t="shared" si="1998"/>
        <v>0</v>
      </c>
      <c r="J1644" s="31">
        <f t="shared" si="1999"/>
        <v>0</v>
      </c>
      <c r="K1644" s="31">
        <f t="shared" si="2000"/>
        <v>0</v>
      </c>
      <c r="L1644" s="31">
        <f t="shared" si="2001"/>
        <v>0</v>
      </c>
      <c r="M1644" s="31">
        <f t="shared" si="2002"/>
        <v>0</v>
      </c>
      <c r="N1644" s="31">
        <f t="shared" si="2003"/>
        <v>0</v>
      </c>
      <c r="O1644" s="31">
        <f t="shared" si="2004"/>
        <v>0</v>
      </c>
      <c r="P1644" s="31">
        <f t="shared" si="2005"/>
        <v>0</v>
      </c>
      <c r="Q1644" s="49">
        <f t="shared" si="2006"/>
        <v>0</v>
      </c>
    </row>
    <row r="1645" spans="4:17" s="16" customFormat="1" ht="13.2" x14ac:dyDescent="0.25">
      <c r="D1645" s="235"/>
      <c r="E1645" s="240"/>
      <c r="F1645" s="241"/>
      <c r="G1645" s="242"/>
      <c r="H1645" s="239">
        <f t="shared" si="1997"/>
        <v>0</v>
      </c>
      <c r="I1645" s="131">
        <f t="shared" si="1998"/>
        <v>0</v>
      </c>
      <c r="J1645" s="31">
        <f t="shared" si="1999"/>
        <v>0</v>
      </c>
      <c r="K1645" s="31">
        <f t="shared" si="2000"/>
        <v>0</v>
      </c>
      <c r="L1645" s="31">
        <f t="shared" si="2001"/>
        <v>0</v>
      </c>
      <c r="M1645" s="31">
        <f t="shared" si="2002"/>
        <v>0</v>
      </c>
      <c r="N1645" s="31">
        <f t="shared" si="2003"/>
        <v>0</v>
      </c>
      <c r="O1645" s="31">
        <f t="shared" si="2004"/>
        <v>0</v>
      </c>
      <c r="P1645" s="31">
        <f t="shared" si="2005"/>
        <v>0</v>
      </c>
      <c r="Q1645" s="49">
        <f t="shared" si="2006"/>
        <v>0</v>
      </c>
    </row>
    <row r="1646" spans="4:17" s="16" customFormat="1" ht="13.2" x14ac:dyDescent="0.25">
      <c r="D1646" s="235"/>
      <c r="E1646" s="240"/>
      <c r="F1646" s="241"/>
      <c r="G1646" s="242"/>
      <c r="H1646" s="239">
        <f t="shared" si="1997"/>
        <v>0</v>
      </c>
      <c r="I1646" s="131">
        <f t="shared" si="1998"/>
        <v>0</v>
      </c>
      <c r="J1646" s="31">
        <f t="shared" si="1999"/>
        <v>0</v>
      </c>
      <c r="K1646" s="31">
        <f t="shared" si="2000"/>
        <v>0</v>
      </c>
      <c r="L1646" s="31">
        <f t="shared" si="2001"/>
        <v>0</v>
      </c>
      <c r="M1646" s="31">
        <f t="shared" si="2002"/>
        <v>0</v>
      </c>
      <c r="N1646" s="31">
        <f t="shared" si="2003"/>
        <v>0</v>
      </c>
      <c r="O1646" s="31">
        <f t="shared" si="2004"/>
        <v>0</v>
      </c>
      <c r="P1646" s="31">
        <f t="shared" si="2005"/>
        <v>0</v>
      </c>
      <c r="Q1646" s="49">
        <f t="shared" si="2006"/>
        <v>0</v>
      </c>
    </row>
    <row r="1647" spans="4:17" s="16" customFormat="1" ht="13.2" x14ac:dyDescent="0.25">
      <c r="D1647" s="235"/>
      <c r="E1647" s="240"/>
      <c r="F1647" s="241"/>
      <c r="G1647" s="242"/>
      <c r="H1647" s="239">
        <f t="shared" si="1997"/>
        <v>0</v>
      </c>
      <c r="I1647" s="131">
        <f t="shared" si="1998"/>
        <v>0</v>
      </c>
      <c r="J1647" s="31">
        <f t="shared" si="1999"/>
        <v>0</v>
      </c>
      <c r="K1647" s="31">
        <f t="shared" si="2000"/>
        <v>0</v>
      </c>
      <c r="L1647" s="31">
        <f t="shared" si="2001"/>
        <v>0</v>
      </c>
      <c r="M1647" s="31">
        <f t="shared" si="2002"/>
        <v>0</v>
      </c>
      <c r="N1647" s="31">
        <f t="shared" si="2003"/>
        <v>0</v>
      </c>
      <c r="O1647" s="31">
        <f t="shared" si="2004"/>
        <v>0</v>
      </c>
      <c r="P1647" s="31">
        <f t="shared" si="2005"/>
        <v>0</v>
      </c>
      <c r="Q1647" s="49">
        <f t="shared" si="2006"/>
        <v>0</v>
      </c>
    </row>
    <row r="1648" spans="4:17" s="16" customFormat="1" ht="13.2" x14ac:dyDescent="0.25">
      <c r="D1648" s="235"/>
      <c r="E1648" s="240"/>
      <c r="F1648" s="241"/>
      <c r="G1648" s="242"/>
      <c r="H1648" s="239">
        <f t="shared" si="1997"/>
        <v>0</v>
      </c>
      <c r="I1648" s="131">
        <f t="shared" si="1998"/>
        <v>0</v>
      </c>
      <c r="J1648" s="31">
        <f t="shared" si="1999"/>
        <v>0</v>
      </c>
      <c r="K1648" s="31">
        <f t="shared" si="2000"/>
        <v>0</v>
      </c>
      <c r="L1648" s="31">
        <f t="shared" si="2001"/>
        <v>0</v>
      </c>
      <c r="M1648" s="31">
        <f t="shared" si="2002"/>
        <v>0</v>
      </c>
      <c r="N1648" s="31">
        <f t="shared" si="2003"/>
        <v>0</v>
      </c>
      <c r="O1648" s="31">
        <f t="shared" si="2004"/>
        <v>0</v>
      </c>
      <c r="P1648" s="31">
        <f t="shared" si="2005"/>
        <v>0</v>
      </c>
      <c r="Q1648" s="49">
        <f t="shared" si="2006"/>
        <v>0</v>
      </c>
    </row>
    <row r="1649" spans="4:17" s="16" customFormat="1" ht="13.2" x14ac:dyDescent="0.25">
      <c r="D1649" s="235"/>
      <c r="E1649" s="240"/>
      <c r="F1649" s="241"/>
      <c r="G1649" s="242"/>
      <c r="H1649" s="239">
        <f t="shared" si="1997"/>
        <v>0</v>
      </c>
      <c r="I1649" s="131">
        <f t="shared" si="1998"/>
        <v>0</v>
      </c>
      <c r="J1649" s="31">
        <f t="shared" si="1999"/>
        <v>0</v>
      </c>
      <c r="K1649" s="31">
        <f t="shared" si="2000"/>
        <v>0</v>
      </c>
      <c r="L1649" s="31">
        <f t="shared" si="2001"/>
        <v>0</v>
      </c>
      <c r="M1649" s="31">
        <f t="shared" si="2002"/>
        <v>0</v>
      </c>
      <c r="N1649" s="31">
        <f t="shared" si="2003"/>
        <v>0</v>
      </c>
      <c r="O1649" s="31">
        <f t="shared" si="2004"/>
        <v>0</v>
      </c>
      <c r="P1649" s="31">
        <f t="shared" si="2005"/>
        <v>0</v>
      </c>
      <c r="Q1649" s="49">
        <f t="shared" si="2006"/>
        <v>0</v>
      </c>
    </row>
    <row r="1650" spans="4:17" s="16" customFormat="1" ht="13.2" x14ac:dyDescent="0.25">
      <c r="D1650" s="235"/>
      <c r="E1650" s="240"/>
      <c r="F1650" s="241"/>
      <c r="G1650" s="242"/>
      <c r="H1650" s="239">
        <f t="shared" si="1997"/>
        <v>0</v>
      </c>
      <c r="I1650" s="131">
        <f t="shared" si="1998"/>
        <v>0</v>
      </c>
      <c r="J1650" s="31">
        <f t="shared" si="1999"/>
        <v>0</v>
      </c>
      <c r="K1650" s="31">
        <f t="shared" si="2000"/>
        <v>0</v>
      </c>
      <c r="L1650" s="31">
        <f t="shared" si="2001"/>
        <v>0</v>
      </c>
      <c r="M1650" s="31">
        <f t="shared" si="2002"/>
        <v>0</v>
      </c>
      <c r="N1650" s="31">
        <f t="shared" si="2003"/>
        <v>0</v>
      </c>
      <c r="O1650" s="31">
        <f t="shared" si="2004"/>
        <v>0</v>
      </c>
      <c r="P1650" s="31">
        <f t="shared" si="2005"/>
        <v>0</v>
      </c>
      <c r="Q1650" s="49">
        <f t="shared" si="2006"/>
        <v>0</v>
      </c>
    </row>
    <row r="1651" spans="4:17" s="16" customFormat="1" ht="13.2" x14ac:dyDescent="0.25">
      <c r="D1651" s="235"/>
      <c r="E1651" s="240"/>
      <c r="F1651" s="241"/>
      <c r="G1651" s="242"/>
      <c r="H1651" s="239">
        <f t="shared" si="1997"/>
        <v>0</v>
      </c>
      <c r="I1651" s="131">
        <f t="shared" si="1998"/>
        <v>0</v>
      </c>
      <c r="J1651" s="31">
        <f t="shared" si="1999"/>
        <v>0</v>
      </c>
      <c r="K1651" s="31">
        <f t="shared" si="2000"/>
        <v>0</v>
      </c>
      <c r="L1651" s="31">
        <f t="shared" si="2001"/>
        <v>0</v>
      </c>
      <c r="M1651" s="31">
        <f t="shared" si="2002"/>
        <v>0</v>
      </c>
      <c r="N1651" s="31">
        <f t="shared" si="2003"/>
        <v>0</v>
      </c>
      <c r="O1651" s="31">
        <f t="shared" si="2004"/>
        <v>0</v>
      </c>
      <c r="P1651" s="31">
        <f t="shared" si="2005"/>
        <v>0</v>
      </c>
      <c r="Q1651" s="49">
        <f t="shared" si="2006"/>
        <v>0</v>
      </c>
    </row>
    <row r="1652" spans="4:17" s="16" customFormat="1" ht="13.8" thickBot="1" x14ac:dyDescent="0.3">
      <c r="D1652" s="307"/>
      <c r="E1652" s="26"/>
      <c r="F1652" s="206"/>
      <c r="G1652" s="207"/>
      <c r="H1652" s="207"/>
      <c r="I1652" s="51"/>
      <c r="J1652" s="308"/>
      <c r="K1652" s="308"/>
      <c r="L1652" s="308"/>
      <c r="M1652" s="308"/>
      <c r="N1652" s="308"/>
      <c r="O1652" s="308"/>
      <c r="P1652" s="308"/>
      <c r="Q1652" s="309"/>
    </row>
    <row r="1653" spans="4:17" s="16" customFormat="1" ht="13.2" x14ac:dyDescent="0.25">
      <c r="D1653" s="796" t="s">
        <v>1680</v>
      </c>
      <c r="E1653" s="797"/>
      <c r="F1653" s="797"/>
      <c r="G1653" s="797"/>
      <c r="H1653" s="797"/>
      <c r="I1653" s="47">
        <f>SUM(I1654:I1663)</f>
        <v>0</v>
      </c>
      <c r="J1653" s="47">
        <f t="shared" ref="J1653:Q1653" si="2007">SUM(J1654:J1663)</f>
        <v>0</v>
      </c>
      <c r="K1653" s="47">
        <f t="shared" si="2007"/>
        <v>0</v>
      </c>
      <c r="L1653" s="47">
        <f t="shared" si="2007"/>
        <v>0</v>
      </c>
      <c r="M1653" s="47">
        <f t="shared" si="2007"/>
        <v>0</v>
      </c>
      <c r="N1653" s="47">
        <f t="shared" si="2007"/>
        <v>0</v>
      </c>
      <c r="O1653" s="47">
        <f t="shared" si="2007"/>
        <v>0</v>
      </c>
      <c r="P1653" s="47">
        <f t="shared" si="2007"/>
        <v>0</v>
      </c>
      <c r="Q1653" s="47">
        <f t="shared" si="2007"/>
        <v>0</v>
      </c>
    </row>
    <row r="1654" spans="4:17" s="16" customFormat="1" ht="13.2" x14ac:dyDescent="0.25">
      <c r="D1654" s="235"/>
      <c r="E1654" s="237"/>
      <c r="F1654" s="238"/>
      <c r="G1654" s="239"/>
      <c r="H1654" s="239">
        <f t="shared" ref="H1654:H1663" si="2008">E1654*G1654</f>
        <v>0</v>
      </c>
      <c r="I1654" s="131">
        <f t="shared" ref="I1654:I1663" si="2009">IF($F1654=4.2,H1654*$B$23,0)</f>
        <v>0</v>
      </c>
      <c r="J1654" s="31">
        <f t="shared" ref="J1654:J1663" si="2010">IF($F1654=5,$H1654*$B$24,0)</f>
        <v>0</v>
      </c>
      <c r="K1654" s="31">
        <f t="shared" ref="K1654:K1663" si="2011">IF($F1654=6.3,$H1654*$B$25,0)</f>
        <v>0</v>
      </c>
      <c r="L1654" s="31">
        <f t="shared" ref="L1654:L1663" si="2012">IF($F1654=8,$H1654*$B$26,0)</f>
        <v>0</v>
      </c>
      <c r="M1654" s="31">
        <f t="shared" ref="M1654:M1663" si="2013">IF($F1654=10,$H1654*$B$27,0)</f>
        <v>0</v>
      </c>
      <c r="N1654" s="31">
        <f t="shared" ref="N1654:N1663" si="2014">IF($F1654=12.5,$H1654*$B$28,0)</f>
        <v>0</v>
      </c>
      <c r="O1654" s="31">
        <f t="shared" ref="O1654:O1663" si="2015">IF($F1654=16,$H1654*$B$29,0)</f>
        <v>0</v>
      </c>
      <c r="P1654" s="31">
        <f t="shared" ref="P1654:P1663" si="2016">IF($F1654=20,$H1654*$B$30,0)</f>
        <v>0</v>
      </c>
      <c r="Q1654" s="49">
        <f t="shared" ref="Q1654:Q1663" si="2017">IF($F1654=25,$H1654*$B$31,0)</f>
        <v>0</v>
      </c>
    </row>
    <row r="1655" spans="4:17" s="16" customFormat="1" ht="13.2" x14ac:dyDescent="0.25">
      <c r="D1655" s="235"/>
      <c r="E1655" s="240"/>
      <c r="F1655" s="241"/>
      <c r="G1655" s="242"/>
      <c r="H1655" s="239">
        <f t="shared" si="2008"/>
        <v>0</v>
      </c>
      <c r="I1655" s="131">
        <f t="shared" si="2009"/>
        <v>0</v>
      </c>
      <c r="J1655" s="31">
        <f t="shared" si="2010"/>
        <v>0</v>
      </c>
      <c r="K1655" s="31">
        <f t="shared" si="2011"/>
        <v>0</v>
      </c>
      <c r="L1655" s="31">
        <f t="shared" si="2012"/>
        <v>0</v>
      </c>
      <c r="M1655" s="31">
        <f t="shared" si="2013"/>
        <v>0</v>
      </c>
      <c r="N1655" s="31">
        <f t="shared" si="2014"/>
        <v>0</v>
      </c>
      <c r="O1655" s="31">
        <f t="shared" si="2015"/>
        <v>0</v>
      </c>
      <c r="P1655" s="31">
        <f t="shared" si="2016"/>
        <v>0</v>
      </c>
      <c r="Q1655" s="49">
        <f t="shared" si="2017"/>
        <v>0</v>
      </c>
    </row>
    <row r="1656" spans="4:17" s="16" customFormat="1" ht="13.2" x14ac:dyDescent="0.25">
      <c r="D1656" s="235"/>
      <c r="E1656" s="240"/>
      <c r="F1656" s="241"/>
      <c r="G1656" s="242"/>
      <c r="H1656" s="239">
        <f t="shared" si="2008"/>
        <v>0</v>
      </c>
      <c r="I1656" s="131">
        <f t="shared" si="2009"/>
        <v>0</v>
      </c>
      <c r="J1656" s="31">
        <f t="shared" si="2010"/>
        <v>0</v>
      </c>
      <c r="K1656" s="31">
        <f t="shared" si="2011"/>
        <v>0</v>
      </c>
      <c r="L1656" s="31">
        <f t="shared" si="2012"/>
        <v>0</v>
      </c>
      <c r="M1656" s="31">
        <f t="shared" si="2013"/>
        <v>0</v>
      </c>
      <c r="N1656" s="31">
        <f t="shared" si="2014"/>
        <v>0</v>
      </c>
      <c r="O1656" s="31">
        <f t="shared" si="2015"/>
        <v>0</v>
      </c>
      <c r="P1656" s="31">
        <f t="shared" si="2016"/>
        <v>0</v>
      </c>
      <c r="Q1656" s="49">
        <f t="shared" si="2017"/>
        <v>0</v>
      </c>
    </row>
    <row r="1657" spans="4:17" s="16" customFormat="1" ht="13.2" x14ac:dyDescent="0.25">
      <c r="D1657" s="235"/>
      <c r="E1657" s="240"/>
      <c r="F1657" s="241"/>
      <c r="G1657" s="242"/>
      <c r="H1657" s="239">
        <f t="shared" si="2008"/>
        <v>0</v>
      </c>
      <c r="I1657" s="131">
        <f t="shared" si="2009"/>
        <v>0</v>
      </c>
      <c r="J1657" s="31">
        <f t="shared" si="2010"/>
        <v>0</v>
      </c>
      <c r="K1657" s="31">
        <f t="shared" si="2011"/>
        <v>0</v>
      </c>
      <c r="L1657" s="31">
        <f t="shared" si="2012"/>
        <v>0</v>
      </c>
      <c r="M1657" s="31">
        <f t="shared" si="2013"/>
        <v>0</v>
      </c>
      <c r="N1657" s="31">
        <f t="shared" si="2014"/>
        <v>0</v>
      </c>
      <c r="O1657" s="31">
        <f t="shared" si="2015"/>
        <v>0</v>
      </c>
      <c r="P1657" s="31">
        <f t="shared" si="2016"/>
        <v>0</v>
      </c>
      <c r="Q1657" s="49">
        <f t="shared" si="2017"/>
        <v>0</v>
      </c>
    </row>
    <row r="1658" spans="4:17" s="16" customFormat="1" ht="13.2" x14ac:dyDescent="0.25">
      <c r="D1658" s="235"/>
      <c r="E1658" s="240"/>
      <c r="F1658" s="241"/>
      <c r="G1658" s="242"/>
      <c r="H1658" s="239">
        <f t="shared" si="2008"/>
        <v>0</v>
      </c>
      <c r="I1658" s="131">
        <f t="shared" si="2009"/>
        <v>0</v>
      </c>
      <c r="J1658" s="31">
        <f t="shared" si="2010"/>
        <v>0</v>
      </c>
      <c r="K1658" s="31">
        <f t="shared" si="2011"/>
        <v>0</v>
      </c>
      <c r="L1658" s="31">
        <f t="shared" si="2012"/>
        <v>0</v>
      </c>
      <c r="M1658" s="31">
        <f t="shared" si="2013"/>
        <v>0</v>
      </c>
      <c r="N1658" s="31">
        <f t="shared" si="2014"/>
        <v>0</v>
      </c>
      <c r="O1658" s="31">
        <f t="shared" si="2015"/>
        <v>0</v>
      </c>
      <c r="P1658" s="31">
        <f t="shared" si="2016"/>
        <v>0</v>
      </c>
      <c r="Q1658" s="49">
        <f t="shared" si="2017"/>
        <v>0</v>
      </c>
    </row>
    <row r="1659" spans="4:17" s="16" customFormat="1" ht="13.2" x14ac:dyDescent="0.25">
      <c r="D1659" s="235"/>
      <c r="E1659" s="240"/>
      <c r="F1659" s="241"/>
      <c r="G1659" s="242"/>
      <c r="H1659" s="239">
        <f t="shared" si="2008"/>
        <v>0</v>
      </c>
      <c r="I1659" s="131">
        <f t="shared" si="2009"/>
        <v>0</v>
      </c>
      <c r="J1659" s="31">
        <f t="shared" si="2010"/>
        <v>0</v>
      </c>
      <c r="K1659" s="31">
        <f t="shared" si="2011"/>
        <v>0</v>
      </c>
      <c r="L1659" s="31">
        <f t="shared" si="2012"/>
        <v>0</v>
      </c>
      <c r="M1659" s="31">
        <f t="shared" si="2013"/>
        <v>0</v>
      </c>
      <c r="N1659" s="31">
        <f t="shared" si="2014"/>
        <v>0</v>
      </c>
      <c r="O1659" s="31">
        <f t="shared" si="2015"/>
        <v>0</v>
      </c>
      <c r="P1659" s="31">
        <f t="shared" si="2016"/>
        <v>0</v>
      </c>
      <c r="Q1659" s="49">
        <f t="shared" si="2017"/>
        <v>0</v>
      </c>
    </row>
    <row r="1660" spans="4:17" s="16" customFormat="1" ht="13.2" x14ac:dyDescent="0.25">
      <c r="D1660" s="235"/>
      <c r="E1660" s="240"/>
      <c r="F1660" s="241"/>
      <c r="G1660" s="242"/>
      <c r="H1660" s="239">
        <f t="shared" si="2008"/>
        <v>0</v>
      </c>
      <c r="I1660" s="131">
        <f t="shared" si="2009"/>
        <v>0</v>
      </c>
      <c r="J1660" s="31">
        <f t="shared" si="2010"/>
        <v>0</v>
      </c>
      <c r="K1660" s="31">
        <f t="shared" si="2011"/>
        <v>0</v>
      </c>
      <c r="L1660" s="31">
        <f t="shared" si="2012"/>
        <v>0</v>
      </c>
      <c r="M1660" s="31">
        <f t="shared" si="2013"/>
        <v>0</v>
      </c>
      <c r="N1660" s="31">
        <f t="shared" si="2014"/>
        <v>0</v>
      </c>
      <c r="O1660" s="31">
        <f t="shared" si="2015"/>
        <v>0</v>
      </c>
      <c r="P1660" s="31">
        <f t="shared" si="2016"/>
        <v>0</v>
      </c>
      <c r="Q1660" s="49">
        <f t="shared" si="2017"/>
        <v>0</v>
      </c>
    </row>
    <row r="1661" spans="4:17" s="16" customFormat="1" ht="13.2" x14ac:dyDescent="0.25">
      <c r="D1661" s="235"/>
      <c r="E1661" s="240"/>
      <c r="F1661" s="241"/>
      <c r="G1661" s="242"/>
      <c r="H1661" s="239">
        <f t="shared" si="2008"/>
        <v>0</v>
      </c>
      <c r="I1661" s="131">
        <f t="shared" si="2009"/>
        <v>0</v>
      </c>
      <c r="J1661" s="31">
        <f t="shared" si="2010"/>
        <v>0</v>
      </c>
      <c r="K1661" s="31">
        <f t="shared" si="2011"/>
        <v>0</v>
      </c>
      <c r="L1661" s="31">
        <f t="shared" si="2012"/>
        <v>0</v>
      </c>
      <c r="M1661" s="31">
        <f t="shared" si="2013"/>
        <v>0</v>
      </c>
      <c r="N1661" s="31">
        <f t="shared" si="2014"/>
        <v>0</v>
      </c>
      <c r="O1661" s="31">
        <f t="shared" si="2015"/>
        <v>0</v>
      </c>
      <c r="P1661" s="31">
        <f t="shared" si="2016"/>
        <v>0</v>
      </c>
      <c r="Q1661" s="49">
        <f t="shared" si="2017"/>
        <v>0</v>
      </c>
    </row>
    <row r="1662" spans="4:17" s="16" customFormat="1" ht="13.2" x14ac:dyDescent="0.25">
      <c r="D1662" s="235"/>
      <c r="E1662" s="240"/>
      <c r="F1662" s="241"/>
      <c r="G1662" s="242"/>
      <c r="H1662" s="239">
        <f t="shared" si="2008"/>
        <v>0</v>
      </c>
      <c r="I1662" s="131">
        <f t="shared" si="2009"/>
        <v>0</v>
      </c>
      <c r="J1662" s="31">
        <f t="shared" si="2010"/>
        <v>0</v>
      </c>
      <c r="K1662" s="31">
        <f t="shared" si="2011"/>
        <v>0</v>
      </c>
      <c r="L1662" s="31">
        <f t="shared" si="2012"/>
        <v>0</v>
      </c>
      <c r="M1662" s="31">
        <f t="shared" si="2013"/>
        <v>0</v>
      </c>
      <c r="N1662" s="31">
        <f t="shared" si="2014"/>
        <v>0</v>
      </c>
      <c r="O1662" s="31">
        <f t="shared" si="2015"/>
        <v>0</v>
      </c>
      <c r="P1662" s="31">
        <f t="shared" si="2016"/>
        <v>0</v>
      </c>
      <c r="Q1662" s="49">
        <f t="shared" si="2017"/>
        <v>0</v>
      </c>
    </row>
    <row r="1663" spans="4:17" s="16" customFormat="1" ht="13.2" x14ac:dyDescent="0.25">
      <c r="D1663" s="235"/>
      <c r="E1663" s="240"/>
      <c r="F1663" s="241"/>
      <c r="G1663" s="242"/>
      <c r="H1663" s="239">
        <f t="shared" si="2008"/>
        <v>0</v>
      </c>
      <c r="I1663" s="131">
        <f t="shared" si="2009"/>
        <v>0</v>
      </c>
      <c r="J1663" s="31">
        <f t="shared" si="2010"/>
        <v>0</v>
      </c>
      <c r="K1663" s="31">
        <f t="shared" si="2011"/>
        <v>0</v>
      </c>
      <c r="L1663" s="31">
        <f t="shared" si="2012"/>
        <v>0</v>
      </c>
      <c r="M1663" s="31">
        <f t="shared" si="2013"/>
        <v>0</v>
      </c>
      <c r="N1663" s="31">
        <f t="shared" si="2014"/>
        <v>0</v>
      </c>
      <c r="O1663" s="31">
        <f t="shared" si="2015"/>
        <v>0</v>
      </c>
      <c r="P1663" s="31">
        <f t="shared" si="2016"/>
        <v>0</v>
      </c>
      <c r="Q1663" s="49">
        <f t="shared" si="2017"/>
        <v>0</v>
      </c>
    </row>
    <row r="1664" spans="4:17" s="16" customFormat="1" ht="13.8" thickBot="1" x14ac:dyDescent="0.3">
      <c r="D1664" s="307"/>
      <c r="E1664" s="26"/>
      <c r="F1664" s="206"/>
      <c r="G1664" s="207"/>
      <c r="H1664" s="207"/>
      <c r="I1664" s="51"/>
      <c r="J1664" s="308"/>
      <c r="K1664" s="308"/>
      <c r="L1664" s="308"/>
      <c r="M1664" s="308"/>
      <c r="N1664" s="308"/>
      <c r="O1664" s="308"/>
      <c r="P1664" s="308"/>
      <c r="Q1664" s="309"/>
    </row>
    <row r="1665" spans="4:17" s="16" customFormat="1" ht="13.2" x14ac:dyDescent="0.25">
      <c r="D1665" s="796" t="s">
        <v>1680</v>
      </c>
      <c r="E1665" s="797"/>
      <c r="F1665" s="797"/>
      <c r="G1665" s="797"/>
      <c r="H1665" s="797"/>
      <c r="I1665" s="47">
        <f>SUM(I1666:I1675)</f>
        <v>0</v>
      </c>
      <c r="J1665" s="47">
        <f t="shared" ref="J1665:Q1665" si="2018">SUM(J1666:J1675)</f>
        <v>0</v>
      </c>
      <c r="K1665" s="47">
        <f t="shared" si="2018"/>
        <v>0</v>
      </c>
      <c r="L1665" s="47">
        <f t="shared" si="2018"/>
        <v>0</v>
      </c>
      <c r="M1665" s="47">
        <f t="shared" si="2018"/>
        <v>0</v>
      </c>
      <c r="N1665" s="47">
        <f t="shared" si="2018"/>
        <v>0</v>
      </c>
      <c r="O1665" s="47">
        <f t="shared" si="2018"/>
        <v>0</v>
      </c>
      <c r="P1665" s="47">
        <f t="shared" si="2018"/>
        <v>0</v>
      </c>
      <c r="Q1665" s="47">
        <f t="shared" si="2018"/>
        <v>0</v>
      </c>
    </row>
    <row r="1666" spans="4:17" s="16" customFormat="1" ht="13.2" x14ac:dyDescent="0.25">
      <c r="D1666" s="235"/>
      <c r="E1666" s="237"/>
      <c r="F1666" s="238"/>
      <c r="G1666" s="239"/>
      <c r="H1666" s="239">
        <f t="shared" ref="H1666:H1675" si="2019">E1666*G1666</f>
        <v>0</v>
      </c>
      <c r="I1666" s="131">
        <f t="shared" ref="I1666:I1675" si="2020">IF($F1666=4.2,H1666*$B$23,0)</f>
        <v>0</v>
      </c>
      <c r="J1666" s="31">
        <f t="shared" ref="J1666:J1675" si="2021">IF($F1666=5,$H1666*$B$24,0)</f>
        <v>0</v>
      </c>
      <c r="K1666" s="31">
        <f t="shared" ref="K1666:K1675" si="2022">IF($F1666=6.3,$H1666*$B$25,0)</f>
        <v>0</v>
      </c>
      <c r="L1666" s="31">
        <f t="shared" ref="L1666:L1675" si="2023">IF($F1666=8,$H1666*$B$26,0)</f>
        <v>0</v>
      </c>
      <c r="M1666" s="31">
        <f t="shared" ref="M1666:M1675" si="2024">IF($F1666=10,$H1666*$B$27,0)</f>
        <v>0</v>
      </c>
      <c r="N1666" s="31">
        <f t="shared" ref="N1666:N1675" si="2025">IF($F1666=12.5,$H1666*$B$28,0)</f>
        <v>0</v>
      </c>
      <c r="O1666" s="31">
        <f t="shared" ref="O1666:O1675" si="2026">IF($F1666=16,$H1666*$B$29,0)</f>
        <v>0</v>
      </c>
      <c r="P1666" s="31">
        <f t="shared" ref="P1666:P1675" si="2027">IF($F1666=20,$H1666*$B$30,0)</f>
        <v>0</v>
      </c>
      <c r="Q1666" s="49">
        <f t="shared" ref="Q1666:Q1675" si="2028">IF($F1666=25,$H1666*$B$31,0)</f>
        <v>0</v>
      </c>
    </row>
    <row r="1667" spans="4:17" s="16" customFormat="1" ht="13.2" x14ac:dyDescent="0.25">
      <c r="D1667" s="235"/>
      <c r="E1667" s="240"/>
      <c r="F1667" s="241"/>
      <c r="G1667" s="242"/>
      <c r="H1667" s="239">
        <f t="shared" si="2019"/>
        <v>0</v>
      </c>
      <c r="I1667" s="131">
        <f t="shared" si="2020"/>
        <v>0</v>
      </c>
      <c r="J1667" s="31">
        <f t="shared" si="2021"/>
        <v>0</v>
      </c>
      <c r="K1667" s="31">
        <f t="shared" si="2022"/>
        <v>0</v>
      </c>
      <c r="L1667" s="31">
        <f t="shared" si="2023"/>
        <v>0</v>
      </c>
      <c r="M1667" s="31">
        <f t="shared" si="2024"/>
        <v>0</v>
      </c>
      <c r="N1667" s="31">
        <f t="shared" si="2025"/>
        <v>0</v>
      </c>
      <c r="O1667" s="31">
        <f t="shared" si="2026"/>
        <v>0</v>
      </c>
      <c r="P1667" s="31">
        <f t="shared" si="2027"/>
        <v>0</v>
      </c>
      <c r="Q1667" s="49">
        <f t="shared" si="2028"/>
        <v>0</v>
      </c>
    </row>
    <row r="1668" spans="4:17" s="16" customFormat="1" ht="13.2" x14ac:dyDescent="0.25">
      <c r="D1668" s="235"/>
      <c r="E1668" s="240"/>
      <c r="F1668" s="241"/>
      <c r="G1668" s="242"/>
      <c r="H1668" s="239">
        <f t="shared" si="2019"/>
        <v>0</v>
      </c>
      <c r="I1668" s="131">
        <f t="shared" si="2020"/>
        <v>0</v>
      </c>
      <c r="J1668" s="31">
        <f t="shared" si="2021"/>
        <v>0</v>
      </c>
      <c r="K1668" s="31">
        <f t="shared" si="2022"/>
        <v>0</v>
      </c>
      <c r="L1668" s="31">
        <f t="shared" si="2023"/>
        <v>0</v>
      </c>
      <c r="M1668" s="31">
        <f t="shared" si="2024"/>
        <v>0</v>
      </c>
      <c r="N1668" s="31">
        <f t="shared" si="2025"/>
        <v>0</v>
      </c>
      <c r="O1668" s="31">
        <f t="shared" si="2026"/>
        <v>0</v>
      </c>
      <c r="P1668" s="31">
        <f t="shared" si="2027"/>
        <v>0</v>
      </c>
      <c r="Q1668" s="49">
        <f t="shared" si="2028"/>
        <v>0</v>
      </c>
    </row>
    <row r="1669" spans="4:17" s="16" customFormat="1" ht="13.2" x14ac:dyDescent="0.25">
      <c r="D1669" s="235"/>
      <c r="E1669" s="240"/>
      <c r="F1669" s="241"/>
      <c r="G1669" s="242"/>
      <c r="H1669" s="239">
        <f t="shared" si="2019"/>
        <v>0</v>
      </c>
      <c r="I1669" s="131">
        <f t="shared" si="2020"/>
        <v>0</v>
      </c>
      <c r="J1669" s="31">
        <f t="shared" si="2021"/>
        <v>0</v>
      </c>
      <c r="K1669" s="31">
        <f t="shared" si="2022"/>
        <v>0</v>
      </c>
      <c r="L1669" s="31">
        <f t="shared" si="2023"/>
        <v>0</v>
      </c>
      <c r="M1669" s="31">
        <f t="shared" si="2024"/>
        <v>0</v>
      </c>
      <c r="N1669" s="31">
        <f t="shared" si="2025"/>
        <v>0</v>
      </c>
      <c r="O1669" s="31">
        <f t="shared" si="2026"/>
        <v>0</v>
      </c>
      <c r="P1669" s="31">
        <f t="shared" si="2027"/>
        <v>0</v>
      </c>
      <c r="Q1669" s="49">
        <f t="shared" si="2028"/>
        <v>0</v>
      </c>
    </row>
    <row r="1670" spans="4:17" s="16" customFormat="1" ht="13.2" x14ac:dyDescent="0.25">
      <c r="D1670" s="235"/>
      <c r="E1670" s="240"/>
      <c r="F1670" s="241"/>
      <c r="G1670" s="242"/>
      <c r="H1670" s="239">
        <f t="shared" si="2019"/>
        <v>0</v>
      </c>
      <c r="I1670" s="131">
        <f t="shared" si="2020"/>
        <v>0</v>
      </c>
      <c r="J1670" s="31">
        <f t="shared" si="2021"/>
        <v>0</v>
      </c>
      <c r="K1670" s="31">
        <f t="shared" si="2022"/>
        <v>0</v>
      </c>
      <c r="L1670" s="31">
        <f t="shared" si="2023"/>
        <v>0</v>
      </c>
      <c r="M1670" s="31">
        <f t="shared" si="2024"/>
        <v>0</v>
      </c>
      <c r="N1670" s="31">
        <f t="shared" si="2025"/>
        <v>0</v>
      </c>
      <c r="O1670" s="31">
        <f t="shared" si="2026"/>
        <v>0</v>
      </c>
      <c r="P1670" s="31">
        <f t="shared" si="2027"/>
        <v>0</v>
      </c>
      <c r="Q1670" s="49">
        <f t="shared" si="2028"/>
        <v>0</v>
      </c>
    </row>
    <row r="1671" spans="4:17" s="16" customFormat="1" ht="13.2" x14ac:dyDescent="0.25">
      <c r="D1671" s="235"/>
      <c r="E1671" s="240"/>
      <c r="F1671" s="241"/>
      <c r="G1671" s="242"/>
      <c r="H1671" s="239">
        <f t="shared" si="2019"/>
        <v>0</v>
      </c>
      <c r="I1671" s="131">
        <f t="shared" si="2020"/>
        <v>0</v>
      </c>
      <c r="J1671" s="31">
        <f t="shared" si="2021"/>
        <v>0</v>
      </c>
      <c r="K1671" s="31">
        <f t="shared" si="2022"/>
        <v>0</v>
      </c>
      <c r="L1671" s="31">
        <f t="shared" si="2023"/>
        <v>0</v>
      </c>
      <c r="M1671" s="31">
        <f t="shared" si="2024"/>
        <v>0</v>
      </c>
      <c r="N1671" s="31">
        <f t="shared" si="2025"/>
        <v>0</v>
      </c>
      <c r="O1671" s="31">
        <f t="shared" si="2026"/>
        <v>0</v>
      </c>
      <c r="P1671" s="31">
        <f t="shared" si="2027"/>
        <v>0</v>
      </c>
      <c r="Q1671" s="49">
        <f t="shared" si="2028"/>
        <v>0</v>
      </c>
    </row>
    <row r="1672" spans="4:17" s="16" customFormat="1" ht="13.2" x14ac:dyDescent="0.25">
      <c r="D1672" s="235"/>
      <c r="E1672" s="240"/>
      <c r="F1672" s="241"/>
      <c r="G1672" s="242"/>
      <c r="H1672" s="239">
        <f t="shared" si="2019"/>
        <v>0</v>
      </c>
      <c r="I1672" s="131">
        <f t="shared" si="2020"/>
        <v>0</v>
      </c>
      <c r="J1672" s="31">
        <f t="shared" si="2021"/>
        <v>0</v>
      </c>
      <c r="K1672" s="31">
        <f t="shared" si="2022"/>
        <v>0</v>
      </c>
      <c r="L1672" s="31">
        <f t="shared" si="2023"/>
        <v>0</v>
      </c>
      <c r="M1672" s="31">
        <f t="shared" si="2024"/>
        <v>0</v>
      </c>
      <c r="N1672" s="31">
        <f t="shared" si="2025"/>
        <v>0</v>
      </c>
      <c r="O1672" s="31">
        <f t="shared" si="2026"/>
        <v>0</v>
      </c>
      <c r="P1672" s="31">
        <f t="shared" si="2027"/>
        <v>0</v>
      </c>
      <c r="Q1672" s="49">
        <f t="shared" si="2028"/>
        <v>0</v>
      </c>
    </row>
    <row r="1673" spans="4:17" s="16" customFormat="1" ht="13.2" x14ac:dyDescent="0.25">
      <c r="D1673" s="235"/>
      <c r="E1673" s="240"/>
      <c r="F1673" s="241"/>
      <c r="G1673" s="242"/>
      <c r="H1673" s="239">
        <f t="shared" si="2019"/>
        <v>0</v>
      </c>
      <c r="I1673" s="131">
        <f t="shared" si="2020"/>
        <v>0</v>
      </c>
      <c r="J1673" s="31">
        <f t="shared" si="2021"/>
        <v>0</v>
      </c>
      <c r="K1673" s="31">
        <f t="shared" si="2022"/>
        <v>0</v>
      </c>
      <c r="L1673" s="31">
        <f t="shared" si="2023"/>
        <v>0</v>
      </c>
      <c r="M1673" s="31">
        <f t="shared" si="2024"/>
        <v>0</v>
      </c>
      <c r="N1673" s="31">
        <f t="shared" si="2025"/>
        <v>0</v>
      </c>
      <c r="O1673" s="31">
        <f t="shared" si="2026"/>
        <v>0</v>
      </c>
      <c r="P1673" s="31">
        <f t="shared" si="2027"/>
        <v>0</v>
      </c>
      <c r="Q1673" s="49">
        <f t="shared" si="2028"/>
        <v>0</v>
      </c>
    </row>
    <row r="1674" spans="4:17" s="16" customFormat="1" ht="13.2" x14ac:dyDescent="0.25">
      <c r="D1674" s="235"/>
      <c r="E1674" s="240"/>
      <c r="F1674" s="241"/>
      <c r="G1674" s="242"/>
      <c r="H1674" s="239">
        <f t="shared" si="2019"/>
        <v>0</v>
      </c>
      <c r="I1674" s="131">
        <f t="shared" si="2020"/>
        <v>0</v>
      </c>
      <c r="J1674" s="31">
        <f t="shared" si="2021"/>
        <v>0</v>
      </c>
      <c r="K1674" s="31">
        <f t="shared" si="2022"/>
        <v>0</v>
      </c>
      <c r="L1674" s="31">
        <f t="shared" si="2023"/>
        <v>0</v>
      </c>
      <c r="M1674" s="31">
        <f t="shared" si="2024"/>
        <v>0</v>
      </c>
      <c r="N1674" s="31">
        <f t="shared" si="2025"/>
        <v>0</v>
      </c>
      <c r="O1674" s="31">
        <f t="shared" si="2026"/>
        <v>0</v>
      </c>
      <c r="P1674" s="31">
        <f t="shared" si="2027"/>
        <v>0</v>
      </c>
      <c r="Q1674" s="49">
        <f t="shared" si="2028"/>
        <v>0</v>
      </c>
    </row>
    <row r="1675" spans="4:17" s="16" customFormat="1" ht="13.2" x14ac:dyDescent="0.25">
      <c r="D1675" s="235"/>
      <c r="E1675" s="240"/>
      <c r="F1675" s="241"/>
      <c r="G1675" s="242"/>
      <c r="H1675" s="239">
        <f t="shared" si="2019"/>
        <v>0</v>
      </c>
      <c r="I1675" s="131">
        <f t="shared" si="2020"/>
        <v>0</v>
      </c>
      <c r="J1675" s="31">
        <f t="shared" si="2021"/>
        <v>0</v>
      </c>
      <c r="K1675" s="31">
        <f t="shared" si="2022"/>
        <v>0</v>
      </c>
      <c r="L1675" s="31">
        <f t="shared" si="2023"/>
        <v>0</v>
      </c>
      <c r="M1675" s="31">
        <f t="shared" si="2024"/>
        <v>0</v>
      </c>
      <c r="N1675" s="31">
        <f t="shared" si="2025"/>
        <v>0</v>
      </c>
      <c r="O1675" s="31">
        <f t="shared" si="2026"/>
        <v>0</v>
      </c>
      <c r="P1675" s="31">
        <f t="shared" si="2027"/>
        <v>0</v>
      </c>
      <c r="Q1675" s="49">
        <f t="shared" si="2028"/>
        <v>0</v>
      </c>
    </row>
    <row r="1676" spans="4:17" s="16" customFormat="1" ht="13.8" thickBot="1" x14ac:dyDescent="0.3">
      <c r="D1676" s="307"/>
      <c r="E1676" s="26"/>
      <c r="F1676" s="206"/>
      <c r="G1676" s="207"/>
      <c r="H1676" s="207"/>
      <c r="I1676" s="51"/>
      <c r="J1676" s="308"/>
      <c r="K1676" s="308"/>
      <c r="L1676" s="308"/>
      <c r="M1676" s="308"/>
      <c r="N1676" s="308"/>
      <c r="O1676" s="308"/>
      <c r="P1676" s="308"/>
      <c r="Q1676" s="309"/>
    </row>
    <row r="1677" spans="4:17" s="16" customFormat="1" ht="13.2" x14ac:dyDescent="0.25">
      <c r="D1677" s="796" t="s">
        <v>1680</v>
      </c>
      <c r="E1677" s="797"/>
      <c r="F1677" s="797"/>
      <c r="G1677" s="797"/>
      <c r="H1677" s="797"/>
      <c r="I1677" s="47">
        <f>SUM(I1678:I1687)</f>
        <v>0</v>
      </c>
      <c r="J1677" s="47">
        <f t="shared" ref="J1677:Q1677" si="2029">SUM(J1678:J1687)</f>
        <v>0</v>
      </c>
      <c r="K1677" s="47">
        <f t="shared" si="2029"/>
        <v>0</v>
      </c>
      <c r="L1677" s="47">
        <f t="shared" si="2029"/>
        <v>0</v>
      </c>
      <c r="M1677" s="47">
        <f t="shared" si="2029"/>
        <v>0</v>
      </c>
      <c r="N1677" s="47">
        <f t="shared" si="2029"/>
        <v>0</v>
      </c>
      <c r="O1677" s="47">
        <f t="shared" si="2029"/>
        <v>0</v>
      </c>
      <c r="P1677" s="47">
        <f t="shared" si="2029"/>
        <v>0</v>
      </c>
      <c r="Q1677" s="47">
        <f t="shared" si="2029"/>
        <v>0</v>
      </c>
    </row>
    <row r="1678" spans="4:17" s="16" customFormat="1" ht="13.2" x14ac:dyDescent="0.25">
      <c r="D1678" s="235"/>
      <c r="E1678" s="237"/>
      <c r="F1678" s="238"/>
      <c r="G1678" s="239"/>
      <c r="H1678" s="239">
        <f t="shared" ref="H1678:H1687" si="2030">E1678*G1678</f>
        <v>0</v>
      </c>
      <c r="I1678" s="131">
        <f t="shared" ref="I1678:I1687" si="2031">IF($F1678=4.2,H1678*$B$23,0)</f>
        <v>0</v>
      </c>
      <c r="J1678" s="31">
        <f t="shared" ref="J1678:J1687" si="2032">IF($F1678=5,$H1678*$B$24,0)</f>
        <v>0</v>
      </c>
      <c r="K1678" s="31">
        <f t="shared" ref="K1678:K1687" si="2033">IF($F1678=6.3,$H1678*$B$25,0)</f>
        <v>0</v>
      </c>
      <c r="L1678" s="31">
        <f t="shared" ref="L1678:L1687" si="2034">IF($F1678=8,$H1678*$B$26,0)</f>
        <v>0</v>
      </c>
      <c r="M1678" s="31">
        <f t="shared" ref="M1678:M1687" si="2035">IF($F1678=10,$H1678*$B$27,0)</f>
        <v>0</v>
      </c>
      <c r="N1678" s="31">
        <f t="shared" ref="N1678:N1687" si="2036">IF($F1678=12.5,$H1678*$B$28,0)</f>
        <v>0</v>
      </c>
      <c r="O1678" s="31">
        <f t="shared" ref="O1678:O1687" si="2037">IF($F1678=16,$H1678*$B$29,0)</f>
        <v>0</v>
      </c>
      <c r="P1678" s="31">
        <f t="shared" ref="P1678:P1687" si="2038">IF($F1678=20,$H1678*$B$30,0)</f>
        <v>0</v>
      </c>
      <c r="Q1678" s="49">
        <f t="shared" ref="Q1678:Q1687" si="2039">IF($F1678=25,$H1678*$B$31,0)</f>
        <v>0</v>
      </c>
    </row>
    <row r="1679" spans="4:17" s="16" customFormat="1" ht="13.2" x14ac:dyDescent="0.25">
      <c r="D1679" s="235"/>
      <c r="E1679" s="240"/>
      <c r="F1679" s="241"/>
      <c r="G1679" s="242"/>
      <c r="H1679" s="239">
        <f t="shared" si="2030"/>
        <v>0</v>
      </c>
      <c r="I1679" s="131">
        <f t="shared" si="2031"/>
        <v>0</v>
      </c>
      <c r="J1679" s="31">
        <f t="shared" si="2032"/>
        <v>0</v>
      </c>
      <c r="K1679" s="31">
        <f t="shared" si="2033"/>
        <v>0</v>
      </c>
      <c r="L1679" s="31">
        <f t="shared" si="2034"/>
        <v>0</v>
      </c>
      <c r="M1679" s="31">
        <f t="shared" si="2035"/>
        <v>0</v>
      </c>
      <c r="N1679" s="31">
        <f t="shared" si="2036"/>
        <v>0</v>
      </c>
      <c r="O1679" s="31">
        <f t="shared" si="2037"/>
        <v>0</v>
      </c>
      <c r="P1679" s="31">
        <f t="shared" si="2038"/>
        <v>0</v>
      </c>
      <c r="Q1679" s="49">
        <f t="shared" si="2039"/>
        <v>0</v>
      </c>
    </row>
    <row r="1680" spans="4:17" s="16" customFormat="1" ht="13.2" x14ac:dyDescent="0.25">
      <c r="D1680" s="235"/>
      <c r="E1680" s="240"/>
      <c r="F1680" s="241"/>
      <c r="G1680" s="242"/>
      <c r="H1680" s="239">
        <f t="shared" si="2030"/>
        <v>0</v>
      </c>
      <c r="I1680" s="131">
        <f t="shared" si="2031"/>
        <v>0</v>
      </c>
      <c r="J1680" s="31">
        <f t="shared" si="2032"/>
        <v>0</v>
      </c>
      <c r="K1680" s="31">
        <f t="shared" si="2033"/>
        <v>0</v>
      </c>
      <c r="L1680" s="31">
        <f t="shared" si="2034"/>
        <v>0</v>
      </c>
      <c r="M1680" s="31">
        <f t="shared" si="2035"/>
        <v>0</v>
      </c>
      <c r="N1680" s="31">
        <f t="shared" si="2036"/>
        <v>0</v>
      </c>
      <c r="O1680" s="31">
        <f t="shared" si="2037"/>
        <v>0</v>
      </c>
      <c r="P1680" s="31">
        <f t="shared" si="2038"/>
        <v>0</v>
      </c>
      <c r="Q1680" s="49">
        <f t="shared" si="2039"/>
        <v>0</v>
      </c>
    </row>
    <row r="1681" spans="4:17" s="16" customFormat="1" ht="13.2" x14ac:dyDescent="0.25">
      <c r="D1681" s="235"/>
      <c r="E1681" s="240"/>
      <c r="F1681" s="241"/>
      <c r="G1681" s="242"/>
      <c r="H1681" s="239">
        <f t="shared" si="2030"/>
        <v>0</v>
      </c>
      <c r="I1681" s="131">
        <f t="shared" si="2031"/>
        <v>0</v>
      </c>
      <c r="J1681" s="31">
        <f t="shared" si="2032"/>
        <v>0</v>
      </c>
      <c r="K1681" s="31">
        <f t="shared" si="2033"/>
        <v>0</v>
      </c>
      <c r="L1681" s="31">
        <f t="shared" si="2034"/>
        <v>0</v>
      </c>
      <c r="M1681" s="31">
        <f t="shared" si="2035"/>
        <v>0</v>
      </c>
      <c r="N1681" s="31">
        <f t="shared" si="2036"/>
        <v>0</v>
      </c>
      <c r="O1681" s="31">
        <f t="shared" si="2037"/>
        <v>0</v>
      </c>
      <c r="P1681" s="31">
        <f t="shared" si="2038"/>
        <v>0</v>
      </c>
      <c r="Q1681" s="49">
        <f t="shared" si="2039"/>
        <v>0</v>
      </c>
    </row>
    <row r="1682" spans="4:17" s="16" customFormat="1" ht="13.2" x14ac:dyDescent="0.25">
      <c r="D1682" s="235"/>
      <c r="E1682" s="240"/>
      <c r="F1682" s="241"/>
      <c r="G1682" s="242"/>
      <c r="H1682" s="239">
        <f t="shared" si="2030"/>
        <v>0</v>
      </c>
      <c r="I1682" s="131">
        <f t="shared" si="2031"/>
        <v>0</v>
      </c>
      <c r="J1682" s="31">
        <f t="shared" si="2032"/>
        <v>0</v>
      </c>
      <c r="K1682" s="31">
        <f t="shared" si="2033"/>
        <v>0</v>
      </c>
      <c r="L1682" s="31">
        <f t="shared" si="2034"/>
        <v>0</v>
      </c>
      <c r="M1682" s="31">
        <f t="shared" si="2035"/>
        <v>0</v>
      </c>
      <c r="N1682" s="31">
        <f t="shared" si="2036"/>
        <v>0</v>
      </c>
      <c r="O1682" s="31">
        <f t="shared" si="2037"/>
        <v>0</v>
      </c>
      <c r="P1682" s="31">
        <f t="shared" si="2038"/>
        <v>0</v>
      </c>
      <c r="Q1682" s="49">
        <f t="shared" si="2039"/>
        <v>0</v>
      </c>
    </row>
    <row r="1683" spans="4:17" s="16" customFormat="1" ht="13.2" x14ac:dyDescent="0.25">
      <c r="D1683" s="235"/>
      <c r="E1683" s="240"/>
      <c r="F1683" s="241"/>
      <c r="G1683" s="242"/>
      <c r="H1683" s="239">
        <f t="shared" si="2030"/>
        <v>0</v>
      </c>
      <c r="I1683" s="131">
        <f t="shared" si="2031"/>
        <v>0</v>
      </c>
      <c r="J1683" s="31">
        <f t="shared" si="2032"/>
        <v>0</v>
      </c>
      <c r="K1683" s="31">
        <f t="shared" si="2033"/>
        <v>0</v>
      </c>
      <c r="L1683" s="31">
        <f t="shared" si="2034"/>
        <v>0</v>
      </c>
      <c r="M1683" s="31">
        <f t="shared" si="2035"/>
        <v>0</v>
      </c>
      <c r="N1683" s="31">
        <f t="shared" si="2036"/>
        <v>0</v>
      </c>
      <c r="O1683" s="31">
        <f t="shared" si="2037"/>
        <v>0</v>
      </c>
      <c r="P1683" s="31">
        <f t="shared" si="2038"/>
        <v>0</v>
      </c>
      <c r="Q1683" s="49">
        <f t="shared" si="2039"/>
        <v>0</v>
      </c>
    </row>
    <row r="1684" spans="4:17" s="16" customFormat="1" ht="13.2" x14ac:dyDescent="0.25">
      <c r="D1684" s="235"/>
      <c r="E1684" s="240"/>
      <c r="F1684" s="241"/>
      <c r="G1684" s="242"/>
      <c r="H1684" s="239">
        <f t="shared" si="2030"/>
        <v>0</v>
      </c>
      <c r="I1684" s="131">
        <f t="shared" si="2031"/>
        <v>0</v>
      </c>
      <c r="J1684" s="31">
        <f t="shared" si="2032"/>
        <v>0</v>
      </c>
      <c r="K1684" s="31">
        <f t="shared" si="2033"/>
        <v>0</v>
      </c>
      <c r="L1684" s="31">
        <f t="shared" si="2034"/>
        <v>0</v>
      </c>
      <c r="M1684" s="31">
        <f t="shared" si="2035"/>
        <v>0</v>
      </c>
      <c r="N1684" s="31">
        <f t="shared" si="2036"/>
        <v>0</v>
      </c>
      <c r="O1684" s="31">
        <f t="shared" si="2037"/>
        <v>0</v>
      </c>
      <c r="P1684" s="31">
        <f t="shared" si="2038"/>
        <v>0</v>
      </c>
      <c r="Q1684" s="49">
        <f t="shared" si="2039"/>
        <v>0</v>
      </c>
    </row>
    <row r="1685" spans="4:17" s="16" customFormat="1" ht="13.2" x14ac:dyDescent="0.25">
      <c r="D1685" s="235"/>
      <c r="E1685" s="240"/>
      <c r="F1685" s="241"/>
      <c r="G1685" s="242"/>
      <c r="H1685" s="239">
        <f t="shared" si="2030"/>
        <v>0</v>
      </c>
      <c r="I1685" s="131">
        <f t="shared" si="2031"/>
        <v>0</v>
      </c>
      <c r="J1685" s="31">
        <f t="shared" si="2032"/>
        <v>0</v>
      </c>
      <c r="K1685" s="31">
        <f t="shared" si="2033"/>
        <v>0</v>
      </c>
      <c r="L1685" s="31">
        <f t="shared" si="2034"/>
        <v>0</v>
      </c>
      <c r="M1685" s="31">
        <f t="shared" si="2035"/>
        <v>0</v>
      </c>
      <c r="N1685" s="31">
        <f t="shared" si="2036"/>
        <v>0</v>
      </c>
      <c r="O1685" s="31">
        <f t="shared" si="2037"/>
        <v>0</v>
      </c>
      <c r="P1685" s="31">
        <f t="shared" si="2038"/>
        <v>0</v>
      </c>
      <c r="Q1685" s="49">
        <f t="shared" si="2039"/>
        <v>0</v>
      </c>
    </row>
    <row r="1686" spans="4:17" s="16" customFormat="1" ht="13.2" x14ac:dyDescent="0.25">
      <c r="D1686" s="235"/>
      <c r="E1686" s="240"/>
      <c r="F1686" s="241"/>
      <c r="G1686" s="242"/>
      <c r="H1686" s="239">
        <f t="shared" si="2030"/>
        <v>0</v>
      </c>
      <c r="I1686" s="131">
        <f t="shared" si="2031"/>
        <v>0</v>
      </c>
      <c r="J1686" s="31">
        <f t="shared" si="2032"/>
        <v>0</v>
      </c>
      <c r="K1686" s="31">
        <f t="shared" si="2033"/>
        <v>0</v>
      </c>
      <c r="L1686" s="31">
        <f t="shared" si="2034"/>
        <v>0</v>
      </c>
      <c r="M1686" s="31">
        <f t="shared" si="2035"/>
        <v>0</v>
      </c>
      <c r="N1686" s="31">
        <f t="shared" si="2036"/>
        <v>0</v>
      </c>
      <c r="O1686" s="31">
        <f t="shared" si="2037"/>
        <v>0</v>
      </c>
      <c r="P1686" s="31">
        <f t="shared" si="2038"/>
        <v>0</v>
      </c>
      <c r="Q1686" s="49">
        <f t="shared" si="2039"/>
        <v>0</v>
      </c>
    </row>
    <row r="1687" spans="4:17" s="16" customFormat="1" ht="13.2" x14ac:dyDescent="0.25">
      <c r="D1687" s="235"/>
      <c r="E1687" s="240"/>
      <c r="F1687" s="241"/>
      <c r="G1687" s="242"/>
      <c r="H1687" s="239">
        <f t="shared" si="2030"/>
        <v>0</v>
      </c>
      <c r="I1687" s="131">
        <f t="shared" si="2031"/>
        <v>0</v>
      </c>
      <c r="J1687" s="31">
        <f t="shared" si="2032"/>
        <v>0</v>
      </c>
      <c r="K1687" s="31">
        <f t="shared" si="2033"/>
        <v>0</v>
      </c>
      <c r="L1687" s="31">
        <f t="shared" si="2034"/>
        <v>0</v>
      </c>
      <c r="M1687" s="31">
        <f t="shared" si="2035"/>
        <v>0</v>
      </c>
      <c r="N1687" s="31">
        <f t="shared" si="2036"/>
        <v>0</v>
      </c>
      <c r="O1687" s="31">
        <f t="shared" si="2037"/>
        <v>0</v>
      </c>
      <c r="P1687" s="31">
        <f t="shared" si="2038"/>
        <v>0</v>
      </c>
      <c r="Q1687" s="49">
        <f t="shared" si="2039"/>
        <v>0</v>
      </c>
    </row>
    <row r="1688" spans="4:17" s="16" customFormat="1" ht="13.8" thickBot="1" x14ac:dyDescent="0.3">
      <c r="D1688" s="307"/>
      <c r="E1688" s="26"/>
      <c r="F1688" s="206"/>
      <c r="G1688" s="207"/>
      <c r="H1688" s="207"/>
      <c r="I1688" s="51"/>
      <c r="J1688" s="308"/>
      <c r="K1688" s="308"/>
      <c r="L1688" s="308"/>
      <c r="M1688" s="308"/>
      <c r="N1688" s="308"/>
      <c r="O1688" s="308"/>
      <c r="P1688" s="308"/>
      <c r="Q1688" s="309"/>
    </row>
    <row r="1689" spans="4:17" s="16" customFormat="1" ht="13.2" x14ac:dyDescent="0.25">
      <c r="D1689" s="796" t="s">
        <v>1680</v>
      </c>
      <c r="E1689" s="797"/>
      <c r="F1689" s="797"/>
      <c r="G1689" s="797"/>
      <c r="H1689" s="797"/>
      <c r="I1689" s="47">
        <f>SUM(I1690:I1699)</f>
        <v>0</v>
      </c>
      <c r="J1689" s="47">
        <f t="shared" ref="J1689:Q1689" si="2040">SUM(J1690:J1699)</f>
        <v>0</v>
      </c>
      <c r="K1689" s="47">
        <f t="shared" si="2040"/>
        <v>0</v>
      </c>
      <c r="L1689" s="47">
        <f t="shared" si="2040"/>
        <v>0</v>
      </c>
      <c r="M1689" s="47">
        <f t="shared" si="2040"/>
        <v>0</v>
      </c>
      <c r="N1689" s="47">
        <f t="shared" si="2040"/>
        <v>0</v>
      </c>
      <c r="O1689" s="47">
        <f t="shared" si="2040"/>
        <v>0</v>
      </c>
      <c r="P1689" s="47">
        <f t="shared" si="2040"/>
        <v>0</v>
      </c>
      <c r="Q1689" s="47">
        <f t="shared" si="2040"/>
        <v>0</v>
      </c>
    </row>
    <row r="1690" spans="4:17" s="16" customFormat="1" ht="13.2" x14ac:dyDescent="0.25">
      <c r="D1690" s="235"/>
      <c r="E1690" s="237"/>
      <c r="F1690" s="238"/>
      <c r="G1690" s="239"/>
      <c r="H1690" s="239">
        <f t="shared" ref="H1690:H1699" si="2041">E1690*G1690</f>
        <v>0</v>
      </c>
      <c r="I1690" s="131">
        <f t="shared" ref="I1690:I1699" si="2042">IF($F1690=4.2,H1690*$B$23,0)</f>
        <v>0</v>
      </c>
      <c r="J1690" s="31">
        <f t="shared" ref="J1690:J1699" si="2043">IF($F1690=5,$H1690*$B$24,0)</f>
        <v>0</v>
      </c>
      <c r="K1690" s="31">
        <f t="shared" ref="K1690:K1699" si="2044">IF($F1690=6.3,$H1690*$B$25,0)</f>
        <v>0</v>
      </c>
      <c r="L1690" s="31">
        <f t="shared" ref="L1690:L1699" si="2045">IF($F1690=8,$H1690*$B$26,0)</f>
        <v>0</v>
      </c>
      <c r="M1690" s="31">
        <f t="shared" ref="M1690:M1699" si="2046">IF($F1690=10,$H1690*$B$27,0)</f>
        <v>0</v>
      </c>
      <c r="N1690" s="31">
        <f t="shared" ref="N1690:N1699" si="2047">IF($F1690=12.5,$H1690*$B$28,0)</f>
        <v>0</v>
      </c>
      <c r="O1690" s="31">
        <f t="shared" ref="O1690:O1699" si="2048">IF($F1690=16,$H1690*$B$29,0)</f>
        <v>0</v>
      </c>
      <c r="P1690" s="31">
        <f t="shared" ref="P1690:P1699" si="2049">IF($F1690=20,$H1690*$B$30,0)</f>
        <v>0</v>
      </c>
      <c r="Q1690" s="49">
        <f t="shared" ref="Q1690:Q1699" si="2050">IF($F1690=25,$H1690*$B$31,0)</f>
        <v>0</v>
      </c>
    </row>
    <row r="1691" spans="4:17" s="16" customFormat="1" ht="13.2" x14ac:dyDescent="0.25">
      <c r="D1691" s="235"/>
      <c r="E1691" s="240"/>
      <c r="F1691" s="241"/>
      <c r="G1691" s="242"/>
      <c r="H1691" s="239">
        <f t="shared" si="2041"/>
        <v>0</v>
      </c>
      <c r="I1691" s="131">
        <f t="shared" si="2042"/>
        <v>0</v>
      </c>
      <c r="J1691" s="31">
        <f t="shared" si="2043"/>
        <v>0</v>
      </c>
      <c r="K1691" s="31">
        <f t="shared" si="2044"/>
        <v>0</v>
      </c>
      <c r="L1691" s="31">
        <f t="shared" si="2045"/>
        <v>0</v>
      </c>
      <c r="M1691" s="31">
        <f t="shared" si="2046"/>
        <v>0</v>
      </c>
      <c r="N1691" s="31">
        <f t="shared" si="2047"/>
        <v>0</v>
      </c>
      <c r="O1691" s="31">
        <f t="shared" si="2048"/>
        <v>0</v>
      </c>
      <c r="P1691" s="31">
        <f t="shared" si="2049"/>
        <v>0</v>
      </c>
      <c r="Q1691" s="49">
        <f t="shared" si="2050"/>
        <v>0</v>
      </c>
    </row>
    <row r="1692" spans="4:17" s="16" customFormat="1" ht="13.2" x14ac:dyDescent="0.25">
      <c r="D1692" s="235"/>
      <c r="E1692" s="240"/>
      <c r="F1692" s="241"/>
      <c r="G1692" s="242"/>
      <c r="H1692" s="239">
        <f t="shared" si="2041"/>
        <v>0</v>
      </c>
      <c r="I1692" s="131">
        <f t="shared" si="2042"/>
        <v>0</v>
      </c>
      <c r="J1692" s="31">
        <f t="shared" si="2043"/>
        <v>0</v>
      </c>
      <c r="K1692" s="31">
        <f t="shared" si="2044"/>
        <v>0</v>
      </c>
      <c r="L1692" s="31">
        <f t="shared" si="2045"/>
        <v>0</v>
      </c>
      <c r="M1692" s="31">
        <f t="shared" si="2046"/>
        <v>0</v>
      </c>
      <c r="N1692" s="31">
        <f t="shared" si="2047"/>
        <v>0</v>
      </c>
      <c r="O1692" s="31">
        <f t="shared" si="2048"/>
        <v>0</v>
      </c>
      <c r="P1692" s="31">
        <f t="shared" si="2049"/>
        <v>0</v>
      </c>
      <c r="Q1692" s="49">
        <f t="shared" si="2050"/>
        <v>0</v>
      </c>
    </row>
    <row r="1693" spans="4:17" s="16" customFormat="1" ht="13.2" x14ac:dyDescent="0.25">
      <c r="D1693" s="235"/>
      <c r="E1693" s="240"/>
      <c r="F1693" s="241"/>
      <c r="G1693" s="242"/>
      <c r="H1693" s="239">
        <f t="shared" si="2041"/>
        <v>0</v>
      </c>
      <c r="I1693" s="131">
        <f t="shared" si="2042"/>
        <v>0</v>
      </c>
      <c r="J1693" s="31">
        <f t="shared" si="2043"/>
        <v>0</v>
      </c>
      <c r="K1693" s="31">
        <f t="shared" si="2044"/>
        <v>0</v>
      </c>
      <c r="L1693" s="31">
        <f t="shared" si="2045"/>
        <v>0</v>
      </c>
      <c r="M1693" s="31">
        <f t="shared" si="2046"/>
        <v>0</v>
      </c>
      <c r="N1693" s="31">
        <f t="shared" si="2047"/>
        <v>0</v>
      </c>
      <c r="O1693" s="31">
        <f t="shared" si="2048"/>
        <v>0</v>
      </c>
      <c r="P1693" s="31">
        <f t="shared" si="2049"/>
        <v>0</v>
      </c>
      <c r="Q1693" s="49">
        <f t="shared" si="2050"/>
        <v>0</v>
      </c>
    </row>
    <row r="1694" spans="4:17" s="16" customFormat="1" ht="13.2" x14ac:dyDescent="0.25">
      <c r="D1694" s="235"/>
      <c r="E1694" s="240"/>
      <c r="F1694" s="241"/>
      <c r="G1694" s="242"/>
      <c r="H1694" s="239">
        <f t="shared" si="2041"/>
        <v>0</v>
      </c>
      <c r="I1694" s="131">
        <f t="shared" si="2042"/>
        <v>0</v>
      </c>
      <c r="J1694" s="31">
        <f t="shared" si="2043"/>
        <v>0</v>
      </c>
      <c r="K1694" s="31">
        <f t="shared" si="2044"/>
        <v>0</v>
      </c>
      <c r="L1694" s="31">
        <f t="shared" si="2045"/>
        <v>0</v>
      </c>
      <c r="M1694" s="31">
        <f t="shared" si="2046"/>
        <v>0</v>
      </c>
      <c r="N1694" s="31">
        <f t="shared" si="2047"/>
        <v>0</v>
      </c>
      <c r="O1694" s="31">
        <f t="shared" si="2048"/>
        <v>0</v>
      </c>
      <c r="P1694" s="31">
        <f t="shared" si="2049"/>
        <v>0</v>
      </c>
      <c r="Q1694" s="49">
        <f t="shared" si="2050"/>
        <v>0</v>
      </c>
    </row>
    <row r="1695" spans="4:17" s="16" customFormat="1" ht="13.2" x14ac:dyDescent="0.25">
      <c r="D1695" s="235"/>
      <c r="E1695" s="240"/>
      <c r="F1695" s="241"/>
      <c r="G1695" s="242"/>
      <c r="H1695" s="239">
        <f t="shared" si="2041"/>
        <v>0</v>
      </c>
      <c r="I1695" s="131">
        <f t="shared" si="2042"/>
        <v>0</v>
      </c>
      <c r="J1695" s="31">
        <f t="shared" si="2043"/>
        <v>0</v>
      </c>
      <c r="K1695" s="31">
        <f t="shared" si="2044"/>
        <v>0</v>
      </c>
      <c r="L1695" s="31">
        <f t="shared" si="2045"/>
        <v>0</v>
      </c>
      <c r="M1695" s="31">
        <f t="shared" si="2046"/>
        <v>0</v>
      </c>
      <c r="N1695" s="31">
        <f t="shared" si="2047"/>
        <v>0</v>
      </c>
      <c r="O1695" s="31">
        <f t="shared" si="2048"/>
        <v>0</v>
      </c>
      <c r="P1695" s="31">
        <f t="shared" si="2049"/>
        <v>0</v>
      </c>
      <c r="Q1695" s="49">
        <f t="shared" si="2050"/>
        <v>0</v>
      </c>
    </row>
    <row r="1696" spans="4:17" s="16" customFormat="1" ht="13.2" x14ac:dyDescent="0.25">
      <c r="D1696" s="235"/>
      <c r="E1696" s="240"/>
      <c r="F1696" s="241"/>
      <c r="G1696" s="242"/>
      <c r="H1696" s="239">
        <f t="shared" si="2041"/>
        <v>0</v>
      </c>
      <c r="I1696" s="131">
        <f t="shared" si="2042"/>
        <v>0</v>
      </c>
      <c r="J1696" s="31">
        <f t="shared" si="2043"/>
        <v>0</v>
      </c>
      <c r="K1696" s="31">
        <f t="shared" si="2044"/>
        <v>0</v>
      </c>
      <c r="L1696" s="31">
        <f t="shared" si="2045"/>
        <v>0</v>
      </c>
      <c r="M1696" s="31">
        <f t="shared" si="2046"/>
        <v>0</v>
      </c>
      <c r="N1696" s="31">
        <f t="shared" si="2047"/>
        <v>0</v>
      </c>
      <c r="O1696" s="31">
        <f t="shared" si="2048"/>
        <v>0</v>
      </c>
      <c r="P1696" s="31">
        <f t="shared" si="2049"/>
        <v>0</v>
      </c>
      <c r="Q1696" s="49">
        <f t="shared" si="2050"/>
        <v>0</v>
      </c>
    </row>
    <row r="1697" spans="4:17" s="16" customFormat="1" ht="13.2" x14ac:dyDescent="0.25">
      <c r="D1697" s="235"/>
      <c r="E1697" s="240"/>
      <c r="F1697" s="241"/>
      <c r="G1697" s="242"/>
      <c r="H1697" s="239">
        <f t="shared" si="2041"/>
        <v>0</v>
      </c>
      <c r="I1697" s="131">
        <f t="shared" si="2042"/>
        <v>0</v>
      </c>
      <c r="J1697" s="31">
        <f t="shared" si="2043"/>
        <v>0</v>
      </c>
      <c r="K1697" s="31">
        <f t="shared" si="2044"/>
        <v>0</v>
      </c>
      <c r="L1697" s="31">
        <f t="shared" si="2045"/>
        <v>0</v>
      </c>
      <c r="M1697" s="31">
        <f t="shared" si="2046"/>
        <v>0</v>
      </c>
      <c r="N1697" s="31">
        <f t="shared" si="2047"/>
        <v>0</v>
      </c>
      <c r="O1697" s="31">
        <f t="shared" si="2048"/>
        <v>0</v>
      </c>
      <c r="P1697" s="31">
        <f t="shared" si="2049"/>
        <v>0</v>
      </c>
      <c r="Q1697" s="49">
        <f t="shared" si="2050"/>
        <v>0</v>
      </c>
    </row>
    <row r="1698" spans="4:17" s="16" customFormat="1" ht="13.2" x14ac:dyDescent="0.25">
      <c r="D1698" s="235"/>
      <c r="E1698" s="240"/>
      <c r="F1698" s="241"/>
      <c r="G1698" s="242"/>
      <c r="H1698" s="239">
        <f t="shared" si="2041"/>
        <v>0</v>
      </c>
      <c r="I1698" s="131">
        <f t="shared" si="2042"/>
        <v>0</v>
      </c>
      <c r="J1698" s="31">
        <f t="shared" si="2043"/>
        <v>0</v>
      </c>
      <c r="K1698" s="31">
        <f t="shared" si="2044"/>
        <v>0</v>
      </c>
      <c r="L1698" s="31">
        <f t="shared" si="2045"/>
        <v>0</v>
      </c>
      <c r="M1698" s="31">
        <f t="shared" si="2046"/>
        <v>0</v>
      </c>
      <c r="N1698" s="31">
        <f t="shared" si="2047"/>
        <v>0</v>
      </c>
      <c r="O1698" s="31">
        <f t="shared" si="2048"/>
        <v>0</v>
      </c>
      <c r="P1698" s="31">
        <f t="shared" si="2049"/>
        <v>0</v>
      </c>
      <c r="Q1698" s="49">
        <f t="shared" si="2050"/>
        <v>0</v>
      </c>
    </row>
    <row r="1699" spans="4:17" s="16" customFormat="1" ht="13.2" x14ac:dyDescent="0.25">
      <c r="D1699" s="235"/>
      <c r="E1699" s="240"/>
      <c r="F1699" s="241"/>
      <c r="G1699" s="242"/>
      <c r="H1699" s="239">
        <f t="shared" si="2041"/>
        <v>0</v>
      </c>
      <c r="I1699" s="131">
        <f t="shared" si="2042"/>
        <v>0</v>
      </c>
      <c r="J1699" s="31">
        <f t="shared" si="2043"/>
        <v>0</v>
      </c>
      <c r="K1699" s="31">
        <f t="shared" si="2044"/>
        <v>0</v>
      </c>
      <c r="L1699" s="31">
        <f t="shared" si="2045"/>
        <v>0</v>
      </c>
      <c r="M1699" s="31">
        <f t="shared" si="2046"/>
        <v>0</v>
      </c>
      <c r="N1699" s="31">
        <f t="shared" si="2047"/>
        <v>0</v>
      </c>
      <c r="O1699" s="31">
        <f t="shared" si="2048"/>
        <v>0</v>
      </c>
      <c r="P1699" s="31">
        <f t="shared" si="2049"/>
        <v>0</v>
      </c>
      <c r="Q1699" s="49">
        <f t="shared" si="2050"/>
        <v>0</v>
      </c>
    </row>
    <row r="1700" spans="4:17" s="16" customFormat="1" ht="13.8" thickBot="1" x14ac:dyDescent="0.3">
      <c r="D1700" s="307"/>
      <c r="E1700" s="26"/>
      <c r="F1700" s="206"/>
      <c r="G1700" s="207"/>
      <c r="H1700" s="207"/>
      <c r="I1700" s="51"/>
      <c r="J1700" s="308"/>
      <c r="K1700" s="308"/>
      <c r="L1700" s="308"/>
      <c r="M1700" s="308"/>
      <c r="N1700" s="308"/>
      <c r="O1700" s="308"/>
      <c r="P1700" s="308"/>
      <c r="Q1700" s="309"/>
    </row>
    <row r="1701" spans="4:17" s="16" customFormat="1" ht="13.2" x14ac:dyDescent="0.25">
      <c r="D1701" s="796" t="s">
        <v>1680</v>
      </c>
      <c r="E1701" s="797"/>
      <c r="F1701" s="797"/>
      <c r="G1701" s="797"/>
      <c r="H1701" s="797"/>
      <c r="I1701" s="47">
        <f>SUM(I1702:I1711)</f>
        <v>0</v>
      </c>
      <c r="J1701" s="47">
        <f t="shared" ref="J1701:Q1701" si="2051">SUM(J1702:J1711)</f>
        <v>0</v>
      </c>
      <c r="K1701" s="47">
        <f t="shared" si="2051"/>
        <v>0</v>
      </c>
      <c r="L1701" s="47">
        <f t="shared" si="2051"/>
        <v>0</v>
      </c>
      <c r="M1701" s="47">
        <f t="shared" si="2051"/>
        <v>0</v>
      </c>
      <c r="N1701" s="47">
        <f t="shared" si="2051"/>
        <v>0</v>
      </c>
      <c r="O1701" s="47">
        <f t="shared" si="2051"/>
        <v>0</v>
      </c>
      <c r="P1701" s="47">
        <f t="shared" si="2051"/>
        <v>0</v>
      </c>
      <c r="Q1701" s="47">
        <f t="shared" si="2051"/>
        <v>0</v>
      </c>
    </row>
    <row r="1702" spans="4:17" s="16" customFormat="1" ht="13.2" x14ac:dyDescent="0.25">
      <c r="D1702" s="235"/>
      <c r="E1702" s="237"/>
      <c r="F1702" s="238"/>
      <c r="G1702" s="239"/>
      <c r="H1702" s="239">
        <f t="shared" ref="H1702:H1711" si="2052">E1702*G1702</f>
        <v>0</v>
      </c>
      <c r="I1702" s="131">
        <f t="shared" ref="I1702:I1711" si="2053">IF($F1702=4.2,H1702*$B$23,0)</f>
        <v>0</v>
      </c>
      <c r="J1702" s="31">
        <f t="shared" ref="J1702:J1711" si="2054">IF($F1702=5,$H1702*$B$24,0)</f>
        <v>0</v>
      </c>
      <c r="K1702" s="31">
        <f t="shared" ref="K1702:K1711" si="2055">IF($F1702=6.3,$H1702*$B$25,0)</f>
        <v>0</v>
      </c>
      <c r="L1702" s="31">
        <f t="shared" ref="L1702:L1711" si="2056">IF($F1702=8,$H1702*$B$26,0)</f>
        <v>0</v>
      </c>
      <c r="M1702" s="31">
        <f t="shared" ref="M1702:M1711" si="2057">IF($F1702=10,$H1702*$B$27,0)</f>
        <v>0</v>
      </c>
      <c r="N1702" s="31">
        <f t="shared" ref="N1702:N1711" si="2058">IF($F1702=12.5,$H1702*$B$28,0)</f>
        <v>0</v>
      </c>
      <c r="O1702" s="31">
        <f t="shared" ref="O1702:O1711" si="2059">IF($F1702=16,$H1702*$B$29,0)</f>
        <v>0</v>
      </c>
      <c r="P1702" s="31">
        <f t="shared" ref="P1702:P1711" si="2060">IF($F1702=20,$H1702*$B$30,0)</f>
        <v>0</v>
      </c>
      <c r="Q1702" s="49">
        <f t="shared" ref="Q1702:Q1711" si="2061">IF($F1702=25,$H1702*$B$31,0)</f>
        <v>0</v>
      </c>
    </row>
    <row r="1703" spans="4:17" s="16" customFormat="1" ht="13.2" x14ac:dyDescent="0.25">
      <c r="D1703" s="235"/>
      <c r="E1703" s="240"/>
      <c r="F1703" s="241"/>
      <c r="G1703" s="242"/>
      <c r="H1703" s="239">
        <f t="shared" si="2052"/>
        <v>0</v>
      </c>
      <c r="I1703" s="131">
        <f t="shared" si="2053"/>
        <v>0</v>
      </c>
      <c r="J1703" s="31">
        <f t="shared" si="2054"/>
        <v>0</v>
      </c>
      <c r="K1703" s="31">
        <f t="shared" si="2055"/>
        <v>0</v>
      </c>
      <c r="L1703" s="31">
        <f t="shared" si="2056"/>
        <v>0</v>
      </c>
      <c r="M1703" s="31">
        <f t="shared" si="2057"/>
        <v>0</v>
      </c>
      <c r="N1703" s="31">
        <f t="shared" si="2058"/>
        <v>0</v>
      </c>
      <c r="O1703" s="31">
        <f t="shared" si="2059"/>
        <v>0</v>
      </c>
      <c r="P1703" s="31">
        <f t="shared" si="2060"/>
        <v>0</v>
      </c>
      <c r="Q1703" s="49">
        <f t="shared" si="2061"/>
        <v>0</v>
      </c>
    </row>
    <row r="1704" spans="4:17" s="16" customFormat="1" ht="13.2" x14ac:dyDescent="0.25">
      <c r="D1704" s="235"/>
      <c r="E1704" s="240"/>
      <c r="F1704" s="241"/>
      <c r="G1704" s="242"/>
      <c r="H1704" s="239">
        <f t="shared" si="2052"/>
        <v>0</v>
      </c>
      <c r="I1704" s="131">
        <f t="shared" si="2053"/>
        <v>0</v>
      </c>
      <c r="J1704" s="31">
        <f t="shared" si="2054"/>
        <v>0</v>
      </c>
      <c r="K1704" s="31">
        <f t="shared" si="2055"/>
        <v>0</v>
      </c>
      <c r="L1704" s="31">
        <f t="shared" si="2056"/>
        <v>0</v>
      </c>
      <c r="M1704" s="31">
        <f t="shared" si="2057"/>
        <v>0</v>
      </c>
      <c r="N1704" s="31">
        <f t="shared" si="2058"/>
        <v>0</v>
      </c>
      <c r="O1704" s="31">
        <f t="shared" si="2059"/>
        <v>0</v>
      </c>
      <c r="P1704" s="31">
        <f t="shared" si="2060"/>
        <v>0</v>
      </c>
      <c r="Q1704" s="49">
        <f t="shared" si="2061"/>
        <v>0</v>
      </c>
    </row>
    <row r="1705" spans="4:17" s="16" customFormat="1" ht="13.2" x14ac:dyDescent="0.25">
      <c r="D1705" s="235"/>
      <c r="E1705" s="240"/>
      <c r="F1705" s="241"/>
      <c r="G1705" s="242"/>
      <c r="H1705" s="239">
        <f t="shared" si="2052"/>
        <v>0</v>
      </c>
      <c r="I1705" s="131">
        <f t="shared" si="2053"/>
        <v>0</v>
      </c>
      <c r="J1705" s="31">
        <f t="shared" si="2054"/>
        <v>0</v>
      </c>
      <c r="K1705" s="31">
        <f t="shared" si="2055"/>
        <v>0</v>
      </c>
      <c r="L1705" s="31">
        <f t="shared" si="2056"/>
        <v>0</v>
      </c>
      <c r="M1705" s="31">
        <f t="shared" si="2057"/>
        <v>0</v>
      </c>
      <c r="N1705" s="31">
        <f t="shared" si="2058"/>
        <v>0</v>
      </c>
      <c r="O1705" s="31">
        <f t="shared" si="2059"/>
        <v>0</v>
      </c>
      <c r="P1705" s="31">
        <f t="shared" si="2060"/>
        <v>0</v>
      </c>
      <c r="Q1705" s="49">
        <f t="shared" si="2061"/>
        <v>0</v>
      </c>
    </row>
    <row r="1706" spans="4:17" s="16" customFormat="1" ht="13.2" x14ac:dyDescent="0.25">
      <c r="D1706" s="235"/>
      <c r="E1706" s="240"/>
      <c r="F1706" s="241"/>
      <c r="G1706" s="242"/>
      <c r="H1706" s="239">
        <f t="shared" si="2052"/>
        <v>0</v>
      </c>
      <c r="I1706" s="131">
        <f t="shared" si="2053"/>
        <v>0</v>
      </c>
      <c r="J1706" s="31">
        <f t="shared" si="2054"/>
        <v>0</v>
      </c>
      <c r="K1706" s="31">
        <f t="shared" si="2055"/>
        <v>0</v>
      </c>
      <c r="L1706" s="31">
        <f t="shared" si="2056"/>
        <v>0</v>
      </c>
      <c r="M1706" s="31">
        <f t="shared" si="2057"/>
        <v>0</v>
      </c>
      <c r="N1706" s="31">
        <f t="shared" si="2058"/>
        <v>0</v>
      </c>
      <c r="O1706" s="31">
        <f t="shared" si="2059"/>
        <v>0</v>
      </c>
      <c r="P1706" s="31">
        <f t="shared" si="2060"/>
        <v>0</v>
      </c>
      <c r="Q1706" s="49">
        <f t="shared" si="2061"/>
        <v>0</v>
      </c>
    </row>
    <row r="1707" spans="4:17" s="16" customFormat="1" ht="13.2" x14ac:dyDescent="0.25">
      <c r="D1707" s="235"/>
      <c r="E1707" s="240"/>
      <c r="F1707" s="241"/>
      <c r="G1707" s="242"/>
      <c r="H1707" s="239">
        <f t="shared" si="2052"/>
        <v>0</v>
      </c>
      <c r="I1707" s="131">
        <f t="shared" si="2053"/>
        <v>0</v>
      </c>
      <c r="J1707" s="31">
        <f t="shared" si="2054"/>
        <v>0</v>
      </c>
      <c r="K1707" s="31">
        <f t="shared" si="2055"/>
        <v>0</v>
      </c>
      <c r="L1707" s="31">
        <f t="shared" si="2056"/>
        <v>0</v>
      </c>
      <c r="M1707" s="31">
        <f t="shared" si="2057"/>
        <v>0</v>
      </c>
      <c r="N1707" s="31">
        <f t="shared" si="2058"/>
        <v>0</v>
      </c>
      <c r="O1707" s="31">
        <f t="shared" si="2059"/>
        <v>0</v>
      </c>
      <c r="P1707" s="31">
        <f t="shared" si="2060"/>
        <v>0</v>
      </c>
      <c r="Q1707" s="49">
        <f t="shared" si="2061"/>
        <v>0</v>
      </c>
    </row>
    <row r="1708" spans="4:17" s="16" customFormat="1" ht="13.2" x14ac:dyDescent="0.25">
      <c r="D1708" s="235"/>
      <c r="E1708" s="240"/>
      <c r="F1708" s="241"/>
      <c r="G1708" s="242"/>
      <c r="H1708" s="239">
        <f t="shared" si="2052"/>
        <v>0</v>
      </c>
      <c r="I1708" s="131">
        <f t="shared" si="2053"/>
        <v>0</v>
      </c>
      <c r="J1708" s="31">
        <f t="shared" si="2054"/>
        <v>0</v>
      </c>
      <c r="K1708" s="31">
        <f t="shared" si="2055"/>
        <v>0</v>
      </c>
      <c r="L1708" s="31">
        <f t="shared" si="2056"/>
        <v>0</v>
      </c>
      <c r="M1708" s="31">
        <f t="shared" si="2057"/>
        <v>0</v>
      </c>
      <c r="N1708" s="31">
        <f t="shared" si="2058"/>
        <v>0</v>
      </c>
      <c r="O1708" s="31">
        <f t="shared" si="2059"/>
        <v>0</v>
      </c>
      <c r="P1708" s="31">
        <f t="shared" si="2060"/>
        <v>0</v>
      </c>
      <c r="Q1708" s="49">
        <f t="shared" si="2061"/>
        <v>0</v>
      </c>
    </row>
    <row r="1709" spans="4:17" s="16" customFormat="1" ht="13.2" x14ac:dyDescent="0.25">
      <c r="D1709" s="235"/>
      <c r="E1709" s="240"/>
      <c r="F1709" s="241"/>
      <c r="G1709" s="242"/>
      <c r="H1709" s="239">
        <f t="shared" si="2052"/>
        <v>0</v>
      </c>
      <c r="I1709" s="131">
        <f t="shared" si="2053"/>
        <v>0</v>
      </c>
      <c r="J1709" s="31">
        <f t="shared" si="2054"/>
        <v>0</v>
      </c>
      <c r="K1709" s="31">
        <f t="shared" si="2055"/>
        <v>0</v>
      </c>
      <c r="L1709" s="31">
        <f t="shared" si="2056"/>
        <v>0</v>
      </c>
      <c r="M1709" s="31">
        <f t="shared" si="2057"/>
        <v>0</v>
      </c>
      <c r="N1709" s="31">
        <f t="shared" si="2058"/>
        <v>0</v>
      </c>
      <c r="O1709" s="31">
        <f t="shared" si="2059"/>
        <v>0</v>
      </c>
      <c r="P1709" s="31">
        <f t="shared" si="2060"/>
        <v>0</v>
      </c>
      <c r="Q1709" s="49">
        <f t="shared" si="2061"/>
        <v>0</v>
      </c>
    </row>
    <row r="1710" spans="4:17" s="16" customFormat="1" ht="13.2" x14ac:dyDescent="0.25">
      <c r="D1710" s="235"/>
      <c r="E1710" s="240"/>
      <c r="F1710" s="241"/>
      <c r="G1710" s="242"/>
      <c r="H1710" s="239">
        <f t="shared" si="2052"/>
        <v>0</v>
      </c>
      <c r="I1710" s="131">
        <f t="shared" si="2053"/>
        <v>0</v>
      </c>
      <c r="J1710" s="31">
        <f t="shared" si="2054"/>
        <v>0</v>
      </c>
      <c r="K1710" s="31">
        <f t="shared" si="2055"/>
        <v>0</v>
      </c>
      <c r="L1710" s="31">
        <f t="shared" si="2056"/>
        <v>0</v>
      </c>
      <c r="M1710" s="31">
        <f t="shared" si="2057"/>
        <v>0</v>
      </c>
      <c r="N1710" s="31">
        <f t="shared" si="2058"/>
        <v>0</v>
      </c>
      <c r="O1710" s="31">
        <f t="shared" si="2059"/>
        <v>0</v>
      </c>
      <c r="P1710" s="31">
        <f t="shared" si="2060"/>
        <v>0</v>
      </c>
      <c r="Q1710" s="49">
        <f t="shared" si="2061"/>
        <v>0</v>
      </c>
    </row>
    <row r="1711" spans="4:17" s="16" customFormat="1" ht="13.2" x14ac:dyDescent="0.25">
      <c r="D1711" s="235"/>
      <c r="E1711" s="240"/>
      <c r="F1711" s="241"/>
      <c r="G1711" s="242"/>
      <c r="H1711" s="239">
        <f t="shared" si="2052"/>
        <v>0</v>
      </c>
      <c r="I1711" s="131">
        <f t="shared" si="2053"/>
        <v>0</v>
      </c>
      <c r="J1711" s="31">
        <f t="shared" si="2054"/>
        <v>0</v>
      </c>
      <c r="K1711" s="31">
        <f t="shared" si="2055"/>
        <v>0</v>
      </c>
      <c r="L1711" s="31">
        <f t="shared" si="2056"/>
        <v>0</v>
      </c>
      <c r="M1711" s="31">
        <f t="shared" si="2057"/>
        <v>0</v>
      </c>
      <c r="N1711" s="31">
        <f t="shared" si="2058"/>
        <v>0</v>
      </c>
      <c r="O1711" s="31">
        <f t="shared" si="2059"/>
        <v>0</v>
      </c>
      <c r="P1711" s="31">
        <f t="shared" si="2060"/>
        <v>0</v>
      </c>
      <c r="Q1711" s="49">
        <f t="shared" si="2061"/>
        <v>0</v>
      </c>
    </row>
    <row r="1712" spans="4:17" s="16" customFormat="1" ht="13.8" thickBot="1" x14ac:dyDescent="0.3">
      <c r="D1712" s="307"/>
      <c r="E1712" s="26"/>
      <c r="F1712" s="206"/>
      <c r="G1712" s="207"/>
      <c r="H1712" s="207"/>
      <c r="I1712" s="51"/>
      <c r="J1712" s="308"/>
      <c r="K1712" s="308"/>
      <c r="L1712" s="308"/>
      <c r="M1712" s="308"/>
      <c r="N1712" s="308"/>
      <c r="O1712" s="308"/>
      <c r="P1712" s="308"/>
      <c r="Q1712" s="309"/>
    </row>
    <row r="1713" spans="4:17" s="16" customFormat="1" ht="13.2" x14ac:dyDescent="0.25">
      <c r="D1713" s="796" t="s">
        <v>1680</v>
      </c>
      <c r="E1713" s="797"/>
      <c r="F1713" s="797"/>
      <c r="G1713" s="797"/>
      <c r="H1713" s="797"/>
      <c r="I1713" s="47">
        <f>SUM(I1714:I1723)</f>
        <v>0</v>
      </c>
      <c r="J1713" s="47">
        <f t="shared" ref="J1713:Q1713" si="2062">SUM(J1714:J1723)</f>
        <v>0</v>
      </c>
      <c r="K1713" s="47">
        <f t="shared" si="2062"/>
        <v>0</v>
      </c>
      <c r="L1713" s="47">
        <f t="shared" si="2062"/>
        <v>0</v>
      </c>
      <c r="M1713" s="47">
        <f t="shared" si="2062"/>
        <v>0</v>
      </c>
      <c r="N1713" s="47">
        <f t="shared" si="2062"/>
        <v>0</v>
      </c>
      <c r="O1713" s="47">
        <f t="shared" si="2062"/>
        <v>0</v>
      </c>
      <c r="P1713" s="47">
        <f t="shared" si="2062"/>
        <v>0</v>
      </c>
      <c r="Q1713" s="47">
        <f t="shared" si="2062"/>
        <v>0</v>
      </c>
    </row>
    <row r="1714" spans="4:17" s="16" customFormat="1" ht="13.2" x14ac:dyDescent="0.25">
      <c r="D1714" s="235"/>
      <c r="E1714" s="237"/>
      <c r="F1714" s="238"/>
      <c r="G1714" s="239"/>
      <c r="H1714" s="239">
        <f t="shared" ref="H1714:H1723" si="2063">E1714*G1714</f>
        <v>0</v>
      </c>
      <c r="I1714" s="131">
        <f t="shared" ref="I1714:I1723" si="2064">IF($F1714=4.2,H1714*$B$23,0)</f>
        <v>0</v>
      </c>
      <c r="J1714" s="31">
        <f t="shared" ref="J1714:J1723" si="2065">IF($F1714=5,$H1714*$B$24,0)</f>
        <v>0</v>
      </c>
      <c r="K1714" s="31">
        <f t="shared" ref="K1714:K1723" si="2066">IF($F1714=6.3,$H1714*$B$25,0)</f>
        <v>0</v>
      </c>
      <c r="L1714" s="31">
        <f t="shared" ref="L1714:L1723" si="2067">IF($F1714=8,$H1714*$B$26,0)</f>
        <v>0</v>
      </c>
      <c r="M1714" s="31">
        <f t="shared" ref="M1714:M1723" si="2068">IF($F1714=10,$H1714*$B$27,0)</f>
        <v>0</v>
      </c>
      <c r="N1714" s="31">
        <f t="shared" ref="N1714:N1723" si="2069">IF($F1714=12.5,$H1714*$B$28,0)</f>
        <v>0</v>
      </c>
      <c r="O1714" s="31">
        <f t="shared" ref="O1714:O1723" si="2070">IF($F1714=16,$H1714*$B$29,0)</f>
        <v>0</v>
      </c>
      <c r="P1714" s="31">
        <f t="shared" ref="P1714:P1723" si="2071">IF($F1714=20,$H1714*$B$30,0)</f>
        <v>0</v>
      </c>
      <c r="Q1714" s="49">
        <f t="shared" ref="Q1714:Q1723" si="2072">IF($F1714=25,$H1714*$B$31,0)</f>
        <v>0</v>
      </c>
    </row>
    <row r="1715" spans="4:17" s="16" customFormat="1" ht="13.2" x14ac:dyDescent="0.25">
      <c r="D1715" s="235"/>
      <c r="E1715" s="240"/>
      <c r="F1715" s="241"/>
      <c r="G1715" s="242"/>
      <c r="H1715" s="239">
        <f t="shared" si="2063"/>
        <v>0</v>
      </c>
      <c r="I1715" s="131">
        <f t="shared" si="2064"/>
        <v>0</v>
      </c>
      <c r="J1715" s="31">
        <f t="shared" si="2065"/>
        <v>0</v>
      </c>
      <c r="K1715" s="31">
        <f t="shared" si="2066"/>
        <v>0</v>
      </c>
      <c r="L1715" s="31">
        <f t="shared" si="2067"/>
        <v>0</v>
      </c>
      <c r="M1715" s="31">
        <f t="shared" si="2068"/>
        <v>0</v>
      </c>
      <c r="N1715" s="31">
        <f t="shared" si="2069"/>
        <v>0</v>
      </c>
      <c r="O1715" s="31">
        <f t="shared" si="2070"/>
        <v>0</v>
      </c>
      <c r="P1715" s="31">
        <f t="shared" si="2071"/>
        <v>0</v>
      </c>
      <c r="Q1715" s="49">
        <f t="shared" si="2072"/>
        <v>0</v>
      </c>
    </row>
    <row r="1716" spans="4:17" s="16" customFormat="1" ht="13.2" x14ac:dyDescent="0.25">
      <c r="D1716" s="235"/>
      <c r="E1716" s="240"/>
      <c r="F1716" s="241"/>
      <c r="G1716" s="242"/>
      <c r="H1716" s="239">
        <f t="shared" si="2063"/>
        <v>0</v>
      </c>
      <c r="I1716" s="131">
        <f t="shared" si="2064"/>
        <v>0</v>
      </c>
      <c r="J1716" s="31">
        <f t="shared" si="2065"/>
        <v>0</v>
      </c>
      <c r="K1716" s="31">
        <f t="shared" si="2066"/>
        <v>0</v>
      </c>
      <c r="L1716" s="31">
        <f t="shared" si="2067"/>
        <v>0</v>
      </c>
      <c r="M1716" s="31">
        <f t="shared" si="2068"/>
        <v>0</v>
      </c>
      <c r="N1716" s="31">
        <f t="shared" si="2069"/>
        <v>0</v>
      </c>
      <c r="O1716" s="31">
        <f t="shared" si="2070"/>
        <v>0</v>
      </c>
      <c r="P1716" s="31">
        <f t="shared" si="2071"/>
        <v>0</v>
      </c>
      <c r="Q1716" s="49">
        <f t="shared" si="2072"/>
        <v>0</v>
      </c>
    </row>
    <row r="1717" spans="4:17" s="16" customFormat="1" ht="13.2" x14ac:dyDescent="0.25">
      <c r="D1717" s="235"/>
      <c r="E1717" s="240"/>
      <c r="F1717" s="241"/>
      <c r="G1717" s="242"/>
      <c r="H1717" s="239">
        <f t="shared" si="2063"/>
        <v>0</v>
      </c>
      <c r="I1717" s="131">
        <f t="shared" si="2064"/>
        <v>0</v>
      </c>
      <c r="J1717" s="31">
        <f t="shared" si="2065"/>
        <v>0</v>
      </c>
      <c r="K1717" s="31">
        <f t="shared" si="2066"/>
        <v>0</v>
      </c>
      <c r="L1717" s="31">
        <f t="shared" si="2067"/>
        <v>0</v>
      </c>
      <c r="M1717" s="31">
        <f t="shared" si="2068"/>
        <v>0</v>
      </c>
      <c r="N1717" s="31">
        <f t="shared" si="2069"/>
        <v>0</v>
      </c>
      <c r="O1717" s="31">
        <f t="shared" si="2070"/>
        <v>0</v>
      </c>
      <c r="P1717" s="31">
        <f t="shared" si="2071"/>
        <v>0</v>
      </c>
      <c r="Q1717" s="49">
        <f t="shared" si="2072"/>
        <v>0</v>
      </c>
    </row>
    <row r="1718" spans="4:17" s="16" customFormat="1" ht="13.2" x14ac:dyDescent="0.25">
      <c r="D1718" s="235"/>
      <c r="E1718" s="240"/>
      <c r="F1718" s="241"/>
      <c r="G1718" s="242"/>
      <c r="H1718" s="239">
        <f t="shared" si="2063"/>
        <v>0</v>
      </c>
      <c r="I1718" s="131">
        <f t="shared" si="2064"/>
        <v>0</v>
      </c>
      <c r="J1718" s="31">
        <f t="shared" si="2065"/>
        <v>0</v>
      </c>
      <c r="K1718" s="31">
        <f t="shared" si="2066"/>
        <v>0</v>
      </c>
      <c r="L1718" s="31">
        <f t="shared" si="2067"/>
        <v>0</v>
      </c>
      <c r="M1718" s="31">
        <f t="shared" si="2068"/>
        <v>0</v>
      </c>
      <c r="N1718" s="31">
        <f t="shared" si="2069"/>
        <v>0</v>
      </c>
      <c r="O1718" s="31">
        <f t="shared" si="2070"/>
        <v>0</v>
      </c>
      <c r="P1718" s="31">
        <f t="shared" si="2071"/>
        <v>0</v>
      </c>
      <c r="Q1718" s="49">
        <f t="shared" si="2072"/>
        <v>0</v>
      </c>
    </row>
    <row r="1719" spans="4:17" s="16" customFormat="1" ht="13.2" x14ac:dyDescent="0.25">
      <c r="D1719" s="235"/>
      <c r="E1719" s="240"/>
      <c r="F1719" s="241"/>
      <c r="G1719" s="242"/>
      <c r="H1719" s="239">
        <f t="shared" si="2063"/>
        <v>0</v>
      </c>
      <c r="I1719" s="131">
        <f t="shared" si="2064"/>
        <v>0</v>
      </c>
      <c r="J1719" s="31">
        <f t="shared" si="2065"/>
        <v>0</v>
      </c>
      <c r="K1719" s="31">
        <f t="shared" si="2066"/>
        <v>0</v>
      </c>
      <c r="L1719" s="31">
        <f t="shared" si="2067"/>
        <v>0</v>
      </c>
      <c r="M1719" s="31">
        <f t="shared" si="2068"/>
        <v>0</v>
      </c>
      <c r="N1719" s="31">
        <f t="shared" si="2069"/>
        <v>0</v>
      </c>
      <c r="O1719" s="31">
        <f t="shared" si="2070"/>
        <v>0</v>
      </c>
      <c r="P1719" s="31">
        <f t="shared" si="2071"/>
        <v>0</v>
      </c>
      <c r="Q1719" s="49">
        <f t="shared" si="2072"/>
        <v>0</v>
      </c>
    </row>
    <row r="1720" spans="4:17" s="16" customFormat="1" ht="13.2" x14ac:dyDescent="0.25">
      <c r="D1720" s="235"/>
      <c r="E1720" s="240"/>
      <c r="F1720" s="241"/>
      <c r="G1720" s="242"/>
      <c r="H1720" s="239">
        <f t="shared" si="2063"/>
        <v>0</v>
      </c>
      <c r="I1720" s="131">
        <f t="shared" si="2064"/>
        <v>0</v>
      </c>
      <c r="J1720" s="31">
        <f t="shared" si="2065"/>
        <v>0</v>
      </c>
      <c r="K1720" s="31">
        <f t="shared" si="2066"/>
        <v>0</v>
      </c>
      <c r="L1720" s="31">
        <f t="shared" si="2067"/>
        <v>0</v>
      </c>
      <c r="M1720" s="31">
        <f t="shared" si="2068"/>
        <v>0</v>
      </c>
      <c r="N1720" s="31">
        <f t="shared" si="2069"/>
        <v>0</v>
      </c>
      <c r="O1720" s="31">
        <f t="shared" si="2070"/>
        <v>0</v>
      </c>
      <c r="P1720" s="31">
        <f t="shared" si="2071"/>
        <v>0</v>
      </c>
      <c r="Q1720" s="49">
        <f t="shared" si="2072"/>
        <v>0</v>
      </c>
    </row>
    <row r="1721" spans="4:17" s="16" customFormat="1" ht="13.2" x14ac:dyDescent="0.25">
      <c r="D1721" s="235"/>
      <c r="E1721" s="240"/>
      <c r="F1721" s="241"/>
      <c r="G1721" s="242"/>
      <c r="H1721" s="239">
        <f t="shared" si="2063"/>
        <v>0</v>
      </c>
      <c r="I1721" s="131">
        <f t="shared" si="2064"/>
        <v>0</v>
      </c>
      <c r="J1721" s="31">
        <f t="shared" si="2065"/>
        <v>0</v>
      </c>
      <c r="K1721" s="31">
        <f t="shared" si="2066"/>
        <v>0</v>
      </c>
      <c r="L1721" s="31">
        <f t="shared" si="2067"/>
        <v>0</v>
      </c>
      <c r="M1721" s="31">
        <f t="shared" si="2068"/>
        <v>0</v>
      </c>
      <c r="N1721" s="31">
        <f t="shared" si="2069"/>
        <v>0</v>
      </c>
      <c r="O1721" s="31">
        <f t="shared" si="2070"/>
        <v>0</v>
      </c>
      <c r="P1721" s="31">
        <f t="shared" si="2071"/>
        <v>0</v>
      </c>
      <c r="Q1721" s="49">
        <f t="shared" si="2072"/>
        <v>0</v>
      </c>
    </row>
    <row r="1722" spans="4:17" s="16" customFormat="1" ht="13.2" x14ac:dyDescent="0.25">
      <c r="D1722" s="235"/>
      <c r="E1722" s="240"/>
      <c r="F1722" s="241"/>
      <c r="G1722" s="242"/>
      <c r="H1722" s="239">
        <f t="shared" si="2063"/>
        <v>0</v>
      </c>
      <c r="I1722" s="131">
        <f t="shared" si="2064"/>
        <v>0</v>
      </c>
      <c r="J1722" s="31">
        <f t="shared" si="2065"/>
        <v>0</v>
      </c>
      <c r="K1722" s="31">
        <f t="shared" si="2066"/>
        <v>0</v>
      </c>
      <c r="L1722" s="31">
        <f t="shared" si="2067"/>
        <v>0</v>
      </c>
      <c r="M1722" s="31">
        <f t="shared" si="2068"/>
        <v>0</v>
      </c>
      <c r="N1722" s="31">
        <f t="shared" si="2069"/>
        <v>0</v>
      </c>
      <c r="O1722" s="31">
        <f t="shared" si="2070"/>
        <v>0</v>
      </c>
      <c r="P1722" s="31">
        <f t="shared" si="2071"/>
        <v>0</v>
      </c>
      <c r="Q1722" s="49">
        <f t="shared" si="2072"/>
        <v>0</v>
      </c>
    </row>
    <row r="1723" spans="4:17" s="16" customFormat="1" ht="13.2" x14ac:dyDescent="0.25">
      <c r="D1723" s="235"/>
      <c r="E1723" s="240"/>
      <c r="F1723" s="241"/>
      <c r="G1723" s="242"/>
      <c r="H1723" s="239">
        <f t="shared" si="2063"/>
        <v>0</v>
      </c>
      <c r="I1723" s="131">
        <f t="shared" si="2064"/>
        <v>0</v>
      </c>
      <c r="J1723" s="31">
        <f t="shared" si="2065"/>
        <v>0</v>
      </c>
      <c r="K1723" s="31">
        <f t="shared" si="2066"/>
        <v>0</v>
      </c>
      <c r="L1723" s="31">
        <f t="shared" si="2067"/>
        <v>0</v>
      </c>
      <c r="M1723" s="31">
        <f t="shared" si="2068"/>
        <v>0</v>
      </c>
      <c r="N1723" s="31">
        <f t="shared" si="2069"/>
        <v>0</v>
      </c>
      <c r="O1723" s="31">
        <f t="shared" si="2070"/>
        <v>0</v>
      </c>
      <c r="P1723" s="31">
        <f t="shared" si="2071"/>
        <v>0</v>
      </c>
      <c r="Q1723" s="49">
        <f t="shared" si="2072"/>
        <v>0</v>
      </c>
    </row>
    <row r="1724" spans="4:17" s="16" customFormat="1" ht="13.8" thickBot="1" x14ac:dyDescent="0.3">
      <c r="D1724" s="307"/>
      <c r="E1724" s="26"/>
      <c r="F1724" s="206"/>
      <c r="G1724" s="207"/>
      <c r="H1724" s="207"/>
      <c r="I1724" s="51"/>
      <c r="J1724" s="308"/>
      <c r="K1724" s="308"/>
      <c r="L1724" s="308"/>
      <c r="M1724" s="308"/>
      <c r="N1724" s="308"/>
      <c r="O1724" s="308"/>
      <c r="P1724" s="308"/>
      <c r="Q1724" s="309"/>
    </row>
    <row r="1725" spans="4:17" s="16" customFormat="1" ht="13.2" x14ac:dyDescent="0.25">
      <c r="D1725" s="796" t="s">
        <v>1680</v>
      </c>
      <c r="E1725" s="797"/>
      <c r="F1725" s="797"/>
      <c r="G1725" s="797"/>
      <c r="H1725" s="797"/>
      <c r="I1725" s="47">
        <f>SUM(I1726:I1735)</f>
        <v>0</v>
      </c>
      <c r="J1725" s="47">
        <f t="shared" ref="J1725:Q1725" si="2073">SUM(J1726:J1735)</f>
        <v>0</v>
      </c>
      <c r="K1725" s="47">
        <f t="shared" si="2073"/>
        <v>0</v>
      </c>
      <c r="L1725" s="47">
        <f t="shared" si="2073"/>
        <v>0</v>
      </c>
      <c r="M1725" s="47">
        <f t="shared" si="2073"/>
        <v>0</v>
      </c>
      <c r="N1725" s="47">
        <f t="shared" si="2073"/>
        <v>0</v>
      </c>
      <c r="O1725" s="47">
        <f t="shared" si="2073"/>
        <v>0</v>
      </c>
      <c r="P1725" s="47">
        <f t="shared" si="2073"/>
        <v>0</v>
      </c>
      <c r="Q1725" s="47">
        <f t="shared" si="2073"/>
        <v>0</v>
      </c>
    </row>
    <row r="1726" spans="4:17" s="16" customFormat="1" ht="13.2" x14ac:dyDescent="0.25">
      <c r="D1726" s="235"/>
      <c r="E1726" s="237"/>
      <c r="F1726" s="238"/>
      <c r="G1726" s="239"/>
      <c r="H1726" s="239">
        <f t="shared" ref="H1726:H1735" si="2074">E1726*G1726</f>
        <v>0</v>
      </c>
      <c r="I1726" s="131">
        <f t="shared" ref="I1726:I1735" si="2075">IF($F1726=4.2,H1726*$B$23,0)</f>
        <v>0</v>
      </c>
      <c r="J1726" s="31">
        <f t="shared" ref="J1726:J1735" si="2076">IF($F1726=5,$H1726*$B$24,0)</f>
        <v>0</v>
      </c>
      <c r="K1726" s="31">
        <f t="shared" ref="K1726:K1735" si="2077">IF($F1726=6.3,$H1726*$B$25,0)</f>
        <v>0</v>
      </c>
      <c r="L1726" s="31">
        <f t="shared" ref="L1726:L1735" si="2078">IF($F1726=8,$H1726*$B$26,0)</f>
        <v>0</v>
      </c>
      <c r="M1726" s="31">
        <f t="shared" ref="M1726:M1735" si="2079">IF($F1726=10,$H1726*$B$27,0)</f>
        <v>0</v>
      </c>
      <c r="N1726" s="31">
        <f t="shared" ref="N1726:N1735" si="2080">IF($F1726=12.5,$H1726*$B$28,0)</f>
        <v>0</v>
      </c>
      <c r="O1726" s="31">
        <f t="shared" ref="O1726:O1735" si="2081">IF($F1726=16,$H1726*$B$29,0)</f>
        <v>0</v>
      </c>
      <c r="P1726" s="31">
        <f t="shared" ref="P1726:P1735" si="2082">IF($F1726=20,$H1726*$B$30,0)</f>
        <v>0</v>
      </c>
      <c r="Q1726" s="49">
        <f t="shared" ref="Q1726:Q1735" si="2083">IF($F1726=25,$H1726*$B$31,0)</f>
        <v>0</v>
      </c>
    </row>
    <row r="1727" spans="4:17" s="16" customFormat="1" ht="13.2" x14ac:dyDescent="0.25">
      <c r="D1727" s="235"/>
      <c r="E1727" s="240"/>
      <c r="F1727" s="241"/>
      <c r="G1727" s="242"/>
      <c r="H1727" s="239">
        <f t="shared" si="2074"/>
        <v>0</v>
      </c>
      <c r="I1727" s="131">
        <f t="shared" si="2075"/>
        <v>0</v>
      </c>
      <c r="J1727" s="31">
        <f t="shared" si="2076"/>
        <v>0</v>
      </c>
      <c r="K1727" s="31">
        <f t="shared" si="2077"/>
        <v>0</v>
      </c>
      <c r="L1727" s="31">
        <f t="shared" si="2078"/>
        <v>0</v>
      </c>
      <c r="M1727" s="31">
        <f t="shared" si="2079"/>
        <v>0</v>
      </c>
      <c r="N1727" s="31">
        <f t="shared" si="2080"/>
        <v>0</v>
      </c>
      <c r="O1727" s="31">
        <f t="shared" si="2081"/>
        <v>0</v>
      </c>
      <c r="P1727" s="31">
        <f t="shared" si="2082"/>
        <v>0</v>
      </c>
      <c r="Q1727" s="49">
        <f t="shared" si="2083"/>
        <v>0</v>
      </c>
    </row>
    <row r="1728" spans="4:17" s="16" customFormat="1" ht="13.2" x14ac:dyDescent="0.25">
      <c r="D1728" s="235"/>
      <c r="E1728" s="240"/>
      <c r="F1728" s="241"/>
      <c r="G1728" s="242"/>
      <c r="H1728" s="239">
        <f t="shared" si="2074"/>
        <v>0</v>
      </c>
      <c r="I1728" s="131">
        <f t="shared" si="2075"/>
        <v>0</v>
      </c>
      <c r="J1728" s="31">
        <f t="shared" si="2076"/>
        <v>0</v>
      </c>
      <c r="K1728" s="31">
        <f t="shared" si="2077"/>
        <v>0</v>
      </c>
      <c r="L1728" s="31">
        <f t="shared" si="2078"/>
        <v>0</v>
      </c>
      <c r="M1728" s="31">
        <f t="shared" si="2079"/>
        <v>0</v>
      </c>
      <c r="N1728" s="31">
        <f t="shared" si="2080"/>
        <v>0</v>
      </c>
      <c r="O1728" s="31">
        <f t="shared" si="2081"/>
        <v>0</v>
      </c>
      <c r="P1728" s="31">
        <f t="shared" si="2082"/>
        <v>0</v>
      </c>
      <c r="Q1728" s="49">
        <f t="shared" si="2083"/>
        <v>0</v>
      </c>
    </row>
    <row r="1729" spans="4:17" s="16" customFormat="1" ht="13.2" x14ac:dyDescent="0.25">
      <c r="D1729" s="235"/>
      <c r="E1729" s="240"/>
      <c r="F1729" s="241"/>
      <c r="G1729" s="242"/>
      <c r="H1729" s="239">
        <f t="shared" si="2074"/>
        <v>0</v>
      </c>
      <c r="I1729" s="131">
        <f t="shared" si="2075"/>
        <v>0</v>
      </c>
      <c r="J1729" s="31">
        <f t="shared" si="2076"/>
        <v>0</v>
      </c>
      <c r="K1729" s="31">
        <f t="shared" si="2077"/>
        <v>0</v>
      </c>
      <c r="L1729" s="31">
        <f t="shared" si="2078"/>
        <v>0</v>
      </c>
      <c r="M1729" s="31">
        <f t="shared" si="2079"/>
        <v>0</v>
      </c>
      <c r="N1729" s="31">
        <f t="shared" si="2080"/>
        <v>0</v>
      </c>
      <c r="O1729" s="31">
        <f t="shared" si="2081"/>
        <v>0</v>
      </c>
      <c r="P1729" s="31">
        <f t="shared" si="2082"/>
        <v>0</v>
      </c>
      <c r="Q1729" s="49">
        <f t="shared" si="2083"/>
        <v>0</v>
      </c>
    </row>
    <row r="1730" spans="4:17" s="16" customFormat="1" ht="13.2" x14ac:dyDescent="0.25">
      <c r="D1730" s="235"/>
      <c r="E1730" s="240"/>
      <c r="F1730" s="241"/>
      <c r="G1730" s="242"/>
      <c r="H1730" s="239">
        <f t="shared" si="2074"/>
        <v>0</v>
      </c>
      <c r="I1730" s="131">
        <f t="shared" si="2075"/>
        <v>0</v>
      </c>
      <c r="J1730" s="31">
        <f t="shared" si="2076"/>
        <v>0</v>
      </c>
      <c r="K1730" s="31">
        <f t="shared" si="2077"/>
        <v>0</v>
      </c>
      <c r="L1730" s="31">
        <f t="shared" si="2078"/>
        <v>0</v>
      </c>
      <c r="M1730" s="31">
        <f t="shared" si="2079"/>
        <v>0</v>
      </c>
      <c r="N1730" s="31">
        <f t="shared" si="2080"/>
        <v>0</v>
      </c>
      <c r="O1730" s="31">
        <f t="shared" si="2081"/>
        <v>0</v>
      </c>
      <c r="P1730" s="31">
        <f t="shared" si="2082"/>
        <v>0</v>
      </c>
      <c r="Q1730" s="49">
        <f t="shared" si="2083"/>
        <v>0</v>
      </c>
    </row>
    <row r="1731" spans="4:17" s="16" customFormat="1" ht="13.2" x14ac:dyDescent="0.25">
      <c r="D1731" s="235"/>
      <c r="E1731" s="240"/>
      <c r="F1731" s="241"/>
      <c r="G1731" s="242"/>
      <c r="H1731" s="239">
        <f t="shared" si="2074"/>
        <v>0</v>
      </c>
      <c r="I1731" s="131">
        <f t="shared" si="2075"/>
        <v>0</v>
      </c>
      <c r="J1731" s="31">
        <f t="shared" si="2076"/>
        <v>0</v>
      </c>
      <c r="K1731" s="31">
        <f t="shared" si="2077"/>
        <v>0</v>
      </c>
      <c r="L1731" s="31">
        <f t="shared" si="2078"/>
        <v>0</v>
      </c>
      <c r="M1731" s="31">
        <f t="shared" si="2079"/>
        <v>0</v>
      </c>
      <c r="N1731" s="31">
        <f t="shared" si="2080"/>
        <v>0</v>
      </c>
      <c r="O1731" s="31">
        <f t="shared" si="2081"/>
        <v>0</v>
      </c>
      <c r="P1731" s="31">
        <f t="shared" si="2082"/>
        <v>0</v>
      </c>
      <c r="Q1731" s="49">
        <f t="shared" si="2083"/>
        <v>0</v>
      </c>
    </row>
    <row r="1732" spans="4:17" s="16" customFormat="1" ht="13.2" x14ac:dyDescent="0.25">
      <c r="D1732" s="235"/>
      <c r="E1732" s="240"/>
      <c r="F1732" s="241"/>
      <c r="G1732" s="242"/>
      <c r="H1732" s="239">
        <f t="shared" si="2074"/>
        <v>0</v>
      </c>
      <c r="I1732" s="131">
        <f t="shared" si="2075"/>
        <v>0</v>
      </c>
      <c r="J1732" s="31">
        <f t="shared" si="2076"/>
        <v>0</v>
      </c>
      <c r="K1732" s="31">
        <f t="shared" si="2077"/>
        <v>0</v>
      </c>
      <c r="L1732" s="31">
        <f t="shared" si="2078"/>
        <v>0</v>
      </c>
      <c r="M1732" s="31">
        <f t="shared" si="2079"/>
        <v>0</v>
      </c>
      <c r="N1732" s="31">
        <f t="shared" si="2080"/>
        <v>0</v>
      </c>
      <c r="O1732" s="31">
        <f t="shared" si="2081"/>
        <v>0</v>
      </c>
      <c r="P1732" s="31">
        <f t="shared" si="2082"/>
        <v>0</v>
      </c>
      <c r="Q1732" s="49">
        <f t="shared" si="2083"/>
        <v>0</v>
      </c>
    </row>
    <row r="1733" spans="4:17" s="16" customFormat="1" ht="13.2" x14ac:dyDescent="0.25">
      <c r="D1733" s="235"/>
      <c r="E1733" s="240"/>
      <c r="F1733" s="241"/>
      <c r="G1733" s="242"/>
      <c r="H1733" s="239">
        <f t="shared" si="2074"/>
        <v>0</v>
      </c>
      <c r="I1733" s="131">
        <f t="shared" si="2075"/>
        <v>0</v>
      </c>
      <c r="J1733" s="31">
        <f t="shared" si="2076"/>
        <v>0</v>
      </c>
      <c r="K1733" s="31">
        <f t="shared" si="2077"/>
        <v>0</v>
      </c>
      <c r="L1733" s="31">
        <f t="shared" si="2078"/>
        <v>0</v>
      </c>
      <c r="M1733" s="31">
        <f t="shared" si="2079"/>
        <v>0</v>
      </c>
      <c r="N1733" s="31">
        <f t="shared" si="2080"/>
        <v>0</v>
      </c>
      <c r="O1733" s="31">
        <f t="shared" si="2081"/>
        <v>0</v>
      </c>
      <c r="P1733" s="31">
        <f t="shared" si="2082"/>
        <v>0</v>
      </c>
      <c r="Q1733" s="49">
        <f t="shared" si="2083"/>
        <v>0</v>
      </c>
    </row>
    <row r="1734" spans="4:17" s="16" customFormat="1" ht="13.2" x14ac:dyDescent="0.25">
      <c r="D1734" s="235"/>
      <c r="E1734" s="240"/>
      <c r="F1734" s="241"/>
      <c r="G1734" s="242"/>
      <c r="H1734" s="239">
        <f t="shared" si="2074"/>
        <v>0</v>
      </c>
      <c r="I1734" s="131">
        <f t="shared" si="2075"/>
        <v>0</v>
      </c>
      <c r="J1734" s="31">
        <f t="shared" si="2076"/>
        <v>0</v>
      </c>
      <c r="K1734" s="31">
        <f t="shared" si="2077"/>
        <v>0</v>
      </c>
      <c r="L1734" s="31">
        <f t="shared" si="2078"/>
        <v>0</v>
      </c>
      <c r="M1734" s="31">
        <f t="shared" si="2079"/>
        <v>0</v>
      </c>
      <c r="N1734" s="31">
        <f t="shared" si="2080"/>
        <v>0</v>
      </c>
      <c r="O1734" s="31">
        <f t="shared" si="2081"/>
        <v>0</v>
      </c>
      <c r="P1734" s="31">
        <f t="shared" si="2082"/>
        <v>0</v>
      </c>
      <c r="Q1734" s="49">
        <f t="shared" si="2083"/>
        <v>0</v>
      </c>
    </row>
    <row r="1735" spans="4:17" s="16" customFormat="1" ht="13.2" x14ac:dyDescent="0.25">
      <c r="D1735" s="235"/>
      <c r="E1735" s="240"/>
      <c r="F1735" s="241"/>
      <c r="G1735" s="242"/>
      <c r="H1735" s="239">
        <f t="shared" si="2074"/>
        <v>0</v>
      </c>
      <c r="I1735" s="131">
        <f t="shared" si="2075"/>
        <v>0</v>
      </c>
      <c r="J1735" s="31">
        <f t="shared" si="2076"/>
        <v>0</v>
      </c>
      <c r="K1735" s="31">
        <f t="shared" si="2077"/>
        <v>0</v>
      </c>
      <c r="L1735" s="31">
        <f t="shared" si="2078"/>
        <v>0</v>
      </c>
      <c r="M1735" s="31">
        <f t="shared" si="2079"/>
        <v>0</v>
      </c>
      <c r="N1735" s="31">
        <f t="shared" si="2080"/>
        <v>0</v>
      </c>
      <c r="O1735" s="31">
        <f t="shared" si="2081"/>
        <v>0</v>
      </c>
      <c r="P1735" s="31">
        <f t="shared" si="2082"/>
        <v>0</v>
      </c>
      <c r="Q1735" s="49">
        <f t="shared" si="2083"/>
        <v>0</v>
      </c>
    </row>
    <row r="1736" spans="4:17" s="16" customFormat="1" ht="13.8" thickBot="1" x14ac:dyDescent="0.3">
      <c r="D1736" s="307"/>
      <c r="E1736" s="26"/>
      <c r="F1736" s="206"/>
      <c r="G1736" s="207"/>
      <c r="H1736" s="207"/>
      <c r="I1736" s="51"/>
      <c r="J1736" s="308"/>
      <c r="K1736" s="308"/>
      <c r="L1736" s="308"/>
      <c r="M1736" s="308"/>
      <c r="N1736" s="308"/>
      <c r="O1736" s="308"/>
      <c r="P1736" s="308"/>
      <c r="Q1736" s="309"/>
    </row>
    <row r="1737" spans="4:17" s="16" customFormat="1" ht="13.2" x14ac:dyDescent="0.25">
      <c r="D1737" s="796" t="s">
        <v>1680</v>
      </c>
      <c r="E1737" s="797"/>
      <c r="F1737" s="797"/>
      <c r="G1737" s="797"/>
      <c r="H1737" s="797"/>
      <c r="I1737" s="47">
        <f>SUM(I1738:I1747)</f>
        <v>0</v>
      </c>
      <c r="J1737" s="47">
        <f t="shared" ref="J1737:Q1737" si="2084">SUM(J1738:J1747)</f>
        <v>0</v>
      </c>
      <c r="K1737" s="47">
        <f t="shared" si="2084"/>
        <v>0</v>
      </c>
      <c r="L1737" s="47">
        <f t="shared" si="2084"/>
        <v>0</v>
      </c>
      <c r="M1737" s="47">
        <f t="shared" si="2084"/>
        <v>0</v>
      </c>
      <c r="N1737" s="47">
        <f t="shared" si="2084"/>
        <v>0</v>
      </c>
      <c r="O1737" s="47">
        <f t="shared" si="2084"/>
        <v>0</v>
      </c>
      <c r="P1737" s="47">
        <f t="shared" si="2084"/>
        <v>0</v>
      </c>
      <c r="Q1737" s="47">
        <f t="shared" si="2084"/>
        <v>0</v>
      </c>
    </row>
    <row r="1738" spans="4:17" s="16" customFormat="1" ht="13.2" x14ac:dyDescent="0.25">
      <c r="D1738" s="235"/>
      <c r="E1738" s="237"/>
      <c r="F1738" s="238"/>
      <c r="G1738" s="239"/>
      <c r="H1738" s="239">
        <f t="shared" ref="H1738:H1747" si="2085">E1738*G1738</f>
        <v>0</v>
      </c>
      <c r="I1738" s="131">
        <f t="shared" ref="I1738:I1747" si="2086">IF($F1738=4.2,H1738*$B$23,0)</f>
        <v>0</v>
      </c>
      <c r="J1738" s="31">
        <f t="shared" ref="J1738:J1747" si="2087">IF($F1738=5,$H1738*$B$24,0)</f>
        <v>0</v>
      </c>
      <c r="K1738" s="31">
        <f t="shared" ref="K1738:K1747" si="2088">IF($F1738=6.3,$H1738*$B$25,0)</f>
        <v>0</v>
      </c>
      <c r="L1738" s="31">
        <f t="shared" ref="L1738:L1747" si="2089">IF($F1738=8,$H1738*$B$26,0)</f>
        <v>0</v>
      </c>
      <c r="M1738" s="31">
        <f t="shared" ref="M1738:M1747" si="2090">IF($F1738=10,$H1738*$B$27,0)</f>
        <v>0</v>
      </c>
      <c r="N1738" s="31">
        <f t="shared" ref="N1738:N1747" si="2091">IF($F1738=12.5,$H1738*$B$28,0)</f>
        <v>0</v>
      </c>
      <c r="O1738" s="31">
        <f t="shared" ref="O1738:O1747" si="2092">IF($F1738=16,$H1738*$B$29,0)</f>
        <v>0</v>
      </c>
      <c r="P1738" s="31">
        <f t="shared" ref="P1738:P1747" si="2093">IF($F1738=20,$H1738*$B$30,0)</f>
        <v>0</v>
      </c>
      <c r="Q1738" s="49">
        <f t="shared" ref="Q1738:Q1747" si="2094">IF($F1738=25,$H1738*$B$31,0)</f>
        <v>0</v>
      </c>
    </row>
    <row r="1739" spans="4:17" s="16" customFormat="1" ht="13.2" x14ac:dyDescent="0.25">
      <c r="D1739" s="235"/>
      <c r="E1739" s="240"/>
      <c r="F1739" s="241"/>
      <c r="G1739" s="242"/>
      <c r="H1739" s="239">
        <f t="shared" si="2085"/>
        <v>0</v>
      </c>
      <c r="I1739" s="131">
        <f t="shared" si="2086"/>
        <v>0</v>
      </c>
      <c r="J1739" s="31">
        <f t="shared" si="2087"/>
        <v>0</v>
      </c>
      <c r="K1739" s="31">
        <f t="shared" si="2088"/>
        <v>0</v>
      </c>
      <c r="L1739" s="31">
        <f t="shared" si="2089"/>
        <v>0</v>
      </c>
      <c r="M1739" s="31">
        <f t="shared" si="2090"/>
        <v>0</v>
      </c>
      <c r="N1739" s="31">
        <f t="shared" si="2091"/>
        <v>0</v>
      </c>
      <c r="O1739" s="31">
        <f t="shared" si="2092"/>
        <v>0</v>
      </c>
      <c r="P1739" s="31">
        <f t="shared" si="2093"/>
        <v>0</v>
      </c>
      <c r="Q1739" s="49">
        <f t="shared" si="2094"/>
        <v>0</v>
      </c>
    </row>
    <row r="1740" spans="4:17" s="16" customFormat="1" ht="13.2" x14ac:dyDescent="0.25">
      <c r="D1740" s="235"/>
      <c r="E1740" s="240"/>
      <c r="F1740" s="241"/>
      <c r="G1740" s="242"/>
      <c r="H1740" s="239">
        <f t="shared" si="2085"/>
        <v>0</v>
      </c>
      <c r="I1740" s="131">
        <f t="shared" si="2086"/>
        <v>0</v>
      </c>
      <c r="J1740" s="31">
        <f t="shared" si="2087"/>
        <v>0</v>
      </c>
      <c r="K1740" s="31">
        <f t="shared" si="2088"/>
        <v>0</v>
      </c>
      <c r="L1740" s="31">
        <f t="shared" si="2089"/>
        <v>0</v>
      </c>
      <c r="M1740" s="31">
        <f t="shared" si="2090"/>
        <v>0</v>
      </c>
      <c r="N1740" s="31">
        <f t="shared" si="2091"/>
        <v>0</v>
      </c>
      <c r="O1740" s="31">
        <f t="shared" si="2092"/>
        <v>0</v>
      </c>
      <c r="P1740" s="31">
        <f t="shared" si="2093"/>
        <v>0</v>
      </c>
      <c r="Q1740" s="49">
        <f t="shared" si="2094"/>
        <v>0</v>
      </c>
    </row>
    <row r="1741" spans="4:17" s="16" customFormat="1" ht="13.2" x14ac:dyDescent="0.25">
      <c r="D1741" s="235"/>
      <c r="E1741" s="240"/>
      <c r="F1741" s="241"/>
      <c r="G1741" s="242"/>
      <c r="H1741" s="239">
        <f t="shared" si="2085"/>
        <v>0</v>
      </c>
      <c r="I1741" s="131">
        <f t="shared" si="2086"/>
        <v>0</v>
      </c>
      <c r="J1741" s="31">
        <f t="shared" si="2087"/>
        <v>0</v>
      </c>
      <c r="K1741" s="31">
        <f t="shared" si="2088"/>
        <v>0</v>
      </c>
      <c r="L1741" s="31">
        <f t="shared" si="2089"/>
        <v>0</v>
      </c>
      <c r="M1741" s="31">
        <f t="shared" si="2090"/>
        <v>0</v>
      </c>
      <c r="N1741" s="31">
        <f t="shared" si="2091"/>
        <v>0</v>
      </c>
      <c r="O1741" s="31">
        <f t="shared" si="2092"/>
        <v>0</v>
      </c>
      <c r="P1741" s="31">
        <f t="shared" si="2093"/>
        <v>0</v>
      </c>
      <c r="Q1741" s="49">
        <f t="shared" si="2094"/>
        <v>0</v>
      </c>
    </row>
    <row r="1742" spans="4:17" s="16" customFormat="1" ht="13.2" x14ac:dyDescent="0.25">
      <c r="D1742" s="235"/>
      <c r="E1742" s="240"/>
      <c r="F1742" s="241"/>
      <c r="G1742" s="242"/>
      <c r="H1742" s="239">
        <f t="shared" si="2085"/>
        <v>0</v>
      </c>
      <c r="I1742" s="131">
        <f t="shared" si="2086"/>
        <v>0</v>
      </c>
      <c r="J1742" s="31">
        <f t="shared" si="2087"/>
        <v>0</v>
      </c>
      <c r="K1742" s="31">
        <f t="shared" si="2088"/>
        <v>0</v>
      </c>
      <c r="L1742" s="31">
        <f t="shared" si="2089"/>
        <v>0</v>
      </c>
      <c r="M1742" s="31">
        <f t="shared" si="2090"/>
        <v>0</v>
      </c>
      <c r="N1742" s="31">
        <f t="shared" si="2091"/>
        <v>0</v>
      </c>
      <c r="O1742" s="31">
        <f t="shared" si="2092"/>
        <v>0</v>
      </c>
      <c r="P1742" s="31">
        <f t="shared" si="2093"/>
        <v>0</v>
      </c>
      <c r="Q1742" s="49">
        <f t="shared" si="2094"/>
        <v>0</v>
      </c>
    </row>
    <row r="1743" spans="4:17" s="16" customFormat="1" ht="13.2" x14ac:dyDescent="0.25">
      <c r="D1743" s="235"/>
      <c r="E1743" s="240"/>
      <c r="F1743" s="241"/>
      <c r="G1743" s="242"/>
      <c r="H1743" s="239">
        <f t="shared" si="2085"/>
        <v>0</v>
      </c>
      <c r="I1743" s="131">
        <f t="shared" si="2086"/>
        <v>0</v>
      </c>
      <c r="J1743" s="31">
        <f t="shared" si="2087"/>
        <v>0</v>
      </c>
      <c r="K1743" s="31">
        <f t="shared" si="2088"/>
        <v>0</v>
      </c>
      <c r="L1743" s="31">
        <f t="shared" si="2089"/>
        <v>0</v>
      </c>
      <c r="M1743" s="31">
        <f t="shared" si="2090"/>
        <v>0</v>
      </c>
      <c r="N1743" s="31">
        <f t="shared" si="2091"/>
        <v>0</v>
      </c>
      <c r="O1743" s="31">
        <f t="shared" si="2092"/>
        <v>0</v>
      </c>
      <c r="P1743" s="31">
        <f t="shared" si="2093"/>
        <v>0</v>
      </c>
      <c r="Q1743" s="49">
        <f t="shared" si="2094"/>
        <v>0</v>
      </c>
    </row>
    <row r="1744" spans="4:17" s="16" customFormat="1" ht="13.2" x14ac:dyDescent="0.25">
      <c r="D1744" s="235"/>
      <c r="E1744" s="240"/>
      <c r="F1744" s="241"/>
      <c r="G1744" s="242"/>
      <c r="H1744" s="239">
        <f t="shared" si="2085"/>
        <v>0</v>
      </c>
      <c r="I1744" s="131">
        <f t="shared" si="2086"/>
        <v>0</v>
      </c>
      <c r="J1744" s="31">
        <f t="shared" si="2087"/>
        <v>0</v>
      </c>
      <c r="K1744" s="31">
        <f t="shared" si="2088"/>
        <v>0</v>
      </c>
      <c r="L1744" s="31">
        <f t="shared" si="2089"/>
        <v>0</v>
      </c>
      <c r="M1744" s="31">
        <f t="shared" si="2090"/>
        <v>0</v>
      </c>
      <c r="N1744" s="31">
        <f t="shared" si="2091"/>
        <v>0</v>
      </c>
      <c r="O1744" s="31">
        <f t="shared" si="2092"/>
        <v>0</v>
      </c>
      <c r="P1744" s="31">
        <f t="shared" si="2093"/>
        <v>0</v>
      </c>
      <c r="Q1744" s="49">
        <f t="shared" si="2094"/>
        <v>0</v>
      </c>
    </row>
    <row r="1745" spans="4:17" s="16" customFormat="1" ht="13.2" x14ac:dyDescent="0.25">
      <c r="D1745" s="235"/>
      <c r="E1745" s="240"/>
      <c r="F1745" s="241"/>
      <c r="G1745" s="242"/>
      <c r="H1745" s="239">
        <f t="shared" si="2085"/>
        <v>0</v>
      </c>
      <c r="I1745" s="131">
        <f t="shared" si="2086"/>
        <v>0</v>
      </c>
      <c r="J1745" s="31">
        <f t="shared" si="2087"/>
        <v>0</v>
      </c>
      <c r="K1745" s="31">
        <f t="shared" si="2088"/>
        <v>0</v>
      </c>
      <c r="L1745" s="31">
        <f t="shared" si="2089"/>
        <v>0</v>
      </c>
      <c r="M1745" s="31">
        <f t="shared" si="2090"/>
        <v>0</v>
      </c>
      <c r="N1745" s="31">
        <f t="shared" si="2091"/>
        <v>0</v>
      </c>
      <c r="O1745" s="31">
        <f t="shared" si="2092"/>
        <v>0</v>
      </c>
      <c r="P1745" s="31">
        <f t="shared" si="2093"/>
        <v>0</v>
      </c>
      <c r="Q1745" s="49">
        <f t="shared" si="2094"/>
        <v>0</v>
      </c>
    </row>
    <row r="1746" spans="4:17" s="16" customFormat="1" ht="13.2" x14ac:dyDescent="0.25">
      <c r="D1746" s="235"/>
      <c r="E1746" s="240"/>
      <c r="F1746" s="241"/>
      <c r="G1746" s="242"/>
      <c r="H1746" s="239">
        <f t="shared" si="2085"/>
        <v>0</v>
      </c>
      <c r="I1746" s="131">
        <f t="shared" si="2086"/>
        <v>0</v>
      </c>
      <c r="J1746" s="31">
        <f t="shared" si="2087"/>
        <v>0</v>
      </c>
      <c r="K1746" s="31">
        <f t="shared" si="2088"/>
        <v>0</v>
      </c>
      <c r="L1746" s="31">
        <f t="shared" si="2089"/>
        <v>0</v>
      </c>
      <c r="M1746" s="31">
        <f t="shared" si="2090"/>
        <v>0</v>
      </c>
      <c r="N1746" s="31">
        <f t="shared" si="2091"/>
        <v>0</v>
      </c>
      <c r="O1746" s="31">
        <f t="shared" si="2092"/>
        <v>0</v>
      </c>
      <c r="P1746" s="31">
        <f t="shared" si="2093"/>
        <v>0</v>
      </c>
      <c r="Q1746" s="49">
        <f t="shared" si="2094"/>
        <v>0</v>
      </c>
    </row>
    <row r="1747" spans="4:17" s="16" customFormat="1" ht="13.2" x14ac:dyDescent="0.25">
      <c r="D1747" s="235"/>
      <c r="E1747" s="240"/>
      <c r="F1747" s="241"/>
      <c r="G1747" s="242"/>
      <c r="H1747" s="239">
        <f t="shared" si="2085"/>
        <v>0</v>
      </c>
      <c r="I1747" s="131">
        <f t="shared" si="2086"/>
        <v>0</v>
      </c>
      <c r="J1747" s="31">
        <f t="shared" si="2087"/>
        <v>0</v>
      </c>
      <c r="K1747" s="31">
        <f t="shared" si="2088"/>
        <v>0</v>
      </c>
      <c r="L1747" s="31">
        <f t="shared" si="2089"/>
        <v>0</v>
      </c>
      <c r="M1747" s="31">
        <f t="shared" si="2090"/>
        <v>0</v>
      </c>
      <c r="N1747" s="31">
        <f t="shared" si="2091"/>
        <v>0</v>
      </c>
      <c r="O1747" s="31">
        <f t="shared" si="2092"/>
        <v>0</v>
      </c>
      <c r="P1747" s="31">
        <f t="shared" si="2093"/>
        <v>0</v>
      </c>
      <c r="Q1747" s="49">
        <f t="shared" si="2094"/>
        <v>0</v>
      </c>
    </row>
    <row r="1748" spans="4:17" s="16" customFormat="1" ht="13.8" thickBot="1" x14ac:dyDescent="0.3">
      <c r="D1748" s="307"/>
      <c r="E1748" s="26"/>
      <c r="F1748" s="206"/>
      <c r="G1748" s="207"/>
      <c r="H1748" s="207"/>
      <c r="I1748" s="51"/>
      <c r="J1748" s="308"/>
      <c r="K1748" s="308"/>
      <c r="L1748" s="308"/>
      <c r="M1748" s="308"/>
      <c r="N1748" s="308"/>
      <c r="O1748" s="308"/>
      <c r="P1748" s="308"/>
      <c r="Q1748" s="309"/>
    </row>
    <row r="1749" spans="4:17" s="16" customFormat="1" ht="13.2" x14ac:dyDescent="0.25">
      <c r="D1749" s="796" t="s">
        <v>1680</v>
      </c>
      <c r="E1749" s="797"/>
      <c r="F1749" s="797"/>
      <c r="G1749" s="797"/>
      <c r="H1749" s="797"/>
      <c r="I1749" s="47">
        <f>SUM(I1750:I1759)</f>
        <v>0</v>
      </c>
      <c r="J1749" s="47">
        <f t="shared" ref="J1749:Q1749" si="2095">SUM(J1750:J1759)</f>
        <v>0</v>
      </c>
      <c r="K1749" s="47">
        <f t="shared" si="2095"/>
        <v>0</v>
      </c>
      <c r="L1749" s="47">
        <f t="shared" si="2095"/>
        <v>0</v>
      </c>
      <c r="M1749" s="47">
        <f t="shared" si="2095"/>
        <v>0</v>
      </c>
      <c r="N1749" s="47">
        <f t="shared" si="2095"/>
        <v>0</v>
      </c>
      <c r="O1749" s="47">
        <f t="shared" si="2095"/>
        <v>0</v>
      </c>
      <c r="P1749" s="47">
        <f t="shared" si="2095"/>
        <v>0</v>
      </c>
      <c r="Q1749" s="47">
        <f t="shared" si="2095"/>
        <v>0</v>
      </c>
    </row>
    <row r="1750" spans="4:17" s="16" customFormat="1" ht="13.2" x14ac:dyDescent="0.25">
      <c r="D1750" s="235"/>
      <c r="E1750" s="237"/>
      <c r="F1750" s="238"/>
      <c r="G1750" s="239"/>
      <c r="H1750" s="239">
        <f t="shared" ref="H1750:H1759" si="2096">E1750*G1750</f>
        <v>0</v>
      </c>
      <c r="I1750" s="131">
        <f t="shared" ref="I1750:I1759" si="2097">IF($F1750=4.2,H1750*$B$23,0)</f>
        <v>0</v>
      </c>
      <c r="J1750" s="31">
        <f t="shared" ref="J1750:J1759" si="2098">IF($F1750=5,$H1750*$B$24,0)</f>
        <v>0</v>
      </c>
      <c r="K1750" s="31">
        <f t="shared" ref="K1750:K1759" si="2099">IF($F1750=6.3,$H1750*$B$25,0)</f>
        <v>0</v>
      </c>
      <c r="L1750" s="31">
        <f t="shared" ref="L1750:L1759" si="2100">IF($F1750=8,$H1750*$B$26,0)</f>
        <v>0</v>
      </c>
      <c r="M1750" s="31">
        <f t="shared" ref="M1750:M1759" si="2101">IF($F1750=10,$H1750*$B$27,0)</f>
        <v>0</v>
      </c>
      <c r="N1750" s="31">
        <f t="shared" ref="N1750:N1759" si="2102">IF($F1750=12.5,$H1750*$B$28,0)</f>
        <v>0</v>
      </c>
      <c r="O1750" s="31">
        <f t="shared" ref="O1750:O1759" si="2103">IF($F1750=16,$H1750*$B$29,0)</f>
        <v>0</v>
      </c>
      <c r="P1750" s="31">
        <f t="shared" ref="P1750:P1759" si="2104">IF($F1750=20,$H1750*$B$30,0)</f>
        <v>0</v>
      </c>
      <c r="Q1750" s="49">
        <f t="shared" ref="Q1750:Q1759" si="2105">IF($F1750=25,$H1750*$B$31,0)</f>
        <v>0</v>
      </c>
    </row>
    <row r="1751" spans="4:17" s="16" customFormat="1" ht="13.2" x14ac:dyDescent="0.25">
      <c r="D1751" s="235"/>
      <c r="E1751" s="240"/>
      <c r="F1751" s="241"/>
      <c r="G1751" s="242"/>
      <c r="H1751" s="239">
        <f t="shared" si="2096"/>
        <v>0</v>
      </c>
      <c r="I1751" s="131">
        <f t="shared" si="2097"/>
        <v>0</v>
      </c>
      <c r="J1751" s="31">
        <f t="shared" si="2098"/>
        <v>0</v>
      </c>
      <c r="K1751" s="31">
        <f t="shared" si="2099"/>
        <v>0</v>
      </c>
      <c r="L1751" s="31">
        <f t="shared" si="2100"/>
        <v>0</v>
      </c>
      <c r="M1751" s="31">
        <f t="shared" si="2101"/>
        <v>0</v>
      </c>
      <c r="N1751" s="31">
        <f t="shared" si="2102"/>
        <v>0</v>
      </c>
      <c r="O1751" s="31">
        <f t="shared" si="2103"/>
        <v>0</v>
      </c>
      <c r="P1751" s="31">
        <f t="shared" si="2104"/>
        <v>0</v>
      </c>
      <c r="Q1751" s="49">
        <f t="shared" si="2105"/>
        <v>0</v>
      </c>
    </row>
    <row r="1752" spans="4:17" s="16" customFormat="1" ht="13.2" x14ac:dyDescent="0.25">
      <c r="D1752" s="235"/>
      <c r="E1752" s="240"/>
      <c r="F1752" s="241"/>
      <c r="G1752" s="242"/>
      <c r="H1752" s="239">
        <f t="shared" si="2096"/>
        <v>0</v>
      </c>
      <c r="I1752" s="131">
        <f t="shared" si="2097"/>
        <v>0</v>
      </c>
      <c r="J1752" s="31">
        <f t="shared" si="2098"/>
        <v>0</v>
      </c>
      <c r="K1752" s="31">
        <f t="shared" si="2099"/>
        <v>0</v>
      </c>
      <c r="L1752" s="31">
        <f t="shared" si="2100"/>
        <v>0</v>
      </c>
      <c r="M1752" s="31">
        <f t="shared" si="2101"/>
        <v>0</v>
      </c>
      <c r="N1752" s="31">
        <f t="shared" si="2102"/>
        <v>0</v>
      </c>
      <c r="O1752" s="31">
        <f t="shared" si="2103"/>
        <v>0</v>
      </c>
      <c r="P1752" s="31">
        <f t="shared" si="2104"/>
        <v>0</v>
      </c>
      <c r="Q1752" s="49">
        <f t="shared" si="2105"/>
        <v>0</v>
      </c>
    </row>
    <row r="1753" spans="4:17" s="16" customFormat="1" ht="13.2" x14ac:dyDescent="0.25">
      <c r="D1753" s="235"/>
      <c r="E1753" s="240"/>
      <c r="F1753" s="241"/>
      <c r="G1753" s="242"/>
      <c r="H1753" s="239">
        <f t="shared" si="2096"/>
        <v>0</v>
      </c>
      <c r="I1753" s="131">
        <f t="shared" si="2097"/>
        <v>0</v>
      </c>
      <c r="J1753" s="31">
        <f t="shared" si="2098"/>
        <v>0</v>
      </c>
      <c r="K1753" s="31">
        <f t="shared" si="2099"/>
        <v>0</v>
      </c>
      <c r="L1753" s="31">
        <f t="shared" si="2100"/>
        <v>0</v>
      </c>
      <c r="M1753" s="31">
        <f t="shared" si="2101"/>
        <v>0</v>
      </c>
      <c r="N1753" s="31">
        <f t="shared" si="2102"/>
        <v>0</v>
      </c>
      <c r="O1753" s="31">
        <f t="shared" si="2103"/>
        <v>0</v>
      </c>
      <c r="P1753" s="31">
        <f t="shared" si="2104"/>
        <v>0</v>
      </c>
      <c r="Q1753" s="49">
        <f t="shared" si="2105"/>
        <v>0</v>
      </c>
    </row>
    <row r="1754" spans="4:17" s="16" customFormat="1" ht="13.2" x14ac:dyDescent="0.25">
      <c r="D1754" s="235"/>
      <c r="E1754" s="240"/>
      <c r="F1754" s="241"/>
      <c r="G1754" s="242"/>
      <c r="H1754" s="239">
        <f t="shared" si="2096"/>
        <v>0</v>
      </c>
      <c r="I1754" s="131">
        <f t="shared" si="2097"/>
        <v>0</v>
      </c>
      <c r="J1754" s="31">
        <f t="shared" si="2098"/>
        <v>0</v>
      </c>
      <c r="K1754" s="31">
        <f t="shared" si="2099"/>
        <v>0</v>
      </c>
      <c r="L1754" s="31">
        <f t="shared" si="2100"/>
        <v>0</v>
      </c>
      <c r="M1754" s="31">
        <f t="shared" si="2101"/>
        <v>0</v>
      </c>
      <c r="N1754" s="31">
        <f t="shared" si="2102"/>
        <v>0</v>
      </c>
      <c r="O1754" s="31">
        <f t="shared" si="2103"/>
        <v>0</v>
      </c>
      <c r="P1754" s="31">
        <f t="shared" si="2104"/>
        <v>0</v>
      </c>
      <c r="Q1754" s="49">
        <f t="shared" si="2105"/>
        <v>0</v>
      </c>
    </row>
    <row r="1755" spans="4:17" s="16" customFormat="1" ht="13.2" x14ac:dyDescent="0.25">
      <c r="D1755" s="235"/>
      <c r="E1755" s="240"/>
      <c r="F1755" s="241"/>
      <c r="G1755" s="242"/>
      <c r="H1755" s="239">
        <f t="shared" si="2096"/>
        <v>0</v>
      </c>
      <c r="I1755" s="131">
        <f t="shared" si="2097"/>
        <v>0</v>
      </c>
      <c r="J1755" s="31">
        <f t="shared" si="2098"/>
        <v>0</v>
      </c>
      <c r="K1755" s="31">
        <f t="shared" si="2099"/>
        <v>0</v>
      </c>
      <c r="L1755" s="31">
        <f t="shared" si="2100"/>
        <v>0</v>
      </c>
      <c r="M1755" s="31">
        <f t="shared" si="2101"/>
        <v>0</v>
      </c>
      <c r="N1755" s="31">
        <f t="shared" si="2102"/>
        <v>0</v>
      </c>
      <c r="O1755" s="31">
        <f t="shared" si="2103"/>
        <v>0</v>
      </c>
      <c r="P1755" s="31">
        <f t="shared" si="2104"/>
        <v>0</v>
      </c>
      <c r="Q1755" s="49">
        <f t="shared" si="2105"/>
        <v>0</v>
      </c>
    </row>
    <row r="1756" spans="4:17" s="16" customFormat="1" ht="13.2" x14ac:dyDescent="0.25">
      <c r="D1756" s="235"/>
      <c r="E1756" s="240"/>
      <c r="F1756" s="241"/>
      <c r="G1756" s="242"/>
      <c r="H1756" s="239">
        <f t="shared" si="2096"/>
        <v>0</v>
      </c>
      <c r="I1756" s="131">
        <f t="shared" si="2097"/>
        <v>0</v>
      </c>
      <c r="J1756" s="31">
        <f t="shared" si="2098"/>
        <v>0</v>
      </c>
      <c r="K1756" s="31">
        <f t="shared" si="2099"/>
        <v>0</v>
      </c>
      <c r="L1756" s="31">
        <f t="shared" si="2100"/>
        <v>0</v>
      </c>
      <c r="M1756" s="31">
        <f t="shared" si="2101"/>
        <v>0</v>
      </c>
      <c r="N1756" s="31">
        <f t="shared" si="2102"/>
        <v>0</v>
      </c>
      <c r="O1756" s="31">
        <f t="shared" si="2103"/>
        <v>0</v>
      </c>
      <c r="P1756" s="31">
        <f t="shared" si="2104"/>
        <v>0</v>
      </c>
      <c r="Q1756" s="49">
        <f t="shared" si="2105"/>
        <v>0</v>
      </c>
    </row>
    <row r="1757" spans="4:17" s="16" customFormat="1" ht="13.2" x14ac:dyDescent="0.25">
      <c r="D1757" s="235"/>
      <c r="E1757" s="240"/>
      <c r="F1757" s="241"/>
      <c r="G1757" s="242"/>
      <c r="H1757" s="239">
        <f t="shared" si="2096"/>
        <v>0</v>
      </c>
      <c r="I1757" s="131">
        <f t="shared" si="2097"/>
        <v>0</v>
      </c>
      <c r="J1757" s="31">
        <f t="shared" si="2098"/>
        <v>0</v>
      </c>
      <c r="K1757" s="31">
        <f t="shared" si="2099"/>
        <v>0</v>
      </c>
      <c r="L1757" s="31">
        <f t="shared" si="2100"/>
        <v>0</v>
      </c>
      <c r="M1757" s="31">
        <f t="shared" si="2101"/>
        <v>0</v>
      </c>
      <c r="N1757" s="31">
        <f t="shared" si="2102"/>
        <v>0</v>
      </c>
      <c r="O1757" s="31">
        <f t="shared" si="2103"/>
        <v>0</v>
      </c>
      <c r="P1757" s="31">
        <f t="shared" si="2104"/>
        <v>0</v>
      </c>
      <c r="Q1757" s="49">
        <f t="shared" si="2105"/>
        <v>0</v>
      </c>
    </row>
    <row r="1758" spans="4:17" s="16" customFormat="1" ht="13.2" x14ac:dyDescent="0.25">
      <c r="D1758" s="235"/>
      <c r="E1758" s="240"/>
      <c r="F1758" s="241"/>
      <c r="G1758" s="242"/>
      <c r="H1758" s="239">
        <f t="shared" si="2096"/>
        <v>0</v>
      </c>
      <c r="I1758" s="131">
        <f t="shared" si="2097"/>
        <v>0</v>
      </c>
      <c r="J1758" s="31">
        <f t="shared" si="2098"/>
        <v>0</v>
      </c>
      <c r="K1758" s="31">
        <f t="shared" si="2099"/>
        <v>0</v>
      </c>
      <c r="L1758" s="31">
        <f t="shared" si="2100"/>
        <v>0</v>
      </c>
      <c r="M1758" s="31">
        <f t="shared" si="2101"/>
        <v>0</v>
      </c>
      <c r="N1758" s="31">
        <f t="shared" si="2102"/>
        <v>0</v>
      </c>
      <c r="O1758" s="31">
        <f t="shared" si="2103"/>
        <v>0</v>
      </c>
      <c r="P1758" s="31">
        <f t="shared" si="2104"/>
        <v>0</v>
      </c>
      <c r="Q1758" s="49">
        <f t="shared" si="2105"/>
        <v>0</v>
      </c>
    </row>
    <row r="1759" spans="4:17" s="16" customFormat="1" ht="13.2" x14ac:dyDescent="0.25">
      <c r="D1759" s="235"/>
      <c r="E1759" s="240"/>
      <c r="F1759" s="241"/>
      <c r="G1759" s="242"/>
      <c r="H1759" s="239">
        <f t="shared" si="2096"/>
        <v>0</v>
      </c>
      <c r="I1759" s="131">
        <f t="shared" si="2097"/>
        <v>0</v>
      </c>
      <c r="J1759" s="31">
        <f t="shared" si="2098"/>
        <v>0</v>
      </c>
      <c r="K1759" s="31">
        <f t="shared" si="2099"/>
        <v>0</v>
      </c>
      <c r="L1759" s="31">
        <f t="shared" si="2100"/>
        <v>0</v>
      </c>
      <c r="M1759" s="31">
        <f t="shared" si="2101"/>
        <v>0</v>
      </c>
      <c r="N1759" s="31">
        <f t="shared" si="2102"/>
        <v>0</v>
      </c>
      <c r="O1759" s="31">
        <f t="shared" si="2103"/>
        <v>0</v>
      </c>
      <c r="P1759" s="31">
        <f t="shared" si="2104"/>
        <v>0</v>
      </c>
      <c r="Q1759" s="49">
        <f t="shared" si="2105"/>
        <v>0</v>
      </c>
    </row>
    <row r="1760" spans="4:17" s="16" customFormat="1" ht="13.8" thickBot="1" x14ac:dyDescent="0.3">
      <c r="D1760" s="307"/>
      <c r="E1760" s="26"/>
      <c r="F1760" s="206"/>
      <c r="G1760" s="207"/>
      <c r="H1760" s="207"/>
      <c r="I1760" s="51"/>
      <c r="J1760" s="308"/>
      <c r="K1760" s="308"/>
      <c r="L1760" s="308"/>
      <c r="M1760" s="308"/>
      <c r="N1760" s="308"/>
      <c r="O1760" s="308"/>
      <c r="P1760" s="308"/>
      <c r="Q1760" s="309"/>
    </row>
    <row r="1761" spans="4:17" s="16" customFormat="1" ht="13.2" x14ac:dyDescent="0.25">
      <c r="D1761" s="796" t="s">
        <v>1680</v>
      </c>
      <c r="E1761" s="797"/>
      <c r="F1761" s="797"/>
      <c r="G1761" s="797"/>
      <c r="H1761" s="797"/>
      <c r="I1761" s="47">
        <f>SUM(I1762:I1771)</f>
        <v>0</v>
      </c>
      <c r="J1761" s="47">
        <f t="shared" ref="J1761:Q1761" si="2106">SUM(J1762:J1771)</f>
        <v>0</v>
      </c>
      <c r="K1761" s="47">
        <f t="shared" si="2106"/>
        <v>0</v>
      </c>
      <c r="L1761" s="47">
        <f t="shared" si="2106"/>
        <v>0</v>
      </c>
      <c r="M1761" s="47">
        <f t="shared" si="2106"/>
        <v>0</v>
      </c>
      <c r="N1761" s="47">
        <f t="shared" si="2106"/>
        <v>0</v>
      </c>
      <c r="O1761" s="47">
        <f t="shared" si="2106"/>
        <v>0</v>
      </c>
      <c r="P1761" s="47">
        <f t="shared" si="2106"/>
        <v>0</v>
      </c>
      <c r="Q1761" s="47">
        <f t="shared" si="2106"/>
        <v>0</v>
      </c>
    </row>
    <row r="1762" spans="4:17" s="16" customFormat="1" ht="13.2" x14ac:dyDescent="0.25">
      <c r="D1762" s="235"/>
      <c r="E1762" s="237"/>
      <c r="F1762" s="238"/>
      <c r="G1762" s="239"/>
      <c r="H1762" s="239">
        <f t="shared" ref="H1762:H1771" si="2107">E1762*G1762</f>
        <v>0</v>
      </c>
      <c r="I1762" s="131">
        <f t="shared" ref="I1762:I1771" si="2108">IF($F1762=4.2,H1762*$B$23,0)</f>
        <v>0</v>
      </c>
      <c r="J1762" s="31">
        <f t="shared" ref="J1762:J1771" si="2109">IF($F1762=5,$H1762*$B$24,0)</f>
        <v>0</v>
      </c>
      <c r="K1762" s="31">
        <f t="shared" ref="K1762:K1771" si="2110">IF($F1762=6.3,$H1762*$B$25,0)</f>
        <v>0</v>
      </c>
      <c r="L1762" s="31">
        <f t="shared" ref="L1762:L1771" si="2111">IF($F1762=8,$H1762*$B$26,0)</f>
        <v>0</v>
      </c>
      <c r="M1762" s="31">
        <f t="shared" ref="M1762:M1771" si="2112">IF($F1762=10,$H1762*$B$27,0)</f>
        <v>0</v>
      </c>
      <c r="N1762" s="31">
        <f t="shared" ref="N1762:N1771" si="2113">IF($F1762=12.5,$H1762*$B$28,0)</f>
        <v>0</v>
      </c>
      <c r="O1762" s="31">
        <f t="shared" ref="O1762:O1771" si="2114">IF($F1762=16,$H1762*$B$29,0)</f>
        <v>0</v>
      </c>
      <c r="P1762" s="31">
        <f t="shared" ref="P1762:P1771" si="2115">IF($F1762=20,$H1762*$B$30,0)</f>
        <v>0</v>
      </c>
      <c r="Q1762" s="49">
        <f t="shared" ref="Q1762:Q1771" si="2116">IF($F1762=25,$H1762*$B$31,0)</f>
        <v>0</v>
      </c>
    </row>
    <row r="1763" spans="4:17" s="16" customFormat="1" ht="13.2" x14ac:dyDescent="0.25">
      <c r="D1763" s="235"/>
      <c r="E1763" s="240"/>
      <c r="F1763" s="241"/>
      <c r="G1763" s="242"/>
      <c r="H1763" s="239">
        <f t="shared" si="2107"/>
        <v>0</v>
      </c>
      <c r="I1763" s="131">
        <f t="shared" si="2108"/>
        <v>0</v>
      </c>
      <c r="J1763" s="31">
        <f t="shared" si="2109"/>
        <v>0</v>
      </c>
      <c r="K1763" s="31">
        <f t="shared" si="2110"/>
        <v>0</v>
      </c>
      <c r="L1763" s="31">
        <f t="shared" si="2111"/>
        <v>0</v>
      </c>
      <c r="M1763" s="31">
        <f t="shared" si="2112"/>
        <v>0</v>
      </c>
      <c r="N1763" s="31">
        <f t="shared" si="2113"/>
        <v>0</v>
      </c>
      <c r="O1763" s="31">
        <f t="shared" si="2114"/>
        <v>0</v>
      </c>
      <c r="P1763" s="31">
        <f t="shared" si="2115"/>
        <v>0</v>
      </c>
      <c r="Q1763" s="49">
        <f t="shared" si="2116"/>
        <v>0</v>
      </c>
    </row>
    <row r="1764" spans="4:17" s="16" customFormat="1" ht="13.2" x14ac:dyDescent="0.25">
      <c r="D1764" s="235"/>
      <c r="E1764" s="240"/>
      <c r="F1764" s="241"/>
      <c r="G1764" s="242"/>
      <c r="H1764" s="239">
        <f t="shared" si="2107"/>
        <v>0</v>
      </c>
      <c r="I1764" s="131">
        <f t="shared" si="2108"/>
        <v>0</v>
      </c>
      <c r="J1764" s="31">
        <f t="shared" si="2109"/>
        <v>0</v>
      </c>
      <c r="K1764" s="31">
        <f t="shared" si="2110"/>
        <v>0</v>
      </c>
      <c r="L1764" s="31">
        <f t="shared" si="2111"/>
        <v>0</v>
      </c>
      <c r="M1764" s="31">
        <f t="shared" si="2112"/>
        <v>0</v>
      </c>
      <c r="N1764" s="31">
        <f t="shared" si="2113"/>
        <v>0</v>
      </c>
      <c r="O1764" s="31">
        <f t="shared" si="2114"/>
        <v>0</v>
      </c>
      <c r="P1764" s="31">
        <f t="shared" si="2115"/>
        <v>0</v>
      </c>
      <c r="Q1764" s="49">
        <f t="shared" si="2116"/>
        <v>0</v>
      </c>
    </row>
    <row r="1765" spans="4:17" s="16" customFormat="1" ht="13.2" x14ac:dyDescent="0.25">
      <c r="D1765" s="235"/>
      <c r="E1765" s="240"/>
      <c r="F1765" s="241"/>
      <c r="G1765" s="242"/>
      <c r="H1765" s="239">
        <f t="shared" si="2107"/>
        <v>0</v>
      </c>
      <c r="I1765" s="131">
        <f t="shared" si="2108"/>
        <v>0</v>
      </c>
      <c r="J1765" s="31">
        <f t="shared" si="2109"/>
        <v>0</v>
      </c>
      <c r="K1765" s="31">
        <f t="shared" si="2110"/>
        <v>0</v>
      </c>
      <c r="L1765" s="31">
        <f t="shared" si="2111"/>
        <v>0</v>
      </c>
      <c r="M1765" s="31">
        <f t="shared" si="2112"/>
        <v>0</v>
      </c>
      <c r="N1765" s="31">
        <f t="shared" si="2113"/>
        <v>0</v>
      </c>
      <c r="O1765" s="31">
        <f t="shared" si="2114"/>
        <v>0</v>
      </c>
      <c r="P1765" s="31">
        <f t="shared" si="2115"/>
        <v>0</v>
      </c>
      <c r="Q1765" s="49">
        <f t="shared" si="2116"/>
        <v>0</v>
      </c>
    </row>
    <row r="1766" spans="4:17" s="16" customFormat="1" ht="13.2" x14ac:dyDescent="0.25">
      <c r="D1766" s="235"/>
      <c r="E1766" s="240"/>
      <c r="F1766" s="241"/>
      <c r="G1766" s="242"/>
      <c r="H1766" s="239">
        <f t="shared" si="2107"/>
        <v>0</v>
      </c>
      <c r="I1766" s="131">
        <f t="shared" si="2108"/>
        <v>0</v>
      </c>
      <c r="J1766" s="31">
        <f t="shared" si="2109"/>
        <v>0</v>
      </c>
      <c r="K1766" s="31">
        <f t="shared" si="2110"/>
        <v>0</v>
      </c>
      <c r="L1766" s="31">
        <f t="shared" si="2111"/>
        <v>0</v>
      </c>
      <c r="M1766" s="31">
        <f t="shared" si="2112"/>
        <v>0</v>
      </c>
      <c r="N1766" s="31">
        <f t="shared" si="2113"/>
        <v>0</v>
      </c>
      <c r="O1766" s="31">
        <f t="shared" si="2114"/>
        <v>0</v>
      </c>
      <c r="P1766" s="31">
        <f t="shared" si="2115"/>
        <v>0</v>
      </c>
      <c r="Q1766" s="49">
        <f t="shared" si="2116"/>
        <v>0</v>
      </c>
    </row>
    <row r="1767" spans="4:17" s="16" customFormat="1" ht="13.2" x14ac:dyDescent="0.25">
      <c r="D1767" s="235"/>
      <c r="E1767" s="240"/>
      <c r="F1767" s="241"/>
      <c r="G1767" s="242"/>
      <c r="H1767" s="239">
        <f t="shared" si="2107"/>
        <v>0</v>
      </c>
      <c r="I1767" s="131">
        <f t="shared" si="2108"/>
        <v>0</v>
      </c>
      <c r="J1767" s="31">
        <f t="shared" si="2109"/>
        <v>0</v>
      </c>
      <c r="K1767" s="31">
        <f t="shared" si="2110"/>
        <v>0</v>
      </c>
      <c r="L1767" s="31">
        <f t="shared" si="2111"/>
        <v>0</v>
      </c>
      <c r="M1767" s="31">
        <f t="shared" si="2112"/>
        <v>0</v>
      </c>
      <c r="N1767" s="31">
        <f t="shared" si="2113"/>
        <v>0</v>
      </c>
      <c r="O1767" s="31">
        <f t="shared" si="2114"/>
        <v>0</v>
      </c>
      <c r="P1767" s="31">
        <f t="shared" si="2115"/>
        <v>0</v>
      </c>
      <c r="Q1767" s="49">
        <f t="shared" si="2116"/>
        <v>0</v>
      </c>
    </row>
    <row r="1768" spans="4:17" s="16" customFormat="1" ht="13.2" x14ac:dyDescent="0.25">
      <c r="D1768" s="235"/>
      <c r="E1768" s="240"/>
      <c r="F1768" s="241"/>
      <c r="G1768" s="242"/>
      <c r="H1768" s="239">
        <f t="shared" si="2107"/>
        <v>0</v>
      </c>
      <c r="I1768" s="131">
        <f t="shared" si="2108"/>
        <v>0</v>
      </c>
      <c r="J1768" s="31">
        <f t="shared" si="2109"/>
        <v>0</v>
      </c>
      <c r="K1768" s="31">
        <f t="shared" si="2110"/>
        <v>0</v>
      </c>
      <c r="L1768" s="31">
        <f t="shared" si="2111"/>
        <v>0</v>
      </c>
      <c r="M1768" s="31">
        <f t="shared" si="2112"/>
        <v>0</v>
      </c>
      <c r="N1768" s="31">
        <f t="shared" si="2113"/>
        <v>0</v>
      </c>
      <c r="O1768" s="31">
        <f t="shared" si="2114"/>
        <v>0</v>
      </c>
      <c r="P1768" s="31">
        <f t="shared" si="2115"/>
        <v>0</v>
      </c>
      <c r="Q1768" s="49">
        <f t="shared" si="2116"/>
        <v>0</v>
      </c>
    </row>
    <row r="1769" spans="4:17" s="16" customFormat="1" ht="13.2" x14ac:dyDescent="0.25">
      <c r="D1769" s="235"/>
      <c r="E1769" s="240"/>
      <c r="F1769" s="241"/>
      <c r="G1769" s="242"/>
      <c r="H1769" s="239">
        <f t="shared" si="2107"/>
        <v>0</v>
      </c>
      <c r="I1769" s="131">
        <f t="shared" si="2108"/>
        <v>0</v>
      </c>
      <c r="J1769" s="31">
        <f t="shared" si="2109"/>
        <v>0</v>
      </c>
      <c r="K1769" s="31">
        <f t="shared" si="2110"/>
        <v>0</v>
      </c>
      <c r="L1769" s="31">
        <f t="shared" si="2111"/>
        <v>0</v>
      </c>
      <c r="M1769" s="31">
        <f t="shared" si="2112"/>
        <v>0</v>
      </c>
      <c r="N1769" s="31">
        <f t="shared" si="2113"/>
        <v>0</v>
      </c>
      <c r="O1769" s="31">
        <f t="shared" si="2114"/>
        <v>0</v>
      </c>
      <c r="P1769" s="31">
        <f t="shared" si="2115"/>
        <v>0</v>
      </c>
      <c r="Q1769" s="49">
        <f t="shared" si="2116"/>
        <v>0</v>
      </c>
    </row>
    <row r="1770" spans="4:17" s="16" customFormat="1" ht="13.2" x14ac:dyDescent="0.25">
      <c r="D1770" s="235"/>
      <c r="E1770" s="240"/>
      <c r="F1770" s="241"/>
      <c r="G1770" s="242"/>
      <c r="H1770" s="239">
        <f t="shared" si="2107"/>
        <v>0</v>
      </c>
      <c r="I1770" s="131">
        <f t="shared" si="2108"/>
        <v>0</v>
      </c>
      <c r="J1770" s="31">
        <f t="shared" si="2109"/>
        <v>0</v>
      </c>
      <c r="K1770" s="31">
        <f t="shared" si="2110"/>
        <v>0</v>
      </c>
      <c r="L1770" s="31">
        <f t="shared" si="2111"/>
        <v>0</v>
      </c>
      <c r="M1770" s="31">
        <f t="shared" si="2112"/>
        <v>0</v>
      </c>
      <c r="N1770" s="31">
        <f t="shared" si="2113"/>
        <v>0</v>
      </c>
      <c r="O1770" s="31">
        <f t="shared" si="2114"/>
        <v>0</v>
      </c>
      <c r="P1770" s="31">
        <f t="shared" si="2115"/>
        <v>0</v>
      </c>
      <c r="Q1770" s="49">
        <f t="shared" si="2116"/>
        <v>0</v>
      </c>
    </row>
    <row r="1771" spans="4:17" s="16" customFormat="1" ht="13.2" x14ac:dyDescent="0.25">
      <c r="D1771" s="235"/>
      <c r="E1771" s="240"/>
      <c r="F1771" s="241"/>
      <c r="G1771" s="242"/>
      <c r="H1771" s="239">
        <f t="shared" si="2107"/>
        <v>0</v>
      </c>
      <c r="I1771" s="131">
        <f t="shared" si="2108"/>
        <v>0</v>
      </c>
      <c r="J1771" s="31">
        <f t="shared" si="2109"/>
        <v>0</v>
      </c>
      <c r="K1771" s="31">
        <f t="shared" si="2110"/>
        <v>0</v>
      </c>
      <c r="L1771" s="31">
        <f t="shared" si="2111"/>
        <v>0</v>
      </c>
      <c r="M1771" s="31">
        <f t="shared" si="2112"/>
        <v>0</v>
      </c>
      <c r="N1771" s="31">
        <f t="shared" si="2113"/>
        <v>0</v>
      </c>
      <c r="O1771" s="31">
        <f t="shared" si="2114"/>
        <v>0</v>
      </c>
      <c r="P1771" s="31">
        <f t="shared" si="2115"/>
        <v>0</v>
      </c>
      <c r="Q1771" s="49">
        <f t="shared" si="2116"/>
        <v>0</v>
      </c>
    </row>
    <row r="1772" spans="4:17" s="16" customFormat="1" ht="13.8" thickBot="1" x14ac:dyDescent="0.3">
      <c r="D1772" s="307"/>
      <c r="E1772" s="26"/>
      <c r="F1772" s="206"/>
      <c r="G1772" s="207"/>
      <c r="H1772" s="207"/>
      <c r="I1772" s="51"/>
      <c r="J1772" s="308"/>
      <c r="K1772" s="308"/>
      <c r="L1772" s="308"/>
      <c r="M1772" s="308"/>
      <c r="N1772" s="308"/>
      <c r="O1772" s="308"/>
      <c r="P1772" s="308"/>
      <c r="Q1772" s="309"/>
    </row>
    <row r="1773" spans="4:17" s="16" customFormat="1" ht="13.2" x14ac:dyDescent="0.25">
      <c r="D1773" s="796" t="s">
        <v>1680</v>
      </c>
      <c r="E1773" s="797"/>
      <c r="F1773" s="797"/>
      <c r="G1773" s="797"/>
      <c r="H1773" s="797"/>
      <c r="I1773" s="47">
        <f>SUM(I1774:I1783)</f>
        <v>0</v>
      </c>
      <c r="J1773" s="47">
        <f t="shared" ref="J1773:Q1773" si="2117">SUM(J1774:J1783)</f>
        <v>0</v>
      </c>
      <c r="K1773" s="47">
        <f t="shared" si="2117"/>
        <v>0</v>
      </c>
      <c r="L1773" s="47">
        <f t="shared" si="2117"/>
        <v>0</v>
      </c>
      <c r="M1773" s="47">
        <f t="shared" si="2117"/>
        <v>0</v>
      </c>
      <c r="N1773" s="47">
        <f t="shared" si="2117"/>
        <v>0</v>
      </c>
      <c r="O1773" s="47">
        <f t="shared" si="2117"/>
        <v>0</v>
      </c>
      <c r="P1773" s="47">
        <f t="shared" si="2117"/>
        <v>0</v>
      </c>
      <c r="Q1773" s="47">
        <f t="shared" si="2117"/>
        <v>0</v>
      </c>
    </row>
    <row r="1774" spans="4:17" s="16" customFormat="1" ht="13.2" x14ac:dyDescent="0.25">
      <c r="D1774" s="235"/>
      <c r="E1774" s="237"/>
      <c r="F1774" s="238"/>
      <c r="G1774" s="239"/>
      <c r="H1774" s="239">
        <f t="shared" ref="H1774:H1783" si="2118">E1774*G1774</f>
        <v>0</v>
      </c>
      <c r="I1774" s="131">
        <f t="shared" ref="I1774:I1783" si="2119">IF($F1774=4.2,H1774*$B$23,0)</f>
        <v>0</v>
      </c>
      <c r="J1774" s="31">
        <f t="shared" ref="J1774:J1783" si="2120">IF($F1774=5,$H1774*$B$24,0)</f>
        <v>0</v>
      </c>
      <c r="K1774" s="31">
        <f t="shared" ref="K1774:K1783" si="2121">IF($F1774=6.3,$H1774*$B$25,0)</f>
        <v>0</v>
      </c>
      <c r="L1774" s="31">
        <f t="shared" ref="L1774:L1783" si="2122">IF($F1774=8,$H1774*$B$26,0)</f>
        <v>0</v>
      </c>
      <c r="M1774" s="31">
        <f t="shared" ref="M1774:M1783" si="2123">IF($F1774=10,$H1774*$B$27,0)</f>
        <v>0</v>
      </c>
      <c r="N1774" s="31">
        <f t="shared" ref="N1774:N1783" si="2124">IF($F1774=12.5,$H1774*$B$28,0)</f>
        <v>0</v>
      </c>
      <c r="O1774" s="31">
        <f t="shared" ref="O1774:O1783" si="2125">IF($F1774=16,$H1774*$B$29,0)</f>
        <v>0</v>
      </c>
      <c r="P1774" s="31">
        <f t="shared" ref="P1774:P1783" si="2126">IF($F1774=20,$H1774*$B$30,0)</f>
        <v>0</v>
      </c>
      <c r="Q1774" s="49">
        <f t="shared" ref="Q1774:Q1783" si="2127">IF($F1774=25,$H1774*$B$31,0)</f>
        <v>0</v>
      </c>
    </row>
    <row r="1775" spans="4:17" s="16" customFormat="1" ht="13.2" x14ac:dyDescent="0.25">
      <c r="D1775" s="235"/>
      <c r="E1775" s="240"/>
      <c r="F1775" s="241"/>
      <c r="G1775" s="242"/>
      <c r="H1775" s="239">
        <f t="shared" si="2118"/>
        <v>0</v>
      </c>
      <c r="I1775" s="131">
        <f t="shared" si="2119"/>
        <v>0</v>
      </c>
      <c r="J1775" s="31">
        <f t="shared" si="2120"/>
        <v>0</v>
      </c>
      <c r="K1775" s="31">
        <f t="shared" si="2121"/>
        <v>0</v>
      </c>
      <c r="L1775" s="31">
        <f t="shared" si="2122"/>
        <v>0</v>
      </c>
      <c r="M1775" s="31">
        <f t="shared" si="2123"/>
        <v>0</v>
      </c>
      <c r="N1775" s="31">
        <f t="shared" si="2124"/>
        <v>0</v>
      </c>
      <c r="O1775" s="31">
        <f t="shared" si="2125"/>
        <v>0</v>
      </c>
      <c r="P1775" s="31">
        <f t="shared" si="2126"/>
        <v>0</v>
      </c>
      <c r="Q1775" s="49">
        <f t="shared" si="2127"/>
        <v>0</v>
      </c>
    </row>
    <row r="1776" spans="4:17" s="16" customFormat="1" ht="13.2" x14ac:dyDescent="0.25">
      <c r="D1776" s="235"/>
      <c r="E1776" s="240"/>
      <c r="F1776" s="241"/>
      <c r="G1776" s="242"/>
      <c r="H1776" s="239">
        <f t="shared" si="2118"/>
        <v>0</v>
      </c>
      <c r="I1776" s="131">
        <f t="shared" si="2119"/>
        <v>0</v>
      </c>
      <c r="J1776" s="31">
        <f t="shared" si="2120"/>
        <v>0</v>
      </c>
      <c r="K1776" s="31">
        <f t="shared" si="2121"/>
        <v>0</v>
      </c>
      <c r="L1776" s="31">
        <f t="shared" si="2122"/>
        <v>0</v>
      </c>
      <c r="M1776" s="31">
        <f t="shared" si="2123"/>
        <v>0</v>
      </c>
      <c r="N1776" s="31">
        <f t="shared" si="2124"/>
        <v>0</v>
      </c>
      <c r="O1776" s="31">
        <f t="shared" si="2125"/>
        <v>0</v>
      </c>
      <c r="P1776" s="31">
        <f t="shared" si="2126"/>
        <v>0</v>
      </c>
      <c r="Q1776" s="49">
        <f t="shared" si="2127"/>
        <v>0</v>
      </c>
    </row>
    <row r="1777" spans="4:17" s="16" customFormat="1" ht="13.2" x14ac:dyDescent="0.25">
      <c r="D1777" s="235"/>
      <c r="E1777" s="240"/>
      <c r="F1777" s="241"/>
      <c r="G1777" s="242"/>
      <c r="H1777" s="239">
        <f t="shared" si="2118"/>
        <v>0</v>
      </c>
      <c r="I1777" s="131">
        <f t="shared" si="2119"/>
        <v>0</v>
      </c>
      <c r="J1777" s="31">
        <f t="shared" si="2120"/>
        <v>0</v>
      </c>
      <c r="K1777" s="31">
        <f t="shared" si="2121"/>
        <v>0</v>
      </c>
      <c r="L1777" s="31">
        <f t="shared" si="2122"/>
        <v>0</v>
      </c>
      <c r="M1777" s="31">
        <f t="shared" si="2123"/>
        <v>0</v>
      </c>
      <c r="N1777" s="31">
        <f t="shared" si="2124"/>
        <v>0</v>
      </c>
      <c r="O1777" s="31">
        <f t="shared" si="2125"/>
        <v>0</v>
      </c>
      <c r="P1777" s="31">
        <f t="shared" si="2126"/>
        <v>0</v>
      </c>
      <c r="Q1777" s="49">
        <f t="shared" si="2127"/>
        <v>0</v>
      </c>
    </row>
    <row r="1778" spans="4:17" s="16" customFormat="1" ht="13.2" x14ac:dyDescent="0.25">
      <c r="D1778" s="235"/>
      <c r="E1778" s="240"/>
      <c r="F1778" s="241"/>
      <c r="G1778" s="242"/>
      <c r="H1778" s="239">
        <f t="shared" si="2118"/>
        <v>0</v>
      </c>
      <c r="I1778" s="131">
        <f t="shared" si="2119"/>
        <v>0</v>
      </c>
      <c r="J1778" s="31">
        <f t="shared" si="2120"/>
        <v>0</v>
      </c>
      <c r="K1778" s="31">
        <f t="shared" si="2121"/>
        <v>0</v>
      </c>
      <c r="L1778" s="31">
        <f t="shared" si="2122"/>
        <v>0</v>
      </c>
      <c r="M1778" s="31">
        <f t="shared" si="2123"/>
        <v>0</v>
      </c>
      <c r="N1778" s="31">
        <f t="shared" si="2124"/>
        <v>0</v>
      </c>
      <c r="O1778" s="31">
        <f t="shared" si="2125"/>
        <v>0</v>
      </c>
      <c r="P1778" s="31">
        <f t="shared" si="2126"/>
        <v>0</v>
      </c>
      <c r="Q1778" s="49">
        <f t="shared" si="2127"/>
        <v>0</v>
      </c>
    </row>
    <row r="1779" spans="4:17" s="16" customFormat="1" ht="13.2" x14ac:dyDescent="0.25">
      <c r="D1779" s="235"/>
      <c r="E1779" s="240"/>
      <c r="F1779" s="241"/>
      <c r="G1779" s="242"/>
      <c r="H1779" s="239">
        <f t="shared" si="2118"/>
        <v>0</v>
      </c>
      <c r="I1779" s="131">
        <f t="shared" si="2119"/>
        <v>0</v>
      </c>
      <c r="J1779" s="31">
        <f t="shared" si="2120"/>
        <v>0</v>
      </c>
      <c r="K1779" s="31">
        <f t="shared" si="2121"/>
        <v>0</v>
      </c>
      <c r="L1779" s="31">
        <f t="shared" si="2122"/>
        <v>0</v>
      </c>
      <c r="M1779" s="31">
        <f t="shared" si="2123"/>
        <v>0</v>
      </c>
      <c r="N1779" s="31">
        <f t="shared" si="2124"/>
        <v>0</v>
      </c>
      <c r="O1779" s="31">
        <f t="shared" si="2125"/>
        <v>0</v>
      </c>
      <c r="P1779" s="31">
        <f t="shared" si="2126"/>
        <v>0</v>
      </c>
      <c r="Q1779" s="49">
        <f t="shared" si="2127"/>
        <v>0</v>
      </c>
    </row>
    <row r="1780" spans="4:17" s="16" customFormat="1" ht="13.2" x14ac:dyDescent="0.25">
      <c r="D1780" s="235"/>
      <c r="E1780" s="240"/>
      <c r="F1780" s="241"/>
      <c r="G1780" s="242"/>
      <c r="H1780" s="239">
        <f t="shared" si="2118"/>
        <v>0</v>
      </c>
      <c r="I1780" s="131">
        <f t="shared" si="2119"/>
        <v>0</v>
      </c>
      <c r="J1780" s="31">
        <f t="shared" si="2120"/>
        <v>0</v>
      </c>
      <c r="K1780" s="31">
        <f t="shared" si="2121"/>
        <v>0</v>
      </c>
      <c r="L1780" s="31">
        <f t="shared" si="2122"/>
        <v>0</v>
      </c>
      <c r="M1780" s="31">
        <f t="shared" si="2123"/>
        <v>0</v>
      </c>
      <c r="N1780" s="31">
        <f t="shared" si="2124"/>
        <v>0</v>
      </c>
      <c r="O1780" s="31">
        <f t="shared" si="2125"/>
        <v>0</v>
      </c>
      <c r="P1780" s="31">
        <f t="shared" si="2126"/>
        <v>0</v>
      </c>
      <c r="Q1780" s="49">
        <f t="shared" si="2127"/>
        <v>0</v>
      </c>
    </row>
    <row r="1781" spans="4:17" s="16" customFormat="1" ht="13.2" x14ac:dyDescent="0.25">
      <c r="D1781" s="235"/>
      <c r="E1781" s="240"/>
      <c r="F1781" s="241"/>
      <c r="G1781" s="242"/>
      <c r="H1781" s="239">
        <f t="shared" si="2118"/>
        <v>0</v>
      </c>
      <c r="I1781" s="131">
        <f t="shared" si="2119"/>
        <v>0</v>
      </c>
      <c r="J1781" s="31">
        <f t="shared" si="2120"/>
        <v>0</v>
      </c>
      <c r="K1781" s="31">
        <f t="shared" si="2121"/>
        <v>0</v>
      </c>
      <c r="L1781" s="31">
        <f t="shared" si="2122"/>
        <v>0</v>
      </c>
      <c r="M1781" s="31">
        <f t="shared" si="2123"/>
        <v>0</v>
      </c>
      <c r="N1781" s="31">
        <f t="shared" si="2124"/>
        <v>0</v>
      </c>
      <c r="O1781" s="31">
        <f t="shared" si="2125"/>
        <v>0</v>
      </c>
      <c r="P1781" s="31">
        <f t="shared" si="2126"/>
        <v>0</v>
      </c>
      <c r="Q1781" s="49">
        <f t="shared" si="2127"/>
        <v>0</v>
      </c>
    </row>
    <row r="1782" spans="4:17" s="16" customFormat="1" ht="13.2" x14ac:dyDescent="0.25">
      <c r="D1782" s="235"/>
      <c r="E1782" s="240"/>
      <c r="F1782" s="241"/>
      <c r="G1782" s="242"/>
      <c r="H1782" s="239">
        <f t="shared" si="2118"/>
        <v>0</v>
      </c>
      <c r="I1782" s="131">
        <f t="shared" si="2119"/>
        <v>0</v>
      </c>
      <c r="J1782" s="31">
        <f t="shared" si="2120"/>
        <v>0</v>
      </c>
      <c r="K1782" s="31">
        <f t="shared" si="2121"/>
        <v>0</v>
      </c>
      <c r="L1782" s="31">
        <f t="shared" si="2122"/>
        <v>0</v>
      </c>
      <c r="M1782" s="31">
        <f t="shared" si="2123"/>
        <v>0</v>
      </c>
      <c r="N1782" s="31">
        <f t="shared" si="2124"/>
        <v>0</v>
      </c>
      <c r="O1782" s="31">
        <f t="shared" si="2125"/>
        <v>0</v>
      </c>
      <c r="P1782" s="31">
        <f t="shared" si="2126"/>
        <v>0</v>
      </c>
      <c r="Q1782" s="49">
        <f t="shared" si="2127"/>
        <v>0</v>
      </c>
    </row>
    <row r="1783" spans="4:17" s="16" customFormat="1" ht="13.2" x14ac:dyDescent="0.25">
      <c r="D1783" s="235"/>
      <c r="E1783" s="240"/>
      <c r="F1783" s="241"/>
      <c r="G1783" s="242"/>
      <c r="H1783" s="239">
        <f t="shared" si="2118"/>
        <v>0</v>
      </c>
      <c r="I1783" s="131">
        <f t="shared" si="2119"/>
        <v>0</v>
      </c>
      <c r="J1783" s="31">
        <f t="shared" si="2120"/>
        <v>0</v>
      </c>
      <c r="K1783" s="31">
        <f t="shared" si="2121"/>
        <v>0</v>
      </c>
      <c r="L1783" s="31">
        <f t="shared" si="2122"/>
        <v>0</v>
      </c>
      <c r="M1783" s="31">
        <f t="shared" si="2123"/>
        <v>0</v>
      </c>
      <c r="N1783" s="31">
        <f t="shared" si="2124"/>
        <v>0</v>
      </c>
      <c r="O1783" s="31">
        <f t="shared" si="2125"/>
        <v>0</v>
      </c>
      <c r="P1783" s="31">
        <f t="shared" si="2126"/>
        <v>0</v>
      </c>
      <c r="Q1783" s="49">
        <f t="shared" si="2127"/>
        <v>0</v>
      </c>
    </row>
    <row r="1784" spans="4:17" s="16" customFormat="1" ht="13.8" thickBot="1" x14ac:dyDescent="0.3">
      <c r="D1784" s="307"/>
      <c r="E1784" s="26"/>
      <c r="F1784" s="206"/>
      <c r="G1784" s="207"/>
      <c r="H1784" s="207"/>
      <c r="I1784" s="51"/>
      <c r="J1784" s="308"/>
      <c r="K1784" s="308"/>
      <c r="L1784" s="308"/>
      <c r="M1784" s="308"/>
      <c r="N1784" s="308"/>
      <c r="O1784" s="308"/>
      <c r="P1784" s="308"/>
      <c r="Q1784" s="309"/>
    </row>
    <row r="1785" spans="4:17" s="16" customFormat="1" ht="13.2" x14ac:dyDescent="0.25">
      <c r="D1785" s="796" t="s">
        <v>1680</v>
      </c>
      <c r="E1785" s="797"/>
      <c r="F1785" s="797"/>
      <c r="G1785" s="797"/>
      <c r="H1785" s="797"/>
      <c r="I1785" s="47">
        <f>SUM(I1786:I1795)</f>
        <v>0</v>
      </c>
      <c r="J1785" s="47">
        <f t="shared" ref="J1785:Q1785" si="2128">SUM(J1786:J1795)</f>
        <v>0</v>
      </c>
      <c r="K1785" s="47">
        <f t="shared" si="2128"/>
        <v>0</v>
      </c>
      <c r="L1785" s="47">
        <f t="shared" si="2128"/>
        <v>0</v>
      </c>
      <c r="M1785" s="47">
        <f t="shared" si="2128"/>
        <v>0</v>
      </c>
      <c r="N1785" s="47">
        <f t="shared" si="2128"/>
        <v>0</v>
      </c>
      <c r="O1785" s="47">
        <f t="shared" si="2128"/>
        <v>0</v>
      </c>
      <c r="P1785" s="47">
        <f t="shared" si="2128"/>
        <v>0</v>
      </c>
      <c r="Q1785" s="47">
        <f t="shared" si="2128"/>
        <v>0</v>
      </c>
    </row>
    <row r="1786" spans="4:17" s="16" customFormat="1" ht="13.2" x14ac:dyDescent="0.25">
      <c r="D1786" s="235"/>
      <c r="E1786" s="237"/>
      <c r="F1786" s="238"/>
      <c r="G1786" s="239"/>
      <c r="H1786" s="239">
        <f t="shared" ref="H1786:H1795" si="2129">E1786*G1786</f>
        <v>0</v>
      </c>
      <c r="I1786" s="131">
        <f t="shared" ref="I1786:I1795" si="2130">IF($F1786=4.2,H1786*$B$23,0)</f>
        <v>0</v>
      </c>
      <c r="J1786" s="31">
        <f t="shared" ref="J1786:J1795" si="2131">IF($F1786=5,$H1786*$B$24,0)</f>
        <v>0</v>
      </c>
      <c r="K1786" s="31">
        <f t="shared" ref="K1786:K1795" si="2132">IF($F1786=6.3,$H1786*$B$25,0)</f>
        <v>0</v>
      </c>
      <c r="L1786" s="31">
        <f t="shared" ref="L1786:L1795" si="2133">IF($F1786=8,$H1786*$B$26,0)</f>
        <v>0</v>
      </c>
      <c r="M1786" s="31">
        <f t="shared" ref="M1786:M1795" si="2134">IF($F1786=10,$H1786*$B$27,0)</f>
        <v>0</v>
      </c>
      <c r="N1786" s="31">
        <f t="shared" ref="N1786:N1795" si="2135">IF($F1786=12.5,$H1786*$B$28,0)</f>
        <v>0</v>
      </c>
      <c r="O1786" s="31">
        <f t="shared" ref="O1786:O1795" si="2136">IF($F1786=16,$H1786*$B$29,0)</f>
        <v>0</v>
      </c>
      <c r="P1786" s="31">
        <f t="shared" ref="P1786:P1795" si="2137">IF($F1786=20,$H1786*$B$30,0)</f>
        <v>0</v>
      </c>
      <c r="Q1786" s="49">
        <f t="shared" ref="Q1786:Q1795" si="2138">IF($F1786=25,$H1786*$B$31,0)</f>
        <v>0</v>
      </c>
    </row>
    <row r="1787" spans="4:17" s="16" customFormat="1" ht="13.2" x14ac:dyDescent="0.25">
      <c r="D1787" s="235"/>
      <c r="E1787" s="240"/>
      <c r="F1787" s="241"/>
      <c r="G1787" s="242"/>
      <c r="H1787" s="239">
        <f t="shared" si="2129"/>
        <v>0</v>
      </c>
      <c r="I1787" s="131">
        <f t="shared" si="2130"/>
        <v>0</v>
      </c>
      <c r="J1787" s="31">
        <f t="shared" si="2131"/>
        <v>0</v>
      </c>
      <c r="K1787" s="31">
        <f t="shared" si="2132"/>
        <v>0</v>
      </c>
      <c r="L1787" s="31">
        <f t="shared" si="2133"/>
        <v>0</v>
      </c>
      <c r="M1787" s="31">
        <f t="shared" si="2134"/>
        <v>0</v>
      </c>
      <c r="N1787" s="31">
        <f t="shared" si="2135"/>
        <v>0</v>
      </c>
      <c r="O1787" s="31">
        <f t="shared" si="2136"/>
        <v>0</v>
      </c>
      <c r="P1787" s="31">
        <f t="shared" si="2137"/>
        <v>0</v>
      </c>
      <c r="Q1787" s="49">
        <f t="shared" si="2138"/>
        <v>0</v>
      </c>
    </row>
    <row r="1788" spans="4:17" s="16" customFormat="1" ht="13.2" x14ac:dyDescent="0.25">
      <c r="D1788" s="235"/>
      <c r="E1788" s="240"/>
      <c r="F1788" s="241"/>
      <c r="G1788" s="242"/>
      <c r="H1788" s="239">
        <f t="shared" si="2129"/>
        <v>0</v>
      </c>
      <c r="I1788" s="131">
        <f t="shared" si="2130"/>
        <v>0</v>
      </c>
      <c r="J1788" s="31">
        <f t="shared" si="2131"/>
        <v>0</v>
      </c>
      <c r="K1788" s="31">
        <f t="shared" si="2132"/>
        <v>0</v>
      </c>
      <c r="L1788" s="31">
        <f t="shared" si="2133"/>
        <v>0</v>
      </c>
      <c r="M1788" s="31">
        <f t="shared" si="2134"/>
        <v>0</v>
      </c>
      <c r="N1788" s="31">
        <f t="shared" si="2135"/>
        <v>0</v>
      </c>
      <c r="O1788" s="31">
        <f t="shared" si="2136"/>
        <v>0</v>
      </c>
      <c r="P1788" s="31">
        <f t="shared" si="2137"/>
        <v>0</v>
      </c>
      <c r="Q1788" s="49">
        <f t="shared" si="2138"/>
        <v>0</v>
      </c>
    </row>
    <row r="1789" spans="4:17" s="16" customFormat="1" ht="13.2" x14ac:dyDescent="0.25">
      <c r="D1789" s="235"/>
      <c r="E1789" s="240"/>
      <c r="F1789" s="241"/>
      <c r="G1789" s="242"/>
      <c r="H1789" s="239">
        <f t="shared" si="2129"/>
        <v>0</v>
      </c>
      <c r="I1789" s="131">
        <f t="shared" si="2130"/>
        <v>0</v>
      </c>
      <c r="J1789" s="31">
        <f t="shared" si="2131"/>
        <v>0</v>
      </c>
      <c r="K1789" s="31">
        <f t="shared" si="2132"/>
        <v>0</v>
      </c>
      <c r="L1789" s="31">
        <f t="shared" si="2133"/>
        <v>0</v>
      </c>
      <c r="M1789" s="31">
        <f t="shared" si="2134"/>
        <v>0</v>
      </c>
      <c r="N1789" s="31">
        <f t="shared" si="2135"/>
        <v>0</v>
      </c>
      <c r="O1789" s="31">
        <f t="shared" si="2136"/>
        <v>0</v>
      </c>
      <c r="P1789" s="31">
        <f t="shared" si="2137"/>
        <v>0</v>
      </c>
      <c r="Q1789" s="49">
        <f t="shared" si="2138"/>
        <v>0</v>
      </c>
    </row>
    <row r="1790" spans="4:17" s="16" customFormat="1" ht="13.2" x14ac:dyDescent="0.25">
      <c r="D1790" s="235"/>
      <c r="E1790" s="240"/>
      <c r="F1790" s="241"/>
      <c r="G1790" s="242"/>
      <c r="H1790" s="239">
        <f t="shared" si="2129"/>
        <v>0</v>
      </c>
      <c r="I1790" s="131">
        <f t="shared" si="2130"/>
        <v>0</v>
      </c>
      <c r="J1790" s="31">
        <f t="shared" si="2131"/>
        <v>0</v>
      </c>
      <c r="K1790" s="31">
        <f t="shared" si="2132"/>
        <v>0</v>
      </c>
      <c r="L1790" s="31">
        <f t="shared" si="2133"/>
        <v>0</v>
      </c>
      <c r="M1790" s="31">
        <f t="shared" si="2134"/>
        <v>0</v>
      </c>
      <c r="N1790" s="31">
        <f t="shared" si="2135"/>
        <v>0</v>
      </c>
      <c r="O1790" s="31">
        <f t="shared" si="2136"/>
        <v>0</v>
      </c>
      <c r="P1790" s="31">
        <f t="shared" si="2137"/>
        <v>0</v>
      </c>
      <c r="Q1790" s="49">
        <f t="shared" si="2138"/>
        <v>0</v>
      </c>
    </row>
    <row r="1791" spans="4:17" s="16" customFormat="1" ht="13.2" x14ac:dyDescent="0.25">
      <c r="D1791" s="235"/>
      <c r="E1791" s="240"/>
      <c r="F1791" s="241"/>
      <c r="G1791" s="242"/>
      <c r="H1791" s="239">
        <f t="shared" si="2129"/>
        <v>0</v>
      </c>
      <c r="I1791" s="131">
        <f t="shared" si="2130"/>
        <v>0</v>
      </c>
      <c r="J1791" s="31">
        <f t="shared" si="2131"/>
        <v>0</v>
      </c>
      <c r="K1791" s="31">
        <f t="shared" si="2132"/>
        <v>0</v>
      </c>
      <c r="L1791" s="31">
        <f t="shared" si="2133"/>
        <v>0</v>
      </c>
      <c r="M1791" s="31">
        <f t="shared" si="2134"/>
        <v>0</v>
      </c>
      <c r="N1791" s="31">
        <f t="shared" si="2135"/>
        <v>0</v>
      </c>
      <c r="O1791" s="31">
        <f t="shared" si="2136"/>
        <v>0</v>
      </c>
      <c r="P1791" s="31">
        <f t="shared" si="2137"/>
        <v>0</v>
      </c>
      <c r="Q1791" s="49">
        <f t="shared" si="2138"/>
        <v>0</v>
      </c>
    </row>
    <row r="1792" spans="4:17" s="16" customFormat="1" ht="13.2" x14ac:dyDescent="0.25">
      <c r="D1792" s="235"/>
      <c r="E1792" s="240"/>
      <c r="F1792" s="241"/>
      <c r="G1792" s="242"/>
      <c r="H1792" s="239">
        <f t="shared" si="2129"/>
        <v>0</v>
      </c>
      <c r="I1792" s="131">
        <f t="shared" si="2130"/>
        <v>0</v>
      </c>
      <c r="J1792" s="31">
        <f t="shared" si="2131"/>
        <v>0</v>
      </c>
      <c r="K1792" s="31">
        <f t="shared" si="2132"/>
        <v>0</v>
      </c>
      <c r="L1792" s="31">
        <f t="shared" si="2133"/>
        <v>0</v>
      </c>
      <c r="M1792" s="31">
        <f t="shared" si="2134"/>
        <v>0</v>
      </c>
      <c r="N1792" s="31">
        <f t="shared" si="2135"/>
        <v>0</v>
      </c>
      <c r="O1792" s="31">
        <f t="shared" si="2136"/>
        <v>0</v>
      </c>
      <c r="P1792" s="31">
        <f t="shared" si="2137"/>
        <v>0</v>
      </c>
      <c r="Q1792" s="49">
        <f t="shared" si="2138"/>
        <v>0</v>
      </c>
    </row>
    <row r="1793" spans="4:17" s="16" customFormat="1" ht="13.2" x14ac:dyDescent="0.25">
      <c r="D1793" s="235"/>
      <c r="E1793" s="240"/>
      <c r="F1793" s="241"/>
      <c r="G1793" s="242"/>
      <c r="H1793" s="239">
        <f t="shared" si="2129"/>
        <v>0</v>
      </c>
      <c r="I1793" s="131">
        <f t="shared" si="2130"/>
        <v>0</v>
      </c>
      <c r="J1793" s="31">
        <f t="shared" si="2131"/>
        <v>0</v>
      </c>
      <c r="K1793" s="31">
        <f t="shared" si="2132"/>
        <v>0</v>
      </c>
      <c r="L1793" s="31">
        <f t="shared" si="2133"/>
        <v>0</v>
      </c>
      <c r="M1793" s="31">
        <f t="shared" si="2134"/>
        <v>0</v>
      </c>
      <c r="N1793" s="31">
        <f t="shared" si="2135"/>
        <v>0</v>
      </c>
      <c r="O1793" s="31">
        <f t="shared" si="2136"/>
        <v>0</v>
      </c>
      <c r="P1793" s="31">
        <f t="shared" si="2137"/>
        <v>0</v>
      </c>
      <c r="Q1793" s="49">
        <f t="shared" si="2138"/>
        <v>0</v>
      </c>
    </row>
    <row r="1794" spans="4:17" s="16" customFormat="1" ht="13.2" x14ac:dyDescent="0.25">
      <c r="D1794" s="235"/>
      <c r="E1794" s="240"/>
      <c r="F1794" s="241"/>
      <c r="G1794" s="242"/>
      <c r="H1794" s="239">
        <f t="shared" si="2129"/>
        <v>0</v>
      </c>
      <c r="I1794" s="131">
        <f t="shared" si="2130"/>
        <v>0</v>
      </c>
      <c r="J1794" s="31">
        <f t="shared" si="2131"/>
        <v>0</v>
      </c>
      <c r="K1794" s="31">
        <f t="shared" si="2132"/>
        <v>0</v>
      </c>
      <c r="L1794" s="31">
        <f t="shared" si="2133"/>
        <v>0</v>
      </c>
      <c r="M1794" s="31">
        <f t="shared" si="2134"/>
        <v>0</v>
      </c>
      <c r="N1794" s="31">
        <f t="shared" si="2135"/>
        <v>0</v>
      </c>
      <c r="O1794" s="31">
        <f t="shared" si="2136"/>
        <v>0</v>
      </c>
      <c r="P1794" s="31">
        <f t="shared" si="2137"/>
        <v>0</v>
      </c>
      <c r="Q1794" s="49">
        <f t="shared" si="2138"/>
        <v>0</v>
      </c>
    </row>
    <row r="1795" spans="4:17" s="16" customFormat="1" ht="13.2" x14ac:dyDescent="0.25">
      <c r="D1795" s="235"/>
      <c r="E1795" s="240"/>
      <c r="F1795" s="241"/>
      <c r="G1795" s="242"/>
      <c r="H1795" s="239">
        <f t="shared" si="2129"/>
        <v>0</v>
      </c>
      <c r="I1795" s="131">
        <f t="shared" si="2130"/>
        <v>0</v>
      </c>
      <c r="J1795" s="31">
        <f t="shared" si="2131"/>
        <v>0</v>
      </c>
      <c r="K1795" s="31">
        <f t="shared" si="2132"/>
        <v>0</v>
      </c>
      <c r="L1795" s="31">
        <f t="shared" si="2133"/>
        <v>0</v>
      </c>
      <c r="M1795" s="31">
        <f t="shared" si="2134"/>
        <v>0</v>
      </c>
      <c r="N1795" s="31">
        <f t="shared" si="2135"/>
        <v>0</v>
      </c>
      <c r="O1795" s="31">
        <f t="shared" si="2136"/>
        <v>0</v>
      </c>
      <c r="P1795" s="31">
        <f t="shared" si="2137"/>
        <v>0</v>
      </c>
      <c r="Q1795" s="49">
        <f t="shared" si="2138"/>
        <v>0</v>
      </c>
    </row>
    <row r="1796" spans="4:17" s="16" customFormat="1" ht="13.8" thickBot="1" x14ac:dyDescent="0.3">
      <c r="D1796" s="307"/>
      <c r="E1796" s="26"/>
      <c r="F1796" s="206"/>
      <c r="G1796" s="207"/>
      <c r="H1796" s="207"/>
      <c r="I1796" s="51"/>
      <c r="J1796" s="308"/>
      <c r="K1796" s="308"/>
      <c r="L1796" s="308"/>
      <c r="M1796" s="308"/>
      <c r="N1796" s="308"/>
      <c r="O1796" s="308"/>
      <c r="P1796" s="308"/>
      <c r="Q1796" s="309"/>
    </row>
    <row r="1797" spans="4:17" s="16" customFormat="1" ht="13.2" x14ac:dyDescent="0.25">
      <c r="D1797" s="796" t="s">
        <v>1680</v>
      </c>
      <c r="E1797" s="797"/>
      <c r="F1797" s="797"/>
      <c r="G1797" s="797"/>
      <c r="H1797" s="797"/>
      <c r="I1797" s="47">
        <f>SUM(I1798:I1807)</f>
        <v>0</v>
      </c>
      <c r="J1797" s="47">
        <f t="shared" ref="J1797:Q1797" si="2139">SUM(J1798:J1807)</f>
        <v>0</v>
      </c>
      <c r="K1797" s="47">
        <f t="shared" si="2139"/>
        <v>0</v>
      </c>
      <c r="L1797" s="47">
        <f t="shared" si="2139"/>
        <v>0</v>
      </c>
      <c r="M1797" s="47">
        <f t="shared" si="2139"/>
        <v>0</v>
      </c>
      <c r="N1797" s="47">
        <f t="shared" si="2139"/>
        <v>0</v>
      </c>
      <c r="O1797" s="47">
        <f t="shared" si="2139"/>
        <v>0</v>
      </c>
      <c r="P1797" s="47">
        <f t="shared" si="2139"/>
        <v>0</v>
      </c>
      <c r="Q1797" s="47">
        <f t="shared" si="2139"/>
        <v>0</v>
      </c>
    </row>
    <row r="1798" spans="4:17" s="16" customFormat="1" ht="13.2" x14ac:dyDescent="0.25">
      <c r="D1798" s="235"/>
      <c r="E1798" s="237"/>
      <c r="F1798" s="238"/>
      <c r="G1798" s="239"/>
      <c r="H1798" s="239">
        <f t="shared" ref="H1798:H1807" si="2140">E1798*G1798</f>
        <v>0</v>
      </c>
      <c r="I1798" s="131">
        <f t="shared" ref="I1798:I1807" si="2141">IF($F1798=4.2,H1798*$B$23,0)</f>
        <v>0</v>
      </c>
      <c r="J1798" s="31">
        <f t="shared" ref="J1798:J1807" si="2142">IF($F1798=5,$H1798*$B$24,0)</f>
        <v>0</v>
      </c>
      <c r="K1798" s="31">
        <f t="shared" ref="K1798:K1807" si="2143">IF($F1798=6.3,$H1798*$B$25,0)</f>
        <v>0</v>
      </c>
      <c r="L1798" s="31">
        <f t="shared" ref="L1798:L1807" si="2144">IF($F1798=8,$H1798*$B$26,0)</f>
        <v>0</v>
      </c>
      <c r="M1798" s="31">
        <f t="shared" ref="M1798:M1807" si="2145">IF($F1798=10,$H1798*$B$27,0)</f>
        <v>0</v>
      </c>
      <c r="N1798" s="31">
        <f t="shared" ref="N1798:N1807" si="2146">IF($F1798=12.5,$H1798*$B$28,0)</f>
        <v>0</v>
      </c>
      <c r="O1798" s="31">
        <f t="shared" ref="O1798:O1807" si="2147">IF($F1798=16,$H1798*$B$29,0)</f>
        <v>0</v>
      </c>
      <c r="P1798" s="31">
        <f t="shared" ref="P1798:P1807" si="2148">IF($F1798=20,$H1798*$B$30,0)</f>
        <v>0</v>
      </c>
      <c r="Q1798" s="49">
        <f t="shared" ref="Q1798:Q1807" si="2149">IF($F1798=25,$H1798*$B$31,0)</f>
        <v>0</v>
      </c>
    </row>
    <row r="1799" spans="4:17" s="16" customFormat="1" ht="13.2" x14ac:dyDescent="0.25">
      <c r="D1799" s="235"/>
      <c r="E1799" s="240"/>
      <c r="F1799" s="241"/>
      <c r="G1799" s="242"/>
      <c r="H1799" s="239">
        <f t="shared" si="2140"/>
        <v>0</v>
      </c>
      <c r="I1799" s="131">
        <f t="shared" si="2141"/>
        <v>0</v>
      </c>
      <c r="J1799" s="31">
        <f t="shared" si="2142"/>
        <v>0</v>
      </c>
      <c r="K1799" s="31">
        <f t="shared" si="2143"/>
        <v>0</v>
      </c>
      <c r="L1799" s="31">
        <f t="shared" si="2144"/>
        <v>0</v>
      </c>
      <c r="M1799" s="31">
        <f t="shared" si="2145"/>
        <v>0</v>
      </c>
      <c r="N1799" s="31">
        <f t="shared" si="2146"/>
        <v>0</v>
      </c>
      <c r="O1799" s="31">
        <f t="shared" si="2147"/>
        <v>0</v>
      </c>
      <c r="P1799" s="31">
        <f t="shared" si="2148"/>
        <v>0</v>
      </c>
      <c r="Q1799" s="49">
        <f t="shared" si="2149"/>
        <v>0</v>
      </c>
    </row>
    <row r="1800" spans="4:17" s="16" customFormat="1" ht="13.2" x14ac:dyDescent="0.25">
      <c r="D1800" s="235"/>
      <c r="E1800" s="240"/>
      <c r="F1800" s="241"/>
      <c r="G1800" s="242"/>
      <c r="H1800" s="239">
        <f t="shared" si="2140"/>
        <v>0</v>
      </c>
      <c r="I1800" s="131">
        <f t="shared" si="2141"/>
        <v>0</v>
      </c>
      <c r="J1800" s="31">
        <f t="shared" si="2142"/>
        <v>0</v>
      </c>
      <c r="K1800" s="31">
        <f t="shared" si="2143"/>
        <v>0</v>
      </c>
      <c r="L1800" s="31">
        <f t="shared" si="2144"/>
        <v>0</v>
      </c>
      <c r="M1800" s="31">
        <f t="shared" si="2145"/>
        <v>0</v>
      </c>
      <c r="N1800" s="31">
        <f t="shared" si="2146"/>
        <v>0</v>
      </c>
      <c r="O1800" s="31">
        <f t="shared" si="2147"/>
        <v>0</v>
      </c>
      <c r="P1800" s="31">
        <f t="shared" si="2148"/>
        <v>0</v>
      </c>
      <c r="Q1800" s="49">
        <f t="shared" si="2149"/>
        <v>0</v>
      </c>
    </row>
    <row r="1801" spans="4:17" s="16" customFormat="1" ht="13.2" x14ac:dyDescent="0.25">
      <c r="D1801" s="235"/>
      <c r="E1801" s="240"/>
      <c r="F1801" s="241"/>
      <c r="G1801" s="242"/>
      <c r="H1801" s="239">
        <f t="shared" si="2140"/>
        <v>0</v>
      </c>
      <c r="I1801" s="131">
        <f t="shared" si="2141"/>
        <v>0</v>
      </c>
      <c r="J1801" s="31">
        <f t="shared" si="2142"/>
        <v>0</v>
      </c>
      <c r="K1801" s="31">
        <f t="shared" si="2143"/>
        <v>0</v>
      </c>
      <c r="L1801" s="31">
        <f t="shared" si="2144"/>
        <v>0</v>
      </c>
      <c r="M1801" s="31">
        <f t="shared" si="2145"/>
        <v>0</v>
      </c>
      <c r="N1801" s="31">
        <f t="shared" si="2146"/>
        <v>0</v>
      </c>
      <c r="O1801" s="31">
        <f t="shared" si="2147"/>
        <v>0</v>
      </c>
      <c r="P1801" s="31">
        <f t="shared" si="2148"/>
        <v>0</v>
      </c>
      <c r="Q1801" s="49">
        <f t="shared" si="2149"/>
        <v>0</v>
      </c>
    </row>
    <row r="1802" spans="4:17" s="16" customFormat="1" ht="13.2" x14ac:dyDescent="0.25">
      <c r="D1802" s="235"/>
      <c r="E1802" s="240"/>
      <c r="F1802" s="241"/>
      <c r="G1802" s="242"/>
      <c r="H1802" s="239">
        <f t="shared" si="2140"/>
        <v>0</v>
      </c>
      <c r="I1802" s="131">
        <f t="shared" si="2141"/>
        <v>0</v>
      </c>
      <c r="J1802" s="31">
        <f t="shared" si="2142"/>
        <v>0</v>
      </c>
      <c r="K1802" s="31">
        <f t="shared" si="2143"/>
        <v>0</v>
      </c>
      <c r="L1802" s="31">
        <f t="shared" si="2144"/>
        <v>0</v>
      </c>
      <c r="M1802" s="31">
        <f t="shared" si="2145"/>
        <v>0</v>
      </c>
      <c r="N1802" s="31">
        <f t="shared" si="2146"/>
        <v>0</v>
      </c>
      <c r="O1802" s="31">
        <f t="shared" si="2147"/>
        <v>0</v>
      </c>
      <c r="P1802" s="31">
        <f t="shared" si="2148"/>
        <v>0</v>
      </c>
      <c r="Q1802" s="49">
        <f t="shared" si="2149"/>
        <v>0</v>
      </c>
    </row>
    <row r="1803" spans="4:17" s="16" customFormat="1" ht="13.2" x14ac:dyDescent="0.25">
      <c r="D1803" s="235"/>
      <c r="E1803" s="240"/>
      <c r="F1803" s="241"/>
      <c r="G1803" s="242"/>
      <c r="H1803" s="239">
        <f t="shared" si="2140"/>
        <v>0</v>
      </c>
      <c r="I1803" s="131">
        <f t="shared" si="2141"/>
        <v>0</v>
      </c>
      <c r="J1803" s="31">
        <f t="shared" si="2142"/>
        <v>0</v>
      </c>
      <c r="K1803" s="31">
        <f t="shared" si="2143"/>
        <v>0</v>
      </c>
      <c r="L1803" s="31">
        <f t="shared" si="2144"/>
        <v>0</v>
      </c>
      <c r="M1803" s="31">
        <f t="shared" si="2145"/>
        <v>0</v>
      </c>
      <c r="N1803" s="31">
        <f t="shared" si="2146"/>
        <v>0</v>
      </c>
      <c r="O1803" s="31">
        <f t="shared" si="2147"/>
        <v>0</v>
      </c>
      <c r="P1803" s="31">
        <f t="shared" si="2148"/>
        <v>0</v>
      </c>
      <c r="Q1803" s="49">
        <f t="shared" si="2149"/>
        <v>0</v>
      </c>
    </row>
    <row r="1804" spans="4:17" s="16" customFormat="1" ht="13.2" x14ac:dyDescent="0.25">
      <c r="D1804" s="235"/>
      <c r="E1804" s="240"/>
      <c r="F1804" s="241"/>
      <c r="G1804" s="242"/>
      <c r="H1804" s="239">
        <f t="shared" si="2140"/>
        <v>0</v>
      </c>
      <c r="I1804" s="131">
        <f t="shared" si="2141"/>
        <v>0</v>
      </c>
      <c r="J1804" s="31">
        <f t="shared" si="2142"/>
        <v>0</v>
      </c>
      <c r="K1804" s="31">
        <f t="shared" si="2143"/>
        <v>0</v>
      </c>
      <c r="L1804" s="31">
        <f t="shared" si="2144"/>
        <v>0</v>
      </c>
      <c r="M1804" s="31">
        <f t="shared" si="2145"/>
        <v>0</v>
      </c>
      <c r="N1804" s="31">
        <f t="shared" si="2146"/>
        <v>0</v>
      </c>
      <c r="O1804" s="31">
        <f t="shared" si="2147"/>
        <v>0</v>
      </c>
      <c r="P1804" s="31">
        <f t="shared" si="2148"/>
        <v>0</v>
      </c>
      <c r="Q1804" s="49">
        <f t="shared" si="2149"/>
        <v>0</v>
      </c>
    </row>
    <row r="1805" spans="4:17" s="16" customFormat="1" ht="13.2" x14ac:dyDescent="0.25">
      <c r="D1805" s="235"/>
      <c r="E1805" s="240"/>
      <c r="F1805" s="241"/>
      <c r="G1805" s="242"/>
      <c r="H1805" s="239">
        <f t="shared" si="2140"/>
        <v>0</v>
      </c>
      <c r="I1805" s="131">
        <f t="shared" si="2141"/>
        <v>0</v>
      </c>
      <c r="J1805" s="31">
        <f t="shared" si="2142"/>
        <v>0</v>
      </c>
      <c r="K1805" s="31">
        <f t="shared" si="2143"/>
        <v>0</v>
      </c>
      <c r="L1805" s="31">
        <f t="shared" si="2144"/>
        <v>0</v>
      </c>
      <c r="M1805" s="31">
        <f t="shared" si="2145"/>
        <v>0</v>
      </c>
      <c r="N1805" s="31">
        <f t="shared" si="2146"/>
        <v>0</v>
      </c>
      <c r="O1805" s="31">
        <f t="shared" si="2147"/>
        <v>0</v>
      </c>
      <c r="P1805" s="31">
        <f t="shared" si="2148"/>
        <v>0</v>
      </c>
      <c r="Q1805" s="49">
        <f t="shared" si="2149"/>
        <v>0</v>
      </c>
    </row>
    <row r="1806" spans="4:17" s="16" customFormat="1" ht="13.2" x14ac:dyDescent="0.25">
      <c r="D1806" s="235"/>
      <c r="E1806" s="240"/>
      <c r="F1806" s="241"/>
      <c r="G1806" s="242"/>
      <c r="H1806" s="239">
        <f t="shared" si="2140"/>
        <v>0</v>
      </c>
      <c r="I1806" s="131">
        <f t="shared" si="2141"/>
        <v>0</v>
      </c>
      <c r="J1806" s="31">
        <f t="shared" si="2142"/>
        <v>0</v>
      </c>
      <c r="K1806" s="31">
        <f t="shared" si="2143"/>
        <v>0</v>
      </c>
      <c r="L1806" s="31">
        <f t="shared" si="2144"/>
        <v>0</v>
      </c>
      <c r="M1806" s="31">
        <f t="shared" si="2145"/>
        <v>0</v>
      </c>
      <c r="N1806" s="31">
        <f t="shared" si="2146"/>
        <v>0</v>
      </c>
      <c r="O1806" s="31">
        <f t="shared" si="2147"/>
        <v>0</v>
      </c>
      <c r="P1806" s="31">
        <f t="shared" si="2148"/>
        <v>0</v>
      </c>
      <c r="Q1806" s="49">
        <f t="shared" si="2149"/>
        <v>0</v>
      </c>
    </row>
    <row r="1807" spans="4:17" s="16" customFormat="1" ht="13.2" x14ac:dyDescent="0.25">
      <c r="D1807" s="235"/>
      <c r="E1807" s="240"/>
      <c r="F1807" s="241"/>
      <c r="G1807" s="242"/>
      <c r="H1807" s="239">
        <f t="shared" si="2140"/>
        <v>0</v>
      </c>
      <c r="I1807" s="131">
        <f t="shared" si="2141"/>
        <v>0</v>
      </c>
      <c r="J1807" s="31">
        <f t="shared" si="2142"/>
        <v>0</v>
      </c>
      <c r="K1807" s="31">
        <f t="shared" si="2143"/>
        <v>0</v>
      </c>
      <c r="L1807" s="31">
        <f t="shared" si="2144"/>
        <v>0</v>
      </c>
      <c r="M1807" s="31">
        <f t="shared" si="2145"/>
        <v>0</v>
      </c>
      <c r="N1807" s="31">
        <f t="shared" si="2146"/>
        <v>0</v>
      </c>
      <c r="O1807" s="31">
        <f t="shared" si="2147"/>
        <v>0</v>
      </c>
      <c r="P1807" s="31">
        <f t="shared" si="2148"/>
        <v>0</v>
      </c>
      <c r="Q1807" s="49">
        <f t="shared" si="2149"/>
        <v>0</v>
      </c>
    </row>
    <row r="1808" spans="4:17" s="16" customFormat="1" ht="13.8" thickBot="1" x14ac:dyDescent="0.3">
      <c r="D1808" s="307"/>
      <c r="E1808" s="26"/>
      <c r="F1808" s="206"/>
      <c r="G1808" s="207"/>
      <c r="H1808" s="207"/>
      <c r="I1808" s="51"/>
      <c r="J1808" s="308"/>
      <c r="K1808" s="308"/>
      <c r="L1808" s="308"/>
      <c r="M1808" s="308"/>
      <c r="N1808" s="308"/>
      <c r="O1808" s="308"/>
      <c r="P1808" s="308"/>
      <c r="Q1808" s="309"/>
    </row>
    <row r="1809" spans="4:17" s="16" customFormat="1" ht="13.2" x14ac:dyDescent="0.25">
      <c r="D1809" s="796" t="s">
        <v>1680</v>
      </c>
      <c r="E1809" s="797"/>
      <c r="F1809" s="797"/>
      <c r="G1809" s="797"/>
      <c r="H1809" s="797"/>
      <c r="I1809" s="47">
        <f>SUM(I1810:I1819)</f>
        <v>0</v>
      </c>
      <c r="J1809" s="47">
        <f t="shared" ref="J1809:Q1809" si="2150">SUM(J1810:J1819)</f>
        <v>0</v>
      </c>
      <c r="K1809" s="47">
        <f t="shared" si="2150"/>
        <v>0</v>
      </c>
      <c r="L1809" s="47">
        <f t="shared" si="2150"/>
        <v>0</v>
      </c>
      <c r="M1809" s="47">
        <f t="shared" si="2150"/>
        <v>0</v>
      </c>
      <c r="N1809" s="47">
        <f t="shared" si="2150"/>
        <v>0</v>
      </c>
      <c r="O1809" s="47">
        <f t="shared" si="2150"/>
        <v>0</v>
      </c>
      <c r="P1809" s="47">
        <f t="shared" si="2150"/>
        <v>0</v>
      </c>
      <c r="Q1809" s="47">
        <f t="shared" si="2150"/>
        <v>0</v>
      </c>
    </row>
    <row r="1810" spans="4:17" s="16" customFormat="1" ht="13.2" x14ac:dyDescent="0.25">
      <c r="D1810" s="235"/>
      <c r="E1810" s="237"/>
      <c r="F1810" s="238"/>
      <c r="G1810" s="239"/>
      <c r="H1810" s="239">
        <f t="shared" ref="H1810:H1819" si="2151">E1810*G1810</f>
        <v>0</v>
      </c>
      <c r="I1810" s="131">
        <f t="shared" ref="I1810:I1819" si="2152">IF($F1810=4.2,H1810*$B$23,0)</f>
        <v>0</v>
      </c>
      <c r="J1810" s="31">
        <f t="shared" ref="J1810:J1819" si="2153">IF($F1810=5,$H1810*$B$24,0)</f>
        <v>0</v>
      </c>
      <c r="K1810" s="31">
        <f t="shared" ref="K1810:K1819" si="2154">IF($F1810=6.3,$H1810*$B$25,0)</f>
        <v>0</v>
      </c>
      <c r="L1810" s="31">
        <f t="shared" ref="L1810:L1819" si="2155">IF($F1810=8,$H1810*$B$26,0)</f>
        <v>0</v>
      </c>
      <c r="M1810" s="31">
        <f t="shared" ref="M1810:M1819" si="2156">IF($F1810=10,$H1810*$B$27,0)</f>
        <v>0</v>
      </c>
      <c r="N1810" s="31">
        <f t="shared" ref="N1810:N1819" si="2157">IF($F1810=12.5,$H1810*$B$28,0)</f>
        <v>0</v>
      </c>
      <c r="O1810" s="31">
        <f t="shared" ref="O1810:O1819" si="2158">IF($F1810=16,$H1810*$B$29,0)</f>
        <v>0</v>
      </c>
      <c r="P1810" s="31">
        <f t="shared" ref="P1810:P1819" si="2159">IF($F1810=20,$H1810*$B$30,0)</f>
        <v>0</v>
      </c>
      <c r="Q1810" s="49">
        <f t="shared" ref="Q1810:Q1819" si="2160">IF($F1810=25,$H1810*$B$31,0)</f>
        <v>0</v>
      </c>
    </row>
    <row r="1811" spans="4:17" s="16" customFormat="1" ht="13.2" x14ac:dyDescent="0.25">
      <c r="D1811" s="235"/>
      <c r="E1811" s="240"/>
      <c r="F1811" s="241"/>
      <c r="G1811" s="242"/>
      <c r="H1811" s="239">
        <f t="shared" si="2151"/>
        <v>0</v>
      </c>
      <c r="I1811" s="131">
        <f t="shared" si="2152"/>
        <v>0</v>
      </c>
      <c r="J1811" s="31">
        <f t="shared" si="2153"/>
        <v>0</v>
      </c>
      <c r="K1811" s="31">
        <f t="shared" si="2154"/>
        <v>0</v>
      </c>
      <c r="L1811" s="31">
        <f t="shared" si="2155"/>
        <v>0</v>
      </c>
      <c r="M1811" s="31">
        <f t="shared" si="2156"/>
        <v>0</v>
      </c>
      <c r="N1811" s="31">
        <f t="shared" si="2157"/>
        <v>0</v>
      </c>
      <c r="O1811" s="31">
        <f t="shared" si="2158"/>
        <v>0</v>
      </c>
      <c r="P1811" s="31">
        <f t="shared" si="2159"/>
        <v>0</v>
      </c>
      <c r="Q1811" s="49">
        <f t="shared" si="2160"/>
        <v>0</v>
      </c>
    </row>
    <row r="1812" spans="4:17" s="16" customFormat="1" ht="13.2" x14ac:dyDescent="0.25">
      <c r="D1812" s="235"/>
      <c r="E1812" s="240"/>
      <c r="F1812" s="241"/>
      <c r="G1812" s="242"/>
      <c r="H1812" s="239">
        <f t="shared" si="2151"/>
        <v>0</v>
      </c>
      <c r="I1812" s="131">
        <f t="shared" si="2152"/>
        <v>0</v>
      </c>
      <c r="J1812" s="31">
        <f t="shared" si="2153"/>
        <v>0</v>
      </c>
      <c r="K1812" s="31">
        <f t="shared" si="2154"/>
        <v>0</v>
      </c>
      <c r="L1812" s="31">
        <f t="shared" si="2155"/>
        <v>0</v>
      </c>
      <c r="M1812" s="31">
        <f t="shared" si="2156"/>
        <v>0</v>
      </c>
      <c r="N1812" s="31">
        <f t="shared" si="2157"/>
        <v>0</v>
      </c>
      <c r="O1812" s="31">
        <f t="shared" si="2158"/>
        <v>0</v>
      </c>
      <c r="P1812" s="31">
        <f t="shared" si="2159"/>
        <v>0</v>
      </c>
      <c r="Q1812" s="49">
        <f t="shared" si="2160"/>
        <v>0</v>
      </c>
    </row>
    <row r="1813" spans="4:17" s="16" customFormat="1" ht="13.2" x14ac:dyDescent="0.25">
      <c r="D1813" s="235"/>
      <c r="E1813" s="240"/>
      <c r="F1813" s="241"/>
      <c r="G1813" s="242"/>
      <c r="H1813" s="239">
        <f t="shared" si="2151"/>
        <v>0</v>
      </c>
      <c r="I1813" s="131">
        <f t="shared" si="2152"/>
        <v>0</v>
      </c>
      <c r="J1813" s="31">
        <f t="shared" si="2153"/>
        <v>0</v>
      </c>
      <c r="K1813" s="31">
        <f t="shared" si="2154"/>
        <v>0</v>
      </c>
      <c r="L1813" s="31">
        <f t="shared" si="2155"/>
        <v>0</v>
      </c>
      <c r="M1813" s="31">
        <f t="shared" si="2156"/>
        <v>0</v>
      </c>
      <c r="N1813" s="31">
        <f t="shared" si="2157"/>
        <v>0</v>
      </c>
      <c r="O1813" s="31">
        <f t="shared" si="2158"/>
        <v>0</v>
      </c>
      <c r="P1813" s="31">
        <f t="shared" si="2159"/>
        <v>0</v>
      </c>
      <c r="Q1813" s="49">
        <f t="shared" si="2160"/>
        <v>0</v>
      </c>
    </row>
    <row r="1814" spans="4:17" s="16" customFormat="1" ht="13.2" x14ac:dyDescent="0.25">
      <c r="D1814" s="235"/>
      <c r="E1814" s="240"/>
      <c r="F1814" s="241"/>
      <c r="G1814" s="242"/>
      <c r="H1814" s="239">
        <f t="shared" si="2151"/>
        <v>0</v>
      </c>
      <c r="I1814" s="131">
        <f t="shared" si="2152"/>
        <v>0</v>
      </c>
      <c r="J1814" s="31">
        <f t="shared" si="2153"/>
        <v>0</v>
      </c>
      <c r="K1814" s="31">
        <f t="shared" si="2154"/>
        <v>0</v>
      </c>
      <c r="L1814" s="31">
        <f t="shared" si="2155"/>
        <v>0</v>
      </c>
      <c r="M1814" s="31">
        <f t="shared" si="2156"/>
        <v>0</v>
      </c>
      <c r="N1814" s="31">
        <f t="shared" si="2157"/>
        <v>0</v>
      </c>
      <c r="O1814" s="31">
        <f t="shared" si="2158"/>
        <v>0</v>
      </c>
      <c r="P1814" s="31">
        <f t="shared" si="2159"/>
        <v>0</v>
      </c>
      <c r="Q1814" s="49">
        <f t="shared" si="2160"/>
        <v>0</v>
      </c>
    </row>
    <row r="1815" spans="4:17" s="16" customFormat="1" ht="13.2" x14ac:dyDescent="0.25">
      <c r="D1815" s="235"/>
      <c r="E1815" s="240"/>
      <c r="F1815" s="241"/>
      <c r="G1815" s="242"/>
      <c r="H1815" s="239">
        <f t="shared" si="2151"/>
        <v>0</v>
      </c>
      <c r="I1815" s="131">
        <f t="shared" si="2152"/>
        <v>0</v>
      </c>
      <c r="J1815" s="31">
        <f t="shared" si="2153"/>
        <v>0</v>
      </c>
      <c r="K1815" s="31">
        <f t="shared" si="2154"/>
        <v>0</v>
      </c>
      <c r="L1815" s="31">
        <f t="shared" si="2155"/>
        <v>0</v>
      </c>
      <c r="M1815" s="31">
        <f t="shared" si="2156"/>
        <v>0</v>
      </c>
      <c r="N1815" s="31">
        <f t="shared" si="2157"/>
        <v>0</v>
      </c>
      <c r="O1815" s="31">
        <f t="shared" si="2158"/>
        <v>0</v>
      </c>
      <c r="P1815" s="31">
        <f t="shared" si="2159"/>
        <v>0</v>
      </c>
      <c r="Q1815" s="49">
        <f t="shared" si="2160"/>
        <v>0</v>
      </c>
    </row>
    <row r="1816" spans="4:17" s="16" customFormat="1" ht="13.2" x14ac:dyDescent="0.25">
      <c r="D1816" s="235"/>
      <c r="E1816" s="240"/>
      <c r="F1816" s="241"/>
      <c r="G1816" s="242"/>
      <c r="H1816" s="239">
        <f t="shared" si="2151"/>
        <v>0</v>
      </c>
      <c r="I1816" s="131">
        <f t="shared" si="2152"/>
        <v>0</v>
      </c>
      <c r="J1816" s="31">
        <f t="shared" si="2153"/>
        <v>0</v>
      </c>
      <c r="K1816" s="31">
        <f t="shared" si="2154"/>
        <v>0</v>
      </c>
      <c r="L1816" s="31">
        <f t="shared" si="2155"/>
        <v>0</v>
      </c>
      <c r="M1816" s="31">
        <f t="shared" si="2156"/>
        <v>0</v>
      </c>
      <c r="N1816" s="31">
        <f t="shared" si="2157"/>
        <v>0</v>
      </c>
      <c r="O1816" s="31">
        <f t="shared" si="2158"/>
        <v>0</v>
      </c>
      <c r="P1816" s="31">
        <f t="shared" si="2159"/>
        <v>0</v>
      </c>
      <c r="Q1816" s="49">
        <f t="shared" si="2160"/>
        <v>0</v>
      </c>
    </row>
    <row r="1817" spans="4:17" s="16" customFormat="1" ht="13.2" x14ac:dyDescent="0.25">
      <c r="D1817" s="235"/>
      <c r="E1817" s="240"/>
      <c r="F1817" s="241"/>
      <c r="G1817" s="242"/>
      <c r="H1817" s="239">
        <f t="shared" si="2151"/>
        <v>0</v>
      </c>
      <c r="I1817" s="131">
        <f t="shared" si="2152"/>
        <v>0</v>
      </c>
      <c r="J1817" s="31">
        <f t="shared" si="2153"/>
        <v>0</v>
      </c>
      <c r="K1817" s="31">
        <f t="shared" si="2154"/>
        <v>0</v>
      </c>
      <c r="L1817" s="31">
        <f t="shared" si="2155"/>
        <v>0</v>
      </c>
      <c r="M1817" s="31">
        <f t="shared" si="2156"/>
        <v>0</v>
      </c>
      <c r="N1817" s="31">
        <f t="shared" si="2157"/>
        <v>0</v>
      </c>
      <c r="O1817" s="31">
        <f t="shared" si="2158"/>
        <v>0</v>
      </c>
      <c r="P1817" s="31">
        <f t="shared" si="2159"/>
        <v>0</v>
      </c>
      <c r="Q1817" s="49">
        <f t="shared" si="2160"/>
        <v>0</v>
      </c>
    </row>
    <row r="1818" spans="4:17" s="16" customFormat="1" ht="13.2" x14ac:dyDescent="0.25">
      <c r="D1818" s="235"/>
      <c r="E1818" s="240"/>
      <c r="F1818" s="241"/>
      <c r="G1818" s="242"/>
      <c r="H1818" s="239">
        <f t="shared" si="2151"/>
        <v>0</v>
      </c>
      <c r="I1818" s="131">
        <f t="shared" si="2152"/>
        <v>0</v>
      </c>
      <c r="J1818" s="31">
        <f t="shared" si="2153"/>
        <v>0</v>
      </c>
      <c r="K1818" s="31">
        <f t="shared" si="2154"/>
        <v>0</v>
      </c>
      <c r="L1818" s="31">
        <f t="shared" si="2155"/>
        <v>0</v>
      </c>
      <c r="M1818" s="31">
        <f t="shared" si="2156"/>
        <v>0</v>
      </c>
      <c r="N1818" s="31">
        <f t="shared" si="2157"/>
        <v>0</v>
      </c>
      <c r="O1818" s="31">
        <f t="shared" si="2158"/>
        <v>0</v>
      </c>
      <c r="P1818" s="31">
        <f t="shared" si="2159"/>
        <v>0</v>
      </c>
      <c r="Q1818" s="49">
        <f t="shared" si="2160"/>
        <v>0</v>
      </c>
    </row>
    <row r="1819" spans="4:17" s="16" customFormat="1" ht="13.2" x14ac:dyDescent="0.25">
      <c r="D1819" s="235"/>
      <c r="E1819" s="240"/>
      <c r="F1819" s="241"/>
      <c r="G1819" s="242"/>
      <c r="H1819" s="239">
        <f t="shared" si="2151"/>
        <v>0</v>
      </c>
      <c r="I1819" s="131">
        <f t="shared" si="2152"/>
        <v>0</v>
      </c>
      <c r="J1819" s="31">
        <f t="shared" si="2153"/>
        <v>0</v>
      </c>
      <c r="K1819" s="31">
        <f t="shared" si="2154"/>
        <v>0</v>
      </c>
      <c r="L1819" s="31">
        <f t="shared" si="2155"/>
        <v>0</v>
      </c>
      <c r="M1819" s="31">
        <f t="shared" si="2156"/>
        <v>0</v>
      </c>
      <c r="N1819" s="31">
        <f t="shared" si="2157"/>
        <v>0</v>
      </c>
      <c r="O1819" s="31">
        <f t="shared" si="2158"/>
        <v>0</v>
      </c>
      <c r="P1819" s="31">
        <f t="shared" si="2159"/>
        <v>0</v>
      </c>
      <c r="Q1819" s="49">
        <f t="shared" si="2160"/>
        <v>0</v>
      </c>
    </row>
    <row r="1820" spans="4:17" s="16" customFormat="1" ht="13.8" thickBot="1" x14ac:dyDescent="0.3">
      <c r="D1820" s="307"/>
      <c r="E1820" s="26"/>
      <c r="F1820" s="206"/>
      <c r="G1820" s="207"/>
      <c r="H1820" s="207"/>
      <c r="I1820" s="51"/>
      <c r="J1820" s="308"/>
      <c r="K1820" s="308"/>
      <c r="L1820" s="308"/>
      <c r="M1820" s="308"/>
      <c r="N1820" s="308"/>
      <c r="O1820" s="308"/>
      <c r="P1820" s="308"/>
      <c r="Q1820" s="309"/>
    </row>
    <row r="1821" spans="4:17" s="16" customFormat="1" ht="13.2" x14ac:dyDescent="0.25">
      <c r="D1821" s="796" t="s">
        <v>1680</v>
      </c>
      <c r="E1821" s="797"/>
      <c r="F1821" s="797"/>
      <c r="G1821" s="797"/>
      <c r="H1821" s="797"/>
      <c r="I1821" s="47">
        <f>SUM(I1822:I1831)</f>
        <v>0</v>
      </c>
      <c r="J1821" s="47">
        <f t="shared" ref="J1821:Q1821" si="2161">SUM(J1822:J1831)</f>
        <v>0</v>
      </c>
      <c r="K1821" s="47">
        <f t="shared" si="2161"/>
        <v>0</v>
      </c>
      <c r="L1821" s="47">
        <f t="shared" si="2161"/>
        <v>0</v>
      </c>
      <c r="M1821" s="47">
        <f t="shared" si="2161"/>
        <v>0</v>
      </c>
      <c r="N1821" s="47">
        <f t="shared" si="2161"/>
        <v>0</v>
      </c>
      <c r="O1821" s="47">
        <f t="shared" si="2161"/>
        <v>0</v>
      </c>
      <c r="P1821" s="47">
        <f t="shared" si="2161"/>
        <v>0</v>
      </c>
      <c r="Q1821" s="47">
        <f t="shared" si="2161"/>
        <v>0</v>
      </c>
    </row>
    <row r="1822" spans="4:17" s="16" customFormat="1" ht="13.2" x14ac:dyDescent="0.25">
      <c r="D1822" s="235"/>
      <c r="E1822" s="237"/>
      <c r="F1822" s="238"/>
      <c r="G1822" s="239"/>
      <c r="H1822" s="239">
        <f t="shared" ref="H1822:H1831" si="2162">E1822*G1822</f>
        <v>0</v>
      </c>
      <c r="I1822" s="131">
        <f t="shared" ref="I1822:I1831" si="2163">IF($F1822=4.2,H1822*$B$23,0)</f>
        <v>0</v>
      </c>
      <c r="J1822" s="31">
        <f t="shared" ref="J1822:J1831" si="2164">IF($F1822=5,$H1822*$B$24,0)</f>
        <v>0</v>
      </c>
      <c r="K1822" s="31">
        <f t="shared" ref="K1822:K1831" si="2165">IF($F1822=6.3,$H1822*$B$25,0)</f>
        <v>0</v>
      </c>
      <c r="L1822" s="31">
        <f t="shared" ref="L1822:L1831" si="2166">IF($F1822=8,$H1822*$B$26,0)</f>
        <v>0</v>
      </c>
      <c r="M1822" s="31">
        <f t="shared" ref="M1822:M1831" si="2167">IF($F1822=10,$H1822*$B$27,0)</f>
        <v>0</v>
      </c>
      <c r="N1822" s="31">
        <f t="shared" ref="N1822:N1831" si="2168">IF($F1822=12.5,$H1822*$B$28,0)</f>
        <v>0</v>
      </c>
      <c r="O1822" s="31">
        <f t="shared" ref="O1822:O1831" si="2169">IF($F1822=16,$H1822*$B$29,0)</f>
        <v>0</v>
      </c>
      <c r="P1822" s="31">
        <f t="shared" ref="P1822:P1831" si="2170">IF($F1822=20,$H1822*$B$30,0)</f>
        <v>0</v>
      </c>
      <c r="Q1822" s="49">
        <f t="shared" ref="Q1822:Q1831" si="2171">IF($F1822=25,$H1822*$B$31,0)</f>
        <v>0</v>
      </c>
    </row>
    <row r="1823" spans="4:17" s="16" customFormat="1" ht="13.2" x14ac:dyDescent="0.25">
      <c r="D1823" s="235"/>
      <c r="E1823" s="240"/>
      <c r="F1823" s="241"/>
      <c r="G1823" s="242"/>
      <c r="H1823" s="239">
        <f t="shared" si="2162"/>
        <v>0</v>
      </c>
      <c r="I1823" s="131">
        <f t="shared" si="2163"/>
        <v>0</v>
      </c>
      <c r="J1823" s="31">
        <f t="shared" si="2164"/>
        <v>0</v>
      </c>
      <c r="K1823" s="31">
        <f t="shared" si="2165"/>
        <v>0</v>
      </c>
      <c r="L1823" s="31">
        <f t="shared" si="2166"/>
        <v>0</v>
      </c>
      <c r="M1823" s="31">
        <f t="shared" si="2167"/>
        <v>0</v>
      </c>
      <c r="N1823" s="31">
        <f t="shared" si="2168"/>
        <v>0</v>
      </c>
      <c r="O1823" s="31">
        <f t="shared" si="2169"/>
        <v>0</v>
      </c>
      <c r="P1823" s="31">
        <f t="shared" si="2170"/>
        <v>0</v>
      </c>
      <c r="Q1823" s="49">
        <f t="shared" si="2171"/>
        <v>0</v>
      </c>
    </row>
    <row r="1824" spans="4:17" s="16" customFormat="1" ht="13.2" x14ac:dyDescent="0.25">
      <c r="D1824" s="235"/>
      <c r="E1824" s="240"/>
      <c r="F1824" s="241"/>
      <c r="G1824" s="242"/>
      <c r="H1824" s="239">
        <f t="shared" si="2162"/>
        <v>0</v>
      </c>
      <c r="I1824" s="131">
        <f t="shared" si="2163"/>
        <v>0</v>
      </c>
      <c r="J1824" s="31">
        <f t="shared" si="2164"/>
        <v>0</v>
      </c>
      <c r="K1824" s="31">
        <f t="shared" si="2165"/>
        <v>0</v>
      </c>
      <c r="L1824" s="31">
        <f t="shared" si="2166"/>
        <v>0</v>
      </c>
      <c r="M1824" s="31">
        <f t="shared" si="2167"/>
        <v>0</v>
      </c>
      <c r="N1824" s="31">
        <f t="shared" si="2168"/>
        <v>0</v>
      </c>
      <c r="O1824" s="31">
        <f t="shared" si="2169"/>
        <v>0</v>
      </c>
      <c r="P1824" s="31">
        <f t="shared" si="2170"/>
        <v>0</v>
      </c>
      <c r="Q1824" s="49">
        <f t="shared" si="2171"/>
        <v>0</v>
      </c>
    </row>
    <row r="1825" spans="4:17" s="16" customFormat="1" ht="13.2" x14ac:dyDescent="0.25">
      <c r="D1825" s="235"/>
      <c r="E1825" s="240"/>
      <c r="F1825" s="241"/>
      <c r="G1825" s="242"/>
      <c r="H1825" s="239">
        <f t="shared" si="2162"/>
        <v>0</v>
      </c>
      <c r="I1825" s="131">
        <f t="shared" si="2163"/>
        <v>0</v>
      </c>
      <c r="J1825" s="31">
        <f t="shared" si="2164"/>
        <v>0</v>
      </c>
      <c r="K1825" s="31">
        <f t="shared" si="2165"/>
        <v>0</v>
      </c>
      <c r="L1825" s="31">
        <f t="shared" si="2166"/>
        <v>0</v>
      </c>
      <c r="M1825" s="31">
        <f t="shared" si="2167"/>
        <v>0</v>
      </c>
      <c r="N1825" s="31">
        <f t="shared" si="2168"/>
        <v>0</v>
      </c>
      <c r="O1825" s="31">
        <f t="shared" si="2169"/>
        <v>0</v>
      </c>
      <c r="P1825" s="31">
        <f t="shared" si="2170"/>
        <v>0</v>
      </c>
      <c r="Q1825" s="49">
        <f t="shared" si="2171"/>
        <v>0</v>
      </c>
    </row>
    <row r="1826" spans="4:17" s="16" customFormat="1" ht="13.2" x14ac:dyDescent="0.25">
      <c r="D1826" s="235"/>
      <c r="E1826" s="240"/>
      <c r="F1826" s="241"/>
      <c r="G1826" s="242"/>
      <c r="H1826" s="239">
        <f t="shared" si="2162"/>
        <v>0</v>
      </c>
      <c r="I1826" s="131">
        <f t="shared" si="2163"/>
        <v>0</v>
      </c>
      <c r="J1826" s="31">
        <f t="shared" si="2164"/>
        <v>0</v>
      </c>
      <c r="K1826" s="31">
        <f t="shared" si="2165"/>
        <v>0</v>
      </c>
      <c r="L1826" s="31">
        <f t="shared" si="2166"/>
        <v>0</v>
      </c>
      <c r="M1826" s="31">
        <f t="shared" si="2167"/>
        <v>0</v>
      </c>
      <c r="N1826" s="31">
        <f t="shared" si="2168"/>
        <v>0</v>
      </c>
      <c r="O1826" s="31">
        <f t="shared" si="2169"/>
        <v>0</v>
      </c>
      <c r="P1826" s="31">
        <f t="shared" si="2170"/>
        <v>0</v>
      </c>
      <c r="Q1826" s="49">
        <f t="shared" si="2171"/>
        <v>0</v>
      </c>
    </row>
    <row r="1827" spans="4:17" s="16" customFormat="1" ht="13.2" x14ac:dyDescent="0.25">
      <c r="D1827" s="235"/>
      <c r="E1827" s="240"/>
      <c r="F1827" s="241"/>
      <c r="G1827" s="242"/>
      <c r="H1827" s="239">
        <f t="shared" si="2162"/>
        <v>0</v>
      </c>
      <c r="I1827" s="131">
        <f t="shared" si="2163"/>
        <v>0</v>
      </c>
      <c r="J1827" s="31">
        <f t="shared" si="2164"/>
        <v>0</v>
      </c>
      <c r="K1827" s="31">
        <f t="shared" si="2165"/>
        <v>0</v>
      </c>
      <c r="L1827" s="31">
        <f t="shared" si="2166"/>
        <v>0</v>
      </c>
      <c r="M1827" s="31">
        <f t="shared" si="2167"/>
        <v>0</v>
      </c>
      <c r="N1827" s="31">
        <f t="shared" si="2168"/>
        <v>0</v>
      </c>
      <c r="O1827" s="31">
        <f t="shared" si="2169"/>
        <v>0</v>
      </c>
      <c r="P1827" s="31">
        <f t="shared" si="2170"/>
        <v>0</v>
      </c>
      <c r="Q1827" s="49">
        <f t="shared" si="2171"/>
        <v>0</v>
      </c>
    </row>
    <row r="1828" spans="4:17" s="16" customFormat="1" ht="13.2" x14ac:dyDescent="0.25">
      <c r="D1828" s="235"/>
      <c r="E1828" s="240"/>
      <c r="F1828" s="241"/>
      <c r="G1828" s="242"/>
      <c r="H1828" s="239">
        <f t="shared" si="2162"/>
        <v>0</v>
      </c>
      <c r="I1828" s="131">
        <f t="shared" si="2163"/>
        <v>0</v>
      </c>
      <c r="J1828" s="31">
        <f t="shared" si="2164"/>
        <v>0</v>
      </c>
      <c r="K1828" s="31">
        <f t="shared" si="2165"/>
        <v>0</v>
      </c>
      <c r="L1828" s="31">
        <f t="shared" si="2166"/>
        <v>0</v>
      </c>
      <c r="M1828" s="31">
        <f t="shared" si="2167"/>
        <v>0</v>
      </c>
      <c r="N1828" s="31">
        <f t="shared" si="2168"/>
        <v>0</v>
      </c>
      <c r="O1828" s="31">
        <f t="shared" si="2169"/>
        <v>0</v>
      </c>
      <c r="P1828" s="31">
        <f t="shared" si="2170"/>
        <v>0</v>
      </c>
      <c r="Q1828" s="49">
        <f t="shared" si="2171"/>
        <v>0</v>
      </c>
    </row>
    <row r="1829" spans="4:17" s="16" customFormat="1" ht="13.2" x14ac:dyDescent="0.25">
      <c r="D1829" s="235"/>
      <c r="E1829" s="240"/>
      <c r="F1829" s="241"/>
      <c r="G1829" s="242"/>
      <c r="H1829" s="239">
        <f t="shared" si="2162"/>
        <v>0</v>
      </c>
      <c r="I1829" s="131">
        <f t="shared" si="2163"/>
        <v>0</v>
      </c>
      <c r="J1829" s="31">
        <f t="shared" si="2164"/>
        <v>0</v>
      </c>
      <c r="K1829" s="31">
        <f t="shared" si="2165"/>
        <v>0</v>
      </c>
      <c r="L1829" s="31">
        <f t="shared" si="2166"/>
        <v>0</v>
      </c>
      <c r="M1829" s="31">
        <f t="shared" si="2167"/>
        <v>0</v>
      </c>
      <c r="N1829" s="31">
        <f t="shared" si="2168"/>
        <v>0</v>
      </c>
      <c r="O1829" s="31">
        <f t="shared" si="2169"/>
        <v>0</v>
      </c>
      <c r="P1829" s="31">
        <f t="shared" si="2170"/>
        <v>0</v>
      </c>
      <c r="Q1829" s="49">
        <f t="shared" si="2171"/>
        <v>0</v>
      </c>
    </row>
    <row r="1830" spans="4:17" s="16" customFormat="1" ht="13.2" x14ac:dyDescent="0.25">
      <c r="D1830" s="235"/>
      <c r="E1830" s="240"/>
      <c r="F1830" s="241"/>
      <c r="G1830" s="242"/>
      <c r="H1830" s="239">
        <f t="shared" si="2162"/>
        <v>0</v>
      </c>
      <c r="I1830" s="131">
        <f t="shared" si="2163"/>
        <v>0</v>
      </c>
      <c r="J1830" s="31">
        <f t="shared" si="2164"/>
        <v>0</v>
      </c>
      <c r="K1830" s="31">
        <f t="shared" si="2165"/>
        <v>0</v>
      </c>
      <c r="L1830" s="31">
        <f t="shared" si="2166"/>
        <v>0</v>
      </c>
      <c r="M1830" s="31">
        <f t="shared" si="2167"/>
        <v>0</v>
      </c>
      <c r="N1830" s="31">
        <f t="shared" si="2168"/>
        <v>0</v>
      </c>
      <c r="O1830" s="31">
        <f t="shared" si="2169"/>
        <v>0</v>
      </c>
      <c r="P1830" s="31">
        <f t="shared" si="2170"/>
        <v>0</v>
      </c>
      <c r="Q1830" s="49">
        <f t="shared" si="2171"/>
        <v>0</v>
      </c>
    </row>
    <row r="1831" spans="4:17" s="16" customFormat="1" ht="13.2" x14ac:dyDescent="0.25">
      <c r="D1831" s="235"/>
      <c r="E1831" s="240"/>
      <c r="F1831" s="241"/>
      <c r="G1831" s="242"/>
      <c r="H1831" s="239">
        <f t="shared" si="2162"/>
        <v>0</v>
      </c>
      <c r="I1831" s="131">
        <f t="shared" si="2163"/>
        <v>0</v>
      </c>
      <c r="J1831" s="31">
        <f t="shared" si="2164"/>
        <v>0</v>
      </c>
      <c r="K1831" s="31">
        <f t="shared" si="2165"/>
        <v>0</v>
      </c>
      <c r="L1831" s="31">
        <f t="shared" si="2166"/>
        <v>0</v>
      </c>
      <c r="M1831" s="31">
        <f t="shared" si="2167"/>
        <v>0</v>
      </c>
      <c r="N1831" s="31">
        <f t="shared" si="2168"/>
        <v>0</v>
      </c>
      <c r="O1831" s="31">
        <f t="shared" si="2169"/>
        <v>0</v>
      </c>
      <c r="P1831" s="31">
        <f t="shared" si="2170"/>
        <v>0</v>
      </c>
      <c r="Q1831" s="49">
        <f t="shared" si="2171"/>
        <v>0</v>
      </c>
    </row>
    <row r="1832" spans="4:17" s="16" customFormat="1" ht="13.8" thickBot="1" x14ac:dyDescent="0.3">
      <c r="D1832" s="307"/>
      <c r="E1832" s="26"/>
      <c r="F1832" s="206"/>
      <c r="G1832" s="207"/>
      <c r="H1832" s="207"/>
      <c r="I1832" s="51"/>
      <c r="J1832" s="308"/>
      <c r="K1832" s="308"/>
      <c r="L1832" s="308"/>
      <c r="M1832" s="308"/>
      <c r="N1832" s="308"/>
      <c r="O1832" s="308"/>
      <c r="P1832" s="308"/>
      <c r="Q1832" s="309"/>
    </row>
    <row r="1833" spans="4:17" s="16" customFormat="1" ht="13.2" x14ac:dyDescent="0.25">
      <c r="D1833" s="796" t="s">
        <v>1680</v>
      </c>
      <c r="E1833" s="797"/>
      <c r="F1833" s="797"/>
      <c r="G1833" s="797"/>
      <c r="H1833" s="797"/>
      <c r="I1833" s="47">
        <f>SUM(I1834:I1843)</f>
        <v>0</v>
      </c>
      <c r="J1833" s="47">
        <f t="shared" ref="J1833:Q1833" si="2172">SUM(J1834:J1843)</f>
        <v>0</v>
      </c>
      <c r="K1833" s="47">
        <f t="shared" si="2172"/>
        <v>0</v>
      </c>
      <c r="L1833" s="47">
        <f t="shared" si="2172"/>
        <v>0</v>
      </c>
      <c r="M1833" s="47">
        <f t="shared" si="2172"/>
        <v>0</v>
      </c>
      <c r="N1833" s="47">
        <f t="shared" si="2172"/>
        <v>0</v>
      </c>
      <c r="O1833" s="47">
        <f t="shared" si="2172"/>
        <v>0</v>
      </c>
      <c r="P1833" s="47">
        <f t="shared" si="2172"/>
        <v>0</v>
      </c>
      <c r="Q1833" s="47">
        <f t="shared" si="2172"/>
        <v>0</v>
      </c>
    </row>
    <row r="1834" spans="4:17" s="16" customFormat="1" ht="13.2" x14ac:dyDescent="0.25">
      <c r="D1834" s="235"/>
      <c r="E1834" s="237"/>
      <c r="F1834" s="238"/>
      <c r="G1834" s="239"/>
      <c r="H1834" s="239">
        <f t="shared" ref="H1834:H1843" si="2173">E1834*G1834</f>
        <v>0</v>
      </c>
      <c r="I1834" s="131">
        <f t="shared" ref="I1834:I1843" si="2174">IF($F1834=4.2,H1834*$B$23,0)</f>
        <v>0</v>
      </c>
      <c r="J1834" s="31">
        <f t="shared" ref="J1834:J1843" si="2175">IF($F1834=5,$H1834*$B$24,0)</f>
        <v>0</v>
      </c>
      <c r="K1834" s="31">
        <f t="shared" ref="K1834:K1843" si="2176">IF($F1834=6.3,$H1834*$B$25,0)</f>
        <v>0</v>
      </c>
      <c r="L1834" s="31">
        <f t="shared" ref="L1834:L1843" si="2177">IF($F1834=8,$H1834*$B$26,0)</f>
        <v>0</v>
      </c>
      <c r="M1834" s="31">
        <f t="shared" ref="M1834:M1843" si="2178">IF($F1834=10,$H1834*$B$27,0)</f>
        <v>0</v>
      </c>
      <c r="N1834" s="31">
        <f t="shared" ref="N1834:N1843" si="2179">IF($F1834=12.5,$H1834*$B$28,0)</f>
        <v>0</v>
      </c>
      <c r="O1834" s="31">
        <f t="shared" ref="O1834:O1843" si="2180">IF($F1834=16,$H1834*$B$29,0)</f>
        <v>0</v>
      </c>
      <c r="P1834" s="31">
        <f t="shared" ref="P1834:P1843" si="2181">IF($F1834=20,$H1834*$B$30,0)</f>
        <v>0</v>
      </c>
      <c r="Q1834" s="49">
        <f t="shared" ref="Q1834:Q1843" si="2182">IF($F1834=25,$H1834*$B$31,0)</f>
        <v>0</v>
      </c>
    </row>
    <row r="1835" spans="4:17" s="16" customFormat="1" ht="13.2" x14ac:dyDescent="0.25">
      <c r="D1835" s="235"/>
      <c r="E1835" s="240"/>
      <c r="F1835" s="241"/>
      <c r="G1835" s="242"/>
      <c r="H1835" s="239">
        <f t="shared" si="2173"/>
        <v>0</v>
      </c>
      <c r="I1835" s="131">
        <f t="shared" si="2174"/>
        <v>0</v>
      </c>
      <c r="J1835" s="31">
        <f t="shared" si="2175"/>
        <v>0</v>
      </c>
      <c r="K1835" s="31">
        <f t="shared" si="2176"/>
        <v>0</v>
      </c>
      <c r="L1835" s="31">
        <f t="shared" si="2177"/>
        <v>0</v>
      </c>
      <c r="M1835" s="31">
        <f t="shared" si="2178"/>
        <v>0</v>
      </c>
      <c r="N1835" s="31">
        <f t="shared" si="2179"/>
        <v>0</v>
      </c>
      <c r="O1835" s="31">
        <f t="shared" si="2180"/>
        <v>0</v>
      </c>
      <c r="P1835" s="31">
        <f t="shared" si="2181"/>
        <v>0</v>
      </c>
      <c r="Q1835" s="49">
        <f t="shared" si="2182"/>
        <v>0</v>
      </c>
    </row>
    <row r="1836" spans="4:17" s="16" customFormat="1" ht="13.2" x14ac:dyDescent="0.25">
      <c r="D1836" s="235"/>
      <c r="E1836" s="240"/>
      <c r="F1836" s="241"/>
      <c r="G1836" s="242"/>
      <c r="H1836" s="239">
        <f t="shared" si="2173"/>
        <v>0</v>
      </c>
      <c r="I1836" s="131">
        <f t="shared" si="2174"/>
        <v>0</v>
      </c>
      <c r="J1836" s="31">
        <f t="shared" si="2175"/>
        <v>0</v>
      </c>
      <c r="K1836" s="31">
        <f t="shared" si="2176"/>
        <v>0</v>
      </c>
      <c r="L1836" s="31">
        <f t="shared" si="2177"/>
        <v>0</v>
      </c>
      <c r="M1836" s="31">
        <f t="shared" si="2178"/>
        <v>0</v>
      </c>
      <c r="N1836" s="31">
        <f t="shared" si="2179"/>
        <v>0</v>
      </c>
      <c r="O1836" s="31">
        <f t="shared" si="2180"/>
        <v>0</v>
      </c>
      <c r="P1836" s="31">
        <f t="shared" si="2181"/>
        <v>0</v>
      </c>
      <c r="Q1836" s="49">
        <f t="shared" si="2182"/>
        <v>0</v>
      </c>
    </row>
    <row r="1837" spans="4:17" s="16" customFormat="1" ht="13.2" x14ac:dyDescent="0.25">
      <c r="D1837" s="235"/>
      <c r="E1837" s="240"/>
      <c r="F1837" s="241"/>
      <c r="G1837" s="242"/>
      <c r="H1837" s="239">
        <f t="shared" si="2173"/>
        <v>0</v>
      </c>
      <c r="I1837" s="131">
        <f t="shared" si="2174"/>
        <v>0</v>
      </c>
      <c r="J1837" s="31">
        <f t="shared" si="2175"/>
        <v>0</v>
      </c>
      <c r="K1837" s="31">
        <f t="shared" si="2176"/>
        <v>0</v>
      </c>
      <c r="L1837" s="31">
        <f t="shared" si="2177"/>
        <v>0</v>
      </c>
      <c r="M1837" s="31">
        <f t="shared" si="2178"/>
        <v>0</v>
      </c>
      <c r="N1837" s="31">
        <f t="shared" si="2179"/>
        <v>0</v>
      </c>
      <c r="O1837" s="31">
        <f t="shared" si="2180"/>
        <v>0</v>
      </c>
      <c r="P1837" s="31">
        <f t="shared" si="2181"/>
        <v>0</v>
      </c>
      <c r="Q1837" s="49">
        <f t="shared" si="2182"/>
        <v>0</v>
      </c>
    </row>
    <row r="1838" spans="4:17" s="16" customFormat="1" ht="13.2" x14ac:dyDescent="0.25">
      <c r="D1838" s="235"/>
      <c r="E1838" s="240"/>
      <c r="F1838" s="241"/>
      <c r="G1838" s="242"/>
      <c r="H1838" s="239">
        <f t="shared" si="2173"/>
        <v>0</v>
      </c>
      <c r="I1838" s="131">
        <f t="shared" si="2174"/>
        <v>0</v>
      </c>
      <c r="J1838" s="31">
        <f t="shared" si="2175"/>
        <v>0</v>
      </c>
      <c r="K1838" s="31">
        <f t="shared" si="2176"/>
        <v>0</v>
      </c>
      <c r="L1838" s="31">
        <f t="shared" si="2177"/>
        <v>0</v>
      </c>
      <c r="M1838" s="31">
        <f t="shared" si="2178"/>
        <v>0</v>
      </c>
      <c r="N1838" s="31">
        <f t="shared" si="2179"/>
        <v>0</v>
      </c>
      <c r="O1838" s="31">
        <f t="shared" si="2180"/>
        <v>0</v>
      </c>
      <c r="P1838" s="31">
        <f t="shared" si="2181"/>
        <v>0</v>
      </c>
      <c r="Q1838" s="49">
        <f t="shared" si="2182"/>
        <v>0</v>
      </c>
    </row>
    <row r="1839" spans="4:17" s="16" customFormat="1" ht="13.2" x14ac:dyDescent="0.25">
      <c r="D1839" s="235"/>
      <c r="E1839" s="240"/>
      <c r="F1839" s="241"/>
      <c r="G1839" s="242"/>
      <c r="H1839" s="239">
        <f t="shared" si="2173"/>
        <v>0</v>
      </c>
      <c r="I1839" s="131">
        <f t="shared" si="2174"/>
        <v>0</v>
      </c>
      <c r="J1839" s="31">
        <f t="shared" si="2175"/>
        <v>0</v>
      </c>
      <c r="K1839" s="31">
        <f t="shared" si="2176"/>
        <v>0</v>
      </c>
      <c r="L1839" s="31">
        <f t="shared" si="2177"/>
        <v>0</v>
      </c>
      <c r="M1839" s="31">
        <f t="shared" si="2178"/>
        <v>0</v>
      </c>
      <c r="N1839" s="31">
        <f t="shared" si="2179"/>
        <v>0</v>
      </c>
      <c r="O1839" s="31">
        <f t="shared" si="2180"/>
        <v>0</v>
      </c>
      <c r="P1839" s="31">
        <f t="shared" si="2181"/>
        <v>0</v>
      </c>
      <c r="Q1839" s="49">
        <f t="shared" si="2182"/>
        <v>0</v>
      </c>
    </row>
    <row r="1840" spans="4:17" s="16" customFormat="1" ht="13.2" x14ac:dyDescent="0.25">
      <c r="D1840" s="235"/>
      <c r="E1840" s="240"/>
      <c r="F1840" s="241"/>
      <c r="G1840" s="242"/>
      <c r="H1840" s="239">
        <f t="shared" si="2173"/>
        <v>0</v>
      </c>
      <c r="I1840" s="131">
        <f t="shared" si="2174"/>
        <v>0</v>
      </c>
      <c r="J1840" s="31">
        <f t="shared" si="2175"/>
        <v>0</v>
      </c>
      <c r="K1840" s="31">
        <f t="shared" si="2176"/>
        <v>0</v>
      </c>
      <c r="L1840" s="31">
        <f t="shared" si="2177"/>
        <v>0</v>
      </c>
      <c r="M1840" s="31">
        <f t="shared" si="2178"/>
        <v>0</v>
      </c>
      <c r="N1840" s="31">
        <f t="shared" si="2179"/>
        <v>0</v>
      </c>
      <c r="O1840" s="31">
        <f t="shared" si="2180"/>
        <v>0</v>
      </c>
      <c r="P1840" s="31">
        <f t="shared" si="2181"/>
        <v>0</v>
      </c>
      <c r="Q1840" s="49">
        <f t="shared" si="2182"/>
        <v>0</v>
      </c>
    </row>
    <row r="1841" spans="4:17" s="16" customFormat="1" ht="13.2" x14ac:dyDescent="0.25">
      <c r="D1841" s="235"/>
      <c r="E1841" s="240"/>
      <c r="F1841" s="241"/>
      <c r="G1841" s="242"/>
      <c r="H1841" s="239">
        <f t="shared" si="2173"/>
        <v>0</v>
      </c>
      <c r="I1841" s="131">
        <f t="shared" si="2174"/>
        <v>0</v>
      </c>
      <c r="J1841" s="31">
        <f t="shared" si="2175"/>
        <v>0</v>
      </c>
      <c r="K1841" s="31">
        <f t="shared" si="2176"/>
        <v>0</v>
      </c>
      <c r="L1841" s="31">
        <f t="shared" si="2177"/>
        <v>0</v>
      </c>
      <c r="M1841" s="31">
        <f t="shared" si="2178"/>
        <v>0</v>
      </c>
      <c r="N1841" s="31">
        <f t="shared" si="2179"/>
        <v>0</v>
      </c>
      <c r="O1841" s="31">
        <f t="shared" si="2180"/>
        <v>0</v>
      </c>
      <c r="P1841" s="31">
        <f t="shared" si="2181"/>
        <v>0</v>
      </c>
      <c r="Q1841" s="49">
        <f t="shared" si="2182"/>
        <v>0</v>
      </c>
    </row>
    <row r="1842" spans="4:17" s="16" customFormat="1" ht="13.2" x14ac:dyDescent="0.25">
      <c r="D1842" s="235"/>
      <c r="E1842" s="240"/>
      <c r="F1842" s="241"/>
      <c r="G1842" s="242"/>
      <c r="H1842" s="239">
        <f t="shared" si="2173"/>
        <v>0</v>
      </c>
      <c r="I1842" s="131">
        <f t="shared" si="2174"/>
        <v>0</v>
      </c>
      <c r="J1842" s="31">
        <f t="shared" si="2175"/>
        <v>0</v>
      </c>
      <c r="K1842" s="31">
        <f t="shared" si="2176"/>
        <v>0</v>
      </c>
      <c r="L1842" s="31">
        <f t="shared" si="2177"/>
        <v>0</v>
      </c>
      <c r="M1842" s="31">
        <f t="shared" si="2178"/>
        <v>0</v>
      </c>
      <c r="N1842" s="31">
        <f t="shared" si="2179"/>
        <v>0</v>
      </c>
      <c r="O1842" s="31">
        <f t="shared" si="2180"/>
        <v>0</v>
      </c>
      <c r="P1842" s="31">
        <f t="shared" si="2181"/>
        <v>0</v>
      </c>
      <c r="Q1842" s="49">
        <f t="shared" si="2182"/>
        <v>0</v>
      </c>
    </row>
    <row r="1843" spans="4:17" s="16" customFormat="1" ht="13.2" x14ac:dyDescent="0.25">
      <c r="D1843" s="235"/>
      <c r="E1843" s="240"/>
      <c r="F1843" s="241"/>
      <c r="G1843" s="242"/>
      <c r="H1843" s="239">
        <f t="shared" si="2173"/>
        <v>0</v>
      </c>
      <c r="I1843" s="131">
        <f t="shared" si="2174"/>
        <v>0</v>
      </c>
      <c r="J1843" s="31">
        <f t="shared" si="2175"/>
        <v>0</v>
      </c>
      <c r="K1843" s="31">
        <f t="shared" si="2176"/>
        <v>0</v>
      </c>
      <c r="L1843" s="31">
        <f t="shared" si="2177"/>
        <v>0</v>
      </c>
      <c r="M1843" s="31">
        <f t="shared" si="2178"/>
        <v>0</v>
      </c>
      <c r="N1843" s="31">
        <f t="shared" si="2179"/>
        <v>0</v>
      </c>
      <c r="O1843" s="31">
        <f t="shared" si="2180"/>
        <v>0</v>
      </c>
      <c r="P1843" s="31">
        <f t="shared" si="2181"/>
        <v>0</v>
      </c>
      <c r="Q1843" s="49">
        <f t="shared" si="2182"/>
        <v>0</v>
      </c>
    </row>
    <row r="1844" spans="4:17" s="16" customFormat="1" ht="13.8" thickBot="1" x14ac:dyDescent="0.3">
      <c r="D1844" s="307"/>
      <c r="E1844" s="26"/>
      <c r="F1844" s="206"/>
      <c r="G1844" s="207"/>
      <c r="H1844" s="207"/>
      <c r="I1844" s="51"/>
      <c r="J1844" s="308"/>
      <c r="K1844" s="308"/>
      <c r="L1844" s="308"/>
      <c r="M1844" s="308"/>
      <c r="N1844" s="308"/>
      <c r="O1844" s="308"/>
      <c r="P1844" s="308"/>
      <c r="Q1844" s="309"/>
    </row>
    <row r="1845" spans="4:17" s="16" customFormat="1" ht="13.2" x14ac:dyDescent="0.25">
      <c r="D1845" s="796" t="s">
        <v>1680</v>
      </c>
      <c r="E1845" s="797"/>
      <c r="F1845" s="797"/>
      <c r="G1845" s="797"/>
      <c r="H1845" s="797"/>
      <c r="I1845" s="47">
        <f>SUM(I1846:I1855)</f>
        <v>0</v>
      </c>
      <c r="J1845" s="47">
        <f t="shared" ref="J1845:Q1845" si="2183">SUM(J1846:J1855)</f>
        <v>0</v>
      </c>
      <c r="K1845" s="47">
        <f t="shared" si="2183"/>
        <v>0</v>
      </c>
      <c r="L1845" s="47">
        <f t="shared" si="2183"/>
        <v>0</v>
      </c>
      <c r="M1845" s="47">
        <f t="shared" si="2183"/>
        <v>0</v>
      </c>
      <c r="N1845" s="47">
        <f t="shared" si="2183"/>
        <v>0</v>
      </c>
      <c r="O1845" s="47">
        <f t="shared" si="2183"/>
        <v>0</v>
      </c>
      <c r="P1845" s="47">
        <f t="shared" si="2183"/>
        <v>0</v>
      </c>
      <c r="Q1845" s="47">
        <f t="shared" si="2183"/>
        <v>0</v>
      </c>
    </row>
    <row r="1846" spans="4:17" s="16" customFormat="1" ht="13.2" x14ac:dyDescent="0.25">
      <c r="D1846" s="235"/>
      <c r="E1846" s="237"/>
      <c r="F1846" s="238"/>
      <c r="G1846" s="239"/>
      <c r="H1846" s="239">
        <f t="shared" ref="H1846:H1855" si="2184">E1846*G1846</f>
        <v>0</v>
      </c>
      <c r="I1846" s="131">
        <f t="shared" ref="I1846:I1855" si="2185">IF($F1846=4.2,H1846*$B$23,0)</f>
        <v>0</v>
      </c>
      <c r="J1846" s="31">
        <f t="shared" ref="J1846:J1855" si="2186">IF($F1846=5,$H1846*$B$24,0)</f>
        <v>0</v>
      </c>
      <c r="K1846" s="31">
        <f t="shared" ref="K1846:K1855" si="2187">IF($F1846=6.3,$H1846*$B$25,0)</f>
        <v>0</v>
      </c>
      <c r="L1846" s="31">
        <f t="shared" ref="L1846:L1855" si="2188">IF($F1846=8,$H1846*$B$26,0)</f>
        <v>0</v>
      </c>
      <c r="M1846" s="31">
        <f t="shared" ref="M1846:M1855" si="2189">IF($F1846=10,$H1846*$B$27,0)</f>
        <v>0</v>
      </c>
      <c r="N1846" s="31">
        <f t="shared" ref="N1846:N1855" si="2190">IF($F1846=12.5,$H1846*$B$28,0)</f>
        <v>0</v>
      </c>
      <c r="O1846" s="31">
        <f t="shared" ref="O1846:O1855" si="2191">IF($F1846=16,$H1846*$B$29,0)</f>
        <v>0</v>
      </c>
      <c r="P1846" s="31">
        <f t="shared" ref="P1846:P1855" si="2192">IF($F1846=20,$H1846*$B$30,0)</f>
        <v>0</v>
      </c>
      <c r="Q1846" s="49">
        <f t="shared" ref="Q1846:Q1855" si="2193">IF($F1846=25,$H1846*$B$31,0)</f>
        <v>0</v>
      </c>
    </row>
    <row r="1847" spans="4:17" s="16" customFormat="1" ht="13.2" x14ac:dyDescent="0.25">
      <c r="D1847" s="235"/>
      <c r="E1847" s="240"/>
      <c r="F1847" s="241"/>
      <c r="G1847" s="242"/>
      <c r="H1847" s="239">
        <f t="shared" si="2184"/>
        <v>0</v>
      </c>
      <c r="I1847" s="131">
        <f t="shared" si="2185"/>
        <v>0</v>
      </c>
      <c r="J1847" s="31">
        <f t="shared" si="2186"/>
        <v>0</v>
      </c>
      <c r="K1847" s="31">
        <f t="shared" si="2187"/>
        <v>0</v>
      </c>
      <c r="L1847" s="31">
        <f t="shared" si="2188"/>
        <v>0</v>
      </c>
      <c r="M1847" s="31">
        <f t="shared" si="2189"/>
        <v>0</v>
      </c>
      <c r="N1847" s="31">
        <f t="shared" si="2190"/>
        <v>0</v>
      </c>
      <c r="O1847" s="31">
        <f t="shared" si="2191"/>
        <v>0</v>
      </c>
      <c r="P1847" s="31">
        <f t="shared" si="2192"/>
        <v>0</v>
      </c>
      <c r="Q1847" s="49">
        <f t="shared" si="2193"/>
        <v>0</v>
      </c>
    </row>
    <row r="1848" spans="4:17" s="16" customFormat="1" ht="13.2" x14ac:dyDescent="0.25">
      <c r="D1848" s="235"/>
      <c r="E1848" s="240"/>
      <c r="F1848" s="241"/>
      <c r="G1848" s="242"/>
      <c r="H1848" s="239">
        <f t="shared" si="2184"/>
        <v>0</v>
      </c>
      <c r="I1848" s="131">
        <f t="shared" si="2185"/>
        <v>0</v>
      </c>
      <c r="J1848" s="31">
        <f t="shared" si="2186"/>
        <v>0</v>
      </c>
      <c r="K1848" s="31">
        <f t="shared" si="2187"/>
        <v>0</v>
      </c>
      <c r="L1848" s="31">
        <f t="shared" si="2188"/>
        <v>0</v>
      </c>
      <c r="M1848" s="31">
        <f t="shared" si="2189"/>
        <v>0</v>
      </c>
      <c r="N1848" s="31">
        <f t="shared" si="2190"/>
        <v>0</v>
      </c>
      <c r="O1848" s="31">
        <f t="shared" si="2191"/>
        <v>0</v>
      </c>
      <c r="P1848" s="31">
        <f t="shared" si="2192"/>
        <v>0</v>
      </c>
      <c r="Q1848" s="49">
        <f t="shared" si="2193"/>
        <v>0</v>
      </c>
    </row>
    <row r="1849" spans="4:17" s="16" customFormat="1" ht="13.2" x14ac:dyDescent="0.25">
      <c r="D1849" s="235"/>
      <c r="E1849" s="240"/>
      <c r="F1849" s="241"/>
      <c r="G1849" s="242"/>
      <c r="H1849" s="239">
        <f t="shared" si="2184"/>
        <v>0</v>
      </c>
      <c r="I1849" s="131">
        <f t="shared" si="2185"/>
        <v>0</v>
      </c>
      <c r="J1849" s="31">
        <f t="shared" si="2186"/>
        <v>0</v>
      </c>
      <c r="K1849" s="31">
        <f t="shared" si="2187"/>
        <v>0</v>
      </c>
      <c r="L1849" s="31">
        <f t="shared" si="2188"/>
        <v>0</v>
      </c>
      <c r="M1849" s="31">
        <f t="shared" si="2189"/>
        <v>0</v>
      </c>
      <c r="N1849" s="31">
        <f t="shared" si="2190"/>
        <v>0</v>
      </c>
      <c r="O1849" s="31">
        <f t="shared" si="2191"/>
        <v>0</v>
      </c>
      <c r="P1849" s="31">
        <f t="shared" si="2192"/>
        <v>0</v>
      </c>
      <c r="Q1849" s="49">
        <f t="shared" si="2193"/>
        <v>0</v>
      </c>
    </row>
    <row r="1850" spans="4:17" s="16" customFormat="1" ht="13.2" x14ac:dyDescent="0.25">
      <c r="D1850" s="235"/>
      <c r="E1850" s="240"/>
      <c r="F1850" s="241"/>
      <c r="G1850" s="242"/>
      <c r="H1850" s="239">
        <f t="shared" si="2184"/>
        <v>0</v>
      </c>
      <c r="I1850" s="131">
        <f t="shared" si="2185"/>
        <v>0</v>
      </c>
      <c r="J1850" s="31">
        <f t="shared" si="2186"/>
        <v>0</v>
      </c>
      <c r="K1850" s="31">
        <f t="shared" si="2187"/>
        <v>0</v>
      </c>
      <c r="L1850" s="31">
        <f t="shared" si="2188"/>
        <v>0</v>
      </c>
      <c r="M1850" s="31">
        <f t="shared" si="2189"/>
        <v>0</v>
      </c>
      <c r="N1850" s="31">
        <f t="shared" si="2190"/>
        <v>0</v>
      </c>
      <c r="O1850" s="31">
        <f t="shared" si="2191"/>
        <v>0</v>
      </c>
      <c r="P1850" s="31">
        <f t="shared" si="2192"/>
        <v>0</v>
      </c>
      <c r="Q1850" s="49">
        <f t="shared" si="2193"/>
        <v>0</v>
      </c>
    </row>
    <row r="1851" spans="4:17" s="16" customFormat="1" ht="13.2" x14ac:dyDescent="0.25">
      <c r="D1851" s="235"/>
      <c r="E1851" s="240"/>
      <c r="F1851" s="241"/>
      <c r="G1851" s="242"/>
      <c r="H1851" s="239">
        <f t="shared" si="2184"/>
        <v>0</v>
      </c>
      <c r="I1851" s="131">
        <f t="shared" si="2185"/>
        <v>0</v>
      </c>
      <c r="J1851" s="31">
        <f t="shared" si="2186"/>
        <v>0</v>
      </c>
      <c r="K1851" s="31">
        <f t="shared" si="2187"/>
        <v>0</v>
      </c>
      <c r="L1851" s="31">
        <f t="shared" si="2188"/>
        <v>0</v>
      </c>
      <c r="M1851" s="31">
        <f t="shared" si="2189"/>
        <v>0</v>
      </c>
      <c r="N1851" s="31">
        <f t="shared" si="2190"/>
        <v>0</v>
      </c>
      <c r="O1851" s="31">
        <f t="shared" si="2191"/>
        <v>0</v>
      </c>
      <c r="P1851" s="31">
        <f t="shared" si="2192"/>
        <v>0</v>
      </c>
      <c r="Q1851" s="49">
        <f t="shared" si="2193"/>
        <v>0</v>
      </c>
    </row>
    <row r="1852" spans="4:17" s="16" customFormat="1" ht="13.2" x14ac:dyDescent="0.25">
      <c r="D1852" s="235"/>
      <c r="E1852" s="240"/>
      <c r="F1852" s="241"/>
      <c r="G1852" s="242"/>
      <c r="H1852" s="239">
        <f t="shared" si="2184"/>
        <v>0</v>
      </c>
      <c r="I1852" s="131">
        <f t="shared" si="2185"/>
        <v>0</v>
      </c>
      <c r="J1852" s="31">
        <f t="shared" si="2186"/>
        <v>0</v>
      </c>
      <c r="K1852" s="31">
        <f t="shared" si="2187"/>
        <v>0</v>
      </c>
      <c r="L1852" s="31">
        <f t="shared" si="2188"/>
        <v>0</v>
      </c>
      <c r="M1852" s="31">
        <f t="shared" si="2189"/>
        <v>0</v>
      </c>
      <c r="N1852" s="31">
        <f t="shared" si="2190"/>
        <v>0</v>
      </c>
      <c r="O1852" s="31">
        <f t="shared" si="2191"/>
        <v>0</v>
      </c>
      <c r="P1852" s="31">
        <f t="shared" si="2192"/>
        <v>0</v>
      </c>
      <c r="Q1852" s="49">
        <f t="shared" si="2193"/>
        <v>0</v>
      </c>
    </row>
    <row r="1853" spans="4:17" s="16" customFormat="1" ht="13.2" x14ac:dyDescent="0.25">
      <c r="D1853" s="235"/>
      <c r="E1853" s="240"/>
      <c r="F1853" s="241"/>
      <c r="G1853" s="242"/>
      <c r="H1853" s="239">
        <f t="shared" si="2184"/>
        <v>0</v>
      </c>
      <c r="I1853" s="131">
        <f t="shared" si="2185"/>
        <v>0</v>
      </c>
      <c r="J1853" s="31">
        <f t="shared" si="2186"/>
        <v>0</v>
      </c>
      <c r="K1853" s="31">
        <f t="shared" si="2187"/>
        <v>0</v>
      </c>
      <c r="L1853" s="31">
        <f t="shared" si="2188"/>
        <v>0</v>
      </c>
      <c r="M1853" s="31">
        <f t="shared" si="2189"/>
        <v>0</v>
      </c>
      <c r="N1853" s="31">
        <f t="shared" si="2190"/>
        <v>0</v>
      </c>
      <c r="O1853" s="31">
        <f t="shared" si="2191"/>
        <v>0</v>
      </c>
      <c r="P1853" s="31">
        <f t="shared" si="2192"/>
        <v>0</v>
      </c>
      <c r="Q1853" s="49">
        <f t="shared" si="2193"/>
        <v>0</v>
      </c>
    </row>
    <row r="1854" spans="4:17" s="16" customFormat="1" ht="13.2" x14ac:dyDescent="0.25">
      <c r="D1854" s="235"/>
      <c r="E1854" s="240"/>
      <c r="F1854" s="241"/>
      <c r="G1854" s="242"/>
      <c r="H1854" s="239">
        <f t="shared" si="2184"/>
        <v>0</v>
      </c>
      <c r="I1854" s="131">
        <f t="shared" si="2185"/>
        <v>0</v>
      </c>
      <c r="J1854" s="31">
        <f t="shared" si="2186"/>
        <v>0</v>
      </c>
      <c r="K1854" s="31">
        <f t="shared" si="2187"/>
        <v>0</v>
      </c>
      <c r="L1854" s="31">
        <f t="shared" si="2188"/>
        <v>0</v>
      </c>
      <c r="M1854" s="31">
        <f t="shared" si="2189"/>
        <v>0</v>
      </c>
      <c r="N1854" s="31">
        <f t="shared" si="2190"/>
        <v>0</v>
      </c>
      <c r="O1854" s="31">
        <f t="shared" si="2191"/>
        <v>0</v>
      </c>
      <c r="P1854" s="31">
        <f t="shared" si="2192"/>
        <v>0</v>
      </c>
      <c r="Q1854" s="49">
        <f t="shared" si="2193"/>
        <v>0</v>
      </c>
    </row>
    <row r="1855" spans="4:17" s="16" customFormat="1" ht="13.2" x14ac:dyDescent="0.25">
      <c r="D1855" s="235"/>
      <c r="E1855" s="240"/>
      <c r="F1855" s="241"/>
      <c r="G1855" s="242"/>
      <c r="H1855" s="239">
        <f t="shared" si="2184"/>
        <v>0</v>
      </c>
      <c r="I1855" s="131">
        <f t="shared" si="2185"/>
        <v>0</v>
      </c>
      <c r="J1855" s="31">
        <f t="shared" si="2186"/>
        <v>0</v>
      </c>
      <c r="K1855" s="31">
        <f t="shared" si="2187"/>
        <v>0</v>
      </c>
      <c r="L1855" s="31">
        <f t="shared" si="2188"/>
        <v>0</v>
      </c>
      <c r="M1855" s="31">
        <f t="shared" si="2189"/>
        <v>0</v>
      </c>
      <c r="N1855" s="31">
        <f t="shared" si="2190"/>
        <v>0</v>
      </c>
      <c r="O1855" s="31">
        <f t="shared" si="2191"/>
        <v>0</v>
      </c>
      <c r="P1855" s="31">
        <f t="shared" si="2192"/>
        <v>0</v>
      </c>
      <c r="Q1855" s="49">
        <f t="shared" si="2193"/>
        <v>0</v>
      </c>
    </row>
    <row r="1856" spans="4:17" s="16" customFormat="1" ht="13.8" thickBot="1" x14ac:dyDescent="0.3">
      <c r="D1856" s="307"/>
      <c r="E1856" s="26"/>
      <c r="F1856" s="206"/>
      <c r="G1856" s="207"/>
      <c r="H1856" s="207"/>
      <c r="I1856" s="51"/>
      <c r="J1856" s="308"/>
      <c r="K1856" s="308"/>
      <c r="L1856" s="308"/>
      <c r="M1856" s="308"/>
      <c r="N1856" s="308"/>
      <c r="O1856" s="308"/>
      <c r="P1856" s="308"/>
      <c r="Q1856" s="309"/>
    </row>
    <row r="1857" spans="4:17" s="16" customFormat="1" ht="13.2" x14ac:dyDescent="0.25">
      <c r="D1857" s="796" t="s">
        <v>1680</v>
      </c>
      <c r="E1857" s="797"/>
      <c r="F1857" s="797"/>
      <c r="G1857" s="797"/>
      <c r="H1857" s="797"/>
      <c r="I1857" s="47">
        <f>SUM(I1858:I1867)</f>
        <v>0</v>
      </c>
      <c r="J1857" s="47">
        <f t="shared" ref="J1857:Q1857" si="2194">SUM(J1858:J1867)</f>
        <v>0</v>
      </c>
      <c r="K1857" s="47">
        <f t="shared" si="2194"/>
        <v>0</v>
      </c>
      <c r="L1857" s="47">
        <f t="shared" si="2194"/>
        <v>0</v>
      </c>
      <c r="M1857" s="47">
        <f t="shared" si="2194"/>
        <v>0</v>
      </c>
      <c r="N1857" s="47">
        <f t="shared" si="2194"/>
        <v>0</v>
      </c>
      <c r="O1857" s="47">
        <f t="shared" si="2194"/>
        <v>0</v>
      </c>
      <c r="P1857" s="47">
        <f t="shared" si="2194"/>
        <v>0</v>
      </c>
      <c r="Q1857" s="47">
        <f t="shared" si="2194"/>
        <v>0</v>
      </c>
    </row>
    <row r="1858" spans="4:17" s="16" customFormat="1" ht="13.2" x14ac:dyDescent="0.25">
      <c r="D1858" s="235"/>
      <c r="E1858" s="237"/>
      <c r="F1858" s="238"/>
      <c r="G1858" s="239"/>
      <c r="H1858" s="239">
        <f t="shared" ref="H1858:H1867" si="2195">E1858*G1858</f>
        <v>0</v>
      </c>
      <c r="I1858" s="131">
        <f t="shared" ref="I1858:I1867" si="2196">IF($F1858=4.2,H1858*$B$23,0)</f>
        <v>0</v>
      </c>
      <c r="J1858" s="31">
        <f t="shared" ref="J1858:J1867" si="2197">IF($F1858=5,$H1858*$B$24,0)</f>
        <v>0</v>
      </c>
      <c r="K1858" s="31">
        <f t="shared" ref="K1858:K1867" si="2198">IF($F1858=6.3,$H1858*$B$25,0)</f>
        <v>0</v>
      </c>
      <c r="L1858" s="31">
        <f t="shared" ref="L1858:L1867" si="2199">IF($F1858=8,$H1858*$B$26,0)</f>
        <v>0</v>
      </c>
      <c r="M1858" s="31">
        <f t="shared" ref="M1858:M1867" si="2200">IF($F1858=10,$H1858*$B$27,0)</f>
        <v>0</v>
      </c>
      <c r="N1858" s="31">
        <f t="shared" ref="N1858:N1867" si="2201">IF($F1858=12.5,$H1858*$B$28,0)</f>
        <v>0</v>
      </c>
      <c r="O1858" s="31">
        <f t="shared" ref="O1858:O1867" si="2202">IF($F1858=16,$H1858*$B$29,0)</f>
        <v>0</v>
      </c>
      <c r="P1858" s="31">
        <f t="shared" ref="P1858:P1867" si="2203">IF($F1858=20,$H1858*$B$30,0)</f>
        <v>0</v>
      </c>
      <c r="Q1858" s="49">
        <f t="shared" ref="Q1858:Q1867" si="2204">IF($F1858=25,$H1858*$B$31,0)</f>
        <v>0</v>
      </c>
    </row>
    <row r="1859" spans="4:17" s="16" customFormat="1" ht="13.2" x14ac:dyDescent="0.25">
      <c r="D1859" s="235"/>
      <c r="E1859" s="240"/>
      <c r="F1859" s="241"/>
      <c r="G1859" s="242"/>
      <c r="H1859" s="239">
        <f t="shared" si="2195"/>
        <v>0</v>
      </c>
      <c r="I1859" s="131">
        <f t="shared" si="2196"/>
        <v>0</v>
      </c>
      <c r="J1859" s="31">
        <f t="shared" si="2197"/>
        <v>0</v>
      </c>
      <c r="K1859" s="31">
        <f t="shared" si="2198"/>
        <v>0</v>
      </c>
      <c r="L1859" s="31">
        <f t="shared" si="2199"/>
        <v>0</v>
      </c>
      <c r="M1859" s="31">
        <f t="shared" si="2200"/>
        <v>0</v>
      </c>
      <c r="N1859" s="31">
        <f t="shared" si="2201"/>
        <v>0</v>
      </c>
      <c r="O1859" s="31">
        <f t="shared" si="2202"/>
        <v>0</v>
      </c>
      <c r="P1859" s="31">
        <f t="shared" si="2203"/>
        <v>0</v>
      </c>
      <c r="Q1859" s="49">
        <f t="shared" si="2204"/>
        <v>0</v>
      </c>
    </row>
    <row r="1860" spans="4:17" s="16" customFormat="1" ht="13.2" x14ac:dyDescent="0.25">
      <c r="D1860" s="235"/>
      <c r="E1860" s="240"/>
      <c r="F1860" s="241"/>
      <c r="G1860" s="242"/>
      <c r="H1860" s="239">
        <f t="shared" si="2195"/>
        <v>0</v>
      </c>
      <c r="I1860" s="131">
        <f t="shared" si="2196"/>
        <v>0</v>
      </c>
      <c r="J1860" s="31">
        <f t="shared" si="2197"/>
        <v>0</v>
      </c>
      <c r="K1860" s="31">
        <f t="shared" si="2198"/>
        <v>0</v>
      </c>
      <c r="L1860" s="31">
        <f t="shared" si="2199"/>
        <v>0</v>
      </c>
      <c r="M1860" s="31">
        <f t="shared" si="2200"/>
        <v>0</v>
      </c>
      <c r="N1860" s="31">
        <f t="shared" si="2201"/>
        <v>0</v>
      </c>
      <c r="O1860" s="31">
        <f t="shared" si="2202"/>
        <v>0</v>
      </c>
      <c r="P1860" s="31">
        <f t="shared" si="2203"/>
        <v>0</v>
      </c>
      <c r="Q1860" s="49">
        <f t="shared" si="2204"/>
        <v>0</v>
      </c>
    </row>
    <row r="1861" spans="4:17" s="16" customFormat="1" ht="13.2" x14ac:dyDescent="0.25">
      <c r="D1861" s="235"/>
      <c r="E1861" s="240"/>
      <c r="F1861" s="241"/>
      <c r="G1861" s="242"/>
      <c r="H1861" s="239">
        <f t="shared" si="2195"/>
        <v>0</v>
      </c>
      <c r="I1861" s="131">
        <f t="shared" si="2196"/>
        <v>0</v>
      </c>
      <c r="J1861" s="31">
        <f t="shared" si="2197"/>
        <v>0</v>
      </c>
      <c r="K1861" s="31">
        <f t="shared" si="2198"/>
        <v>0</v>
      </c>
      <c r="L1861" s="31">
        <f t="shared" si="2199"/>
        <v>0</v>
      </c>
      <c r="M1861" s="31">
        <f t="shared" si="2200"/>
        <v>0</v>
      </c>
      <c r="N1861" s="31">
        <f t="shared" si="2201"/>
        <v>0</v>
      </c>
      <c r="O1861" s="31">
        <f t="shared" si="2202"/>
        <v>0</v>
      </c>
      <c r="P1861" s="31">
        <f t="shared" si="2203"/>
        <v>0</v>
      </c>
      <c r="Q1861" s="49">
        <f t="shared" si="2204"/>
        <v>0</v>
      </c>
    </row>
    <row r="1862" spans="4:17" s="16" customFormat="1" ht="13.2" x14ac:dyDescent="0.25">
      <c r="D1862" s="235"/>
      <c r="E1862" s="240"/>
      <c r="F1862" s="241"/>
      <c r="G1862" s="242"/>
      <c r="H1862" s="239">
        <f t="shared" si="2195"/>
        <v>0</v>
      </c>
      <c r="I1862" s="131">
        <f t="shared" si="2196"/>
        <v>0</v>
      </c>
      <c r="J1862" s="31">
        <f t="shared" si="2197"/>
        <v>0</v>
      </c>
      <c r="K1862" s="31">
        <f t="shared" si="2198"/>
        <v>0</v>
      </c>
      <c r="L1862" s="31">
        <f t="shared" si="2199"/>
        <v>0</v>
      </c>
      <c r="M1862" s="31">
        <f t="shared" si="2200"/>
        <v>0</v>
      </c>
      <c r="N1862" s="31">
        <f t="shared" si="2201"/>
        <v>0</v>
      </c>
      <c r="O1862" s="31">
        <f t="shared" si="2202"/>
        <v>0</v>
      </c>
      <c r="P1862" s="31">
        <f t="shared" si="2203"/>
        <v>0</v>
      </c>
      <c r="Q1862" s="49">
        <f t="shared" si="2204"/>
        <v>0</v>
      </c>
    </row>
    <row r="1863" spans="4:17" s="16" customFormat="1" ht="13.2" x14ac:dyDescent="0.25">
      <c r="D1863" s="235"/>
      <c r="E1863" s="240"/>
      <c r="F1863" s="241"/>
      <c r="G1863" s="242"/>
      <c r="H1863" s="239">
        <f t="shared" si="2195"/>
        <v>0</v>
      </c>
      <c r="I1863" s="131">
        <f t="shared" si="2196"/>
        <v>0</v>
      </c>
      <c r="J1863" s="31">
        <f t="shared" si="2197"/>
        <v>0</v>
      </c>
      <c r="K1863" s="31">
        <f t="shared" si="2198"/>
        <v>0</v>
      </c>
      <c r="L1863" s="31">
        <f t="shared" si="2199"/>
        <v>0</v>
      </c>
      <c r="M1863" s="31">
        <f t="shared" si="2200"/>
        <v>0</v>
      </c>
      <c r="N1863" s="31">
        <f t="shared" si="2201"/>
        <v>0</v>
      </c>
      <c r="O1863" s="31">
        <f t="shared" si="2202"/>
        <v>0</v>
      </c>
      <c r="P1863" s="31">
        <f t="shared" si="2203"/>
        <v>0</v>
      </c>
      <c r="Q1863" s="49">
        <f t="shared" si="2204"/>
        <v>0</v>
      </c>
    </row>
    <row r="1864" spans="4:17" s="16" customFormat="1" ht="13.2" x14ac:dyDescent="0.25">
      <c r="D1864" s="235"/>
      <c r="E1864" s="240"/>
      <c r="F1864" s="241"/>
      <c r="G1864" s="242"/>
      <c r="H1864" s="239">
        <f t="shared" si="2195"/>
        <v>0</v>
      </c>
      <c r="I1864" s="131">
        <f t="shared" si="2196"/>
        <v>0</v>
      </c>
      <c r="J1864" s="31">
        <f t="shared" si="2197"/>
        <v>0</v>
      </c>
      <c r="K1864" s="31">
        <f t="shared" si="2198"/>
        <v>0</v>
      </c>
      <c r="L1864" s="31">
        <f t="shared" si="2199"/>
        <v>0</v>
      </c>
      <c r="M1864" s="31">
        <f t="shared" si="2200"/>
        <v>0</v>
      </c>
      <c r="N1864" s="31">
        <f t="shared" si="2201"/>
        <v>0</v>
      </c>
      <c r="O1864" s="31">
        <f t="shared" si="2202"/>
        <v>0</v>
      </c>
      <c r="P1864" s="31">
        <f t="shared" si="2203"/>
        <v>0</v>
      </c>
      <c r="Q1864" s="49">
        <f t="shared" si="2204"/>
        <v>0</v>
      </c>
    </row>
    <row r="1865" spans="4:17" s="16" customFormat="1" ht="13.2" x14ac:dyDescent="0.25">
      <c r="D1865" s="235"/>
      <c r="E1865" s="240"/>
      <c r="F1865" s="241"/>
      <c r="G1865" s="242"/>
      <c r="H1865" s="239">
        <f t="shared" si="2195"/>
        <v>0</v>
      </c>
      <c r="I1865" s="131">
        <f t="shared" si="2196"/>
        <v>0</v>
      </c>
      <c r="J1865" s="31">
        <f t="shared" si="2197"/>
        <v>0</v>
      </c>
      <c r="K1865" s="31">
        <f t="shared" si="2198"/>
        <v>0</v>
      </c>
      <c r="L1865" s="31">
        <f t="shared" si="2199"/>
        <v>0</v>
      </c>
      <c r="M1865" s="31">
        <f t="shared" si="2200"/>
        <v>0</v>
      </c>
      <c r="N1865" s="31">
        <f t="shared" si="2201"/>
        <v>0</v>
      </c>
      <c r="O1865" s="31">
        <f t="shared" si="2202"/>
        <v>0</v>
      </c>
      <c r="P1865" s="31">
        <f t="shared" si="2203"/>
        <v>0</v>
      </c>
      <c r="Q1865" s="49">
        <f t="shared" si="2204"/>
        <v>0</v>
      </c>
    </row>
    <row r="1866" spans="4:17" s="16" customFormat="1" ht="13.2" x14ac:dyDescent="0.25">
      <c r="D1866" s="235"/>
      <c r="E1866" s="240"/>
      <c r="F1866" s="241"/>
      <c r="G1866" s="242"/>
      <c r="H1866" s="239">
        <f t="shared" si="2195"/>
        <v>0</v>
      </c>
      <c r="I1866" s="131">
        <f t="shared" si="2196"/>
        <v>0</v>
      </c>
      <c r="J1866" s="31">
        <f t="shared" si="2197"/>
        <v>0</v>
      </c>
      <c r="K1866" s="31">
        <f t="shared" si="2198"/>
        <v>0</v>
      </c>
      <c r="L1866" s="31">
        <f t="shared" si="2199"/>
        <v>0</v>
      </c>
      <c r="M1866" s="31">
        <f t="shared" si="2200"/>
        <v>0</v>
      </c>
      <c r="N1866" s="31">
        <f t="shared" si="2201"/>
        <v>0</v>
      </c>
      <c r="O1866" s="31">
        <f t="shared" si="2202"/>
        <v>0</v>
      </c>
      <c r="P1866" s="31">
        <f t="shared" si="2203"/>
        <v>0</v>
      </c>
      <c r="Q1866" s="49">
        <f t="shared" si="2204"/>
        <v>0</v>
      </c>
    </row>
    <row r="1867" spans="4:17" s="16" customFormat="1" ht="13.2" x14ac:dyDescent="0.25">
      <c r="D1867" s="235"/>
      <c r="E1867" s="240"/>
      <c r="F1867" s="241"/>
      <c r="G1867" s="242"/>
      <c r="H1867" s="239">
        <f t="shared" si="2195"/>
        <v>0</v>
      </c>
      <c r="I1867" s="131">
        <f t="shared" si="2196"/>
        <v>0</v>
      </c>
      <c r="J1867" s="31">
        <f t="shared" si="2197"/>
        <v>0</v>
      </c>
      <c r="K1867" s="31">
        <f t="shared" si="2198"/>
        <v>0</v>
      </c>
      <c r="L1867" s="31">
        <f t="shared" si="2199"/>
        <v>0</v>
      </c>
      <c r="M1867" s="31">
        <f t="shared" si="2200"/>
        <v>0</v>
      </c>
      <c r="N1867" s="31">
        <f t="shared" si="2201"/>
        <v>0</v>
      </c>
      <c r="O1867" s="31">
        <f t="shared" si="2202"/>
        <v>0</v>
      </c>
      <c r="P1867" s="31">
        <f t="shared" si="2203"/>
        <v>0</v>
      </c>
      <c r="Q1867" s="49">
        <f t="shared" si="2204"/>
        <v>0</v>
      </c>
    </row>
    <row r="1868" spans="4:17" s="16" customFormat="1" ht="13.8" thickBot="1" x14ac:dyDescent="0.3">
      <c r="D1868" s="307"/>
      <c r="E1868" s="26"/>
      <c r="F1868" s="206"/>
      <c r="G1868" s="207"/>
      <c r="H1868" s="207"/>
      <c r="I1868" s="51"/>
      <c r="J1868" s="308"/>
      <c r="K1868" s="308"/>
      <c r="L1868" s="308"/>
      <c r="M1868" s="308"/>
      <c r="N1868" s="308"/>
      <c r="O1868" s="308"/>
      <c r="P1868" s="308"/>
      <c r="Q1868" s="309"/>
    </row>
    <row r="1869" spans="4:17" s="16" customFormat="1" ht="13.2" x14ac:dyDescent="0.25">
      <c r="D1869" s="796" t="s">
        <v>1680</v>
      </c>
      <c r="E1869" s="797"/>
      <c r="F1869" s="797"/>
      <c r="G1869" s="797"/>
      <c r="H1869" s="797"/>
      <c r="I1869" s="47">
        <f>SUM(I1870:I1879)</f>
        <v>0</v>
      </c>
      <c r="J1869" s="47">
        <f t="shared" ref="J1869:Q1869" si="2205">SUM(J1870:J1879)</f>
        <v>0</v>
      </c>
      <c r="K1869" s="47">
        <f t="shared" si="2205"/>
        <v>0</v>
      </c>
      <c r="L1869" s="47">
        <f t="shared" si="2205"/>
        <v>0</v>
      </c>
      <c r="M1869" s="47">
        <f t="shared" si="2205"/>
        <v>0</v>
      </c>
      <c r="N1869" s="47">
        <f t="shared" si="2205"/>
        <v>0</v>
      </c>
      <c r="O1869" s="47">
        <f t="shared" si="2205"/>
        <v>0</v>
      </c>
      <c r="P1869" s="47">
        <f t="shared" si="2205"/>
        <v>0</v>
      </c>
      <c r="Q1869" s="47">
        <f t="shared" si="2205"/>
        <v>0</v>
      </c>
    </row>
    <row r="1870" spans="4:17" s="16" customFormat="1" ht="13.2" x14ac:dyDescent="0.25">
      <c r="D1870" s="235"/>
      <c r="E1870" s="237"/>
      <c r="F1870" s="238"/>
      <c r="G1870" s="239"/>
      <c r="H1870" s="239">
        <f t="shared" ref="H1870:H1879" si="2206">E1870*G1870</f>
        <v>0</v>
      </c>
      <c r="I1870" s="131">
        <f t="shared" ref="I1870:I1879" si="2207">IF($F1870=4.2,H1870*$B$23,0)</f>
        <v>0</v>
      </c>
      <c r="J1870" s="31">
        <f t="shared" ref="J1870:J1879" si="2208">IF($F1870=5,$H1870*$B$24,0)</f>
        <v>0</v>
      </c>
      <c r="K1870" s="31">
        <f t="shared" ref="K1870:K1879" si="2209">IF($F1870=6.3,$H1870*$B$25,0)</f>
        <v>0</v>
      </c>
      <c r="L1870" s="31">
        <f t="shared" ref="L1870:L1879" si="2210">IF($F1870=8,$H1870*$B$26,0)</f>
        <v>0</v>
      </c>
      <c r="M1870" s="31">
        <f t="shared" ref="M1870:M1879" si="2211">IF($F1870=10,$H1870*$B$27,0)</f>
        <v>0</v>
      </c>
      <c r="N1870" s="31">
        <f t="shared" ref="N1870:N1879" si="2212">IF($F1870=12.5,$H1870*$B$28,0)</f>
        <v>0</v>
      </c>
      <c r="O1870" s="31">
        <f t="shared" ref="O1870:O1879" si="2213">IF($F1870=16,$H1870*$B$29,0)</f>
        <v>0</v>
      </c>
      <c r="P1870" s="31">
        <f t="shared" ref="P1870:P1879" si="2214">IF($F1870=20,$H1870*$B$30,0)</f>
        <v>0</v>
      </c>
      <c r="Q1870" s="49">
        <f t="shared" ref="Q1870:Q1879" si="2215">IF($F1870=25,$H1870*$B$31,0)</f>
        <v>0</v>
      </c>
    </row>
    <row r="1871" spans="4:17" s="16" customFormat="1" ht="13.2" x14ac:dyDescent="0.25">
      <c r="D1871" s="235"/>
      <c r="E1871" s="240"/>
      <c r="F1871" s="241"/>
      <c r="G1871" s="242"/>
      <c r="H1871" s="239">
        <f t="shared" si="2206"/>
        <v>0</v>
      </c>
      <c r="I1871" s="131">
        <f t="shared" si="2207"/>
        <v>0</v>
      </c>
      <c r="J1871" s="31">
        <f t="shared" si="2208"/>
        <v>0</v>
      </c>
      <c r="K1871" s="31">
        <f t="shared" si="2209"/>
        <v>0</v>
      </c>
      <c r="L1871" s="31">
        <f t="shared" si="2210"/>
        <v>0</v>
      </c>
      <c r="M1871" s="31">
        <f t="shared" si="2211"/>
        <v>0</v>
      </c>
      <c r="N1871" s="31">
        <f t="shared" si="2212"/>
        <v>0</v>
      </c>
      <c r="O1871" s="31">
        <f t="shared" si="2213"/>
        <v>0</v>
      </c>
      <c r="P1871" s="31">
        <f t="shared" si="2214"/>
        <v>0</v>
      </c>
      <c r="Q1871" s="49">
        <f t="shared" si="2215"/>
        <v>0</v>
      </c>
    </row>
    <row r="1872" spans="4:17" s="16" customFormat="1" ht="13.2" x14ac:dyDescent="0.25">
      <c r="D1872" s="235"/>
      <c r="E1872" s="240"/>
      <c r="F1872" s="241"/>
      <c r="G1872" s="242"/>
      <c r="H1872" s="239">
        <f t="shared" si="2206"/>
        <v>0</v>
      </c>
      <c r="I1872" s="131">
        <f t="shared" si="2207"/>
        <v>0</v>
      </c>
      <c r="J1872" s="31">
        <f t="shared" si="2208"/>
        <v>0</v>
      </c>
      <c r="K1872" s="31">
        <f t="shared" si="2209"/>
        <v>0</v>
      </c>
      <c r="L1872" s="31">
        <f t="shared" si="2210"/>
        <v>0</v>
      </c>
      <c r="M1872" s="31">
        <f t="shared" si="2211"/>
        <v>0</v>
      </c>
      <c r="N1872" s="31">
        <f t="shared" si="2212"/>
        <v>0</v>
      </c>
      <c r="O1872" s="31">
        <f t="shared" si="2213"/>
        <v>0</v>
      </c>
      <c r="P1872" s="31">
        <f t="shared" si="2214"/>
        <v>0</v>
      </c>
      <c r="Q1872" s="49">
        <f t="shared" si="2215"/>
        <v>0</v>
      </c>
    </row>
    <row r="1873" spans="4:17" s="16" customFormat="1" ht="13.2" x14ac:dyDescent="0.25">
      <c r="D1873" s="235"/>
      <c r="E1873" s="240"/>
      <c r="F1873" s="241"/>
      <c r="G1873" s="242"/>
      <c r="H1873" s="239">
        <f t="shared" si="2206"/>
        <v>0</v>
      </c>
      <c r="I1873" s="131">
        <f t="shared" si="2207"/>
        <v>0</v>
      </c>
      <c r="J1873" s="31">
        <f t="shared" si="2208"/>
        <v>0</v>
      </c>
      <c r="K1873" s="31">
        <f t="shared" si="2209"/>
        <v>0</v>
      </c>
      <c r="L1873" s="31">
        <f t="shared" si="2210"/>
        <v>0</v>
      </c>
      <c r="M1873" s="31">
        <f t="shared" si="2211"/>
        <v>0</v>
      </c>
      <c r="N1873" s="31">
        <f t="shared" si="2212"/>
        <v>0</v>
      </c>
      <c r="O1873" s="31">
        <f t="shared" si="2213"/>
        <v>0</v>
      </c>
      <c r="P1873" s="31">
        <f t="shared" si="2214"/>
        <v>0</v>
      </c>
      <c r="Q1873" s="49">
        <f t="shared" si="2215"/>
        <v>0</v>
      </c>
    </row>
    <row r="1874" spans="4:17" s="16" customFormat="1" ht="13.2" x14ac:dyDescent="0.25">
      <c r="D1874" s="235"/>
      <c r="E1874" s="240"/>
      <c r="F1874" s="241"/>
      <c r="G1874" s="242"/>
      <c r="H1874" s="239">
        <f t="shared" si="2206"/>
        <v>0</v>
      </c>
      <c r="I1874" s="131">
        <f t="shared" si="2207"/>
        <v>0</v>
      </c>
      <c r="J1874" s="31">
        <f t="shared" si="2208"/>
        <v>0</v>
      </c>
      <c r="K1874" s="31">
        <f t="shared" si="2209"/>
        <v>0</v>
      </c>
      <c r="L1874" s="31">
        <f t="shared" si="2210"/>
        <v>0</v>
      </c>
      <c r="M1874" s="31">
        <f t="shared" si="2211"/>
        <v>0</v>
      </c>
      <c r="N1874" s="31">
        <f t="shared" si="2212"/>
        <v>0</v>
      </c>
      <c r="O1874" s="31">
        <f t="shared" si="2213"/>
        <v>0</v>
      </c>
      <c r="P1874" s="31">
        <f t="shared" si="2214"/>
        <v>0</v>
      </c>
      <c r="Q1874" s="49">
        <f t="shared" si="2215"/>
        <v>0</v>
      </c>
    </row>
    <row r="1875" spans="4:17" s="16" customFormat="1" ht="13.2" x14ac:dyDescent="0.25">
      <c r="D1875" s="235"/>
      <c r="E1875" s="240"/>
      <c r="F1875" s="241"/>
      <c r="G1875" s="242"/>
      <c r="H1875" s="239">
        <f t="shared" si="2206"/>
        <v>0</v>
      </c>
      <c r="I1875" s="131">
        <f t="shared" si="2207"/>
        <v>0</v>
      </c>
      <c r="J1875" s="31">
        <f t="shared" si="2208"/>
        <v>0</v>
      </c>
      <c r="K1875" s="31">
        <f t="shared" si="2209"/>
        <v>0</v>
      </c>
      <c r="L1875" s="31">
        <f t="shared" si="2210"/>
        <v>0</v>
      </c>
      <c r="M1875" s="31">
        <f t="shared" si="2211"/>
        <v>0</v>
      </c>
      <c r="N1875" s="31">
        <f t="shared" si="2212"/>
        <v>0</v>
      </c>
      <c r="O1875" s="31">
        <f t="shared" si="2213"/>
        <v>0</v>
      </c>
      <c r="P1875" s="31">
        <f t="shared" si="2214"/>
        <v>0</v>
      </c>
      <c r="Q1875" s="49">
        <f t="shared" si="2215"/>
        <v>0</v>
      </c>
    </row>
    <row r="1876" spans="4:17" s="16" customFormat="1" ht="13.2" x14ac:dyDescent="0.25">
      <c r="D1876" s="235"/>
      <c r="E1876" s="240"/>
      <c r="F1876" s="241"/>
      <c r="G1876" s="242"/>
      <c r="H1876" s="239">
        <f t="shared" si="2206"/>
        <v>0</v>
      </c>
      <c r="I1876" s="131">
        <f t="shared" si="2207"/>
        <v>0</v>
      </c>
      <c r="J1876" s="31">
        <f t="shared" si="2208"/>
        <v>0</v>
      </c>
      <c r="K1876" s="31">
        <f t="shared" si="2209"/>
        <v>0</v>
      </c>
      <c r="L1876" s="31">
        <f t="shared" si="2210"/>
        <v>0</v>
      </c>
      <c r="M1876" s="31">
        <f t="shared" si="2211"/>
        <v>0</v>
      </c>
      <c r="N1876" s="31">
        <f t="shared" si="2212"/>
        <v>0</v>
      </c>
      <c r="O1876" s="31">
        <f t="shared" si="2213"/>
        <v>0</v>
      </c>
      <c r="P1876" s="31">
        <f t="shared" si="2214"/>
        <v>0</v>
      </c>
      <c r="Q1876" s="49">
        <f t="shared" si="2215"/>
        <v>0</v>
      </c>
    </row>
    <row r="1877" spans="4:17" s="16" customFormat="1" ht="13.2" x14ac:dyDescent="0.25">
      <c r="D1877" s="235"/>
      <c r="E1877" s="240"/>
      <c r="F1877" s="241"/>
      <c r="G1877" s="242"/>
      <c r="H1877" s="239">
        <f t="shared" si="2206"/>
        <v>0</v>
      </c>
      <c r="I1877" s="131">
        <f t="shared" si="2207"/>
        <v>0</v>
      </c>
      <c r="J1877" s="31">
        <f t="shared" si="2208"/>
        <v>0</v>
      </c>
      <c r="K1877" s="31">
        <f t="shared" si="2209"/>
        <v>0</v>
      </c>
      <c r="L1877" s="31">
        <f t="shared" si="2210"/>
        <v>0</v>
      </c>
      <c r="M1877" s="31">
        <f t="shared" si="2211"/>
        <v>0</v>
      </c>
      <c r="N1877" s="31">
        <f t="shared" si="2212"/>
        <v>0</v>
      </c>
      <c r="O1877" s="31">
        <f t="shared" si="2213"/>
        <v>0</v>
      </c>
      <c r="P1877" s="31">
        <f t="shared" si="2214"/>
        <v>0</v>
      </c>
      <c r="Q1877" s="49">
        <f t="shared" si="2215"/>
        <v>0</v>
      </c>
    </row>
    <row r="1878" spans="4:17" s="16" customFormat="1" ht="13.2" x14ac:dyDescent="0.25">
      <c r="D1878" s="235"/>
      <c r="E1878" s="240"/>
      <c r="F1878" s="241"/>
      <c r="G1878" s="242"/>
      <c r="H1878" s="239">
        <f t="shared" si="2206"/>
        <v>0</v>
      </c>
      <c r="I1878" s="131">
        <f t="shared" si="2207"/>
        <v>0</v>
      </c>
      <c r="J1878" s="31">
        <f t="shared" si="2208"/>
        <v>0</v>
      </c>
      <c r="K1878" s="31">
        <f t="shared" si="2209"/>
        <v>0</v>
      </c>
      <c r="L1878" s="31">
        <f t="shared" si="2210"/>
        <v>0</v>
      </c>
      <c r="M1878" s="31">
        <f t="shared" si="2211"/>
        <v>0</v>
      </c>
      <c r="N1878" s="31">
        <f t="shared" si="2212"/>
        <v>0</v>
      </c>
      <c r="O1878" s="31">
        <f t="shared" si="2213"/>
        <v>0</v>
      </c>
      <c r="P1878" s="31">
        <f t="shared" si="2214"/>
        <v>0</v>
      </c>
      <c r="Q1878" s="49">
        <f t="shared" si="2215"/>
        <v>0</v>
      </c>
    </row>
    <row r="1879" spans="4:17" s="16" customFormat="1" ht="13.2" x14ac:dyDescent="0.25">
      <c r="D1879" s="235"/>
      <c r="E1879" s="240"/>
      <c r="F1879" s="241"/>
      <c r="G1879" s="242"/>
      <c r="H1879" s="239">
        <f t="shared" si="2206"/>
        <v>0</v>
      </c>
      <c r="I1879" s="131">
        <f t="shared" si="2207"/>
        <v>0</v>
      </c>
      <c r="J1879" s="31">
        <f t="shared" si="2208"/>
        <v>0</v>
      </c>
      <c r="K1879" s="31">
        <f t="shared" si="2209"/>
        <v>0</v>
      </c>
      <c r="L1879" s="31">
        <f t="shared" si="2210"/>
        <v>0</v>
      </c>
      <c r="M1879" s="31">
        <f t="shared" si="2211"/>
        <v>0</v>
      </c>
      <c r="N1879" s="31">
        <f t="shared" si="2212"/>
        <v>0</v>
      </c>
      <c r="O1879" s="31">
        <f t="shared" si="2213"/>
        <v>0</v>
      </c>
      <c r="P1879" s="31">
        <f t="shared" si="2214"/>
        <v>0</v>
      </c>
      <c r="Q1879" s="49">
        <f t="shared" si="2215"/>
        <v>0</v>
      </c>
    </row>
    <row r="1880" spans="4:17" s="16" customFormat="1" ht="13.8" thickBot="1" x14ac:dyDescent="0.3">
      <c r="D1880" s="307"/>
      <c r="E1880" s="26"/>
      <c r="F1880" s="206"/>
      <c r="G1880" s="207"/>
      <c r="H1880" s="207"/>
      <c r="I1880" s="51"/>
      <c r="J1880" s="308"/>
      <c r="K1880" s="308"/>
      <c r="L1880" s="308"/>
      <c r="M1880" s="308"/>
      <c r="N1880" s="308"/>
      <c r="O1880" s="308"/>
      <c r="P1880" s="308"/>
      <c r="Q1880" s="309"/>
    </row>
    <row r="1881" spans="4:17" s="16" customFormat="1" ht="13.2" x14ac:dyDescent="0.25">
      <c r="D1881" s="796" t="s">
        <v>1680</v>
      </c>
      <c r="E1881" s="797"/>
      <c r="F1881" s="797"/>
      <c r="G1881" s="797"/>
      <c r="H1881" s="797"/>
      <c r="I1881" s="47">
        <f>SUM(I1882:I1891)</f>
        <v>0</v>
      </c>
      <c r="J1881" s="47">
        <f t="shared" ref="J1881:Q1881" si="2216">SUM(J1882:J1891)</f>
        <v>0</v>
      </c>
      <c r="K1881" s="47">
        <f t="shared" si="2216"/>
        <v>0</v>
      </c>
      <c r="L1881" s="47">
        <f t="shared" si="2216"/>
        <v>0</v>
      </c>
      <c r="M1881" s="47">
        <f t="shared" si="2216"/>
        <v>0</v>
      </c>
      <c r="N1881" s="47">
        <f t="shared" si="2216"/>
        <v>0</v>
      </c>
      <c r="O1881" s="47">
        <f t="shared" si="2216"/>
        <v>0</v>
      </c>
      <c r="P1881" s="47">
        <f t="shared" si="2216"/>
        <v>0</v>
      </c>
      <c r="Q1881" s="47">
        <f t="shared" si="2216"/>
        <v>0</v>
      </c>
    </row>
    <row r="1882" spans="4:17" s="16" customFormat="1" ht="13.2" x14ac:dyDescent="0.25">
      <c r="D1882" s="235"/>
      <c r="E1882" s="237"/>
      <c r="F1882" s="238"/>
      <c r="G1882" s="239"/>
      <c r="H1882" s="239">
        <f t="shared" ref="H1882:H1891" si="2217">E1882*G1882</f>
        <v>0</v>
      </c>
      <c r="I1882" s="131">
        <f t="shared" ref="I1882:I1891" si="2218">IF($F1882=4.2,H1882*$B$23,0)</f>
        <v>0</v>
      </c>
      <c r="J1882" s="31">
        <f t="shared" ref="J1882:J1891" si="2219">IF($F1882=5,$H1882*$B$24,0)</f>
        <v>0</v>
      </c>
      <c r="K1882" s="31">
        <f t="shared" ref="K1882:K1891" si="2220">IF($F1882=6.3,$H1882*$B$25,0)</f>
        <v>0</v>
      </c>
      <c r="L1882" s="31">
        <f t="shared" ref="L1882:L1891" si="2221">IF($F1882=8,$H1882*$B$26,0)</f>
        <v>0</v>
      </c>
      <c r="M1882" s="31">
        <f t="shared" ref="M1882:M1891" si="2222">IF($F1882=10,$H1882*$B$27,0)</f>
        <v>0</v>
      </c>
      <c r="N1882" s="31">
        <f t="shared" ref="N1882:N1891" si="2223">IF($F1882=12.5,$H1882*$B$28,0)</f>
        <v>0</v>
      </c>
      <c r="O1882" s="31">
        <f t="shared" ref="O1882:O1891" si="2224">IF($F1882=16,$H1882*$B$29,0)</f>
        <v>0</v>
      </c>
      <c r="P1882" s="31">
        <f t="shared" ref="P1882:P1891" si="2225">IF($F1882=20,$H1882*$B$30,0)</f>
        <v>0</v>
      </c>
      <c r="Q1882" s="49">
        <f t="shared" ref="Q1882:Q1891" si="2226">IF($F1882=25,$H1882*$B$31,0)</f>
        <v>0</v>
      </c>
    </row>
    <row r="1883" spans="4:17" s="16" customFormat="1" ht="13.2" x14ac:dyDescent="0.25">
      <c r="D1883" s="235"/>
      <c r="E1883" s="240"/>
      <c r="F1883" s="241"/>
      <c r="G1883" s="242"/>
      <c r="H1883" s="239">
        <f t="shared" si="2217"/>
        <v>0</v>
      </c>
      <c r="I1883" s="131">
        <f t="shared" si="2218"/>
        <v>0</v>
      </c>
      <c r="J1883" s="31">
        <f t="shared" si="2219"/>
        <v>0</v>
      </c>
      <c r="K1883" s="31">
        <f t="shared" si="2220"/>
        <v>0</v>
      </c>
      <c r="L1883" s="31">
        <f t="shared" si="2221"/>
        <v>0</v>
      </c>
      <c r="M1883" s="31">
        <f t="shared" si="2222"/>
        <v>0</v>
      </c>
      <c r="N1883" s="31">
        <f t="shared" si="2223"/>
        <v>0</v>
      </c>
      <c r="O1883" s="31">
        <f t="shared" si="2224"/>
        <v>0</v>
      </c>
      <c r="P1883" s="31">
        <f t="shared" si="2225"/>
        <v>0</v>
      </c>
      <c r="Q1883" s="49">
        <f t="shared" si="2226"/>
        <v>0</v>
      </c>
    </row>
    <row r="1884" spans="4:17" s="16" customFormat="1" ht="13.2" x14ac:dyDescent="0.25">
      <c r="D1884" s="235"/>
      <c r="E1884" s="240"/>
      <c r="F1884" s="241"/>
      <c r="G1884" s="242"/>
      <c r="H1884" s="239">
        <f t="shared" si="2217"/>
        <v>0</v>
      </c>
      <c r="I1884" s="131">
        <f t="shared" si="2218"/>
        <v>0</v>
      </c>
      <c r="J1884" s="31">
        <f t="shared" si="2219"/>
        <v>0</v>
      </c>
      <c r="K1884" s="31">
        <f t="shared" si="2220"/>
        <v>0</v>
      </c>
      <c r="L1884" s="31">
        <f t="shared" si="2221"/>
        <v>0</v>
      </c>
      <c r="M1884" s="31">
        <f t="shared" si="2222"/>
        <v>0</v>
      </c>
      <c r="N1884" s="31">
        <f t="shared" si="2223"/>
        <v>0</v>
      </c>
      <c r="O1884" s="31">
        <f t="shared" si="2224"/>
        <v>0</v>
      </c>
      <c r="P1884" s="31">
        <f t="shared" si="2225"/>
        <v>0</v>
      </c>
      <c r="Q1884" s="49">
        <f t="shared" si="2226"/>
        <v>0</v>
      </c>
    </row>
    <row r="1885" spans="4:17" s="16" customFormat="1" ht="13.2" x14ac:dyDescent="0.25">
      <c r="D1885" s="235"/>
      <c r="E1885" s="240"/>
      <c r="F1885" s="241"/>
      <c r="G1885" s="242"/>
      <c r="H1885" s="239">
        <f t="shared" si="2217"/>
        <v>0</v>
      </c>
      <c r="I1885" s="131">
        <f t="shared" si="2218"/>
        <v>0</v>
      </c>
      <c r="J1885" s="31">
        <f t="shared" si="2219"/>
        <v>0</v>
      </c>
      <c r="K1885" s="31">
        <f t="shared" si="2220"/>
        <v>0</v>
      </c>
      <c r="L1885" s="31">
        <f t="shared" si="2221"/>
        <v>0</v>
      </c>
      <c r="M1885" s="31">
        <f t="shared" si="2222"/>
        <v>0</v>
      </c>
      <c r="N1885" s="31">
        <f t="shared" si="2223"/>
        <v>0</v>
      </c>
      <c r="O1885" s="31">
        <f t="shared" si="2224"/>
        <v>0</v>
      </c>
      <c r="P1885" s="31">
        <f t="shared" si="2225"/>
        <v>0</v>
      </c>
      <c r="Q1885" s="49">
        <f t="shared" si="2226"/>
        <v>0</v>
      </c>
    </row>
    <row r="1886" spans="4:17" s="16" customFormat="1" ht="13.2" x14ac:dyDescent="0.25">
      <c r="D1886" s="235"/>
      <c r="E1886" s="240"/>
      <c r="F1886" s="241"/>
      <c r="G1886" s="242"/>
      <c r="H1886" s="239">
        <f t="shared" si="2217"/>
        <v>0</v>
      </c>
      <c r="I1886" s="131">
        <f t="shared" si="2218"/>
        <v>0</v>
      </c>
      <c r="J1886" s="31">
        <f t="shared" si="2219"/>
        <v>0</v>
      </c>
      <c r="K1886" s="31">
        <f t="shared" si="2220"/>
        <v>0</v>
      </c>
      <c r="L1886" s="31">
        <f t="shared" si="2221"/>
        <v>0</v>
      </c>
      <c r="M1886" s="31">
        <f t="shared" si="2222"/>
        <v>0</v>
      </c>
      <c r="N1886" s="31">
        <f t="shared" si="2223"/>
        <v>0</v>
      </c>
      <c r="O1886" s="31">
        <f t="shared" si="2224"/>
        <v>0</v>
      </c>
      <c r="P1886" s="31">
        <f t="shared" si="2225"/>
        <v>0</v>
      </c>
      <c r="Q1886" s="49">
        <f t="shared" si="2226"/>
        <v>0</v>
      </c>
    </row>
    <row r="1887" spans="4:17" s="16" customFormat="1" ht="13.2" x14ac:dyDescent="0.25">
      <c r="D1887" s="235"/>
      <c r="E1887" s="240"/>
      <c r="F1887" s="241"/>
      <c r="G1887" s="242"/>
      <c r="H1887" s="239">
        <f t="shared" si="2217"/>
        <v>0</v>
      </c>
      <c r="I1887" s="131">
        <f t="shared" si="2218"/>
        <v>0</v>
      </c>
      <c r="J1887" s="31">
        <f t="shared" si="2219"/>
        <v>0</v>
      </c>
      <c r="K1887" s="31">
        <f t="shared" si="2220"/>
        <v>0</v>
      </c>
      <c r="L1887" s="31">
        <f t="shared" si="2221"/>
        <v>0</v>
      </c>
      <c r="M1887" s="31">
        <f t="shared" si="2222"/>
        <v>0</v>
      </c>
      <c r="N1887" s="31">
        <f t="shared" si="2223"/>
        <v>0</v>
      </c>
      <c r="O1887" s="31">
        <f t="shared" si="2224"/>
        <v>0</v>
      </c>
      <c r="P1887" s="31">
        <f t="shared" si="2225"/>
        <v>0</v>
      </c>
      <c r="Q1887" s="49">
        <f t="shared" si="2226"/>
        <v>0</v>
      </c>
    </row>
    <row r="1888" spans="4:17" s="16" customFormat="1" ht="13.2" x14ac:dyDescent="0.25">
      <c r="D1888" s="235"/>
      <c r="E1888" s="240"/>
      <c r="F1888" s="241"/>
      <c r="G1888" s="242"/>
      <c r="H1888" s="239">
        <f t="shared" si="2217"/>
        <v>0</v>
      </c>
      <c r="I1888" s="131">
        <f t="shared" si="2218"/>
        <v>0</v>
      </c>
      <c r="J1888" s="31">
        <f t="shared" si="2219"/>
        <v>0</v>
      </c>
      <c r="K1888" s="31">
        <f t="shared" si="2220"/>
        <v>0</v>
      </c>
      <c r="L1888" s="31">
        <f t="shared" si="2221"/>
        <v>0</v>
      </c>
      <c r="M1888" s="31">
        <f t="shared" si="2222"/>
        <v>0</v>
      </c>
      <c r="N1888" s="31">
        <f t="shared" si="2223"/>
        <v>0</v>
      </c>
      <c r="O1888" s="31">
        <f t="shared" si="2224"/>
        <v>0</v>
      </c>
      <c r="P1888" s="31">
        <f t="shared" si="2225"/>
        <v>0</v>
      </c>
      <c r="Q1888" s="49">
        <f t="shared" si="2226"/>
        <v>0</v>
      </c>
    </row>
    <row r="1889" spans="4:17" s="16" customFormat="1" ht="13.2" x14ac:dyDescent="0.25">
      <c r="D1889" s="235"/>
      <c r="E1889" s="240"/>
      <c r="F1889" s="241"/>
      <c r="G1889" s="242"/>
      <c r="H1889" s="239">
        <f t="shared" si="2217"/>
        <v>0</v>
      </c>
      <c r="I1889" s="131">
        <f t="shared" si="2218"/>
        <v>0</v>
      </c>
      <c r="J1889" s="31">
        <f t="shared" si="2219"/>
        <v>0</v>
      </c>
      <c r="K1889" s="31">
        <f t="shared" si="2220"/>
        <v>0</v>
      </c>
      <c r="L1889" s="31">
        <f t="shared" si="2221"/>
        <v>0</v>
      </c>
      <c r="M1889" s="31">
        <f t="shared" si="2222"/>
        <v>0</v>
      </c>
      <c r="N1889" s="31">
        <f t="shared" si="2223"/>
        <v>0</v>
      </c>
      <c r="O1889" s="31">
        <f t="shared" si="2224"/>
        <v>0</v>
      </c>
      <c r="P1889" s="31">
        <f t="shared" si="2225"/>
        <v>0</v>
      </c>
      <c r="Q1889" s="49">
        <f t="shared" si="2226"/>
        <v>0</v>
      </c>
    </row>
    <row r="1890" spans="4:17" s="16" customFormat="1" ht="13.2" x14ac:dyDescent="0.25">
      <c r="D1890" s="235"/>
      <c r="E1890" s="240"/>
      <c r="F1890" s="241"/>
      <c r="G1890" s="242"/>
      <c r="H1890" s="239">
        <f t="shared" si="2217"/>
        <v>0</v>
      </c>
      <c r="I1890" s="131">
        <f t="shared" si="2218"/>
        <v>0</v>
      </c>
      <c r="J1890" s="31">
        <f t="shared" si="2219"/>
        <v>0</v>
      </c>
      <c r="K1890" s="31">
        <f t="shared" si="2220"/>
        <v>0</v>
      </c>
      <c r="L1890" s="31">
        <f t="shared" si="2221"/>
        <v>0</v>
      </c>
      <c r="M1890" s="31">
        <f t="shared" si="2222"/>
        <v>0</v>
      </c>
      <c r="N1890" s="31">
        <f t="shared" si="2223"/>
        <v>0</v>
      </c>
      <c r="O1890" s="31">
        <f t="shared" si="2224"/>
        <v>0</v>
      </c>
      <c r="P1890" s="31">
        <f t="shared" si="2225"/>
        <v>0</v>
      </c>
      <c r="Q1890" s="49">
        <f t="shared" si="2226"/>
        <v>0</v>
      </c>
    </row>
    <row r="1891" spans="4:17" s="16" customFormat="1" ht="13.2" x14ac:dyDescent="0.25">
      <c r="D1891" s="235"/>
      <c r="E1891" s="240"/>
      <c r="F1891" s="241"/>
      <c r="G1891" s="242"/>
      <c r="H1891" s="239">
        <f t="shared" si="2217"/>
        <v>0</v>
      </c>
      <c r="I1891" s="131">
        <f t="shared" si="2218"/>
        <v>0</v>
      </c>
      <c r="J1891" s="31">
        <f t="shared" si="2219"/>
        <v>0</v>
      </c>
      <c r="K1891" s="31">
        <f t="shared" si="2220"/>
        <v>0</v>
      </c>
      <c r="L1891" s="31">
        <f t="shared" si="2221"/>
        <v>0</v>
      </c>
      <c r="M1891" s="31">
        <f t="shared" si="2222"/>
        <v>0</v>
      </c>
      <c r="N1891" s="31">
        <f t="shared" si="2223"/>
        <v>0</v>
      </c>
      <c r="O1891" s="31">
        <f t="shared" si="2224"/>
        <v>0</v>
      </c>
      <c r="P1891" s="31">
        <f t="shared" si="2225"/>
        <v>0</v>
      </c>
      <c r="Q1891" s="49">
        <f t="shared" si="2226"/>
        <v>0</v>
      </c>
    </row>
    <row r="1892" spans="4:17" s="16" customFormat="1" ht="13.8" thickBot="1" x14ac:dyDescent="0.3">
      <c r="D1892" s="307"/>
      <c r="E1892" s="26"/>
      <c r="F1892" s="206"/>
      <c r="G1892" s="207"/>
      <c r="H1892" s="207"/>
      <c r="I1892" s="51"/>
      <c r="J1892" s="308"/>
      <c r="K1892" s="308"/>
      <c r="L1892" s="308"/>
      <c r="M1892" s="308"/>
      <c r="N1892" s="308"/>
      <c r="O1892" s="308"/>
      <c r="P1892" s="308"/>
      <c r="Q1892" s="309"/>
    </row>
    <row r="1893" spans="4:17" s="16" customFormat="1" ht="13.2" x14ac:dyDescent="0.25">
      <c r="D1893" s="796" t="s">
        <v>1680</v>
      </c>
      <c r="E1893" s="797"/>
      <c r="F1893" s="797"/>
      <c r="G1893" s="797"/>
      <c r="H1893" s="797"/>
      <c r="I1893" s="47">
        <f>SUM(I1894:I1903)</f>
        <v>0</v>
      </c>
      <c r="J1893" s="47">
        <f t="shared" ref="J1893:Q1893" si="2227">SUM(J1894:J1903)</f>
        <v>0</v>
      </c>
      <c r="K1893" s="47">
        <f t="shared" si="2227"/>
        <v>0</v>
      </c>
      <c r="L1893" s="47">
        <f t="shared" si="2227"/>
        <v>0</v>
      </c>
      <c r="M1893" s="47">
        <f t="shared" si="2227"/>
        <v>0</v>
      </c>
      <c r="N1893" s="47">
        <f t="shared" si="2227"/>
        <v>0</v>
      </c>
      <c r="O1893" s="47">
        <f t="shared" si="2227"/>
        <v>0</v>
      </c>
      <c r="P1893" s="47">
        <f t="shared" si="2227"/>
        <v>0</v>
      </c>
      <c r="Q1893" s="47">
        <f t="shared" si="2227"/>
        <v>0</v>
      </c>
    </row>
    <row r="1894" spans="4:17" s="16" customFormat="1" ht="13.2" x14ac:dyDescent="0.25">
      <c r="D1894" s="235"/>
      <c r="E1894" s="237"/>
      <c r="F1894" s="238"/>
      <c r="G1894" s="239"/>
      <c r="H1894" s="239">
        <f t="shared" ref="H1894:H1903" si="2228">E1894*G1894</f>
        <v>0</v>
      </c>
      <c r="I1894" s="131">
        <f t="shared" ref="I1894:I1903" si="2229">IF($F1894=4.2,H1894*$B$23,0)</f>
        <v>0</v>
      </c>
      <c r="J1894" s="31">
        <f t="shared" ref="J1894:J1903" si="2230">IF($F1894=5,$H1894*$B$24,0)</f>
        <v>0</v>
      </c>
      <c r="K1894" s="31">
        <f t="shared" ref="K1894:K1903" si="2231">IF($F1894=6.3,$H1894*$B$25,0)</f>
        <v>0</v>
      </c>
      <c r="L1894" s="31">
        <f t="shared" ref="L1894:L1903" si="2232">IF($F1894=8,$H1894*$B$26,0)</f>
        <v>0</v>
      </c>
      <c r="M1894" s="31">
        <f t="shared" ref="M1894:M1903" si="2233">IF($F1894=10,$H1894*$B$27,0)</f>
        <v>0</v>
      </c>
      <c r="N1894" s="31">
        <f t="shared" ref="N1894:N1903" si="2234">IF($F1894=12.5,$H1894*$B$28,0)</f>
        <v>0</v>
      </c>
      <c r="O1894" s="31">
        <f t="shared" ref="O1894:O1903" si="2235">IF($F1894=16,$H1894*$B$29,0)</f>
        <v>0</v>
      </c>
      <c r="P1894" s="31">
        <f t="shared" ref="P1894:P1903" si="2236">IF($F1894=20,$H1894*$B$30,0)</f>
        <v>0</v>
      </c>
      <c r="Q1894" s="49">
        <f t="shared" ref="Q1894:Q1903" si="2237">IF($F1894=25,$H1894*$B$31,0)</f>
        <v>0</v>
      </c>
    </row>
    <row r="1895" spans="4:17" s="16" customFormat="1" ht="13.2" x14ac:dyDescent="0.25">
      <c r="D1895" s="235"/>
      <c r="E1895" s="240"/>
      <c r="F1895" s="241"/>
      <c r="G1895" s="242"/>
      <c r="H1895" s="239">
        <f t="shared" si="2228"/>
        <v>0</v>
      </c>
      <c r="I1895" s="131">
        <f t="shared" si="2229"/>
        <v>0</v>
      </c>
      <c r="J1895" s="31">
        <f t="shared" si="2230"/>
        <v>0</v>
      </c>
      <c r="K1895" s="31">
        <f t="shared" si="2231"/>
        <v>0</v>
      </c>
      <c r="L1895" s="31">
        <f t="shared" si="2232"/>
        <v>0</v>
      </c>
      <c r="M1895" s="31">
        <f t="shared" si="2233"/>
        <v>0</v>
      </c>
      <c r="N1895" s="31">
        <f t="shared" si="2234"/>
        <v>0</v>
      </c>
      <c r="O1895" s="31">
        <f t="shared" si="2235"/>
        <v>0</v>
      </c>
      <c r="P1895" s="31">
        <f t="shared" si="2236"/>
        <v>0</v>
      </c>
      <c r="Q1895" s="49">
        <f t="shared" si="2237"/>
        <v>0</v>
      </c>
    </row>
    <row r="1896" spans="4:17" s="16" customFormat="1" ht="13.2" x14ac:dyDescent="0.25">
      <c r="D1896" s="235"/>
      <c r="E1896" s="240"/>
      <c r="F1896" s="241"/>
      <c r="G1896" s="242"/>
      <c r="H1896" s="239">
        <f t="shared" si="2228"/>
        <v>0</v>
      </c>
      <c r="I1896" s="131">
        <f t="shared" si="2229"/>
        <v>0</v>
      </c>
      <c r="J1896" s="31">
        <f t="shared" si="2230"/>
        <v>0</v>
      </c>
      <c r="K1896" s="31">
        <f t="shared" si="2231"/>
        <v>0</v>
      </c>
      <c r="L1896" s="31">
        <f t="shared" si="2232"/>
        <v>0</v>
      </c>
      <c r="M1896" s="31">
        <f t="shared" si="2233"/>
        <v>0</v>
      </c>
      <c r="N1896" s="31">
        <f t="shared" si="2234"/>
        <v>0</v>
      </c>
      <c r="O1896" s="31">
        <f t="shared" si="2235"/>
        <v>0</v>
      </c>
      <c r="P1896" s="31">
        <f t="shared" si="2236"/>
        <v>0</v>
      </c>
      <c r="Q1896" s="49">
        <f t="shared" si="2237"/>
        <v>0</v>
      </c>
    </row>
    <row r="1897" spans="4:17" s="16" customFormat="1" ht="13.2" x14ac:dyDescent="0.25">
      <c r="D1897" s="235"/>
      <c r="E1897" s="240"/>
      <c r="F1897" s="241"/>
      <c r="G1897" s="242"/>
      <c r="H1897" s="239">
        <f t="shared" si="2228"/>
        <v>0</v>
      </c>
      <c r="I1897" s="131">
        <f t="shared" si="2229"/>
        <v>0</v>
      </c>
      <c r="J1897" s="31">
        <f t="shared" si="2230"/>
        <v>0</v>
      </c>
      <c r="K1897" s="31">
        <f t="shared" si="2231"/>
        <v>0</v>
      </c>
      <c r="L1897" s="31">
        <f t="shared" si="2232"/>
        <v>0</v>
      </c>
      <c r="M1897" s="31">
        <f t="shared" si="2233"/>
        <v>0</v>
      </c>
      <c r="N1897" s="31">
        <f t="shared" si="2234"/>
        <v>0</v>
      </c>
      <c r="O1897" s="31">
        <f t="shared" si="2235"/>
        <v>0</v>
      </c>
      <c r="P1897" s="31">
        <f t="shared" si="2236"/>
        <v>0</v>
      </c>
      <c r="Q1897" s="49">
        <f t="shared" si="2237"/>
        <v>0</v>
      </c>
    </row>
    <row r="1898" spans="4:17" s="16" customFormat="1" ht="13.2" x14ac:dyDescent="0.25">
      <c r="D1898" s="235"/>
      <c r="E1898" s="240"/>
      <c r="F1898" s="241"/>
      <c r="G1898" s="242"/>
      <c r="H1898" s="239">
        <f t="shared" si="2228"/>
        <v>0</v>
      </c>
      <c r="I1898" s="131">
        <f t="shared" si="2229"/>
        <v>0</v>
      </c>
      <c r="J1898" s="31">
        <f t="shared" si="2230"/>
        <v>0</v>
      </c>
      <c r="K1898" s="31">
        <f t="shared" si="2231"/>
        <v>0</v>
      </c>
      <c r="L1898" s="31">
        <f t="shared" si="2232"/>
        <v>0</v>
      </c>
      <c r="M1898" s="31">
        <f t="shared" si="2233"/>
        <v>0</v>
      </c>
      <c r="N1898" s="31">
        <f t="shared" si="2234"/>
        <v>0</v>
      </c>
      <c r="O1898" s="31">
        <f t="shared" si="2235"/>
        <v>0</v>
      </c>
      <c r="P1898" s="31">
        <f t="shared" si="2236"/>
        <v>0</v>
      </c>
      <c r="Q1898" s="49">
        <f t="shared" si="2237"/>
        <v>0</v>
      </c>
    </row>
    <row r="1899" spans="4:17" s="16" customFormat="1" ht="13.2" x14ac:dyDescent="0.25">
      <c r="D1899" s="235"/>
      <c r="E1899" s="240"/>
      <c r="F1899" s="241"/>
      <c r="G1899" s="242"/>
      <c r="H1899" s="239">
        <f t="shared" si="2228"/>
        <v>0</v>
      </c>
      <c r="I1899" s="131">
        <f t="shared" si="2229"/>
        <v>0</v>
      </c>
      <c r="J1899" s="31">
        <f t="shared" si="2230"/>
        <v>0</v>
      </c>
      <c r="K1899" s="31">
        <f t="shared" si="2231"/>
        <v>0</v>
      </c>
      <c r="L1899" s="31">
        <f t="shared" si="2232"/>
        <v>0</v>
      </c>
      <c r="M1899" s="31">
        <f t="shared" si="2233"/>
        <v>0</v>
      </c>
      <c r="N1899" s="31">
        <f t="shared" si="2234"/>
        <v>0</v>
      </c>
      <c r="O1899" s="31">
        <f t="shared" si="2235"/>
        <v>0</v>
      </c>
      <c r="P1899" s="31">
        <f t="shared" si="2236"/>
        <v>0</v>
      </c>
      <c r="Q1899" s="49">
        <f t="shared" si="2237"/>
        <v>0</v>
      </c>
    </row>
    <row r="1900" spans="4:17" s="16" customFormat="1" ht="13.2" x14ac:dyDescent="0.25">
      <c r="D1900" s="235"/>
      <c r="E1900" s="240"/>
      <c r="F1900" s="241"/>
      <c r="G1900" s="242"/>
      <c r="H1900" s="239">
        <f t="shared" si="2228"/>
        <v>0</v>
      </c>
      <c r="I1900" s="131">
        <f t="shared" si="2229"/>
        <v>0</v>
      </c>
      <c r="J1900" s="31">
        <f t="shared" si="2230"/>
        <v>0</v>
      </c>
      <c r="K1900" s="31">
        <f t="shared" si="2231"/>
        <v>0</v>
      </c>
      <c r="L1900" s="31">
        <f t="shared" si="2232"/>
        <v>0</v>
      </c>
      <c r="M1900" s="31">
        <f t="shared" si="2233"/>
        <v>0</v>
      </c>
      <c r="N1900" s="31">
        <f t="shared" si="2234"/>
        <v>0</v>
      </c>
      <c r="O1900" s="31">
        <f t="shared" si="2235"/>
        <v>0</v>
      </c>
      <c r="P1900" s="31">
        <f t="shared" si="2236"/>
        <v>0</v>
      </c>
      <c r="Q1900" s="49">
        <f t="shared" si="2237"/>
        <v>0</v>
      </c>
    </row>
    <row r="1901" spans="4:17" s="16" customFormat="1" ht="13.2" x14ac:dyDescent="0.25">
      <c r="D1901" s="235"/>
      <c r="E1901" s="240"/>
      <c r="F1901" s="241"/>
      <c r="G1901" s="242"/>
      <c r="H1901" s="239">
        <f t="shared" si="2228"/>
        <v>0</v>
      </c>
      <c r="I1901" s="131">
        <f t="shared" si="2229"/>
        <v>0</v>
      </c>
      <c r="J1901" s="31">
        <f t="shared" si="2230"/>
        <v>0</v>
      </c>
      <c r="K1901" s="31">
        <f t="shared" si="2231"/>
        <v>0</v>
      </c>
      <c r="L1901" s="31">
        <f t="shared" si="2232"/>
        <v>0</v>
      </c>
      <c r="M1901" s="31">
        <f t="shared" si="2233"/>
        <v>0</v>
      </c>
      <c r="N1901" s="31">
        <f t="shared" si="2234"/>
        <v>0</v>
      </c>
      <c r="O1901" s="31">
        <f t="shared" si="2235"/>
        <v>0</v>
      </c>
      <c r="P1901" s="31">
        <f t="shared" si="2236"/>
        <v>0</v>
      </c>
      <c r="Q1901" s="49">
        <f t="shared" si="2237"/>
        <v>0</v>
      </c>
    </row>
    <row r="1902" spans="4:17" s="16" customFormat="1" ht="13.2" x14ac:dyDescent="0.25">
      <c r="D1902" s="235"/>
      <c r="E1902" s="240"/>
      <c r="F1902" s="241"/>
      <c r="G1902" s="242"/>
      <c r="H1902" s="239">
        <f t="shared" si="2228"/>
        <v>0</v>
      </c>
      <c r="I1902" s="131">
        <f t="shared" si="2229"/>
        <v>0</v>
      </c>
      <c r="J1902" s="31">
        <f t="shared" si="2230"/>
        <v>0</v>
      </c>
      <c r="K1902" s="31">
        <f t="shared" si="2231"/>
        <v>0</v>
      </c>
      <c r="L1902" s="31">
        <f t="shared" si="2232"/>
        <v>0</v>
      </c>
      <c r="M1902" s="31">
        <f t="shared" si="2233"/>
        <v>0</v>
      </c>
      <c r="N1902" s="31">
        <f t="shared" si="2234"/>
        <v>0</v>
      </c>
      <c r="O1902" s="31">
        <f t="shared" si="2235"/>
        <v>0</v>
      </c>
      <c r="P1902" s="31">
        <f t="shared" si="2236"/>
        <v>0</v>
      </c>
      <c r="Q1902" s="49">
        <f t="shared" si="2237"/>
        <v>0</v>
      </c>
    </row>
    <row r="1903" spans="4:17" s="16" customFormat="1" ht="13.2" x14ac:dyDescent="0.25">
      <c r="D1903" s="235"/>
      <c r="E1903" s="240"/>
      <c r="F1903" s="241"/>
      <c r="G1903" s="242"/>
      <c r="H1903" s="239">
        <f t="shared" si="2228"/>
        <v>0</v>
      </c>
      <c r="I1903" s="131">
        <f t="shared" si="2229"/>
        <v>0</v>
      </c>
      <c r="J1903" s="31">
        <f t="shared" si="2230"/>
        <v>0</v>
      </c>
      <c r="K1903" s="31">
        <f t="shared" si="2231"/>
        <v>0</v>
      </c>
      <c r="L1903" s="31">
        <f t="shared" si="2232"/>
        <v>0</v>
      </c>
      <c r="M1903" s="31">
        <f t="shared" si="2233"/>
        <v>0</v>
      </c>
      <c r="N1903" s="31">
        <f t="shared" si="2234"/>
        <v>0</v>
      </c>
      <c r="O1903" s="31">
        <f t="shared" si="2235"/>
        <v>0</v>
      </c>
      <c r="P1903" s="31">
        <f t="shared" si="2236"/>
        <v>0</v>
      </c>
      <c r="Q1903" s="49">
        <f t="shared" si="2237"/>
        <v>0</v>
      </c>
    </row>
    <row r="1904" spans="4:17" s="16" customFormat="1" ht="13.8" thickBot="1" x14ac:dyDescent="0.3">
      <c r="D1904" s="307"/>
      <c r="E1904" s="26"/>
      <c r="F1904" s="206"/>
      <c r="G1904" s="207"/>
      <c r="H1904" s="207"/>
      <c r="I1904" s="51"/>
      <c r="J1904" s="308"/>
      <c r="K1904" s="308"/>
      <c r="L1904" s="308"/>
      <c r="M1904" s="308"/>
      <c r="N1904" s="308"/>
      <c r="O1904" s="308"/>
      <c r="P1904" s="308"/>
      <c r="Q1904" s="309"/>
    </row>
    <row r="1905" spans="4:17" s="16" customFormat="1" ht="13.2" x14ac:dyDescent="0.25">
      <c r="D1905" s="796" t="s">
        <v>1680</v>
      </c>
      <c r="E1905" s="797"/>
      <c r="F1905" s="797"/>
      <c r="G1905" s="797"/>
      <c r="H1905" s="797"/>
      <c r="I1905" s="47">
        <f>SUM(I1906:I1915)</f>
        <v>0</v>
      </c>
      <c r="J1905" s="47">
        <f t="shared" ref="J1905:Q1905" si="2238">SUM(J1906:J1915)</f>
        <v>0</v>
      </c>
      <c r="K1905" s="47">
        <f t="shared" si="2238"/>
        <v>0</v>
      </c>
      <c r="L1905" s="47">
        <f t="shared" si="2238"/>
        <v>0</v>
      </c>
      <c r="M1905" s="47">
        <f t="shared" si="2238"/>
        <v>0</v>
      </c>
      <c r="N1905" s="47">
        <f t="shared" si="2238"/>
        <v>0</v>
      </c>
      <c r="O1905" s="47">
        <f t="shared" si="2238"/>
        <v>0</v>
      </c>
      <c r="P1905" s="47">
        <f t="shared" si="2238"/>
        <v>0</v>
      </c>
      <c r="Q1905" s="47">
        <f t="shared" si="2238"/>
        <v>0</v>
      </c>
    </row>
    <row r="1906" spans="4:17" s="16" customFormat="1" ht="13.2" x14ac:dyDescent="0.25">
      <c r="D1906" s="235"/>
      <c r="E1906" s="237"/>
      <c r="F1906" s="238"/>
      <c r="G1906" s="239"/>
      <c r="H1906" s="239">
        <f t="shared" ref="H1906:H1915" si="2239">E1906*G1906</f>
        <v>0</v>
      </c>
      <c r="I1906" s="131">
        <f t="shared" ref="I1906:I1915" si="2240">IF($F1906=4.2,H1906*$B$23,0)</f>
        <v>0</v>
      </c>
      <c r="J1906" s="31">
        <f t="shared" ref="J1906:J1915" si="2241">IF($F1906=5,$H1906*$B$24,0)</f>
        <v>0</v>
      </c>
      <c r="K1906" s="31">
        <f t="shared" ref="K1906:K1915" si="2242">IF($F1906=6.3,$H1906*$B$25,0)</f>
        <v>0</v>
      </c>
      <c r="L1906" s="31">
        <f t="shared" ref="L1906:L1915" si="2243">IF($F1906=8,$H1906*$B$26,0)</f>
        <v>0</v>
      </c>
      <c r="M1906" s="31">
        <f t="shared" ref="M1906:M1915" si="2244">IF($F1906=10,$H1906*$B$27,0)</f>
        <v>0</v>
      </c>
      <c r="N1906" s="31">
        <f t="shared" ref="N1906:N1915" si="2245">IF($F1906=12.5,$H1906*$B$28,0)</f>
        <v>0</v>
      </c>
      <c r="O1906" s="31">
        <f t="shared" ref="O1906:O1915" si="2246">IF($F1906=16,$H1906*$B$29,0)</f>
        <v>0</v>
      </c>
      <c r="P1906" s="31">
        <f t="shared" ref="P1906:P1915" si="2247">IF($F1906=20,$H1906*$B$30,0)</f>
        <v>0</v>
      </c>
      <c r="Q1906" s="49">
        <f t="shared" ref="Q1906:Q1915" si="2248">IF($F1906=25,$H1906*$B$31,0)</f>
        <v>0</v>
      </c>
    </row>
    <row r="1907" spans="4:17" s="16" customFormat="1" ht="13.2" x14ac:dyDescent="0.25">
      <c r="D1907" s="235"/>
      <c r="E1907" s="240"/>
      <c r="F1907" s="241"/>
      <c r="G1907" s="242"/>
      <c r="H1907" s="239">
        <f t="shared" si="2239"/>
        <v>0</v>
      </c>
      <c r="I1907" s="131">
        <f t="shared" si="2240"/>
        <v>0</v>
      </c>
      <c r="J1907" s="31">
        <f t="shared" si="2241"/>
        <v>0</v>
      </c>
      <c r="K1907" s="31">
        <f t="shared" si="2242"/>
        <v>0</v>
      </c>
      <c r="L1907" s="31">
        <f t="shared" si="2243"/>
        <v>0</v>
      </c>
      <c r="M1907" s="31">
        <f t="shared" si="2244"/>
        <v>0</v>
      </c>
      <c r="N1907" s="31">
        <f t="shared" si="2245"/>
        <v>0</v>
      </c>
      <c r="O1907" s="31">
        <f t="shared" si="2246"/>
        <v>0</v>
      </c>
      <c r="P1907" s="31">
        <f t="shared" si="2247"/>
        <v>0</v>
      </c>
      <c r="Q1907" s="49">
        <f t="shared" si="2248"/>
        <v>0</v>
      </c>
    </row>
    <row r="1908" spans="4:17" s="16" customFormat="1" ht="13.2" x14ac:dyDescent="0.25">
      <c r="D1908" s="235"/>
      <c r="E1908" s="240"/>
      <c r="F1908" s="241"/>
      <c r="G1908" s="242"/>
      <c r="H1908" s="239">
        <f t="shared" si="2239"/>
        <v>0</v>
      </c>
      <c r="I1908" s="131">
        <f t="shared" si="2240"/>
        <v>0</v>
      </c>
      <c r="J1908" s="31">
        <f t="shared" si="2241"/>
        <v>0</v>
      </c>
      <c r="K1908" s="31">
        <f t="shared" si="2242"/>
        <v>0</v>
      </c>
      <c r="L1908" s="31">
        <f t="shared" si="2243"/>
        <v>0</v>
      </c>
      <c r="M1908" s="31">
        <f t="shared" si="2244"/>
        <v>0</v>
      </c>
      <c r="N1908" s="31">
        <f t="shared" si="2245"/>
        <v>0</v>
      </c>
      <c r="O1908" s="31">
        <f t="shared" si="2246"/>
        <v>0</v>
      </c>
      <c r="P1908" s="31">
        <f t="shared" si="2247"/>
        <v>0</v>
      </c>
      <c r="Q1908" s="49">
        <f t="shared" si="2248"/>
        <v>0</v>
      </c>
    </row>
    <row r="1909" spans="4:17" s="16" customFormat="1" ht="13.2" x14ac:dyDescent="0.25">
      <c r="D1909" s="235"/>
      <c r="E1909" s="240"/>
      <c r="F1909" s="241"/>
      <c r="G1909" s="242"/>
      <c r="H1909" s="239">
        <f t="shared" si="2239"/>
        <v>0</v>
      </c>
      <c r="I1909" s="131">
        <f t="shared" si="2240"/>
        <v>0</v>
      </c>
      <c r="J1909" s="31">
        <f t="shared" si="2241"/>
        <v>0</v>
      </c>
      <c r="K1909" s="31">
        <f t="shared" si="2242"/>
        <v>0</v>
      </c>
      <c r="L1909" s="31">
        <f t="shared" si="2243"/>
        <v>0</v>
      </c>
      <c r="M1909" s="31">
        <f t="shared" si="2244"/>
        <v>0</v>
      </c>
      <c r="N1909" s="31">
        <f t="shared" si="2245"/>
        <v>0</v>
      </c>
      <c r="O1909" s="31">
        <f t="shared" si="2246"/>
        <v>0</v>
      </c>
      <c r="P1909" s="31">
        <f t="shared" si="2247"/>
        <v>0</v>
      </c>
      <c r="Q1909" s="49">
        <f t="shared" si="2248"/>
        <v>0</v>
      </c>
    </row>
    <row r="1910" spans="4:17" s="16" customFormat="1" ht="13.2" x14ac:dyDescent="0.25">
      <c r="D1910" s="235"/>
      <c r="E1910" s="240"/>
      <c r="F1910" s="241"/>
      <c r="G1910" s="242"/>
      <c r="H1910" s="239">
        <f t="shared" si="2239"/>
        <v>0</v>
      </c>
      <c r="I1910" s="131">
        <f t="shared" si="2240"/>
        <v>0</v>
      </c>
      <c r="J1910" s="31">
        <f t="shared" si="2241"/>
        <v>0</v>
      </c>
      <c r="K1910" s="31">
        <f t="shared" si="2242"/>
        <v>0</v>
      </c>
      <c r="L1910" s="31">
        <f t="shared" si="2243"/>
        <v>0</v>
      </c>
      <c r="M1910" s="31">
        <f t="shared" si="2244"/>
        <v>0</v>
      </c>
      <c r="N1910" s="31">
        <f t="shared" si="2245"/>
        <v>0</v>
      </c>
      <c r="O1910" s="31">
        <f t="shared" si="2246"/>
        <v>0</v>
      </c>
      <c r="P1910" s="31">
        <f t="shared" si="2247"/>
        <v>0</v>
      </c>
      <c r="Q1910" s="49">
        <f t="shared" si="2248"/>
        <v>0</v>
      </c>
    </row>
    <row r="1911" spans="4:17" s="16" customFormat="1" ht="13.2" x14ac:dyDescent="0.25">
      <c r="D1911" s="235"/>
      <c r="E1911" s="240"/>
      <c r="F1911" s="241"/>
      <c r="G1911" s="242"/>
      <c r="H1911" s="239">
        <f t="shared" si="2239"/>
        <v>0</v>
      </c>
      <c r="I1911" s="131">
        <f t="shared" si="2240"/>
        <v>0</v>
      </c>
      <c r="J1911" s="31">
        <f t="shared" si="2241"/>
        <v>0</v>
      </c>
      <c r="K1911" s="31">
        <f t="shared" si="2242"/>
        <v>0</v>
      </c>
      <c r="L1911" s="31">
        <f t="shared" si="2243"/>
        <v>0</v>
      </c>
      <c r="M1911" s="31">
        <f t="shared" si="2244"/>
        <v>0</v>
      </c>
      <c r="N1911" s="31">
        <f t="shared" si="2245"/>
        <v>0</v>
      </c>
      <c r="O1911" s="31">
        <f t="shared" si="2246"/>
        <v>0</v>
      </c>
      <c r="P1911" s="31">
        <f t="shared" si="2247"/>
        <v>0</v>
      </c>
      <c r="Q1911" s="49">
        <f t="shared" si="2248"/>
        <v>0</v>
      </c>
    </row>
    <row r="1912" spans="4:17" s="16" customFormat="1" ht="13.2" x14ac:dyDescent="0.25">
      <c r="D1912" s="235"/>
      <c r="E1912" s="240"/>
      <c r="F1912" s="241"/>
      <c r="G1912" s="242"/>
      <c r="H1912" s="239">
        <f t="shared" si="2239"/>
        <v>0</v>
      </c>
      <c r="I1912" s="131">
        <f t="shared" si="2240"/>
        <v>0</v>
      </c>
      <c r="J1912" s="31">
        <f t="shared" si="2241"/>
        <v>0</v>
      </c>
      <c r="K1912" s="31">
        <f t="shared" si="2242"/>
        <v>0</v>
      </c>
      <c r="L1912" s="31">
        <f t="shared" si="2243"/>
        <v>0</v>
      </c>
      <c r="M1912" s="31">
        <f t="shared" si="2244"/>
        <v>0</v>
      </c>
      <c r="N1912" s="31">
        <f t="shared" si="2245"/>
        <v>0</v>
      </c>
      <c r="O1912" s="31">
        <f t="shared" si="2246"/>
        <v>0</v>
      </c>
      <c r="P1912" s="31">
        <f t="shared" si="2247"/>
        <v>0</v>
      </c>
      <c r="Q1912" s="49">
        <f t="shared" si="2248"/>
        <v>0</v>
      </c>
    </row>
    <row r="1913" spans="4:17" s="16" customFormat="1" ht="13.2" x14ac:dyDescent="0.25">
      <c r="D1913" s="235"/>
      <c r="E1913" s="240"/>
      <c r="F1913" s="241"/>
      <c r="G1913" s="242"/>
      <c r="H1913" s="239">
        <f t="shared" si="2239"/>
        <v>0</v>
      </c>
      <c r="I1913" s="131">
        <f t="shared" si="2240"/>
        <v>0</v>
      </c>
      <c r="J1913" s="31">
        <f t="shared" si="2241"/>
        <v>0</v>
      </c>
      <c r="K1913" s="31">
        <f t="shared" si="2242"/>
        <v>0</v>
      </c>
      <c r="L1913" s="31">
        <f t="shared" si="2243"/>
        <v>0</v>
      </c>
      <c r="M1913" s="31">
        <f t="shared" si="2244"/>
        <v>0</v>
      </c>
      <c r="N1913" s="31">
        <f t="shared" si="2245"/>
        <v>0</v>
      </c>
      <c r="O1913" s="31">
        <f t="shared" si="2246"/>
        <v>0</v>
      </c>
      <c r="P1913" s="31">
        <f t="shared" si="2247"/>
        <v>0</v>
      </c>
      <c r="Q1913" s="49">
        <f t="shared" si="2248"/>
        <v>0</v>
      </c>
    </row>
    <row r="1914" spans="4:17" s="16" customFormat="1" ht="13.2" x14ac:dyDescent="0.25">
      <c r="D1914" s="235"/>
      <c r="E1914" s="240"/>
      <c r="F1914" s="241"/>
      <c r="G1914" s="242"/>
      <c r="H1914" s="239">
        <f t="shared" si="2239"/>
        <v>0</v>
      </c>
      <c r="I1914" s="131">
        <f t="shared" si="2240"/>
        <v>0</v>
      </c>
      <c r="J1914" s="31">
        <f t="shared" si="2241"/>
        <v>0</v>
      </c>
      <c r="K1914" s="31">
        <f t="shared" si="2242"/>
        <v>0</v>
      </c>
      <c r="L1914" s="31">
        <f t="shared" si="2243"/>
        <v>0</v>
      </c>
      <c r="M1914" s="31">
        <f t="shared" si="2244"/>
        <v>0</v>
      </c>
      <c r="N1914" s="31">
        <f t="shared" si="2245"/>
        <v>0</v>
      </c>
      <c r="O1914" s="31">
        <f t="shared" si="2246"/>
        <v>0</v>
      </c>
      <c r="P1914" s="31">
        <f t="shared" si="2247"/>
        <v>0</v>
      </c>
      <c r="Q1914" s="49">
        <f t="shared" si="2248"/>
        <v>0</v>
      </c>
    </row>
    <row r="1915" spans="4:17" s="16" customFormat="1" ht="13.2" x14ac:dyDescent="0.25">
      <c r="D1915" s="235"/>
      <c r="E1915" s="240"/>
      <c r="F1915" s="241"/>
      <c r="G1915" s="242"/>
      <c r="H1915" s="239">
        <f t="shared" si="2239"/>
        <v>0</v>
      </c>
      <c r="I1915" s="131">
        <f t="shared" si="2240"/>
        <v>0</v>
      </c>
      <c r="J1915" s="31">
        <f t="shared" si="2241"/>
        <v>0</v>
      </c>
      <c r="K1915" s="31">
        <f t="shared" si="2242"/>
        <v>0</v>
      </c>
      <c r="L1915" s="31">
        <f t="shared" si="2243"/>
        <v>0</v>
      </c>
      <c r="M1915" s="31">
        <f t="shared" si="2244"/>
        <v>0</v>
      </c>
      <c r="N1915" s="31">
        <f t="shared" si="2245"/>
        <v>0</v>
      </c>
      <c r="O1915" s="31">
        <f t="shared" si="2246"/>
        <v>0</v>
      </c>
      <c r="P1915" s="31">
        <f t="shared" si="2247"/>
        <v>0</v>
      </c>
      <c r="Q1915" s="49">
        <f t="shared" si="2248"/>
        <v>0</v>
      </c>
    </row>
    <row r="1916" spans="4:17" s="16" customFormat="1" ht="13.8" thickBot="1" x14ac:dyDescent="0.3">
      <c r="D1916" s="307"/>
      <c r="E1916" s="26"/>
      <c r="F1916" s="206"/>
      <c r="G1916" s="207"/>
      <c r="H1916" s="207"/>
      <c r="I1916" s="51"/>
      <c r="J1916" s="308"/>
      <c r="K1916" s="308"/>
      <c r="L1916" s="308"/>
      <c r="M1916" s="308"/>
      <c r="N1916" s="308"/>
      <c r="O1916" s="308"/>
      <c r="P1916" s="308"/>
      <c r="Q1916" s="309"/>
    </row>
    <row r="1917" spans="4:17" s="16" customFormat="1" ht="13.2" x14ac:dyDescent="0.25">
      <c r="D1917" s="796" t="s">
        <v>1680</v>
      </c>
      <c r="E1917" s="797"/>
      <c r="F1917" s="797"/>
      <c r="G1917" s="797"/>
      <c r="H1917" s="797"/>
      <c r="I1917" s="47">
        <f>SUM(I1918:I1927)</f>
        <v>0</v>
      </c>
      <c r="J1917" s="47">
        <f t="shared" ref="J1917:Q1917" si="2249">SUM(J1918:J1927)</f>
        <v>0</v>
      </c>
      <c r="K1917" s="47">
        <f t="shared" si="2249"/>
        <v>0</v>
      </c>
      <c r="L1917" s="47">
        <f t="shared" si="2249"/>
        <v>0</v>
      </c>
      <c r="M1917" s="47">
        <f t="shared" si="2249"/>
        <v>0</v>
      </c>
      <c r="N1917" s="47">
        <f t="shared" si="2249"/>
        <v>0</v>
      </c>
      <c r="O1917" s="47">
        <f t="shared" si="2249"/>
        <v>0</v>
      </c>
      <c r="P1917" s="47">
        <f t="shared" si="2249"/>
        <v>0</v>
      </c>
      <c r="Q1917" s="47">
        <f t="shared" si="2249"/>
        <v>0</v>
      </c>
    </row>
    <row r="1918" spans="4:17" s="16" customFormat="1" ht="13.2" x14ac:dyDescent="0.25">
      <c r="D1918" s="235"/>
      <c r="E1918" s="237"/>
      <c r="F1918" s="238"/>
      <c r="G1918" s="239"/>
      <c r="H1918" s="239">
        <f t="shared" ref="H1918:H1927" si="2250">E1918*G1918</f>
        <v>0</v>
      </c>
      <c r="I1918" s="131">
        <f t="shared" ref="I1918:I1927" si="2251">IF($F1918=4.2,H1918*$B$23,0)</f>
        <v>0</v>
      </c>
      <c r="J1918" s="31">
        <f t="shared" ref="J1918:J1927" si="2252">IF($F1918=5,$H1918*$B$24,0)</f>
        <v>0</v>
      </c>
      <c r="K1918" s="31">
        <f t="shared" ref="K1918:K1927" si="2253">IF($F1918=6.3,$H1918*$B$25,0)</f>
        <v>0</v>
      </c>
      <c r="L1918" s="31">
        <f t="shared" ref="L1918:L1927" si="2254">IF($F1918=8,$H1918*$B$26,0)</f>
        <v>0</v>
      </c>
      <c r="M1918" s="31">
        <f t="shared" ref="M1918:M1927" si="2255">IF($F1918=10,$H1918*$B$27,0)</f>
        <v>0</v>
      </c>
      <c r="N1918" s="31">
        <f t="shared" ref="N1918:N1927" si="2256">IF($F1918=12.5,$H1918*$B$28,0)</f>
        <v>0</v>
      </c>
      <c r="O1918" s="31">
        <f t="shared" ref="O1918:O1927" si="2257">IF($F1918=16,$H1918*$B$29,0)</f>
        <v>0</v>
      </c>
      <c r="P1918" s="31">
        <f t="shared" ref="P1918:P1927" si="2258">IF($F1918=20,$H1918*$B$30,0)</f>
        <v>0</v>
      </c>
      <c r="Q1918" s="49">
        <f t="shared" ref="Q1918:Q1927" si="2259">IF($F1918=25,$H1918*$B$31,0)</f>
        <v>0</v>
      </c>
    </row>
    <row r="1919" spans="4:17" s="16" customFormat="1" ht="13.2" x14ac:dyDescent="0.25">
      <c r="D1919" s="235"/>
      <c r="E1919" s="240"/>
      <c r="F1919" s="241"/>
      <c r="G1919" s="242"/>
      <c r="H1919" s="239">
        <f t="shared" si="2250"/>
        <v>0</v>
      </c>
      <c r="I1919" s="131">
        <f t="shared" si="2251"/>
        <v>0</v>
      </c>
      <c r="J1919" s="31">
        <f t="shared" si="2252"/>
        <v>0</v>
      </c>
      <c r="K1919" s="31">
        <f t="shared" si="2253"/>
        <v>0</v>
      </c>
      <c r="L1919" s="31">
        <f t="shared" si="2254"/>
        <v>0</v>
      </c>
      <c r="M1919" s="31">
        <f t="shared" si="2255"/>
        <v>0</v>
      </c>
      <c r="N1919" s="31">
        <f t="shared" si="2256"/>
        <v>0</v>
      </c>
      <c r="O1919" s="31">
        <f t="shared" si="2257"/>
        <v>0</v>
      </c>
      <c r="P1919" s="31">
        <f t="shared" si="2258"/>
        <v>0</v>
      </c>
      <c r="Q1919" s="49">
        <f t="shared" si="2259"/>
        <v>0</v>
      </c>
    </row>
    <row r="1920" spans="4:17" s="16" customFormat="1" ht="13.2" x14ac:dyDescent="0.25">
      <c r="D1920" s="235"/>
      <c r="E1920" s="240"/>
      <c r="F1920" s="241"/>
      <c r="G1920" s="242"/>
      <c r="H1920" s="239">
        <f t="shared" si="2250"/>
        <v>0</v>
      </c>
      <c r="I1920" s="131">
        <f t="shared" si="2251"/>
        <v>0</v>
      </c>
      <c r="J1920" s="31">
        <f t="shared" si="2252"/>
        <v>0</v>
      </c>
      <c r="K1920" s="31">
        <f t="shared" si="2253"/>
        <v>0</v>
      </c>
      <c r="L1920" s="31">
        <f t="shared" si="2254"/>
        <v>0</v>
      </c>
      <c r="M1920" s="31">
        <f t="shared" si="2255"/>
        <v>0</v>
      </c>
      <c r="N1920" s="31">
        <f t="shared" si="2256"/>
        <v>0</v>
      </c>
      <c r="O1920" s="31">
        <f t="shared" si="2257"/>
        <v>0</v>
      </c>
      <c r="P1920" s="31">
        <f t="shared" si="2258"/>
        <v>0</v>
      </c>
      <c r="Q1920" s="49">
        <f t="shared" si="2259"/>
        <v>0</v>
      </c>
    </row>
    <row r="1921" spans="4:17" s="16" customFormat="1" ht="13.2" x14ac:dyDescent="0.25">
      <c r="D1921" s="235"/>
      <c r="E1921" s="240"/>
      <c r="F1921" s="241"/>
      <c r="G1921" s="242"/>
      <c r="H1921" s="239">
        <f t="shared" si="2250"/>
        <v>0</v>
      </c>
      <c r="I1921" s="131">
        <f t="shared" si="2251"/>
        <v>0</v>
      </c>
      <c r="J1921" s="31">
        <f t="shared" si="2252"/>
        <v>0</v>
      </c>
      <c r="K1921" s="31">
        <f t="shared" si="2253"/>
        <v>0</v>
      </c>
      <c r="L1921" s="31">
        <f t="shared" si="2254"/>
        <v>0</v>
      </c>
      <c r="M1921" s="31">
        <f t="shared" si="2255"/>
        <v>0</v>
      </c>
      <c r="N1921" s="31">
        <f t="shared" si="2256"/>
        <v>0</v>
      </c>
      <c r="O1921" s="31">
        <f t="shared" si="2257"/>
        <v>0</v>
      </c>
      <c r="P1921" s="31">
        <f t="shared" si="2258"/>
        <v>0</v>
      </c>
      <c r="Q1921" s="49">
        <f t="shared" si="2259"/>
        <v>0</v>
      </c>
    </row>
    <row r="1922" spans="4:17" s="16" customFormat="1" ht="13.2" x14ac:dyDescent="0.25">
      <c r="D1922" s="235"/>
      <c r="E1922" s="240"/>
      <c r="F1922" s="241"/>
      <c r="G1922" s="242"/>
      <c r="H1922" s="239">
        <f t="shared" si="2250"/>
        <v>0</v>
      </c>
      <c r="I1922" s="131">
        <f t="shared" si="2251"/>
        <v>0</v>
      </c>
      <c r="J1922" s="31">
        <f t="shared" si="2252"/>
        <v>0</v>
      </c>
      <c r="K1922" s="31">
        <f t="shared" si="2253"/>
        <v>0</v>
      </c>
      <c r="L1922" s="31">
        <f t="shared" si="2254"/>
        <v>0</v>
      </c>
      <c r="M1922" s="31">
        <f t="shared" si="2255"/>
        <v>0</v>
      </c>
      <c r="N1922" s="31">
        <f t="shared" si="2256"/>
        <v>0</v>
      </c>
      <c r="O1922" s="31">
        <f t="shared" si="2257"/>
        <v>0</v>
      </c>
      <c r="P1922" s="31">
        <f t="shared" si="2258"/>
        <v>0</v>
      </c>
      <c r="Q1922" s="49">
        <f t="shared" si="2259"/>
        <v>0</v>
      </c>
    </row>
    <row r="1923" spans="4:17" s="16" customFormat="1" ht="13.2" x14ac:dyDescent="0.25">
      <c r="D1923" s="235"/>
      <c r="E1923" s="240"/>
      <c r="F1923" s="241"/>
      <c r="G1923" s="242"/>
      <c r="H1923" s="239">
        <f t="shared" si="2250"/>
        <v>0</v>
      </c>
      <c r="I1923" s="131">
        <f t="shared" si="2251"/>
        <v>0</v>
      </c>
      <c r="J1923" s="31">
        <f t="shared" si="2252"/>
        <v>0</v>
      </c>
      <c r="K1923" s="31">
        <f t="shared" si="2253"/>
        <v>0</v>
      </c>
      <c r="L1923" s="31">
        <f t="shared" si="2254"/>
        <v>0</v>
      </c>
      <c r="M1923" s="31">
        <f t="shared" si="2255"/>
        <v>0</v>
      </c>
      <c r="N1923" s="31">
        <f t="shared" si="2256"/>
        <v>0</v>
      </c>
      <c r="O1923" s="31">
        <f t="shared" si="2257"/>
        <v>0</v>
      </c>
      <c r="P1923" s="31">
        <f t="shared" si="2258"/>
        <v>0</v>
      </c>
      <c r="Q1923" s="49">
        <f t="shared" si="2259"/>
        <v>0</v>
      </c>
    </row>
    <row r="1924" spans="4:17" s="16" customFormat="1" ht="13.2" x14ac:dyDescent="0.25">
      <c r="D1924" s="235"/>
      <c r="E1924" s="240"/>
      <c r="F1924" s="241"/>
      <c r="G1924" s="242"/>
      <c r="H1924" s="239">
        <f t="shared" si="2250"/>
        <v>0</v>
      </c>
      <c r="I1924" s="131">
        <f t="shared" si="2251"/>
        <v>0</v>
      </c>
      <c r="J1924" s="31">
        <f t="shared" si="2252"/>
        <v>0</v>
      </c>
      <c r="K1924" s="31">
        <f t="shared" si="2253"/>
        <v>0</v>
      </c>
      <c r="L1924" s="31">
        <f t="shared" si="2254"/>
        <v>0</v>
      </c>
      <c r="M1924" s="31">
        <f t="shared" si="2255"/>
        <v>0</v>
      </c>
      <c r="N1924" s="31">
        <f t="shared" si="2256"/>
        <v>0</v>
      </c>
      <c r="O1924" s="31">
        <f t="shared" si="2257"/>
        <v>0</v>
      </c>
      <c r="P1924" s="31">
        <f t="shared" si="2258"/>
        <v>0</v>
      </c>
      <c r="Q1924" s="49">
        <f t="shared" si="2259"/>
        <v>0</v>
      </c>
    </row>
    <row r="1925" spans="4:17" s="16" customFormat="1" ht="13.2" x14ac:dyDescent="0.25">
      <c r="D1925" s="235"/>
      <c r="E1925" s="240"/>
      <c r="F1925" s="241"/>
      <c r="G1925" s="242"/>
      <c r="H1925" s="239">
        <f t="shared" si="2250"/>
        <v>0</v>
      </c>
      <c r="I1925" s="131">
        <f t="shared" si="2251"/>
        <v>0</v>
      </c>
      <c r="J1925" s="31">
        <f t="shared" si="2252"/>
        <v>0</v>
      </c>
      <c r="K1925" s="31">
        <f t="shared" si="2253"/>
        <v>0</v>
      </c>
      <c r="L1925" s="31">
        <f t="shared" si="2254"/>
        <v>0</v>
      </c>
      <c r="M1925" s="31">
        <f t="shared" si="2255"/>
        <v>0</v>
      </c>
      <c r="N1925" s="31">
        <f t="shared" si="2256"/>
        <v>0</v>
      </c>
      <c r="O1925" s="31">
        <f t="shared" si="2257"/>
        <v>0</v>
      </c>
      <c r="P1925" s="31">
        <f t="shared" si="2258"/>
        <v>0</v>
      </c>
      <c r="Q1925" s="49">
        <f t="shared" si="2259"/>
        <v>0</v>
      </c>
    </row>
    <row r="1926" spans="4:17" s="16" customFormat="1" ht="13.2" x14ac:dyDescent="0.25">
      <c r="D1926" s="235"/>
      <c r="E1926" s="240"/>
      <c r="F1926" s="241"/>
      <c r="G1926" s="242"/>
      <c r="H1926" s="239">
        <f t="shared" si="2250"/>
        <v>0</v>
      </c>
      <c r="I1926" s="131">
        <f t="shared" si="2251"/>
        <v>0</v>
      </c>
      <c r="J1926" s="31">
        <f t="shared" si="2252"/>
        <v>0</v>
      </c>
      <c r="K1926" s="31">
        <f t="shared" si="2253"/>
        <v>0</v>
      </c>
      <c r="L1926" s="31">
        <f t="shared" si="2254"/>
        <v>0</v>
      </c>
      <c r="M1926" s="31">
        <f t="shared" si="2255"/>
        <v>0</v>
      </c>
      <c r="N1926" s="31">
        <f t="shared" si="2256"/>
        <v>0</v>
      </c>
      <c r="O1926" s="31">
        <f t="shared" si="2257"/>
        <v>0</v>
      </c>
      <c r="P1926" s="31">
        <f t="shared" si="2258"/>
        <v>0</v>
      </c>
      <c r="Q1926" s="49">
        <f t="shared" si="2259"/>
        <v>0</v>
      </c>
    </row>
    <row r="1927" spans="4:17" s="16" customFormat="1" ht="13.2" x14ac:dyDescent="0.25">
      <c r="D1927" s="235"/>
      <c r="E1927" s="240"/>
      <c r="F1927" s="241"/>
      <c r="G1927" s="242"/>
      <c r="H1927" s="239">
        <f t="shared" si="2250"/>
        <v>0</v>
      </c>
      <c r="I1927" s="131">
        <f t="shared" si="2251"/>
        <v>0</v>
      </c>
      <c r="J1927" s="31">
        <f t="shared" si="2252"/>
        <v>0</v>
      </c>
      <c r="K1927" s="31">
        <f t="shared" si="2253"/>
        <v>0</v>
      </c>
      <c r="L1927" s="31">
        <f t="shared" si="2254"/>
        <v>0</v>
      </c>
      <c r="M1927" s="31">
        <f t="shared" si="2255"/>
        <v>0</v>
      </c>
      <c r="N1927" s="31">
        <f t="shared" si="2256"/>
        <v>0</v>
      </c>
      <c r="O1927" s="31">
        <f t="shared" si="2257"/>
        <v>0</v>
      </c>
      <c r="P1927" s="31">
        <f t="shared" si="2258"/>
        <v>0</v>
      </c>
      <c r="Q1927" s="49">
        <f t="shared" si="2259"/>
        <v>0</v>
      </c>
    </row>
    <row r="1928" spans="4:17" s="16" customFormat="1" ht="13.8" thickBot="1" x14ac:dyDescent="0.3">
      <c r="D1928" s="307"/>
      <c r="E1928" s="26"/>
      <c r="F1928" s="206"/>
      <c r="G1928" s="207"/>
      <c r="H1928" s="207"/>
      <c r="I1928" s="51"/>
      <c r="J1928" s="308"/>
      <c r="K1928" s="308"/>
      <c r="L1928" s="308"/>
      <c r="M1928" s="308"/>
      <c r="N1928" s="308"/>
      <c r="O1928" s="308"/>
      <c r="P1928" s="308"/>
      <c r="Q1928" s="309"/>
    </row>
    <row r="1929" spans="4:17" s="16" customFormat="1" ht="13.2" x14ac:dyDescent="0.25">
      <c r="D1929" s="796" t="s">
        <v>1680</v>
      </c>
      <c r="E1929" s="797"/>
      <c r="F1929" s="797"/>
      <c r="G1929" s="797"/>
      <c r="H1929" s="797"/>
      <c r="I1929" s="47">
        <f>SUM(I1930:I1939)</f>
        <v>0</v>
      </c>
      <c r="J1929" s="47">
        <f t="shared" ref="J1929:Q1929" si="2260">SUM(J1930:J1939)</f>
        <v>0</v>
      </c>
      <c r="K1929" s="47">
        <f t="shared" si="2260"/>
        <v>0</v>
      </c>
      <c r="L1929" s="47">
        <f t="shared" si="2260"/>
        <v>0</v>
      </c>
      <c r="M1929" s="47">
        <f t="shared" si="2260"/>
        <v>0</v>
      </c>
      <c r="N1929" s="47">
        <f t="shared" si="2260"/>
        <v>0</v>
      </c>
      <c r="O1929" s="47">
        <f t="shared" si="2260"/>
        <v>0</v>
      </c>
      <c r="P1929" s="47">
        <f t="shared" si="2260"/>
        <v>0</v>
      </c>
      <c r="Q1929" s="47">
        <f t="shared" si="2260"/>
        <v>0</v>
      </c>
    </row>
    <row r="1930" spans="4:17" s="16" customFormat="1" ht="13.2" x14ac:dyDescent="0.25">
      <c r="D1930" s="235"/>
      <c r="E1930" s="237"/>
      <c r="F1930" s="238"/>
      <c r="G1930" s="239"/>
      <c r="H1930" s="239">
        <f t="shared" ref="H1930:H1939" si="2261">E1930*G1930</f>
        <v>0</v>
      </c>
      <c r="I1930" s="131">
        <f t="shared" ref="I1930:I1939" si="2262">IF($F1930=4.2,H1930*$B$23,0)</f>
        <v>0</v>
      </c>
      <c r="J1930" s="31">
        <f t="shared" ref="J1930:J1939" si="2263">IF($F1930=5,$H1930*$B$24,0)</f>
        <v>0</v>
      </c>
      <c r="K1930" s="31">
        <f t="shared" ref="K1930:K1939" si="2264">IF($F1930=6.3,$H1930*$B$25,0)</f>
        <v>0</v>
      </c>
      <c r="L1930" s="31">
        <f t="shared" ref="L1930:L1939" si="2265">IF($F1930=8,$H1930*$B$26,0)</f>
        <v>0</v>
      </c>
      <c r="M1930" s="31">
        <f t="shared" ref="M1930:M1939" si="2266">IF($F1930=10,$H1930*$B$27,0)</f>
        <v>0</v>
      </c>
      <c r="N1930" s="31">
        <f t="shared" ref="N1930:N1939" si="2267">IF($F1930=12.5,$H1930*$B$28,0)</f>
        <v>0</v>
      </c>
      <c r="O1930" s="31">
        <f t="shared" ref="O1930:O1939" si="2268">IF($F1930=16,$H1930*$B$29,0)</f>
        <v>0</v>
      </c>
      <c r="P1930" s="31">
        <f t="shared" ref="P1930:P1939" si="2269">IF($F1930=20,$H1930*$B$30,0)</f>
        <v>0</v>
      </c>
      <c r="Q1930" s="49">
        <f t="shared" ref="Q1930:Q1939" si="2270">IF($F1930=25,$H1930*$B$31,0)</f>
        <v>0</v>
      </c>
    </row>
    <row r="1931" spans="4:17" s="16" customFormat="1" ht="13.2" x14ac:dyDescent="0.25">
      <c r="D1931" s="235"/>
      <c r="E1931" s="240"/>
      <c r="F1931" s="241"/>
      <c r="G1931" s="242"/>
      <c r="H1931" s="239">
        <f t="shared" si="2261"/>
        <v>0</v>
      </c>
      <c r="I1931" s="131">
        <f t="shared" si="2262"/>
        <v>0</v>
      </c>
      <c r="J1931" s="31">
        <f t="shared" si="2263"/>
        <v>0</v>
      </c>
      <c r="K1931" s="31">
        <f t="shared" si="2264"/>
        <v>0</v>
      </c>
      <c r="L1931" s="31">
        <f t="shared" si="2265"/>
        <v>0</v>
      </c>
      <c r="M1931" s="31">
        <f t="shared" si="2266"/>
        <v>0</v>
      </c>
      <c r="N1931" s="31">
        <f t="shared" si="2267"/>
        <v>0</v>
      </c>
      <c r="O1931" s="31">
        <f t="shared" si="2268"/>
        <v>0</v>
      </c>
      <c r="P1931" s="31">
        <f t="shared" si="2269"/>
        <v>0</v>
      </c>
      <c r="Q1931" s="49">
        <f t="shared" si="2270"/>
        <v>0</v>
      </c>
    </row>
    <row r="1932" spans="4:17" s="16" customFormat="1" ht="13.2" x14ac:dyDescent="0.25">
      <c r="D1932" s="235"/>
      <c r="E1932" s="240"/>
      <c r="F1932" s="241"/>
      <c r="G1932" s="242"/>
      <c r="H1932" s="239">
        <f t="shared" si="2261"/>
        <v>0</v>
      </c>
      <c r="I1932" s="131">
        <f t="shared" si="2262"/>
        <v>0</v>
      </c>
      <c r="J1932" s="31">
        <f t="shared" si="2263"/>
        <v>0</v>
      </c>
      <c r="K1932" s="31">
        <f t="shared" si="2264"/>
        <v>0</v>
      </c>
      <c r="L1932" s="31">
        <f t="shared" si="2265"/>
        <v>0</v>
      </c>
      <c r="M1932" s="31">
        <f t="shared" si="2266"/>
        <v>0</v>
      </c>
      <c r="N1932" s="31">
        <f t="shared" si="2267"/>
        <v>0</v>
      </c>
      <c r="O1932" s="31">
        <f t="shared" si="2268"/>
        <v>0</v>
      </c>
      <c r="P1932" s="31">
        <f t="shared" si="2269"/>
        <v>0</v>
      </c>
      <c r="Q1932" s="49">
        <f t="shared" si="2270"/>
        <v>0</v>
      </c>
    </row>
    <row r="1933" spans="4:17" s="16" customFormat="1" ht="13.2" x14ac:dyDescent="0.25">
      <c r="D1933" s="235"/>
      <c r="E1933" s="240"/>
      <c r="F1933" s="241"/>
      <c r="G1933" s="242"/>
      <c r="H1933" s="239">
        <f t="shared" si="2261"/>
        <v>0</v>
      </c>
      <c r="I1933" s="131">
        <f t="shared" si="2262"/>
        <v>0</v>
      </c>
      <c r="J1933" s="31">
        <f t="shared" si="2263"/>
        <v>0</v>
      </c>
      <c r="K1933" s="31">
        <f t="shared" si="2264"/>
        <v>0</v>
      </c>
      <c r="L1933" s="31">
        <f t="shared" si="2265"/>
        <v>0</v>
      </c>
      <c r="M1933" s="31">
        <f t="shared" si="2266"/>
        <v>0</v>
      </c>
      <c r="N1933" s="31">
        <f t="shared" si="2267"/>
        <v>0</v>
      </c>
      <c r="O1933" s="31">
        <f t="shared" si="2268"/>
        <v>0</v>
      </c>
      <c r="P1933" s="31">
        <f t="shared" si="2269"/>
        <v>0</v>
      </c>
      <c r="Q1933" s="49">
        <f t="shared" si="2270"/>
        <v>0</v>
      </c>
    </row>
    <row r="1934" spans="4:17" s="16" customFormat="1" ht="13.2" x14ac:dyDescent="0.25">
      <c r="D1934" s="235"/>
      <c r="E1934" s="240"/>
      <c r="F1934" s="241"/>
      <c r="G1934" s="242"/>
      <c r="H1934" s="239">
        <f t="shared" si="2261"/>
        <v>0</v>
      </c>
      <c r="I1934" s="131">
        <f t="shared" si="2262"/>
        <v>0</v>
      </c>
      <c r="J1934" s="31">
        <f t="shared" si="2263"/>
        <v>0</v>
      </c>
      <c r="K1934" s="31">
        <f t="shared" si="2264"/>
        <v>0</v>
      </c>
      <c r="L1934" s="31">
        <f t="shared" si="2265"/>
        <v>0</v>
      </c>
      <c r="M1934" s="31">
        <f t="shared" si="2266"/>
        <v>0</v>
      </c>
      <c r="N1934" s="31">
        <f t="shared" si="2267"/>
        <v>0</v>
      </c>
      <c r="O1934" s="31">
        <f t="shared" si="2268"/>
        <v>0</v>
      </c>
      <c r="P1934" s="31">
        <f t="shared" si="2269"/>
        <v>0</v>
      </c>
      <c r="Q1934" s="49">
        <f t="shared" si="2270"/>
        <v>0</v>
      </c>
    </row>
    <row r="1935" spans="4:17" s="16" customFormat="1" ht="13.2" x14ac:dyDescent="0.25">
      <c r="D1935" s="235"/>
      <c r="E1935" s="240"/>
      <c r="F1935" s="241"/>
      <c r="G1935" s="242"/>
      <c r="H1935" s="239">
        <f t="shared" si="2261"/>
        <v>0</v>
      </c>
      <c r="I1935" s="131">
        <f t="shared" si="2262"/>
        <v>0</v>
      </c>
      <c r="J1935" s="31">
        <f t="shared" si="2263"/>
        <v>0</v>
      </c>
      <c r="K1935" s="31">
        <f t="shared" si="2264"/>
        <v>0</v>
      </c>
      <c r="L1935" s="31">
        <f t="shared" si="2265"/>
        <v>0</v>
      </c>
      <c r="M1935" s="31">
        <f t="shared" si="2266"/>
        <v>0</v>
      </c>
      <c r="N1935" s="31">
        <f t="shared" si="2267"/>
        <v>0</v>
      </c>
      <c r="O1935" s="31">
        <f t="shared" si="2268"/>
        <v>0</v>
      </c>
      <c r="P1935" s="31">
        <f t="shared" si="2269"/>
        <v>0</v>
      </c>
      <c r="Q1935" s="49">
        <f t="shared" si="2270"/>
        <v>0</v>
      </c>
    </row>
    <row r="1936" spans="4:17" s="16" customFormat="1" ht="13.2" x14ac:dyDescent="0.25">
      <c r="D1936" s="235"/>
      <c r="E1936" s="240"/>
      <c r="F1936" s="241"/>
      <c r="G1936" s="242"/>
      <c r="H1936" s="239">
        <f t="shared" si="2261"/>
        <v>0</v>
      </c>
      <c r="I1936" s="131">
        <f t="shared" si="2262"/>
        <v>0</v>
      </c>
      <c r="J1936" s="31">
        <f t="shared" si="2263"/>
        <v>0</v>
      </c>
      <c r="K1936" s="31">
        <f t="shared" si="2264"/>
        <v>0</v>
      </c>
      <c r="L1936" s="31">
        <f t="shared" si="2265"/>
        <v>0</v>
      </c>
      <c r="M1936" s="31">
        <f t="shared" si="2266"/>
        <v>0</v>
      </c>
      <c r="N1936" s="31">
        <f t="shared" si="2267"/>
        <v>0</v>
      </c>
      <c r="O1936" s="31">
        <f t="shared" si="2268"/>
        <v>0</v>
      </c>
      <c r="P1936" s="31">
        <f t="shared" si="2269"/>
        <v>0</v>
      </c>
      <c r="Q1936" s="49">
        <f t="shared" si="2270"/>
        <v>0</v>
      </c>
    </row>
    <row r="1937" spans="4:17" s="16" customFormat="1" ht="13.2" x14ac:dyDescent="0.25">
      <c r="D1937" s="235"/>
      <c r="E1937" s="240"/>
      <c r="F1937" s="241"/>
      <c r="G1937" s="242"/>
      <c r="H1937" s="239">
        <f t="shared" si="2261"/>
        <v>0</v>
      </c>
      <c r="I1937" s="131">
        <f t="shared" si="2262"/>
        <v>0</v>
      </c>
      <c r="J1937" s="31">
        <f t="shared" si="2263"/>
        <v>0</v>
      </c>
      <c r="K1937" s="31">
        <f t="shared" si="2264"/>
        <v>0</v>
      </c>
      <c r="L1937" s="31">
        <f t="shared" si="2265"/>
        <v>0</v>
      </c>
      <c r="M1937" s="31">
        <f t="shared" si="2266"/>
        <v>0</v>
      </c>
      <c r="N1937" s="31">
        <f t="shared" si="2267"/>
        <v>0</v>
      </c>
      <c r="O1937" s="31">
        <f t="shared" si="2268"/>
        <v>0</v>
      </c>
      <c r="P1937" s="31">
        <f t="shared" si="2269"/>
        <v>0</v>
      </c>
      <c r="Q1937" s="49">
        <f t="shared" si="2270"/>
        <v>0</v>
      </c>
    </row>
    <row r="1938" spans="4:17" s="16" customFormat="1" ht="13.2" x14ac:dyDescent="0.25">
      <c r="D1938" s="235"/>
      <c r="E1938" s="240"/>
      <c r="F1938" s="241"/>
      <c r="G1938" s="242"/>
      <c r="H1938" s="239">
        <f t="shared" si="2261"/>
        <v>0</v>
      </c>
      <c r="I1938" s="131">
        <f t="shared" si="2262"/>
        <v>0</v>
      </c>
      <c r="J1938" s="31">
        <f t="shared" si="2263"/>
        <v>0</v>
      </c>
      <c r="K1938" s="31">
        <f t="shared" si="2264"/>
        <v>0</v>
      </c>
      <c r="L1938" s="31">
        <f t="shared" si="2265"/>
        <v>0</v>
      </c>
      <c r="M1938" s="31">
        <f t="shared" si="2266"/>
        <v>0</v>
      </c>
      <c r="N1938" s="31">
        <f t="shared" si="2267"/>
        <v>0</v>
      </c>
      <c r="O1938" s="31">
        <f t="shared" si="2268"/>
        <v>0</v>
      </c>
      <c r="P1938" s="31">
        <f t="shared" si="2269"/>
        <v>0</v>
      </c>
      <c r="Q1938" s="49">
        <f t="shared" si="2270"/>
        <v>0</v>
      </c>
    </row>
    <row r="1939" spans="4:17" s="16" customFormat="1" ht="13.2" x14ac:dyDescent="0.25">
      <c r="D1939" s="235"/>
      <c r="E1939" s="240"/>
      <c r="F1939" s="241"/>
      <c r="G1939" s="242"/>
      <c r="H1939" s="239">
        <f t="shared" si="2261"/>
        <v>0</v>
      </c>
      <c r="I1939" s="131">
        <f t="shared" si="2262"/>
        <v>0</v>
      </c>
      <c r="J1939" s="31">
        <f t="shared" si="2263"/>
        <v>0</v>
      </c>
      <c r="K1939" s="31">
        <f t="shared" si="2264"/>
        <v>0</v>
      </c>
      <c r="L1939" s="31">
        <f t="shared" si="2265"/>
        <v>0</v>
      </c>
      <c r="M1939" s="31">
        <f t="shared" si="2266"/>
        <v>0</v>
      </c>
      <c r="N1939" s="31">
        <f t="shared" si="2267"/>
        <v>0</v>
      </c>
      <c r="O1939" s="31">
        <f t="shared" si="2268"/>
        <v>0</v>
      </c>
      <c r="P1939" s="31">
        <f t="shared" si="2269"/>
        <v>0</v>
      </c>
      <c r="Q1939" s="49">
        <f t="shared" si="2270"/>
        <v>0</v>
      </c>
    </row>
    <row r="1940" spans="4:17" s="16" customFormat="1" ht="13.8" thickBot="1" x14ac:dyDescent="0.3">
      <c r="D1940" s="307"/>
      <c r="E1940" s="26"/>
      <c r="F1940" s="206"/>
      <c r="G1940" s="207"/>
      <c r="H1940" s="207"/>
      <c r="I1940" s="51"/>
      <c r="J1940" s="308"/>
      <c r="K1940" s="308"/>
      <c r="L1940" s="308"/>
      <c r="M1940" s="308"/>
      <c r="N1940" s="308"/>
      <c r="O1940" s="308"/>
      <c r="P1940" s="308"/>
      <c r="Q1940" s="309"/>
    </row>
    <row r="1941" spans="4:17" s="16" customFormat="1" ht="13.2" x14ac:dyDescent="0.25">
      <c r="D1941" s="796" t="s">
        <v>1680</v>
      </c>
      <c r="E1941" s="797"/>
      <c r="F1941" s="797"/>
      <c r="G1941" s="797"/>
      <c r="H1941" s="797"/>
      <c r="I1941" s="47">
        <f>SUM(I1942:I1951)</f>
        <v>0</v>
      </c>
      <c r="J1941" s="47">
        <f t="shared" ref="J1941:Q1941" si="2271">SUM(J1942:J1951)</f>
        <v>0</v>
      </c>
      <c r="K1941" s="47">
        <f t="shared" si="2271"/>
        <v>0</v>
      </c>
      <c r="L1941" s="47">
        <f t="shared" si="2271"/>
        <v>0</v>
      </c>
      <c r="M1941" s="47">
        <f t="shared" si="2271"/>
        <v>0</v>
      </c>
      <c r="N1941" s="47">
        <f t="shared" si="2271"/>
        <v>0</v>
      </c>
      <c r="O1941" s="47">
        <f t="shared" si="2271"/>
        <v>0</v>
      </c>
      <c r="P1941" s="47">
        <f t="shared" si="2271"/>
        <v>0</v>
      </c>
      <c r="Q1941" s="47">
        <f t="shared" si="2271"/>
        <v>0</v>
      </c>
    </row>
    <row r="1942" spans="4:17" s="16" customFormat="1" ht="13.2" x14ac:dyDescent="0.25">
      <c r="D1942" s="235"/>
      <c r="E1942" s="237"/>
      <c r="F1942" s="238"/>
      <c r="G1942" s="239"/>
      <c r="H1942" s="239">
        <f t="shared" ref="H1942:H1951" si="2272">E1942*G1942</f>
        <v>0</v>
      </c>
      <c r="I1942" s="131">
        <f t="shared" ref="I1942:I1951" si="2273">IF($F1942=4.2,H1942*$B$23,0)</f>
        <v>0</v>
      </c>
      <c r="J1942" s="31">
        <f t="shared" ref="J1942:J1951" si="2274">IF($F1942=5,$H1942*$B$24,0)</f>
        <v>0</v>
      </c>
      <c r="K1942" s="31">
        <f t="shared" ref="K1942:K1951" si="2275">IF($F1942=6.3,$H1942*$B$25,0)</f>
        <v>0</v>
      </c>
      <c r="L1942" s="31">
        <f t="shared" ref="L1942:L1951" si="2276">IF($F1942=8,$H1942*$B$26,0)</f>
        <v>0</v>
      </c>
      <c r="M1942" s="31">
        <f t="shared" ref="M1942:M1951" si="2277">IF($F1942=10,$H1942*$B$27,0)</f>
        <v>0</v>
      </c>
      <c r="N1942" s="31">
        <f t="shared" ref="N1942:N1951" si="2278">IF($F1942=12.5,$H1942*$B$28,0)</f>
        <v>0</v>
      </c>
      <c r="O1942" s="31">
        <f t="shared" ref="O1942:O1951" si="2279">IF($F1942=16,$H1942*$B$29,0)</f>
        <v>0</v>
      </c>
      <c r="P1942" s="31">
        <f t="shared" ref="P1942:P1951" si="2280">IF($F1942=20,$H1942*$B$30,0)</f>
        <v>0</v>
      </c>
      <c r="Q1942" s="49">
        <f t="shared" ref="Q1942:Q1951" si="2281">IF($F1942=25,$H1942*$B$31,0)</f>
        <v>0</v>
      </c>
    </row>
    <row r="1943" spans="4:17" s="16" customFormat="1" ht="13.2" x14ac:dyDescent="0.25">
      <c r="D1943" s="235"/>
      <c r="E1943" s="240"/>
      <c r="F1943" s="241"/>
      <c r="G1943" s="242"/>
      <c r="H1943" s="239">
        <f t="shared" si="2272"/>
        <v>0</v>
      </c>
      <c r="I1943" s="131">
        <f t="shared" si="2273"/>
        <v>0</v>
      </c>
      <c r="J1943" s="31">
        <f t="shared" si="2274"/>
        <v>0</v>
      </c>
      <c r="K1943" s="31">
        <f t="shared" si="2275"/>
        <v>0</v>
      </c>
      <c r="L1943" s="31">
        <f t="shared" si="2276"/>
        <v>0</v>
      </c>
      <c r="M1943" s="31">
        <f t="shared" si="2277"/>
        <v>0</v>
      </c>
      <c r="N1943" s="31">
        <f t="shared" si="2278"/>
        <v>0</v>
      </c>
      <c r="O1943" s="31">
        <f t="shared" si="2279"/>
        <v>0</v>
      </c>
      <c r="P1943" s="31">
        <f t="shared" si="2280"/>
        <v>0</v>
      </c>
      <c r="Q1943" s="49">
        <f t="shared" si="2281"/>
        <v>0</v>
      </c>
    </row>
    <row r="1944" spans="4:17" s="16" customFormat="1" ht="13.2" x14ac:dyDescent="0.25">
      <c r="D1944" s="235"/>
      <c r="E1944" s="240"/>
      <c r="F1944" s="241"/>
      <c r="G1944" s="242"/>
      <c r="H1944" s="239">
        <f t="shared" si="2272"/>
        <v>0</v>
      </c>
      <c r="I1944" s="131">
        <f t="shared" si="2273"/>
        <v>0</v>
      </c>
      <c r="J1944" s="31">
        <f t="shared" si="2274"/>
        <v>0</v>
      </c>
      <c r="K1944" s="31">
        <f t="shared" si="2275"/>
        <v>0</v>
      </c>
      <c r="L1944" s="31">
        <f t="shared" si="2276"/>
        <v>0</v>
      </c>
      <c r="M1944" s="31">
        <f t="shared" si="2277"/>
        <v>0</v>
      </c>
      <c r="N1944" s="31">
        <f t="shared" si="2278"/>
        <v>0</v>
      </c>
      <c r="O1944" s="31">
        <f t="shared" si="2279"/>
        <v>0</v>
      </c>
      <c r="P1944" s="31">
        <f t="shared" si="2280"/>
        <v>0</v>
      </c>
      <c r="Q1944" s="49">
        <f t="shared" si="2281"/>
        <v>0</v>
      </c>
    </row>
    <row r="1945" spans="4:17" s="16" customFormat="1" ht="13.2" x14ac:dyDescent="0.25">
      <c r="D1945" s="235"/>
      <c r="E1945" s="240"/>
      <c r="F1945" s="241"/>
      <c r="G1945" s="242"/>
      <c r="H1945" s="239">
        <f t="shared" si="2272"/>
        <v>0</v>
      </c>
      <c r="I1945" s="131">
        <f t="shared" si="2273"/>
        <v>0</v>
      </c>
      <c r="J1945" s="31">
        <f t="shared" si="2274"/>
        <v>0</v>
      </c>
      <c r="K1945" s="31">
        <f t="shared" si="2275"/>
        <v>0</v>
      </c>
      <c r="L1945" s="31">
        <f t="shared" si="2276"/>
        <v>0</v>
      </c>
      <c r="M1945" s="31">
        <f t="shared" si="2277"/>
        <v>0</v>
      </c>
      <c r="N1945" s="31">
        <f t="shared" si="2278"/>
        <v>0</v>
      </c>
      <c r="O1945" s="31">
        <f t="shared" si="2279"/>
        <v>0</v>
      </c>
      <c r="P1945" s="31">
        <f t="shared" si="2280"/>
        <v>0</v>
      </c>
      <c r="Q1945" s="49">
        <f t="shared" si="2281"/>
        <v>0</v>
      </c>
    </row>
    <row r="1946" spans="4:17" s="16" customFormat="1" ht="13.2" x14ac:dyDescent="0.25">
      <c r="D1946" s="235"/>
      <c r="E1946" s="240"/>
      <c r="F1946" s="241"/>
      <c r="G1946" s="242"/>
      <c r="H1946" s="239">
        <f t="shared" si="2272"/>
        <v>0</v>
      </c>
      <c r="I1946" s="131">
        <f t="shared" si="2273"/>
        <v>0</v>
      </c>
      <c r="J1946" s="31">
        <f t="shared" si="2274"/>
        <v>0</v>
      </c>
      <c r="K1946" s="31">
        <f t="shared" si="2275"/>
        <v>0</v>
      </c>
      <c r="L1946" s="31">
        <f t="shared" si="2276"/>
        <v>0</v>
      </c>
      <c r="M1946" s="31">
        <f t="shared" si="2277"/>
        <v>0</v>
      </c>
      <c r="N1946" s="31">
        <f t="shared" si="2278"/>
        <v>0</v>
      </c>
      <c r="O1946" s="31">
        <f t="shared" si="2279"/>
        <v>0</v>
      </c>
      <c r="P1946" s="31">
        <f t="shared" si="2280"/>
        <v>0</v>
      </c>
      <c r="Q1946" s="49">
        <f t="shared" si="2281"/>
        <v>0</v>
      </c>
    </row>
    <row r="1947" spans="4:17" s="16" customFormat="1" ht="13.2" x14ac:dyDescent="0.25">
      <c r="D1947" s="235"/>
      <c r="E1947" s="240"/>
      <c r="F1947" s="241"/>
      <c r="G1947" s="242"/>
      <c r="H1947" s="239">
        <f t="shared" si="2272"/>
        <v>0</v>
      </c>
      <c r="I1947" s="131">
        <f t="shared" si="2273"/>
        <v>0</v>
      </c>
      <c r="J1947" s="31">
        <f t="shared" si="2274"/>
        <v>0</v>
      </c>
      <c r="K1947" s="31">
        <f t="shared" si="2275"/>
        <v>0</v>
      </c>
      <c r="L1947" s="31">
        <f t="shared" si="2276"/>
        <v>0</v>
      </c>
      <c r="M1947" s="31">
        <f t="shared" si="2277"/>
        <v>0</v>
      </c>
      <c r="N1947" s="31">
        <f t="shared" si="2278"/>
        <v>0</v>
      </c>
      <c r="O1947" s="31">
        <f t="shared" si="2279"/>
        <v>0</v>
      </c>
      <c r="P1947" s="31">
        <f t="shared" si="2280"/>
        <v>0</v>
      </c>
      <c r="Q1947" s="49">
        <f t="shared" si="2281"/>
        <v>0</v>
      </c>
    </row>
    <row r="1948" spans="4:17" s="16" customFormat="1" ht="13.2" x14ac:dyDescent="0.25">
      <c r="D1948" s="235"/>
      <c r="E1948" s="240"/>
      <c r="F1948" s="241"/>
      <c r="G1948" s="242"/>
      <c r="H1948" s="239">
        <f t="shared" si="2272"/>
        <v>0</v>
      </c>
      <c r="I1948" s="131">
        <f t="shared" si="2273"/>
        <v>0</v>
      </c>
      <c r="J1948" s="31">
        <f t="shared" si="2274"/>
        <v>0</v>
      </c>
      <c r="K1948" s="31">
        <f t="shared" si="2275"/>
        <v>0</v>
      </c>
      <c r="L1948" s="31">
        <f t="shared" si="2276"/>
        <v>0</v>
      </c>
      <c r="M1948" s="31">
        <f t="shared" si="2277"/>
        <v>0</v>
      </c>
      <c r="N1948" s="31">
        <f t="shared" si="2278"/>
        <v>0</v>
      </c>
      <c r="O1948" s="31">
        <f t="shared" si="2279"/>
        <v>0</v>
      </c>
      <c r="P1948" s="31">
        <f t="shared" si="2280"/>
        <v>0</v>
      </c>
      <c r="Q1948" s="49">
        <f t="shared" si="2281"/>
        <v>0</v>
      </c>
    </row>
    <row r="1949" spans="4:17" s="16" customFormat="1" ht="13.2" x14ac:dyDescent="0.25">
      <c r="D1949" s="235"/>
      <c r="E1949" s="240"/>
      <c r="F1949" s="241"/>
      <c r="G1949" s="242"/>
      <c r="H1949" s="239">
        <f t="shared" si="2272"/>
        <v>0</v>
      </c>
      <c r="I1949" s="131">
        <f t="shared" si="2273"/>
        <v>0</v>
      </c>
      <c r="J1949" s="31">
        <f t="shared" si="2274"/>
        <v>0</v>
      </c>
      <c r="K1949" s="31">
        <f t="shared" si="2275"/>
        <v>0</v>
      </c>
      <c r="L1949" s="31">
        <f t="shared" si="2276"/>
        <v>0</v>
      </c>
      <c r="M1949" s="31">
        <f t="shared" si="2277"/>
        <v>0</v>
      </c>
      <c r="N1949" s="31">
        <f t="shared" si="2278"/>
        <v>0</v>
      </c>
      <c r="O1949" s="31">
        <f t="shared" si="2279"/>
        <v>0</v>
      </c>
      <c r="P1949" s="31">
        <f t="shared" si="2280"/>
        <v>0</v>
      </c>
      <c r="Q1949" s="49">
        <f t="shared" si="2281"/>
        <v>0</v>
      </c>
    </row>
    <row r="1950" spans="4:17" s="16" customFormat="1" ht="13.2" x14ac:dyDescent="0.25">
      <c r="D1950" s="235"/>
      <c r="E1950" s="240"/>
      <c r="F1950" s="241"/>
      <c r="G1950" s="242"/>
      <c r="H1950" s="239">
        <f t="shared" si="2272"/>
        <v>0</v>
      </c>
      <c r="I1950" s="131">
        <f t="shared" si="2273"/>
        <v>0</v>
      </c>
      <c r="J1950" s="31">
        <f t="shared" si="2274"/>
        <v>0</v>
      </c>
      <c r="K1950" s="31">
        <f t="shared" si="2275"/>
        <v>0</v>
      </c>
      <c r="L1950" s="31">
        <f t="shared" si="2276"/>
        <v>0</v>
      </c>
      <c r="M1950" s="31">
        <f t="shared" si="2277"/>
        <v>0</v>
      </c>
      <c r="N1950" s="31">
        <f t="shared" si="2278"/>
        <v>0</v>
      </c>
      <c r="O1950" s="31">
        <f t="shared" si="2279"/>
        <v>0</v>
      </c>
      <c r="P1950" s="31">
        <f t="shared" si="2280"/>
        <v>0</v>
      </c>
      <c r="Q1950" s="49">
        <f t="shared" si="2281"/>
        <v>0</v>
      </c>
    </row>
    <row r="1951" spans="4:17" s="16" customFormat="1" ht="13.2" x14ac:dyDescent="0.25">
      <c r="D1951" s="235"/>
      <c r="E1951" s="240"/>
      <c r="F1951" s="241"/>
      <c r="G1951" s="242"/>
      <c r="H1951" s="239">
        <f t="shared" si="2272"/>
        <v>0</v>
      </c>
      <c r="I1951" s="131">
        <f t="shared" si="2273"/>
        <v>0</v>
      </c>
      <c r="J1951" s="31">
        <f t="shared" si="2274"/>
        <v>0</v>
      </c>
      <c r="K1951" s="31">
        <f t="shared" si="2275"/>
        <v>0</v>
      </c>
      <c r="L1951" s="31">
        <f t="shared" si="2276"/>
        <v>0</v>
      </c>
      <c r="M1951" s="31">
        <f t="shared" si="2277"/>
        <v>0</v>
      </c>
      <c r="N1951" s="31">
        <f t="shared" si="2278"/>
        <v>0</v>
      </c>
      <c r="O1951" s="31">
        <f t="shared" si="2279"/>
        <v>0</v>
      </c>
      <c r="P1951" s="31">
        <f t="shared" si="2280"/>
        <v>0</v>
      </c>
      <c r="Q1951" s="49">
        <f t="shared" si="2281"/>
        <v>0</v>
      </c>
    </row>
    <row r="1952" spans="4:17" s="16" customFormat="1" ht="13.8" thickBot="1" x14ac:dyDescent="0.3">
      <c r="D1952" s="307"/>
      <c r="E1952" s="26"/>
      <c r="F1952" s="206"/>
      <c r="G1952" s="207"/>
      <c r="H1952" s="207"/>
      <c r="I1952" s="51"/>
      <c r="J1952" s="308"/>
      <c r="K1952" s="308"/>
      <c r="L1952" s="308"/>
      <c r="M1952" s="308"/>
      <c r="N1952" s="308"/>
      <c r="O1952" s="308"/>
      <c r="P1952" s="308"/>
      <c r="Q1952" s="309"/>
    </row>
    <row r="1953" spans="4:17" s="16" customFormat="1" ht="13.2" x14ac:dyDescent="0.25">
      <c r="D1953" s="796" t="s">
        <v>1680</v>
      </c>
      <c r="E1953" s="797"/>
      <c r="F1953" s="797"/>
      <c r="G1953" s="797"/>
      <c r="H1953" s="797"/>
      <c r="I1953" s="47">
        <f>SUM(I1954:I1963)</f>
        <v>0</v>
      </c>
      <c r="J1953" s="47">
        <f t="shared" ref="J1953:Q1953" si="2282">SUM(J1954:J1963)</f>
        <v>0</v>
      </c>
      <c r="K1953" s="47">
        <f t="shared" si="2282"/>
        <v>0</v>
      </c>
      <c r="L1953" s="47">
        <f t="shared" si="2282"/>
        <v>0</v>
      </c>
      <c r="M1953" s="47">
        <f t="shared" si="2282"/>
        <v>0</v>
      </c>
      <c r="N1953" s="47">
        <f t="shared" si="2282"/>
        <v>0</v>
      </c>
      <c r="O1953" s="47">
        <f t="shared" si="2282"/>
        <v>0</v>
      </c>
      <c r="P1953" s="47">
        <f t="shared" si="2282"/>
        <v>0</v>
      </c>
      <c r="Q1953" s="47">
        <f t="shared" si="2282"/>
        <v>0</v>
      </c>
    </row>
    <row r="1954" spans="4:17" s="16" customFormat="1" ht="13.2" x14ac:dyDescent="0.25">
      <c r="D1954" s="235"/>
      <c r="E1954" s="237"/>
      <c r="F1954" s="238"/>
      <c r="G1954" s="239"/>
      <c r="H1954" s="239">
        <f t="shared" ref="H1954:H1963" si="2283">E1954*G1954</f>
        <v>0</v>
      </c>
      <c r="I1954" s="131">
        <f t="shared" ref="I1954:I1963" si="2284">IF($F1954=4.2,H1954*$B$23,0)</f>
        <v>0</v>
      </c>
      <c r="J1954" s="31">
        <f t="shared" ref="J1954:J1963" si="2285">IF($F1954=5,$H1954*$B$24,0)</f>
        <v>0</v>
      </c>
      <c r="K1954" s="31">
        <f t="shared" ref="K1954:K1963" si="2286">IF($F1954=6.3,$H1954*$B$25,0)</f>
        <v>0</v>
      </c>
      <c r="L1954" s="31">
        <f t="shared" ref="L1954:L1963" si="2287">IF($F1954=8,$H1954*$B$26,0)</f>
        <v>0</v>
      </c>
      <c r="M1954" s="31">
        <f t="shared" ref="M1954:M1963" si="2288">IF($F1954=10,$H1954*$B$27,0)</f>
        <v>0</v>
      </c>
      <c r="N1954" s="31">
        <f t="shared" ref="N1954:N1963" si="2289">IF($F1954=12.5,$H1954*$B$28,0)</f>
        <v>0</v>
      </c>
      <c r="O1954" s="31">
        <f t="shared" ref="O1954:O1963" si="2290">IF($F1954=16,$H1954*$B$29,0)</f>
        <v>0</v>
      </c>
      <c r="P1954" s="31">
        <f t="shared" ref="P1954:P1963" si="2291">IF($F1954=20,$H1954*$B$30,0)</f>
        <v>0</v>
      </c>
      <c r="Q1954" s="49">
        <f t="shared" ref="Q1954:Q1963" si="2292">IF($F1954=25,$H1954*$B$31,0)</f>
        <v>0</v>
      </c>
    </row>
    <row r="1955" spans="4:17" s="16" customFormat="1" ht="13.2" x14ac:dyDescent="0.25">
      <c r="D1955" s="235"/>
      <c r="E1955" s="240"/>
      <c r="F1955" s="241"/>
      <c r="G1955" s="242"/>
      <c r="H1955" s="239">
        <f t="shared" si="2283"/>
        <v>0</v>
      </c>
      <c r="I1955" s="131">
        <f t="shared" si="2284"/>
        <v>0</v>
      </c>
      <c r="J1955" s="31">
        <f t="shared" si="2285"/>
        <v>0</v>
      </c>
      <c r="K1955" s="31">
        <f t="shared" si="2286"/>
        <v>0</v>
      </c>
      <c r="L1955" s="31">
        <f t="shared" si="2287"/>
        <v>0</v>
      </c>
      <c r="M1955" s="31">
        <f t="shared" si="2288"/>
        <v>0</v>
      </c>
      <c r="N1955" s="31">
        <f t="shared" si="2289"/>
        <v>0</v>
      </c>
      <c r="O1955" s="31">
        <f t="shared" si="2290"/>
        <v>0</v>
      </c>
      <c r="P1955" s="31">
        <f t="shared" si="2291"/>
        <v>0</v>
      </c>
      <c r="Q1955" s="49">
        <f t="shared" si="2292"/>
        <v>0</v>
      </c>
    </row>
    <row r="1956" spans="4:17" s="16" customFormat="1" ht="13.2" x14ac:dyDescent="0.25">
      <c r="D1956" s="235"/>
      <c r="E1956" s="240"/>
      <c r="F1956" s="241"/>
      <c r="G1956" s="242"/>
      <c r="H1956" s="239">
        <f t="shared" si="2283"/>
        <v>0</v>
      </c>
      <c r="I1956" s="131">
        <f t="shared" si="2284"/>
        <v>0</v>
      </c>
      <c r="J1956" s="31">
        <f t="shared" si="2285"/>
        <v>0</v>
      </c>
      <c r="K1956" s="31">
        <f t="shared" si="2286"/>
        <v>0</v>
      </c>
      <c r="L1956" s="31">
        <f t="shared" si="2287"/>
        <v>0</v>
      </c>
      <c r="M1956" s="31">
        <f t="shared" si="2288"/>
        <v>0</v>
      </c>
      <c r="N1956" s="31">
        <f t="shared" si="2289"/>
        <v>0</v>
      </c>
      <c r="O1956" s="31">
        <f t="shared" si="2290"/>
        <v>0</v>
      </c>
      <c r="P1956" s="31">
        <f t="shared" si="2291"/>
        <v>0</v>
      </c>
      <c r="Q1956" s="49">
        <f t="shared" si="2292"/>
        <v>0</v>
      </c>
    </row>
    <row r="1957" spans="4:17" s="16" customFormat="1" ht="13.2" x14ac:dyDescent="0.25">
      <c r="D1957" s="235"/>
      <c r="E1957" s="240"/>
      <c r="F1957" s="241"/>
      <c r="G1957" s="242"/>
      <c r="H1957" s="239">
        <f t="shared" si="2283"/>
        <v>0</v>
      </c>
      <c r="I1957" s="131">
        <f t="shared" si="2284"/>
        <v>0</v>
      </c>
      <c r="J1957" s="31">
        <f t="shared" si="2285"/>
        <v>0</v>
      </c>
      <c r="K1957" s="31">
        <f t="shared" si="2286"/>
        <v>0</v>
      </c>
      <c r="L1957" s="31">
        <f t="shared" si="2287"/>
        <v>0</v>
      </c>
      <c r="M1957" s="31">
        <f t="shared" si="2288"/>
        <v>0</v>
      </c>
      <c r="N1957" s="31">
        <f t="shared" si="2289"/>
        <v>0</v>
      </c>
      <c r="O1957" s="31">
        <f t="shared" si="2290"/>
        <v>0</v>
      </c>
      <c r="P1957" s="31">
        <f t="shared" si="2291"/>
        <v>0</v>
      </c>
      <c r="Q1957" s="49">
        <f t="shared" si="2292"/>
        <v>0</v>
      </c>
    </row>
    <row r="1958" spans="4:17" s="16" customFormat="1" ht="13.2" x14ac:dyDescent="0.25">
      <c r="D1958" s="235"/>
      <c r="E1958" s="240"/>
      <c r="F1958" s="241"/>
      <c r="G1958" s="242"/>
      <c r="H1958" s="239">
        <f t="shared" si="2283"/>
        <v>0</v>
      </c>
      <c r="I1958" s="131">
        <f t="shared" si="2284"/>
        <v>0</v>
      </c>
      <c r="J1958" s="31">
        <f t="shared" si="2285"/>
        <v>0</v>
      </c>
      <c r="K1958" s="31">
        <f t="shared" si="2286"/>
        <v>0</v>
      </c>
      <c r="L1958" s="31">
        <f t="shared" si="2287"/>
        <v>0</v>
      </c>
      <c r="M1958" s="31">
        <f t="shared" si="2288"/>
        <v>0</v>
      </c>
      <c r="N1958" s="31">
        <f t="shared" si="2289"/>
        <v>0</v>
      </c>
      <c r="O1958" s="31">
        <f t="shared" si="2290"/>
        <v>0</v>
      </c>
      <c r="P1958" s="31">
        <f t="shared" si="2291"/>
        <v>0</v>
      </c>
      <c r="Q1958" s="49">
        <f t="shared" si="2292"/>
        <v>0</v>
      </c>
    </row>
    <row r="1959" spans="4:17" s="16" customFormat="1" ht="13.2" x14ac:dyDescent="0.25">
      <c r="D1959" s="235"/>
      <c r="E1959" s="240"/>
      <c r="F1959" s="241"/>
      <c r="G1959" s="242"/>
      <c r="H1959" s="239">
        <f t="shared" si="2283"/>
        <v>0</v>
      </c>
      <c r="I1959" s="131">
        <f t="shared" si="2284"/>
        <v>0</v>
      </c>
      <c r="J1959" s="31">
        <f t="shared" si="2285"/>
        <v>0</v>
      </c>
      <c r="K1959" s="31">
        <f t="shared" si="2286"/>
        <v>0</v>
      </c>
      <c r="L1959" s="31">
        <f t="shared" si="2287"/>
        <v>0</v>
      </c>
      <c r="M1959" s="31">
        <f t="shared" si="2288"/>
        <v>0</v>
      </c>
      <c r="N1959" s="31">
        <f t="shared" si="2289"/>
        <v>0</v>
      </c>
      <c r="O1959" s="31">
        <f t="shared" si="2290"/>
        <v>0</v>
      </c>
      <c r="P1959" s="31">
        <f t="shared" si="2291"/>
        <v>0</v>
      </c>
      <c r="Q1959" s="49">
        <f t="shared" si="2292"/>
        <v>0</v>
      </c>
    </row>
    <row r="1960" spans="4:17" s="16" customFormat="1" ht="13.2" x14ac:dyDescent="0.25">
      <c r="D1960" s="235"/>
      <c r="E1960" s="240"/>
      <c r="F1960" s="241"/>
      <c r="G1960" s="242"/>
      <c r="H1960" s="239">
        <f t="shared" si="2283"/>
        <v>0</v>
      </c>
      <c r="I1960" s="131">
        <f t="shared" si="2284"/>
        <v>0</v>
      </c>
      <c r="J1960" s="31">
        <f t="shared" si="2285"/>
        <v>0</v>
      </c>
      <c r="K1960" s="31">
        <f t="shared" si="2286"/>
        <v>0</v>
      </c>
      <c r="L1960" s="31">
        <f t="shared" si="2287"/>
        <v>0</v>
      </c>
      <c r="M1960" s="31">
        <f t="shared" si="2288"/>
        <v>0</v>
      </c>
      <c r="N1960" s="31">
        <f t="shared" si="2289"/>
        <v>0</v>
      </c>
      <c r="O1960" s="31">
        <f t="shared" si="2290"/>
        <v>0</v>
      </c>
      <c r="P1960" s="31">
        <f t="shared" si="2291"/>
        <v>0</v>
      </c>
      <c r="Q1960" s="49">
        <f t="shared" si="2292"/>
        <v>0</v>
      </c>
    </row>
    <row r="1961" spans="4:17" s="16" customFormat="1" ht="13.2" x14ac:dyDescent="0.25">
      <c r="D1961" s="235"/>
      <c r="E1961" s="240"/>
      <c r="F1961" s="241"/>
      <c r="G1961" s="242"/>
      <c r="H1961" s="239">
        <f t="shared" si="2283"/>
        <v>0</v>
      </c>
      <c r="I1961" s="131">
        <f t="shared" si="2284"/>
        <v>0</v>
      </c>
      <c r="J1961" s="31">
        <f t="shared" si="2285"/>
        <v>0</v>
      </c>
      <c r="K1961" s="31">
        <f t="shared" si="2286"/>
        <v>0</v>
      </c>
      <c r="L1961" s="31">
        <f t="shared" si="2287"/>
        <v>0</v>
      </c>
      <c r="M1961" s="31">
        <f t="shared" si="2288"/>
        <v>0</v>
      </c>
      <c r="N1961" s="31">
        <f t="shared" si="2289"/>
        <v>0</v>
      </c>
      <c r="O1961" s="31">
        <f t="shared" si="2290"/>
        <v>0</v>
      </c>
      <c r="P1961" s="31">
        <f t="shared" si="2291"/>
        <v>0</v>
      </c>
      <c r="Q1961" s="49">
        <f t="shared" si="2292"/>
        <v>0</v>
      </c>
    </row>
    <row r="1962" spans="4:17" s="16" customFormat="1" ht="13.2" x14ac:dyDescent="0.25">
      <c r="D1962" s="235"/>
      <c r="E1962" s="240"/>
      <c r="F1962" s="241"/>
      <c r="G1962" s="242"/>
      <c r="H1962" s="239">
        <f t="shared" si="2283"/>
        <v>0</v>
      </c>
      <c r="I1962" s="131">
        <f t="shared" si="2284"/>
        <v>0</v>
      </c>
      <c r="J1962" s="31">
        <f t="shared" si="2285"/>
        <v>0</v>
      </c>
      <c r="K1962" s="31">
        <f t="shared" si="2286"/>
        <v>0</v>
      </c>
      <c r="L1962" s="31">
        <f t="shared" si="2287"/>
        <v>0</v>
      </c>
      <c r="M1962" s="31">
        <f t="shared" si="2288"/>
        <v>0</v>
      </c>
      <c r="N1962" s="31">
        <f t="shared" si="2289"/>
        <v>0</v>
      </c>
      <c r="O1962" s="31">
        <f t="shared" si="2290"/>
        <v>0</v>
      </c>
      <c r="P1962" s="31">
        <f t="shared" si="2291"/>
        <v>0</v>
      </c>
      <c r="Q1962" s="49">
        <f t="shared" si="2292"/>
        <v>0</v>
      </c>
    </row>
    <row r="1963" spans="4:17" s="16" customFormat="1" ht="13.2" x14ac:dyDescent="0.25">
      <c r="D1963" s="235"/>
      <c r="E1963" s="240"/>
      <c r="F1963" s="241"/>
      <c r="G1963" s="242"/>
      <c r="H1963" s="239">
        <f t="shared" si="2283"/>
        <v>0</v>
      </c>
      <c r="I1963" s="131">
        <f t="shared" si="2284"/>
        <v>0</v>
      </c>
      <c r="J1963" s="31">
        <f t="shared" si="2285"/>
        <v>0</v>
      </c>
      <c r="K1963" s="31">
        <f t="shared" si="2286"/>
        <v>0</v>
      </c>
      <c r="L1963" s="31">
        <f t="shared" si="2287"/>
        <v>0</v>
      </c>
      <c r="M1963" s="31">
        <f t="shared" si="2288"/>
        <v>0</v>
      </c>
      <c r="N1963" s="31">
        <f t="shared" si="2289"/>
        <v>0</v>
      </c>
      <c r="O1963" s="31">
        <f t="shared" si="2290"/>
        <v>0</v>
      </c>
      <c r="P1963" s="31">
        <f t="shared" si="2291"/>
        <v>0</v>
      </c>
      <c r="Q1963" s="49">
        <f t="shared" si="2292"/>
        <v>0</v>
      </c>
    </row>
    <row r="1964" spans="4:17" s="16" customFormat="1" ht="13.8" thickBot="1" x14ac:dyDescent="0.3">
      <c r="D1964" s="307"/>
      <c r="E1964" s="26"/>
      <c r="F1964" s="206"/>
      <c r="G1964" s="207"/>
      <c r="H1964" s="207"/>
      <c r="I1964" s="51"/>
      <c r="J1964" s="308"/>
      <c r="K1964" s="308"/>
      <c r="L1964" s="308"/>
      <c r="M1964" s="308"/>
      <c r="N1964" s="308"/>
      <c r="O1964" s="308"/>
      <c r="P1964" s="308"/>
      <c r="Q1964" s="309"/>
    </row>
    <row r="1965" spans="4:17" s="16" customFormat="1" ht="13.2" x14ac:dyDescent="0.25">
      <c r="D1965" s="796" t="s">
        <v>1680</v>
      </c>
      <c r="E1965" s="797"/>
      <c r="F1965" s="797"/>
      <c r="G1965" s="797"/>
      <c r="H1965" s="797"/>
      <c r="I1965" s="47">
        <f>SUM(I1966:I1975)</f>
        <v>0</v>
      </c>
      <c r="J1965" s="47">
        <f t="shared" ref="J1965:Q1965" si="2293">SUM(J1966:J1975)</f>
        <v>0</v>
      </c>
      <c r="K1965" s="47">
        <f t="shared" si="2293"/>
        <v>0</v>
      </c>
      <c r="L1965" s="47">
        <f t="shared" si="2293"/>
        <v>0</v>
      </c>
      <c r="M1965" s="47">
        <f t="shared" si="2293"/>
        <v>0</v>
      </c>
      <c r="N1965" s="47">
        <f t="shared" si="2293"/>
        <v>0</v>
      </c>
      <c r="O1965" s="47">
        <f t="shared" si="2293"/>
        <v>0</v>
      </c>
      <c r="P1965" s="47">
        <f t="shared" si="2293"/>
        <v>0</v>
      </c>
      <c r="Q1965" s="47">
        <f t="shared" si="2293"/>
        <v>0</v>
      </c>
    </row>
    <row r="1966" spans="4:17" s="16" customFormat="1" ht="13.2" x14ac:dyDescent="0.25">
      <c r="D1966" s="235"/>
      <c r="E1966" s="237"/>
      <c r="F1966" s="238"/>
      <c r="G1966" s="239"/>
      <c r="H1966" s="239">
        <f t="shared" ref="H1966:H1975" si="2294">E1966*G1966</f>
        <v>0</v>
      </c>
      <c r="I1966" s="131">
        <f t="shared" ref="I1966:I1975" si="2295">IF($F1966=4.2,H1966*$B$23,0)</f>
        <v>0</v>
      </c>
      <c r="J1966" s="31">
        <f t="shared" ref="J1966:J1975" si="2296">IF($F1966=5,$H1966*$B$24,0)</f>
        <v>0</v>
      </c>
      <c r="K1966" s="31">
        <f t="shared" ref="K1966:K1975" si="2297">IF($F1966=6.3,$H1966*$B$25,0)</f>
        <v>0</v>
      </c>
      <c r="L1966" s="31">
        <f t="shared" ref="L1966:L1975" si="2298">IF($F1966=8,$H1966*$B$26,0)</f>
        <v>0</v>
      </c>
      <c r="M1966" s="31">
        <f t="shared" ref="M1966:M1975" si="2299">IF($F1966=10,$H1966*$B$27,0)</f>
        <v>0</v>
      </c>
      <c r="N1966" s="31">
        <f t="shared" ref="N1966:N1975" si="2300">IF($F1966=12.5,$H1966*$B$28,0)</f>
        <v>0</v>
      </c>
      <c r="O1966" s="31">
        <f t="shared" ref="O1966:O1975" si="2301">IF($F1966=16,$H1966*$B$29,0)</f>
        <v>0</v>
      </c>
      <c r="P1966" s="31">
        <f t="shared" ref="P1966:P1975" si="2302">IF($F1966=20,$H1966*$B$30,0)</f>
        <v>0</v>
      </c>
      <c r="Q1966" s="49">
        <f t="shared" ref="Q1966:Q1975" si="2303">IF($F1966=25,$H1966*$B$31,0)</f>
        <v>0</v>
      </c>
    </row>
    <row r="1967" spans="4:17" s="16" customFormat="1" ht="13.2" x14ac:dyDescent="0.25">
      <c r="D1967" s="235"/>
      <c r="E1967" s="240"/>
      <c r="F1967" s="241"/>
      <c r="G1967" s="242"/>
      <c r="H1967" s="239">
        <f t="shared" si="2294"/>
        <v>0</v>
      </c>
      <c r="I1967" s="131">
        <f t="shared" si="2295"/>
        <v>0</v>
      </c>
      <c r="J1967" s="31">
        <f t="shared" si="2296"/>
        <v>0</v>
      </c>
      <c r="K1967" s="31">
        <f t="shared" si="2297"/>
        <v>0</v>
      </c>
      <c r="L1967" s="31">
        <f t="shared" si="2298"/>
        <v>0</v>
      </c>
      <c r="M1967" s="31">
        <f t="shared" si="2299"/>
        <v>0</v>
      </c>
      <c r="N1967" s="31">
        <f t="shared" si="2300"/>
        <v>0</v>
      </c>
      <c r="O1967" s="31">
        <f t="shared" si="2301"/>
        <v>0</v>
      </c>
      <c r="P1967" s="31">
        <f t="shared" si="2302"/>
        <v>0</v>
      </c>
      <c r="Q1967" s="49">
        <f t="shared" si="2303"/>
        <v>0</v>
      </c>
    </row>
    <row r="1968" spans="4:17" s="16" customFormat="1" ht="13.2" x14ac:dyDescent="0.25">
      <c r="D1968" s="235"/>
      <c r="E1968" s="240"/>
      <c r="F1968" s="241"/>
      <c r="G1968" s="242"/>
      <c r="H1968" s="239">
        <f t="shared" si="2294"/>
        <v>0</v>
      </c>
      <c r="I1968" s="131">
        <f t="shared" si="2295"/>
        <v>0</v>
      </c>
      <c r="J1968" s="31">
        <f t="shared" si="2296"/>
        <v>0</v>
      </c>
      <c r="K1968" s="31">
        <f t="shared" si="2297"/>
        <v>0</v>
      </c>
      <c r="L1968" s="31">
        <f t="shared" si="2298"/>
        <v>0</v>
      </c>
      <c r="M1968" s="31">
        <f t="shared" si="2299"/>
        <v>0</v>
      </c>
      <c r="N1968" s="31">
        <f t="shared" si="2300"/>
        <v>0</v>
      </c>
      <c r="O1968" s="31">
        <f t="shared" si="2301"/>
        <v>0</v>
      </c>
      <c r="P1968" s="31">
        <f t="shared" si="2302"/>
        <v>0</v>
      </c>
      <c r="Q1968" s="49">
        <f t="shared" si="2303"/>
        <v>0</v>
      </c>
    </row>
    <row r="1969" spans="4:17" s="16" customFormat="1" ht="13.2" x14ac:dyDescent="0.25">
      <c r="D1969" s="235"/>
      <c r="E1969" s="240"/>
      <c r="F1969" s="241"/>
      <c r="G1969" s="242"/>
      <c r="H1969" s="239">
        <f t="shared" si="2294"/>
        <v>0</v>
      </c>
      <c r="I1969" s="131">
        <f t="shared" si="2295"/>
        <v>0</v>
      </c>
      <c r="J1969" s="31">
        <f t="shared" si="2296"/>
        <v>0</v>
      </c>
      <c r="K1969" s="31">
        <f t="shared" si="2297"/>
        <v>0</v>
      </c>
      <c r="L1969" s="31">
        <f t="shared" si="2298"/>
        <v>0</v>
      </c>
      <c r="M1969" s="31">
        <f t="shared" si="2299"/>
        <v>0</v>
      </c>
      <c r="N1969" s="31">
        <f t="shared" si="2300"/>
        <v>0</v>
      </c>
      <c r="O1969" s="31">
        <f t="shared" si="2301"/>
        <v>0</v>
      </c>
      <c r="P1969" s="31">
        <f t="shared" si="2302"/>
        <v>0</v>
      </c>
      <c r="Q1969" s="49">
        <f t="shared" si="2303"/>
        <v>0</v>
      </c>
    </row>
    <row r="1970" spans="4:17" s="16" customFormat="1" ht="13.2" x14ac:dyDescent="0.25">
      <c r="D1970" s="235"/>
      <c r="E1970" s="240"/>
      <c r="F1970" s="241"/>
      <c r="G1970" s="242"/>
      <c r="H1970" s="239">
        <f t="shared" si="2294"/>
        <v>0</v>
      </c>
      <c r="I1970" s="131">
        <f t="shared" si="2295"/>
        <v>0</v>
      </c>
      <c r="J1970" s="31">
        <f t="shared" si="2296"/>
        <v>0</v>
      </c>
      <c r="K1970" s="31">
        <f t="shared" si="2297"/>
        <v>0</v>
      </c>
      <c r="L1970" s="31">
        <f t="shared" si="2298"/>
        <v>0</v>
      </c>
      <c r="M1970" s="31">
        <f t="shared" si="2299"/>
        <v>0</v>
      </c>
      <c r="N1970" s="31">
        <f t="shared" si="2300"/>
        <v>0</v>
      </c>
      <c r="O1970" s="31">
        <f t="shared" si="2301"/>
        <v>0</v>
      </c>
      <c r="P1970" s="31">
        <f t="shared" si="2302"/>
        <v>0</v>
      </c>
      <c r="Q1970" s="49">
        <f t="shared" si="2303"/>
        <v>0</v>
      </c>
    </row>
    <row r="1971" spans="4:17" s="16" customFormat="1" ht="13.2" x14ac:dyDescent="0.25">
      <c r="D1971" s="235"/>
      <c r="E1971" s="240"/>
      <c r="F1971" s="241"/>
      <c r="G1971" s="242"/>
      <c r="H1971" s="239">
        <f t="shared" si="2294"/>
        <v>0</v>
      </c>
      <c r="I1971" s="131">
        <f t="shared" si="2295"/>
        <v>0</v>
      </c>
      <c r="J1971" s="31">
        <f t="shared" si="2296"/>
        <v>0</v>
      </c>
      <c r="K1971" s="31">
        <f t="shared" si="2297"/>
        <v>0</v>
      </c>
      <c r="L1971" s="31">
        <f t="shared" si="2298"/>
        <v>0</v>
      </c>
      <c r="M1971" s="31">
        <f t="shared" si="2299"/>
        <v>0</v>
      </c>
      <c r="N1971" s="31">
        <f t="shared" si="2300"/>
        <v>0</v>
      </c>
      <c r="O1971" s="31">
        <f t="shared" si="2301"/>
        <v>0</v>
      </c>
      <c r="P1971" s="31">
        <f t="shared" si="2302"/>
        <v>0</v>
      </c>
      <c r="Q1971" s="49">
        <f t="shared" si="2303"/>
        <v>0</v>
      </c>
    </row>
    <row r="1972" spans="4:17" s="16" customFormat="1" ht="13.2" x14ac:dyDescent="0.25">
      <c r="D1972" s="235"/>
      <c r="E1972" s="240"/>
      <c r="F1972" s="241"/>
      <c r="G1972" s="242"/>
      <c r="H1972" s="239">
        <f t="shared" si="2294"/>
        <v>0</v>
      </c>
      <c r="I1972" s="131">
        <f t="shared" si="2295"/>
        <v>0</v>
      </c>
      <c r="J1972" s="31">
        <f t="shared" si="2296"/>
        <v>0</v>
      </c>
      <c r="K1972" s="31">
        <f t="shared" si="2297"/>
        <v>0</v>
      </c>
      <c r="L1972" s="31">
        <f t="shared" si="2298"/>
        <v>0</v>
      </c>
      <c r="M1972" s="31">
        <f t="shared" si="2299"/>
        <v>0</v>
      </c>
      <c r="N1972" s="31">
        <f t="shared" si="2300"/>
        <v>0</v>
      </c>
      <c r="O1972" s="31">
        <f t="shared" si="2301"/>
        <v>0</v>
      </c>
      <c r="P1972" s="31">
        <f t="shared" si="2302"/>
        <v>0</v>
      </c>
      <c r="Q1972" s="49">
        <f t="shared" si="2303"/>
        <v>0</v>
      </c>
    </row>
    <row r="1973" spans="4:17" s="16" customFormat="1" ht="13.2" x14ac:dyDescent="0.25">
      <c r="D1973" s="235"/>
      <c r="E1973" s="240"/>
      <c r="F1973" s="241"/>
      <c r="G1973" s="242"/>
      <c r="H1973" s="239">
        <f t="shared" si="2294"/>
        <v>0</v>
      </c>
      <c r="I1973" s="131">
        <f t="shared" si="2295"/>
        <v>0</v>
      </c>
      <c r="J1973" s="31">
        <f t="shared" si="2296"/>
        <v>0</v>
      </c>
      <c r="K1973" s="31">
        <f t="shared" si="2297"/>
        <v>0</v>
      </c>
      <c r="L1973" s="31">
        <f t="shared" si="2298"/>
        <v>0</v>
      </c>
      <c r="M1973" s="31">
        <f t="shared" si="2299"/>
        <v>0</v>
      </c>
      <c r="N1973" s="31">
        <f t="shared" si="2300"/>
        <v>0</v>
      </c>
      <c r="O1973" s="31">
        <f t="shared" si="2301"/>
        <v>0</v>
      </c>
      <c r="P1973" s="31">
        <f t="shared" si="2302"/>
        <v>0</v>
      </c>
      <c r="Q1973" s="49">
        <f t="shared" si="2303"/>
        <v>0</v>
      </c>
    </row>
    <row r="1974" spans="4:17" s="16" customFormat="1" ht="13.2" x14ac:dyDescent="0.25">
      <c r="D1974" s="235"/>
      <c r="E1974" s="240"/>
      <c r="F1974" s="241"/>
      <c r="G1974" s="242"/>
      <c r="H1974" s="239">
        <f t="shared" si="2294"/>
        <v>0</v>
      </c>
      <c r="I1974" s="131">
        <f t="shared" si="2295"/>
        <v>0</v>
      </c>
      <c r="J1974" s="31">
        <f t="shared" si="2296"/>
        <v>0</v>
      </c>
      <c r="K1974" s="31">
        <f t="shared" si="2297"/>
        <v>0</v>
      </c>
      <c r="L1974" s="31">
        <f t="shared" si="2298"/>
        <v>0</v>
      </c>
      <c r="M1974" s="31">
        <f t="shared" si="2299"/>
        <v>0</v>
      </c>
      <c r="N1974" s="31">
        <f t="shared" si="2300"/>
        <v>0</v>
      </c>
      <c r="O1974" s="31">
        <f t="shared" si="2301"/>
        <v>0</v>
      </c>
      <c r="P1974" s="31">
        <f t="shared" si="2302"/>
        <v>0</v>
      </c>
      <c r="Q1974" s="49">
        <f t="shared" si="2303"/>
        <v>0</v>
      </c>
    </row>
    <row r="1975" spans="4:17" s="16" customFormat="1" ht="13.2" x14ac:dyDescent="0.25">
      <c r="D1975" s="235"/>
      <c r="E1975" s="240"/>
      <c r="F1975" s="241"/>
      <c r="G1975" s="242"/>
      <c r="H1975" s="239">
        <f t="shared" si="2294"/>
        <v>0</v>
      </c>
      <c r="I1975" s="131">
        <f t="shared" si="2295"/>
        <v>0</v>
      </c>
      <c r="J1975" s="31">
        <f t="shared" si="2296"/>
        <v>0</v>
      </c>
      <c r="K1975" s="31">
        <f t="shared" si="2297"/>
        <v>0</v>
      </c>
      <c r="L1975" s="31">
        <f t="shared" si="2298"/>
        <v>0</v>
      </c>
      <c r="M1975" s="31">
        <f t="shared" si="2299"/>
        <v>0</v>
      </c>
      <c r="N1975" s="31">
        <f t="shared" si="2300"/>
        <v>0</v>
      </c>
      <c r="O1975" s="31">
        <f t="shared" si="2301"/>
        <v>0</v>
      </c>
      <c r="P1975" s="31">
        <f t="shared" si="2302"/>
        <v>0</v>
      </c>
      <c r="Q1975" s="49">
        <f t="shared" si="2303"/>
        <v>0</v>
      </c>
    </row>
    <row r="1976" spans="4:17" s="16" customFormat="1" ht="13.8" thickBot="1" x14ac:dyDescent="0.3">
      <c r="D1976" s="307"/>
      <c r="E1976" s="26"/>
      <c r="F1976" s="206"/>
      <c r="G1976" s="207"/>
      <c r="H1976" s="207"/>
      <c r="I1976" s="51"/>
      <c r="J1976" s="308"/>
      <c r="K1976" s="308"/>
      <c r="L1976" s="308"/>
      <c r="M1976" s="308"/>
      <c r="N1976" s="308"/>
      <c r="O1976" s="308"/>
      <c r="P1976" s="308"/>
      <c r="Q1976" s="309"/>
    </row>
    <row r="1977" spans="4:17" s="16" customFormat="1" ht="13.2" x14ac:dyDescent="0.25">
      <c r="D1977" s="796" t="s">
        <v>1680</v>
      </c>
      <c r="E1977" s="797"/>
      <c r="F1977" s="797"/>
      <c r="G1977" s="797"/>
      <c r="H1977" s="797"/>
      <c r="I1977" s="47">
        <f>SUM(I1978:I1987)</f>
        <v>0</v>
      </c>
      <c r="J1977" s="47">
        <f t="shared" ref="J1977:Q1977" si="2304">SUM(J1978:J1987)</f>
        <v>0</v>
      </c>
      <c r="K1977" s="47">
        <f t="shared" si="2304"/>
        <v>0</v>
      </c>
      <c r="L1977" s="47">
        <f t="shared" si="2304"/>
        <v>0</v>
      </c>
      <c r="M1977" s="47">
        <f t="shared" si="2304"/>
        <v>0</v>
      </c>
      <c r="N1977" s="47">
        <f t="shared" si="2304"/>
        <v>0</v>
      </c>
      <c r="O1977" s="47">
        <f t="shared" si="2304"/>
        <v>0</v>
      </c>
      <c r="P1977" s="47">
        <f t="shared" si="2304"/>
        <v>0</v>
      </c>
      <c r="Q1977" s="47">
        <f t="shared" si="2304"/>
        <v>0</v>
      </c>
    </row>
    <row r="1978" spans="4:17" s="16" customFormat="1" ht="13.2" x14ac:dyDescent="0.25">
      <c r="D1978" s="235"/>
      <c r="E1978" s="237"/>
      <c r="F1978" s="238"/>
      <c r="G1978" s="239"/>
      <c r="H1978" s="239">
        <f t="shared" ref="H1978:H1987" si="2305">E1978*G1978</f>
        <v>0</v>
      </c>
      <c r="I1978" s="131">
        <f t="shared" ref="I1978:I1987" si="2306">IF($F1978=4.2,H1978*$B$23,0)</f>
        <v>0</v>
      </c>
      <c r="J1978" s="31">
        <f t="shared" ref="J1978:J1987" si="2307">IF($F1978=5,$H1978*$B$24,0)</f>
        <v>0</v>
      </c>
      <c r="K1978" s="31">
        <f t="shared" ref="K1978:K1987" si="2308">IF($F1978=6.3,$H1978*$B$25,0)</f>
        <v>0</v>
      </c>
      <c r="L1978" s="31">
        <f t="shared" ref="L1978:L1987" si="2309">IF($F1978=8,$H1978*$B$26,0)</f>
        <v>0</v>
      </c>
      <c r="M1978" s="31">
        <f t="shared" ref="M1978:M1987" si="2310">IF($F1978=10,$H1978*$B$27,0)</f>
        <v>0</v>
      </c>
      <c r="N1978" s="31">
        <f t="shared" ref="N1978:N1987" si="2311">IF($F1978=12.5,$H1978*$B$28,0)</f>
        <v>0</v>
      </c>
      <c r="O1978" s="31">
        <f t="shared" ref="O1978:O1987" si="2312">IF($F1978=16,$H1978*$B$29,0)</f>
        <v>0</v>
      </c>
      <c r="P1978" s="31">
        <f t="shared" ref="P1978:P1987" si="2313">IF($F1978=20,$H1978*$B$30,0)</f>
        <v>0</v>
      </c>
      <c r="Q1978" s="49">
        <f t="shared" ref="Q1978:Q1987" si="2314">IF($F1978=25,$H1978*$B$31,0)</f>
        <v>0</v>
      </c>
    </row>
    <row r="1979" spans="4:17" s="16" customFormat="1" ht="13.2" x14ac:dyDescent="0.25">
      <c r="D1979" s="235"/>
      <c r="E1979" s="240"/>
      <c r="F1979" s="241"/>
      <c r="G1979" s="242"/>
      <c r="H1979" s="239">
        <f t="shared" si="2305"/>
        <v>0</v>
      </c>
      <c r="I1979" s="131">
        <f t="shared" si="2306"/>
        <v>0</v>
      </c>
      <c r="J1979" s="31">
        <f t="shared" si="2307"/>
        <v>0</v>
      </c>
      <c r="K1979" s="31">
        <f t="shared" si="2308"/>
        <v>0</v>
      </c>
      <c r="L1979" s="31">
        <f t="shared" si="2309"/>
        <v>0</v>
      </c>
      <c r="M1979" s="31">
        <f t="shared" si="2310"/>
        <v>0</v>
      </c>
      <c r="N1979" s="31">
        <f t="shared" si="2311"/>
        <v>0</v>
      </c>
      <c r="O1979" s="31">
        <f t="shared" si="2312"/>
        <v>0</v>
      </c>
      <c r="P1979" s="31">
        <f t="shared" si="2313"/>
        <v>0</v>
      </c>
      <c r="Q1979" s="49">
        <f t="shared" si="2314"/>
        <v>0</v>
      </c>
    </row>
    <row r="1980" spans="4:17" s="16" customFormat="1" ht="13.2" x14ac:dyDescent="0.25">
      <c r="D1980" s="235"/>
      <c r="E1980" s="240"/>
      <c r="F1980" s="241"/>
      <c r="G1980" s="242"/>
      <c r="H1980" s="239">
        <f t="shared" si="2305"/>
        <v>0</v>
      </c>
      <c r="I1980" s="131">
        <f t="shared" si="2306"/>
        <v>0</v>
      </c>
      <c r="J1980" s="31">
        <f t="shared" si="2307"/>
        <v>0</v>
      </c>
      <c r="K1980" s="31">
        <f t="shared" si="2308"/>
        <v>0</v>
      </c>
      <c r="L1980" s="31">
        <f t="shared" si="2309"/>
        <v>0</v>
      </c>
      <c r="M1980" s="31">
        <f t="shared" si="2310"/>
        <v>0</v>
      </c>
      <c r="N1980" s="31">
        <f t="shared" si="2311"/>
        <v>0</v>
      </c>
      <c r="O1980" s="31">
        <f t="shared" si="2312"/>
        <v>0</v>
      </c>
      <c r="P1980" s="31">
        <f t="shared" si="2313"/>
        <v>0</v>
      </c>
      <c r="Q1980" s="49">
        <f t="shared" si="2314"/>
        <v>0</v>
      </c>
    </row>
    <row r="1981" spans="4:17" s="16" customFormat="1" ht="13.2" x14ac:dyDescent="0.25">
      <c r="D1981" s="235"/>
      <c r="E1981" s="240"/>
      <c r="F1981" s="241"/>
      <c r="G1981" s="242"/>
      <c r="H1981" s="239">
        <f t="shared" si="2305"/>
        <v>0</v>
      </c>
      <c r="I1981" s="131">
        <f t="shared" si="2306"/>
        <v>0</v>
      </c>
      <c r="J1981" s="31">
        <f t="shared" si="2307"/>
        <v>0</v>
      </c>
      <c r="K1981" s="31">
        <f t="shared" si="2308"/>
        <v>0</v>
      </c>
      <c r="L1981" s="31">
        <f t="shared" si="2309"/>
        <v>0</v>
      </c>
      <c r="M1981" s="31">
        <f t="shared" si="2310"/>
        <v>0</v>
      </c>
      <c r="N1981" s="31">
        <f t="shared" si="2311"/>
        <v>0</v>
      </c>
      <c r="O1981" s="31">
        <f t="shared" si="2312"/>
        <v>0</v>
      </c>
      <c r="P1981" s="31">
        <f t="shared" si="2313"/>
        <v>0</v>
      </c>
      <c r="Q1981" s="49">
        <f t="shared" si="2314"/>
        <v>0</v>
      </c>
    </row>
    <row r="1982" spans="4:17" s="16" customFormat="1" ht="13.2" x14ac:dyDescent="0.25">
      <c r="D1982" s="235"/>
      <c r="E1982" s="240"/>
      <c r="F1982" s="241"/>
      <c r="G1982" s="242"/>
      <c r="H1982" s="239">
        <f t="shared" si="2305"/>
        <v>0</v>
      </c>
      <c r="I1982" s="131">
        <f t="shared" si="2306"/>
        <v>0</v>
      </c>
      <c r="J1982" s="31">
        <f t="shared" si="2307"/>
        <v>0</v>
      </c>
      <c r="K1982" s="31">
        <f t="shared" si="2308"/>
        <v>0</v>
      </c>
      <c r="L1982" s="31">
        <f t="shared" si="2309"/>
        <v>0</v>
      </c>
      <c r="M1982" s="31">
        <f t="shared" si="2310"/>
        <v>0</v>
      </c>
      <c r="N1982" s="31">
        <f t="shared" si="2311"/>
        <v>0</v>
      </c>
      <c r="O1982" s="31">
        <f t="shared" si="2312"/>
        <v>0</v>
      </c>
      <c r="P1982" s="31">
        <f t="shared" si="2313"/>
        <v>0</v>
      </c>
      <c r="Q1982" s="49">
        <f t="shared" si="2314"/>
        <v>0</v>
      </c>
    </row>
    <row r="1983" spans="4:17" s="16" customFormat="1" ht="13.2" x14ac:dyDescent="0.25">
      <c r="D1983" s="235"/>
      <c r="E1983" s="240"/>
      <c r="F1983" s="241"/>
      <c r="G1983" s="242"/>
      <c r="H1983" s="239">
        <f t="shared" si="2305"/>
        <v>0</v>
      </c>
      <c r="I1983" s="131">
        <f t="shared" si="2306"/>
        <v>0</v>
      </c>
      <c r="J1983" s="31">
        <f t="shared" si="2307"/>
        <v>0</v>
      </c>
      <c r="K1983" s="31">
        <f t="shared" si="2308"/>
        <v>0</v>
      </c>
      <c r="L1983" s="31">
        <f t="shared" si="2309"/>
        <v>0</v>
      </c>
      <c r="M1983" s="31">
        <f t="shared" si="2310"/>
        <v>0</v>
      </c>
      <c r="N1983" s="31">
        <f t="shared" si="2311"/>
        <v>0</v>
      </c>
      <c r="O1983" s="31">
        <f t="shared" si="2312"/>
        <v>0</v>
      </c>
      <c r="P1983" s="31">
        <f t="shared" si="2313"/>
        <v>0</v>
      </c>
      <c r="Q1983" s="49">
        <f t="shared" si="2314"/>
        <v>0</v>
      </c>
    </row>
    <row r="1984" spans="4:17" s="16" customFormat="1" ht="13.2" x14ac:dyDescent="0.25">
      <c r="D1984" s="235"/>
      <c r="E1984" s="240"/>
      <c r="F1984" s="241"/>
      <c r="G1984" s="242"/>
      <c r="H1984" s="239">
        <f t="shared" si="2305"/>
        <v>0</v>
      </c>
      <c r="I1984" s="131">
        <f t="shared" si="2306"/>
        <v>0</v>
      </c>
      <c r="J1984" s="31">
        <f t="shared" si="2307"/>
        <v>0</v>
      </c>
      <c r="K1984" s="31">
        <f t="shared" si="2308"/>
        <v>0</v>
      </c>
      <c r="L1984" s="31">
        <f t="shared" si="2309"/>
        <v>0</v>
      </c>
      <c r="M1984" s="31">
        <f t="shared" si="2310"/>
        <v>0</v>
      </c>
      <c r="N1984" s="31">
        <f t="shared" si="2311"/>
        <v>0</v>
      </c>
      <c r="O1984" s="31">
        <f t="shared" si="2312"/>
        <v>0</v>
      </c>
      <c r="P1984" s="31">
        <f t="shared" si="2313"/>
        <v>0</v>
      </c>
      <c r="Q1984" s="49">
        <f t="shared" si="2314"/>
        <v>0</v>
      </c>
    </row>
    <row r="1985" spans="4:17" s="16" customFormat="1" ht="13.2" x14ac:dyDescent="0.25">
      <c r="D1985" s="235"/>
      <c r="E1985" s="240"/>
      <c r="F1985" s="241"/>
      <c r="G1985" s="242"/>
      <c r="H1985" s="239">
        <f t="shared" si="2305"/>
        <v>0</v>
      </c>
      <c r="I1985" s="131">
        <f t="shared" si="2306"/>
        <v>0</v>
      </c>
      <c r="J1985" s="31">
        <f t="shared" si="2307"/>
        <v>0</v>
      </c>
      <c r="K1985" s="31">
        <f t="shared" si="2308"/>
        <v>0</v>
      </c>
      <c r="L1985" s="31">
        <f t="shared" si="2309"/>
        <v>0</v>
      </c>
      <c r="M1985" s="31">
        <f t="shared" si="2310"/>
        <v>0</v>
      </c>
      <c r="N1985" s="31">
        <f t="shared" si="2311"/>
        <v>0</v>
      </c>
      <c r="O1985" s="31">
        <f t="shared" si="2312"/>
        <v>0</v>
      </c>
      <c r="P1985" s="31">
        <f t="shared" si="2313"/>
        <v>0</v>
      </c>
      <c r="Q1985" s="49">
        <f t="shared" si="2314"/>
        <v>0</v>
      </c>
    </row>
    <row r="1986" spans="4:17" s="16" customFormat="1" ht="13.2" x14ac:dyDescent="0.25">
      <c r="D1986" s="235"/>
      <c r="E1986" s="240"/>
      <c r="F1986" s="241"/>
      <c r="G1986" s="242"/>
      <c r="H1986" s="239">
        <f t="shared" si="2305"/>
        <v>0</v>
      </c>
      <c r="I1986" s="131">
        <f t="shared" si="2306"/>
        <v>0</v>
      </c>
      <c r="J1986" s="31">
        <f t="shared" si="2307"/>
        <v>0</v>
      </c>
      <c r="K1986" s="31">
        <f t="shared" si="2308"/>
        <v>0</v>
      </c>
      <c r="L1986" s="31">
        <f t="shared" si="2309"/>
        <v>0</v>
      </c>
      <c r="M1986" s="31">
        <f t="shared" si="2310"/>
        <v>0</v>
      </c>
      <c r="N1986" s="31">
        <f t="shared" si="2311"/>
        <v>0</v>
      </c>
      <c r="O1986" s="31">
        <f t="shared" si="2312"/>
        <v>0</v>
      </c>
      <c r="P1986" s="31">
        <f t="shared" si="2313"/>
        <v>0</v>
      </c>
      <c r="Q1986" s="49">
        <f t="shared" si="2314"/>
        <v>0</v>
      </c>
    </row>
    <row r="1987" spans="4:17" s="16" customFormat="1" ht="13.2" x14ac:dyDescent="0.25">
      <c r="D1987" s="235"/>
      <c r="E1987" s="240"/>
      <c r="F1987" s="241"/>
      <c r="G1987" s="242"/>
      <c r="H1987" s="239">
        <f t="shared" si="2305"/>
        <v>0</v>
      </c>
      <c r="I1987" s="131">
        <f t="shared" si="2306"/>
        <v>0</v>
      </c>
      <c r="J1987" s="31">
        <f t="shared" si="2307"/>
        <v>0</v>
      </c>
      <c r="K1987" s="31">
        <f t="shared" si="2308"/>
        <v>0</v>
      </c>
      <c r="L1987" s="31">
        <f t="shared" si="2309"/>
        <v>0</v>
      </c>
      <c r="M1987" s="31">
        <f t="shared" si="2310"/>
        <v>0</v>
      </c>
      <c r="N1987" s="31">
        <f t="shared" si="2311"/>
        <v>0</v>
      </c>
      <c r="O1987" s="31">
        <f t="shared" si="2312"/>
        <v>0</v>
      </c>
      <c r="P1987" s="31">
        <f t="shared" si="2313"/>
        <v>0</v>
      </c>
      <c r="Q1987" s="49">
        <f t="shared" si="2314"/>
        <v>0</v>
      </c>
    </row>
    <row r="1988" spans="4:17" s="16" customFormat="1" ht="13.8" thickBot="1" x14ac:dyDescent="0.3">
      <c r="D1988" s="307"/>
      <c r="E1988" s="26"/>
      <c r="F1988" s="206"/>
      <c r="G1988" s="207"/>
      <c r="H1988" s="207"/>
      <c r="I1988" s="51"/>
      <c r="J1988" s="308"/>
      <c r="K1988" s="308"/>
      <c r="L1988" s="308"/>
      <c r="M1988" s="308"/>
      <c r="N1988" s="308"/>
      <c r="O1988" s="308"/>
      <c r="P1988" s="308"/>
      <c r="Q1988" s="309"/>
    </row>
    <row r="1989" spans="4:17" s="16" customFormat="1" ht="13.2" x14ac:dyDescent="0.25">
      <c r="D1989" s="796" t="s">
        <v>1680</v>
      </c>
      <c r="E1989" s="797"/>
      <c r="F1989" s="797"/>
      <c r="G1989" s="797"/>
      <c r="H1989" s="797"/>
      <c r="I1989" s="47">
        <f>SUM(I1990:I1999)</f>
        <v>0</v>
      </c>
      <c r="J1989" s="47">
        <f t="shared" ref="J1989:Q1989" si="2315">SUM(J1990:J1999)</f>
        <v>0</v>
      </c>
      <c r="K1989" s="47">
        <f t="shared" si="2315"/>
        <v>0</v>
      </c>
      <c r="L1989" s="47">
        <f t="shared" si="2315"/>
        <v>0</v>
      </c>
      <c r="M1989" s="47">
        <f t="shared" si="2315"/>
        <v>0</v>
      </c>
      <c r="N1989" s="47">
        <f t="shared" si="2315"/>
        <v>0</v>
      </c>
      <c r="O1989" s="47">
        <f t="shared" si="2315"/>
        <v>0</v>
      </c>
      <c r="P1989" s="47">
        <f t="shared" si="2315"/>
        <v>0</v>
      </c>
      <c r="Q1989" s="47">
        <f t="shared" si="2315"/>
        <v>0</v>
      </c>
    </row>
    <row r="1990" spans="4:17" s="16" customFormat="1" ht="13.2" x14ac:dyDescent="0.25">
      <c r="D1990" s="235"/>
      <c r="E1990" s="237"/>
      <c r="F1990" s="238"/>
      <c r="G1990" s="239"/>
      <c r="H1990" s="239">
        <f t="shared" ref="H1990:H1999" si="2316">E1990*G1990</f>
        <v>0</v>
      </c>
      <c r="I1990" s="131">
        <f t="shared" ref="I1990:I1999" si="2317">IF($F1990=4.2,H1990*$B$23,0)</f>
        <v>0</v>
      </c>
      <c r="J1990" s="31">
        <f t="shared" ref="J1990:J1999" si="2318">IF($F1990=5,$H1990*$B$24,0)</f>
        <v>0</v>
      </c>
      <c r="K1990" s="31">
        <f t="shared" ref="K1990:K1999" si="2319">IF($F1990=6.3,$H1990*$B$25,0)</f>
        <v>0</v>
      </c>
      <c r="L1990" s="31">
        <f t="shared" ref="L1990:L1999" si="2320">IF($F1990=8,$H1990*$B$26,0)</f>
        <v>0</v>
      </c>
      <c r="M1990" s="31">
        <f t="shared" ref="M1990:M1999" si="2321">IF($F1990=10,$H1990*$B$27,0)</f>
        <v>0</v>
      </c>
      <c r="N1990" s="31">
        <f t="shared" ref="N1990:N1999" si="2322">IF($F1990=12.5,$H1990*$B$28,0)</f>
        <v>0</v>
      </c>
      <c r="O1990" s="31">
        <f t="shared" ref="O1990:O1999" si="2323">IF($F1990=16,$H1990*$B$29,0)</f>
        <v>0</v>
      </c>
      <c r="P1990" s="31">
        <f t="shared" ref="P1990:P1999" si="2324">IF($F1990=20,$H1990*$B$30,0)</f>
        <v>0</v>
      </c>
      <c r="Q1990" s="49">
        <f t="shared" ref="Q1990:Q1999" si="2325">IF($F1990=25,$H1990*$B$31,0)</f>
        <v>0</v>
      </c>
    </row>
    <row r="1991" spans="4:17" s="16" customFormat="1" ht="13.2" x14ac:dyDescent="0.25">
      <c r="D1991" s="235"/>
      <c r="E1991" s="240"/>
      <c r="F1991" s="241"/>
      <c r="G1991" s="242"/>
      <c r="H1991" s="239">
        <f t="shared" si="2316"/>
        <v>0</v>
      </c>
      <c r="I1991" s="131">
        <f t="shared" si="2317"/>
        <v>0</v>
      </c>
      <c r="J1991" s="31">
        <f t="shared" si="2318"/>
        <v>0</v>
      </c>
      <c r="K1991" s="31">
        <f t="shared" si="2319"/>
        <v>0</v>
      </c>
      <c r="L1991" s="31">
        <f t="shared" si="2320"/>
        <v>0</v>
      </c>
      <c r="M1991" s="31">
        <f t="shared" si="2321"/>
        <v>0</v>
      </c>
      <c r="N1991" s="31">
        <f t="shared" si="2322"/>
        <v>0</v>
      </c>
      <c r="O1991" s="31">
        <f t="shared" si="2323"/>
        <v>0</v>
      </c>
      <c r="P1991" s="31">
        <f t="shared" si="2324"/>
        <v>0</v>
      </c>
      <c r="Q1991" s="49">
        <f t="shared" si="2325"/>
        <v>0</v>
      </c>
    </row>
    <row r="1992" spans="4:17" s="16" customFormat="1" ht="13.2" x14ac:dyDescent="0.25">
      <c r="D1992" s="235"/>
      <c r="E1992" s="240"/>
      <c r="F1992" s="241"/>
      <c r="G1992" s="242"/>
      <c r="H1992" s="239">
        <f t="shared" si="2316"/>
        <v>0</v>
      </c>
      <c r="I1992" s="131">
        <f t="shared" si="2317"/>
        <v>0</v>
      </c>
      <c r="J1992" s="31">
        <f t="shared" si="2318"/>
        <v>0</v>
      </c>
      <c r="K1992" s="31">
        <f t="shared" si="2319"/>
        <v>0</v>
      </c>
      <c r="L1992" s="31">
        <f t="shared" si="2320"/>
        <v>0</v>
      </c>
      <c r="M1992" s="31">
        <f t="shared" si="2321"/>
        <v>0</v>
      </c>
      <c r="N1992" s="31">
        <f t="shared" si="2322"/>
        <v>0</v>
      </c>
      <c r="O1992" s="31">
        <f t="shared" si="2323"/>
        <v>0</v>
      </c>
      <c r="P1992" s="31">
        <f t="shared" si="2324"/>
        <v>0</v>
      </c>
      <c r="Q1992" s="49">
        <f t="shared" si="2325"/>
        <v>0</v>
      </c>
    </row>
    <row r="1993" spans="4:17" s="16" customFormat="1" ht="13.2" x14ac:dyDescent="0.25">
      <c r="D1993" s="235"/>
      <c r="E1993" s="240"/>
      <c r="F1993" s="241"/>
      <c r="G1993" s="242"/>
      <c r="H1993" s="239">
        <f t="shared" si="2316"/>
        <v>0</v>
      </c>
      <c r="I1993" s="131">
        <f t="shared" si="2317"/>
        <v>0</v>
      </c>
      <c r="J1993" s="31">
        <f t="shared" si="2318"/>
        <v>0</v>
      </c>
      <c r="K1993" s="31">
        <f t="shared" si="2319"/>
        <v>0</v>
      </c>
      <c r="L1993" s="31">
        <f t="shared" si="2320"/>
        <v>0</v>
      </c>
      <c r="M1993" s="31">
        <f t="shared" si="2321"/>
        <v>0</v>
      </c>
      <c r="N1993" s="31">
        <f t="shared" si="2322"/>
        <v>0</v>
      </c>
      <c r="O1993" s="31">
        <f t="shared" si="2323"/>
        <v>0</v>
      </c>
      <c r="P1993" s="31">
        <f t="shared" si="2324"/>
        <v>0</v>
      </c>
      <c r="Q1993" s="49">
        <f t="shared" si="2325"/>
        <v>0</v>
      </c>
    </row>
    <row r="1994" spans="4:17" s="16" customFormat="1" ht="13.2" x14ac:dyDescent="0.25">
      <c r="D1994" s="235"/>
      <c r="E1994" s="240"/>
      <c r="F1994" s="241"/>
      <c r="G1994" s="242"/>
      <c r="H1994" s="239">
        <f t="shared" si="2316"/>
        <v>0</v>
      </c>
      <c r="I1994" s="131">
        <f t="shared" si="2317"/>
        <v>0</v>
      </c>
      <c r="J1994" s="31">
        <f t="shared" si="2318"/>
        <v>0</v>
      </c>
      <c r="K1994" s="31">
        <f t="shared" si="2319"/>
        <v>0</v>
      </c>
      <c r="L1994" s="31">
        <f t="shared" si="2320"/>
        <v>0</v>
      </c>
      <c r="M1994" s="31">
        <f t="shared" si="2321"/>
        <v>0</v>
      </c>
      <c r="N1994" s="31">
        <f t="shared" si="2322"/>
        <v>0</v>
      </c>
      <c r="O1994" s="31">
        <f t="shared" si="2323"/>
        <v>0</v>
      </c>
      <c r="P1994" s="31">
        <f t="shared" si="2324"/>
        <v>0</v>
      </c>
      <c r="Q1994" s="49">
        <f t="shared" si="2325"/>
        <v>0</v>
      </c>
    </row>
    <row r="1995" spans="4:17" s="16" customFormat="1" ht="13.2" x14ac:dyDescent="0.25">
      <c r="D1995" s="235"/>
      <c r="E1995" s="240"/>
      <c r="F1995" s="241"/>
      <c r="G1995" s="242"/>
      <c r="H1995" s="239">
        <f t="shared" si="2316"/>
        <v>0</v>
      </c>
      <c r="I1995" s="131">
        <f t="shared" si="2317"/>
        <v>0</v>
      </c>
      <c r="J1995" s="31">
        <f t="shared" si="2318"/>
        <v>0</v>
      </c>
      <c r="K1995" s="31">
        <f t="shared" si="2319"/>
        <v>0</v>
      </c>
      <c r="L1995" s="31">
        <f t="shared" si="2320"/>
        <v>0</v>
      </c>
      <c r="M1995" s="31">
        <f t="shared" si="2321"/>
        <v>0</v>
      </c>
      <c r="N1995" s="31">
        <f t="shared" si="2322"/>
        <v>0</v>
      </c>
      <c r="O1995" s="31">
        <f t="shared" si="2323"/>
        <v>0</v>
      </c>
      <c r="P1995" s="31">
        <f t="shared" si="2324"/>
        <v>0</v>
      </c>
      <c r="Q1995" s="49">
        <f t="shared" si="2325"/>
        <v>0</v>
      </c>
    </row>
    <row r="1996" spans="4:17" s="16" customFormat="1" ht="13.2" x14ac:dyDescent="0.25">
      <c r="D1996" s="235"/>
      <c r="E1996" s="240"/>
      <c r="F1996" s="241"/>
      <c r="G1996" s="242"/>
      <c r="H1996" s="239">
        <f t="shared" si="2316"/>
        <v>0</v>
      </c>
      <c r="I1996" s="131">
        <f t="shared" si="2317"/>
        <v>0</v>
      </c>
      <c r="J1996" s="31">
        <f t="shared" si="2318"/>
        <v>0</v>
      </c>
      <c r="K1996" s="31">
        <f t="shared" si="2319"/>
        <v>0</v>
      </c>
      <c r="L1996" s="31">
        <f t="shared" si="2320"/>
        <v>0</v>
      </c>
      <c r="M1996" s="31">
        <f t="shared" si="2321"/>
        <v>0</v>
      </c>
      <c r="N1996" s="31">
        <f t="shared" si="2322"/>
        <v>0</v>
      </c>
      <c r="O1996" s="31">
        <f t="shared" si="2323"/>
        <v>0</v>
      </c>
      <c r="P1996" s="31">
        <f t="shared" si="2324"/>
        <v>0</v>
      </c>
      <c r="Q1996" s="49">
        <f t="shared" si="2325"/>
        <v>0</v>
      </c>
    </row>
    <row r="1997" spans="4:17" s="16" customFormat="1" ht="13.2" x14ac:dyDescent="0.25">
      <c r="D1997" s="235"/>
      <c r="E1997" s="240"/>
      <c r="F1997" s="241"/>
      <c r="G1997" s="242"/>
      <c r="H1997" s="239">
        <f t="shared" si="2316"/>
        <v>0</v>
      </c>
      <c r="I1997" s="131">
        <f t="shared" si="2317"/>
        <v>0</v>
      </c>
      <c r="J1997" s="31">
        <f t="shared" si="2318"/>
        <v>0</v>
      </c>
      <c r="K1997" s="31">
        <f t="shared" si="2319"/>
        <v>0</v>
      </c>
      <c r="L1997" s="31">
        <f t="shared" si="2320"/>
        <v>0</v>
      </c>
      <c r="M1997" s="31">
        <f t="shared" si="2321"/>
        <v>0</v>
      </c>
      <c r="N1997" s="31">
        <f t="shared" si="2322"/>
        <v>0</v>
      </c>
      <c r="O1997" s="31">
        <f t="shared" si="2323"/>
        <v>0</v>
      </c>
      <c r="P1997" s="31">
        <f t="shared" si="2324"/>
        <v>0</v>
      </c>
      <c r="Q1997" s="49">
        <f t="shared" si="2325"/>
        <v>0</v>
      </c>
    </row>
    <row r="1998" spans="4:17" s="16" customFormat="1" ht="13.2" x14ac:dyDescent="0.25">
      <c r="D1998" s="235"/>
      <c r="E1998" s="240"/>
      <c r="F1998" s="241"/>
      <c r="G1998" s="242"/>
      <c r="H1998" s="239">
        <f t="shared" si="2316"/>
        <v>0</v>
      </c>
      <c r="I1998" s="131">
        <f t="shared" si="2317"/>
        <v>0</v>
      </c>
      <c r="J1998" s="31">
        <f t="shared" si="2318"/>
        <v>0</v>
      </c>
      <c r="K1998" s="31">
        <f t="shared" si="2319"/>
        <v>0</v>
      </c>
      <c r="L1998" s="31">
        <f t="shared" si="2320"/>
        <v>0</v>
      </c>
      <c r="M1998" s="31">
        <f t="shared" si="2321"/>
        <v>0</v>
      </c>
      <c r="N1998" s="31">
        <f t="shared" si="2322"/>
        <v>0</v>
      </c>
      <c r="O1998" s="31">
        <f t="shared" si="2323"/>
        <v>0</v>
      </c>
      <c r="P1998" s="31">
        <f t="shared" si="2324"/>
        <v>0</v>
      </c>
      <c r="Q1998" s="49">
        <f t="shared" si="2325"/>
        <v>0</v>
      </c>
    </row>
    <row r="1999" spans="4:17" s="16" customFormat="1" ht="13.2" x14ac:dyDescent="0.25">
      <c r="D1999" s="235"/>
      <c r="E1999" s="240"/>
      <c r="F1999" s="241"/>
      <c r="G1999" s="242"/>
      <c r="H1999" s="239">
        <f t="shared" si="2316"/>
        <v>0</v>
      </c>
      <c r="I1999" s="131">
        <f t="shared" si="2317"/>
        <v>0</v>
      </c>
      <c r="J1999" s="31">
        <f t="shared" si="2318"/>
        <v>0</v>
      </c>
      <c r="K1999" s="31">
        <f t="shared" si="2319"/>
        <v>0</v>
      </c>
      <c r="L1999" s="31">
        <f t="shared" si="2320"/>
        <v>0</v>
      </c>
      <c r="M1999" s="31">
        <f t="shared" si="2321"/>
        <v>0</v>
      </c>
      <c r="N1999" s="31">
        <f t="shared" si="2322"/>
        <v>0</v>
      </c>
      <c r="O1999" s="31">
        <f t="shared" si="2323"/>
        <v>0</v>
      </c>
      <c r="P1999" s="31">
        <f t="shared" si="2324"/>
        <v>0</v>
      </c>
      <c r="Q1999" s="49">
        <f t="shared" si="2325"/>
        <v>0</v>
      </c>
    </row>
    <row r="2000" spans="4:17" s="16" customFormat="1" ht="13.8" thickBot="1" x14ac:dyDescent="0.3">
      <c r="D2000" s="307"/>
      <c r="E2000" s="26"/>
      <c r="F2000" s="206"/>
      <c r="G2000" s="207"/>
      <c r="H2000" s="207"/>
      <c r="I2000" s="51"/>
      <c r="J2000" s="308"/>
      <c r="K2000" s="308"/>
      <c r="L2000" s="308"/>
      <c r="M2000" s="308"/>
      <c r="N2000" s="308"/>
      <c r="O2000" s="308"/>
      <c r="P2000" s="308"/>
      <c r="Q2000" s="309"/>
    </row>
    <row r="2001" spans="4:17" s="16" customFormat="1" ht="13.2" x14ac:dyDescent="0.25">
      <c r="D2001" s="796" t="s">
        <v>1680</v>
      </c>
      <c r="E2001" s="797"/>
      <c r="F2001" s="797"/>
      <c r="G2001" s="797"/>
      <c r="H2001" s="797"/>
      <c r="I2001" s="47">
        <f>SUM(I2002:I2011)</f>
        <v>0</v>
      </c>
      <c r="J2001" s="47">
        <f t="shared" ref="J2001:Q2001" si="2326">SUM(J2002:J2011)</f>
        <v>0</v>
      </c>
      <c r="K2001" s="47">
        <f t="shared" si="2326"/>
        <v>0</v>
      </c>
      <c r="L2001" s="47">
        <f t="shared" si="2326"/>
        <v>0</v>
      </c>
      <c r="M2001" s="47">
        <f t="shared" si="2326"/>
        <v>0</v>
      </c>
      <c r="N2001" s="47">
        <f t="shared" si="2326"/>
        <v>0</v>
      </c>
      <c r="O2001" s="47">
        <f t="shared" si="2326"/>
        <v>0</v>
      </c>
      <c r="P2001" s="47">
        <f t="shared" si="2326"/>
        <v>0</v>
      </c>
      <c r="Q2001" s="47">
        <f t="shared" si="2326"/>
        <v>0</v>
      </c>
    </row>
    <row r="2002" spans="4:17" s="16" customFormat="1" ht="13.2" x14ac:dyDescent="0.25">
      <c r="D2002" s="235"/>
      <c r="E2002" s="237"/>
      <c r="F2002" s="238"/>
      <c r="G2002" s="239"/>
      <c r="H2002" s="239">
        <f t="shared" ref="H2002:H2011" si="2327">E2002*G2002</f>
        <v>0</v>
      </c>
      <c r="I2002" s="131">
        <f t="shared" ref="I2002:I2011" si="2328">IF($F2002=4.2,H2002*$B$23,0)</f>
        <v>0</v>
      </c>
      <c r="J2002" s="31">
        <f t="shared" ref="J2002:J2011" si="2329">IF($F2002=5,$H2002*$B$24,0)</f>
        <v>0</v>
      </c>
      <c r="K2002" s="31">
        <f t="shared" ref="K2002:K2011" si="2330">IF($F2002=6.3,$H2002*$B$25,0)</f>
        <v>0</v>
      </c>
      <c r="L2002" s="31">
        <f t="shared" ref="L2002:L2011" si="2331">IF($F2002=8,$H2002*$B$26,0)</f>
        <v>0</v>
      </c>
      <c r="M2002" s="31">
        <f t="shared" ref="M2002:M2011" si="2332">IF($F2002=10,$H2002*$B$27,0)</f>
        <v>0</v>
      </c>
      <c r="N2002" s="31">
        <f t="shared" ref="N2002:N2011" si="2333">IF($F2002=12.5,$H2002*$B$28,0)</f>
        <v>0</v>
      </c>
      <c r="O2002" s="31">
        <f t="shared" ref="O2002:O2011" si="2334">IF($F2002=16,$H2002*$B$29,0)</f>
        <v>0</v>
      </c>
      <c r="P2002" s="31">
        <f t="shared" ref="P2002:P2011" si="2335">IF($F2002=20,$H2002*$B$30,0)</f>
        <v>0</v>
      </c>
      <c r="Q2002" s="49">
        <f t="shared" ref="Q2002:Q2011" si="2336">IF($F2002=25,$H2002*$B$31,0)</f>
        <v>0</v>
      </c>
    </row>
    <row r="2003" spans="4:17" s="16" customFormat="1" ht="13.2" x14ac:dyDescent="0.25">
      <c r="D2003" s="235"/>
      <c r="E2003" s="240"/>
      <c r="F2003" s="241"/>
      <c r="G2003" s="242"/>
      <c r="H2003" s="239">
        <f t="shared" si="2327"/>
        <v>0</v>
      </c>
      <c r="I2003" s="131">
        <f t="shared" si="2328"/>
        <v>0</v>
      </c>
      <c r="J2003" s="31">
        <f t="shared" si="2329"/>
        <v>0</v>
      </c>
      <c r="K2003" s="31">
        <f t="shared" si="2330"/>
        <v>0</v>
      </c>
      <c r="L2003" s="31">
        <f t="shared" si="2331"/>
        <v>0</v>
      </c>
      <c r="M2003" s="31">
        <f t="shared" si="2332"/>
        <v>0</v>
      </c>
      <c r="N2003" s="31">
        <f t="shared" si="2333"/>
        <v>0</v>
      </c>
      <c r="O2003" s="31">
        <f t="shared" si="2334"/>
        <v>0</v>
      </c>
      <c r="P2003" s="31">
        <f t="shared" si="2335"/>
        <v>0</v>
      </c>
      <c r="Q2003" s="49">
        <f t="shared" si="2336"/>
        <v>0</v>
      </c>
    </row>
    <row r="2004" spans="4:17" s="16" customFormat="1" ht="13.2" x14ac:dyDescent="0.25">
      <c r="D2004" s="235"/>
      <c r="E2004" s="240"/>
      <c r="F2004" s="241"/>
      <c r="G2004" s="242"/>
      <c r="H2004" s="239">
        <f t="shared" si="2327"/>
        <v>0</v>
      </c>
      <c r="I2004" s="131">
        <f t="shared" si="2328"/>
        <v>0</v>
      </c>
      <c r="J2004" s="31">
        <f t="shared" si="2329"/>
        <v>0</v>
      </c>
      <c r="K2004" s="31">
        <f t="shared" si="2330"/>
        <v>0</v>
      </c>
      <c r="L2004" s="31">
        <f t="shared" si="2331"/>
        <v>0</v>
      </c>
      <c r="M2004" s="31">
        <f t="shared" si="2332"/>
        <v>0</v>
      </c>
      <c r="N2004" s="31">
        <f t="shared" si="2333"/>
        <v>0</v>
      </c>
      <c r="O2004" s="31">
        <f t="shared" si="2334"/>
        <v>0</v>
      </c>
      <c r="P2004" s="31">
        <f t="shared" si="2335"/>
        <v>0</v>
      </c>
      <c r="Q2004" s="49">
        <f t="shared" si="2336"/>
        <v>0</v>
      </c>
    </row>
    <row r="2005" spans="4:17" s="16" customFormat="1" ht="13.2" x14ac:dyDescent="0.25">
      <c r="D2005" s="235"/>
      <c r="E2005" s="240"/>
      <c r="F2005" s="241"/>
      <c r="G2005" s="242"/>
      <c r="H2005" s="239">
        <f t="shared" si="2327"/>
        <v>0</v>
      </c>
      <c r="I2005" s="131">
        <f t="shared" si="2328"/>
        <v>0</v>
      </c>
      <c r="J2005" s="31">
        <f t="shared" si="2329"/>
        <v>0</v>
      </c>
      <c r="K2005" s="31">
        <f t="shared" si="2330"/>
        <v>0</v>
      </c>
      <c r="L2005" s="31">
        <f t="shared" si="2331"/>
        <v>0</v>
      </c>
      <c r="M2005" s="31">
        <f t="shared" si="2332"/>
        <v>0</v>
      </c>
      <c r="N2005" s="31">
        <f t="shared" si="2333"/>
        <v>0</v>
      </c>
      <c r="O2005" s="31">
        <f t="shared" si="2334"/>
        <v>0</v>
      </c>
      <c r="P2005" s="31">
        <f t="shared" si="2335"/>
        <v>0</v>
      </c>
      <c r="Q2005" s="49">
        <f t="shared" si="2336"/>
        <v>0</v>
      </c>
    </row>
    <row r="2006" spans="4:17" s="16" customFormat="1" ht="13.2" x14ac:dyDescent="0.25">
      <c r="D2006" s="235"/>
      <c r="E2006" s="240"/>
      <c r="F2006" s="241"/>
      <c r="G2006" s="242"/>
      <c r="H2006" s="239">
        <f t="shared" si="2327"/>
        <v>0</v>
      </c>
      <c r="I2006" s="131">
        <f t="shared" si="2328"/>
        <v>0</v>
      </c>
      <c r="J2006" s="31">
        <f t="shared" si="2329"/>
        <v>0</v>
      </c>
      <c r="K2006" s="31">
        <f t="shared" si="2330"/>
        <v>0</v>
      </c>
      <c r="L2006" s="31">
        <f t="shared" si="2331"/>
        <v>0</v>
      </c>
      <c r="M2006" s="31">
        <f t="shared" si="2332"/>
        <v>0</v>
      </c>
      <c r="N2006" s="31">
        <f t="shared" si="2333"/>
        <v>0</v>
      </c>
      <c r="O2006" s="31">
        <f t="shared" si="2334"/>
        <v>0</v>
      </c>
      <c r="P2006" s="31">
        <f t="shared" si="2335"/>
        <v>0</v>
      </c>
      <c r="Q2006" s="49">
        <f t="shared" si="2336"/>
        <v>0</v>
      </c>
    </row>
    <row r="2007" spans="4:17" s="16" customFormat="1" ht="13.2" x14ac:dyDescent="0.25">
      <c r="D2007" s="235"/>
      <c r="E2007" s="240"/>
      <c r="F2007" s="241"/>
      <c r="G2007" s="242"/>
      <c r="H2007" s="239">
        <f t="shared" si="2327"/>
        <v>0</v>
      </c>
      <c r="I2007" s="131">
        <f t="shared" si="2328"/>
        <v>0</v>
      </c>
      <c r="J2007" s="31">
        <f t="shared" si="2329"/>
        <v>0</v>
      </c>
      <c r="K2007" s="31">
        <f t="shared" si="2330"/>
        <v>0</v>
      </c>
      <c r="L2007" s="31">
        <f t="shared" si="2331"/>
        <v>0</v>
      </c>
      <c r="M2007" s="31">
        <f t="shared" si="2332"/>
        <v>0</v>
      </c>
      <c r="N2007" s="31">
        <f t="shared" si="2333"/>
        <v>0</v>
      </c>
      <c r="O2007" s="31">
        <f t="shared" si="2334"/>
        <v>0</v>
      </c>
      <c r="P2007" s="31">
        <f t="shared" si="2335"/>
        <v>0</v>
      </c>
      <c r="Q2007" s="49">
        <f t="shared" si="2336"/>
        <v>0</v>
      </c>
    </row>
    <row r="2008" spans="4:17" s="16" customFormat="1" ht="13.2" x14ac:dyDescent="0.25">
      <c r="D2008" s="235"/>
      <c r="E2008" s="240"/>
      <c r="F2008" s="241"/>
      <c r="G2008" s="242"/>
      <c r="H2008" s="239">
        <f t="shared" si="2327"/>
        <v>0</v>
      </c>
      <c r="I2008" s="131">
        <f t="shared" si="2328"/>
        <v>0</v>
      </c>
      <c r="J2008" s="31">
        <f t="shared" si="2329"/>
        <v>0</v>
      </c>
      <c r="K2008" s="31">
        <f t="shared" si="2330"/>
        <v>0</v>
      </c>
      <c r="L2008" s="31">
        <f t="shared" si="2331"/>
        <v>0</v>
      </c>
      <c r="M2008" s="31">
        <f t="shared" si="2332"/>
        <v>0</v>
      </c>
      <c r="N2008" s="31">
        <f t="shared" si="2333"/>
        <v>0</v>
      </c>
      <c r="O2008" s="31">
        <f t="shared" si="2334"/>
        <v>0</v>
      </c>
      <c r="P2008" s="31">
        <f t="shared" si="2335"/>
        <v>0</v>
      </c>
      <c r="Q2008" s="49">
        <f t="shared" si="2336"/>
        <v>0</v>
      </c>
    </row>
    <row r="2009" spans="4:17" s="16" customFormat="1" ht="13.2" x14ac:dyDescent="0.25">
      <c r="D2009" s="235"/>
      <c r="E2009" s="240"/>
      <c r="F2009" s="241"/>
      <c r="G2009" s="242"/>
      <c r="H2009" s="239">
        <f t="shared" si="2327"/>
        <v>0</v>
      </c>
      <c r="I2009" s="131">
        <f t="shared" si="2328"/>
        <v>0</v>
      </c>
      <c r="J2009" s="31">
        <f t="shared" si="2329"/>
        <v>0</v>
      </c>
      <c r="K2009" s="31">
        <f t="shared" si="2330"/>
        <v>0</v>
      </c>
      <c r="L2009" s="31">
        <f t="shared" si="2331"/>
        <v>0</v>
      </c>
      <c r="M2009" s="31">
        <f t="shared" si="2332"/>
        <v>0</v>
      </c>
      <c r="N2009" s="31">
        <f t="shared" si="2333"/>
        <v>0</v>
      </c>
      <c r="O2009" s="31">
        <f t="shared" si="2334"/>
        <v>0</v>
      </c>
      <c r="P2009" s="31">
        <f t="shared" si="2335"/>
        <v>0</v>
      </c>
      <c r="Q2009" s="49">
        <f t="shared" si="2336"/>
        <v>0</v>
      </c>
    </row>
    <row r="2010" spans="4:17" s="16" customFormat="1" ht="13.2" x14ac:dyDescent="0.25">
      <c r="D2010" s="235"/>
      <c r="E2010" s="240"/>
      <c r="F2010" s="241"/>
      <c r="G2010" s="242"/>
      <c r="H2010" s="239">
        <f t="shared" si="2327"/>
        <v>0</v>
      </c>
      <c r="I2010" s="131">
        <f t="shared" si="2328"/>
        <v>0</v>
      </c>
      <c r="J2010" s="31">
        <f t="shared" si="2329"/>
        <v>0</v>
      </c>
      <c r="K2010" s="31">
        <f t="shared" si="2330"/>
        <v>0</v>
      </c>
      <c r="L2010" s="31">
        <f t="shared" si="2331"/>
        <v>0</v>
      </c>
      <c r="M2010" s="31">
        <f t="shared" si="2332"/>
        <v>0</v>
      </c>
      <c r="N2010" s="31">
        <f t="shared" si="2333"/>
        <v>0</v>
      </c>
      <c r="O2010" s="31">
        <f t="shared" si="2334"/>
        <v>0</v>
      </c>
      <c r="P2010" s="31">
        <f t="shared" si="2335"/>
        <v>0</v>
      </c>
      <c r="Q2010" s="49">
        <f t="shared" si="2336"/>
        <v>0</v>
      </c>
    </row>
    <row r="2011" spans="4:17" s="16" customFormat="1" ht="13.2" x14ac:dyDescent="0.25">
      <c r="D2011" s="235"/>
      <c r="E2011" s="240"/>
      <c r="F2011" s="241"/>
      <c r="G2011" s="242"/>
      <c r="H2011" s="239">
        <f t="shared" si="2327"/>
        <v>0</v>
      </c>
      <c r="I2011" s="131">
        <f t="shared" si="2328"/>
        <v>0</v>
      </c>
      <c r="J2011" s="31">
        <f t="shared" si="2329"/>
        <v>0</v>
      </c>
      <c r="K2011" s="31">
        <f t="shared" si="2330"/>
        <v>0</v>
      </c>
      <c r="L2011" s="31">
        <f t="shared" si="2331"/>
        <v>0</v>
      </c>
      <c r="M2011" s="31">
        <f t="shared" si="2332"/>
        <v>0</v>
      </c>
      <c r="N2011" s="31">
        <f t="shared" si="2333"/>
        <v>0</v>
      </c>
      <c r="O2011" s="31">
        <f t="shared" si="2334"/>
        <v>0</v>
      </c>
      <c r="P2011" s="31">
        <f t="shared" si="2335"/>
        <v>0</v>
      </c>
      <c r="Q2011" s="49">
        <f t="shared" si="2336"/>
        <v>0</v>
      </c>
    </row>
    <row r="2012" spans="4:17" s="16" customFormat="1" ht="13.8" thickBot="1" x14ac:dyDescent="0.3">
      <c r="D2012" s="307"/>
      <c r="E2012" s="26"/>
      <c r="F2012" s="206"/>
      <c r="G2012" s="207"/>
      <c r="H2012" s="207"/>
      <c r="I2012" s="51"/>
      <c r="J2012" s="308"/>
      <c r="K2012" s="308"/>
      <c r="L2012" s="308"/>
      <c r="M2012" s="308"/>
      <c r="N2012" s="308"/>
      <c r="O2012" s="308"/>
      <c r="P2012" s="308"/>
      <c r="Q2012" s="309"/>
    </row>
    <row r="2013" spans="4:17" s="16" customFormat="1" ht="13.2" x14ac:dyDescent="0.25">
      <c r="D2013" s="796" t="s">
        <v>1680</v>
      </c>
      <c r="E2013" s="797"/>
      <c r="F2013" s="797"/>
      <c r="G2013" s="797"/>
      <c r="H2013" s="797"/>
      <c r="I2013" s="47">
        <f>SUM(I2014:I2023)</f>
        <v>0</v>
      </c>
      <c r="J2013" s="47">
        <f t="shared" ref="J2013:Q2013" si="2337">SUM(J2014:J2023)</f>
        <v>0</v>
      </c>
      <c r="K2013" s="47">
        <f t="shared" si="2337"/>
        <v>0</v>
      </c>
      <c r="L2013" s="47">
        <f t="shared" si="2337"/>
        <v>0</v>
      </c>
      <c r="M2013" s="47">
        <f t="shared" si="2337"/>
        <v>0</v>
      </c>
      <c r="N2013" s="47">
        <f t="shared" si="2337"/>
        <v>0</v>
      </c>
      <c r="O2013" s="47">
        <f t="shared" si="2337"/>
        <v>0</v>
      </c>
      <c r="P2013" s="47">
        <f t="shared" si="2337"/>
        <v>0</v>
      </c>
      <c r="Q2013" s="47">
        <f t="shared" si="2337"/>
        <v>0</v>
      </c>
    </row>
    <row r="2014" spans="4:17" s="16" customFormat="1" ht="13.2" x14ac:dyDescent="0.25">
      <c r="D2014" s="235"/>
      <c r="E2014" s="237"/>
      <c r="F2014" s="238"/>
      <c r="G2014" s="239"/>
      <c r="H2014" s="239">
        <f t="shared" ref="H2014:H2023" si="2338">E2014*G2014</f>
        <v>0</v>
      </c>
      <c r="I2014" s="131">
        <f t="shared" ref="I2014:I2023" si="2339">IF($F2014=4.2,H2014*$B$23,0)</f>
        <v>0</v>
      </c>
      <c r="J2014" s="31">
        <f t="shared" ref="J2014:J2023" si="2340">IF($F2014=5,$H2014*$B$24,0)</f>
        <v>0</v>
      </c>
      <c r="K2014" s="31">
        <f t="shared" ref="K2014:K2023" si="2341">IF($F2014=6.3,$H2014*$B$25,0)</f>
        <v>0</v>
      </c>
      <c r="L2014" s="31">
        <f t="shared" ref="L2014:L2023" si="2342">IF($F2014=8,$H2014*$B$26,0)</f>
        <v>0</v>
      </c>
      <c r="M2014" s="31">
        <f t="shared" ref="M2014:M2023" si="2343">IF($F2014=10,$H2014*$B$27,0)</f>
        <v>0</v>
      </c>
      <c r="N2014" s="31">
        <f t="shared" ref="N2014:N2023" si="2344">IF($F2014=12.5,$H2014*$B$28,0)</f>
        <v>0</v>
      </c>
      <c r="O2014" s="31">
        <f t="shared" ref="O2014:O2023" si="2345">IF($F2014=16,$H2014*$B$29,0)</f>
        <v>0</v>
      </c>
      <c r="P2014" s="31">
        <f t="shared" ref="P2014:P2023" si="2346">IF($F2014=20,$H2014*$B$30,0)</f>
        <v>0</v>
      </c>
      <c r="Q2014" s="49">
        <f t="shared" ref="Q2014:Q2023" si="2347">IF($F2014=25,$H2014*$B$31,0)</f>
        <v>0</v>
      </c>
    </row>
    <row r="2015" spans="4:17" s="16" customFormat="1" ht="13.2" x14ac:dyDescent="0.25">
      <c r="D2015" s="235"/>
      <c r="E2015" s="240"/>
      <c r="F2015" s="241"/>
      <c r="G2015" s="242"/>
      <c r="H2015" s="239">
        <f t="shared" si="2338"/>
        <v>0</v>
      </c>
      <c r="I2015" s="131">
        <f t="shared" si="2339"/>
        <v>0</v>
      </c>
      <c r="J2015" s="31">
        <f t="shared" si="2340"/>
        <v>0</v>
      </c>
      <c r="K2015" s="31">
        <f t="shared" si="2341"/>
        <v>0</v>
      </c>
      <c r="L2015" s="31">
        <f t="shared" si="2342"/>
        <v>0</v>
      </c>
      <c r="M2015" s="31">
        <f t="shared" si="2343"/>
        <v>0</v>
      </c>
      <c r="N2015" s="31">
        <f t="shared" si="2344"/>
        <v>0</v>
      </c>
      <c r="O2015" s="31">
        <f t="shared" si="2345"/>
        <v>0</v>
      </c>
      <c r="P2015" s="31">
        <f t="shared" si="2346"/>
        <v>0</v>
      </c>
      <c r="Q2015" s="49">
        <f t="shared" si="2347"/>
        <v>0</v>
      </c>
    </row>
    <row r="2016" spans="4:17" s="16" customFormat="1" ht="13.2" x14ac:dyDescent="0.25">
      <c r="D2016" s="235"/>
      <c r="E2016" s="240"/>
      <c r="F2016" s="241"/>
      <c r="G2016" s="242"/>
      <c r="H2016" s="239">
        <f t="shared" si="2338"/>
        <v>0</v>
      </c>
      <c r="I2016" s="131">
        <f t="shared" si="2339"/>
        <v>0</v>
      </c>
      <c r="J2016" s="31">
        <f t="shared" si="2340"/>
        <v>0</v>
      </c>
      <c r="K2016" s="31">
        <f t="shared" si="2341"/>
        <v>0</v>
      </c>
      <c r="L2016" s="31">
        <f t="shared" si="2342"/>
        <v>0</v>
      </c>
      <c r="M2016" s="31">
        <f t="shared" si="2343"/>
        <v>0</v>
      </c>
      <c r="N2016" s="31">
        <f t="shared" si="2344"/>
        <v>0</v>
      </c>
      <c r="O2016" s="31">
        <f t="shared" si="2345"/>
        <v>0</v>
      </c>
      <c r="P2016" s="31">
        <f t="shared" si="2346"/>
        <v>0</v>
      </c>
      <c r="Q2016" s="49">
        <f t="shared" si="2347"/>
        <v>0</v>
      </c>
    </row>
    <row r="2017" spans="4:17" s="16" customFormat="1" ht="13.2" x14ac:dyDescent="0.25">
      <c r="D2017" s="235"/>
      <c r="E2017" s="240"/>
      <c r="F2017" s="241"/>
      <c r="G2017" s="242"/>
      <c r="H2017" s="239">
        <f t="shared" si="2338"/>
        <v>0</v>
      </c>
      <c r="I2017" s="131">
        <f t="shared" si="2339"/>
        <v>0</v>
      </c>
      <c r="J2017" s="31">
        <f t="shared" si="2340"/>
        <v>0</v>
      </c>
      <c r="K2017" s="31">
        <f t="shared" si="2341"/>
        <v>0</v>
      </c>
      <c r="L2017" s="31">
        <f t="shared" si="2342"/>
        <v>0</v>
      </c>
      <c r="M2017" s="31">
        <f t="shared" si="2343"/>
        <v>0</v>
      </c>
      <c r="N2017" s="31">
        <f t="shared" si="2344"/>
        <v>0</v>
      </c>
      <c r="O2017" s="31">
        <f t="shared" si="2345"/>
        <v>0</v>
      </c>
      <c r="P2017" s="31">
        <f t="shared" si="2346"/>
        <v>0</v>
      </c>
      <c r="Q2017" s="49">
        <f t="shared" si="2347"/>
        <v>0</v>
      </c>
    </row>
    <row r="2018" spans="4:17" s="16" customFormat="1" ht="13.2" x14ac:dyDescent="0.25">
      <c r="D2018" s="235"/>
      <c r="E2018" s="240"/>
      <c r="F2018" s="241"/>
      <c r="G2018" s="242"/>
      <c r="H2018" s="239">
        <f t="shared" si="2338"/>
        <v>0</v>
      </c>
      <c r="I2018" s="131">
        <f t="shared" si="2339"/>
        <v>0</v>
      </c>
      <c r="J2018" s="31">
        <f t="shared" si="2340"/>
        <v>0</v>
      </c>
      <c r="K2018" s="31">
        <f t="shared" si="2341"/>
        <v>0</v>
      </c>
      <c r="L2018" s="31">
        <f t="shared" si="2342"/>
        <v>0</v>
      </c>
      <c r="M2018" s="31">
        <f t="shared" si="2343"/>
        <v>0</v>
      </c>
      <c r="N2018" s="31">
        <f t="shared" si="2344"/>
        <v>0</v>
      </c>
      <c r="O2018" s="31">
        <f t="shared" si="2345"/>
        <v>0</v>
      </c>
      <c r="P2018" s="31">
        <f t="shared" si="2346"/>
        <v>0</v>
      </c>
      <c r="Q2018" s="49">
        <f t="shared" si="2347"/>
        <v>0</v>
      </c>
    </row>
    <row r="2019" spans="4:17" s="16" customFormat="1" ht="13.2" x14ac:dyDescent="0.25">
      <c r="D2019" s="235"/>
      <c r="E2019" s="240"/>
      <c r="F2019" s="241"/>
      <c r="G2019" s="242"/>
      <c r="H2019" s="239">
        <f t="shared" si="2338"/>
        <v>0</v>
      </c>
      <c r="I2019" s="131">
        <f t="shared" si="2339"/>
        <v>0</v>
      </c>
      <c r="J2019" s="31">
        <f t="shared" si="2340"/>
        <v>0</v>
      </c>
      <c r="K2019" s="31">
        <f t="shared" si="2341"/>
        <v>0</v>
      </c>
      <c r="L2019" s="31">
        <f t="shared" si="2342"/>
        <v>0</v>
      </c>
      <c r="M2019" s="31">
        <f t="shared" si="2343"/>
        <v>0</v>
      </c>
      <c r="N2019" s="31">
        <f t="shared" si="2344"/>
        <v>0</v>
      </c>
      <c r="O2019" s="31">
        <f t="shared" si="2345"/>
        <v>0</v>
      </c>
      <c r="P2019" s="31">
        <f t="shared" si="2346"/>
        <v>0</v>
      </c>
      <c r="Q2019" s="49">
        <f t="shared" si="2347"/>
        <v>0</v>
      </c>
    </row>
    <row r="2020" spans="4:17" s="16" customFormat="1" ht="13.2" x14ac:dyDescent="0.25">
      <c r="D2020" s="235"/>
      <c r="E2020" s="240"/>
      <c r="F2020" s="241"/>
      <c r="G2020" s="242"/>
      <c r="H2020" s="239">
        <f t="shared" si="2338"/>
        <v>0</v>
      </c>
      <c r="I2020" s="131">
        <f t="shared" si="2339"/>
        <v>0</v>
      </c>
      <c r="J2020" s="31">
        <f t="shared" si="2340"/>
        <v>0</v>
      </c>
      <c r="K2020" s="31">
        <f t="shared" si="2341"/>
        <v>0</v>
      </c>
      <c r="L2020" s="31">
        <f t="shared" si="2342"/>
        <v>0</v>
      </c>
      <c r="M2020" s="31">
        <f t="shared" si="2343"/>
        <v>0</v>
      </c>
      <c r="N2020" s="31">
        <f t="shared" si="2344"/>
        <v>0</v>
      </c>
      <c r="O2020" s="31">
        <f t="shared" si="2345"/>
        <v>0</v>
      </c>
      <c r="P2020" s="31">
        <f t="shared" si="2346"/>
        <v>0</v>
      </c>
      <c r="Q2020" s="49">
        <f t="shared" si="2347"/>
        <v>0</v>
      </c>
    </row>
    <row r="2021" spans="4:17" s="16" customFormat="1" ht="13.2" x14ac:dyDescent="0.25">
      <c r="D2021" s="235"/>
      <c r="E2021" s="240"/>
      <c r="F2021" s="241"/>
      <c r="G2021" s="242"/>
      <c r="H2021" s="239">
        <f t="shared" si="2338"/>
        <v>0</v>
      </c>
      <c r="I2021" s="131">
        <f t="shared" si="2339"/>
        <v>0</v>
      </c>
      <c r="J2021" s="31">
        <f t="shared" si="2340"/>
        <v>0</v>
      </c>
      <c r="K2021" s="31">
        <f t="shared" si="2341"/>
        <v>0</v>
      </c>
      <c r="L2021" s="31">
        <f t="shared" si="2342"/>
        <v>0</v>
      </c>
      <c r="M2021" s="31">
        <f t="shared" si="2343"/>
        <v>0</v>
      </c>
      <c r="N2021" s="31">
        <f t="shared" si="2344"/>
        <v>0</v>
      </c>
      <c r="O2021" s="31">
        <f t="shared" si="2345"/>
        <v>0</v>
      </c>
      <c r="P2021" s="31">
        <f t="shared" si="2346"/>
        <v>0</v>
      </c>
      <c r="Q2021" s="49">
        <f t="shared" si="2347"/>
        <v>0</v>
      </c>
    </row>
    <row r="2022" spans="4:17" s="16" customFormat="1" ht="13.2" x14ac:dyDescent="0.25">
      <c r="D2022" s="235"/>
      <c r="E2022" s="240"/>
      <c r="F2022" s="241"/>
      <c r="G2022" s="242"/>
      <c r="H2022" s="239">
        <f t="shared" si="2338"/>
        <v>0</v>
      </c>
      <c r="I2022" s="131">
        <f t="shared" si="2339"/>
        <v>0</v>
      </c>
      <c r="J2022" s="31">
        <f t="shared" si="2340"/>
        <v>0</v>
      </c>
      <c r="K2022" s="31">
        <f t="shared" si="2341"/>
        <v>0</v>
      </c>
      <c r="L2022" s="31">
        <f t="shared" si="2342"/>
        <v>0</v>
      </c>
      <c r="M2022" s="31">
        <f t="shared" si="2343"/>
        <v>0</v>
      </c>
      <c r="N2022" s="31">
        <f t="shared" si="2344"/>
        <v>0</v>
      </c>
      <c r="O2022" s="31">
        <f t="shared" si="2345"/>
        <v>0</v>
      </c>
      <c r="P2022" s="31">
        <f t="shared" si="2346"/>
        <v>0</v>
      </c>
      <c r="Q2022" s="49">
        <f t="shared" si="2347"/>
        <v>0</v>
      </c>
    </row>
    <row r="2023" spans="4:17" s="16" customFormat="1" ht="13.2" x14ac:dyDescent="0.25">
      <c r="D2023" s="235"/>
      <c r="E2023" s="240"/>
      <c r="F2023" s="241"/>
      <c r="G2023" s="242"/>
      <c r="H2023" s="239">
        <f t="shared" si="2338"/>
        <v>0</v>
      </c>
      <c r="I2023" s="131">
        <f t="shared" si="2339"/>
        <v>0</v>
      </c>
      <c r="J2023" s="31">
        <f t="shared" si="2340"/>
        <v>0</v>
      </c>
      <c r="K2023" s="31">
        <f t="shared" si="2341"/>
        <v>0</v>
      </c>
      <c r="L2023" s="31">
        <f t="shared" si="2342"/>
        <v>0</v>
      </c>
      <c r="M2023" s="31">
        <f t="shared" si="2343"/>
        <v>0</v>
      </c>
      <c r="N2023" s="31">
        <f t="shared" si="2344"/>
        <v>0</v>
      </c>
      <c r="O2023" s="31">
        <f t="shared" si="2345"/>
        <v>0</v>
      </c>
      <c r="P2023" s="31">
        <f t="shared" si="2346"/>
        <v>0</v>
      </c>
      <c r="Q2023" s="49">
        <f t="shared" si="2347"/>
        <v>0</v>
      </c>
    </row>
    <row r="2024" spans="4:17" s="16" customFormat="1" ht="13.8" thickBot="1" x14ac:dyDescent="0.3">
      <c r="D2024" s="307"/>
      <c r="E2024" s="26"/>
      <c r="F2024" s="206"/>
      <c r="G2024" s="207"/>
      <c r="H2024" s="207"/>
      <c r="I2024" s="51"/>
      <c r="J2024" s="308"/>
      <c r="K2024" s="308"/>
      <c r="L2024" s="308"/>
      <c r="M2024" s="308"/>
      <c r="N2024" s="308"/>
      <c r="O2024" s="308"/>
      <c r="P2024" s="308"/>
      <c r="Q2024" s="309"/>
    </row>
    <row r="2025" spans="4:17" s="16" customFormat="1" ht="13.2" x14ac:dyDescent="0.25">
      <c r="D2025" s="796" t="s">
        <v>1680</v>
      </c>
      <c r="E2025" s="797"/>
      <c r="F2025" s="797"/>
      <c r="G2025" s="797"/>
      <c r="H2025" s="797"/>
      <c r="I2025" s="47">
        <f>SUM(I2026:I2035)</f>
        <v>0</v>
      </c>
      <c r="J2025" s="47">
        <f t="shared" ref="J2025:Q2025" si="2348">SUM(J2026:J2035)</f>
        <v>0</v>
      </c>
      <c r="K2025" s="47">
        <f t="shared" si="2348"/>
        <v>0</v>
      </c>
      <c r="L2025" s="47">
        <f t="shared" si="2348"/>
        <v>0</v>
      </c>
      <c r="M2025" s="47">
        <f t="shared" si="2348"/>
        <v>0</v>
      </c>
      <c r="N2025" s="47">
        <f t="shared" si="2348"/>
        <v>0</v>
      </c>
      <c r="O2025" s="47">
        <f t="shared" si="2348"/>
        <v>0</v>
      </c>
      <c r="P2025" s="47">
        <f t="shared" si="2348"/>
        <v>0</v>
      </c>
      <c r="Q2025" s="47">
        <f t="shared" si="2348"/>
        <v>0</v>
      </c>
    </row>
    <row r="2026" spans="4:17" s="16" customFormat="1" ht="13.2" x14ac:dyDescent="0.25">
      <c r="D2026" s="235"/>
      <c r="E2026" s="237"/>
      <c r="F2026" s="238"/>
      <c r="G2026" s="239"/>
      <c r="H2026" s="239">
        <f t="shared" ref="H2026:H2035" si="2349">E2026*G2026</f>
        <v>0</v>
      </c>
      <c r="I2026" s="131">
        <f t="shared" ref="I2026:I2035" si="2350">IF($F2026=4.2,H2026*$B$23,0)</f>
        <v>0</v>
      </c>
      <c r="J2026" s="31">
        <f t="shared" ref="J2026:J2035" si="2351">IF($F2026=5,$H2026*$B$24,0)</f>
        <v>0</v>
      </c>
      <c r="K2026" s="31">
        <f t="shared" ref="K2026:K2035" si="2352">IF($F2026=6.3,$H2026*$B$25,0)</f>
        <v>0</v>
      </c>
      <c r="L2026" s="31">
        <f t="shared" ref="L2026:L2035" si="2353">IF($F2026=8,$H2026*$B$26,0)</f>
        <v>0</v>
      </c>
      <c r="M2026" s="31">
        <f t="shared" ref="M2026:M2035" si="2354">IF($F2026=10,$H2026*$B$27,0)</f>
        <v>0</v>
      </c>
      <c r="N2026" s="31">
        <f t="shared" ref="N2026:N2035" si="2355">IF($F2026=12.5,$H2026*$B$28,0)</f>
        <v>0</v>
      </c>
      <c r="O2026" s="31">
        <f t="shared" ref="O2026:O2035" si="2356">IF($F2026=16,$H2026*$B$29,0)</f>
        <v>0</v>
      </c>
      <c r="P2026" s="31">
        <f t="shared" ref="P2026:P2035" si="2357">IF($F2026=20,$H2026*$B$30,0)</f>
        <v>0</v>
      </c>
      <c r="Q2026" s="49">
        <f t="shared" ref="Q2026:Q2035" si="2358">IF($F2026=25,$H2026*$B$31,0)</f>
        <v>0</v>
      </c>
    </row>
    <row r="2027" spans="4:17" s="16" customFormat="1" ht="13.2" x14ac:dyDescent="0.25">
      <c r="D2027" s="235"/>
      <c r="E2027" s="240"/>
      <c r="F2027" s="241"/>
      <c r="G2027" s="242"/>
      <c r="H2027" s="239">
        <f t="shared" si="2349"/>
        <v>0</v>
      </c>
      <c r="I2027" s="131">
        <f t="shared" si="2350"/>
        <v>0</v>
      </c>
      <c r="J2027" s="31">
        <f t="shared" si="2351"/>
        <v>0</v>
      </c>
      <c r="K2027" s="31">
        <f t="shared" si="2352"/>
        <v>0</v>
      </c>
      <c r="L2027" s="31">
        <f t="shared" si="2353"/>
        <v>0</v>
      </c>
      <c r="M2027" s="31">
        <f t="shared" si="2354"/>
        <v>0</v>
      </c>
      <c r="N2027" s="31">
        <f t="shared" si="2355"/>
        <v>0</v>
      </c>
      <c r="O2027" s="31">
        <f t="shared" si="2356"/>
        <v>0</v>
      </c>
      <c r="P2027" s="31">
        <f t="shared" si="2357"/>
        <v>0</v>
      </c>
      <c r="Q2027" s="49">
        <f t="shared" si="2358"/>
        <v>0</v>
      </c>
    </row>
    <row r="2028" spans="4:17" s="16" customFormat="1" ht="13.2" x14ac:dyDescent="0.25">
      <c r="D2028" s="235"/>
      <c r="E2028" s="240"/>
      <c r="F2028" s="241"/>
      <c r="G2028" s="242"/>
      <c r="H2028" s="239">
        <f t="shared" si="2349"/>
        <v>0</v>
      </c>
      <c r="I2028" s="131">
        <f t="shared" si="2350"/>
        <v>0</v>
      </c>
      <c r="J2028" s="31">
        <f t="shared" si="2351"/>
        <v>0</v>
      </c>
      <c r="K2028" s="31">
        <f t="shared" si="2352"/>
        <v>0</v>
      </c>
      <c r="L2028" s="31">
        <f t="shared" si="2353"/>
        <v>0</v>
      </c>
      <c r="M2028" s="31">
        <f t="shared" si="2354"/>
        <v>0</v>
      </c>
      <c r="N2028" s="31">
        <f t="shared" si="2355"/>
        <v>0</v>
      </c>
      <c r="O2028" s="31">
        <f t="shared" si="2356"/>
        <v>0</v>
      </c>
      <c r="P2028" s="31">
        <f t="shared" si="2357"/>
        <v>0</v>
      </c>
      <c r="Q2028" s="49">
        <f t="shared" si="2358"/>
        <v>0</v>
      </c>
    </row>
    <row r="2029" spans="4:17" s="16" customFormat="1" ht="13.2" x14ac:dyDescent="0.25">
      <c r="D2029" s="235"/>
      <c r="E2029" s="240"/>
      <c r="F2029" s="241"/>
      <c r="G2029" s="242"/>
      <c r="H2029" s="239">
        <f t="shared" si="2349"/>
        <v>0</v>
      </c>
      <c r="I2029" s="131">
        <f t="shared" si="2350"/>
        <v>0</v>
      </c>
      <c r="J2029" s="31">
        <f t="shared" si="2351"/>
        <v>0</v>
      </c>
      <c r="K2029" s="31">
        <f t="shared" si="2352"/>
        <v>0</v>
      </c>
      <c r="L2029" s="31">
        <f t="shared" si="2353"/>
        <v>0</v>
      </c>
      <c r="M2029" s="31">
        <f t="shared" si="2354"/>
        <v>0</v>
      </c>
      <c r="N2029" s="31">
        <f t="shared" si="2355"/>
        <v>0</v>
      </c>
      <c r="O2029" s="31">
        <f t="shared" si="2356"/>
        <v>0</v>
      </c>
      <c r="P2029" s="31">
        <f t="shared" si="2357"/>
        <v>0</v>
      </c>
      <c r="Q2029" s="49">
        <f t="shared" si="2358"/>
        <v>0</v>
      </c>
    </row>
    <row r="2030" spans="4:17" s="16" customFormat="1" ht="13.2" x14ac:dyDescent="0.25">
      <c r="D2030" s="235"/>
      <c r="E2030" s="240"/>
      <c r="F2030" s="241"/>
      <c r="G2030" s="242"/>
      <c r="H2030" s="239">
        <f t="shared" si="2349"/>
        <v>0</v>
      </c>
      <c r="I2030" s="131">
        <f t="shared" si="2350"/>
        <v>0</v>
      </c>
      <c r="J2030" s="31">
        <f t="shared" si="2351"/>
        <v>0</v>
      </c>
      <c r="K2030" s="31">
        <f t="shared" si="2352"/>
        <v>0</v>
      </c>
      <c r="L2030" s="31">
        <f t="shared" si="2353"/>
        <v>0</v>
      </c>
      <c r="M2030" s="31">
        <f t="shared" si="2354"/>
        <v>0</v>
      </c>
      <c r="N2030" s="31">
        <f t="shared" si="2355"/>
        <v>0</v>
      </c>
      <c r="O2030" s="31">
        <f t="shared" si="2356"/>
        <v>0</v>
      </c>
      <c r="P2030" s="31">
        <f t="shared" si="2357"/>
        <v>0</v>
      </c>
      <c r="Q2030" s="49">
        <f t="shared" si="2358"/>
        <v>0</v>
      </c>
    </row>
    <row r="2031" spans="4:17" s="16" customFormat="1" ht="13.2" x14ac:dyDescent="0.25">
      <c r="D2031" s="235"/>
      <c r="E2031" s="240"/>
      <c r="F2031" s="241"/>
      <c r="G2031" s="242"/>
      <c r="H2031" s="239">
        <f t="shared" si="2349"/>
        <v>0</v>
      </c>
      <c r="I2031" s="131">
        <f t="shared" si="2350"/>
        <v>0</v>
      </c>
      <c r="J2031" s="31">
        <f t="shared" si="2351"/>
        <v>0</v>
      </c>
      <c r="K2031" s="31">
        <f t="shared" si="2352"/>
        <v>0</v>
      </c>
      <c r="L2031" s="31">
        <f t="shared" si="2353"/>
        <v>0</v>
      </c>
      <c r="M2031" s="31">
        <f t="shared" si="2354"/>
        <v>0</v>
      </c>
      <c r="N2031" s="31">
        <f t="shared" si="2355"/>
        <v>0</v>
      </c>
      <c r="O2031" s="31">
        <f t="shared" si="2356"/>
        <v>0</v>
      </c>
      <c r="P2031" s="31">
        <f t="shared" si="2357"/>
        <v>0</v>
      </c>
      <c r="Q2031" s="49">
        <f t="shared" si="2358"/>
        <v>0</v>
      </c>
    </row>
    <row r="2032" spans="4:17" s="16" customFormat="1" ht="13.2" x14ac:dyDescent="0.25">
      <c r="D2032" s="235"/>
      <c r="E2032" s="240"/>
      <c r="F2032" s="241"/>
      <c r="G2032" s="242"/>
      <c r="H2032" s="239">
        <f t="shared" si="2349"/>
        <v>0</v>
      </c>
      <c r="I2032" s="131">
        <f t="shared" si="2350"/>
        <v>0</v>
      </c>
      <c r="J2032" s="31">
        <f t="shared" si="2351"/>
        <v>0</v>
      </c>
      <c r="K2032" s="31">
        <f t="shared" si="2352"/>
        <v>0</v>
      </c>
      <c r="L2032" s="31">
        <f t="shared" si="2353"/>
        <v>0</v>
      </c>
      <c r="M2032" s="31">
        <f t="shared" si="2354"/>
        <v>0</v>
      </c>
      <c r="N2032" s="31">
        <f t="shared" si="2355"/>
        <v>0</v>
      </c>
      <c r="O2032" s="31">
        <f t="shared" si="2356"/>
        <v>0</v>
      </c>
      <c r="P2032" s="31">
        <f t="shared" si="2357"/>
        <v>0</v>
      </c>
      <c r="Q2032" s="49">
        <f t="shared" si="2358"/>
        <v>0</v>
      </c>
    </row>
    <row r="2033" spans="4:17" s="16" customFormat="1" ht="13.2" x14ac:dyDescent="0.25">
      <c r="D2033" s="235"/>
      <c r="E2033" s="240"/>
      <c r="F2033" s="241"/>
      <c r="G2033" s="242"/>
      <c r="H2033" s="239">
        <f t="shared" si="2349"/>
        <v>0</v>
      </c>
      <c r="I2033" s="131">
        <f t="shared" si="2350"/>
        <v>0</v>
      </c>
      <c r="J2033" s="31">
        <f t="shared" si="2351"/>
        <v>0</v>
      </c>
      <c r="K2033" s="31">
        <f t="shared" si="2352"/>
        <v>0</v>
      </c>
      <c r="L2033" s="31">
        <f t="shared" si="2353"/>
        <v>0</v>
      </c>
      <c r="M2033" s="31">
        <f t="shared" si="2354"/>
        <v>0</v>
      </c>
      <c r="N2033" s="31">
        <f t="shared" si="2355"/>
        <v>0</v>
      </c>
      <c r="O2033" s="31">
        <f t="shared" si="2356"/>
        <v>0</v>
      </c>
      <c r="P2033" s="31">
        <f t="shared" si="2357"/>
        <v>0</v>
      </c>
      <c r="Q2033" s="49">
        <f t="shared" si="2358"/>
        <v>0</v>
      </c>
    </row>
    <row r="2034" spans="4:17" s="16" customFormat="1" ht="13.2" x14ac:dyDescent="0.25">
      <c r="D2034" s="235"/>
      <c r="E2034" s="240"/>
      <c r="F2034" s="241"/>
      <c r="G2034" s="242"/>
      <c r="H2034" s="239">
        <f t="shared" si="2349"/>
        <v>0</v>
      </c>
      <c r="I2034" s="131">
        <f t="shared" si="2350"/>
        <v>0</v>
      </c>
      <c r="J2034" s="31">
        <f t="shared" si="2351"/>
        <v>0</v>
      </c>
      <c r="K2034" s="31">
        <f t="shared" si="2352"/>
        <v>0</v>
      </c>
      <c r="L2034" s="31">
        <f t="shared" si="2353"/>
        <v>0</v>
      </c>
      <c r="M2034" s="31">
        <f t="shared" si="2354"/>
        <v>0</v>
      </c>
      <c r="N2034" s="31">
        <f t="shared" si="2355"/>
        <v>0</v>
      </c>
      <c r="O2034" s="31">
        <f t="shared" si="2356"/>
        <v>0</v>
      </c>
      <c r="P2034" s="31">
        <f t="shared" si="2357"/>
        <v>0</v>
      </c>
      <c r="Q2034" s="49">
        <f t="shared" si="2358"/>
        <v>0</v>
      </c>
    </row>
    <row r="2035" spans="4:17" s="16" customFormat="1" ht="13.2" x14ac:dyDescent="0.25">
      <c r="D2035" s="235"/>
      <c r="E2035" s="240"/>
      <c r="F2035" s="241"/>
      <c r="G2035" s="242"/>
      <c r="H2035" s="239">
        <f t="shared" si="2349"/>
        <v>0</v>
      </c>
      <c r="I2035" s="131">
        <f t="shared" si="2350"/>
        <v>0</v>
      </c>
      <c r="J2035" s="31">
        <f t="shared" si="2351"/>
        <v>0</v>
      </c>
      <c r="K2035" s="31">
        <f t="shared" si="2352"/>
        <v>0</v>
      </c>
      <c r="L2035" s="31">
        <f t="shared" si="2353"/>
        <v>0</v>
      </c>
      <c r="M2035" s="31">
        <f t="shared" si="2354"/>
        <v>0</v>
      </c>
      <c r="N2035" s="31">
        <f t="shared" si="2355"/>
        <v>0</v>
      </c>
      <c r="O2035" s="31">
        <f t="shared" si="2356"/>
        <v>0</v>
      </c>
      <c r="P2035" s="31">
        <f t="shared" si="2357"/>
        <v>0</v>
      </c>
      <c r="Q2035" s="49">
        <f t="shared" si="2358"/>
        <v>0</v>
      </c>
    </row>
    <row r="2036" spans="4:17" s="16" customFormat="1" ht="13.8" thickBot="1" x14ac:dyDescent="0.3">
      <c r="D2036" s="307"/>
      <c r="E2036" s="26"/>
      <c r="F2036" s="206"/>
      <c r="G2036" s="207"/>
      <c r="H2036" s="207"/>
      <c r="I2036" s="51"/>
      <c r="J2036" s="308"/>
      <c r="K2036" s="308"/>
      <c r="L2036" s="308"/>
      <c r="M2036" s="308"/>
      <c r="N2036" s="308"/>
      <c r="O2036" s="308"/>
      <c r="P2036" s="308"/>
      <c r="Q2036" s="309"/>
    </row>
    <row r="2037" spans="4:17" s="16" customFormat="1" ht="13.2" x14ac:dyDescent="0.25">
      <c r="D2037" s="796" t="s">
        <v>1680</v>
      </c>
      <c r="E2037" s="797"/>
      <c r="F2037" s="797"/>
      <c r="G2037" s="797"/>
      <c r="H2037" s="797"/>
      <c r="I2037" s="47">
        <f>SUM(I2038:I2047)</f>
        <v>0</v>
      </c>
      <c r="J2037" s="47">
        <f t="shared" ref="J2037:Q2037" si="2359">SUM(J2038:J2047)</f>
        <v>0</v>
      </c>
      <c r="K2037" s="47">
        <f t="shared" si="2359"/>
        <v>0</v>
      </c>
      <c r="L2037" s="47">
        <f t="shared" si="2359"/>
        <v>0</v>
      </c>
      <c r="M2037" s="47">
        <f t="shared" si="2359"/>
        <v>0</v>
      </c>
      <c r="N2037" s="47">
        <f t="shared" si="2359"/>
        <v>0</v>
      </c>
      <c r="O2037" s="47">
        <f t="shared" si="2359"/>
        <v>0</v>
      </c>
      <c r="P2037" s="47">
        <f t="shared" si="2359"/>
        <v>0</v>
      </c>
      <c r="Q2037" s="47">
        <f t="shared" si="2359"/>
        <v>0</v>
      </c>
    </row>
    <row r="2038" spans="4:17" s="16" customFormat="1" ht="13.2" x14ac:dyDescent="0.25">
      <c r="D2038" s="235"/>
      <c r="E2038" s="237"/>
      <c r="F2038" s="238"/>
      <c r="G2038" s="239"/>
      <c r="H2038" s="239">
        <f t="shared" ref="H2038:H2047" si="2360">E2038*G2038</f>
        <v>0</v>
      </c>
      <c r="I2038" s="131">
        <f t="shared" ref="I2038:I2047" si="2361">IF($F2038=4.2,H2038*$B$23,0)</f>
        <v>0</v>
      </c>
      <c r="J2038" s="31">
        <f t="shared" ref="J2038:J2047" si="2362">IF($F2038=5,$H2038*$B$24,0)</f>
        <v>0</v>
      </c>
      <c r="K2038" s="31">
        <f t="shared" ref="K2038:K2047" si="2363">IF($F2038=6.3,$H2038*$B$25,0)</f>
        <v>0</v>
      </c>
      <c r="L2038" s="31">
        <f t="shared" ref="L2038:L2047" si="2364">IF($F2038=8,$H2038*$B$26,0)</f>
        <v>0</v>
      </c>
      <c r="M2038" s="31">
        <f t="shared" ref="M2038:M2047" si="2365">IF($F2038=10,$H2038*$B$27,0)</f>
        <v>0</v>
      </c>
      <c r="N2038" s="31">
        <f t="shared" ref="N2038:N2047" si="2366">IF($F2038=12.5,$H2038*$B$28,0)</f>
        <v>0</v>
      </c>
      <c r="O2038" s="31">
        <f t="shared" ref="O2038:O2047" si="2367">IF($F2038=16,$H2038*$B$29,0)</f>
        <v>0</v>
      </c>
      <c r="P2038" s="31">
        <f t="shared" ref="P2038:P2047" si="2368">IF($F2038=20,$H2038*$B$30,0)</f>
        <v>0</v>
      </c>
      <c r="Q2038" s="49">
        <f t="shared" ref="Q2038:Q2047" si="2369">IF($F2038=25,$H2038*$B$31,0)</f>
        <v>0</v>
      </c>
    </row>
    <row r="2039" spans="4:17" s="16" customFormat="1" ht="13.2" x14ac:dyDescent="0.25">
      <c r="D2039" s="235"/>
      <c r="E2039" s="240"/>
      <c r="F2039" s="241"/>
      <c r="G2039" s="242"/>
      <c r="H2039" s="239">
        <f t="shared" si="2360"/>
        <v>0</v>
      </c>
      <c r="I2039" s="131">
        <f t="shared" si="2361"/>
        <v>0</v>
      </c>
      <c r="J2039" s="31">
        <f t="shared" si="2362"/>
        <v>0</v>
      </c>
      <c r="K2039" s="31">
        <f t="shared" si="2363"/>
        <v>0</v>
      </c>
      <c r="L2039" s="31">
        <f t="shared" si="2364"/>
        <v>0</v>
      </c>
      <c r="M2039" s="31">
        <f t="shared" si="2365"/>
        <v>0</v>
      </c>
      <c r="N2039" s="31">
        <f t="shared" si="2366"/>
        <v>0</v>
      </c>
      <c r="O2039" s="31">
        <f t="shared" si="2367"/>
        <v>0</v>
      </c>
      <c r="P2039" s="31">
        <f t="shared" si="2368"/>
        <v>0</v>
      </c>
      <c r="Q2039" s="49">
        <f t="shared" si="2369"/>
        <v>0</v>
      </c>
    </row>
    <row r="2040" spans="4:17" s="16" customFormat="1" ht="13.2" x14ac:dyDescent="0.25">
      <c r="D2040" s="235"/>
      <c r="E2040" s="240"/>
      <c r="F2040" s="241"/>
      <c r="G2040" s="242"/>
      <c r="H2040" s="239">
        <f t="shared" si="2360"/>
        <v>0</v>
      </c>
      <c r="I2040" s="131">
        <f t="shared" si="2361"/>
        <v>0</v>
      </c>
      <c r="J2040" s="31">
        <f t="shared" si="2362"/>
        <v>0</v>
      </c>
      <c r="K2040" s="31">
        <f t="shared" si="2363"/>
        <v>0</v>
      </c>
      <c r="L2040" s="31">
        <f t="shared" si="2364"/>
        <v>0</v>
      </c>
      <c r="M2040" s="31">
        <f t="shared" si="2365"/>
        <v>0</v>
      </c>
      <c r="N2040" s="31">
        <f t="shared" si="2366"/>
        <v>0</v>
      </c>
      <c r="O2040" s="31">
        <f t="shared" si="2367"/>
        <v>0</v>
      </c>
      <c r="P2040" s="31">
        <f t="shared" si="2368"/>
        <v>0</v>
      </c>
      <c r="Q2040" s="49">
        <f t="shared" si="2369"/>
        <v>0</v>
      </c>
    </row>
    <row r="2041" spans="4:17" s="16" customFormat="1" ht="13.2" x14ac:dyDescent="0.25">
      <c r="D2041" s="235"/>
      <c r="E2041" s="240"/>
      <c r="F2041" s="241"/>
      <c r="G2041" s="242"/>
      <c r="H2041" s="239">
        <f t="shared" si="2360"/>
        <v>0</v>
      </c>
      <c r="I2041" s="131">
        <f t="shared" si="2361"/>
        <v>0</v>
      </c>
      <c r="J2041" s="31">
        <f t="shared" si="2362"/>
        <v>0</v>
      </c>
      <c r="K2041" s="31">
        <f t="shared" si="2363"/>
        <v>0</v>
      </c>
      <c r="L2041" s="31">
        <f t="shared" si="2364"/>
        <v>0</v>
      </c>
      <c r="M2041" s="31">
        <f t="shared" si="2365"/>
        <v>0</v>
      </c>
      <c r="N2041" s="31">
        <f t="shared" si="2366"/>
        <v>0</v>
      </c>
      <c r="O2041" s="31">
        <f t="shared" si="2367"/>
        <v>0</v>
      </c>
      <c r="P2041" s="31">
        <f t="shared" si="2368"/>
        <v>0</v>
      </c>
      <c r="Q2041" s="49">
        <f t="shared" si="2369"/>
        <v>0</v>
      </c>
    </row>
    <row r="2042" spans="4:17" s="16" customFormat="1" ht="13.2" x14ac:dyDescent="0.25">
      <c r="D2042" s="235"/>
      <c r="E2042" s="240"/>
      <c r="F2042" s="241"/>
      <c r="G2042" s="242"/>
      <c r="H2042" s="239">
        <f t="shared" si="2360"/>
        <v>0</v>
      </c>
      <c r="I2042" s="131">
        <f t="shared" si="2361"/>
        <v>0</v>
      </c>
      <c r="J2042" s="31">
        <f t="shared" si="2362"/>
        <v>0</v>
      </c>
      <c r="K2042" s="31">
        <f t="shared" si="2363"/>
        <v>0</v>
      </c>
      <c r="L2042" s="31">
        <f t="shared" si="2364"/>
        <v>0</v>
      </c>
      <c r="M2042" s="31">
        <f t="shared" si="2365"/>
        <v>0</v>
      </c>
      <c r="N2042" s="31">
        <f t="shared" si="2366"/>
        <v>0</v>
      </c>
      <c r="O2042" s="31">
        <f t="shared" si="2367"/>
        <v>0</v>
      </c>
      <c r="P2042" s="31">
        <f t="shared" si="2368"/>
        <v>0</v>
      </c>
      <c r="Q2042" s="49">
        <f t="shared" si="2369"/>
        <v>0</v>
      </c>
    </row>
    <row r="2043" spans="4:17" s="16" customFormat="1" ht="13.2" x14ac:dyDescent="0.25">
      <c r="D2043" s="235"/>
      <c r="E2043" s="240"/>
      <c r="F2043" s="241"/>
      <c r="G2043" s="242"/>
      <c r="H2043" s="239">
        <f t="shared" si="2360"/>
        <v>0</v>
      </c>
      <c r="I2043" s="131">
        <f t="shared" si="2361"/>
        <v>0</v>
      </c>
      <c r="J2043" s="31">
        <f t="shared" si="2362"/>
        <v>0</v>
      </c>
      <c r="K2043" s="31">
        <f t="shared" si="2363"/>
        <v>0</v>
      </c>
      <c r="L2043" s="31">
        <f t="shared" si="2364"/>
        <v>0</v>
      </c>
      <c r="M2043" s="31">
        <f t="shared" si="2365"/>
        <v>0</v>
      </c>
      <c r="N2043" s="31">
        <f t="shared" si="2366"/>
        <v>0</v>
      </c>
      <c r="O2043" s="31">
        <f t="shared" si="2367"/>
        <v>0</v>
      </c>
      <c r="P2043" s="31">
        <f t="shared" si="2368"/>
        <v>0</v>
      </c>
      <c r="Q2043" s="49">
        <f t="shared" si="2369"/>
        <v>0</v>
      </c>
    </row>
    <row r="2044" spans="4:17" s="16" customFormat="1" ht="13.2" x14ac:dyDescent="0.25">
      <c r="D2044" s="235"/>
      <c r="E2044" s="240"/>
      <c r="F2044" s="241"/>
      <c r="G2044" s="242"/>
      <c r="H2044" s="239">
        <f t="shared" si="2360"/>
        <v>0</v>
      </c>
      <c r="I2044" s="131">
        <f t="shared" si="2361"/>
        <v>0</v>
      </c>
      <c r="J2044" s="31">
        <f t="shared" si="2362"/>
        <v>0</v>
      </c>
      <c r="K2044" s="31">
        <f t="shared" si="2363"/>
        <v>0</v>
      </c>
      <c r="L2044" s="31">
        <f t="shared" si="2364"/>
        <v>0</v>
      </c>
      <c r="M2044" s="31">
        <f t="shared" si="2365"/>
        <v>0</v>
      </c>
      <c r="N2044" s="31">
        <f t="shared" si="2366"/>
        <v>0</v>
      </c>
      <c r="O2044" s="31">
        <f t="shared" si="2367"/>
        <v>0</v>
      </c>
      <c r="P2044" s="31">
        <f t="shared" si="2368"/>
        <v>0</v>
      </c>
      <c r="Q2044" s="49">
        <f t="shared" si="2369"/>
        <v>0</v>
      </c>
    </row>
    <row r="2045" spans="4:17" s="16" customFormat="1" ht="13.2" x14ac:dyDescent="0.25">
      <c r="D2045" s="235"/>
      <c r="E2045" s="240"/>
      <c r="F2045" s="241"/>
      <c r="G2045" s="242"/>
      <c r="H2045" s="239">
        <f t="shared" si="2360"/>
        <v>0</v>
      </c>
      <c r="I2045" s="131">
        <f t="shared" si="2361"/>
        <v>0</v>
      </c>
      <c r="J2045" s="31">
        <f t="shared" si="2362"/>
        <v>0</v>
      </c>
      <c r="K2045" s="31">
        <f t="shared" si="2363"/>
        <v>0</v>
      </c>
      <c r="L2045" s="31">
        <f t="shared" si="2364"/>
        <v>0</v>
      </c>
      <c r="M2045" s="31">
        <f t="shared" si="2365"/>
        <v>0</v>
      </c>
      <c r="N2045" s="31">
        <f t="shared" si="2366"/>
        <v>0</v>
      </c>
      <c r="O2045" s="31">
        <f t="shared" si="2367"/>
        <v>0</v>
      </c>
      <c r="P2045" s="31">
        <f t="shared" si="2368"/>
        <v>0</v>
      </c>
      <c r="Q2045" s="49">
        <f t="shared" si="2369"/>
        <v>0</v>
      </c>
    </row>
    <row r="2046" spans="4:17" s="16" customFormat="1" ht="13.2" x14ac:dyDescent="0.25">
      <c r="D2046" s="235"/>
      <c r="E2046" s="240"/>
      <c r="F2046" s="241"/>
      <c r="G2046" s="242"/>
      <c r="H2046" s="239">
        <f t="shared" si="2360"/>
        <v>0</v>
      </c>
      <c r="I2046" s="131">
        <f t="shared" si="2361"/>
        <v>0</v>
      </c>
      <c r="J2046" s="31">
        <f t="shared" si="2362"/>
        <v>0</v>
      </c>
      <c r="K2046" s="31">
        <f t="shared" si="2363"/>
        <v>0</v>
      </c>
      <c r="L2046" s="31">
        <f t="shared" si="2364"/>
        <v>0</v>
      </c>
      <c r="M2046" s="31">
        <f t="shared" si="2365"/>
        <v>0</v>
      </c>
      <c r="N2046" s="31">
        <f t="shared" si="2366"/>
        <v>0</v>
      </c>
      <c r="O2046" s="31">
        <f t="shared" si="2367"/>
        <v>0</v>
      </c>
      <c r="P2046" s="31">
        <f t="shared" si="2368"/>
        <v>0</v>
      </c>
      <c r="Q2046" s="49">
        <f t="shared" si="2369"/>
        <v>0</v>
      </c>
    </row>
    <row r="2047" spans="4:17" s="16" customFormat="1" ht="13.2" x14ac:dyDescent="0.25">
      <c r="D2047" s="235"/>
      <c r="E2047" s="240"/>
      <c r="F2047" s="241"/>
      <c r="G2047" s="242"/>
      <c r="H2047" s="239">
        <f t="shared" si="2360"/>
        <v>0</v>
      </c>
      <c r="I2047" s="131">
        <f t="shared" si="2361"/>
        <v>0</v>
      </c>
      <c r="J2047" s="31">
        <f t="shared" si="2362"/>
        <v>0</v>
      </c>
      <c r="K2047" s="31">
        <f t="shared" si="2363"/>
        <v>0</v>
      </c>
      <c r="L2047" s="31">
        <f t="shared" si="2364"/>
        <v>0</v>
      </c>
      <c r="M2047" s="31">
        <f t="shared" si="2365"/>
        <v>0</v>
      </c>
      <c r="N2047" s="31">
        <f t="shared" si="2366"/>
        <v>0</v>
      </c>
      <c r="O2047" s="31">
        <f t="shared" si="2367"/>
        <v>0</v>
      </c>
      <c r="P2047" s="31">
        <f t="shared" si="2368"/>
        <v>0</v>
      </c>
      <c r="Q2047" s="49">
        <f t="shared" si="2369"/>
        <v>0</v>
      </c>
    </row>
    <row r="2048" spans="4:17" s="16" customFormat="1" ht="13.8" thickBot="1" x14ac:dyDescent="0.3">
      <c r="D2048" s="307"/>
      <c r="E2048" s="26"/>
      <c r="F2048" s="206"/>
      <c r="G2048" s="207"/>
      <c r="H2048" s="207"/>
      <c r="I2048" s="51"/>
      <c r="J2048" s="308"/>
      <c r="K2048" s="308"/>
      <c r="L2048" s="308"/>
      <c r="M2048" s="308"/>
      <c r="N2048" s="308"/>
      <c r="O2048" s="308"/>
      <c r="P2048" s="308"/>
      <c r="Q2048" s="309"/>
    </row>
    <row r="2049" spans="4:17" s="16" customFormat="1" ht="13.2" x14ac:dyDescent="0.25">
      <c r="D2049" s="796" t="s">
        <v>1680</v>
      </c>
      <c r="E2049" s="797"/>
      <c r="F2049" s="797"/>
      <c r="G2049" s="797"/>
      <c r="H2049" s="797"/>
      <c r="I2049" s="47">
        <f>SUM(I2050:I2059)</f>
        <v>0</v>
      </c>
      <c r="J2049" s="47">
        <f t="shared" ref="J2049:Q2049" si="2370">SUM(J2050:J2059)</f>
        <v>0</v>
      </c>
      <c r="K2049" s="47">
        <f t="shared" si="2370"/>
        <v>0</v>
      </c>
      <c r="L2049" s="47">
        <f t="shared" si="2370"/>
        <v>0</v>
      </c>
      <c r="M2049" s="47">
        <f t="shared" si="2370"/>
        <v>0</v>
      </c>
      <c r="N2049" s="47">
        <f t="shared" si="2370"/>
        <v>0</v>
      </c>
      <c r="O2049" s="47">
        <f t="shared" si="2370"/>
        <v>0</v>
      </c>
      <c r="P2049" s="47">
        <f t="shared" si="2370"/>
        <v>0</v>
      </c>
      <c r="Q2049" s="47">
        <f t="shared" si="2370"/>
        <v>0</v>
      </c>
    </row>
    <row r="2050" spans="4:17" s="16" customFormat="1" ht="13.2" x14ac:dyDescent="0.25">
      <c r="D2050" s="235"/>
      <c r="E2050" s="237"/>
      <c r="F2050" s="238"/>
      <c r="G2050" s="239"/>
      <c r="H2050" s="239">
        <f t="shared" ref="H2050:H2059" si="2371">E2050*G2050</f>
        <v>0</v>
      </c>
      <c r="I2050" s="131">
        <f t="shared" ref="I2050:I2059" si="2372">IF($F2050=4.2,H2050*$B$23,0)</f>
        <v>0</v>
      </c>
      <c r="J2050" s="31">
        <f t="shared" ref="J2050:J2059" si="2373">IF($F2050=5,$H2050*$B$24,0)</f>
        <v>0</v>
      </c>
      <c r="K2050" s="31">
        <f t="shared" ref="K2050:K2059" si="2374">IF($F2050=6.3,$H2050*$B$25,0)</f>
        <v>0</v>
      </c>
      <c r="L2050" s="31">
        <f t="shared" ref="L2050:L2059" si="2375">IF($F2050=8,$H2050*$B$26,0)</f>
        <v>0</v>
      </c>
      <c r="M2050" s="31">
        <f t="shared" ref="M2050:M2059" si="2376">IF($F2050=10,$H2050*$B$27,0)</f>
        <v>0</v>
      </c>
      <c r="N2050" s="31">
        <f t="shared" ref="N2050:N2059" si="2377">IF($F2050=12.5,$H2050*$B$28,0)</f>
        <v>0</v>
      </c>
      <c r="O2050" s="31">
        <f t="shared" ref="O2050:O2059" si="2378">IF($F2050=16,$H2050*$B$29,0)</f>
        <v>0</v>
      </c>
      <c r="P2050" s="31">
        <f t="shared" ref="P2050:P2059" si="2379">IF($F2050=20,$H2050*$B$30,0)</f>
        <v>0</v>
      </c>
      <c r="Q2050" s="49">
        <f t="shared" ref="Q2050:Q2059" si="2380">IF($F2050=25,$H2050*$B$31,0)</f>
        <v>0</v>
      </c>
    </row>
    <row r="2051" spans="4:17" s="16" customFormat="1" ht="13.2" x14ac:dyDescent="0.25">
      <c r="D2051" s="235"/>
      <c r="E2051" s="240"/>
      <c r="F2051" s="241"/>
      <c r="G2051" s="242"/>
      <c r="H2051" s="239">
        <f t="shared" si="2371"/>
        <v>0</v>
      </c>
      <c r="I2051" s="131">
        <f t="shared" si="2372"/>
        <v>0</v>
      </c>
      <c r="J2051" s="31">
        <f t="shared" si="2373"/>
        <v>0</v>
      </c>
      <c r="K2051" s="31">
        <f t="shared" si="2374"/>
        <v>0</v>
      </c>
      <c r="L2051" s="31">
        <f t="shared" si="2375"/>
        <v>0</v>
      </c>
      <c r="M2051" s="31">
        <f t="shared" si="2376"/>
        <v>0</v>
      </c>
      <c r="N2051" s="31">
        <f t="shared" si="2377"/>
        <v>0</v>
      </c>
      <c r="O2051" s="31">
        <f t="shared" si="2378"/>
        <v>0</v>
      </c>
      <c r="P2051" s="31">
        <f t="shared" si="2379"/>
        <v>0</v>
      </c>
      <c r="Q2051" s="49">
        <f t="shared" si="2380"/>
        <v>0</v>
      </c>
    </row>
    <row r="2052" spans="4:17" s="16" customFormat="1" ht="13.2" x14ac:dyDescent="0.25">
      <c r="D2052" s="235"/>
      <c r="E2052" s="240"/>
      <c r="F2052" s="241"/>
      <c r="G2052" s="242"/>
      <c r="H2052" s="239">
        <f t="shared" si="2371"/>
        <v>0</v>
      </c>
      <c r="I2052" s="131">
        <f t="shared" si="2372"/>
        <v>0</v>
      </c>
      <c r="J2052" s="31">
        <f t="shared" si="2373"/>
        <v>0</v>
      </c>
      <c r="K2052" s="31">
        <f t="shared" si="2374"/>
        <v>0</v>
      </c>
      <c r="L2052" s="31">
        <f t="shared" si="2375"/>
        <v>0</v>
      </c>
      <c r="M2052" s="31">
        <f t="shared" si="2376"/>
        <v>0</v>
      </c>
      <c r="N2052" s="31">
        <f t="shared" si="2377"/>
        <v>0</v>
      </c>
      <c r="O2052" s="31">
        <f t="shared" si="2378"/>
        <v>0</v>
      </c>
      <c r="P2052" s="31">
        <f t="shared" si="2379"/>
        <v>0</v>
      </c>
      <c r="Q2052" s="49">
        <f t="shared" si="2380"/>
        <v>0</v>
      </c>
    </row>
    <row r="2053" spans="4:17" s="16" customFormat="1" ht="13.2" x14ac:dyDescent="0.25">
      <c r="D2053" s="235"/>
      <c r="E2053" s="240"/>
      <c r="F2053" s="241"/>
      <c r="G2053" s="242"/>
      <c r="H2053" s="239">
        <f t="shared" si="2371"/>
        <v>0</v>
      </c>
      <c r="I2053" s="131">
        <f t="shared" si="2372"/>
        <v>0</v>
      </c>
      <c r="J2053" s="31">
        <f t="shared" si="2373"/>
        <v>0</v>
      </c>
      <c r="K2053" s="31">
        <f t="shared" si="2374"/>
        <v>0</v>
      </c>
      <c r="L2053" s="31">
        <f t="shared" si="2375"/>
        <v>0</v>
      </c>
      <c r="M2053" s="31">
        <f t="shared" si="2376"/>
        <v>0</v>
      </c>
      <c r="N2053" s="31">
        <f t="shared" si="2377"/>
        <v>0</v>
      </c>
      <c r="O2053" s="31">
        <f t="shared" si="2378"/>
        <v>0</v>
      </c>
      <c r="P2053" s="31">
        <f t="shared" si="2379"/>
        <v>0</v>
      </c>
      <c r="Q2053" s="49">
        <f t="shared" si="2380"/>
        <v>0</v>
      </c>
    </row>
    <row r="2054" spans="4:17" s="16" customFormat="1" ht="13.2" x14ac:dyDescent="0.25">
      <c r="D2054" s="235"/>
      <c r="E2054" s="240"/>
      <c r="F2054" s="241"/>
      <c r="G2054" s="242"/>
      <c r="H2054" s="239">
        <f t="shared" si="2371"/>
        <v>0</v>
      </c>
      <c r="I2054" s="131">
        <f t="shared" si="2372"/>
        <v>0</v>
      </c>
      <c r="J2054" s="31">
        <f t="shared" si="2373"/>
        <v>0</v>
      </c>
      <c r="K2054" s="31">
        <f t="shared" si="2374"/>
        <v>0</v>
      </c>
      <c r="L2054" s="31">
        <f t="shared" si="2375"/>
        <v>0</v>
      </c>
      <c r="M2054" s="31">
        <f t="shared" si="2376"/>
        <v>0</v>
      </c>
      <c r="N2054" s="31">
        <f t="shared" si="2377"/>
        <v>0</v>
      </c>
      <c r="O2054" s="31">
        <f t="shared" si="2378"/>
        <v>0</v>
      </c>
      <c r="P2054" s="31">
        <f t="shared" si="2379"/>
        <v>0</v>
      </c>
      <c r="Q2054" s="49">
        <f t="shared" si="2380"/>
        <v>0</v>
      </c>
    </row>
    <row r="2055" spans="4:17" s="16" customFormat="1" ht="13.2" x14ac:dyDescent="0.25">
      <c r="D2055" s="235"/>
      <c r="E2055" s="240"/>
      <c r="F2055" s="241"/>
      <c r="G2055" s="242"/>
      <c r="H2055" s="239">
        <f t="shared" si="2371"/>
        <v>0</v>
      </c>
      <c r="I2055" s="131">
        <f t="shared" si="2372"/>
        <v>0</v>
      </c>
      <c r="J2055" s="31">
        <f t="shared" si="2373"/>
        <v>0</v>
      </c>
      <c r="K2055" s="31">
        <f t="shared" si="2374"/>
        <v>0</v>
      </c>
      <c r="L2055" s="31">
        <f t="shared" si="2375"/>
        <v>0</v>
      </c>
      <c r="M2055" s="31">
        <f t="shared" si="2376"/>
        <v>0</v>
      </c>
      <c r="N2055" s="31">
        <f t="shared" si="2377"/>
        <v>0</v>
      </c>
      <c r="O2055" s="31">
        <f t="shared" si="2378"/>
        <v>0</v>
      </c>
      <c r="P2055" s="31">
        <f t="shared" si="2379"/>
        <v>0</v>
      </c>
      <c r="Q2055" s="49">
        <f t="shared" si="2380"/>
        <v>0</v>
      </c>
    </row>
    <row r="2056" spans="4:17" s="16" customFormat="1" ht="13.2" x14ac:dyDescent="0.25">
      <c r="D2056" s="235"/>
      <c r="E2056" s="240"/>
      <c r="F2056" s="241"/>
      <c r="G2056" s="242"/>
      <c r="H2056" s="239">
        <f t="shared" si="2371"/>
        <v>0</v>
      </c>
      <c r="I2056" s="131">
        <f t="shared" si="2372"/>
        <v>0</v>
      </c>
      <c r="J2056" s="31">
        <f t="shared" si="2373"/>
        <v>0</v>
      </c>
      <c r="K2056" s="31">
        <f t="shared" si="2374"/>
        <v>0</v>
      </c>
      <c r="L2056" s="31">
        <f t="shared" si="2375"/>
        <v>0</v>
      </c>
      <c r="M2056" s="31">
        <f t="shared" si="2376"/>
        <v>0</v>
      </c>
      <c r="N2056" s="31">
        <f t="shared" si="2377"/>
        <v>0</v>
      </c>
      <c r="O2056" s="31">
        <f t="shared" si="2378"/>
        <v>0</v>
      </c>
      <c r="P2056" s="31">
        <f t="shared" si="2379"/>
        <v>0</v>
      </c>
      <c r="Q2056" s="49">
        <f t="shared" si="2380"/>
        <v>0</v>
      </c>
    </row>
    <row r="2057" spans="4:17" s="16" customFormat="1" ht="13.2" x14ac:dyDescent="0.25">
      <c r="D2057" s="235"/>
      <c r="E2057" s="240"/>
      <c r="F2057" s="241"/>
      <c r="G2057" s="242"/>
      <c r="H2057" s="239">
        <f t="shared" si="2371"/>
        <v>0</v>
      </c>
      <c r="I2057" s="131">
        <f t="shared" si="2372"/>
        <v>0</v>
      </c>
      <c r="J2057" s="31">
        <f t="shared" si="2373"/>
        <v>0</v>
      </c>
      <c r="K2057" s="31">
        <f t="shared" si="2374"/>
        <v>0</v>
      </c>
      <c r="L2057" s="31">
        <f t="shared" si="2375"/>
        <v>0</v>
      </c>
      <c r="M2057" s="31">
        <f t="shared" si="2376"/>
        <v>0</v>
      </c>
      <c r="N2057" s="31">
        <f t="shared" si="2377"/>
        <v>0</v>
      </c>
      <c r="O2057" s="31">
        <f t="shared" si="2378"/>
        <v>0</v>
      </c>
      <c r="P2057" s="31">
        <f t="shared" si="2379"/>
        <v>0</v>
      </c>
      <c r="Q2057" s="49">
        <f t="shared" si="2380"/>
        <v>0</v>
      </c>
    </row>
    <row r="2058" spans="4:17" s="16" customFormat="1" ht="13.2" x14ac:dyDescent="0.25">
      <c r="D2058" s="235"/>
      <c r="E2058" s="240"/>
      <c r="F2058" s="241"/>
      <c r="G2058" s="242"/>
      <c r="H2058" s="239">
        <f t="shared" si="2371"/>
        <v>0</v>
      </c>
      <c r="I2058" s="131">
        <f t="shared" si="2372"/>
        <v>0</v>
      </c>
      <c r="J2058" s="31">
        <f t="shared" si="2373"/>
        <v>0</v>
      </c>
      <c r="K2058" s="31">
        <f t="shared" si="2374"/>
        <v>0</v>
      </c>
      <c r="L2058" s="31">
        <f t="shared" si="2375"/>
        <v>0</v>
      </c>
      <c r="M2058" s="31">
        <f t="shared" si="2376"/>
        <v>0</v>
      </c>
      <c r="N2058" s="31">
        <f t="shared" si="2377"/>
        <v>0</v>
      </c>
      <c r="O2058" s="31">
        <f t="shared" si="2378"/>
        <v>0</v>
      </c>
      <c r="P2058" s="31">
        <f t="shared" si="2379"/>
        <v>0</v>
      </c>
      <c r="Q2058" s="49">
        <f t="shared" si="2380"/>
        <v>0</v>
      </c>
    </row>
    <row r="2059" spans="4:17" s="16" customFormat="1" ht="13.2" x14ac:dyDescent="0.25">
      <c r="D2059" s="235"/>
      <c r="E2059" s="240"/>
      <c r="F2059" s="241"/>
      <c r="G2059" s="242"/>
      <c r="H2059" s="239">
        <f t="shared" si="2371"/>
        <v>0</v>
      </c>
      <c r="I2059" s="131">
        <f t="shared" si="2372"/>
        <v>0</v>
      </c>
      <c r="J2059" s="31">
        <f t="shared" si="2373"/>
        <v>0</v>
      </c>
      <c r="K2059" s="31">
        <f t="shared" si="2374"/>
        <v>0</v>
      </c>
      <c r="L2059" s="31">
        <f t="shared" si="2375"/>
        <v>0</v>
      </c>
      <c r="M2059" s="31">
        <f t="shared" si="2376"/>
        <v>0</v>
      </c>
      <c r="N2059" s="31">
        <f t="shared" si="2377"/>
        <v>0</v>
      </c>
      <c r="O2059" s="31">
        <f t="shared" si="2378"/>
        <v>0</v>
      </c>
      <c r="P2059" s="31">
        <f t="shared" si="2379"/>
        <v>0</v>
      </c>
      <c r="Q2059" s="49">
        <f t="shared" si="2380"/>
        <v>0</v>
      </c>
    </row>
    <row r="2060" spans="4:17" s="16" customFormat="1" ht="13.8" thickBot="1" x14ac:dyDescent="0.3">
      <c r="D2060" s="307"/>
      <c r="E2060" s="26"/>
      <c r="F2060" s="206"/>
      <c r="G2060" s="207"/>
      <c r="H2060" s="207"/>
      <c r="I2060" s="51"/>
      <c r="J2060" s="308"/>
      <c r="K2060" s="308"/>
      <c r="L2060" s="308"/>
      <c r="M2060" s="308"/>
      <c r="N2060" s="308"/>
      <c r="O2060" s="308"/>
      <c r="P2060" s="308"/>
      <c r="Q2060" s="309"/>
    </row>
    <row r="2061" spans="4:17" s="16" customFormat="1" ht="13.2" x14ac:dyDescent="0.25">
      <c r="D2061" s="796" t="s">
        <v>1680</v>
      </c>
      <c r="E2061" s="797"/>
      <c r="F2061" s="797"/>
      <c r="G2061" s="797"/>
      <c r="H2061" s="797"/>
      <c r="I2061" s="47">
        <f>SUM(I2062:I2071)</f>
        <v>0</v>
      </c>
      <c r="J2061" s="47">
        <f t="shared" ref="J2061:Q2061" si="2381">SUM(J2062:J2071)</f>
        <v>0</v>
      </c>
      <c r="K2061" s="47">
        <f t="shared" si="2381"/>
        <v>0</v>
      </c>
      <c r="L2061" s="47">
        <f t="shared" si="2381"/>
        <v>0</v>
      </c>
      <c r="M2061" s="47">
        <f t="shared" si="2381"/>
        <v>0</v>
      </c>
      <c r="N2061" s="47">
        <f t="shared" si="2381"/>
        <v>0</v>
      </c>
      <c r="O2061" s="47">
        <f t="shared" si="2381"/>
        <v>0</v>
      </c>
      <c r="P2061" s="47">
        <f t="shared" si="2381"/>
        <v>0</v>
      </c>
      <c r="Q2061" s="47">
        <f t="shared" si="2381"/>
        <v>0</v>
      </c>
    </row>
    <row r="2062" spans="4:17" s="16" customFormat="1" ht="13.2" x14ac:dyDescent="0.25">
      <c r="D2062" s="235"/>
      <c r="E2062" s="237"/>
      <c r="F2062" s="238"/>
      <c r="G2062" s="239"/>
      <c r="H2062" s="239">
        <f t="shared" ref="H2062:H2071" si="2382">E2062*G2062</f>
        <v>0</v>
      </c>
      <c r="I2062" s="131">
        <f t="shared" ref="I2062:I2071" si="2383">IF($F2062=4.2,H2062*$B$23,0)</f>
        <v>0</v>
      </c>
      <c r="J2062" s="31">
        <f t="shared" ref="J2062:J2071" si="2384">IF($F2062=5,$H2062*$B$24,0)</f>
        <v>0</v>
      </c>
      <c r="K2062" s="31">
        <f t="shared" ref="K2062:K2071" si="2385">IF($F2062=6.3,$H2062*$B$25,0)</f>
        <v>0</v>
      </c>
      <c r="L2062" s="31">
        <f t="shared" ref="L2062:L2071" si="2386">IF($F2062=8,$H2062*$B$26,0)</f>
        <v>0</v>
      </c>
      <c r="M2062" s="31">
        <f t="shared" ref="M2062:M2071" si="2387">IF($F2062=10,$H2062*$B$27,0)</f>
        <v>0</v>
      </c>
      <c r="N2062" s="31">
        <f t="shared" ref="N2062:N2071" si="2388">IF($F2062=12.5,$H2062*$B$28,0)</f>
        <v>0</v>
      </c>
      <c r="O2062" s="31">
        <f t="shared" ref="O2062:O2071" si="2389">IF($F2062=16,$H2062*$B$29,0)</f>
        <v>0</v>
      </c>
      <c r="P2062" s="31">
        <f t="shared" ref="P2062:P2071" si="2390">IF($F2062=20,$H2062*$B$30,0)</f>
        <v>0</v>
      </c>
      <c r="Q2062" s="49">
        <f t="shared" ref="Q2062:Q2071" si="2391">IF($F2062=25,$H2062*$B$31,0)</f>
        <v>0</v>
      </c>
    </row>
    <row r="2063" spans="4:17" s="16" customFormat="1" ht="13.2" x14ac:dyDescent="0.25">
      <c r="D2063" s="235"/>
      <c r="E2063" s="240"/>
      <c r="F2063" s="241"/>
      <c r="G2063" s="242"/>
      <c r="H2063" s="239">
        <f t="shared" si="2382"/>
        <v>0</v>
      </c>
      <c r="I2063" s="131">
        <f t="shared" si="2383"/>
        <v>0</v>
      </c>
      <c r="J2063" s="31">
        <f t="shared" si="2384"/>
        <v>0</v>
      </c>
      <c r="K2063" s="31">
        <f t="shared" si="2385"/>
        <v>0</v>
      </c>
      <c r="L2063" s="31">
        <f t="shared" si="2386"/>
        <v>0</v>
      </c>
      <c r="M2063" s="31">
        <f t="shared" si="2387"/>
        <v>0</v>
      </c>
      <c r="N2063" s="31">
        <f t="shared" si="2388"/>
        <v>0</v>
      </c>
      <c r="O2063" s="31">
        <f t="shared" si="2389"/>
        <v>0</v>
      </c>
      <c r="P2063" s="31">
        <f t="shared" si="2390"/>
        <v>0</v>
      </c>
      <c r="Q2063" s="49">
        <f t="shared" si="2391"/>
        <v>0</v>
      </c>
    </row>
    <row r="2064" spans="4:17" s="16" customFormat="1" ht="13.2" x14ac:dyDescent="0.25">
      <c r="D2064" s="235"/>
      <c r="E2064" s="240"/>
      <c r="F2064" s="241"/>
      <c r="G2064" s="242"/>
      <c r="H2064" s="239">
        <f t="shared" si="2382"/>
        <v>0</v>
      </c>
      <c r="I2064" s="131">
        <f t="shared" si="2383"/>
        <v>0</v>
      </c>
      <c r="J2064" s="31">
        <f t="shared" si="2384"/>
        <v>0</v>
      </c>
      <c r="K2064" s="31">
        <f t="shared" si="2385"/>
        <v>0</v>
      </c>
      <c r="L2064" s="31">
        <f t="shared" si="2386"/>
        <v>0</v>
      </c>
      <c r="M2064" s="31">
        <f t="shared" si="2387"/>
        <v>0</v>
      </c>
      <c r="N2064" s="31">
        <f t="shared" si="2388"/>
        <v>0</v>
      </c>
      <c r="O2064" s="31">
        <f t="shared" si="2389"/>
        <v>0</v>
      </c>
      <c r="P2064" s="31">
        <f t="shared" si="2390"/>
        <v>0</v>
      </c>
      <c r="Q2064" s="49">
        <f t="shared" si="2391"/>
        <v>0</v>
      </c>
    </row>
    <row r="2065" spans="4:17" s="16" customFormat="1" ht="13.2" x14ac:dyDescent="0.25">
      <c r="D2065" s="235"/>
      <c r="E2065" s="240"/>
      <c r="F2065" s="241"/>
      <c r="G2065" s="242"/>
      <c r="H2065" s="239">
        <f t="shared" si="2382"/>
        <v>0</v>
      </c>
      <c r="I2065" s="131">
        <f t="shared" si="2383"/>
        <v>0</v>
      </c>
      <c r="J2065" s="31">
        <f t="shared" si="2384"/>
        <v>0</v>
      </c>
      <c r="K2065" s="31">
        <f t="shared" si="2385"/>
        <v>0</v>
      </c>
      <c r="L2065" s="31">
        <f t="shared" si="2386"/>
        <v>0</v>
      </c>
      <c r="M2065" s="31">
        <f t="shared" si="2387"/>
        <v>0</v>
      </c>
      <c r="N2065" s="31">
        <f t="shared" si="2388"/>
        <v>0</v>
      </c>
      <c r="O2065" s="31">
        <f t="shared" si="2389"/>
        <v>0</v>
      </c>
      <c r="P2065" s="31">
        <f t="shared" si="2390"/>
        <v>0</v>
      </c>
      <c r="Q2065" s="49">
        <f t="shared" si="2391"/>
        <v>0</v>
      </c>
    </row>
    <row r="2066" spans="4:17" s="16" customFormat="1" ht="13.2" x14ac:dyDescent="0.25">
      <c r="D2066" s="235"/>
      <c r="E2066" s="240"/>
      <c r="F2066" s="241"/>
      <c r="G2066" s="242"/>
      <c r="H2066" s="239">
        <f t="shared" si="2382"/>
        <v>0</v>
      </c>
      <c r="I2066" s="131">
        <f t="shared" si="2383"/>
        <v>0</v>
      </c>
      <c r="J2066" s="31">
        <f t="shared" si="2384"/>
        <v>0</v>
      </c>
      <c r="K2066" s="31">
        <f t="shared" si="2385"/>
        <v>0</v>
      </c>
      <c r="L2066" s="31">
        <f t="shared" si="2386"/>
        <v>0</v>
      </c>
      <c r="M2066" s="31">
        <f t="shared" si="2387"/>
        <v>0</v>
      </c>
      <c r="N2066" s="31">
        <f t="shared" si="2388"/>
        <v>0</v>
      </c>
      <c r="O2066" s="31">
        <f t="shared" si="2389"/>
        <v>0</v>
      </c>
      <c r="P2066" s="31">
        <f t="shared" si="2390"/>
        <v>0</v>
      </c>
      <c r="Q2066" s="49">
        <f t="shared" si="2391"/>
        <v>0</v>
      </c>
    </row>
    <row r="2067" spans="4:17" s="16" customFormat="1" ht="13.2" x14ac:dyDescent="0.25">
      <c r="D2067" s="235"/>
      <c r="E2067" s="240"/>
      <c r="F2067" s="241"/>
      <c r="G2067" s="242"/>
      <c r="H2067" s="239">
        <f t="shared" si="2382"/>
        <v>0</v>
      </c>
      <c r="I2067" s="131">
        <f t="shared" si="2383"/>
        <v>0</v>
      </c>
      <c r="J2067" s="31">
        <f t="shared" si="2384"/>
        <v>0</v>
      </c>
      <c r="K2067" s="31">
        <f t="shared" si="2385"/>
        <v>0</v>
      </c>
      <c r="L2067" s="31">
        <f t="shared" si="2386"/>
        <v>0</v>
      </c>
      <c r="M2067" s="31">
        <f t="shared" si="2387"/>
        <v>0</v>
      </c>
      <c r="N2067" s="31">
        <f t="shared" si="2388"/>
        <v>0</v>
      </c>
      <c r="O2067" s="31">
        <f t="shared" si="2389"/>
        <v>0</v>
      </c>
      <c r="P2067" s="31">
        <f t="shared" si="2390"/>
        <v>0</v>
      </c>
      <c r="Q2067" s="49">
        <f t="shared" si="2391"/>
        <v>0</v>
      </c>
    </row>
    <row r="2068" spans="4:17" s="16" customFormat="1" ht="13.2" x14ac:dyDescent="0.25">
      <c r="D2068" s="235"/>
      <c r="E2068" s="240"/>
      <c r="F2068" s="241"/>
      <c r="G2068" s="242"/>
      <c r="H2068" s="239">
        <f t="shared" si="2382"/>
        <v>0</v>
      </c>
      <c r="I2068" s="131">
        <f t="shared" si="2383"/>
        <v>0</v>
      </c>
      <c r="J2068" s="31">
        <f t="shared" si="2384"/>
        <v>0</v>
      </c>
      <c r="K2068" s="31">
        <f t="shared" si="2385"/>
        <v>0</v>
      </c>
      <c r="L2068" s="31">
        <f t="shared" si="2386"/>
        <v>0</v>
      </c>
      <c r="M2068" s="31">
        <f t="shared" si="2387"/>
        <v>0</v>
      </c>
      <c r="N2068" s="31">
        <f t="shared" si="2388"/>
        <v>0</v>
      </c>
      <c r="O2068" s="31">
        <f t="shared" si="2389"/>
        <v>0</v>
      </c>
      <c r="P2068" s="31">
        <f t="shared" si="2390"/>
        <v>0</v>
      </c>
      <c r="Q2068" s="49">
        <f t="shared" si="2391"/>
        <v>0</v>
      </c>
    </row>
    <row r="2069" spans="4:17" s="16" customFormat="1" ht="13.2" x14ac:dyDescent="0.25">
      <c r="D2069" s="235"/>
      <c r="E2069" s="240"/>
      <c r="F2069" s="241"/>
      <c r="G2069" s="242"/>
      <c r="H2069" s="239">
        <f t="shared" si="2382"/>
        <v>0</v>
      </c>
      <c r="I2069" s="131">
        <f t="shared" si="2383"/>
        <v>0</v>
      </c>
      <c r="J2069" s="31">
        <f t="shared" si="2384"/>
        <v>0</v>
      </c>
      <c r="K2069" s="31">
        <f t="shared" si="2385"/>
        <v>0</v>
      </c>
      <c r="L2069" s="31">
        <f t="shared" si="2386"/>
        <v>0</v>
      </c>
      <c r="M2069" s="31">
        <f t="shared" si="2387"/>
        <v>0</v>
      </c>
      <c r="N2069" s="31">
        <f t="shared" si="2388"/>
        <v>0</v>
      </c>
      <c r="O2069" s="31">
        <f t="shared" si="2389"/>
        <v>0</v>
      </c>
      <c r="P2069" s="31">
        <f t="shared" si="2390"/>
        <v>0</v>
      </c>
      <c r="Q2069" s="49">
        <f t="shared" si="2391"/>
        <v>0</v>
      </c>
    </row>
    <row r="2070" spans="4:17" s="16" customFormat="1" ht="13.2" x14ac:dyDescent="0.25">
      <c r="D2070" s="235"/>
      <c r="E2070" s="240"/>
      <c r="F2070" s="241"/>
      <c r="G2070" s="242"/>
      <c r="H2070" s="239">
        <f t="shared" si="2382"/>
        <v>0</v>
      </c>
      <c r="I2070" s="131">
        <f t="shared" si="2383"/>
        <v>0</v>
      </c>
      <c r="J2070" s="31">
        <f t="shared" si="2384"/>
        <v>0</v>
      </c>
      <c r="K2070" s="31">
        <f t="shared" si="2385"/>
        <v>0</v>
      </c>
      <c r="L2070" s="31">
        <f t="shared" si="2386"/>
        <v>0</v>
      </c>
      <c r="M2070" s="31">
        <f t="shared" si="2387"/>
        <v>0</v>
      </c>
      <c r="N2070" s="31">
        <f t="shared" si="2388"/>
        <v>0</v>
      </c>
      <c r="O2070" s="31">
        <f t="shared" si="2389"/>
        <v>0</v>
      </c>
      <c r="P2070" s="31">
        <f t="shared" si="2390"/>
        <v>0</v>
      </c>
      <c r="Q2070" s="49">
        <f t="shared" si="2391"/>
        <v>0</v>
      </c>
    </row>
    <row r="2071" spans="4:17" s="16" customFormat="1" ht="13.2" x14ac:dyDescent="0.25">
      <c r="D2071" s="235"/>
      <c r="E2071" s="240"/>
      <c r="F2071" s="241"/>
      <c r="G2071" s="242"/>
      <c r="H2071" s="239">
        <f t="shared" si="2382"/>
        <v>0</v>
      </c>
      <c r="I2071" s="131">
        <f t="shared" si="2383"/>
        <v>0</v>
      </c>
      <c r="J2071" s="31">
        <f t="shared" si="2384"/>
        <v>0</v>
      </c>
      <c r="K2071" s="31">
        <f t="shared" si="2385"/>
        <v>0</v>
      </c>
      <c r="L2071" s="31">
        <f t="shared" si="2386"/>
        <v>0</v>
      </c>
      <c r="M2071" s="31">
        <f t="shared" si="2387"/>
        <v>0</v>
      </c>
      <c r="N2071" s="31">
        <f t="shared" si="2388"/>
        <v>0</v>
      </c>
      <c r="O2071" s="31">
        <f t="shared" si="2389"/>
        <v>0</v>
      </c>
      <c r="P2071" s="31">
        <f t="shared" si="2390"/>
        <v>0</v>
      </c>
      <c r="Q2071" s="49">
        <f t="shared" si="2391"/>
        <v>0</v>
      </c>
    </row>
    <row r="2072" spans="4:17" s="16" customFormat="1" ht="13.8" thickBot="1" x14ac:dyDescent="0.3">
      <c r="D2072" s="307"/>
      <c r="E2072" s="26"/>
      <c r="F2072" s="206"/>
      <c r="G2072" s="207"/>
      <c r="H2072" s="207"/>
      <c r="I2072" s="51"/>
      <c r="J2072" s="308"/>
      <c r="K2072" s="308"/>
      <c r="L2072" s="308"/>
      <c r="M2072" s="308"/>
      <c r="N2072" s="308"/>
      <c r="O2072" s="308"/>
      <c r="P2072" s="308"/>
      <c r="Q2072" s="309"/>
    </row>
    <row r="2073" spans="4:17" s="16" customFormat="1" ht="13.2" x14ac:dyDescent="0.25">
      <c r="D2073" s="796" t="s">
        <v>1680</v>
      </c>
      <c r="E2073" s="797"/>
      <c r="F2073" s="797"/>
      <c r="G2073" s="797"/>
      <c r="H2073" s="797"/>
      <c r="I2073" s="47">
        <f>SUM(I2074:I2083)</f>
        <v>0</v>
      </c>
      <c r="J2073" s="47">
        <f t="shared" ref="J2073:Q2073" si="2392">SUM(J2074:J2083)</f>
        <v>0</v>
      </c>
      <c r="K2073" s="47">
        <f t="shared" si="2392"/>
        <v>0</v>
      </c>
      <c r="L2073" s="47">
        <f t="shared" si="2392"/>
        <v>0</v>
      </c>
      <c r="M2073" s="47">
        <f t="shared" si="2392"/>
        <v>0</v>
      </c>
      <c r="N2073" s="47">
        <f t="shared" si="2392"/>
        <v>0</v>
      </c>
      <c r="O2073" s="47">
        <f t="shared" si="2392"/>
        <v>0</v>
      </c>
      <c r="P2073" s="47">
        <f t="shared" si="2392"/>
        <v>0</v>
      </c>
      <c r="Q2073" s="47">
        <f t="shared" si="2392"/>
        <v>0</v>
      </c>
    </row>
    <row r="2074" spans="4:17" s="16" customFormat="1" ht="13.2" x14ac:dyDescent="0.25">
      <c r="D2074" s="235"/>
      <c r="E2074" s="237"/>
      <c r="F2074" s="238"/>
      <c r="G2074" s="239"/>
      <c r="H2074" s="239">
        <f t="shared" ref="H2074:H2083" si="2393">E2074*G2074</f>
        <v>0</v>
      </c>
      <c r="I2074" s="131">
        <f t="shared" ref="I2074:I2083" si="2394">IF($F2074=4.2,H2074*$B$23,0)</f>
        <v>0</v>
      </c>
      <c r="J2074" s="31">
        <f t="shared" ref="J2074:J2083" si="2395">IF($F2074=5,$H2074*$B$24,0)</f>
        <v>0</v>
      </c>
      <c r="K2074" s="31">
        <f t="shared" ref="K2074:K2083" si="2396">IF($F2074=6.3,$H2074*$B$25,0)</f>
        <v>0</v>
      </c>
      <c r="L2074" s="31">
        <f t="shared" ref="L2074:L2083" si="2397">IF($F2074=8,$H2074*$B$26,0)</f>
        <v>0</v>
      </c>
      <c r="M2074" s="31">
        <f t="shared" ref="M2074:M2083" si="2398">IF($F2074=10,$H2074*$B$27,0)</f>
        <v>0</v>
      </c>
      <c r="N2074" s="31">
        <f t="shared" ref="N2074:N2083" si="2399">IF($F2074=12.5,$H2074*$B$28,0)</f>
        <v>0</v>
      </c>
      <c r="O2074" s="31">
        <f t="shared" ref="O2074:O2083" si="2400">IF($F2074=16,$H2074*$B$29,0)</f>
        <v>0</v>
      </c>
      <c r="P2074" s="31">
        <f t="shared" ref="P2074:P2083" si="2401">IF($F2074=20,$H2074*$B$30,0)</f>
        <v>0</v>
      </c>
      <c r="Q2074" s="49">
        <f t="shared" ref="Q2074:Q2083" si="2402">IF($F2074=25,$H2074*$B$31,0)</f>
        <v>0</v>
      </c>
    </row>
    <row r="2075" spans="4:17" s="16" customFormat="1" ht="13.2" x14ac:dyDescent="0.25">
      <c r="D2075" s="235"/>
      <c r="E2075" s="240"/>
      <c r="F2075" s="241"/>
      <c r="G2075" s="242"/>
      <c r="H2075" s="239">
        <f t="shared" si="2393"/>
        <v>0</v>
      </c>
      <c r="I2075" s="131">
        <f t="shared" si="2394"/>
        <v>0</v>
      </c>
      <c r="J2075" s="31">
        <f t="shared" si="2395"/>
        <v>0</v>
      </c>
      <c r="K2075" s="31">
        <f t="shared" si="2396"/>
        <v>0</v>
      </c>
      <c r="L2075" s="31">
        <f t="shared" si="2397"/>
        <v>0</v>
      </c>
      <c r="M2075" s="31">
        <f t="shared" si="2398"/>
        <v>0</v>
      </c>
      <c r="N2075" s="31">
        <f t="shared" si="2399"/>
        <v>0</v>
      </c>
      <c r="O2075" s="31">
        <f t="shared" si="2400"/>
        <v>0</v>
      </c>
      <c r="P2075" s="31">
        <f t="shared" si="2401"/>
        <v>0</v>
      </c>
      <c r="Q2075" s="49">
        <f t="shared" si="2402"/>
        <v>0</v>
      </c>
    </row>
    <row r="2076" spans="4:17" s="16" customFormat="1" ht="13.2" x14ac:dyDescent="0.25">
      <c r="D2076" s="235"/>
      <c r="E2076" s="240"/>
      <c r="F2076" s="241"/>
      <c r="G2076" s="242"/>
      <c r="H2076" s="239">
        <f t="shared" si="2393"/>
        <v>0</v>
      </c>
      <c r="I2076" s="131">
        <f t="shared" si="2394"/>
        <v>0</v>
      </c>
      <c r="J2076" s="31">
        <f t="shared" si="2395"/>
        <v>0</v>
      </c>
      <c r="K2076" s="31">
        <f t="shared" si="2396"/>
        <v>0</v>
      </c>
      <c r="L2076" s="31">
        <f t="shared" si="2397"/>
        <v>0</v>
      </c>
      <c r="M2076" s="31">
        <f t="shared" si="2398"/>
        <v>0</v>
      </c>
      <c r="N2076" s="31">
        <f t="shared" si="2399"/>
        <v>0</v>
      </c>
      <c r="O2076" s="31">
        <f t="shared" si="2400"/>
        <v>0</v>
      </c>
      <c r="P2076" s="31">
        <f t="shared" si="2401"/>
        <v>0</v>
      </c>
      <c r="Q2076" s="49">
        <f t="shared" si="2402"/>
        <v>0</v>
      </c>
    </row>
    <row r="2077" spans="4:17" s="16" customFormat="1" ht="13.2" x14ac:dyDescent="0.25">
      <c r="D2077" s="235"/>
      <c r="E2077" s="240"/>
      <c r="F2077" s="241"/>
      <c r="G2077" s="242"/>
      <c r="H2077" s="239">
        <f t="shared" si="2393"/>
        <v>0</v>
      </c>
      <c r="I2077" s="131">
        <f t="shared" si="2394"/>
        <v>0</v>
      </c>
      <c r="J2077" s="31">
        <f t="shared" si="2395"/>
        <v>0</v>
      </c>
      <c r="K2077" s="31">
        <f t="shared" si="2396"/>
        <v>0</v>
      </c>
      <c r="L2077" s="31">
        <f t="shared" si="2397"/>
        <v>0</v>
      </c>
      <c r="M2077" s="31">
        <f t="shared" si="2398"/>
        <v>0</v>
      </c>
      <c r="N2077" s="31">
        <f t="shared" si="2399"/>
        <v>0</v>
      </c>
      <c r="O2077" s="31">
        <f t="shared" si="2400"/>
        <v>0</v>
      </c>
      <c r="P2077" s="31">
        <f t="shared" si="2401"/>
        <v>0</v>
      </c>
      <c r="Q2077" s="49">
        <f t="shared" si="2402"/>
        <v>0</v>
      </c>
    </row>
    <row r="2078" spans="4:17" s="16" customFormat="1" ht="13.2" x14ac:dyDescent="0.25">
      <c r="D2078" s="235"/>
      <c r="E2078" s="240"/>
      <c r="F2078" s="241"/>
      <c r="G2078" s="242"/>
      <c r="H2078" s="239">
        <f t="shared" si="2393"/>
        <v>0</v>
      </c>
      <c r="I2078" s="131">
        <f t="shared" si="2394"/>
        <v>0</v>
      </c>
      <c r="J2078" s="31">
        <f t="shared" si="2395"/>
        <v>0</v>
      </c>
      <c r="K2078" s="31">
        <f t="shared" si="2396"/>
        <v>0</v>
      </c>
      <c r="L2078" s="31">
        <f t="shared" si="2397"/>
        <v>0</v>
      </c>
      <c r="M2078" s="31">
        <f t="shared" si="2398"/>
        <v>0</v>
      </c>
      <c r="N2078" s="31">
        <f t="shared" si="2399"/>
        <v>0</v>
      </c>
      <c r="O2078" s="31">
        <f t="shared" si="2400"/>
        <v>0</v>
      </c>
      <c r="P2078" s="31">
        <f t="shared" si="2401"/>
        <v>0</v>
      </c>
      <c r="Q2078" s="49">
        <f t="shared" si="2402"/>
        <v>0</v>
      </c>
    </row>
    <row r="2079" spans="4:17" s="16" customFormat="1" ht="13.2" x14ac:dyDescent="0.25">
      <c r="D2079" s="235"/>
      <c r="E2079" s="240"/>
      <c r="F2079" s="241"/>
      <c r="G2079" s="242"/>
      <c r="H2079" s="239">
        <f t="shared" si="2393"/>
        <v>0</v>
      </c>
      <c r="I2079" s="131">
        <f t="shared" si="2394"/>
        <v>0</v>
      </c>
      <c r="J2079" s="31">
        <f t="shared" si="2395"/>
        <v>0</v>
      </c>
      <c r="K2079" s="31">
        <f t="shared" si="2396"/>
        <v>0</v>
      </c>
      <c r="L2079" s="31">
        <f t="shared" si="2397"/>
        <v>0</v>
      </c>
      <c r="M2079" s="31">
        <f t="shared" si="2398"/>
        <v>0</v>
      </c>
      <c r="N2079" s="31">
        <f t="shared" si="2399"/>
        <v>0</v>
      </c>
      <c r="O2079" s="31">
        <f t="shared" si="2400"/>
        <v>0</v>
      </c>
      <c r="P2079" s="31">
        <f t="shared" si="2401"/>
        <v>0</v>
      </c>
      <c r="Q2079" s="49">
        <f t="shared" si="2402"/>
        <v>0</v>
      </c>
    </row>
    <row r="2080" spans="4:17" s="16" customFormat="1" ht="13.2" x14ac:dyDescent="0.25">
      <c r="D2080" s="235"/>
      <c r="E2080" s="240"/>
      <c r="F2080" s="241"/>
      <c r="G2080" s="242"/>
      <c r="H2080" s="239">
        <f t="shared" si="2393"/>
        <v>0</v>
      </c>
      <c r="I2080" s="131">
        <f t="shared" si="2394"/>
        <v>0</v>
      </c>
      <c r="J2080" s="31">
        <f t="shared" si="2395"/>
        <v>0</v>
      </c>
      <c r="K2080" s="31">
        <f t="shared" si="2396"/>
        <v>0</v>
      </c>
      <c r="L2080" s="31">
        <f t="shared" si="2397"/>
        <v>0</v>
      </c>
      <c r="M2080" s="31">
        <f t="shared" si="2398"/>
        <v>0</v>
      </c>
      <c r="N2080" s="31">
        <f t="shared" si="2399"/>
        <v>0</v>
      </c>
      <c r="O2080" s="31">
        <f t="shared" si="2400"/>
        <v>0</v>
      </c>
      <c r="P2080" s="31">
        <f t="shared" si="2401"/>
        <v>0</v>
      </c>
      <c r="Q2080" s="49">
        <f t="shared" si="2402"/>
        <v>0</v>
      </c>
    </row>
    <row r="2081" spans="4:17" s="16" customFormat="1" ht="13.2" x14ac:dyDescent="0.25">
      <c r="D2081" s="235"/>
      <c r="E2081" s="240"/>
      <c r="F2081" s="241"/>
      <c r="G2081" s="242"/>
      <c r="H2081" s="239">
        <f t="shared" si="2393"/>
        <v>0</v>
      </c>
      <c r="I2081" s="131">
        <f t="shared" si="2394"/>
        <v>0</v>
      </c>
      <c r="J2081" s="31">
        <f t="shared" si="2395"/>
        <v>0</v>
      </c>
      <c r="K2081" s="31">
        <f t="shared" si="2396"/>
        <v>0</v>
      </c>
      <c r="L2081" s="31">
        <f t="shared" si="2397"/>
        <v>0</v>
      </c>
      <c r="M2081" s="31">
        <f t="shared" si="2398"/>
        <v>0</v>
      </c>
      <c r="N2081" s="31">
        <f t="shared" si="2399"/>
        <v>0</v>
      </c>
      <c r="O2081" s="31">
        <f t="shared" si="2400"/>
        <v>0</v>
      </c>
      <c r="P2081" s="31">
        <f t="shared" si="2401"/>
        <v>0</v>
      </c>
      <c r="Q2081" s="49">
        <f t="shared" si="2402"/>
        <v>0</v>
      </c>
    </row>
    <row r="2082" spans="4:17" s="16" customFormat="1" ht="13.2" x14ac:dyDescent="0.25">
      <c r="D2082" s="235"/>
      <c r="E2082" s="240"/>
      <c r="F2082" s="241"/>
      <c r="G2082" s="242"/>
      <c r="H2082" s="239">
        <f t="shared" si="2393"/>
        <v>0</v>
      </c>
      <c r="I2082" s="131">
        <f t="shared" si="2394"/>
        <v>0</v>
      </c>
      <c r="J2082" s="31">
        <f t="shared" si="2395"/>
        <v>0</v>
      </c>
      <c r="K2082" s="31">
        <f t="shared" si="2396"/>
        <v>0</v>
      </c>
      <c r="L2082" s="31">
        <f t="shared" si="2397"/>
        <v>0</v>
      </c>
      <c r="M2082" s="31">
        <f t="shared" si="2398"/>
        <v>0</v>
      </c>
      <c r="N2082" s="31">
        <f t="shared" si="2399"/>
        <v>0</v>
      </c>
      <c r="O2082" s="31">
        <f t="shared" si="2400"/>
        <v>0</v>
      </c>
      <c r="P2082" s="31">
        <f t="shared" si="2401"/>
        <v>0</v>
      </c>
      <c r="Q2082" s="49">
        <f t="shared" si="2402"/>
        <v>0</v>
      </c>
    </row>
    <row r="2083" spans="4:17" s="16" customFormat="1" ht="13.2" x14ac:dyDescent="0.25">
      <c r="D2083" s="235"/>
      <c r="E2083" s="240"/>
      <c r="F2083" s="241"/>
      <c r="G2083" s="242"/>
      <c r="H2083" s="239">
        <f t="shared" si="2393"/>
        <v>0</v>
      </c>
      <c r="I2083" s="131">
        <f t="shared" si="2394"/>
        <v>0</v>
      </c>
      <c r="J2083" s="31">
        <f t="shared" si="2395"/>
        <v>0</v>
      </c>
      <c r="K2083" s="31">
        <f t="shared" si="2396"/>
        <v>0</v>
      </c>
      <c r="L2083" s="31">
        <f t="shared" si="2397"/>
        <v>0</v>
      </c>
      <c r="M2083" s="31">
        <f t="shared" si="2398"/>
        <v>0</v>
      </c>
      <c r="N2083" s="31">
        <f t="shared" si="2399"/>
        <v>0</v>
      </c>
      <c r="O2083" s="31">
        <f t="shared" si="2400"/>
        <v>0</v>
      </c>
      <c r="P2083" s="31">
        <f t="shared" si="2401"/>
        <v>0</v>
      </c>
      <c r="Q2083" s="49">
        <f t="shared" si="2402"/>
        <v>0</v>
      </c>
    </row>
    <row r="2084" spans="4:17" s="16" customFormat="1" ht="13.8" thickBot="1" x14ac:dyDescent="0.3">
      <c r="D2084" s="307"/>
      <c r="E2084" s="26"/>
      <c r="F2084" s="206"/>
      <c r="G2084" s="207"/>
      <c r="H2084" s="207"/>
      <c r="I2084" s="51"/>
      <c r="J2084" s="308"/>
      <c r="K2084" s="308"/>
      <c r="L2084" s="308"/>
      <c r="M2084" s="308"/>
      <c r="N2084" s="308"/>
      <c r="O2084" s="308"/>
      <c r="P2084" s="308"/>
      <c r="Q2084" s="309"/>
    </row>
    <row r="2085" spans="4:17" s="16" customFormat="1" ht="13.2" x14ac:dyDescent="0.25">
      <c r="D2085" s="796" t="s">
        <v>96</v>
      </c>
      <c r="E2085" s="797"/>
      <c r="F2085" s="797"/>
      <c r="G2085" s="797"/>
      <c r="H2085" s="797"/>
      <c r="I2085" s="47">
        <f>SUM(I2086:I2089)</f>
        <v>0</v>
      </c>
      <c r="J2085" s="47">
        <f t="shared" ref="J2085:Q2085" si="2403">SUM(J2086:J2089)</f>
        <v>0</v>
      </c>
      <c r="K2085" s="47">
        <f t="shared" si="2403"/>
        <v>0</v>
      </c>
      <c r="L2085" s="47">
        <f t="shared" si="2403"/>
        <v>0</v>
      </c>
      <c r="M2085" s="47">
        <f t="shared" si="2403"/>
        <v>0</v>
      </c>
      <c r="N2085" s="47">
        <f t="shared" si="2403"/>
        <v>0</v>
      </c>
      <c r="O2085" s="47">
        <f t="shared" si="2403"/>
        <v>0</v>
      </c>
      <c r="P2085" s="47">
        <f t="shared" si="2403"/>
        <v>0</v>
      </c>
      <c r="Q2085" s="47">
        <f t="shared" si="2403"/>
        <v>0</v>
      </c>
    </row>
    <row r="2086" spans="4:17" s="16" customFormat="1" ht="13.2" x14ac:dyDescent="0.25">
      <c r="D2086" s="235"/>
      <c r="E2086" s="237"/>
      <c r="F2086" s="238"/>
      <c r="G2086" s="239"/>
      <c r="H2086" s="239">
        <f>E2086*G2086</f>
        <v>0</v>
      </c>
      <c r="I2086" s="131">
        <f>IF($F2086=4.2,H2086*$B$23,0)</f>
        <v>0</v>
      </c>
      <c r="J2086" s="31">
        <f>IF($F2086=5,$H2086*$B$24,0)</f>
        <v>0</v>
      </c>
      <c r="K2086" s="31">
        <f>IF($F2086=6.3,$H2086*$B$25,0)</f>
        <v>0</v>
      </c>
      <c r="L2086" s="31">
        <f>IF($F2086=8,$H2086*$B$26,0)</f>
        <v>0</v>
      </c>
      <c r="M2086" s="31">
        <f>IF($F2086=10,$H2086*$B$27,0)</f>
        <v>0</v>
      </c>
      <c r="N2086" s="31">
        <f>IF($F2086=12.5,$H2086*$B$28,0)</f>
        <v>0</v>
      </c>
      <c r="O2086" s="31">
        <f>IF($F2086=16,$H2086*$B$29,0)</f>
        <v>0</v>
      </c>
      <c r="P2086" s="31">
        <f>IF($F2086=20,$H2086*$B$30,0)</f>
        <v>0</v>
      </c>
      <c r="Q2086" s="49">
        <f>IF($F2086=25,$H2086*$B$31,0)</f>
        <v>0</v>
      </c>
    </row>
    <row r="2087" spans="4:17" s="16" customFormat="1" ht="13.2" x14ac:dyDescent="0.25">
      <c r="D2087" s="235"/>
      <c r="E2087" s="240"/>
      <c r="F2087" s="241"/>
      <c r="G2087" s="242"/>
      <c r="H2087" s="239">
        <f>E2087*G2087</f>
        <v>0</v>
      </c>
      <c r="I2087" s="131">
        <f>IF($F2087=4.2,H2087*$B$23,0)</f>
        <v>0</v>
      </c>
      <c r="J2087" s="31">
        <f>IF($F2087=5,$H2087*$B$24,0)</f>
        <v>0</v>
      </c>
      <c r="K2087" s="31">
        <f>IF($F2087=6.3,$H2087*$B$25,0)</f>
        <v>0</v>
      </c>
      <c r="L2087" s="31">
        <f>IF($F2087=8,$H2087*$B$26,0)</f>
        <v>0</v>
      </c>
      <c r="M2087" s="31">
        <f>IF($F2087=10,$H2087*$B$27,0)</f>
        <v>0</v>
      </c>
      <c r="N2087" s="31">
        <f>IF($F2087=12.5,$H2087*$B$28,0)</f>
        <v>0</v>
      </c>
      <c r="O2087" s="31">
        <f>IF($F2087=16,$H2087*$B$29,0)</f>
        <v>0</v>
      </c>
      <c r="P2087" s="31">
        <f>IF($F2087=20,$H2087*$B$30,0)</f>
        <v>0</v>
      </c>
      <c r="Q2087" s="49">
        <f>IF($F2087=25,$H2087*$B$31,0)</f>
        <v>0</v>
      </c>
    </row>
    <row r="2088" spans="4:17" s="16" customFormat="1" ht="13.2" x14ac:dyDescent="0.25">
      <c r="D2088" s="235"/>
      <c r="E2088" s="240"/>
      <c r="F2088" s="241"/>
      <c r="G2088" s="242"/>
      <c r="H2088" s="239">
        <f>E2088*G2088</f>
        <v>0</v>
      </c>
      <c r="I2088" s="131">
        <f>IF($F2088=4.2,H2088*$B$23,0)</f>
        <v>0</v>
      </c>
      <c r="J2088" s="31">
        <f>IF($F2088=5,$H2088*$B$24,0)</f>
        <v>0</v>
      </c>
      <c r="K2088" s="31">
        <f>IF($F2088=6.3,$H2088*$B$25,0)</f>
        <v>0</v>
      </c>
      <c r="L2088" s="31">
        <f>IF($F2088=8,$H2088*$B$26,0)</f>
        <v>0</v>
      </c>
      <c r="M2088" s="31">
        <f>IF($F2088=10,$H2088*$B$27,0)</f>
        <v>0</v>
      </c>
      <c r="N2088" s="31">
        <f>IF($F2088=12.5,$H2088*$B$28,0)</f>
        <v>0</v>
      </c>
      <c r="O2088" s="31">
        <f>IF($F2088=16,$H2088*$B$29,0)</f>
        <v>0</v>
      </c>
      <c r="P2088" s="31">
        <f>IF($F2088=20,$H2088*$B$30,0)</f>
        <v>0</v>
      </c>
      <c r="Q2088" s="49">
        <f>IF($F2088=25,$H2088*$B$31,0)</f>
        <v>0</v>
      </c>
    </row>
    <row r="2089" spans="4:17" s="16" customFormat="1" ht="13.2" x14ac:dyDescent="0.25">
      <c r="D2089" s="235"/>
      <c r="E2089" s="240"/>
      <c r="F2089" s="241"/>
      <c r="G2089" s="242"/>
      <c r="H2089" s="239">
        <f>E2089*G2089</f>
        <v>0</v>
      </c>
      <c r="I2089" s="131">
        <f>IF($F2089=4.2,H2089*$B$23,0)</f>
        <v>0</v>
      </c>
      <c r="J2089" s="31">
        <f>IF($F2089=5,$H2089*$B$24,0)</f>
        <v>0</v>
      </c>
      <c r="K2089" s="31">
        <f>IF($F2089=6.3,$H2089*$B$25,0)</f>
        <v>0</v>
      </c>
      <c r="L2089" s="31">
        <f>IF($F2089=8,$H2089*$B$26,0)</f>
        <v>0</v>
      </c>
      <c r="M2089" s="31">
        <f>IF($F2089=10,$H2089*$B$27,0)</f>
        <v>0</v>
      </c>
      <c r="N2089" s="31">
        <f>IF($F2089=12.5,$H2089*$B$28,0)</f>
        <v>0</v>
      </c>
      <c r="O2089" s="31">
        <f>IF($F2089=16,$H2089*$B$29,0)</f>
        <v>0</v>
      </c>
      <c r="P2089" s="31">
        <f>IF($F2089=20,$H2089*$B$30,0)</f>
        <v>0</v>
      </c>
      <c r="Q2089" s="49">
        <f>IF($F2089=25,$H2089*$B$31,0)</f>
        <v>0</v>
      </c>
    </row>
    <row r="2090" spans="4:17" s="16" customFormat="1" ht="13.8" thickBot="1" x14ac:dyDescent="0.3">
      <c r="D2090" s="307"/>
      <c r="E2090" s="26"/>
      <c r="F2090" s="206"/>
      <c r="G2090" s="207"/>
      <c r="H2090" s="207"/>
      <c r="I2090" s="51"/>
      <c r="J2090" s="308"/>
      <c r="K2090" s="308"/>
      <c r="L2090" s="308"/>
      <c r="M2090" s="308"/>
      <c r="N2090" s="308"/>
      <c r="O2090" s="308"/>
      <c r="P2090" s="308"/>
      <c r="Q2090" s="309"/>
    </row>
    <row r="2091" spans="4:17" s="16" customFormat="1" ht="13.8" thickBot="1" x14ac:dyDescent="0.3">
      <c r="D2091" s="805" t="s">
        <v>35</v>
      </c>
      <c r="E2091" s="806"/>
      <c r="F2091" s="806"/>
      <c r="G2091" s="806"/>
      <c r="H2091" s="806"/>
      <c r="I2091" s="125">
        <f t="shared" ref="I2091:Q2091" si="2404">SUM(I29:I2089)/2</f>
        <v>0</v>
      </c>
      <c r="J2091" s="125">
        <f t="shared" si="2404"/>
        <v>1176.9973599999989</v>
      </c>
      <c r="K2091" s="125">
        <f t="shared" si="2404"/>
        <v>1.0437000000000001</v>
      </c>
      <c r="L2091" s="125">
        <f t="shared" si="2404"/>
        <v>2304.2245999999973</v>
      </c>
      <c r="M2091" s="125">
        <f t="shared" si="2404"/>
        <v>1208.9991600000003</v>
      </c>
      <c r="N2091" s="125">
        <f t="shared" si="2404"/>
        <v>272.50973999999991</v>
      </c>
      <c r="O2091" s="125">
        <f t="shared" si="2404"/>
        <v>7.4797200000000004</v>
      </c>
      <c r="P2091" s="125">
        <f t="shared" si="2404"/>
        <v>0</v>
      </c>
      <c r="Q2091" s="125">
        <f t="shared" si="2404"/>
        <v>0</v>
      </c>
    </row>
    <row r="2092" spans="4:17" s="16" customFormat="1" ht="13.8" thickTop="1" x14ac:dyDescent="0.25"/>
    <row r="2093" spans="4:17" s="16" customFormat="1" ht="13.2" x14ac:dyDescent="0.25"/>
    <row r="2094" spans="4:17" s="16" customFormat="1" ht="13.2" x14ac:dyDescent="0.25"/>
    <row r="2095" spans="4:17" s="16" customFormat="1" ht="13.2" x14ac:dyDescent="0.25"/>
    <row r="2096" spans="4:17" s="16" customFormat="1" ht="13.2" x14ac:dyDescent="0.25"/>
    <row r="2097" spans="2:20" s="16" customFormat="1" ht="13.2" x14ac:dyDescent="0.25"/>
    <row r="2098" spans="2:20" s="16" customFormat="1" ht="13.2" x14ac:dyDescent="0.25"/>
    <row r="2099" spans="2:20" s="16" customFormat="1" ht="13.2" x14ac:dyDescent="0.25"/>
    <row r="2100" spans="2:20" s="16" customFormat="1" ht="13.2" x14ac:dyDescent="0.25"/>
    <row r="2101" spans="2:20" s="16" customFormat="1" ht="13.8" thickBot="1" x14ac:dyDescent="0.3"/>
    <row r="2102" spans="2:20" s="16" customFormat="1" thickTop="1" thickBot="1" x14ac:dyDescent="0.3">
      <c r="D2102" s="807" t="s">
        <v>61</v>
      </c>
      <c r="E2102" s="808"/>
      <c r="F2102" s="808"/>
      <c r="G2102" s="808"/>
      <c r="H2102" s="808"/>
      <c r="I2102" s="808"/>
      <c r="J2102" s="808"/>
      <c r="K2102" s="808"/>
      <c r="L2102" s="808"/>
      <c r="M2102" s="808"/>
      <c r="N2102" s="808"/>
      <c r="O2102" s="808"/>
      <c r="P2102" s="808"/>
      <c r="Q2102" s="809"/>
    </row>
    <row r="2103" spans="2:20" s="16" customFormat="1" ht="13.8" thickBot="1" x14ac:dyDescent="0.3">
      <c r="D2103" s="820" t="s">
        <v>1276</v>
      </c>
      <c r="E2103" s="821"/>
      <c r="F2103" s="821"/>
      <c r="G2103" s="821"/>
      <c r="H2103" s="821"/>
      <c r="I2103" s="821"/>
      <c r="J2103" s="821"/>
      <c r="K2103" s="821"/>
      <c r="L2103" s="821"/>
      <c r="M2103" s="821"/>
      <c r="N2103" s="821"/>
      <c r="O2103" s="821"/>
      <c r="P2103" s="821"/>
      <c r="Q2103" s="822"/>
    </row>
    <row r="2104" spans="2:20" s="16" customFormat="1" ht="13.2" x14ac:dyDescent="0.25">
      <c r="D2104" s="803" t="s">
        <v>17</v>
      </c>
      <c r="E2104" s="804"/>
      <c r="F2104" s="804"/>
      <c r="G2104" s="804"/>
      <c r="H2104" s="804"/>
      <c r="I2104" s="800" t="s">
        <v>18</v>
      </c>
      <c r="J2104" s="801"/>
      <c r="K2104" s="801"/>
      <c r="L2104" s="801"/>
      <c r="M2104" s="801"/>
      <c r="N2104" s="801"/>
      <c r="O2104" s="801"/>
      <c r="P2104" s="801"/>
      <c r="Q2104" s="802"/>
    </row>
    <row r="2105" spans="2:20" s="16" customFormat="1" ht="13.8" thickBot="1" x14ac:dyDescent="0.3">
      <c r="D2105" s="17" t="s">
        <v>19</v>
      </c>
      <c r="E2105" s="18" t="s">
        <v>20</v>
      </c>
      <c r="F2105" s="18" t="s">
        <v>21</v>
      </c>
      <c r="G2105" s="50" t="s">
        <v>32</v>
      </c>
      <c r="H2105" s="135" t="s">
        <v>33</v>
      </c>
      <c r="I2105" s="43">
        <v>4.2</v>
      </c>
      <c r="J2105" s="21">
        <v>5</v>
      </c>
      <c r="K2105" s="21">
        <v>6.3</v>
      </c>
      <c r="L2105" s="21">
        <v>8</v>
      </c>
      <c r="M2105" s="21">
        <v>10</v>
      </c>
      <c r="N2105" s="21">
        <v>12.5</v>
      </c>
      <c r="O2105" s="21">
        <v>16</v>
      </c>
      <c r="P2105" s="21">
        <v>20</v>
      </c>
      <c r="Q2105" s="22">
        <v>25</v>
      </c>
    </row>
    <row r="2106" spans="2:20" s="16" customFormat="1" ht="13.8" thickBot="1" x14ac:dyDescent="0.3">
      <c r="D2106" s="843"/>
      <c r="E2106" s="844"/>
      <c r="F2106" s="844"/>
      <c r="G2106" s="844"/>
      <c r="H2106" s="186"/>
      <c r="I2106" s="44"/>
      <c r="J2106" s="45"/>
      <c r="K2106" s="45"/>
      <c r="L2106" s="45"/>
      <c r="M2106" s="45"/>
      <c r="N2106" s="45"/>
      <c r="O2106" s="45"/>
      <c r="P2106" s="45"/>
      <c r="Q2106" s="46"/>
    </row>
    <row r="2107" spans="2:20" s="16" customFormat="1" ht="15" customHeight="1" thickBot="1" x14ac:dyDescent="0.3">
      <c r="B2107" s="34"/>
      <c r="D2107" s="792" t="s">
        <v>195</v>
      </c>
      <c r="E2107" s="793"/>
      <c r="F2107" s="793"/>
      <c r="G2107" s="793"/>
      <c r="H2107" s="793"/>
      <c r="I2107" s="793"/>
      <c r="J2107" s="793"/>
      <c r="K2107" s="793"/>
      <c r="L2107" s="793"/>
      <c r="M2107" s="793"/>
      <c r="N2107" s="793"/>
      <c r="O2107" s="793"/>
      <c r="P2107" s="793"/>
      <c r="Q2107" s="794"/>
      <c r="S2107" s="795"/>
      <c r="T2107" s="795"/>
    </row>
    <row r="2108" spans="2:20" s="16" customFormat="1" ht="13.2" x14ac:dyDescent="0.25">
      <c r="D2108" s="816" t="s">
        <v>1252</v>
      </c>
      <c r="E2108" s="817"/>
      <c r="F2108" s="817"/>
      <c r="G2108" s="817"/>
      <c r="H2108" s="817"/>
      <c r="I2108" s="47">
        <f t="shared" ref="I2108:Q2108" si="2405">SUM(I2109:I2116)</f>
        <v>0</v>
      </c>
      <c r="J2108" s="47">
        <f t="shared" si="2405"/>
        <v>26.161520000000003</v>
      </c>
      <c r="K2108" s="47">
        <f t="shared" si="2405"/>
        <v>0</v>
      </c>
      <c r="L2108" s="47">
        <f t="shared" si="2405"/>
        <v>0</v>
      </c>
      <c r="M2108" s="47">
        <f t="shared" si="2405"/>
        <v>92.735100000000003</v>
      </c>
      <c r="N2108" s="47">
        <f t="shared" si="2405"/>
        <v>0</v>
      </c>
      <c r="O2108" s="47">
        <f t="shared" si="2405"/>
        <v>114.43656</v>
      </c>
      <c r="P2108" s="47">
        <f t="shared" si="2405"/>
        <v>0</v>
      </c>
      <c r="Q2108" s="47">
        <f t="shared" si="2405"/>
        <v>0</v>
      </c>
    </row>
    <row r="2109" spans="2:20" s="16" customFormat="1" ht="13.2" x14ac:dyDescent="0.25">
      <c r="D2109" s="235">
        <v>2</v>
      </c>
      <c r="E2109" s="237">
        <f>2*62</f>
        <v>124</v>
      </c>
      <c r="F2109" s="238">
        <v>5</v>
      </c>
      <c r="G2109" s="239">
        <v>1.37</v>
      </c>
      <c r="H2109" s="239">
        <f t="shared" ref="H2109:H2116" si="2406">E2109*G2109</f>
        <v>169.88000000000002</v>
      </c>
      <c r="I2109" s="122">
        <f t="shared" ref="I2109:I2116" si="2407">IF($F2109=4.2,H2109*$B$23,0)</f>
        <v>0</v>
      </c>
      <c r="J2109" s="29">
        <f t="shared" ref="J2109:J2116" si="2408">IF($F2109=5,$H2109*$B$24,0)</f>
        <v>26.161520000000003</v>
      </c>
      <c r="K2109" s="29">
        <f t="shared" ref="K2109:K2116" si="2409">IF($F2109=6.3,$H2109*$B$25,0)</f>
        <v>0</v>
      </c>
      <c r="L2109" s="29">
        <f t="shared" ref="L2109:L2116" si="2410">IF($F2109=8,$H2109*$B$26,0)</f>
        <v>0</v>
      </c>
      <c r="M2109" s="29">
        <f t="shared" ref="M2109:M2116" si="2411">IF($F2109=10,$H2109*$B$27,0)</f>
        <v>0</v>
      </c>
      <c r="N2109" s="29">
        <f t="shared" ref="N2109:N2116" si="2412">IF($F2109=12.5,$H2109*$B$28,0)</f>
        <v>0</v>
      </c>
      <c r="O2109" s="29">
        <f t="shared" ref="O2109:O2116" si="2413">IF($F2109=16,$H2109*$B$29,0)</f>
        <v>0</v>
      </c>
      <c r="P2109" s="29">
        <f t="shared" ref="P2109:P2116" si="2414">IF($F2109=20,$H2109*$B$30,0)</f>
        <v>0</v>
      </c>
      <c r="Q2109" s="37">
        <f t="shared" ref="Q2109:Q2116" si="2415">IF($F2109=25,$H2109*$B$31,0)</f>
        <v>0</v>
      </c>
    </row>
    <row r="2110" spans="2:20" s="16" customFormat="1" ht="13.2" x14ac:dyDescent="0.25">
      <c r="D2110" s="235">
        <v>12</v>
      </c>
      <c r="E2110" s="240">
        <f>2*4</f>
        <v>8</v>
      </c>
      <c r="F2110" s="241">
        <v>10</v>
      </c>
      <c r="G2110" s="242">
        <v>1.52</v>
      </c>
      <c r="H2110" s="239">
        <f t="shared" si="2406"/>
        <v>12.16</v>
      </c>
      <c r="I2110" s="122">
        <f t="shared" si="2407"/>
        <v>0</v>
      </c>
      <c r="J2110" s="29">
        <f t="shared" si="2408"/>
        <v>0</v>
      </c>
      <c r="K2110" s="29">
        <f t="shared" si="2409"/>
        <v>0</v>
      </c>
      <c r="L2110" s="29">
        <f t="shared" si="2410"/>
        <v>0</v>
      </c>
      <c r="M2110" s="29">
        <f t="shared" si="2411"/>
        <v>7.5027200000000001</v>
      </c>
      <c r="N2110" s="29">
        <f t="shared" si="2412"/>
        <v>0</v>
      </c>
      <c r="O2110" s="29">
        <f t="shared" si="2413"/>
        <v>0</v>
      </c>
      <c r="P2110" s="29">
        <f t="shared" si="2414"/>
        <v>0</v>
      </c>
      <c r="Q2110" s="37">
        <f t="shared" si="2415"/>
        <v>0</v>
      </c>
    </row>
    <row r="2111" spans="2:20" s="16" customFormat="1" ht="13.2" x14ac:dyDescent="0.25">
      <c r="D2111" s="235">
        <v>13</v>
      </c>
      <c r="E2111" s="240">
        <f>2*16</f>
        <v>32</v>
      </c>
      <c r="F2111" s="241">
        <v>10</v>
      </c>
      <c r="G2111" s="242">
        <v>2.12</v>
      </c>
      <c r="H2111" s="239">
        <f t="shared" si="2406"/>
        <v>67.84</v>
      </c>
      <c r="I2111" s="122">
        <f t="shared" si="2407"/>
        <v>0</v>
      </c>
      <c r="J2111" s="29">
        <f t="shared" si="2408"/>
        <v>0</v>
      </c>
      <c r="K2111" s="29">
        <f t="shared" si="2409"/>
        <v>0</v>
      </c>
      <c r="L2111" s="29">
        <f t="shared" si="2410"/>
        <v>0</v>
      </c>
      <c r="M2111" s="29">
        <f t="shared" si="2411"/>
        <v>41.857280000000003</v>
      </c>
      <c r="N2111" s="29">
        <f t="shared" si="2412"/>
        <v>0</v>
      </c>
      <c r="O2111" s="29">
        <f t="shared" si="2413"/>
        <v>0</v>
      </c>
      <c r="P2111" s="29">
        <f t="shared" si="2414"/>
        <v>0</v>
      </c>
      <c r="Q2111" s="37">
        <f t="shared" si="2415"/>
        <v>0</v>
      </c>
    </row>
    <row r="2112" spans="2:20" s="16" customFormat="1" ht="13.2" x14ac:dyDescent="0.25">
      <c r="D2112" s="235">
        <v>14</v>
      </c>
      <c r="E2112" s="240">
        <f>2*2</f>
        <v>4</v>
      </c>
      <c r="F2112" s="241">
        <v>10</v>
      </c>
      <c r="G2112" s="242">
        <v>2.57</v>
      </c>
      <c r="H2112" s="239">
        <f t="shared" si="2406"/>
        <v>10.28</v>
      </c>
      <c r="I2112" s="122">
        <f t="shared" si="2407"/>
        <v>0</v>
      </c>
      <c r="J2112" s="29">
        <f t="shared" si="2408"/>
        <v>0</v>
      </c>
      <c r="K2112" s="29">
        <f t="shared" si="2409"/>
        <v>0</v>
      </c>
      <c r="L2112" s="29">
        <f t="shared" si="2410"/>
        <v>0</v>
      </c>
      <c r="M2112" s="29">
        <f t="shared" si="2411"/>
        <v>6.3427599999999993</v>
      </c>
      <c r="N2112" s="29">
        <f t="shared" si="2412"/>
        <v>0</v>
      </c>
      <c r="O2112" s="29">
        <f t="shared" si="2413"/>
        <v>0</v>
      </c>
      <c r="P2112" s="29">
        <f t="shared" si="2414"/>
        <v>0</v>
      </c>
      <c r="Q2112" s="37">
        <f t="shared" si="2415"/>
        <v>0</v>
      </c>
    </row>
    <row r="2113" spans="4:17" s="16" customFormat="1" ht="13.2" x14ac:dyDescent="0.25">
      <c r="D2113" s="235">
        <v>15</v>
      </c>
      <c r="E2113" s="240">
        <f>2*2</f>
        <v>4</v>
      </c>
      <c r="F2113" s="241">
        <v>10</v>
      </c>
      <c r="G2113" s="242">
        <v>2.72</v>
      </c>
      <c r="H2113" s="239">
        <f t="shared" si="2406"/>
        <v>10.88</v>
      </c>
      <c r="I2113" s="122">
        <f t="shared" si="2407"/>
        <v>0</v>
      </c>
      <c r="J2113" s="29">
        <f t="shared" si="2408"/>
        <v>0</v>
      </c>
      <c r="K2113" s="29">
        <f t="shared" si="2409"/>
        <v>0</v>
      </c>
      <c r="L2113" s="29">
        <f t="shared" si="2410"/>
        <v>0</v>
      </c>
      <c r="M2113" s="29">
        <f t="shared" si="2411"/>
        <v>6.7129600000000007</v>
      </c>
      <c r="N2113" s="29">
        <f t="shared" si="2412"/>
        <v>0</v>
      </c>
      <c r="O2113" s="29">
        <f t="shared" si="2413"/>
        <v>0</v>
      </c>
      <c r="P2113" s="29">
        <f t="shared" si="2414"/>
        <v>0</v>
      </c>
      <c r="Q2113" s="37">
        <f t="shared" si="2415"/>
        <v>0</v>
      </c>
    </row>
    <row r="2114" spans="4:17" s="16" customFormat="1" ht="13.2" x14ac:dyDescent="0.25">
      <c r="D2114" s="235">
        <v>16</v>
      </c>
      <c r="E2114" s="240">
        <f>2*3</f>
        <v>6</v>
      </c>
      <c r="F2114" s="241">
        <v>10</v>
      </c>
      <c r="G2114" s="242">
        <v>8.19</v>
      </c>
      <c r="H2114" s="239">
        <f t="shared" si="2406"/>
        <v>49.14</v>
      </c>
      <c r="I2114" s="122">
        <f t="shared" si="2407"/>
        <v>0</v>
      </c>
      <c r="J2114" s="29">
        <f t="shared" si="2408"/>
        <v>0</v>
      </c>
      <c r="K2114" s="29">
        <f t="shared" si="2409"/>
        <v>0</v>
      </c>
      <c r="L2114" s="29">
        <f t="shared" si="2410"/>
        <v>0</v>
      </c>
      <c r="M2114" s="29">
        <f t="shared" si="2411"/>
        <v>30.319379999999999</v>
      </c>
      <c r="N2114" s="29">
        <f t="shared" si="2412"/>
        <v>0</v>
      </c>
      <c r="O2114" s="29">
        <f t="shared" si="2413"/>
        <v>0</v>
      </c>
      <c r="P2114" s="29">
        <f t="shared" si="2414"/>
        <v>0</v>
      </c>
      <c r="Q2114" s="37">
        <f t="shared" si="2415"/>
        <v>0</v>
      </c>
    </row>
    <row r="2115" spans="4:17" s="16" customFormat="1" ht="13.2" x14ac:dyDescent="0.25">
      <c r="D2115" s="235">
        <v>34</v>
      </c>
      <c r="E2115" s="240">
        <f>2*1</f>
        <v>2</v>
      </c>
      <c r="F2115" s="241">
        <v>16</v>
      </c>
      <c r="G2115" s="242">
        <v>3.5</v>
      </c>
      <c r="H2115" s="239">
        <f t="shared" si="2406"/>
        <v>7</v>
      </c>
      <c r="I2115" s="122">
        <f t="shared" si="2407"/>
        <v>0</v>
      </c>
      <c r="J2115" s="29">
        <f t="shared" si="2408"/>
        <v>0</v>
      </c>
      <c r="K2115" s="29">
        <f t="shared" si="2409"/>
        <v>0</v>
      </c>
      <c r="L2115" s="29">
        <f t="shared" si="2410"/>
        <v>0</v>
      </c>
      <c r="M2115" s="29">
        <f t="shared" si="2411"/>
        <v>0</v>
      </c>
      <c r="N2115" s="29">
        <f t="shared" si="2412"/>
        <v>0</v>
      </c>
      <c r="O2115" s="29">
        <f t="shared" si="2413"/>
        <v>11.046000000000001</v>
      </c>
      <c r="P2115" s="29">
        <f t="shared" si="2414"/>
        <v>0</v>
      </c>
      <c r="Q2115" s="37">
        <f t="shared" si="2415"/>
        <v>0</v>
      </c>
    </row>
    <row r="2116" spans="4:17" s="16" customFormat="1" ht="13.2" x14ac:dyDescent="0.25">
      <c r="D2116" s="235">
        <v>35</v>
      </c>
      <c r="E2116" s="240">
        <f>2*4</f>
        <v>8</v>
      </c>
      <c r="F2116" s="241">
        <v>16</v>
      </c>
      <c r="G2116" s="242">
        <v>8.19</v>
      </c>
      <c r="H2116" s="239">
        <f t="shared" si="2406"/>
        <v>65.52</v>
      </c>
      <c r="I2116" s="122">
        <f t="shared" si="2407"/>
        <v>0</v>
      </c>
      <c r="J2116" s="29">
        <f t="shared" si="2408"/>
        <v>0</v>
      </c>
      <c r="K2116" s="29">
        <f t="shared" si="2409"/>
        <v>0</v>
      </c>
      <c r="L2116" s="29">
        <f t="shared" si="2410"/>
        <v>0</v>
      </c>
      <c r="M2116" s="29">
        <f t="shared" si="2411"/>
        <v>0</v>
      </c>
      <c r="N2116" s="29">
        <f t="shared" si="2412"/>
        <v>0</v>
      </c>
      <c r="O2116" s="29">
        <f t="shared" si="2413"/>
        <v>103.39055999999999</v>
      </c>
      <c r="P2116" s="29">
        <f t="shared" si="2414"/>
        <v>0</v>
      </c>
      <c r="Q2116" s="37">
        <f t="shared" si="2415"/>
        <v>0</v>
      </c>
    </row>
    <row r="2117" spans="4:17" s="16" customFormat="1" ht="13.8" thickBot="1" x14ac:dyDescent="0.3">
      <c r="D2117" s="55"/>
      <c r="E2117" s="56"/>
      <c r="F2117" s="57"/>
      <c r="G2117" s="123"/>
      <c r="H2117" s="123"/>
      <c r="I2117" s="124"/>
      <c r="J2117" s="30"/>
      <c r="K2117" s="30"/>
      <c r="L2117" s="30"/>
      <c r="M2117" s="30"/>
      <c r="N2117" s="30"/>
      <c r="O2117" s="30"/>
      <c r="P2117" s="30"/>
      <c r="Q2117" s="54"/>
    </row>
    <row r="2118" spans="4:17" s="16" customFormat="1" ht="13.2" x14ac:dyDescent="0.25">
      <c r="D2118" s="816" t="s">
        <v>1253</v>
      </c>
      <c r="E2118" s="817"/>
      <c r="F2118" s="817"/>
      <c r="G2118" s="817"/>
      <c r="H2118" s="817"/>
      <c r="I2118" s="175">
        <f t="shared" ref="I2118:Q2118" si="2416">SUM(I2119:I2123)</f>
        <v>0</v>
      </c>
      <c r="J2118" s="175">
        <f t="shared" si="2416"/>
        <v>17.993359999999999</v>
      </c>
      <c r="K2118" s="175">
        <f t="shared" si="2416"/>
        <v>0</v>
      </c>
      <c r="L2118" s="175">
        <f t="shared" si="2416"/>
        <v>0</v>
      </c>
      <c r="M2118" s="175">
        <f t="shared" si="2416"/>
        <v>24.174059999999997</v>
      </c>
      <c r="N2118" s="175">
        <f t="shared" si="2416"/>
        <v>31.547879999999996</v>
      </c>
      <c r="O2118" s="175">
        <f t="shared" si="2416"/>
        <v>0</v>
      </c>
      <c r="P2118" s="175">
        <f t="shared" si="2416"/>
        <v>0</v>
      </c>
      <c r="Q2118" s="175">
        <f t="shared" si="2416"/>
        <v>0</v>
      </c>
    </row>
    <row r="2119" spans="4:17" s="16" customFormat="1" ht="13.2" x14ac:dyDescent="0.25">
      <c r="D2119" s="235">
        <v>10</v>
      </c>
      <c r="E2119" s="237">
        <f>2*46</f>
        <v>92</v>
      </c>
      <c r="F2119" s="238">
        <v>5</v>
      </c>
      <c r="G2119" s="242">
        <v>1.27</v>
      </c>
      <c r="H2119" s="239">
        <f t="shared" ref="H2119:H2123" si="2417">E2119*G2119</f>
        <v>116.84</v>
      </c>
      <c r="I2119" s="122">
        <f>IF($F2119=4.2,H2119*$B$23,0)</f>
        <v>0</v>
      </c>
      <c r="J2119" s="29">
        <f>IF($F2119=5,$H2119*$B$24,0)</f>
        <v>17.993359999999999</v>
      </c>
      <c r="K2119" s="29">
        <f>IF($F2119=6.3,$H2119*$B$25,0)</f>
        <v>0</v>
      </c>
      <c r="L2119" s="29">
        <f>IF($F2119=8,$H2119*$B$26,0)</f>
        <v>0</v>
      </c>
      <c r="M2119" s="29">
        <f>IF($F2119=10,$H2119*$B$27,0)</f>
        <v>0</v>
      </c>
      <c r="N2119" s="29">
        <f>IF($F2119=12.5,$H2119*$B$28,0)</f>
        <v>0</v>
      </c>
      <c r="O2119" s="29">
        <f>IF($F2119=16,$H2119*$B$29,0)</f>
        <v>0</v>
      </c>
      <c r="P2119" s="29">
        <f>IF($F2119=20,$H2119*$B$30,0)</f>
        <v>0</v>
      </c>
      <c r="Q2119" s="37">
        <f>IF($F2119=25,$H2119*$B$31,0)</f>
        <v>0</v>
      </c>
    </row>
    <row r="2120" spans="4:17" s="16" customFormat="1" ht="13.2" x14ac:dyDescent="0.25">
      <c r="D2120" s="235">
        <v>17</v>
      </c>
      <c r="E2120" s="240">
        <f>2*1</f>
        <v>2</v>
      </c>
      <c r="F2120" s="241">
        <v>10</v>
      </c>
      <c r="G2120" s="242">
        <v>1.31</v>
      </c>
      <c r="H2120" s="239">
        <f t="shared" si="2417"/>
        <v>2.62</v>
      </c>
      <c r="I2120" s="122">
        <f>IF($F2120=4.2,H2120*$B$23,0)</f>
        <v>0</v>
      </c>
      <c r="J2120" s="29">
        <f>IF($F2120=5,$H2120*$B$24,0)</f>
        <v>0</v>
      </c>
      <c r="K2120" s="29">
        <f>IF($F2120=6.3,$H2120*$B$25,0)</f>
        <v>0</v>
      </c>
      <c r="L2120" s="29">
        <f>IF($F2120=8,$H2120*$B$26,0)</f>
        <v>0</v>
      </c>
      <c r="M2120" s="29">
        <f>IF($F2120=10,$H2120*$B$27,0)</f>
        <v>1.6165400000000001</v>
      </c>
      <c r="N2120" s="29">
        <f>IF($F2120=12.5,$H2120*$B$28,0)</f>
        <v>0</v>
      </c>
      <c r="O2120" s="29">
        <f>IF($F2120=16,$H2120*$B$29,0)</f>
        <v>0</v>
      </c>
      <c r="P2120" s="29">
        <f>IF($F2120=20,$H2120*$B$30,0)</f>
        <v>0</v>
      </c>
      <c r="Q2120" s="37">
        <f>IF($F2120=25,$H2120*$B$31,0)</f>
        <v>0</v>
      </c>
    </row>
    <row r="2121" spans="4:17" s="16" customFormat="1" ht="13.2" x14ac:dyDescent="0.25">
      <c r="D2121" s="235">
        <v>18</v>
      </c>
      <c r="E2121" s="240">
        <f>2*1</f>
        <v>2</v>
      </c>
      <c r="F2121" s="241">
        <v>10</v>
      </c>
      <c r="G2121" s="242">
        <v>1.24</v>
      </c>
      <c r="H2121" s="239">
        <f t="shared" si="2417"/>
        <v>2.48</v>
      </c>
      <c r="I2121" s="122">
        <f>IF($F2121=4.2,H2121*$B$23,0)</f>
        <v>0</v>
      </c>
      <c r="J2121" s="29">
        <f>IF($F2121=5,$H2121*$B$24,0)</f>
        <v>0</v>
      </c>
      <c r="K2121" s="29">
        <f>IF($F2121=6.3,$H2121*$B$25,0)</f>
        <v>0</v>
      </c>
      <c r="L2121" s="29">
        <f>IF($F2121=8,$H2121*$B$26,0)</f>
        <v>0</v>
      </c>
      <c r="M2121" s="29">
        <f>IF($F2121=10,$H2121*$B$27,0)</f>
        <v>1.53016</v>
      </c>
      <c r="N2121" s="29">
        <f>IF($F2121=12.5,$H2121*$B$28,0)</f>
        <v>0</v>
      </c>
      <c r="O2121" s="29">
        <f>IF($F2121=16,$H2121*$B$29,0)</f>
        <v>0</v>
      </c>
      <c r="P2121" s="29">
        <f>IF($F2121=20,$H2121*$B$30,0)</f>
        <v>0</v>
      </c>
      <c r="Q2121" s="37">
        <f>IF($F2121=25,$H2121*$B$31,0)</f>
        <v>0</v>
      </c>
    </row>
    <row r="2122" spans="4:17" s="16" customFormat="1" ht="13.2" x14ac:dyDescent="0.25">
      <c r="D2122" s="235">
        <v>19</v>
      </c>
      <c r="E2122" s="240">
        <f>2*2</f>
        <v>4</v>
      </c>
      <c r="F2122" s="241">
        <v>10</v>
      </c>
      <c r="G2122" s="242">
        <v>8.52</v>
      </c>
      <c r="H2122" s="239">
        <f t="shared" si="2417"/>
        <v>34.08</v>
      </c>
      <c r="I2122" s="122">
        <f>IF($F2122=4.2,H2122*$B$23,0)</f>
        <v>0</v>
      </c>
      <c r="J2122" s="29">
        <f>IF($F2122=5,$H2122*$B$24,0)</f>
        <v>0</v>
      </c>
      <c r="K2122" s="29">
        <f>IF($F2122=6.3,$H2122*$B$25,0)</f>
        <v>0</v>
      </c>
      <c r="L2122" s="29">
        <f>IF($F2122=8,$H2122*$B$26,0)</f>
        <v>0</v>
      </c>
      <c r="M2122" s="29">
        <f>IF($F2122=10,$H2122*$B$27,0)</f>
        <v>21.027359999999998</v>
      </c>
      <c r="N2122" s="29">
        <f>IF($F2122=12.5,$H2122*$B$28,0)</f>
        <v>0</v>
      </c>
      <c r="O2122" s="29">
        <f>IF($F2122=16,$H2122*$B$29,0)</f>
        <v>0</v>
      </c>
      <c r="P2122" s="29">
        <f>IF($F2122=20,$H2122*$B$30,0)</f>
        <v>0</v>
      </c>
      <c r="Q2122" s="37">
        <f>IF($F2122=25,$H2122*$B$31,0)</f>
        <v>0</v>
      </c>
    </row>
    <row r="2123" spans="4:17" s="16" customFormat="1" ht="13.2" x14ac:dyDescent="0.25">
      <c r="D2123" s="235">
        <v>27</v>
      </c>
      <c r="E2123" s="240">
        <f>2*2</f>
        <v>4</v>
      </c>
      <c r="F2123" s="241">
        <v>12.5</v>
      </c>
      <c r="G2123" s="242">
        <v>8.19</v>
      </c>
      <c r="H2123" s="239">
        <f t="shared" si="2417"/>
        <v>32.76</v>
      </c>
      <c r="I2123" s="122">
        <f>IF($F2123=4.2,H2123*$B$23,0)</f>
        <v>0</v>
      </c>
      <c r="J2123" s="29">
        <f>IF($F2123=5,$H2123*$B$24,0)</f>
        <v>0</v>
      </c>
      <c r="K2123" s="29">
        <f>IF($F2123=6.3,$H2123*$B$25,0)</f>
        <v>0</v>
      </c>
      <c r="L2123" s="29">
        <f>IF($F2123=8,$H2123*$B$26,0)</f>
        <v>0</v>
      </c>
      <c r="M2123" s="29">
        <f>IF($F2123=10,$H2123*$B$27,0)</f>
        <v>0</v>
      </c>
      <c r="N2123" s="29">
        <f>IF($F2123=12.5,$H2123*$B$28,0)</f>
        <v>31.547879999999996</v>
      </c>
      <c r="O2123" s="29">
        <f>IF($F2123=16,$H2123*$B$29,0)</f>
        <v>0</v>
      </c>
      <c r="P2123" s="29">
        <f>IF($F2123=20,$H2123*$B$30,0)</f>
        <v>0</v>
      </c>
      <c r="Q2123" s="37">
        <f>IF($F2123=25,$H2123*$B$31,0)</f>
        <v>0</v>
      </c>
    </row>
    <row r="2124" spans="4:17" s="16" customFormat="1" ht="13.8" thickBot="1" x14ac:dyDescent="0.3">
      <c r="D2124" s="23"/>
      <c r="E2124" s="24"/>
      <c r="F2124" s="25"/>
      <c r="G2124" s="28"/>
      <c r="H2124" s="28"/>
      <c r="I2124" s="48"/>
      <c r="J2124" s="176"/>
      <c r="K2124" s="176"/>
      <c r="L2124" s="176"/>
      <c r="M2124" s="176"/>
      <c r="N2124" s="176"/>
      <c r="O2124" s="176"/>
      <c r="P2124" s="176"/>
      <c r="Q2124" s="177"/>
    </row>
    <row r="2125" spans="4:17" s="16" customFormat="1" ht="13.2" x14ac:dyDescent="0.25">
      <c r="D2125" s="816" t="s">
        <v>1254</v>
      </c>
      <c r="E2125" s="817"/>
      <c r="F2125" s="817"/>
      <c r="G2125" s="817"/>
      <c r="H2125" s="817"/>
      <c r="I2125" s="47">
        <f t="shared" ref="I2125:Q2125" si="2418">SUM(I2126:I2133)</f>
        <v>0</v>
      </c>
      <c r="J2125" s="47">
        <f t="shared" si="2418"/>
        <v>12.908280000000001</v>
      </c>
      <c r="K2125" s="47">
        <f t="shared" si="2418"/>
        <v>0</v>
      </c>
      <c r="L2125" s="47">
        <f t="shared" si="2418"/>
        <v>0</v>
      </c>
      <c r="M2125" s="47">
        <f t="shared" si="2418"/>
        <v>27.987119999999997</v>
      </c>
      <c r="N2125" s="47">
        <f t="shared" si="2418"/>
        <v>44.278739999999999</v>
      </c>
      <c r="O2125" s="47">
        <f t="shared" si="2418"/>
        <v>0</v>
      </c>
      <c r="P2125" s="47">
        <f t="shared" si="2418"/>
        <v>0</v>
      </c>
      <c r="Q2125" s="47">
        <f t="shared" si="2418"/>
        <v>0</v>
      </c>
    </row>
    <row r="2126" spans="4:17" s="16" customFormat="1" ht="13.2" x14ac:dyDescent="0.25">
      <c r="D2126" s="235">
        <v>10</v>
      </c>
      <c r="E2126" s="237">
        <v>66</v>
      </c>
      <c r="F2126" s="238">
        <v>5</v>
      </c>
      <c r="G2126" s="239">
        <v>1.27</v>
      </c>
      <c r="H2126" s="239">
        <f t="shared" ref="H2126:H2133" si="2419">E2126*G2126</f>
        <v>83.820000000000007</v>
      </c>
      <c r="I2126" s="122">
        <f t="shared" ref="I2126:I2133" si="2420">IF($F2126=4.2,H2126*$B$23,0)</f>
        <v>0</v>
      </c>
      <c r="J2126" s="29">
        <f t="shared" ref="J2126:J2133" si="2421">IF($F2126=5,$H2126*$B$24,0)</f>
        <v>12.908280000000001</v>
      </c>
      <c r="K2126" s="29">
        <f t="shared" ref="K2126:K2133" si="2422">IF($F2126=6.3,$H2126*$B$25,0)</f>
        <v>0</v>
      </c>
      <c r="L2126" s="29">
        <f t="shared" ref="L2126:L2133" si="2423">IF($F2126=8,$H2126*$B$26,0)</f>
        <v>0</v>
      </c>
      <c r="M2126" s="29">
        <f t="shared" ref="M2126:M2133" si="2424">IF($F2126=10,$H2126*$B$27,0)</f>
        <v>0</v>
      </c>
      <c r="N2126" s="29">
        <f t="shared" ref="N2126:N2133" si="2425">IF($F2126=12.5,$H2126*$B$28,0)</f>
        <v>0</v>
      </c>
      <c r="O2126" s="29">
        <f t="shared" ref="O2126:O2133" si="2426">IF($F2126=16,$H2126*$B$29,0)</f>
        <v>0</v>
      </c>
      <c r="P2126" s="29">
        <f t="shared" ref="P2126:P2133" si="2427">IF($F2126=20,$H2126*$B$30,0)</f>
        <v>0</v>
      </c>
      <c r="Q2126" s="37">
        <f t="shared" ref="Q2126:Q2133" si="2428">IF($F2126=25,$H2126*$B$31,0)</f>
        <v>0</v>
      </c>
    </row>
    <row r="2127" spans="4:17" s="16" customFormat="1" ht="13.2" x14ac:dyDescent="0.25">
      <c r="D2127" s="235">
        <v>20</v>
      </c>
      <c r="E2127" s="240">
        <v>1</v>
      </c>
      <c r="F2127" s="241">
        <v>10</v>
      </c>
      <c r="G2127" s="242">
        <v>6.6</v>
      </c>
      <c r="H2127" s="239">
        <f t="shared" si="2419"/>
        <v>6.6</v>
      </c>
      <c r="I2127" s="122">
        <f t="shared" si="2420"/>
        <v>0</v>
      </c>
      <c r="J2127" s="29">
        <f t="shared" si="2421"/>
        <v>0</v>
      </c>
      <c r="K2127" s="29">
        <f t="shared" si="2422"/>
        <v>0</v>
      </c>
      <c r="L2127" s="29">
        <f t="shared" si="2423"/>
        <v>0</v>
      </c>
      <c r="M2127" s="29">
        <f t="shared" si="2424"/>
        <v>4.0721999999999996</v>
      </c>
      <c r="N2127" s="29">
        <f t="shared" si="2425"/>
        <v>0</v>
      </c>
      <c r="O2127" s="29">
        <f t="shared" si="2426"/>
        <v>0</v>
      </c>
      <c r="P2127" s="29">
        <f t="shared" si="2427"/>
        <v>0</v>
      </c>
      <c r="Q2127" s="37">
        <f t="shared" si="2428"/>
        <v>0</v>
      </c>
    </row>
    <row r="2128" spans="4:17" s="16" customFormat="1" ht="13.2" x14ac:dyDescent="0.25">
      <c r="D2128" s="235">
        <v>21</v>
      </c>
      <c r="E2128" s="240">
        <v>3</v>
      </c>
      <c r="F2128" s="241">
        <v>10</v>
      </c>
      <c r="G2128" s="242">
        <v>10.99</v>
      </c>
      <c r="H2128" s="239">
        <f t="shared" si="2419"/>
        <v>32.97</v>
      </c>
      <c r="I2128" s="122">
        <f t="shared" si="2420"/>
        <v>0</v>
      </c>
      <c r="J2128" s="29">
        <f t="shared" si="2421"/>
        <v>0</v>
      </c>
      <c r="K2128" s="29">
        <f t="shared" si="2422"/>
        <v>0</v>
      </c>
      <c r="L2128" s="29">
        <f t="shared" si="2423"/>
        <v>0</v>
      </c>
      <c r="M2128" s="29">
        <f t="shared" si="2424"/>
        <v>20.342489999999998</v>
      </c>
      <c r="N2128" s="29">
        <f t="shared" si="2425"/>
        <v>0</v>
      </c>
      <c r="O2128" s="29">
        <f t="shared" si="2426"/>
        <v>0</v>
      </c>
      <c r="P2128" s="29">
        <f t="shared" si="2427"/>
        <v>0</v>
      </c>
      <c r="Q2128" s="37">
        <f t="shared" si="2428"/>
        <v>0</v>
      </c>
    </row>
    <row r="2129" spans="4:17" s="16" customFormat="1" ht="13.2" x14ac:dyDescent="0.25">
      <c r="D2129" s="235">
        <v>22</v>
      </c>
      <c r="E2129" s="240">
        <v>3</v>
      </c>
      <c r="F2129" s="241">
        <v>10</v>
      </c>
      <c r="G2129" s="242">
        <v>1.93</v>
      </c>
      <c r="H2129" s="239">
        <f t="shared" si="2419"/>
        <v>5.79</v>
      </c>
      <c r="I2129" s="122">
        <f t="shared" si="2420"/>
        <v>0</v>
      </c>
      <c r="J2129" s="29">
        <f t="shared" si="2421"/>
        <v>0</v>
      </c>
      <c r="K2129" s="29">
        <f t="shared" si="2422"/>
        <v>0</v>
      </c>
      <c r="L2129" s="29">
        <f t="shared" si="2423"/>
        <v>0</v>
      </c>
      <c r="M2129" s="29">
        <f t="shared" si="2424"/>
        <v>3.5724299999999998</v>
      </c>
      <c r="N2129" s="29">
        <f t="shared" si="2425"/>
        <v>0</v>
      </c>
      <c r="O2129" s="29">
        <f t="shared" si="2426"/>
        <v>0</v>
      </c>
      <c r="P2129" s="29">
        <f t="shared" si="2427"/>
        <v>0</v>
      </c>
      <c r="Q2129" s="37">
        <f t="shared" si="2428"/>
        <v>0</v>
      </c>
    </row>
    <row r="2130" spans="4:17" s="16" customFormat="1" ht="13.2" x14ac:dyDescent="0.25">
      <c r="D2130" s="235">
        <v>28</v>
      </c>
      <c r="E2130" s="240">
        <v>2</v>
      </c>
      <c r="F2130" s="241">
        <v>12.5</v>
      </c>
      <c r="G2130" s="242">
        <v>2.8</v>
      </c>
      <c r="H2130" s="239">
        <f t="shared" si="2419"/>
        <v>5.6</v>
      </c>
      <c r="I2130" s="122">
        <f t="shared" si="2420"/>
        <v>0</v>
      </c>
      <c r="J2130" s="29">
        <f t="shared" si="2421"/>
        <v>0</v>
      </c>
      <c r="K2130" s="29">
        <f t="shared" si="2422"/>
        <v>0</v>
      </c>
      <c r="L2130" s="29">
        <f t="shared" si="2423"/>
        <v>0</v>
      </c>
      <c r="M2130" s="29">
        <f t="shared" si="2424"/>
        <v>0</v>
      </c>
      <c r="N2130" s="29">
        <f t="shared" si="2425"/>
        <v>5.3927999999999994</v>
      </c>
      <c r="O2130" s="29">
        <f t="shared" si="2426"/>
        <v>0</v>
      </c>
      <c r="P2130" s="29">
        <f t="shared" si="2427"/>
        <v>0</v>
      </c>
      <c r="Q2130" s="37">
        <f t="shared" si="2428"/>
        <v>0</v>
      </c>
    </row>
    <row r="2131" spans="4:17" s="16" customFormat="1" ht="13.2" x14ac:dyDescent="0.25">
      <c r="D2131" s="235">
        <v>29</v>
      </c>
      <c r="E2131" s="240">
        <v>4</v>
      </c>
      <c r="F2131" s="241">
        <v>12.5</v>
      </c>
      <c r="G2131" s="242">
        <v>4.38</v>
      </c>
      <c r="H2131" s="239">
        <f t="shared" si="2419"/>
        <v>17.52</v>
      </c>
      <c r="I2131" s="122">
        <f t="shared" si="2420"/>
        <v>0</v>
      </c>
      <c r="J2131" s="29">
        <f t="shared" si="2421"/>
        <v>0</v>
      </c>
      <c r="K2131" s="29">
        <f t="shared" si="2422"/>
        <v>0</v>
      </c>
      <c r="L2131" s="29">
        <f t="shared" si="2423"/>
        <v>0</v>
      </c>
      <c r="M2131" s="29">
        <f t="shared" si="2424"/>
        <v>0</v>
      </c>
      <c r="N2131" s="29">
        <f t="shared" si="2425"/>
        <v>16.871759999999998</v>
      </c>
      <c r="O2131" s="29">
        <f t="shared" si="2426"/>
        <v>0</v>
      </c>
      <c r="P2131" s="29">
        <f t="shared" si="2427"/>
        <v>0</v>
      </c>
      <c r="Q2131" s="37">
        <f t="shared" si="2428"/>
        <v>0</v>
      </c>
    </row>
    <row r="2132" spans="4:17" s="16" customFormat="1" ht="13.2" x14ac:dyDescent="0.25">
      <c r="D2132" s="235">
        <v>30</v>
      </c>
      <c r="E2132" s="240">
        <v>2</v>
      </c>
      <c r="F2132" s="241">
        <v>12.5</v>
      </c>
      <c r="G2132" s="242">
        <v>3.05</v>
      </c>
      <c r="H2132" s="239">
        <f t="shared" si="2419"/>
        <v>6.1</v>
      </c>
      <c r="I2132" s="122">
        <f t="shared" si="2420"/>
        <v>0</v>
      </c>
      <c r="J2132" s="29">
        <f t="shared" si="2421"/>
        <v>0</v>
      </c>
      <c r="K2132" s="29">
        <f t="shared" si="2422"/>
        <v>0</v>
      </c>
      <c r="L2132" s="29">
        <f t="shared" si="2423"/>
        <v>0</v>
      </c>
      <c r="M2132" s="29">
        <f t="shared" si="2424"/>
        <v>0</v>
      </c>
      <c r="N2132" s="29">
        <f t="shared" si="2425"/>
        <v>5.8742999999999999</v>
      </c>
      <c r="O2132" s="29">
        <f t="shared" si="2426"/>
        <v>0</v>
      </c>
      <c r="P2132" s="29">
        <f t="shared" si="2427"/>
        <v>0</v>
      </c>
      <c r="Q2132" s="37">
        <f t="shared" si="2428"/>
        <v>0</v>
      </c>
    </row>
    <row r="2133" spans="4:17" s="16" customFormat="1" ht="13.2" x14ac:dyDescent="0.25">
      <c r="D2133" s="235">
        <v>31</v>
      </c>
      <c r="E2133" s="240">
        <v>2</v>
      </c>
      <c r="F2133" s="241">
        <v>12.5</v>
      </c>
      <c r="G2133" s="242">
        <v>8.3800000000000008</v>
      </c>
      <c r="H2133" s="239">
        <f t="shared" si="2419"/>
        <v>16.760000000000002</v>
      </c>
      <c r="I2133" s="122">
        <f t="shared" si="2420"/>
        <v>0</v>
      </c>
      <c r="J2133" s="29">
        <f t="shared" si="2421"/>
        <v>0</v>
      </c>
      <c r="K2133" s="29">
        <f t="shared" si="2422"/>
        <v>0</v>
      </c>
      <c r="L2133" s="29">
        <f t="shared" si="2423"/>
        <v>0</v>
      </c>
      <c r="M2133" s="29">
        <f t="shared" si="2424"/>
        <v>0</v>
      </c>
      <c r="N2133" s="29">
        <f t="shared" si="2425"/>
        <v>16.139880000000002</v>
      </c>
      <c r="O2133" s="29">
        <f t="shared" si="2426"/>
        <v>0</v>
      </c>
      <c r="P2133" s="29">
        <f t="shared" si="2427"/>
        <v>0</v>
      </c>
      <c r="Q2133" s="37">
        <f t="shared" si="2428"/>
        <v>0</v>
      </c>
    </row>
    <row r="2134" spans="4:17" s="16" customFormat="1" ht="15" customHeight="1" thickBot="1" x14ac:dyDescent="0.3">
      <c r="D2134" s="178"/>
      <c r="E2134" s="179"/>
      <c r="F2134" s="180"/>
      <c r="G2134" s="181"/>
      <c r="H2134" s="123"/>
      <c r="I2134" s="182"/>
      <c r="J2134" s="183"/>
      <c r="K2134" s="183"/>
      <c r="L2134" s="183"/>
      <c r="M2134" s="183"/>
      <c r="N2134" s="183"/>
      <c r="O2134" s="183"/>
      <c r="P2134" s="183"/>
      <c r="Q2134" s="184"/>
    </row>
    <row r="2135" spans="4:17" s="16" customFormat="1" ht="13.2" x14ac:dyDescent="0.25">
      <c r="D2135" s="814" t="s">
        <v>1255</v>
      </c>
      <c r="E2135" s="815"/>
      <c r="F2135" s="815"/>
      <c r="G2135" s="815"/>
      <c r="H2135" s="815"/>
      <c r="I2135" s="175">
        <f t="shared" ref="I2135:Q2135" si="2429">SUM(I2136:I2143)</f>
        <v>0</v>
      </c>
      <c r="J2135" s="175">
        <f t="shared" si="2429"/>
        <v>16.456440000000001</v>
      </c>
      <c r="K2135" s="175">
        <f t="shared" si="2429"/>
        <v>1.4847000000000001</v>
      </c>
      <c r="L2135" s="175">
        <f t="shared" si="2429"/>
        <v>0</v>
      </c>
      <c r="M2135" s="175">
        <f t="shared" si="2429"/>
        <v>41.289639999999999</v>
      </c>
      <c r="N2135" s="175">
        <f t="shared" si="2429"/>
        <v>47.803319999999999</v>
      </c>
      <c r="O2135" s="175">
        <f t="shared" si="2429"/>
        <v>0</v>
      </c>
      <c r="P2135" s="175">
        <f t="shared" si="2429"/>
        <v>0</v>
      </c>
      <c r="Q2135" s="175">
        <f t="shared" si="2429"/>
        <v>0</v>
      </c>
    </row>
    <row r="2136" spans="4:17" s="16" customFormat="1" ht="13.2" x14ac:dyDescent="0.25">
      <c r="D2136" s="235">
        <v>2</v>
      </c>
      <c r="E2136" s="237">
        <v>78</v>
      </c>
      <c r="F2136" s="238">
        <v>5</v>
      </c>
      <c r="G2136" s="239">
        <v>1.37</v>
      </c>
      <c r="H2136" s="239">
        <f t="shared" ref="H2136:H2143" si="2430">E2136*G2136</f>
        <v>106.86000000000001</v>
      </c>
      <c r="I2136" s="131">
        <f>IF($F2136=4.2,H2136*$B$23,0)</f>
        <v>0</v>
      </c>
      <c r="J2136" s="31">
        <f t="shared" ref="J2136:J2143" si="2431">IF($F2136=5,$H2136*$B$24,0)</f>
        <v>16.456440000000001</v>
      </c>
      <c r="K2136" s="31">
        <f t="shared" ref="K2136:K2143" si="2432">IF($F2136=6.3,$H2136*$B$25,0)</f>
        <v>0</v>
      </c>
      <c r="L2136" s="31">
        <f t="shared" ref="L2136:L2143" si="2433">IF($F2136=8,$H2136*$B$26,0)</f>
        <v>0</v>
      </c>
      <c r="M2136" s="31">
        <f t="shared" ref="M2136:M2143" si="2434">IF($F2136=10,$H2136*$B$27,0)</f>
        <v>0</v>
      </c>
      <c r="N2136" s="31">
        <f t="shared" ref="N2136:N2143" si="2435">IF($F2136=12.5,$H2136*$B$28,0)</f>
        <v>0</v>
      </c>
      <c r="O2136" s="31">
        <f t="shared" ref="O2136:O2143" si="2436">IF($F2136=16,$H2136*$B$29,0)</f>
        <v>0</v>
      </c>
      <c r="P2136" s="31">
        <f t="shared" ref="P2136:P2143" si="2437">IF($F2136=20,$H2136*$B$30,0)</f>
        <v>0</v>
      </c>
      <c r="Q2136" s="49">
        <f t="shared" ref="Q2136:Q2143" si="2438">IF($F2136=25,$H2136*$B$31,0)</f>
        <v>0</v>
      </c>
    </row>
    <row r="2137" spans="4:17" s="16" customFormat="1" ht="13.2" x14ac:dyDescent="0.25">
      <c r="D2137" s="235">
        <v>11</v>
      </c>
      <c r="E2137" s="237">
        <v>6</v>
      </c>
      <c r="F2137" s="238">
        <v>6.3</v>
      </c>
      <c r="G2137" s="239">
        <v>1.01</v>
      </c>
      <c r="H2137" s="239">
        <f t="shared" ref="H2137:H2140" si="2439">E2137*G2137</f>
        <v>6.0600000000000005</v>
      </c>
      <c r="I2137" s="131">
        <f t="shared" ref="I2137:I2140" si="2440">IF($F2137=4.2,H2137*$B$23,0)</f>
        <v>0</v>
      </c>
      <c r="J2137" s="31">
        <f t="shared" si="2431"/>
        <v>0</v>
      </c>
      <c r="K2137" s="31">
        <f t="shared" si="2432"/>
        <v>1.4847000000000001</v>
      </c>
      <c r="L2137" s="31">
        <f t="shared" si="2433"/>
        <v>0</v>
      </c>
      <c r="M2137" s="31">
        <f t="shared" si="2434"/>
        <v>0</v>
      </c>
      <c r="N2137" s="31">
        <f t="shared" si="2435"/>
        <v>0</v>
      </c>
      <c r="O2137" s="31">
        <f t="shared" si="2436"/>
        <v>0</v>
      </c>
      <c r="P2137" s="31">
        <f t="shared" si="2437"/>
        <v>0</v>
      </c>
      <c r="Q2137" s="49">
        <f t="shared" si="2438"/>
        <v>0</v>
      </c>
    </row>
    <row r="2138" spans="4:17" s="16" customFormat="1" ht="13.2" x14ac:dyDescent="0.25">
      <c r="D2138" s="235">
        <v>23</v>
      </c>
      <c r="E2138" s="237">
        <v>2</v>
      </c>
      <c r="F2138" s="238">
        <v>10</v>
      </c>
      <c r="G2138" s="239">
        <v>6.7</v>
      </c>
      <c r="H2138" s="239">
        <f t="shared" si="2439"/>
        <v>13.4</v>
      </c>
      <c r="I2138" s="131">
        <f t="shared" si="2440"/>
        <v>0</v>
      </c>
      <c r="J2138" s="31">
        <f t="shared" si="2431"/>
        <v>0</v>
      </c>
      <c r="K2138" s="31">
        <f t="shared" si="2432"/>
        <v>0</v>
      </c>
      <c r="L2138" s="31">
        <f t="shared" si="2433"/>
        <v>0</v>
      </c>
      <c r="M2138" s="31">
        <f t="shared" si="2434"/>
        <v>8.2677999999999994</v>
      </c>
      <c r="N2138" s="31">
        <f t="shared" si="2435"/>
        <v>0</v>
      </c>
      <c r="O2138" s="31">
        <f t="shared" si="2436"/>
        <v>0</v>
      </c>
      <c r="P2138" s="31">
        <f t="shared" si="2437"/>
        <v>0</v>
      </c>
      <c r="Q2138" s="49">
        <f t="shared" si="2438"/>
        <v>0</v>
      </c>
    </row>
    <row r="2139" spans="4:17" s="16" customFormat="1" ht="13.2" x14ac:dyDescent="0.25">
      <c r="D2139" s="235">
        <v>24</v>
      </c>
      <c r="E2139" s="237">
        <v>4</v>
      </c>
      <c r="F2139" s="238">
        <v>10</v>
      </c>
      <c r="G2139" s="239">
        <v>11.2</v>
      </c>
      <c r="H2139" s="239">
        <f t="shared" si="2439"/>
        <v>44.8</v>
      </c>
      <c r="I2139" s="131">
        <f t="shared" si="2440"/>
        <v>0</v>
      </c>
      <c r="J2139" s="31">
        <f t="shared" si="2431"/>
        <v>0</v>
      </c>
      <c r="K2139" s="31">
        <f t="shared" si="2432"/>
        <v>0</v>
      </c>
      <c r="L2139" s="31">
        <f t="shared" si="2433"/>
        <v>0</v>
      </c>
      <c r="M2139" s="31">
        <f t="shared" si="2434"/>
        <v>27.641599999999997</v>
      </c>
      <c r="N2139" s="31">
        <f t="shared" si="2435"/>
        <v>0</v>
      </c>
      <c r="O2139" s="31">
        <f t="shared" si="2436"/>
        <v>0</v>
      </c>
      <c r="P2139" s="31">
        <f t="shared" si="2437"/>
        <v>0</v>
      </c>
      <c r="Q2139" s="49">
        <f t="shared" si="2438"/>
        <v>0</v>
      </c>
    </row>
    <row r="2140" spans="4:17" s="16" customFormat="1" ht="13.2" x14ac:dyDescent="0.25">
      <c r="D2140" s="235">
        <v>25</v>
      </c>
      <c r="E2140" s="237">
        <v>4</v>
      </c>
      <c r="F2140" s="238">
        <v>10</v>
      </c>
      <c r="G2140" s="239">
        <v>2.1800000000000002</v>
      </c>
      <c r="H2140" s="239">
        <f t="shared" si="2439"/>
        <v>8.7200000000000006</v>
      </c>
      <c r="I2140" s="131">
        <f t="shared" si="2440"/>
        <v>0</v>
      </c>
      <c r="J2140" s="31">
        <f t="shared" si="2431"/>
        <v>0</v>
      </c>
      <c r="K2140" s="31">
        <f t="shared" si="2432"/>
        <v>0</v>
      </c>
      <c r="L2140" s="31">
        <f t="shared" si="2433"/>
        <v>0</v>
      </c>
      <c r="M2140" s="31">
        <f t="shared" si="2434"/>
        <v>5.3802400000000006</v>
      </c>
      <c r="N2140" s="31">
        <f t="shared" si="2435"/>
        <v>0</v>
      </c>
      <c r="O2140" s="31">
        <f t="shared" si="2436"/>
        <v>0</v>
      </c>
      <c r="P2140" s="31">
        <f t="shared" si="2437"/>
        <v>0</v>
      </c>
      <c r="Q2140" s="49">
        <f t="shared" si="2438"/>
        <v>0</v>
      </c>
    </row>
    <row r="2141" spans="4:17" s="16" customFormat="1" ht="13.2" x14ac:dyDescent="0.25">
      <c r="D2141" s="235">
        <v>29</v>
      </c>
      <c r="E2141" s="237">
        <v>6</v>
      </c>
      <c r="F2141" s="238">
        <v>12.5</v>
      </c>
      <c r="G2141" s="239">
        <v>4.38</v>
      </c>
      <c r="H2141" s="239">
        <f t="shared" si="2430"/>
        <v>26.28</v>
      </c>
      <c r="I2141" s="131">
        <f>IF($F2141=4.2,H2141*$B$23,0)</f>
        <v>0</v>
      </c>
      <c r="J2141" s="31">
        <f t="shared" si="2431"/>
        <v>0</v>
      </c>
      <c r="K2141" s="31">
        <f t="shared" si="2432"/>
        <v>0</v>
      </c>
      <c r="L2141" s="31">
        <f t="shared" si="2433"/>
        <v>0</v>
      </c>
      <c r="M2141" s="31">
        <f t="shared" si="2434"/>
        <v>0</v>
      </c>
      <c r="N2141" s="31">
        <f t="shared" si="2435"/>
        <v>25.307639999999999</v>
      </c>
      <c r="O2141" s="31">
        <f t="shared" si="2436"/>
        <v>0</v>
      </c>
      <c r="P2141" s="31">
        <f t="shared" si="2437"/>
        <v>0</v>
      </c>
      <c r="Q2141" s="49">
        <f t="shared" si="2438"/>
        <v>0</v>
      </c>
    </row>
    <row r="2142" spans="4:17" s="16" customFormat="1" ht="13.2" x14ac:dyDescent="0.25">
      <c r="D2142" s="235">
        <v>31</v>
      </c>
      <c r="E2142" s="237">
        <v>2</v>
      </c>
      <c r="F2142" s="238">
        <v>12.5</v>
      </c>
      <c r="G2142" s="239">
        <v>8.3800000000000008</v>
      </c>
      <c r="H2142" s="239">
        <f t="shared" si="2430"/>
        <v>16.760000000000002</v>
      </c>
      <c r="I2142" s="131">
        <f>IF($F2142=4.2,H2142*$B$23,0)</f>
        <v>0</v>
      </c>
      <c r="J2142" s="31">
        <f t="shared" si="2431"/>
        <v>0</v>
      </c>
      <c r="K2142" s="31">
        <f t="shared" si="2432"/>
        <v>0</v>
      </c>
      <c r="L2142" s="31">
        <f t="shared" si="2433"/>
        <v>0</v>
      </c>
      <c r="M2142" s="31">
        <f t="shared" si="2434"/>
        <v>0</v>
      </c>
      <c r="N2142" s="31">
        <f t="shared" si="2435"/>
        <v>16.139880000000002</v>
      </c>
      <c r="O2142" s="31">
        <f t="shared" si="2436"/>
        <v>0</v>
      </c>
      <c r="P2142" s="31">
        <f t="shared" si="2437"/>
        <v>0</v>
      </c>
      <c r="Q2142" s="49">
        <f t="shared" si="2438"/>
        <v>0</v>
      </c>
    </row>
    <row r="2143" spans="4:17" s="16" customFormat="1" ht="13.2" x14ac:dyDescent="0.25">
      <c r="D2143" s="235">
        <v>32</v>
      </c>
      <c r="E2143" s="237">
        <v>2</v>
      </c>
      <c r="F2143" s="238">
        <v>12.5</v>
      </c>
      <c r="G2143" s="239">
        <v>3.3</v>
      </c>
      <c r="H2143" s="239">
        <f t="shared" si="2430"/>
        <v>6.6</v>
      </c>
      <c r="I2143" s="131">
        <f>IF($F2143=4.2,H2143*$B$23,0)</f>
        <v>0</v>
      </c>
      <c r="J2143" s="31">
        <f t="shared" si="2431"/>
        <v>0</v>
      </c>
      <c r="K2143" s="31">
        <f t="shared" si="2432"/>
        <v>0</v>
      </c>
      <c r="L2143" s="31">
        <f t="shared" si="2433"/>
        <v>0</v>
      </c>
      <c r="M2143" s="31">
        <f t="shared" si="2434"/>
        <v>0</v>
      </c>
      <c r="N2143" s="31">
        <f t="shared" si="2435"/>
        <v>6.3557999999999995</v>
      </c>
      <c r="O2143" s="31">
        <f t="shared" si="2436"/>
        <v>0</v>
      </c>
      <c r="P2143" s="31">
        <f t="shared" si="2437"/>
        <v>0</v>
      </c>
      <c r="Q2143" s="49">
        <f t="shared" si="2438"/>
        <v>0</v>
      </c>
    </row>
    <row r="2144" spans="4:17" s="16" customFormat="1" ht="13.8" thickBot="1" x14ac:dyDescent="0.3">
      <c r="D2144" s="27"/>
      <c r="E2144" s="185"/>
      <c r="F2144" s="32"/>
      <c r="G2144" s="33"/>
      <c r="H2144" s="28"/>
      <c r="I2144" s="51"/>
      <c r="J2144" s="52"/>
      <c r="K2144" s="52"/>
      <c r="L2144" s="52"/>
      <c r="M2144" s="52"/>
      <c r="N2144" s="52"/>
      <c r="O2144" s="52"/>
      <c r="P2144" s="52"/>
      <c r="Q2144" s="53"/>
    </row>
    <row r="2145" spans="2:20" s="16" customFormat="1" ht="15" customHeight="1" thickBot="1" x14ac:dyDescent="0.3">
      <c r="B2145" s="34"/>
      <c r="D2145" s="792" t="s">
        <v>196</v>
      </c>
      <c r="E2145" s="793"/>
      <c r="F2145" s="793"/>
      <c r="G2145" s="793"/>
      <c r="H2145" s="793"/>
      <c r="I2145" s="793"/>
      <c r="J2145" s="793"/>
      <c r="K2145" s="793"/>
      <c r="L2145" s="793"/>
      <c r="M2145" s="793"/>
      <c r="N2145" s="793"/>
      <c r="O2145" s="793"/>
      <c r="P2145" s="793"/>
      <c r="Q2145" s="794"/>
      <c r="S2145" s="795"/>
      <c r="T2145" s="795"/>
    </row>
    <row r="2146" spans="2:20" s="16" customFormat="1" ht="13.2" x14ac:dyDescent="0.25">
      <c r="D2146" s="810" t="s">
        <v>1277</v>
      </c>
      <c r="E2146" s="811"/>
      <c r="F2146" s="811"/>
      <c r="G2146" s="811"/>
      <c r="H2146" s="811"/>
      <c r="I2146" s="47">
        <f t="shared" ref="I2146:Q2146" si="2441">SUM(I2147:I2155)</f>
        <v>0</v>
      </c>
      <c r="J2146" s="47">
        <f t="shared" si="2441"/>
        <v>14.414399999999999</v>
      </c>
      <c r="K2146" s="47">
        <f t="shared" si="2441"/>
        <v>3.8367</v>
      </c>
      <c r="L2146" s="47">
        <f t="shared" si="2441"/>
        <v>0</v>
      </c>
      <c r="M2146" s="47">
        <f t="shared" si="2441"/>
        <v>0</v>
      </c>
      <c r="N2146" s="47">
        <f t="shared" si="2441"/>
        <v>74.767319999999984</v>
      </c>
      <c r="O2146" s="47">
        <f t="shared" si="2441"/>
        <v>0</v>
      </c>
      <c r="P2146" s="47">
        <f t="shared" si="2441"/>
        <v>0</v>
      </c>
      <c r="Q2146" s="47">
        <f t="shared" si="2441"/>
        <v>0</v>
      </c>
    </row>
    <row r="2147" spans="2:20" s="16" customFormat="1" ht="13.2" x14ac:dyDescent="0.25">
      <c r="D2147" s="235">
        <v>8</v>
      </c>
      <c r="E2147" s="237">
        <f>2*40</f>
        <v>80</v>
      </c>
      <c r="F2147" s="241">
        <v>5</v>
      </c>
      <c r="G2147" s="239">
        <v>1.17</v>
      </c>
      <c r="H2147" s="239">
        <f t="shared" ref="H2147:H2155" si="2442">E2147*G2147</f>
        <v>93.6</v>
      </c>
      <c r="I2147" s="131">
        <f t="shared" ref="I2147:I2155" si="2443">IF($F2147=4.2,H2147*$B$23,0)</f>
        <v>0</v>
      </c>
      <c r="J2147" s="31">
        <f t="shared" ref="J2147:J2155" si="2444">IF($F2147=5,$H2147*$B$24,0)</f>
        <v>14.414399999999999</v>
      </c>
      <c r="K2147" s="31">
        <f t="shared" ref="K2147:K2155" si="2445">IF($F2147=6.3,$H2147*$B$25,0)</f>
        <v>0</v>
      </c>
      <c r="L2147" s="31">
        <f t="shared" ref="L2147:L2155" si="2446">IF($F2147=8,$H2147*$B$26,0)</f>
        <v>0</v>
      </c>
      <c r="M2147" s="31">
        <f t="shared" ref="M2147:M2155" si="2447">IF($F2147=10,$H2147*$B$27,0)</f>
        <v>0</v>
      </c>
      <c r="N2147" s="31">
        <f t="shared" ref="N2147:N2155" si="2448">IF($F2147=12.5,$H2147*$B$28,0)</f>
        <v>0</v>
      </c>
      <c r="O2147" s="31">
        <f t="shared" ref="O2147:O2155" si="2449">IF($F2147=16,$H2147*$B$29,0)</f>
        <v>0</v>
      </c>
      <c r="P2147" s="31">
        <f t="shared" ref="P2147:P2155" si="2450">IF($F2147=20,$H2147*$B$30,0)</f>
        <v>0</v>
      </c>
      <c r="Q2147" s="49">
        <f t="shared" ref="Q2147:Q2155" si="2451">IF($F2147=25,$H2147*$B$31,0)</f>
        <v>0</v>
      </c>
    </row>
    <row r="2148" spans="2:20" s="16" customFormat="1" ht="13.2" x14ac:dyDescent="0.25">
      <c r="D2148" s="235">
        <v>12</v>
      </c>
      <c r="E2148" s="237">
        <f>2*1</f>
        <v>2</v>
      </c>
      <c r="F2148" s="241">
        <v>6.3</v>
      </c>
      <c r="G2148" s="242">
        <v>1.27</v>
      </c>
      <c r="H2148" s="239">
        <f t="shared" si="2442"/>
        <v>2.54</v>
      </c>
      <c r="I2148" s="131">
        <f t="shared" si="2443"/>
        <v>0</v>
      </c>
      <c r="J2148" s="31">
        <f t="shared" si="2444"/>
        <v>0</v>
      </c>
      <c r="K2148" s="31">
        <f t="shared" si="2445"/>
        <v>0.62229999999999996</v>
      </c>
      <c r="L2148" s="31">
        <f t="shared" si="2446"/>
        <v>0</v>
      </c>
      <c r="M2148" s="31">
        <f t="shared" si="2447"/>
        <v>0</v>
      </c>
      <c r="N2148" s="31">
        <f t="shared" si="2448"/>
        <v>0</v>
      </c>
      <c r="O2148" s="31">
        <f t="shared" si="2449"/>
        <v>0</v>
      </c>
      <c r="P2148" s="31">
        <f t="shared" si="2450"/>
        <v>0</v>
      </c>
      <c r="Q2148" s="49">
        <f t="shared" si="2451"/>
        <v>0</v>
      </c>
    </row>
    <row r="2149" spans="2:20" s="16" customFormat="1" ht="13.2" x14ac:dyDescent="0.25">
      <c r="D2149" s="235">
        <v>13</v>
      </c>
      <c r="E2149" s="237">
        <f>2*1</f>
        <v>2</v>
      </c>
      <c r="F2149" s="241">
        <v>6.3</v>
      </c>
      <c r="G2149" s="242">
        <v>1.3</v>
      </c>
      <c r="H2149" s="239">
        <f t="shared" si="2442"/>
        <v>2.6</v>
      </c>
      <c r="I2149" s="131">
        <f t="shared" si="2443"/>
        <v>0</v>
      </c>
      <c r="J2149" s="31">
        <f t="shared" si="2444"/>
        <v>0</v>
      </c>
      <c r="K2149" s="31">
        <f t="shared" si="2445"/>
        <v>0.63700000000000001</v>
      </c>
      <c r="L2149" s="31">
        <f t="shared" si="2446"/>
        <v>0</v>
      </c>
      <c r="M2149" s="31">
        <f t="shared" si="2447"/>
        <v>0</v>
      </c>
      <c r="N2149" s="31">
        <f t="shared" si="2448"/>
        <v>0</v>
      </c>
      <c r="O2149" s="31">
        <f t="shared" si="2449"/>
        <v>0</v>
      </c>
      <c r="P2149" s="31">
        <f t="shared" si="2450"/>
        <v>0</v>
      </c>
      <c r="Q2149" s="49">
        <f t="shared" si="2451"/>
        <v>0</v>
      </c>
    </row>
    <row r="2150" spans="2:20" s="16" customFormat="1" ht="13.2" x14ac:dyDescent="0.25">
      <c r="D2150" s="235">
        <v>14</v>
      </c>
      <c r="E2150" s="237">
        <f>2*2</f>
        <v>4</v>
      </c>
      <c r="F2150" s="241">
        <v>6.3</v>
      </c>
      <c r="G2150" s="242">
        <v>2.63</v>
      </c>
      <c r="H2150" s="239">
        <f t="shared" si="2442"/>
        <v>10.52</v>
      </c>
      <c r="I2150" s="131">
        <f t="shared" si="2443"/>
        <v>0</v>
      </c>
      <c r="J2150" s="31">
        <f t="shared" si="2444"/>
        <v>0</v>
      </c>
      <c r="K2150" s="31">
        <f t="shared" si="2445"/>
        <v>2.5773999999999999</v>
      </c>
      <c r="L2150" s="31">
        <f t="shared" si="2446"/>
        <v>0</v>
      </c>
      <c r="M2150" s="31">
        <f t="shared" si="2447"/>
        <v>0</v>
      </c>
      <c r="N2150" s="31">
        <f t="shared" si="2448"/>
        <v>0</v>
      </c>
      <c r="O2150" s="31">
        <f t="shared" si="2449"/>
        <v>0</v>
      </c>
      <c r="P2150" s="31">
        <f t="shared" si="2450"/>
        <v>0</v>
      </c>
      <c r="Q2150" s="49">
        <f t="shared" si="2451"/>
        <v>0</v>
      </c>
    </row>
    <row r="2151" spans="2:20" s="16" customFormat="1" ht="13.2" x14ac:dyDescent="0.25">
      <c r="D2151" s="235">
        <v>41</v>
      </c>
      <c r="E2151" s="237">
        <f>2*2</f>
        <v>4</v>
      </c>
      <c r="F2151" s="241">
        <v>12.5</v>
      </c>
      <c r="G2151" s="242">
        <v>2.78</v>
      </c>
      <c r="H2151" s="239">
        <f t="shared" si="2442"/>
        <v>11.12</v>
      </c>
      <c r="I2151" s="131">
        <f t="shared" si="2443"/>
        <v>0</v>
      </c>
      <c r="J2151" s="31">
        <f t="shared" si="2444"/>
        <v>0</v>
      </c>
      <c r="K2151" s="31">
        <f t="shared" si="2445"/>
        <v>0</v>
      </c>
      <c r="L2151" s="31">
        <f t="shared" si="2446"/>
        <v>0</v>
      </c>
      <c r="M2151" s="31">
        <f t="shared" si="2447"/>
        <v>0</v>
      </c>
      <c r="N2151" s="31">
        <f t="shared" si="2448"/>
        <v>10.708559999999999</v>
      </c>
      <c r="O2151" s="31">
        <f t="shared" si="2449"/>
        <v>0</v>
      </c>
      <c r="P2151" s="31">
        <f t="shared" si="2450"/>
        <v>0</v>
      </c>
      <c r="Q2151" s="49">
        <f t="shared" si="2451"/>
        <v>0</v>
      </c>
    </row>
    <row r="2152" spans="2:20" s="16" customFormat="1" ht="13.2" x14ac:dyDescent="0.25">
      <c r="D2152" s="235">
        <v>42</v>
      </c>
      <c r="E2152" s="237">
        <f>2*2</f>
        <v>4</v>
      </c>
      <c r="F2152" s="241">
        <v>12.5</v>
      </c>
      <c r="G2152" s="242">
        <v>2.36</v>
      </c>
      <c r="H2152" s="239">
        <f t="shared" si="2442"/>
        <v>9.44</v>
      </c>
      <c r="I2152" s="131">
        <f t="shared" si="2443"/>
        <v>0</v>
      </c>
      <c r="J2152" s="31">
        <f t="shared" si="2444"/>
        <v>0</v>
      </c>
      <c r="K2152" s="31">
        <f t="shared" si="2445"/>
        <v>0</v>
      </c>
      <c r="L2152" s="31">
        <f t="shared" si="2446"/>
        <v>0</v>
      </c>
      <c r="M2152" s="31">
        <f t="shared" si="2447"/>
        <v>0</v>
      </c>
      <c r="N2152" s="31">
        <f t="shared" si="2448"/>
        <v>9.0907199999999992</v>
      </c>
      <c r="O2152" s="31">
        <f t="shared" si="2449"/>
        <v>0</v>
      </c>
      <c r="P2152" s="31">
        <f t="shared" si="2450"/>
        <v>0</v>
      </c>
      <c r="Q2152" s="49">
        <f t="shared" si="2451"/>
        <v>0</v>
      </c>
    </row>
    <row r="2153" spans="2:20" s="16" customFormat="1" ht="13.2" x14ac:dyDescent="0.25">
      <c r="D2153" s="235">
        <v>43</v>
      </c>
      <c r="E2153" s="237">
        <f>2*3</f>
        <v>6</v>
      </c>
      <c r="F2153" s="241">
        <v>12.5</v>
      </c>
      <c r="G2153" s="242">
        <v>6.09</v>
      </c>
      <c r="H2153" s="239">
        <f t="shared" si="2442"/>
        <v>36.54</v>
      </c>
      <c r="I2153" s="131">
        <f t="shared" si="2443"/>
        <v>0</v>
      </c>
      <c r="J2153" s="31">
        <f t="shared" si="2444"/>
        <v>0</v>
      </c>
      <c r="K2153" s="31">
        <f t="shared" si="2445"/>
        <v>0</v>
      </c>
      <c r="L2153" s="31">
        <f t="shared" si="2446"/>
        <v>0</v>
      </c>
      <c r="M2153" s="31">
        <f t="shared" si="2447"/>
        <v>0</v>
      </c>
      <c r="N2153" s="31">
        <f t="shared" si="2448"/>
        <v>35.188019999999995</v>
      </c>
      <c r="O2153" s="31">
        <f t="shared" si="2449"/>
        <v>0</v>
      </c>
      <c r="P2153" s="31">
        <f t="shared" si="2450"/>
        <v>0</v>
      </c>
      <c r="Q2153" s="49">
        <f t="shared" si="2451"/>
        <v>0</v>
      </c>
    </row>
    <row r="2154" spans="2:20" s="16" customFormat="1" ht="13.2" x14ac:dyDescent="0.25">
      <c r="D2154" s="235">
        <v>44</v>
      </c>
      <c r="E2154" s="237">
        <f>2*1</f>
        <v>2</v>
      </c>
      <c r="F2154" s="241">
        <v>12.5</v>
      </c>
      <c r="G2154" s="242">
        <v>2.4500000000000002</v>
      </c>
      <c r="H2154" s="239">
        <f t="shared" si="2442"/>
        <v>4.9000000000000004</v>
      </c>
      <c r="I2154" s="131">
        <f t="shared" si="2443"/>
        <v>0</v>
      </c>
      <c r="J2154" s="31">
        <f t="shared" si="2444"/>
        <v>0</v>
      </c>
      <c r="K2154" s="31">
        <f t="shared" si="2445"/>
        <v>0</v>
      </c>
      <c r="L2154" s="31">
        <f t="shared" si="2446"/>
        <v>0</v>
      </c>
      <c r="M2154" s="31">
        <f t="shared" si="2447"/>
        <v>0</v>
      </c>
      <c r="N2154" s="31">
        <f t="shared" si="2448"/>
        <v>4.7187000000000001</v>
      </c>
      <c r="O2154" s="31">
        <f t="shared" si="2449"/>
        <v>0</v>
      </c>
      <c r="P2154" s="31">
        <f t="shared" si="2450"/>
        <v>0</v>
      </c>
      <c r="Q2154" s="49">
        <f t="shared" si="2451"/>
        <v>0</v>
      </c>
    </row>
    <row r="2155" spans="2:20" s="16" customFormat="1" ht="13.2" x14ac:dyDescent="0.25">
      <c r="D2155" s="235">
        <v>45</v>
      </c>
      <c r="E2155" s="237">
        <f>2*2</f>
        <v>4</v>
      </c>
      <c r="F2155" s="241">
        <v>12.5</v>
      </c>
      <c r="G2155" s="242">
        <v>3.91</v>
      </c>
      <c r="H2155" s="239">
        <f t="shared" si="2442"/>
        <v>15.64</v>
      </c>
      <c r="I2155" s="131">
        <f t="shared" si="2443"/>
        <v>0</v>
      </c>
      <c r="J2155" s="31">
        <f t="shared" si="2444"/>
        <v>0</v>
      </c>
      <c r="K2155" s="31">
        <f t="shared" si="2445"/>
        <v>0</v>
      </c>
      <c r="L2155" s="31">
        <f t="shared" si="2446"/>
        <v>0</v>
      </c>
      <c r="M2155" s="31">
        <f t="shared" si="2447"/>
        <v>0</v>
      </c>
      <c r="N2155" s="31">
        <f t="shared" si="2448"/>
        <v>15.06132</v>
      </c>
      <c r="O2155" s="31">
        <f t="shared" si="2449"/>
        <v>0</v>
      </c>
      <c r="P2155" s="31">
        <f t="shared" si="2450"/>
        <v>0</v>
      </c>
      <c r="Q2155" s="49">
        <f t="shared" si="2451"/>
        <v>0</v>
      </c>
    </row>
    <row r="2156" spans="2:20" s="16" customFormat="1" ht="15" customHeight="1" thickBot="1" x14ac:dyDescent="0.3">
      <c r="D2156" s="178"/>
      <c r="E2156" s="179"/>
      <c r="F2156" s="180"/>
      <c r="G2156" s="181"/>
      <c r="H2156" s="123"/>
      <c r="I2156" s="182"/>
      <c r="J2156" s="183"/>
      <c r="K2156" s="183"/>
      <c r="L2156" s="183"/>
      <c r="M2156" s="183"/>
      <c r="N2156" s="183"/>
      <c r="O2156" s="183"/>
      <c r="P2156" s="183"/>
      <c r="Q2156" s="184"/>
    </row>
    <row r="2157" spans="2:20" s="16" customFormat="1" ht="13.2" x14ac:dyDescent="0.25">
      <c r="D2157" s="814" t="s">
        <v>1278</v>
      </c>
      <c r="E2157" s="815"/>
      <c r="F2157" s="815"/>
      <c r="G2157" s="815"/>
      <c r="H2157" s="815"/>
      <c r="I2157" s="175">
        <f t="shared" ref="I2157:Q2157" si="2452">SUM(I2158:I2166)</f>
        <v>0</v>
      </c>
      <c r="J2157" s="175">
        <f t="shared" si="2452"/>
        <v>7.0270199999999994</v>
      </c>
      <c r="K2157" s="175">
        <f t="shared" si="2452"/>
        <v>1.91835</v>
      </c>
      <c r="L2157" s="175">
        <f t="shared" si="2452"/>
        <v>0</v>
      </c>
      <c r="M2157" s="175">
        <f t="shared" si="2452"/>
        <v>0</v>
      </c>
      <c r="N2157" s="175">
        <f t="shared" si="2452"/>
        <v>36.680669999999999</v>
      </c>
      <c r="O2157" s="175">
        <f t="shared" si="2452"/>
        <v>0</v>
      </c>
      <c r="P2157" s="175">
        <f t="shared" si="2452"/>
        <v>0</v>
      </c>
      <c r="Q2157" s="175">
        <f t="shared" si="2452"/>
        <v>0</v>
      </c>
    </row>
    <row r="2158" spans="2:20" s="16" customFormat="1" ht="13.2" x14ac:dyDescent="0.25">
      <c r="D2158" s="235">
        <v>8</v>
      </c>
      <c r="E2158" s="237">
        <v>39</v>
      </c>
      <c r="F2158" s="241">
        <v>5</v>
      </c>
      <c r="G2158" s="239">
        <v>1.17</v>
      </c>
      <c r="H2158" s="239">
        <f t="shared" ref="H2158:H2166" si="2453">E2158*G2158</f>
        <v>45.629999999999995</v>
      </c>
      <c r="I2158" s="131">
        <f t="shared" ref="I2158:I2166" si="2454">IF($F2158=4.2,H2158*$B$23,0)</f>
        <v>0</v>
      </c>
      <c r="J2158" s="31">
        <f t="shared" ref="J2158:J2166" si="2455">IF($F2158=5,$H2158*$B$24,0)</f>
        <v>7.0270199999999994</v>
      </c>
      <c r="K2158" s="31">
        <f t="shared" ref="K2158:K2166" si="2456">IF($F2158=6.3,$H2158*$B$25,0)</f>
        <v>0</v>
      </c>
      <c r="L2158" s="31">
        <f t="shared" ref="L2158:L2166" si="2457">IF($F2158=8,$H2158*$B$26,0)</f>
        <v>0</v>
      </c>
      <c r="M2158" s="31">
        <f t="shared" ref="M2158:M2166" si="2458">IF($F2158=10,$H2158*$B$27,0)</f>
        <v>0</v>
      </c>
      <c r="N2158" s="31">
        <f t="shared" ref="N2158:N2166" si="2459">IF($F2158=12.5,$H2158*$B$28,0)</f>
        <v>0</v>
      </c>
      <c r="O2158" s="31">
        <f t="shared" ref="O2158:O2166" si="2460">IF($F2158=16,$H2158*$B$29,0)</f>
        <v>0</v>
      </c>
      <c r="P2158" s="31">
        <f t="shared" ref="P2158:P2166" si="2461">IF($F2158=20,$H2158*$B$30,0)</f>
        <v>0</v>
      </c>
      <c r="Q2158" s="49">
        <f t="shared" ref="Q2158:Q2166" si="2462">IF($F2158=25,$H2158*$B$31,0)</f>
        <v>0</v>
      </c>
    </row>
    <row r="2159" spans="2:20" s="16" customFormat="1" ht="13.2" x14ac:dyDescent="0.25">
      <c r="D2159" s="235">
        <v>12</v>
      </c>
      <c r="E2159" s="237">
        <v>1</v>
      </c>
      <c r="F2159" s="241">
        <v>6.3</v>
      </c>
      <c r="G2159" s="242">
        <v>1.27</v>
      </c>
      <c r="H2159" s="239">
        <f t="shared" ref="H2159:H2162" si="2463">E2159*G2159</f>
        <v>1.27</v>
      </c>
      <c r="I2159" s="131">
        <f t="shared" ref="I2159:I2162" si="2464">IF($F2159=4.2,H2159*$B$23,0)</f>
        <v>0</v>
      </c>
      <c r="J2159" s="31">
        <f t="shared" si="2455"/>
        <v>0</v>
      </c>
      <c r="K2159" s="31">
        <f t="shared" si="2456"/>
        <v>0.31114999999999998</v>
      </c>
      <c r="L2159" s="31">
        <f t="shared" si="2457"/>
        <v>0</v>
      </c>
      <c r="M2159" s="31">
        <f t="shared" si="2458"/>
        <v>0</v>
      </c>
      <c r="N2159" s="31">
        <f t="shared" si="2459"/>
        <v>0</v>
      </c>
      <c r="O2159" s="31">
        <f t="shared" si="2460"/>
        <v>0</v>
      </c>
      <c r="P2159" s="31">
        <f t="shared" si="2461"/>
        <v>0</v>
      </c>
      <c r="Q2159" s="49">
        <f t="shared" si="2462"/>
        <v>0</v>
      </c>
    </row>
    <row r="2160" spans="2:20" s="16" customFormat="1" ht="13.2" x14ac:dyDescent="0.25">
      <c r="D2160" s="235">
        <v>13</v>
      </c>
      <c r="E2160" s="237">
        <v>1</v>
      </c>
      <c r="F2160" s="241">
        <v>6.3</v>
      </c>
      <c r="G2160" s="242">
        <v>1.3</v>
      </c>
      <c r="H2160" s="239">
        <f t="shared" si="2463"/>
        <v>1.3</v>
      </c>
      <c r="I2160" s="131">
        <f t="shared" si="2464"/>
        <v>0</v>
      </c>
      <c r="J2160" s="31">
        <f t="shared" si="2455"/>
        <v>0</v>
      </c>
      <c r="K2160" s="31">
        <f t="shared" si="2456"/>
        <v>0.31850000000000001</v>
      </c>
      <c r="L2160" s="31">
        <f t="shared" si="2457"/>
        <v>0</v>
      </c>
      <c r="M2160" s="31">
        <f t="shared" si="2458"/>
        <v>0</v>
      </c>
      <c r="N2160" s="31">
        <f t="shared" si="2459"/>
        <v>0</v>
      </c>
      <c r="O2160" s="31">
        <f t="shared" si="2460"/>
        <v>0</v>
      </c>
      <c r="P2160" s="31">
        <f t="shared" si="2461"/>
        <v>0</v>
      </c>
      <c r="Q2160" s="49">
        <f t="shared" si="2462"/>
        <v>0</v>
      </c>
    </row>
    <row r="2161" spans="4:17" s="16" customFormat="1" ht="13.2" x14ac:dyDescent="0.25">
      <c r="D2161" s="235">
        <v>14</v>
      </c>
      <c r="E2161" s="237">
        <v>2</v>
      </c>
      <c r="F2161" s="241">
        <v>6.3</v>
      </c>
      <c r="G2161" s="242">
        <v>2.63</v>
      </c>
      <c r="H2161" s="239">
        <f t="shared" si="2463"/>
        <v>5.26</v>
      </c>
      <c r="I2161" s="131">
        <f t="shared" si="2464"/>
        <v>0</v>
      </c>
      <c r="J2161" s="31">
        <f t="shared" si="2455"/>
        <v>0</v>
      </c>
      <c r="K2161" s="31">
        <f t="shared" si="2456"/>
        <v>1.2887</v>
      </c>
      <c r="L2161" s="31">
        <f t="shared" si="2457"/>
        <v>0</v>
      </c>
      <c r="M2161" s="31">
        <f t="shared" si="2458"/>
        <v>0</v>
      </c>
      <c r="N2161" s="31">
        <f t="shared" si="2459"/>
        <v>0</v>
      </c>
      <c r="O2161" s="31">
        <f t="shared" si="2460"/>
        <v>0</v>
      </c>
      <c r="P2161" s="31">
        <f t="shared" si="2461"/>
        <v>0</v>
      </c>
      <c r="Q2161" s="49">
        <f t="shared" si="2462"/>
        <v>0</v>
      </c>
    </row>
    <row r="2162" spans="4:17" s="16" customFormat="1" ht="13.2" x14ac:dyDescent="0.25">
      <c r="D2162" s="235">
        <v>43</v>
      </c>
      <c r="E2162" s="237">
        <v>3</v>
      </c>
      <c r="F2162" s="241">
        <v>12.5</v>
      </c>
      <c r="G2162" s="242">
        <v>6.09</v>
      </c>
      <c r="H2162" s="239">
        <f t="shared" si="2463"/>
        <v>18.27</v>
      </c>
      <c r="I2162" s="131">
        <f t="shared" si="2464"/>
        <v>0</v>
      </c>
      <c r="J2162" s="31">
        <f t="shared" si="2455"/>
        <v>0</v>
      </c>
      <c r="K2162" s="31">
        <f t="shared" si="2456"/>
        <v>0</v>
      </c>
      <c r="L2162" s="31">
        <f t="shared" si="2457"/>
        <v>0</v>
      </c>
      <c r="M2162" s="31">
        <f t="shared" si="2458"/>
        <v>0</v>
      </c>
      <c r="N2162" s="31">
        <f t="shared" si="2459"/>
        <v>17.594009999999997</v>
      </c>
      <c r="O2162" s="31">
        <f t="shared" si="2460"/>
        <v>0</v>
      </c>
      <c r="P2162" s="31">
        <f t="shared" si="2461"/>
        <v>0</v>
      </c>
      <c r="Q2162" s="49">
        <f t="shared" si="2462"/>
        <v>0</v>
      </c>
    </row>
    <row r="2163" spans="4:17" s="16" customFormat="1" ht="13.2" x14ac:dyDescent="0.25">
      <c r="D2163" s="235">
        <v>45</v>
      </c>
      <c r="E2163" s="237">
        <v>2</v>
      </c>
      <c r="F2163" s="241">
        <v>12.5</v>
      </c>
      <c r="G2163" s="242">
        <v>3.91</v>
      </c>
      <c r="H2163" s="239">
        <f t="shared" si="2453"/>
        <v>7.82</v>
      </c>
      <c r="I2163" s="131">
        <f t="shared" si="2454"/>
        <v>0</v>
      </c>
      <c r="J2163" s="31">
        <f t="shared" si="2455"/>
        <v>0</v>
      </c>
      <c r="K2163" s="31">
        <f t="shared" si="2456"/>
        <v>0</v>
      </c>
      <c r="L2163" s="31">
        <f t="shared" si="2457"/>
        <v>0</v>
      </c>
      <c r="M2163" s="31">
        <f t="shared" si="2458"/>
        <v>0</v>
      </c>
      <c r="N2163" s="31">
        <f t="shared" si="2459"/>
        <v>7.5306600000000001</v>
      </c>
      <c r="O2163" s="31">
        <f t="shared" si="2460"/>
        <v>0</v>
      </c>
      <c r="P2163" s="31">
        <f t="shared" si="2461"/>
        <v>0</v>
      </c>
      <c r="Q2163" s="49">
        <f t="shared" si="2462"/>
        <v>0</v>
      </c>
    </row>
    <row r="2164" spans="4:17" s="16" customFormat="1" ht="13.2" x14ac:dyDescent="0.25">
      <c r="D2164" s="235">
        <v>46</v>
      </c>
      <c r="E2164" s="237">
        <v>2</v>
      </c>
      <c r="F2164" s="241">
        <v>12.5</v>
      </c>
      <c r="G2164" s="242">
        <v>2.73</v>
      </c>
      <c r="H2164" s="239">
        <f t="shared" si="2453"/>
        <v>5.46</v>
      </c>
      <c r="I2164" s="131">
        <f t="shared" si="2454"/>
        <v>0</v>
      </c>
      <c r="J2164" s="31">
        <f t="shared" si="2455"/>
        <v>0</v>
      </c>
      <c r="K2164" s="31">
        <f t="shared" si="2456"/>
        <v>0</v>
      </c>
      <c r="L2164" s="31">
        <f t="shared" si="2457"/>
        <v>0</v>
      </c>
      <c r="M2164" s="31">
        <f t="shared" si="2458"/>
        <v>0</v>
      </c>
      <c r="N2164" s="31">
        <f t="shared" si="2459"/>
        <v>5.2579799999999999</v>
      </c>
      <c r="O2164" s="31">
        <f t="shared" si="2460"/>
        <v>0</v>
      </c>
      <c r="P2164" s="31">
        <f t="shared" si="2461"/>
        <v>0</v>
      </c>
      <c r="Q2164" s="49">
        <f t="shared" si="2462"/>
        <v>0</v>
      </c>
    </row>
    <row r="2165" spans="4:17" s="16" customFormat="1" ht="13.2" x14ac:dyDescent="0.25">
      <c r="D2165" s="235">
        <v>47</v>
      </c>
      <c r="E2165" s="237">
        <v>2</v>
      </c>
      <c r="F2165" s="241">
        <v>12.5</v>
      </c>
      <c r="G2165" s="242">
        <v>2.0699999999999998</v>
      </c>
      <c r="H2165" s="239">
        <f t="shared" si="2453"/>
        <v>4.1399999999999997</v>
      </c>
      <c r="I2165" s="131">
        <f t="shared" si="2454"/>
        <v>0</v>
      </c>
      <c r="J2165" s="31">
        <f t="shared" si="2455"/>
        <v>0</v>
      </c>
      <c r="K2165" s="31">
        <f t="shared" si="2456"/>
        <v>0</v>
      </c>
      <c r="L2165" s="31">
        <f t="shared" si="2457"/>
        <v>0</v>
      </c>
      <c r="M2165" s="31">
        <f t="shared" si="2458"/>
        <v>0</v>
      </c>
      <c r="N2165" s="31">
        <f t="shared" si="2459"/>
        <v>3.9868199999999994</v>
      </c>
      <c r="O2165" s="31">
        <f t="shared" si="2460"/>
        <v>0</v>
      </c>
      <c r="P2165" s="31">
        <f t="shared" si="2461"/>
        <v>0</v>
      </c>
      <c r="Q2165" s="49">
        <f t="shared" si="2462"/>
        <v>0</v>
      </c>
    </row>
    <row r="2166" spans="4:17" s="16" customFormat="1" ht="13.2" x14ac:dyDescent="0.25">
      <c r="D2166" s="235">
        <v>48</v>
      </c>
      <c r="E2166" s="237">
        <v>1</v>
      </c>
      <c r="F2166" s="241">
        <v>12.5</v>
      </c>
      <c r="G2166" s="242">
        <v>2.4</v>
      </c>
      <c r="H2166" s="239">
        <f t="shared" si="2453"/>
        <v>2.4</v>
      </c>
      <c r="I2166" s="131">
        <f t="shared" si="2454"/>
        <v>0</v>
      </c>
      <c r="J2166" s="31">
        <f t="shared" si="2455"/>
        <v>0</v>
      </c>
      <c r="K2166" s="31">
        <f t="shared" si="2456"/>
        <v>0</v>
      </c>
      <c r="L2166" s="31">
        <f t="shared" si="2457"/>
        <v>0</v>
      </c>
      <c r="M2166" s="31">
        <f t="shared" si="2458"/>
        <v>0</v>
      </c>
      <c r="N2166" s="31">
        <f t="shared" si="2459"/>
        <v>2.3111999999999999</v>
      </c>
      <c r="O2166" s="31">
        <f t="shared" si="2460"/>
        <v>0</v>
      </c>
      <c r="P2166" s="31">
        <f t="shared" si="2461"/>
        <v>0</v>
      </c>
      <c r="Q2166" s="49">
        <f t="shared" si="2462"/>
        <v>0</v>
      </c>
    </row>
    <row r="2167" spans="4:17" s="16" customFormat="1" ht="13.8" thickBot="1" x14ac:dyDescent="0.3">
      <c r="D2167" s="243"/>
      <c r="E2167" s="185"/>
      <c r="F2167" s="32"/>
      <c r="G2167" s="33"/>
      <c r="H2167" s="28"/>
      <c r="I2167" s="51"/>
      <c r="J2167" s="52"/>
      <c r="K2167" s="52"/>
      <c r="L2167" s="52"/>
      <c r="M2167" s="52"/>
      <c r="N2167" s="52"/>
      <c r="O2167" s="52"/>
      <c r="P2167" s="52"/>
      <c r="Q2167" s="53"/>
    </row>
    <row r="2168" spans="4:17" s="16" customFormat="1" ht="13.2" x14ac:dyDescent="0.25">
      <c r="D2168" s="810" t="s">
        <v>1279</v>
      </c>
      <c r="E2168" s="811"/>
      <c r="F2168" s="811"/>
      <c r="G2168" s="811"/>
      <c r="H2168" s="811"/>
      <c r="I2168" s="47">
        <f t="shared" ref="I2168:Q2168" si="2465">SUM(I2169:I2181)</f>
        <v>0</v>
      </c>
      <c r="J2168" s="47">
        <f t="shared" si="2465"/>
        <v>11.171159999999999</v>
      </c>
      <c r="K2168" s="47">
        <f t="shared" si="2465"/>
        <v>1.95265</v>
      </c>
      <c r="L2168" s="47">
        <f t="shared" si="2465"/>
        <v>0</v>
      </c>
      <c r="M2168" s="47">
        <f>SUM(M2169:M2181)</f>
        <v>6.6080699999999997</v>
      </c>
      <c r="N2168" s="47">
        <f t="shared" si="2465"/>
        <v>24.970590000000001</v>
      </c>
      <c r="O2168" s="47">
        <f t="shared" si="2465"/>
        <v>0</v>
      </c>
      <c r="P2168" s="47">
        <f t="shared" si="2465"/>
        <v>26.975000000000001</v>
      </c>
      <c r="Q2168" s="47">
        <f t="shared" si="2465"/>
        <v>0</v>
      </c>
    </row>
    <row r="2169" spans="4:17" s="16" customFormat="1" ht="13.2" x14ac:dyDescent="0.25">
      <c r="D2169" s="235">
        <v>8</v>
      </c>
      <c r="E2169" s="237">
        <v>62</v>
      </c>
      <c r="F2169" s="238">
        <v>5</v>
      </c>
      <c r="G2169" s="239">
        <v>1.17</v>
      </c>
      <c r="H2169" s="239">
        <f t="shared" ref="H2169:H2181" si="2466">E2169*G2169</f>
        <v>72.539999999999992</v>
      </c>
      <c r="I2169" s="131">
        <f t="shared" ref="I2169:I2181" si="2467">IF($F2169=4.2,H2169*$B$23,0)</f>
        <v>0</v>
      </c>
      <c r="J2169" s="31">
        <f t="shared" ref="J2169:J2181" si="2468">IF($F2169=5,$H2169*$B$24,0)</f>
        <v>11.171159999999999</v>
      </c>
      <c r="K2169" s="31">
        <f t="shared" ref="K2169:K2181" si="2469">IF($F2169=6.3,$H2169*$B$25,0)</f>
        <v>0</v>
      </c>
      <c r="L2169" s="31">
        <f t="shared" ref="L2169:L2181" si="2470">IF($F2169=8,$H2169*$B$26,0)</f>
        <v>0</v>
      </c>
      <c r="M2169" s="31">
        <f t="shared" ref="M2169:M2181" si="2471">IF($F2169=10,$H2169*$B$27,0)</f>
        <v>0</v>
      </c>
      <c r="N2169" s="31">
        <f t="shared" ref="N2169:N2181" si="2472">IF($F2169=12.5,$H2169*$B$28,0)</f>
        <v>0</v>
      </c>
      <c r="O2169" s="31">
        <f t="shared" ref="O2169:O2181" si="2473">IF($F2169=16,$H2169*$B$29,0)</f>
        <v>0</v>
      </c>
      <c r="P2169" s="31">
        <f t="shared" ref="P2169:P2181" si="2474">IF($F2169=20,$H2169*$B$30,0)</f>
        <v>0</v>
      </c>
      <c r="Q2169" s="49">
        <f t="shared" ref="Q2169:Q2181" si="2475">IF($F2169=25,$H2169*$B$31,0)</f>
        <v>0</v>
      </c>
    </row>
    <row r="2170" spans="4:17" s="16" customFormat="1" ht="13.2" x14ac:dyDescent="0.25">
      <c r="D2170" s="235">
        <v>15</v>
      </c>
      <c r="E2170" s="240">
        <v>1</v>
      </c>
      <c r="F2170" s="241">
        <v>6.3</v>
      </c>
      <c r="G2170" s="242">
        <v>1.22</v>
      </c>
      <c r="H2170" s="239">
        <f t="shared" si="2466"/>
        <v>1.22</v>
      </c>
      <c r="I2170" s="131">
        <f t="shared" si="2467"/>
        <v>0</v>
      </c>
      <c r="J2170" s="31">
        <f t="shared" si="2468"/>
        <v>0</v>
      </c>
      <c r="K2170" s="31">
        <f t="shared" si="2469"/>
        <v>0.2989</v>
      </c>
      <c r="L2170" s="31">
        <f t="shared" si="2470"/>
        <v>0</v>
      </c>
      <c r="M2170" s="31">
        <f t="shared" si="2471"/>
        <v>0</v>
      </c>
      <c r="N2170" s="31">
        <f t="shared" si="2472"/>
        <v>0</v>
      </c>
      <c r="O2170" s="31">
        <f t="shared" si="2473"/>
        <v>0</v>
      </c>
      <c r="P2170" s="31">
        <f t="shared" si="2474"/>
        <v>0</v>
      </c>
      <c r="Q2170" s="49">
        <f t="shared" si="2475"/>
        <v>0</v>
      </c>
    </row>
    <row r="2171" spans="4:17" s="16" customFormat="1" ht="13.2" x14ac:dyDescent="0.25">
      <c r="D2171" s="235">
        <v>16</v>
      </c>
      <c r="E2171" s="240">
        <v>1</v>
      </c>
      <c r="F2171" s="241">
        <v>6.3</v>
      </c>
      <c r="G2171" s="242">
        <v>1.25</v>
      </c>
      <c r="H2171" s="239">
        <f t="shared" si="2466"/>
        <v>1.25</v>
      </c>
      <c r="I2171" s="131">
        <f t="shared" si="2467"/>
        <v>0</v>
      </c>
      <c r="J2171" s="31">
        <f t="shared" si="2468"/>
        <v>0</v>
      </c>
      <c r="K2171" s="31">
        <f t="shared" si="2469"/>
        <v>0.30625000000000002</v>
      </c>
      <c r="L2171" s="31">
        <f t="shared" si="2470"/>
        <v>0</v>
      </c>
      <c r="M2171" s="31">
        <f t="shared" si="2471"/>
        <v>0</v>
      </c>
      <c r="N2171" s="31">
        <f t="shared" si="2472"/>
        <v>0</v>
      </c>
      <c r="O2171" s="31">
        <f t="shared" si="2473"/>
        <v>0</v>
      </c>
      <c r="P2171" s="31">
        <f t="shared" si="2474"/>
        <v>0</v>
      </c>
      <c r="Q2171" s="49">
        <f t="shared" si="2475"/>
        <v>0</v>
      </c>
    </row>
    <row r="2172" spans="4:17" s="16" customFormat="1" ht="13.2" x14ac:dyDescent="0.25">
      <c r="D2172" s="235">
        <v>17</v>
      </c>
      <c r="E2172" s="240">
        <v>2</v>
      </c>
      <c r="F2172" s="241">
        <v>6.3</v>
      </c>
      <c r="G2172" s="242">
        <v>2.75</v>
      </c>
      <c r="H2172" s="239">
        <f t="shared" si="2466"/>
        <v>5.5</v>
      </c>
      <c r="I2172" s="131">
        <f t="shared" si="2467"/>
        <v>0</v>
      </c>
      <c r="J2172" s="31">
        <f t="shared" si="2468"/>
        <v>0</v>
      </c>
      <c r="K2172" s="31">
        <f t="shared" si="2469"/>
        <v>1.3474999999999999</v>
      </c>
      <c r="L2172" s="31">
        <f t="shared" si="2470"/>
        <v>0</v>
      </c>
      <c r="M2172" s="31">
        <f t="shared" si="2471"/>
        <v>0</v>
      </c>
      <c r="N2172" s="31">
        <f t="shared" si="2472"/>
        <v>0</v>
      </c>
      <c r="O2172" s="31">
        <f t="shared" si="2473"/>
        <v>0</v>
      </c>
      <c r="P2172" s="31">
        <f t="shared" si="2474"/>
        <v>0</v>
      </c>
      <c r="Q2172" s="49">
        <f t="shared" si="2475"/>
        <v>0</v>
      </c>
    </row>
    <row r="2173" spans="4:17" s="16" customFormat="1" ht="13.2" x14ac:dyDescent="0.25">
      <c r="D2173" s="235">
        <v>23</v>
      </c>
      <c r="E2173" s="240">
        <v>9</v>
      </c>
      <c r="F2173" s="241">
        <v>10</v>
      </c>
      <c r="G2173" s="242">
        <v>1.19</v>
      </c>
      <c r="H2173" s="239">
        <f t="shared" si="2466"/>
        <v>10.709999999999999</v>
      </c>
      <c r="I2173" s="131">
        <f t="shared" si="2467"/>
        <v>0</v>
      </c>
      <c r="J2173" s="31">
        <f t="shared" si="2468"/>
        <v>0</v>
      </c>
      <c r="K2173" s="31">
        <f t="shared" si="2469"/>
        <v>0</v>
      </c>
      <c r="L2173" s="31">
        <f t="shared" si="2470"/>
        <v>0</v>
      </c>
      <c r="M2173" s="31">
        <f t="shared" si="2471"/>
        <v>6.6080699999999997</v>
      </c>
      <c r="N2173" s="31">
        <f t="shared" si="2472"/>
        <v>0</v>
      </c>
      <c r="O2173" s="31">
        <f t="shared" si="2473"/>
        <v>0</v>
      </c>
      <c r="P2173" s="31">
        <f t="shared" si="2474"/>
        <v>0</v>
      </c>
      <c r="Q2173" s="49">
        <f t="shared" si="2475"/>
        <v>0</v>
      </c>
    </row>
    <row r="2174" spans="4:17" s="16" customFormat="1" ht="13.2" x14ac:dyDescent="0.25">
      <c r="D2174" s="235">
        <v>46</v>
      </c>
      <c r="E2174" s="240">
        <v>2</v>
      </c>
      <c r="F2174" s="241">
        <v>12.5</v>
      </c>
      <c r="G2174" s="242">
        <v>2.73</v>
      </c>
      <c r="H2174" s="239">
        <f t="shared" si="2466"/>
        <v>5.46</v>
      </c>
      <c r="I2174" s="131">
        <f t="shared" si="2467"/>
        <v>0</v>
      </c>
      <c r="J2174" s="31">
        <f t="shared" si="2468"/>
        <v>0</v>
      </c>
      <c r="K2174" s="31">
        <f t="shared" si="2469"/>
        <v>0</v>
      </c>
      <c r="L2174" s="31">
        <f t="shared" si="2470"/>
        <v>0</v>
      </c>
      <c r="M2174" s="31">
        <f t="shared" si="2471"/>
        <v>0</v>
      </c>
      <c r="N2174" s="31">
        <f t="shared" si="2472"/>
        <v>5.2579799999999999</v>
      </c>
      <c r="O2174" s="31">
        <f t="shared" si="2473"/>
        <v>0</v>
      </c>
      <c r="P2174" s="31">
        <f t="shared" si="2474"/>
        <v>0</v>
      </c>
      <c r="Q2174" s="49">
        <f t="shared" si="2475"/>
        <v>0</v>
      </c>
    </row>
    <row r="2175" spans="4:17" s="16" customFormat="1" ht="13.2" x14ac:dyDescent="0.25">
      <c r="D2175" s="235">
        <v>49</v>
      </c>
      <c r="E2175" s="240">
        <v>1</v>
      </c>
      <c r="F2175" s="241">
        <v>12.5</v>
      </c>
      <c r="G2175" s="242">
        <v>1</v>
      </c>
      <c r="H2175" s="239">
        <f t="shared" si="2466"/>
        <v>1</v>
      </c>
      <c r="I2175" s="131">
        <f t="shared" si="2467"/>
        <v>0</v>
      </c>
      <c r="J2175" s="31">
        <f t="shared" si="2468"/>
        <v>0</v>
      </c>
      <c r="K2175" s="31">
        <f t="shared" si="2469"/>
        <v>0</v>
      </c>
      <c r="L2175" s="31">
        <f t="shared" si="2470"/>
        <v>0</v>
      </c>
      <c r="M2175" s="31">
        <f t="shared" si="2471"/>
        <v>0</v>
      </c>
      <c r="N2175" s="31">
        <f t="shared" si="2472"/>
        <v>0.96299999999999997</v>
      </c>
      <c r="O2175" s="31">
        <f t="shared" si="2473"/>
        <v>0</v>
      </c>
      <c r="P2175" s="31">
        <f t="shared" si="2474"/>
        <v>0</v>
      </c>
      <c r="Q2175" s="49">
        <f t="shared" si="2475"/>
        <v>0</v>
      </c>
    </row>
    <row r="2176" spans="4:17" s="16" customFormat="1" ht="13.2" x14ac:dyDescent="0.25">
      <c r="D2176" s="235">
        <v>50</v>
      </c>
      <c r="E2176" s="240">
        <v>1</v>
      </c>
      <c r="F2176" s="241">
        <v>12.5</v>
      </c>
      <c r="G2176" s="242">
        <v>1.03</v>
      </c>
      <c r="H2176" s="239">
        <f t="shared" si="2466"/>
        <v>1.03</v>
      </c>
      <c r="I2176" s="131">
        <f t="shared" si="2467"/>
        <v>0</v>
      </c>
      <c r="J2176" s="31">
        <f t="shared" si="2468"/>
        <v>0</v>
      </c>
      <c r="K2176" s="31">
        <f t="shared" si="2469"/>
        <v>0</v>
      </c>
      <c r="L2176" s="31">
        <f t="shared" si="2470"/>
        <v>0</v>
      </c>
      <c r="M2176" s="31">
        <f t="shared" si="2471"/>
        <v>0</v>
      </c>
      <c r="N2176" s="31">
        <f t="shared" si="2472"/>
        <v>0.99188999999999994</v>
      </c>
      <c r="O2176" s="31">
        <f t="shared" si="2473"/>
        <v>0</v>
      </c>
      <c r="P2176" s="31">
        <f t="shared" si="2474"/>
        <v>0</v>
      </c>
      <c r="Q2176" s="49">
        <f t="shared" si="2475"/>
        <v>0</v>
      </c>
    </row>
    <row r="2177" spans="4:17" s="16" customFormat="1" ht="13.2" x14ac:dyDescent="0.25">
      <c r="D2177" s="235">
        <v>51</v>
      </c>
      <c r="E2177" s="240">
        <v>1</v>
      </c>
      <c r="F2177" s="241">
        <v>12.5</v>
      </c>
      <c r="G2177" s="242">
        <v>6.12</v>
      </c>
      <c r="H2177" s="239">
        <f t="shared" si="2466"/>
        <v>6.12</v>
      </c>
      <c r="I2177" s="131">
        <f t="shared" si="2467"/>
        <v>0</v>
      </c>
      <c r="J2177" s="31">
        <f t="shared" si="2468"/>
        <v>0</v>
      </c>
      <c r="K2177" s="31">
        <f t="shared" si="2469"/>
        <v>0</v>
      </c>
      <c r="L2177" s="31">
        <f t="shared" si="2470"/>
        <v>0</v>
      </c>
      <c r="M2177" s="31">
        <f t="shared" si="2471"/>
        <v>0</v>
      </c>
      <c r="N2177" s="31">
        <f t="shared" si="2472"/>
        <v>5.8935599999999999</v>
      </c>
      <c r="O2177" s="31">
        <f t="shared" si="2473"/>
        <v>0</v>
      </c>
      <c r="P2177" s="31">
        <f t="shared" si="2474"/>
        <v>0</v>
      </c>
      <c r="Q2177" s="49">
        <f t="shared" si="2475"/>
        <v>0</v>
      </c>
    </row>
    <row r="2178" spans="4:17" s="16" customFormat="1" ht="13.2" x14ac:dyDescent="0.25">
      <c r="D2178" s="235">
        <v>52</v>
      </c>
      <c r="E2178" s="240">
        <v>2</v>
      </c>
      <c r="F2178" s="241">
        <v>12.5</v>
      </c>
      <c r="G2178" s="242">
        <v>6.16</v>
      </c>
      <c r="H2178" s="239">
        <f t="shared" si="2466"/>
        <v>12.32</v>
      </c>
      <c r="I2178" s="131">
        <f t="shared" si="2467"/>
        <v>0</v>
      </c>
      <c r="J2178" s="31">
        <f t="shared" si="2468"/>
        <v>0</v>
      </c>
      <c r="K2178" s="31">
        <f t="shared" si="2469"/>
        <v>0</v>
      </c>
      <c r="L2178" s="31">
        <f t="shared" si="2470"/>
        <v>0</v>
      </c>
      <c r="M2178" s="31">
        <f t="shared" si="2471"/>
        <v>0</v>
      </c>
      <c r="N2178" s="31">
        <f t="shared" si="2472"/>
        <v>11.86416</v>
      </c>
      <c r="O2178" s="31">
        <f t="shared" si="2473"/>
        <v>0</v>
      </c>
      <c r="P2178" s="31">
        <f t="shared" si="2474"/>
        <v>0</v>
      </c>
      <c r="Q2178" s="49">
        <f t="shared" si="2475"/>
        <v>0</v>
      </c>
    </row>
    <row r="2179" spans="4:17" s="16" customFormat="1" ht="13.2" x14ac:dyDescent="0.25">
      <c r="D2179" s="235">
        <v>57</v>
      </c>
      <c r="E2179" s="240">
        <v>1</v>
      </c>
      <c r="F2179" s="241">
        <v>20</v>
      </c>
      <c r="G2179" s="242">
        <v>2.79</v>
      </c>
      <c r="H2179" s="239">
        <f t="shared" si="2466"/>
        <v>2.79</v>
      </c>
      <c r="I2179" s="131">
        <f t="shared" si="2467"/>
        <v>0</v>
      </c>
      <c r="J2179" s="31">
        <f t="shared" si="2468"/>
        <v>0</v>
      </c>
      <c r="K2179" s="31">
        <f t="shared" si="2469"/>
        <v>0</v>
      </c>
      <c r="L2179" s="31">
        <f t="shared" si="2470"/>
        <v>0</v>
      </c>
      <c r="M2179" s="31">
        <f t="shared" si="2471"/>
        <v>0</v>
      </c>
      <c r="N2179" s="31">
        <f t="shared" si="2472"/>
        <v>0</v>
      </c>
      <c r="O2179" s="31">
        <f t="shared" si="2473"/>
        <v>0</v>
      </c>
      <c r="P2179" s="31">
        <f t="shared" si="2474"/>
        <v>6.9749999999999996</v>
      </c>
      <c r="Q2179" s="49">
        <f t="shared" si="2475"/>
        <v>0</v>
      </c>
    </row>
    <row r="2180" spans="4:17" s="16" customFormat="1" ht="13.2" x14ac:dyDescent="0.25">
      <c r="D2180" s="235">
        <v>58</v>
      </c>
      <c r="E2180" s="240">
        <v>2</v>
      </c>
      <c r="F2180" s="241">
        <v>20</v>
      </c>
      <c r="G2180" s="242">
        <v>4</v>
      </c>
      <c r="H2180" s="239">
        <f t="shared" si="2466"/>
        <v>8</v>
      </c>
      <c r="I2180" s="131">
        <f t="shared" si="2467"/>
        <v>0</v>
      </c>
      <c r="J2180" s="31">
        <f t="shared" si="2468"/>
        <v>0</v>
      </c>
      <c r="K2180" s="31">
        <f t="shared" si="2469"/>
        <v>0</v>
      </c>
      <c r="L2180" s="31">
        <f t="shared" si="2470"/>
        <v>0</v>
      </c>
      <c r="M2180" s="31">
        <f t="shared" si="2471"/>
        <v>0</v>
      </c>
      <c r="N2180" s="31">
        <f t="shared" si="2472"/>
        <v>0</v>
      </c>
      <c r="O2180" s="31">
        <f t="shared" si="2473"/>
        <v>0</v>
      </c>
      <c r="P2180" s="31">
        <f t="shared" si="2474"/>
        <v>20</v>
      </c>
      <c r="Q2180" s="49">
        <f t="shared" si="2475"/>
        <v>0</v>
      </c>
    </row>
    <row r="2181" spans="4:17" s="16" customFormat="1" ht="13.2" x14ac:dyDescent="0.25">
      <c r="D2181" s="235"/>
      <c r="E2181" s="240"/>
      <c r="F2181" s="241"/>
      <c r="G2181" s="242"/>
      <c r="H2181" s="239">
        <f t="shared" si="2466"/>
        <v>0</v>
      </c>
      <c r="I2181" s="131">
        <f t="shared" si="2467"/>
        <v>0</v>
      </c>
      <c r="J2181" s="31">
        <f t="shared" si="2468"/>
        <v>0</v>
      </c>
      <c r="K2181" s="31">
        <f t="shared" si="2469"/>
        <v>0</v>
      </c>
      <c r="L2181" s="31">
        <f t="shared" si="2470"/>
        <v>0</v>
      </c>
      <c r="M2181" s="31">
        <f t="shared" si="2471"/>
        <v>0</v>
      </c>
      <c r="N2181" s="31">
        <f t="shared" si="2472"/>
        <v>0</v>
      </c>
      <c r="O2181" s="31">
        <f t="shared" si="2473"/>
        <v>0</v>
      </c>
      <c r="P2181" s="31">
        <f t="shared" si="2474"/>
        <v>0</v>
      </c>
      <c r="Q2181" s="49">
        <f t="shared" si="2475"/>
        <v>0</v>
      </c>
    </row>
    <row r="2182" spans="4:17" s="16" customFormat="1" ht="13.8" thickBot="1" x14ac:dyDescent="0.3">
      <c r="D2182" s="55"/>
      <c r="E2182" s="56"/>
      <c r="F2182" s="57"/>
      <c r="G2182" s="123"/>
      <c r="H2182" s="123"/>
      <c r="I2182" s="124"/>
      <c r="J2182" s="30"/>
      <c r="K2182" s="30"/>
      <c r="L2182" s="30"/>
      <c r="M2182" s="30"/>
      <c r="N2182" s="30"/>
      <c r="O2182" s="30"/>
      <c r="P2182" s="30"/>
      <c r="Q2182" s="54"/>
    </row>
    <row r="2183" spans="4:17" s="16" customFormat="1" ht="13.2" x14ac:dyDescent="0.25">
      <c r="D2183" s="810" t="s">
        <v>1280</v>
      </c>
      <c r="E2183" s="811"/>
      <c r="F2183" s="811"/>
      <c r="G2183" s="811"/>
      <c r="H2183" s="811"/>
      <c r="I2183" s="175">
        <f t="shared" ref="I2183:Q2183" si="2476">SUM(I2184:I2193)</f>
        <v>0</v>
      </c>
      <c r="J2183" s="175">
        <f t="shared" si="2476"/>
        <v>7.0270199999999994</v>
      </c>
      <c r="K2183" s="175">
        <f t="shared" si="2476"/>
        <v>1.274</v>
      </c>
      <c r="L2183" s="175">
        <f t="shared" si="2476"/>
        <v>0</v>
      </c>
      <c r="M2183" s="175">
        <f>SUM(M2184:M2193)</f>
        <v>0</v>
      </c>
      <c r="N2183" s="175">
        <f t="shared" si="2476"/>
        <v>36.680669999999999</v>
      </c>
      <c r="O2183" s="175">
        <f t="shared" si="2476"/>
        <v>0</v>
      </c>
      <c r="P2183" s="175">
        <f t="shared" si="2476"/>
        <v>0</v>
      </c>
      <c r="Q2183" s="175">
        <f t="shared" si="2476"/>
        <v>0</v>
      </c>
    </row>
    <row r="2184" spans="4:17" s="16" customFormat="1" ht="13.2" x14ac:dyDescent="0.25">
      <c r="D2184" s="235">
        <v>8</v>
      </c>
      <c r="E2184" s="237">
        <v>39</v>
      </c>
      <c r="F2184" s="238">
        <v>5</v>
      </c>
      <c r="G2184" s="239">
        <v>1.17</v>
      </c>
      <c r="H2184" s="239">
        <f t="shared" ref="H2184:H2193" si="2477">E2184*G2184</f>
        <v>45.629999999999995</v>
      </c>
      <c r="I2184" s="131">
        <f t="shared" ref="I2184:I2193" si="2478">IF($F2184=4.2,H2184*$B$23,0)</f>
        <v>0</v>
      </c>
      <c r="J2184" s="31">
        <f t="shared" ref="J2184:J2193" si="2479">IF($F2184=5,$H2184*$B$24,0)</f>
        <v>7.0270199999999994</v>
      </c>
      <c r="K2184" s="31">
        <f t="shared" ref="K2184:K2193" si="2480">IF($F2184=6.3,$H2184*$B$25,0)</f>
        <v>0</v>
      </c>
      <c r="L2184" s="31">
        <f t="shared" ref="L2184:L2193" si="2481">IF($F2184=8,$H2184*$B$26,0)</f>
        <v>0</v>
      </c>
      <c r="M2184" s="31">
        <f t="shared" ref="M2184:M2193" si="2482">IF($F2184=10,$H2184*$B$27,0)</f>
        <v>0</v>
      </c>
      <c r="N2184" s="31">
        <f t="shared" ref="N2184:N2193" si="2483">IF($F2184=12.5,$H2184*$B$28,0)</f>
        <v>0</v>
      </c>
      <c r="O2184" s="31">
        <f t="shared" ref="O2184:O2193" si="2484">IF($F2184=16,$H2184*$B$29,0)</f>
        <v>0</v>
      </c>
      <c r="P2184" s="31">
        <f t="shared" ref="P2184:P2193" si="2485">IF($F2184=20,$H2184*$B$30,0)</f>
        <v>0</v>
      </c>
      <c r="Q2184" s="49">
        <f t="shared" ref="Q2184:Q2193" si="2486">IF($F2184=25,$H2184*$B$31,0)</f>
        <v>0</v>
      </c>
    </row>
    <row r="2185" spans="4:17" s="16" customFormat="1" ht="13.2" x14ac:dyDescent="0.25">
      <c r="D2185" s="235">
        <v>12</v>
      </c>
      <c r="E2185" s="240">
        <v>1</v>
      </c>
      <c r="F2185" s="241">
        <v>6.3</v>
      </c>
      <c r="G2185" s="242">
        <v>1.27</v>
      </c>
      <c r="H2185" s="239">
        <f t="shared" si="2477"/>
        <v>1.27</v>
      </c>
      <c r="I2185" s="131">
        <f t="shared" si="2478"/>
        <v>0</v>
      </c>
      <c r="J2185" s="31">
        <f t="shared" si="2479"/>
        <v>0</v>
      </c>
      <c r="K2185" s="31">
        <f t="shared" si="2480"/>
        <v>0.31114999999999998</v>
      </c>
      <c r="L2185" s="31">
        <f t="shared" si="2481"/>
        <v>0</v>
      </c>
      <c r="M2185" s="31">
        <f t="shared" si="2482"/>
        <v>0</v>
      </c>
      <c r="N2185" s="31">
        <f t="shared" si="2483"/>
        <v>0</v>
      </c>
      <c r="O2185" s="31">
        <f t="shared" si="2484"/>
        <v>0</v>
      </c>
      <c r="P2185" s="31">
        <f t="shared" si="2485"/>
        <v>0</v>
      </c>
      <c r="Q2185" s="49">
        <f t="shared" si="2486"/>
        <v>0</v>
      </c>
    </row>
    <row r="2186" spans="4:17" s="16" customFormat="1" ht="13.2" x14ac:dyDescent="0.25">
      <c r="D2186" s="235">
        <v>13</v>
      </c>
      <c r="E2186" s="240">
        <v>1</v>
      </c>
      <c r="F2186" s="241">
        <v>6.3</v>
      </c>
      <c r="G2186" s="242">
        <v>1.3</v>
      </c>
      <c r="H2186" s="239">
        <f t="shared" si="2477"/>
        <v>1.3</v>
      </c>
      <c r="I2186" s="131">
        <f t="shared" si="2478"/>
        <v>0</v>
      </c>
      <c r="J2186" s="31">
        <f t="shared" si="2479"/>
        <v>0</v>
      </c>
      <c r="K2186" s="31">
        <f t="shared" si="2480"/>
        <v>0.31850000000000001</v>
      </c>
      <c r="L2186" s="31">
        <f t="shared" si="2481"/>
        <v>0</v>
      </c>
      <c r="M2186" s="31">
        <f t="shared" si="2482"/>
        <v>0</v>
      </c>
      <c r="N2186" s="31">
        <f t="shared" si="2483"/>
        <v>0</v>
      </c>
      <c r="O2186" s="31">
        <f t="shared" si="2484"/>
        <v>0</v>
      </c>
      <c r="P2186" s="31">
        <f t="shared" si="2485"/>
        <v>0</v>
      </c>
      <c r="Q2186" s="49">
        <f t="shared" si="2486"/>
        <v>0</v>
      </c>
    </row>
    <row r="2187" spans="4:17" s="16" customFormat="1" ht="13.2" x14ac:dyDescent="0.25">
      <c r="D2187" s="235">
        <v>14</v>
      </c>
      <c r="E2187" s="240">
        <v>1</v>
      </c>
      <c r="F2187" s="241">
        <v>6.3</v>
      </c>
      <c r="G2187" s="242">
        <v>2.63</v>
      </c>
      <c r="H2187" s="239">
        <f t="shared" si="2477"/>
        <v>2.63</v>
      </c>
      <c r="I2187" s="131">
        <f t="shared" si="2478"/>
        <v>0</v>
      </c>
      <c r="J2187" s="31">
        <f t="shared" si="2479"/>
        <v>0</v>
      </c>
      <c r="K2187" s="31">
        <f t="shared" si="2480"/>
        <v>0.64434999999999998</v>
      </c>
      <c r="L2187" s="31">
        <f t="shared" si="2481"/>
        <v>0</v>
      </c>
      <c r="M2187" s="31">
        <f t="shared" si="2482"/>
        <v>0</v>
      </c>
      <c r="N2187" s="31">
        <f t="shared" si="2483"/>
        <v>0</v>
      </c>
      <c r="O2187" s="31">
        <f t="shared" si="2484"/>
        <v>0</v>
      </c>
      <c r="P2187" s="31">
        <f t="shared" si="2485"/>
        <v>0</v>
      </c>
      <c r="Q2187" s="49">
        <f t="shared" si="2486"/>
        <v>0</v>
      </c>
    </row>
    <row r="2188" spans="4:17" s="16" customFormat="1" ht="13.2" x14ac:dyDescent="0.25">
      <c r="D2188" s="235">
        <v>43</v>
      </c>
      <c r="E2188" s="240">
        <v>3</v>
      </c>
      <c r="F2188" s="241">
        <v>12.5</v>
      </c>
      <c r="G2188" s="242">
        <v>6.09</v>
      </c>
      <c r="H2188" s="239">
        <f t="shared" si="2477"/>
        <v>18.27</v>
      </c>
      <c r="I2188" s="131">
        <f t="shared" si="2478"/>
        <v>0</v>
      </c>
      <c r="J2188" s="31">
        <f t="shared" si="2479"/>
        <v>0</v>
      </c>
      <c r="K2188" s="31">
        <f t="shared" si="2480"/>
        <v>0</v>
      </c>
      <c r="L2188" s="31">
        <f t="shared" si="2481"/>
        <v>0</v>
      </c>
      <c r="M2188" s="31">
        <f t="shared" si="2482"/>
        <v>0</v>
      </c>
      <c r="N2188" s="31">
        <f t="shared" si="2483"/>
        <v>17.594009999999997</v>
      </c>
      <c r="O2188" s="31">
        <f t="shared" si="2484"/>
        <v>0</v>
      </c>
      <c r="P2188" s="31">
        <f t="shared" si="2485"/>
        <v>0</v>
      </c>
      <c r="Q2188" s="49">
        <f t="shared" si="2486"/>
        <v>0</v>
      </c>
    </row>
    <row r="2189" spans="4:17" s="16" customFormat="1" ht="13.2" x14ac:dyDescent="0.25">
      <c r="D2189" s="235">
        <v>45</v>
      </c>
      <c r="E2189" s="240">
        <v>2</v>
      </c>
      <c r="F2189" s="241">
        <v>12.5</v>
      </c>
      <c r="G2189" s="242">
        <v>3.91</v>
      </c>
      <c r="H2189" s="239">
        <f t="shared" si="2477"/>
        <v>7.82</v>
      </c>
      <c r="I2189" s="131">
        <f t="shared" si="2478"/>
        <v>0</v>
      </c>
      <c r="J2189" s="31">
        <f t="shared" si="2479"/>
        <v>0</v>
      </c>
      <c r="K2189" s="31">
        <f t="shared" si="2480"/>
        <v>0</v>
      </c>
      <c r="L2189" s="31">
        <f t="shared" si="2481"/>
        <v>0</v>
      </c>
      <c r="M2189" s="31">
        <f t="shared" si="2482"/>
        <v>0</v>
      </c>
      <c r="N2189" s="31">
        <f t="shared" si="2483"/>
        <v>7.5306600000000001</v>
      </c>
      <c r="O2189" s="31">
        <f t="shared" si="2484"/>
        <v>0</v>
      </c>
      <c r="P2189" s="31">
        <f t="shared" si="2485"/>
        <v>0</v>
      </c>
      <c r="Q2189" s="49">
        <f t="shared" si="2486"/>
        <v>0</v>
      </c>
    </row>
    <row r="2190" spans="4:17" s="16" customFormat="1" ht="13.2" x14ac:dyDescent="0.25">
      <c r="D2190" s="235">
        <v>46</v>
      </c>
      <c r="E2190" s="240">
        <v>2</v>
      </c>
      <c r="F2190" s="241">
        <v>12.5</v>
      </c>
      <c r="G2190" s="242">
        <v>2.73</v>
      </c>
      <c r="H2190" s="239">
        <f t="shared" si="2477"/>
        <v>5.46</v>
      </c>
      <c r="I2190" s="131">
        <f t="shared" si="2478"/>
        <v>0</v>
      </c>
      <c r="J2190" s="31">
        <f t="shared" si="2479"/>
        <v>0</v>
      </c>
      <c r="K2190" s="31">
        <f t="shared" si="2480"/>
        <v>0</v>
      </c>
      <c r="L2190" s="31">
        <f t="shared" si="2481"/>
        <v>0</v>
      </c>
      <c r="M2190" s="31">
        <f t="shared" si="2482"/>
        <v>0</v>
      </c>
      <c r="N2190" s="31">
        <f t="shared" si="2483"/>
        <v>5.2579799999999999</v>
      </c>
      <c r="O2190" s="31">
        <f t="shared" si="2484"/>
        <v>0</v>
      </c>
      <c r="P2190" s="31">
        <f t="shared" si="2485"/>
        <v>0</v>
      </c>
      <c r="Q2190" s="49">
        <f t="shared" si="2486"/>
        <v>0</v>
      </c>
    </row>
    <row r="2191" spans="4:17" s="16" customFormat="1" ht="13.2" x14ac:dyDescent="0.25">
      <c r="D2191" s="235">
        <v>47</v>
      </c>
      <c r="E2191" s="240">
        <v>2</v>
      </c>
      <c r="F2191" s="241">
        <v>12.5</v>
      </c>
      <c r="G2191" s="242">
        <v>2.0699999999999998</v>
      </c>
      <c r="H2191" s="239">
        <f t="shared" si="2477"/>
        <v>4.1399999999999997</v>
      </c>
      <c r="I2191" s="131">
        <f t="shared" si="2478"/>
        <v>0</v>
      </c>
      <c r="J2191" s="31">
        <f t="shared" si="2479"/>
        <v>0</v>
      </c>
      <c r="K2191" s="31">
        <f t="shared" si="2480"/>
        <v>0</v>
      </c>
      <c r="L2191" s="31">
        <f t="shared" si="2481"/>
        <v>0</v>
      </c>
      <c r="M2191" s="31">
        <f t="shared" si="2482"/>
        <v>0</v>
      </c>
      <c r="N2191" s="31">
        <f t="shared" si="2483"/>
        <v>3.9868199999999994</v>
      </c>
      <c r="O2191" s="31">
        <f t="shared" si="2484"/>
        <v>0</v>
      </c>
      <c r="P2191" s="31">
        <f t="shared" si="2485"/>
        <v>0</v>
      </c>
      <c r="Q2191" s="49">
        <f t="shared" si="2486"/>
        <v>0</v>
      </c>
    </row>
    <row r="2192" spans="4:17" s="16" customFormat="1" ht="13.2" x14ac:dyDescent="0.25">
      <c r="D2192" s="235">
        <v>48</v>
      </c>
      <c r="E2192" s="240">
        <v>1</v>
      </c>
      <c r="F2192" s="241">
        <v>12.5</v>
      </c>
      <c r="G2192" s="242">
        <v>2.4</v>
      </c>
      <c r="H2192" s="239">
        <f t="shared" si="2477"/>
        <v>2.4</v>
      </c>
      <c r="I2192" s="131">
        <f t="shared" si="2478"/>
        <v>0</v>
      </c>
      <c r="J2192" s="31">
        <f t="shared" si="2479"/>
        <v>0</v>
      </c>
      <c r="K2192" s="31">
        <f t="shared" si="2480"/>
        <v>0</v>
      </c>
      <c r="L2192" s="31">
        <f t="shared" si="2481"/>
        <v>0</v>
      </c>
      <c r="M2192" s="31">
        <f t="shared" si="2482"/>
        <v>0</v>
      </c>
      <c r="N2192" s="31">
        <f t="shared" si="2483"/>
        <v>2.3111999999999999</v>
      </c>
      <c r="O2192" s="31">
        <f t="shared" si="2484"/>
        <v>0</v>
      </c>
      <c r="P2192" s="31">
        <f t="shared" si="2485"/>
        <v>0</v>
      </c>
      <c r="Q2192" s="49">
        <f t="shared" si="2486"/>
        <v>0</v>
      </c>
    </row>
    <row r="2193" spans="4:17" s="16" customFormat="1" ht="13.2" x14ac:dyDescent="0.25">
      <c r="D2193" s="235"/>
      <c r="E2193" s="240"/>
      <c r="F2193" s="241"/>
      <c r="G2193" s="242"/>
      <c r="H2193" s="239">
        <f t="shared" si="2477"/>
        <v>0</v>
      </c>
      <c r="I2193" s="131">
        <f t="shared" si="2478"/>
        <v>0</v>
      </c>
      <c r="J2193" s="31">
        <f t="shared" si="2479"/>
        <v>0</v>
      </c>
      <c r="K2193" s="31">
        <f t="shared" si="2480"/>
        <v>0</v>
      </c>
      <c r="L2193" s="31">
        <f t="shared" si="2481"/>
        <v>0</v>
      </c>
      <c r="M2193" s="31">
        <f t="shared" si="2482"/>
        <v>0</v>
      </c>
      <c r="N2193" s="31">
        <f t="shared" si="2483"/>
        <v>0</v>
      </c>
      <c r="O2193" s="31">
        <f t="shared" si="2484"/>
        <v>0</v>
      </c>
      <c r="P2193" s="31">
        <f t="shared" si="2485"/>
        <v>0</v>
      </c>
      <c r="Q2193" s="49">
        <f t="shared" si="2486"/>
        <v>0</v>
      </c>
    </row>
    <row r="2194" spans="4:17" s="16" customFormat="1" ht="15.75" customHeight="1" thickBot="1" x14ac:dyDescent="0.3">
      <c r="D2194" s="55"/>
      <c r="E2194" s="56"/>
      <c r="F2194" s="57"/>
      <c r="G2194" s="123"/>
      <c r="H2194" s="123"/>
      <c r="I2194" s="122"/>
      <c r="J2194" s="29"/>
      <c r="K2194" s="29"/>
      <c r="L2194" s="29"/>
      <c r="M2194" s="29"/>
      <c r="N2194" s="29"/>
      <c r="O2194" s="29"/>
      <c r="P2194" s="29"/>
      <c r="Q2194" s="37"/>
    </row>
    <row r="2195" spans="4:17" x14ac:dyDescent="0.3">
      <c r="D2195" s="814" t="s">
        <v>1281</v>
      </c>
      <c r="E2195" s="815"/>
      <c r="F2195" s="815"/>
      <c r="G2195" s="815"/>
      <c r="H2195" s="815"/>
      <c r="I2195" s="47">
        <f t="shared" ref="I2195:Q2195" si="2487">SUM(I2196:I2205)</f>
        <v>0</v>
      </c>
      <c r="J2195" s="47">
        <f t="shared" si="2487"/>
        <v>17.722320000000003</v>
      </c>
      <c r="K2195" s="47">
        <f t="shared" si="2487"/>
        <v>0</v>
      </c>
      <c r="L2195" s="47">
        <f t="shared" si="2487"/>
        <v>25.027200000000001</v>
      </c>
      <c r="M2195" s="47">
        <f t="shared" si="2487"/>
        <v>35.496009999999998</v>
      </c>
      <c r="N2195" s="47">
        <f t="shared" si="2487"/>
        <v>0</v>
      </c>
      <c r="O2195" s="47">
        <f t="shared" si="2487"/>
        <v>0</v>
      </c>
      <c r="P2195" s="47">
        <f t="shared" si="2487"/>
        <v>0</v>
      </c>
      <c r="Q2195" s="47">
        <f t="shared" si="2487"/>
        <v>0</v>
      </c>
    </row>
    <row r="2196" spans="4:17" x14ac:dyDescent="0.3">
      <c r="D2196" s="235">
        <v>11</v>
      </c>
      <c r="E2196" s="237">
        <v>84</v>
      </c>
      <c r="F2196" s="238">
        <v>5</v>
      </c>
      <c r="G2196" s="239">
        <v>1.37</v>
      </c>
      <c r="H2196" s="239">
        <f t="shared" ref="H2196:H2203" si="2488">E2196*G2196</f>
        <v>115.08000000000001</v>
      </c>
      <c r="I2196" s="131">
        <f t="shared" ref="I2196:I2205" si="2489">IF($F2196=4.2,H2196*$B$23,0)</f>
        <v>0</v>
      </c>
      <c r="J2196" s="31">
        <f t="shared" ref="J2196:J2205" si="2490">IF($F2196=5,$H2196*$B$24,0)</f>
        <v>17.722320000000003</v>
      </c>
      <c r="K2196" s="31">
        <f t="shared" ref="K2196:K2205" si="2491">IF($F2196=6.3,$H2196*$B$25,0)</f>
        <v>0</v>
      </c>
      <c r="L2196" s="31">
        <f t="shared" ref="L2196:L2205" si="2492">IF($F2196=8,$H2196*$B$26,0)</f>
        <v>0</v>
      </c>
      <c r="M2196" s="31">
        <f t="shared" ref="M2196:M2205" si="2493">IF($F2196=10,$H2196*$B$27,0)</f>
        <v>0</v>
      </c>
      <c r="N2196" s="31">
        <f t="shared" ref="N2196:N2205" si="2494">IF($F2196=12.5,$H2196*$B$28,0)</f>
        <v>0</v>
      </c>
      <c r="O2196" s="31">
        <f t="shared" ref="O2196:O2205" si="2495">IF($F2196=16,$H2196*$B$29,0)</f>
        <v>0</v>
      </c>
      <c r="P2196" s="31">
        <f t="shared" ref="P2196:P2205" si="2496">IF($F2196=20,$H2196*$B$30,0)</f>
        <v>0</v>
      </c>
      <c r="Q2196" s="49">
        <f t="shared" ref="Q2196:Q2205" si="2497">IF($F2196=25,$H2196*$B$31,0)</f>
        <v>0</v>
      </c>
    </row>
    <row r="2197" spans="4:17" s="62" customFormat="1" x14ac:dyDescent="0.3">
      <c r="D2197" s="235">
        <v>18</v>
      </c>
      <c r="E2197" s="240">
        <v>2</v>
      </c>
      <c r="F2197" s="241">
        <v>8</v>
      </c>
      <c r="G2197" s="242">
        <v>2.14</v>
      </c>
      <c r="H2197" s="239">
        <f t="shared" si="2488"/>
        <v>4.28</v>
      </c>
      <c r="I2197" s="131">
        <f t="shared" si="2489"/>
        <v>0</v>
      </c>
      <c r="J2197" s="31">
        <f t="shared" si="2490"/>
        <v>0</v>
      </c>
      <c r="K2197" s="31">
        <f t="shared" si="2491"/>
        <v>0</v>
      </c>
      <c r="L2197" s="31">
        <f t="shared" si="2492"/>
        <v>1.6906000000000001</v>
      </c>
      <c r="M2197" s="31">
        <f t="shared" si="2493"/>
        <v>0</v>
      </c>
      <c r="N2197" s="31">
        <f t="shared" si="2494"/>
        <v>0</v>
      </c>
      <c r="O2197" s="31">
        <f t="shared" si="2495"/>
        <v>0</v>
      </c>
      <c r="P2197" s="31">
        <f t="shared" si="2496"/>
        <v>0</v>
      </c>
      <c r="Q2197" s="49">
        <f t="shared" si="2497"/>
        <v>0</v>
      </c>
    </row>
    <row r="2198" spans="4:17" s="62" customFormat="1" x14ac:dyDescent="0.3">
      <c r="D2198" s="235">
        <v>19</v>
      </c>
      <c r="E2198" s="240">
        <v>2</v>
      </c>
      <c r="F2198" s="241">
        <v>8</v>
      </c>
      <c r="G2198" s="242">
        <v>2.21</v>
      </c>
      <c r="H2198" s="239">
        <f>E2198*G2198</f>
        <v>4.42</v>
      </c>
      <c r="I2198" s="131">
        <f t="shared" si="2489"/>
        <v>0</v>
      </c>
      <c r="J2198" s="31">
        <f t="shared" si="2490"/>
        <v>0</v>
      </c>
      <c r="K2198" s="31">
        <f t="shared" si="2491"/>
        <v>0</v>
      </c>
      <c r="L2198" s="31">
        <f t="shared" si="2492"/>
        <v>1.7459</v>
      </c>
      <c r="M2198" s="31">
        <f t="shared" si="2493"/>
        <v>0</v>
      </c>
      <c r="N2198" s="31">
        <f t="shared" si="2494"/>
        <v>0</v>
      </c>
      <c r="O2198" s="31">
        <f t="shared" si="2495"/>
        <v>0</v>
      </c>
      <c r="P2198" s="31">
        <f t="shared" si="2496"/>
        <v>0</v>
      </c>
      <c r="Q2198" s="49">
        <f t="shared" si="2497"/>
        <v>0</v>
      </c>
    </row>
    <row r="2199" spans="4:17" s="62" customFormat="1" x14ac:dyDescent="0.3">
      <c r="D2199" s="235">
        <v>20</v>
      </c>
      <c r="E2199" s="240">
        <v>1</v>
      </c>
      <c r="F2199" s="241">
        <v>8</v>
      </c>
      <c r="G2199" s="242">
        <v>2.2999999999999998</v>
      </c>
      <c r="H2199" s="239">
        <f t="shared" ref="H2199" si="2498">E2199*G2199</f>
        <v>2.2999999999999998</v>
      </c>
      <c r="I2199" s="131">
        <f t="shared" ref="I2199:I2200" si="2499">IF($F2199=4.2,H2199*$B$23,0)</f>
        <v>0</v>
      </c>
      <c r="J2199" s="31">
        <f t="shared" si="2490"/>
        <v>0</v>
      </c>
      <c r="K2199" s="31">
        <f t="shared" si="2491"/>
        <v>0</v>
      </c>
      <c r="L2199" s="31">
        <f t="shared" si="2492"/>
        <v>0.90849999999999997</v>
      </c>
      <c r="M2199" s="31">
        <f t="shared" si="2493"/>
        <v>0</v>
      </c>
      <c r="N2199" s="31">
        <f t="shared" si="2494"/>
        <v>0</v>
      </c>
      <c r="O2199" s="31">
        <f t="shared" si="2495"/>
        <v>0</v>
      </c>
      <c r="P2199" s="31">
        <f t="shared" si="2496"/>
        <v>0</v>
      </c>
      <c r="Q2199" s="49">
        <f t="shared" si="2497"/>
        <v>0</v>
      </c>
    </row>
    <row r="2200" spans="4:17" s="62" customFormat="1" x14ac:dyDescent="0.3">
      <c r="D2200" s="235">
        <v>21</v>
      </c>
      <c r="E2200" s="240">
        <v>4</v>
      </c>
      <c r="F2200" s="241">
        <v>8</v>
      </c>
      <c r="G2200" s="242">
        <v>11.12</v>
      </c>
      <c r="H2200" s="239">
        <f>E2200*G2200</f>
        <v>44.48</v>
      </c>
      <c r="I2200" s="131">
        <f t="shared" si="2499"/>
        <v>0</v>
      </c>
      <c r="J2200" s="31">
        <f t="shared" si="2490"/>
        <v>0</v>
      </c>
      <c r="K2200" s="31">
        <f t="shared" si="2491"/>
        <v>0</v>
      </c>
      <c r="L2200" s="31">
        <f t="shared" si="2492"/>
        <v>17.569600000000001</v>
      </c>
      <c r="M2200" s="31">
        <f t="shared" si="2493"/>
        <v>0</v>
      </c>
      <c r="N2200" s="31">
        <f t="shared" si="2494"/>
        <v>0</v>
      </c>
      <c r="O2200" s="31">
        <f t="shared" si="2495"/>
        <v>0</v>
      </c>
      <c r="P2200" s="31">
        <f t="shared" si="2496"/>
        <v>0</v>
      </c>
      <c r="Q2200" s="49">
        <f t="shared" si="2497"/>
        <v>0</v>
      </c>
    </row>
    <row r="2201" spans="4:17" s="62" customFormat="1" x14ac:dyDescent="0.3">
      <c r="D2201" s="235">
        <v>22</v>
      </c>
      <c r="E2201" s="240">
        <v>4</v>
      </c>
      <c r="F2201" s="241">
        <v>8</v>
      </c>
      <c r="G2201" s="242">
        <v>1.97</v>
      </c>
      <c r="H2201" s="239">
        <f t="shared" ref="H2201" si="2500">E2201*G2201</f>
        <v>7.88</v>
      </c>
      <c r="I2201" s="131">
        <f t="shared" ref="I2201:I2202" si="2501">IF($F2201=4.2,H2201*$B$23,0)</f>
        <v>0</v>
      </c>
      <c r="J2201" s="31">
        <f t="shared" si="2490"/>
        <v>0</v>
      </c>
      <c r="K2201" s="31">
        <f t="shared" si="2491"/>
        <v>0</v>
      </c>
      <c r="L2201" s="31">
        <f t="shared" si="2492"/>
        <v>3.1126</v>
      </c>
      <c r="M2201" s="31">
        <f t="shared" si="2493"/>
        <v>0</v>
      </c>
      <c r="N2201" s="31">
        <f t="shared" si="2494"/>
        <v>0</v>
      </c>
      <c r="O2201" s="31">
        <f t="shared" si="2495"/>
        <v>0</v>
      </c>
      <c r="P2201" s="31">
        <f t="shared" si="2496"/>
        <v>0</v>
      </c>
      <c r="Q2201" s="49">
        <f t="shared" si="2497"/>
        <v>0</v>
      </c>
    </row>
    <row r="2202" spans="4:17" s="62" customFormat="1" x14ac:dyDescent="0.3">
      <c r="D2202" s="235">
        <v>24</v>
      </c>
      <c r="E2202" s="240">
        <v>2</v>
      </c>
      <c r="F2202" s="241">
        <v>10</v>
      </c>
      <c r="G2202" s="242">
        <v>2.13</v>
      </c>
      <c r="H2202" s="239">
        <f>E2202*G2202</f>
        <v>4.26</v>
      </c>
      <c r="I2202" s="131">
        <f t="shared" si="2501"/>
        <v>0</v>
      </c>
      <c r="J2202" s="31">
        <f t="shared" si="2490"/>
        <v>0</v>
      </c>
      <c r="K2202" s="31">
        <f t="shared" si="2491"/>
        <v>0</v>
      </c>
      <c r="L2202" s="31">
        <f t="shared" si="2492"/>
        <v>0</v>
      </c>
      <c r="M2202" s="31">
        <f t="shared" si="2493"/>
        <v>2.6284199999999998</v>
      </c>
      <c r="N2202" s="31">
        <f t="shared" si="2494"/>
        <v>0</v>
      </c>
      <c r="O2202" s="31">
        <f t="shared" si="2495"/>
        <v>0</v>
      </c>
      <c r="P2202" s="31">
        <f t="shared" si="2496"/>
        <v>0</v>
      </c>
      <c r="Q2202" s="49">
        <f t="shared" si="2497"/>
        <v>0</v>
      </c>
    </row>
    <row r="2203" spans="4:17" x14ac:dyDescent="0.3">
      <c r="D2203" s="235">
        <v>25</v>
      </c>
      <c r="E2203" s="240">
        <v>5</v>
      </c>
      <c r="F2203" s="241">
        <v>10</v>
      </c>
      <c r="G2203" s="242">
        <v>2.85</v>
      </c>
      <c r="H2203" s="239">
        <f t="shared" si="2488"/>
        <v>14.25</v>
      </c>
      <c r="I2203" s="131">
        <f t="shared" si="2489"/>
        <v>0</v>
      </c>
      <c r="J2203" s="31">
        <f t="shared" si="2490"/>
        <v>0</v>
      </c>
      <c r="K2203" s="31">
        <f t="shared" si="2491"/>
        <v>0</v>
      </c>
      <c r="L2203" s="31">
        <f t="shared" si="2492"/>
        <v>0</v>
      </c>
      <c r="M2203" s="31">
        <f t="shared" si="2493"/>
        <v>8.7922499999999992</v>
      </c>
      <c r="N2203" s="31">
        <f t="shared" si="2494"/>
        <v>0</v>
      </c>
      <c r="O2203" s="31">
        <f t="shared" si="2495"/>
        <v>0</v>
      </c>
      <c r="P2203" s="31">
        <f t="shared" si="2496"/>
        <v>0</v>
      </c>
      <c r="Q2203" s="49">
        <f t="shared" si="2497"/>
        <v>0</v>
      </c>
    </row>
    <row r="2204" spans="4:17" s="62" customFormat="1" x14ac:dyDescent="0.3">
      <c r="D2204" s="235">
        <v>26</v>
      </c>
      <c r="E2204" s="240">
        <v>4</v>
      </c>
      <c r="F2204" s="241">
        <v>10</v>
      </c>
      <c r="G2204" s="242">
        <v>2.63</v>
      </c>
      <c r="H2204" s="239">
        <f>E2204*G2204</f>
        <v>10.52</v>
      </c>
      <c r="I2204" s="131">
        <f t="shared" si="2489"/>
        <v>0</v>
      </c>
      <c r="J2204" s="31">
        <f t="shared" si="2490"/>
        <v>0</v>
      </c>
      <c r="K2204" s="31">
        <f t="shared" si="2491"/>
        <v>0</v>
      </c>
      <c r="L2204" s="31">
        <f t="shared" si="2492"/>
        <v>0</v>
      </c>
      <c r="M2204" s="31">
        <f t="shared" si="2493"/>
        <v>6.4908399999999995</v>
      </c>
      <c r="N2204" s="31">
        <f t="shared" si="2494"/>
        <v>0</v>
      </c>
      <c r="O2204" s="31">
        <f t="shared" si="2495"/>
        <v>0</v>
      </c>
      <c r="P2204" s="31">
        <f t="shared" si="2496"/>
        <v>0</v>
      </c>
      <c r="Q2204" s="49">
        <f t="shared" si="2497"/>
        <v>0</v>
      </c>
    </row>
    <row r="2205" spans="4:17" s="62" customFormat="1" x14ac:dyDescent="0.3">
      <c r="D2205" s="235">
        <v>27</v>
      </c>
      <c r="E2205" s="240">
        <v>3</v>
      </c>
      <c r="F2205" s="241">
        <v>10</v>
      </c>
      <c r="G2205" s="242">
        <v>9.5</v>
      </c>
      <c r="H2205" s="239">
        <f>E2205*G2205</f>
        <v>28.5</v>
      </c>
      <c r="I2205" s="131">
        <f t="shared" si="2489"/>
        <v>0</v>
      </c>
      <c r="J2205" s="31">
        <f t="shared" si="2490"/>
        <v>0</v>
      </c>
      <c r="K2205" s="31">
        <f t="shared" si="2491"/>
        <v>0</v>
      </c>
      <c r="L2205" s="31">
        <f t="shared" si="2492"/>
        <v>0</v>
      </c>
      <c r="M2205" s="31">
        <f t="shared" si="2493"/>
        <v>17.584499999999998</v>
      </c>
      <c r="N2205" s="31">
        <f t="shared" si="2494"/>
        <v>0</v>
      </c>
      <c r="O2205" s="31">
        <f t="shared" si="2495"/>
        <v>0</v>
      </c>
      <c r="P2205" s="31">
        <f t="shared" si="2496"/>
        <v>0</v>
      </c>
      <c r="Q2205" s="49">
        <f t="shared" si="2497"/>
        <v>0</v>
      </c>
    </row>
    <row r="2206" spans="4:17" ht="15" thickBot="1" x14ac:dyDescent="0.35">
      <c r="D2206" s="235"/>
      <c r="E2206" s="240"/>
      <c r="F2206" s="241"/>
      <c r="G2206" s="242"/>
      <c r="H2206" s="242"/>
      <c r="I2206" s="122"/>
      <c r="J2206" s="29"/>
      <c r="K2206" s="29"/>
      <c r="L2206" s="29"/>
      <c r="M2206" s="29"/>
      <c r="N2206" s="29"/>
      <c r="O2206" s="29"/>
      <c r="P2206" s="29"/>
      <c r="Q2206" s="37"/>
    </row>
    <row r="2207" spans="4:17" x14ac:dyDescent="0.3">
      <c r="D2207" s="810" t="s">
        <v>1282</v>
      </c>
      <c r="E2207" s="811"/>
      <c r="F2207" s="811"/>
      <c r="G2207" s="811"/>
      <c r="H2207" s="811"/>
      <c r="I2207" s="47">
        <f t="shared" ref="I2207:Q2207" si="2502">SUM(I2208:I2219)</f>
        <v>0</v>
      </c>
      <c r="J2207" s="47">
        <f t="shared" si="2502"/>
        <v>16.036020000000001</v>
      </c>
      <c r="K2207" s="47">
        <f t="shared" si="2502"/>
        <v>0</v>
      </c>
      <c r="L2207" s="47">
        <f t="shared" si="2502"/>
        <v>0</v>
      </c>
      <c r="M2207" s="47">
        <f>SUM(M2208:M2219)</f>
        <v>56.16550999999999</v>
      </c>
      <c r="N2207" s="47">
        <f t="shared" si="2502"/>
        <v>0</v>
      </c>
      <c r="O2207" s="47">
        <f t="shared" si="2502"/>
        <v>0</v>
      </c>
      <c r="P2207" s="47">
        <f t="shared" si="2502"/>
        <v>0</v>
      </c>
      <c r="Q2207" s="47">
        <f t="shared" si="2502"/>
        <v>0</v>
      </c>
    </row>
    <row r="2208" spans="4:17" x14ac:dyDescent="0.3">
      <c r="D2208" s="235">
        <v>8</v>
      </c>
      <c r="E2208" s="237">
        <v>89</v>
      </c>
      <c r="F2208" s="238">
        <v>5</v>
      </c>
      <c r="G2208" s="239">
        <v>1.17</v>
      </c>
      <c r="H2208" s="239">
        <f t="shared" ref="H2208:H2219" si="2503">E2208*G2208</f>
        <v>104.13</v>
      </c>
      <c r="I2208" s="131">
        <f t="shared" ref="I2208:I2219" si="2504">IF($F2208=4.2,H2208*$B$23,0)</f>
        <v>0</v>
      </c>
      <c r="J2208" s="31">
        <f t="shared" ref="J2208:J2219" si="2505">IF($F2208=5,$H2208*$B$24,0)</f>
        <v>16.036020000000001</v>
      </c>
      <c r="K2208" s="31">
        <f t="shared" ref="K2208:K2219" si="2506">IF($F2208=6.3,$H2208*$B$25,0)</f>
        <v>0</v>
      </c>
      <c r="L2208" s="31">
        <f t="shared" ref="L2208:L2219" si="2507">IF($F2208=8,$H2208*$B$26,0)</f>
        <v>0</v>
      </c>
      <c r="M2208" s="31">
        <f t="shared" ref="M2208:M2219" si="2508">IF($F2208=10,$H2208*$B$27,0)</f>
        <v>0</v>
      </c>
      <c r="N2208" s="31">
        <f t="shared" ref="N2208:N2219" si="2509">IF($F2208=12.5,$H2208*$B$28,0)</f>
        <v>0</v>
      </c>
      <c r="O2208" s="31">
        <f t="shared" ref="O2208:O2219" si="2510">IF($F2208=16,$H2208*$B$29,0)</f>
        <v>0</v>
      </c>
      <c r="P2208" s="31">
        <f t="shared" ref="P2208:P2219" si="2511">IF($F2208=20,$H2208*$B$30,0)</f>
        <v>0</v>
      </c>
      <c r="Q2208" s="49">
        <f t="shared" ref="Q2208:Q2219" si="2512">IF($F2208=25,$H2208*$B$31,0)</f>
        <v>0</v>
      </c>
    </row>
    <row r="2209" spans="4:17" s="62" customFormat="1" x14ac:dyDescent="0.3">
      <c r="D2209" s="235">
        <v>27</v>
      </c>
      <c r="E2209" s="237">
        <v>3</v>
      </c>
      <c r="F2209" s="238">
        <v>10</v>
      </c>
      <c r="G2209" s="239">
        <v>9.5</v>
      </c>
      <c r="H2209" s="239">
        <f t="shared" si="2503"/>
        <v>28.5</v>
      </c>
      <c r="I2209" s="131">
        <f t="shared" si="2504"/>
        <v>0</v>
      </c>
      <c r="J2209" s="31">
        <f t="shared" si="2505"/>
        <v>0</v>
      </c>
      <c r="K2209" s="31">
        <f t="shared" si="2506"/>
        <v>0</v>
      </c>
      <c r="L2209" s="31">
        <f t="shared" si="2507"/>
        <v>0</v>
      </c>
      <c r="M2209" s="31">
        <f t="shared" si="2508"/>
        <v>17.584499999999998</v>
      </c>
      <c r="N2209" s="31">
        <f t="shared" si="2509"/>
        <v>0</v>
      </c>
      <c r="O2209" s="31">
        <f t="shared" si="2510"/>
        <v>0</v>
      </c>
      <c r="P2209" s="31">
        <f t="shared" si="2511"/>
        <v>0</v>
      </c>
      <c r="Q2209" s="49">
        <f t="shared" si="2512"/>
        <v>0</v>
      </c>
    </row>
    <row r="2210" spans="4:17" s="62" customFormat="1" x14ac:dyDescent="0.3">
      <c r="D2210" s="235">
        <v>28</v>
      </c>
      <c r="E2210" s="237">
        <v>2</v>
      </c>
      <c r="F2210" s="238">
        <v>10</v>
      </c>
      <c r="G2210" s="239">
        <v>2.36</v>
      </c>
      <c r="H2210" s="239">
        <f t="shared" si="2503"/>
        <v>4.72</v>
      </c>
      <c r="I2210" s="131">
        <f t="shared" si="2504"/>
        <v>0</v>
      </c>
      <c r="J2210" s="31">
        <f t="shared" si="2505"/>
        <v>0</v>
      </c>
      <c r="K2210" s="31">
        <f t="shared" si="2506"/>
        <v>0</v>
      </c>
      <c r="L2210" s="31">
        <f t="shared" si="2507"/>
        <v>0</v>
      </c>
      <c r="M2210" s="31">
        <f t="shared" si="2508"/>
        <v>2.9122399999999997</v>
      </c>
      <c r="N2210" s="31">
        <f t="shared" si="2509"/>
        <v>0</v>
      </c>
      <c r="O2210" s="31">
        <f t="shared" si="2510"/>
        <v>0</v>
      </c>
      <c r="P2210" s="31">
        <f t="shared" si="2511"/>
        <v>0</v>
      </c>
      <c r="Q2210" s="49">
        <f t="shared" si="2512"/>
        <v>0</v>
      </c>
    </row>
    <row r="2211" spans="4:17" s="62" customFormat="1" x14ac:dyDescent="0.3">
      <c r="D2211" s="235">
        <v>29</v>
      </c>
      <c r="E2211" s="237">
        <v>2</v>
      </c>
      <c r="F2211" s="238">
        <v>10</v>
      </c>
      <c r="G2211" s="239">
        <v>2.35</v>
      </c>
      <c r="H2211" s="239">
        <f t="shared" si="2503"/>
        <v>4.7</v>
      </c>
      <c r="I2211" s="131">
        <f t="shared" si="2504"/>
        <v>0</v>
      </c>
      <c r="J2211" s="31">
        <f t="shared" si="2505"/>
        <v>0</v>
      </c>
      <c r="K2211" s="31">
        <f t="shared" si="2506"/>
        <v>0</v>
      </c>
      <c r="L2211" s="31">
        <f t="shared" si="2507"/>
        <v>0</v>
      </c>
      <c r="M2211" s="31">
        <f t="shared" si="2508"/>
        <v>2.8999000000000001</v>
      </c>
      <c r="N2211" s="31">
        <f t="shared" si="2509"/>
        <v>0</v>
      </c>
      <c r="O2211" s="31">
        <f t="shared" si="2510"/>
        <v>0</v>
      </c>
      <c r="P2211" s="31">
        <f t="shared" si="2511"/>
        <v>0</v>
      </c>
      <c r="Q2211" s="49">
        <f t="shared" si="2512"/>
        <v>0</v>
      </c>
    </row>
    <row r="2212" spans="4:17" s="62" customFormat="1" x14ac:dyDescent="0.3">
      <c r="D2212" s="235">
        <v>30</v>
      </c>
      <c r="E2212" s="237">
        <v>1</v>
      </c>
      <c r="F2212" s="238">
        <v>10</v>
      </c>
      <c r="G2212" s="239">
        <v>2.8</v>
      </c>
      <c r="H2212" s="239">
        <f t="shared" si="2503"/>
        <v>2.8</v>
      </c>
      <c r="I2212" s="131">
        <f t="shared" si="2504"/>
        <v>0</v>
      </c>
      <c r="J2212" s="31">
        <f t="shared" si="2505"/>
        <v>0</v>
      </c>
      <c r="K2212" s="31">
        <f t="shared" si="2506"/>
        <v>0</v>
      </c>
      <c r="L2212" s="31">
        <f t="shared" si="2507"/>
        <v>0</v>
      </c>
      <c r="M2212" s="31">
        <f t="shared" si="2508"/>
        <v>1.7275999999999998</v>
      </c>
      <c r="N2212" s="31">
        <f t="shared" si="2509"/>
        <v>0</v>
      </c>
      <c r="O2212" s="31">
        <f t="shared" si="2510"/>
        <v>0</v>
      </c>
      <c r="P2212" s="31">
        <f t="shared" si="2511"/>
        <v>0</v>
      </c>
      <c r="Q2212" s="49">
        <f t="shared" si="2512"/>
        <v>0</v>
      </c>
    </row>
    <row r="2213" spans="4:17" s="62" customFormat="1" x14ac:dyDescent="0.3">
      <c r="D2213" s="235">
        <v>31</v>
      </c>
      <c r="E2213" s="237">
        <v>2</v>
      </c>
      <c r="F2213" s="238">
        <v>10</v>
      </c>
      <c r="G2213" s="239">
        <v>2.4500000000000002</v>
      </c>
      <c r="H2213" s="239">
        <f t="shared" si="2503"/>
        <v>4.9000000000000004</v>
      </c>
      <c r="I2213" s="131">
        <f t="shared" si="2504"/>
        <v>0</v>
      </c>
      <c r="J2213" s="31">
        <f t="shared" si="2505"/>
        <v>0</v>
      </c>
      <c r="K2213" s="31">
        <f t="shared" si="2506"/>
        <v>0</v>
      </c>
      <c r="L2213" s="31">
        <f t="shared" si="2507"/>
        <v>0</v>
      </c>
      <c r="M2213" s="31">
        <f t="shared" si="2508"/>
        <v>3.0233000000000003</v>
      </c>
      <c r="N2213" s="31">
        <f t="shared" si="2509"/>
        <v>0</v>
      </c>
      <c r="O2213" s="31">
        <f t="shared" si="2510"/>
        <v>0</v>
      </c>
      <c r="P2213" s="31">
        <f t="shared" si="2511"/>
        <v>0</v>
      </c>
      <c r="Q2213" s="49">
        <f t="shared" si="2512"/>
        <v>0</v>
      </c>
    </row>
    <row r="2214" spans="4:17" s="62" customFormat="1" x14ac:dyDescent="0.3">
      <c r="D2214" s="235">
        <v>32</v>
      </c>
      <c r="E2214" s="237">
        <v>2</v>
      </c>
      <c r="F2214" s="238">
        <v>10</v>
      </c>
      <c r="G2214" s="239">
        <v>2.4500000000000002</v>
      </c>
      <c r="H2214" s="239">
        <f t="shared" si="2503"/>
        <v>4.9000000000000004</v>
      </c>
      <c r="I2214" s="131">
        <f t="shared" si="2504"/>
        <v>0</v>
      </c>
      <c r="J2214" s="31">
        <f t="shared" si="2505"/>
        <v>0</v>
      </c>
      <c r="K2214" s="31">
        <f t="shared" si="2506"/>
        <v>0</v>
      </c>
      <c r="L2214" s="31">
        <f t="shared" si="2507"/>
        <v>0</v>
      </c>
      <c r="M2214" s="31">
        <f t="shared" si="2508"/>
        <v>3.0233000000000003</v>
      </c>
      <c r="N2214" s="31">
        <f t="shared" si="2509"/>
        <v>0</v>
      </c>
      <c r="O2214" s="31">
        <f t="shared" si="2510"/>
        <v>0</v>
      </c>
      <c r="P2214" s="31">
        <f t="shared" si="2511"/>
        <v>0</v>
      </c>
      <c r="Q2214" s="49">
        <f t="shared" si="2512"/>
        <v>0</v>
      </c>
    </row>
    <row r="2215" spans="4:17" s="62" customFormat="1" x14ac:dyDescent="0.3">
      <c r="D2215" s="235">
        <v>33</v>
      </c>
      <c r="E2215" s="237">
        <v>1</v>
      </c>
      <c r="F2215" s="238">
        <v>10</v>
      </c>
      <c r="G2215" s="239">
        <v>2.76</v>
      </c>
      <c r="H2215" s="239">
        <f t="shared" si="2503"/>
        <v>2.76</v>
      </c>
      <c r="I2215" s="131">
        <f t="shared" si="2504"/>
        <v>0</v>
      </c>
      <c r="J2215" s="31">
        <f t="shared" si="2505"/>
        <v>0</v>
      </c>
      <c r="K2215" s="31">
        <f t="shared" si="2506"/>
        <v>0</v>
      </c>
      <c r="L2215" s="31">
        <f t="shared" si="2507"/>
        <v>0</v>
      </c>
      <c r="M2215" s="31">
        <f t="shared" si="2508"/>
        <v>1.7029199999999998</v>
      </c>
      <c r="N2215" s="31">
        <f t="shared" si="2509"/>
        <v>0</v>
      </c>
      <c r="O2215" s="31">
        <f t="shared" si="2510"/>
        <v>0</v>
      </c>
      <c r="P2215" s="31">
        <f t="shared" si="2511"/>
        <v>0</v>
      </c>
      <c r="Q2215" s="49">
        <f t="shared" si="2512"/>
        <v>0</v>
      </c>
    </row>
    <row r="2216" spans="4:17" s="62" customFormat="1" x14ac:dyDescent="0.3">
      <c r="D2216" s="235">
        <v>34</v>
      </c>
      <c r="E2216" s="237">
        <v>1</v>
      </c>
      <c r="F2216" s="238">
        <v>10</v>
      </c>
      <c r="G2216" s="239">
        <v>2.35</v>
      </c>
      <c r="H2216" s="239">
        <f t="shared" si="2503"/>
        <v>2.35</v>
      </c>
      <c r="I2216" s="131">
        <f t="shared" si="2504"/>
        <v>0</v>
      </c>
      <c r="J2216" s="31">
        <f t="shared" si="2505"/>
        <v>0</v>
      </c>
      <c r="K2216" s="31">
        <f t="shared" si="2506"/>
        <v>0</v>
      </c>
      <c r="L2216" s="31">
        <f t="shared" si="2507"/>
        <v>0</v>
      </c>
      <c r="M2216" s="31">
        <f t="shared" si="2508"/>
        <v>1.4499500000000001</v>
      </c>
      <c r="N2216" s="31">
        <f t="shared" si="2509"/>
        <v>0</v>
      </c>
      <c r="O2216" s="31">
        <f t="shared" si="2510"/>
        <v>0</v>
      </c>
      <c r="P2216" s="31">
        <f t="shared" si="2511"/>
        <v>0</v>
      </c>
      <c r="Q2216" s="49">
        <f t="shared" si="2512"/>
        <v>0</v>
      </c>
    </row>
    <row r="2217" spans="4:17" s="62" customFormat="1" x14ac:dyDescent="0.3">
      <c r="D2217" s="235">
        <v>35</v>
      </c>
      <c r="E2217" s="237">
        <v>1</v>
      </c>
      <c r="F2217" s="238">
        <v>10</v>
      </c>
      <c r="G2217" s="239">
        <v>9</v>
      </c>
      <c r="H2217" s="239">
        <f t="shared" si="2503"/>
        <v>9</v>
      </c>
      <c r="I2217" s="131">
        <f t="shared" si="2504"/>
        <v>0</v>
      </c>
      <c r="J2217" s="31">
        <f t="shared" si="2505"/>
        <v>0</v>
      </c>
      <c r="K2217" s="31">
        <f t="shared" si="2506"/>
        <v>0</v>
      </c>
      <c r="L2217" s="31">
        <f t="shared" si="2507"/>
        <v>0</v>
      </c>
      <c r="M2217" s="31">
        <f t="shared" si="2508"/>
        <v>5.5529999999999999</v>
      </c>
      <c r="N2217" s="31">
        <f t="shared" si="2509"/>
        <v>0</v>
      </c>
      <c r="O2217" s="31">
        <f t="shared" si="2510"/>
        <v>0</v>
      </c>
      <c r="P2217" s="31">
        <f t="shared" si="2511"/>
        <v>0</v>
      </c>
      <c r="Q2217" s="49">
        <f t="shared" si="2512"/>
        <v>0</v>
      </c>
    </row>
    <row r="2218" spans="4:17" s="62" customFormat="1" x14ac:dyDescent="0.3">
      <c r="D2218" s="235">
        <v>36</v>
      </c>
      <c r="E2218" s="237">
        <v>2</v>
      </c>
      <c r="F2218" s="238">
        <v>10</v>
      </c>
      <c r="G2218" s="239">
        <v>11.11</v>
      </c>
      <c r="H2218" s="239">
        <f t="shared" si="2503"/>
        <v>22.22</v>
      </c>
      <c r="I2218" s="131">
        <f t="shared" si="2504"/>
        <v>0</v>
      </c>
      <c r="J2218" s="31">
        <f t="shared" si="2505"/>
        <v>0</v>
      </c>
      <c r="K2218" s="31">
        <f t="shared" si="2506"/>
        <v>0</v>
      </c>
      <c r="L2218" s="31">
        <f t="shared" si="2507"/>
        <v>0</v>
      </c>
      <c r="M2218" s="31">
        <f t="shared" si="2508"/>
        <v>13.709739999999998</v>
      </c>
      <c r="N2218" s="31">
        <f t="shared" si="2509"/>
        <v>0</v>
      </c>
      <c r="O2218" s="31">
        <f t="shared" si="2510"/>
        <v>0</v>
      </c>
      <c r="P2218" s="31">
        <f t="shared" si="2511"/>
        <v>0</v>
      </c>
      <c r="Q2218" s="49">
        <f t="shared" si="2512"/>
        <v>0</v>
      </c>
    </row>
    <row r="2219" spans="4:17" x14ac:dyDescent="0.3">
      <c r="D2219" s="235">
        <v>37</v>
      </c>
      <c r="E2219" s="240">
        <v>2</v>
      </c>
      <c r="F2219" s="241">
        <v>10</v>
      </c>
      <c r="G2219" s="242">
        <v>2.09</v>
      </c>
      <c r="H2219" s="239">
        <f t="shared" si="2503"/>
        <v>4.18</v>
      </c>
      <c r="I2219" s="131">
        <f t="shared" si="2504"/>
        <v>0</v>
      </c>
      <c r="J2219" s="31">
        <f t="shared" si="2505"/>
        <v>0</v>
      </c>
      <c r="K2219" s="31">
        <f t="shared" si="2506"/>
        <v>0</v>
      </c>
      <c r="L2219" s="31">
        <f t="shared" si="2507"/>
        <v>0</v>
      </c>
      <c r="M2219" s="31">
        <f t="shared" si="2508"/>
        <v>2.5790599999999997</v>
      </c>
      <c r="N2219" s="31">
        <f t="shared" si="2509"/>
        <v>0</v>
      </c>
      <c r="O2219" s="31">
        <f t="shared" si="2510"/>
        <v>0</v>
      </c>
      <c r="P2219" s="31">
        <f t="shared" si="2511"/>
        <v>0</v>
      </c>
      <c r="Q2219" s="49">
        <f t="shared" si="2512"/>
        <v>0</v>
      </c>
    </row>
    <row r="2220" spans="4:17" ht="15" thickBot="1" x14ac:dyDescent="0.35">
      <c r="D2220" s="55"/>
      <c r="E2220" s="56"/>
      <c r="F2220" s="57"/>
      <c r="G2220" s="58"/>
      <c r="H2220" s="123"/>
      <c r="I2220" s="124"/>
      <c r="J2220" s="30"/>
      <c r="K2220" s="30"/>
      <c r="L2220" s="30"/>
      <c r="M2220" s="30"/>
      <c r="N2220" s="30"/>
      <c r="O2220" s="30"/>
      <c r="P2220" s="30"/>
      <c r="Q2220" s="54"/>
    </row>
    <row r="2221" spans="4:17" x14ac:dyDescent="0.3">
      <c r="D2221" s="796" t="s">
        <v>1283</v>
      </c>
      <c r="E2221" s="797"/>
      <c r="F2221" s="797"/>
      <c r="G2221" s="797"/>
      <c r="H2221" s="797"/>
      <c r="I2221" s="47">
        <f t="shared" ref="I2221:Q2221" si="2513">SUM(I2222:I2231)</f>
        <v>0</v>
      </c>
      <c r="J2221" s="47">
        <f t="shared" si="2513"/>
        <v>17.933299999999999</v>
      </c>
      <c r="K2221" s="47">
        <f t="shared" si="2513"/>
        <v>0</v>
      </c>
      <c r="L2221" s="47">
        <f t="shared" si="2513"/>
        <v>0</v>
      </c>
      <c r="M2221" s="47">
        <f t="shared" si="2513"/>
        <v>35.853870000000001</v>
      </c>
      <c r="N2221" s="47">
        <f t="shared" si="2513"/>
        <v>31.413060000000002</v>
      </c>
      <c r="O2221" s="47">
        <f t="shared" si="2513"/>
        <v>0</v>
      </c>
      <c r="P2221" s="47">
        <f t="shared" si="2513"/>
        <v>0</v>
      </c>
      <c r="Q2221" s="47">
        <f t="shared" si="2513"/>
        <v>0</v>
      </c>
    </row>
    <row r="2222" spans="4:17" x14ac:dyDescent="0.3">
      <c r="D2222" s="235">
        <v>11</v>
      </c>
      <c r="E2222" s="237">
        <v>85</v>
      </c>
      <c r="F2222" s="238">
        <v>5</v>
      </c>
      <c r="G2222" s="239">
        <v>1.37</v>
      </c>
      <c r="H2222" s="239">
        <f>E2222*G2222</f>
        <v>116.45</v>
      </c>
      <c r="I2222" s="131">
        <f>IF($F2222=4.2,H2222*$B$23,0)</f>
        <v>0</v>
      </c>
      <c r="J2222" s="31">
        <f>IF($F2222=5,$H2222*$B$24,0)</f>
        <v>17.933299999999999</v>
      </c>
      <c r="K2222" s="31">
        <f>IF($F2222=6.3,$H2222*$B$25,0)</f>
        <v>0</v>
      </c>
      <c r="L2222" s="31">
        <f>IF($F2222=8,$H2222*$B$26,0)</f>
        <v>0</v>
      </c>
      <c r="M2222" s="31">
        <f>IF($F2222=10,$H2222*$B$27,0)</f>
        <v>0</v>
      </c>
      <c r="N2222" s="31">
        <f>IF($F2222=12.5,$H2222*$B$28,0)</f>
        <v>0</v>
      </c>
      <c r="O2222" s="31">
        <f>IF($F2222=16,$H2222*$B$29,0)</f>
        <v>0</v>
      </c>
      <c r="P2222" s="31">
        <f>IF($F2222=20,$H2222*$B$30,0)</f>
        <v>0</v>
      </c>
      <c r="Q2222" s="49">
        <f>IF($F2222=25,$H2222*$B$31,0)</f>
        <v>0</v>
      </c>
    </row>
    <row r="2223" spans="4:17" s="62" customFormat="1" x14ac:dyDescent="0.3">
      <c r="D2223" s="235">
        <v>25</v>
      </c>
      <c r="E2223" s="237">
        <v>5</v>
      </c>
      <c r="F2223" s="238">
        <v>10</v>
      </c>
      <c r="G2223" s="239">
        <v>2.85</v>
      </c>
      <c r="H2223" s="239">
        <f t="shared" ref="H2223:H2226" si="2514">E2223*G2223</f>
        <v>14.25</v>
      </c>
      <c r="I2223" s="131">
        <f t="shared" ref="I2223:I2226" si="2515">IF($F2223=4.2,H2223*$B$23,0)</f>
        <v>0</v>
      </c>
      <c r="J2223" s="31">
        <f t="shared" ref="J2223:J2226" si="2516">IF($F2223=5,$H2223*$B$24,0)</f>
        <v>0</v>
      </c>
      <c r="K2223" s="31">
        <f t="shared" ref="K2223:K2226" si="2517">IF($F2223=6.3,$H2223*$B$25,0)</f>
        <v>0</v>
      </c>
      <c r="L2223" s="31">
        <f t="shared" ref="L2223:L2226" si="2518">IF($F2223=8,$H2223*$B$26,0)</f>
        <v>0</v>
      </c>
      <c r="M2223" s="31">
        <f t="shared" ref="M2223:M2226" si="2519">IF($F2223=10,$H2223*$B$27,0)</f>
        <v>8.7922499999999992</v>
      </c>
      <c r="N2223" s="31">
        <f t="shared" ref="N2223:N2226" si="2520">IF($F2223=12.5,$H2223*$B$28,0)</f>
        <v>0</v>
      </c>
      <c r="O2223" s="31">
        <f t="shared" ref="O2223:O2226" si="2521">IF($F2223=16,$H2223*$B$29,0)</f>
        <v>0</v>
      </c>
      <c r="P2223" s="31">
        <f t="shared" ref="P2223:P2226" si="2522">IF($F2223=20,$H2223*$B$30,0)</f>
        <v>0</v>
      </c>
      <c r="Q2223" s="49">
        <f t="shared" ref="Q2223:Q2226" si="2523">IF($F2223=25,$H2223*$B$31,0)</f>
        <v>0</v>
      </c>
    </row>
    <row r="2224" spans="4:17" s="62" customFormat="1" x14ac:dyDescent="0.3">
      <c r="D2224" s="235">
        <v>27</v>
      </c>
      <c r="E2224" s="237">
        <v>3</v>
      </c>
      <c r="F2224" s="238">
        <v>10</v>
      </c>
      <c r="G2224" s="239">
        <v>9.5</v>
      </c>
      <c r="H2224" s="239">
        <f t="shared" si="2514"/>
        <v>28.5</v>
      </c>
      <c r="I2224" s="131">
        <f t="shared" si="2515"/>
        <v>0</v>
      </c>
      <c r="J2224" s="31">
        <f t="shared" si="2516"/>
        <v>0</v>
      </c>
      <c r="K2224" s="31">
        <f t="shared" si="2517"/>
        <v>0</v>
      </c>
      <c r="L2224" s="31">
        <f t="shared" si="2518"/>
        <v>0</v>
      </c>
      <c r="M2224" s="31">
        <f t="shared" si="2519"/>
        <v>17.584499999999998</v>
      </c>
      <c r="N2224" s="31">
        <f t="shared" si="2520"/>
        <v>0</v>
      </c>
      <c r="O2224" s="31">
        <f t="shared" si="2521"/>
        <v>0</v>
      </c>
      <c r="P2224" s="31">
        <f t="shared" si="2522"/>
        <v>0</v>
      </c>
      <c r="Q2224" s="49">
        <f t="shared" si="2523"/>
        <v>0</v>
      </c>
    </row>
    <row r="2225" spans="2:20" s="62" customFormat="1" x14ac:dyDescent="0.3">
      <c r="D2225" s="235">
        <v>38</v>
      </c>
      <c r="E2225" s="237">
        <v>2</v>
      </c>
      <c r="F2225" s="238">
        <v>10</v>
      </c>
      <c r="G2225" s="239">
        <v>1.98</v>
      </c>
      <c r="H2225" s="239">
        <f t="shared" si="2514"/>
        <v>3.96</v>
      </c>
      <c r="I2225" s="131">
        <f t="shared" si="2515"/>
        <v>0</v>
      </c>
      <c r="J2225" s="31">
        <f t="shared" si="2516"/>
        <v>0</v>
      </c>
      <c r="K2225" s="31">
        <f t="shared" si="2517"/>
        <v>0</v>
      </c>
      <c r="L2225" s="31">
        <f t="shared" si="2518"/>
        <v>0</v>
      </c>
      <c r="M2225" s="31">
        <f t="shared" si="2519"/>
        <v>2.4433199999999999</v>
      </c>
      <c r="N2225" s="31">
        <f t="shared" si="2520"/>
        <v>0</v>
      </c>
      <c r="O2225" s="31">
        <f t="shared" si="2521"/>
        <v>0</v>
      </c>
      <c r="P2225" s="31">
        <f t="shared" si="2522"/>
        <v>0</v>
      </c>
      <c r="Q2225" s="49">
        <f t="shared" si="2523"/>
        <v>0</v>
      </c>
    </row>
    <row r="2226" spans="2:20" s="62" customFormat="1" x14ac:dyDescent="0.3">
      <c r="D2226" s="235">
        <v>39</v>
      </c>
      <c r="E2226" s="237">
        <v>2</v>
      </c>
      <c r="F2226" s="238">
        <v>10</v>
      </c>
      <c r="G2226" s="239">
        <v>5.7</v>
      </c>
      <c r="H2226" s="239">
        <f t="shared" si="2514"/>
        <v>11.4</v>
      </c>
      <c r="I2226" s="131">
        <f t="shared" si="2515"/>
        <v>0</v>
      </c>
      <c r="J2226" s="31">
        <f t="shared" si="2516"/>
        <v>0</v>
      </c>
      <c r="K2226" s="31">
        <f t="shared" si="2517"/>
        <v>0</v>
      </c>
      <c r="L2226" s="31">
        <f t="shared" si="2518"/>
        <v>0</v>
      </c>
      <c r="M2226" s="31">
        <f t="shared" si="2519"/>
        <v>7.0338000000000003</v>
      </c>
      <c r="N2226" s="31">
        <f t="shared" si="2520"/>
        <v>0</v>
      </c>
      <c r="O2226" s="31">
        <f t="shared" si="2521"/>
        <v>0</v>
      </c>
      <c r="P2226" s="31">
        <f t="shared" si="2522"/>
        <v>0</v>
      </c>
      <c r="Q2226" s="49">
        <f t="shared" si="2523"/>
        <v>0</v>
      </c>
    </row>
    <row r="2227" spans="2:20" s="62" customFormat="1" x14ac:dyDescent="0.3">
      <c r="D2227" s="235">
        <v>53</v>
      </c>
      <c r="E2227" s="237">
        <v>2</v>
      </c>
      <c r="F2227" s="238">
        <v>12.5</v>
      </c>
      <c r="G2227" s="239">
        <v>2.8</v>
      </c>
      <c r="H2227" s="239">
        <f t="shared" ref="H2227:H2228" si="2524">E2227*G2227</f>
        <v>5.6</v>
      </c>
      <c r="I2227" s="131">
        <f t="shared" ref="I2227:I2228" si="2525">IF($F2227=4.2,H2227*$B$23,0)</f>
        <v>0</v>
      </c>
      <c r="J2227" s="31">
        <f t="shared" ref="J2227:J2231" si="2526">IF($F2227=5,$H2227*$B$24,0)</f>
        <v>0</v>
      </c>
      <c r="K2227" s="31">
        <f t="shared" ref="K2227:K2231" si="2527">IF($F2227=6.3,$H2227*$B$25,0)</f>
        <v>0</v>
      </c>
      <c r="L2227" s="31">
        <f t="shared" ref="L2227:L2231" si="2528">IF($F2227=8,$H2227*$B$26,0)</f>
        <v>0</v>
      </c>
      <c r="M2227" s="31">
        <f t="shared" ref="M2227:M2231" si="2529">IF($F2227=10,$H2227*$B$27,0)</f>
        <v>0</v>
      </c>
      <c r="N2227" s="31">
        <f t="shared" ref="N2227:N2231" si="2530">IF($F2227=12.5,$H2227*$B$28,0)</f>
        <v>5.3927999999999994</v>
      </c>
      <c r="O2227" s="31">
        <f t="shared" ref="O2227:O2231" si="2531">IF($F2227=16,$H2227*$B$29,0)</f>
        <v>0</v>
      </c>
      <c r="P2227" s="31">
        <f t="shared" ref="P2227:P2231" si="2532">IF($F2227=20,$H2227*$B$30,0)</f>
        <v>0</v>
      </c>
      <c r="Q2227" s="49">
        <f t="shared" ref="Q2227:Q2231" si="2533">IF($F2227=25,$H2227*$B$31,0)</f>
        <v>0</v>
      </c>
    </row>
    <row r="2228" spans="2:20" s="62" customFormat="1" x14ac:dyDescent="0.3">
      <c r="D2228" s="235">
        <v>54</v>
      </c>
      <c r="E2228" s="237">
        <v>2</v>
      </c>
      <c r="F2228" s="238">
        <v>12.5</v>
      </c>
      <c r="G2228" s="239">
        <v>11.18</v>
      </c>
      <c r="H2228" s="239">
        <f t="shared" si="2524"/>
        <v>22.36</v>
      </c>
      <c r="I2228" s="131">
        <f t="shared" si="2525"/>
        <v>0</v>
      </c>
      <c r="J2228" s="31">
        <f t="shared" si="2526"/>
        <v>0</v>
      </c>
      <c r="K2228" s="31">
        <f t="shared" si="2527"/>
        <v>0</v>
      </c>
      <c r="L2228" s="31">
        <f t="shared" si="2528"/>
        <v>0</v>
      </c>
      <c r="M2228" s="31">
        <f t="shared" si="2529"/>
        <v>0</v>
      </c>
      <c r="N2228" s="31">
        <f t="shared" si="2530"/>
        <v>21.532679999999999</v>
      </c>
      <c r="O2228" s="31">
        <f t="shared" si="2531"/>
        <v>0</v>
      </c>
      <c r="P2228" s="31">
        <f t="shared" si="2532"/>
        <v>0</v>
      </c>
      <c r="Q2228" s="49">
        <f t="shared" si="2533"/>
        <v>0</v>
      </c>
    </row>
    <row r="2229" spans="2:20" s="62" customFormat="1" x14ac:dyDescent="0.3">
      <c r="D2229" s="235">
        <v>55</v>
      </c>
      <c r="E2229" s="237">
        <v>2</v>
      </c>
      <c r="F2229" s="238">
        <v>12.5</v>
      </c>
      <c r="G2229" s="239">
        <v>2.33</v>
      </c>
      <c r="H2229" s="239">
        <f t="shared" ref="H2229" si="2534">E2229*G2229</f>
        <v>4.66</v>
      </c>
      <c r="I2229" s="131">
        <f t="shared" ref="I2229" si="2535">IF($F2229=4.2,H2229*$B$23,0)</f>
        <v>0</v>
      </c>
      <c r="J2229" s="31">
        <f t="shared" si="2526"/>
        <v>0</v>
      </c>
      <c r="K2229" s="31">
        <f t="shared" si="2527"/>
        <v>0</v>
      </c>
      <c r="L2229" s="31">
        <f t="shared" si="2528"/>
        <v>0</v>
      </c>
      <c r="M2229" s="31">
        <f t="shared" si="2529"/>
        <v>0</v>
      </c>
      <c r="N2229" s="31">
        <f t="shared" si="2530"/>
        <v>4.4875800000000003</v>
      </c>
      <c r="O2229" s="31">
        <f t="shared" si="2531"/>
        <v>0</v>
      </c>
      <c r="P2229" s="31">
        <f t="shared" si="2532"/>
        <v>0</v>
      </c>
      <c r="Q2229" s="49">
        <f t="shared" si="2533"/>
        <v>0</v>
      </c>
    </row>
    <row r="2230" spans="2:20" s="62" customFormat="1" x14ac:dyDescent="0.3">
      <c r="D2230" s="235"/>
      <c r="E2230" s="237"/>
      <c r="F2230" s="238"/>
      <c r="G2230" s="239"/>
      <c r="H2230" s="239">
        <f t="shared" ref="H2230:H2231" si="2536">E2230*G2230</f>
        <v>0</v>
      </c>
      <c r="I2230" s="131">
        <f t="shared" ref="I2230:I2231" si="2537">IF($F2230=4.2,H2230*$B$23,0)</f>
        <v>0</v>
      </c>
      <c r="J2230" s="31">
        <f t="shared" si="2526"/>
        <v>0</v>
      </c>
      <c r="K2230" s="31">
        <f t="shared" si="2527"/>
        <v>0</v>
      </c>
      <c r="L2230" s="31">
        <f t="shared" si="2528"/>
        <v>0</v>
      </c>
      <c r="M2230" s="31">
        <f t="shared" si="2529"/>
        <v>0</v>
      </c>
      <c r="N2230" s="31">
        <f t="shared" si="2530"/>
        <v>0</v>
      </c>
      <c r="O2230" s="31">
        <f t="shared" si="2531"/>
        <v>0</v>
      </c>
      <c r="P2230" s="31">
        <f t="shared" si="2532"/>
        <v>0</v>
      </c>
      <c r="Q2230" s="49">
        <f t="shared" si="2533"/>
        <v>0</v>
      </c>
    </row>
    <row r="2231" spans="2:20" s="62" customFormat="1" x14ac:dyDescent="0.3">
      <c r="D2231" s="235"/>
      <c r="E2231" s="237"/>
      <c r="F2231" s="238"/>
      <c r="G2231" s="239"/>
      <c r="H2231" s="239">
        <f t="shared" si="2536"/>
        <v>0</v>
      </c>
      <c r="I2231" s="131">
        <f t="shared" si="2537"/>
        <v>0</v>
      </c>
      <c r="J2231" s="31">
        <f t="shared" si="2526"/>
        <v>0</v>
      </c>
      <c r="K2231" s="31">
        <f t="shared" si="2527"/>
        <v>0</v>
      </c>
      <c r="L2231" s="31">
        <f t="shared" si="2528"/>
        <v>0</v>
      </c>
      <c r="M2231" s="31">
        <f t="shared" si="2529"/>
        <v>0</v>
      </c>
      <c r="N2231" s="31">
        <f t="shared" si="2530"/>
        <v>0</v>
      </c>
      <c r="O2231" s="31">
        <f t="shared" si="2531"/>
        <v>0</v>
      </c>
      <c r="P2231" s="31">
        <f t="shared" si="2532"/>
        <v>0</v>
      </c>
      <c r="Q2231" s="49">
        <f t="shared" si="2533"/>
        <v>0</v>
      </c>
    </row>
    <row r="2232" spans="2:20" ht="15" thickBot="1" x14ac:dyDescent="0.35">
      <c r="D2232" s="236"/>
      <c r="E2232" s="56"/>
      <c r="F2232" s="57"/>
      <c r="G2232" s="58"/>
      <c r="H2232" s="123"/>
      <c r="I2232" s="124"/>
      <c r="J2232" s="30"/>
      <c r="K2232" s="30"/>
      <c r="L2232" s="30"/>
      <c r="M2232" s="30"/>
      <c r="N2232" s="30"/>
      <c r="O2232" s="30"/>
      <c r="P2232" s="30"/>
      <c r="Q2232" s="54"/>
    </row>
    <row r="2233" spans="2:20" s="16" customFormat="1" ht="15" customHeight="1" thickBot="1" x14ac:dyDescent="0.3">
      <c r="B2233" s="34"/>
      <c r="D2233" s="792" t="s">
        <v>1291</v>
      </c>
      <c r="E2233" s="793"/>
      <c r="F2233" s="793"/>
      <c r="G2233" s="793"/>
      <c r="H2233" s="793"/>
      <c r="I2233" s="793"/>
      <c r="J2233" s="793"/>
      <c r="K2233" s="793"/>
      <c r="L2233" s="793"/>
      <c r="M2233" s="793"/>
      <c r="N2233" s="793"/>
      <c r="O2233" s="793"/>
      <c r="P2233" s="793"/>
      <c r="Q2233" s="794"/>
      <c r="S2233" s="795"/>
      <c r="T2233" s="795"/>
    </row>
    <row r="2234" spans="2:20" x14ac:dyDescent="0.3">
      <c r="D2234" s="796" t="s">
        <v>1318</v>
      </c>
      <c r="E2234" s="797"/>
      <c r="F2234" s="797"/>
      <c r="G2234" s="797"/>
      <c r="H2234" s="797"/>
      <c r="I2234" s="47">
        <f t="shared" ref="I2234:Q2234" si="2538">SUM(I2235:I2238)</f>
        <v>0</v>
      </c>
      <c r="J2234" s="47">
        <f t="shared" si="2538"/>
        <v>12.321540000000001</v>
      </c>
      <c r="K2234" s="47">
        <f t="shared" si="2538"/>
        <v>0</v>
      </c>
      <c r="L2234" s="47">
        <f t="shared" si="2538"/>
        <v>0.34760000000000002</v>
      </c>
      <c r="M2234" s="47">
        <f t="shared" si="2538"/>
        <v>28.098179999999999</v>
      </c>
      <c r="N2234" s="47">
        <f t="shared" si="2538"/>
        <v>0</v>
      </c>
      <c r="O2234" s="47">
        <f t="shared" si="2538"/>
        <v>0</v>
      </c>
      <c r="P2234" s="47">
        <f t="shared" si="2538"/>
        <v>0</v>
      </c>
      <c r="Q2234" s="47">
        <f t="shared" si="2538"/>
        <v>0</v>
      </c>
    </row>
    <row r="2235" spans="2:20" x14ac:dyDescent="0.3">
      <c r="D2235" s="235">
        <v>16</v>
      </c>
      <c r="E2235" s="237">
        <v>63</v>
      </c>
      <c r="F2235" s="238">
        <v>5</v>
      </c>
      <c r="G2235" s="239">
        <v>1.27</v>
      </c>
      <c r="H2235" s="239">
        <f t="shared" ref="H2235:H2238" si="2539">E2235*G2235</f>
        <v>80.010000000000005</v>
      </c>
      <c r="I2235" s="131">
        <f t="shared" ref="I2235:I2238" si="2540">IF($F2235=4.2,H2235*$B$23,0)</f>
        <v>0</v>
      </c>
      <c r="J2235" s="31">
        <f t="shared" ref="J2235:J2238" si="2541">IF($F2235=5,$H2235*$B$24,0)</f>
        <v>12.321540000000001</v>
      </c>
      <c r="K2235" s="31">
        <f t="shared" ref="K2235:K2238" si="2542">IF($F2235=6.3,$H2235*$B$25,0)</f>
        <v>0</v>
      </c>
      <c r="L2235" s="31">
        <f t="shared" ref="L2235:L2238" si="2543">IF($F2235=8,$H2235*$B$26,0)</f>
        <v>0</v>
      </c>
      <c r="M2235" s="31">
        <f t="shared" ref="M2235:M2238" si="2544">IF($F2235=10,$H2235*$B$27,0)</f>
        <v>0</v>
      </c>
      <c r="N2235" s="31">
        <f t="shared" ref="N2235:N2238" si="2545">IF($F2235=12.5,$H2235*$B$28,0)</f>
        <v>0</v>
      </c>
      <c r="O2235" s="31">
        <f t="shared" ref="O2235:O2238" si="2546">IF($F2235=16,$H2235*$B$29,0)</f>
        <v>0</v>
      </c>
      <c r="P2235" s="31">
        <f t="shared" ref="P2235:P2238" si="2547">IF($F2235=20,$H2235*$B$30,0)</f>
        <v>0</v>
      </c>
      <c r="Q2235" s="49">
        <f t="shared" ref="Q2235:Q2238" si="2548">IF($F2235=25,$H2235*$B$31,0)</f>
        <v>0</v>
      </c>
    </row>
    <row r="2236" spans="2:20" s="62" customFormat="1" x14ac:dyDescent="0.3">
      <c r="D2236" s="235">
        <v>17</v>
      </c>
      <c r="E2236" s="240">
        <v>1</v>
      </c>
      <c r="F2236" s="241">
        <v>8</v>
      </c>
      <c r="G2236" s="242">
        <v>0.88</v>
      </c>
      <c r="H2236" s="239">
        <f t="shared" si="2539"/>
        <v>0.88</v>
      </c>
      <c r="I2236" s="131">
        <f t="shared" si="2540"/>
        <v>0</v>
      </c>
      <c r="J2236" s="31">
        <f t="shared" si="2541"/>
        <v>0</v>
      </c>
      <c r="K2236" s="31">
        <f t="shared" si="2542"/>
        <v>0</v>
      </c>
      <c r="L2236" s="31">
        <f t="shared" si="2543"/>
        <v>0.34760000000000002</v>
      </c>
      <c r="M2236" s="31">
        <f t="shared" si="2544"/>
        <v>0</v>
      </c>
      <c r="N2236" s="31">
        <f t="shared" si="2545"/>
        <v>0</v>
      </c>
      <c r="O2236" s="31">
        <f t="shared" si="2546"/>
        <v>0</v>
      </c>
      <c r="P2236" s="31">
        <f t="shared" si="2547"/>
        <v>0</v>
      </c>
      <c r="Q2236" s="49">
        <f t="shared" si="2548"/>
        <v>0</v>
      </c>
    </row>
    <row r="2237" spans="2:20" s="62" customFormat="1" x14ac:dyDescent="0.3">
      <c r="D2237" s="235">
        <v>21</v>
      </c>
      <c r="E2237" s="240">
        <v>2</v>
      </c>
      <c r="F2237" s="241">
        <v>10</v>
      </c>
      <c r="G2237" s="242">
        <v>11.14</v>
      </c>
      <c r="H2237" s="239">
        <f t="shared" si="2539"/>
        <v>22.28</v>
      </c>
      <c r="I2237" s="131">
        <f t="shared" si="2540"/>
        <v>0</v>
      </c>
      <c r="J2237" s="31">
        <f t="shared" si="2541"/>
        <v>0</v>
      </c>
      <c r="K2237" s="31">
        <f t="shared" si="2542"/>
        <v>0</v>
      </c>
      <c r="L2237" s="31">
        <f t="shared" si="2543"/>
        <v>0</v>
      </c>
      <c r="M2237" s="31">
        <f t="shared" si="2544"/>
        <v>13.74676</v>
      </c>
      <c r="N2237" s="31">
        <f t="shared" si="2545"/>
        <v>0</v>
      </c>
      <c r="O2237" s="31">
        <f t="shared" si="2546"/>
        <v>0</v>
      </c>
      <c r="P2237" s="31">
        <f t="shared" si="2547"/>
        <v>0</v>
      </c>
      <c r="Q2237" s="49">
        <f t="shared" si="2548"/>
        <v>0</v>
      </c>
    </row>
    <row r="2238" spans="2:20" s="62" customFormat="1" x14ac:dyDescent="0.3">
      <c r="D2238" s="235">
        <v>22</v>
      </c>
      <c r="E2238" s="240">
        <v>2</v>
      </c>
      <c r="F2238" s="241">
        <v>10</v>
      </c>
      <c r="G2238" s="242">
        <v>11.63</v>
      </c>
      <c r="H2238" s="239">
        <f t="shared" si="2539"/>
        <v>23.26</v>
      </c>
      <c r="I2238" s="131">
        <f t="shared" si="2540"/>
        <v>0</v>
      </c>
      <c r="J2238" s="31">
        <f t="shared" si="2541"/>
        <v>0</v>
      </c>
      <c r="K2238" s="31">
        <f t="shared" si="2542"/>
        <v>0</v>
      </c>
      <c r="L2238" s="31">
        <f t="shared" si="2543"/>
        <v>0</v>
      </c>
      <c r="M2238" s="31">
        <f t="shared" si="2544"/>
        <v>14.351420000000001</v>
      </c>
      <c r="N2238" s="31">
        <f t="shared" si="2545"/>
        <v>0</v>
      </c>
      <c r="O2238" s="31">
        <f t="shared" si="2546"/>
        <v>0</v>
      </c>
      <c r="P2238" s="31">
        <f t="shared" si="2547"/>
        <v>0</v>
      </c>
      <c r="Q2238" s="49">
        <f t="shared" si="2548"/>
        <v>0</v>
      </c>
    </row>
    <row r="2239" spans="2:20" ht="15" thickBot="1" x14ac:dyDescent="0.35">
      <c r="D2239" s="55"/>
      <c r="E2239" s="56"/>
      <c r="F2239" s="57"/>
      <c r="G2239" s="58"/>
      <c r="H2239" s="123"/>
      <c r="I2239" s="124"/>
      <c r="J2239" s="30"/>
      <c r="K2239" s="30"/>
      <c r="L2239" s="30"/>
      <c r="M2239" s="30"/>
      <c r="N2239" s="30"/>
      <c r="O2239" s="30"/>
      <c r="P2239" s="30"/>
      <c r="Q2239" s="54"/>
    </row>
    <row r="2240" spans="2:20" x14ac:dyDescent="0.3">
      <c r="D2240" s="796" t="s">
        <v>1319</v>
      </c>
      <c r="E2240" s="797"/>
      <c r="F2240" s="797"/>
      <c r="G2240" s="797"/>
      <c r="H2240" s="797"/>
      <c r="I2240" s="47">
        <f t="shared" ref="I2240:Q2240" si="2549">SUM(I2241:I2244)</f>
        <v>0</v>
      </c>
      <c r="J2240" s="47">
        <f t="shared" si="2549"/>
        <v>8.9966799999999996</v>
      </c>
      <c r="K2240" s="47">
        <f t="shared" si="2549"/>
        <v>0</v>
      </c>
      <c r="L2240" s="47">
        <f t="shared" si="2549"/>
        <v>0.69520000000000004</v>
      </c>
      <c r="M2240" s="47">
        <f t="shared" si="2549"/>
        <v>20.928639999999998</v>
      </c>
      <c r="N2240" s="47">
        <f t="shared" si="2549"/>
        <v>0</v>
      </c>
      <c r="O2240" s="47">
        <f t="shared" si="2549"/>
        <v>0</v>
      </c>
      <c r="P2240" s="47">
        <f t="shared" si="2549"/>
        <v>0</v>
      </c>
      <c r="Q2240" s="47">
        <f t="shared" si="2549"/>
        <v>0</v>
      </c>
    </row>
    <row r="2241" spans="4:17" x14ac:dyDescent="0.3">
      <c r="D2241" s="235">
        <v>16</v>
      </c>
      <c r="E2241" s="237">
        <v>46</v>
      </c>
      <c r="F2241" s="238">
        <v>5</v>
      </c>
      <c r="G2241" s="239">
        <v>1.27</v>
      </c>
      <c r="H2241" s="239">
        <f t="shared" ref="H2241:H2243" si="2550">E2241*G2241</f>
        <v>58.42</v>
      </c>
      <c r="I2241" s="131">
        <f t="shared" ref="I2241:I2244" si="2551">IF($F2241=4.2,H2241*$B$23,0)</f>
        <v>0</v>
      </c>
      <c r="J2241" s="31">
        <f t="shared" ref="J2241:J2244" si="2552">IF($F2241=5,$H2241*$B$24,0)</f>
        <v>8.9966799999999996</v>
      </c>
      <c r="K2241" s="31">
        <f t="shared" ref="K2241:K2244" si="2553">IF($F2241=6.3,$H2241*$B$25,0)</f>
        <v>0</v>
      </c>
      <c r="L2241" s="31">
        <f t="shared" ref="L2241:L2244" si="2554">IF($F2241=8,$H2241*$B$26,0)</f>
        <v>0</v>
      </c>
      <c r="M2241" s="31">
        <f t="shared" ref="M2241:M2244" si="2555">IF($F2241=10,$H2241*$B$27,0)</f>
        <v>0</v>
      </c>
      <c r="N2241" s="31">
        <f t="shared" ref="N2241:N2244" si="2556">IF($F2241=12.5,$H2241*$B$28,0)</f>
        <v>0</v>
      </c>
      <c r="O2241" s="31">
        <f t="shared" ref="O2241:O2244" si="2557">IF($F2241=16,$H2241*$B$29,0)</f>
        <v>0</v>
      </c>
      <c r="P2241" s="31">
        <f t="shared" ref="P2241:P2244" si="2558">IF($F2241=20,$H2241*$B$30,0)</f>
        <v>0</v>
      </c>
      <c r="Q2241" s="49">
        <f t="shared" ref="Q2241:Q2244" si="2559">IF($F2241=25,$H2241*$B$31,0)</f>
        <v>0</v>
      </c>
    </row>
    <row r="2242" spans="4:17" x14ac:dyDescent="0.3">
      <c r="D2242" s="235">
        <v>17</v>
      </c>
      <c r="E2242" s="240">
        <v>2</v>
      </c>
      <c r="F2242" s="241">
        <v>8</v>
      </c>
      <c r="G2242" s="242">
        <v>0.88</v>
      </c>
      <c r="H2242" s="239">
        <f t="shared" si="2550"/>
        <v>1.76</v>
      </c>
      <c r="I2242" s="131">
        <f t="shared" si="2551"/>
        <v>0</v>
      </c>
      <c r="J2242" s="31">
        <f t="shared" si="2552"/>
        <v>0</v>
      </c>
      <c r="K2242" s="31">
        <f t="shared" si="2553"/>
        <v>0</v>
      </c>
      <c r="L2242" s="31">
        <f t="shared" si="2554"/>
        <v>0.69520000000000004</v>
      </c>
      <c r="M2242" s="31">
        <f t="shared" si="2555"/>
        <v>0</v>
      </c>
      <c r="N2242" s="31">
        <f t="shared" si="2556"/>
        <v>0</v>
      </c>
      <c r="O2242" s="31">
        <f t="shared" si="2557"/>
        <v>0</v>
      </c>
      <c r="P2242" s="31">
        <f t="shared" si="2558"/>
        <v>0</v>
      </c>
      <c r="Q2242" s="49">
        <f t="shared" si="2559"/>
        <v>0</v>
      </c>
    </row>
    <row r="2243" spans="4:17" x14ac:dyDescent="0.3">
      <c r="D2243" s="235">
        <v>23</v>
      </c>
      <c r="E2243" s="240">
        <v>2</v>
      </c>
      <c r="F2243" s="241">
        <v>10</v>
      </c>
      <c r="G2243" s="242">
        <v>8.2799999999999994</v>
      </c>
      <c r="H2243" s="239">
        <f t="shared" si="2550"/>
        <v>16.559999999999999</v>
      </c>
      <c r="I2243" s="131">
        <f t="shared" si="2551"/>
        <v>0</v>
      </c>
      <c r="J2243" s="31">
        <f t="shared" si="2552"/>
        <v>0</v>
      </c>
      <c r="K2243" s="31">
        <f t="shared" si="2553"/>
        <v>0</v>
      </c>
      <c r="L2243" s="31">
        <f t="shared" si="2554"/>
        <v>0</v>
      </c>
      <c r="M2243" s="31">
        <f t="shared" si="2555"/>
        <v>10.217519999999999</v>
      </c>
      <c r="N2243" s="31">
        <f t="shared" si="2556"/>
        <v>0</v>
      </c>
      <c r="O2243" s="31">
        <f t="shared" si="2557"/>
        <v>0</v>
      </c>
      <c r="P2243" s="31">
        <f t="shared" si="2558"/>
        <v>0</v>
      </c>
      <c r="Q2243" s="49">
        <f t="shared" si="2559"/>
        <v>0</v>
      </c>
    </row>
    <row r="2244" spans="4:17" s="62" customFormat="1" x14ac:dyDescent="0.3">
      <c r="D2244" s="235">
        <v>24</v>
      </c>
      <c r="E2244" s="240">
        <v>2</v>
      </c>
      <c r="F2244" s="241">
        <v>10</v>
      </c>
      <c r="G2244" s="242">
        <v>8.68</v>
      </c>
      <c r="H2244" s="239">
        <f>E2244*G2244</f>
        <v>17.36</v>
      </c>
      <c r="I2244" s="131">
        <f t="shared" si="2551"/>
        <v>0</v>
      </c>
      <c r="J2244" s="31">
        <f t="shared" si="2552"/>
        <v>0</v>
      </c>
      <c r="K2244" s="31">
        <f t="shared" si="2553"/>
        <v>0</v>
      </c>
      <c r="L2244" s="31">
        <f t="shared" si="2554"/>
        <v>0</v>
      </c>
      <c r="M2244" s="31">
        <f t="shared" si="2555"/>
        <v>10.711119999999999</v>
      </c>
      <c r="N2244" s="31">
        <f t="shared" si="2556"/>
        <v>0</v>
      </c>
      <c r="O2244" s="31">
        <f t="shared" si="2557"/>
        <v>0</v>
      </c>
      <c r="P2244" s="31">
        <f t="shared" si="2558"/>
        <v>0</v>
      </c>
      <c r="Q2244" s="49">
        <f t="shared" si="2559"/>
        <v>0</v>
      </c>
    </row>
    <row r="2245" spans="4:17" x14ac:dyDescent="0.3">
      <c r="D2245" s="307"/>
      <c r="E2245" s="26"/>
      <c r="F2245" s="206"/>
      <c r="G2245" s="207"/>
      <c r="H2245" s="207"/>
      <c r="I2245" s="51"/>
      <c r="J2245" s="308"/>
      <c r="K2245" s="308"/>
      <c r="L2245" s="308"/>
      <c r="M2245" s="308"/>
      <c r="N2245" s="308"/>
      <c r="O2245" s="308"/>
      <c r="P2245" s="308"/>
      <c r="Q2245" s="309"/>
    </row>
    <row r="2246" spans="4:17" x14ac:dyDescent="0.3">
      <c r="D2246" s="790" t="s">
        <v>1320</v>
      </c>
      <c r="E2246" s="791"/>
      <c r="F2246" s="791"/>
      <c r="G2246" s="791"/>
      <c r="H2246" s="791"/>
      <c r="I2246" s="175">
        <f t="shared" ref="I2246:Q2246" si="2560">SUM(I2247:I2251)</f>
        <v>0</v>
      </c>
      <c r="J2246" s="175">
        <f t="shared" si="2560"/>
        <v>10.170160000000001</v>
      </c>
      <c r="K2246" s="175">
        <f t="shared" si="2560"/>
        <v>0</v>
      </c>
      <c r="L2246" s="175">
        <f t="shared" si="2560"/>
        <v>0.34760000000000002</v>
      </c>
      <c r="M2246" s="175">
        <f t="shared" si="2560"/>
        <v>20.928639999999998</v>
      </c>
      <c r="N2246" s="175">
        <f t="shared" si="2560"/>
        <v>0</v>
      </c>
      <c r="O2246" s="175">
        <f t="shared" si="2560"/>
        <v>0</v>
      </c>
      <c r="P2246" s="175">
        <f t="shared" si="2560"/>
        <v>0</v>
      </c>
      <c r="Q2246" s="175">
        <f t="shared" si="2560"/>
        <v>0</v>
      </c>
    </row>
    <row r="2247" spans="4:17" x14ac:dyDescent="0.3">
      <c r="D2247" s="235">
        <v>1</v>
      </c>
      <c r="E2247" s="237">
        <v>52</v>
      </c>
      <c r="F2247" s="238">
        <v>5</v>
      </c>
      <c r="G2247" s="242">
        <v>1.27</v>
      </c>
      <c r="H2247" s="239">
        <f t="shared" ref="H2247:H2251" si="2561">E2247*G2247</f>
        <v>66.040000000000006</v>
      </c>
      <c r="I2247" s="122">
        <f t="shared" ref="I2247:I2251" si="2562">IF($F2247=4.2,H2247*$B$23,0)</f>
        <v>0</v>
      </c>
      <c r="J2247" s="29">
        <f t="shared" ref="J2247:J2251" si="2563">IF($F2247=5,$H2247*$B$24,0)</f>
        <v>10.170160000000001</v>
      </c>
      <c r="K2247" s="29">
        <f t="shared" ref="K2247:K2251" si="2564">IF($F2247=6.3,$H2247*$B$25,0)</f>
        <v>0</v>
      </c>
      <c r="L2247" s="29">
        <f t="shared" ref="L2247:L2251" si="2565">IF($F2247=8,$H2247*$B$26,0)</f>
        <v>0</v>
      </c>
      <c r="M2247" s="29">
        <f t="shared" ref="M2247:M2251" si="2566">IF($F2247=10,$H2247*$B$27,0)</f>
        <v>0</v>
      </c>
      <c r="N2247" s="29">
        <f t="shared" ref="N2247:N2251" si="2567">IF($F2247=12.5,$H2247*$B$28,0)</f>
        <v>0</v>
      </c>
      <c r="O2247" s="29">
        <f t="shared" ref="O2247:O2251" si="2568">IF($F2247=16,$H2247*$B$29,0)</f>
        <v>0</v>
      </c>
      <c r="P2247" s="29">
        <f t="shared" ref="P2247:P2251" si="2569">IF($F2247=20,$H2247*$B$30,0)</f>
        <v>0</v>
      </c>
      <c r="Q2247" s="37">
        <f t="shared" ref="Q2247:Q2251" si="2570">IF($F2247=25,$H2247*$B$31,0)</f>
        <v>0</v>
      </c>
    </row>
    <row r="2248" spans="4:17" x14ac:dyDescent="0.3">
      <c r="D2248" s="235">
        <v>4</v>
      </c>
      <c r="E2248" s="240">
        <v>1</v>
      </c>
      <c r="F2248" s="241">
        <v>8</v>
      </c>
      <c r="G2248" s="242">
        <v>0.88</v>
      </c>
      <c r="H2248" s="239">
        <f t="shared" si="2561"/>
        <v>0.88</v>
      </c>
      <c r="I2248" s="122">
        <f t="shared" si="2562"/>
        <v>0</v>
      </c>
      <c r="J2248" s="29">
        <f t="shared" si="2563"/>
        <v>0</v>
      </c>
      <c r="K2248" s="29">
        <f t="shared" si="2564"/>
        <v>0</v>
      </c>
      <c r="L2248" s="29">
        <f t="shared" si="2565"/>
        <v>0.34760000000000002</v>
      </c>
      <c r="M2248" s="29">
        <f t="shared" si="2566"/>
        <v>0</v>
      </c>
      <c r="N2248" s="29">
        <f t="shared" si="2567"/>
        <v>0</v>
      </c>
      <c r="O2248" s="29">
        <f t="shared" si="2568"/>
        <v>0</v>
      </c>
      <c r="P2248" s="29">
        <f t="shared" si="2569"/>
        <v>0</v>
      </c>
      <c r="Q2248" s="37">
        <f t="shared" si="2570"/>
        <v>0</v>
      </c>
    </row>
    <row r="2249" spans="4:17" x14ac:dyDescent="0.3">
      <c r="D2249" s="235">
        <v>23</v>
      </c>
      <c r="E2249" s="240">
        <v>2</v>
      </c>
      <c r="F2249" s="241">
        <v>10</v>
      </c>
      <c r="G2249" s="242">
        <v>8.2799999999999994</v>
      </c>
      <c r="H2249" s="239">
        <f t="shared" si="2561"/>
        <v>16.559999999999999</v>
      </c>
      <c r="I2249" s="122">
        <f t="shared" si="2562"/>
        <v>0</v>
      </c>
      <c r="J2249" s="29">
        <f t="shared" si="2563"/>
        <v>0</v>
      </c>
      <c r="K2249" s="29">
        <f t="shared" si="2564"/>
        <v>0</v>
      </c>
      <c r="L2249" s="29">
        <f t="shared" si="2565"/>
        <v>0</v>
      </c>
      <c r="M2249" s="29">
        <f t="shared" si="2566"/>
        <v>10.217519999999999</v>
      </c>
      <c r="N2249" s="29">
        <f t="shared" si="2567"/>
        <v>0</v>
      </c>
      <c r="O2249" s="29">
        <f t="shared" si="2568"/>
        <v>0</v>
      </c>
      <c r="P2249" s="29">
        <f t="shared" si="2569"/>
        <v>0</v>
      </c>
      <c r="Q2249" s="37">
        <f t="shared" si="2570"/>
        <v>0</v>
      </c>
    </row>
    <row r="2250" spans="4:17" x14ac:dyDescent="0.3">
      <c r="D2250" s="235">
        <v>24</v>
      </c>
      <c r="E2250" s="240">
        <v>2</v>
      </c>
      <c r="F2250" s="241">
        <v>10</v>
      </c>
      <c r="G2250" s="242">
        <v>8.68</v>
      </c>
      <c r="H2250" s="239">
        <f t="shared" si="2561"/>
        <v>17.36</v>
      </c>
      <c r="I2250" s="122">
        <f t="shared" si="2562"/>
        <v>0</v>
      </c>
      <c r="J2250" s="29">
        <f t="shared" si="2563"/>
        <v>0</v>
      </c>
      <c r="K2250" s="29">
        <f t="shared" si="2564"/>
        <v>0</v>
      </c>
      <c r="L2250" s="29">
        <f t="shared" si="2565"/>
        <v>0</v>
      </c>
      <c r="M2250" s="29">
        <f t="shared" si="2566"/>
        <v>10.711119999999999</v>
      </c>
      <c r="N2250" s="29">
        <f t="shared" si="2567"/>
        <v>0</v>
      </c>
      <c r="O2250" s="29">
        <f t="shared" si="2568"/>
        <v>0</v>
      </c>
      <c r="P2250" s="29">
        <f t="shared" si="2569"/>
        <v>0</v>
      </c>
      <c r="Q2250" s="37">
        <f t="shared" si="2570"/>
        <v>0</v>
      </c>
    </row>
    <row r="2251" spans="4:17" s="62" customFormat="1" x14ac:dyDescent="0.3">
      <c r="D2251" s="235"/>
      <c r="E2251" s="240"/>
      <c r="F2251" s="241"/>
      <c r="G2251" s="242"/>
      <c r="H2251" s="239">
        <f t="shared" si="2561"/>
        <v>0</v>
      </c>
      <c r="I2251" s="122">
        <f t="shared" si="2562"/>
        <v>0</v>
      </c>
      <c r="J2251" s="29">
        <f t="shared" si="2563"/>
        <v>0</v>
      </c>
      <c r="K2251" s="29">
        <f t="shared" si="2564"/>
        <v>0</v>
      </c>
      <c r="L2251" s="29">
        <f t="shared" si="2565"/>
        <v>0</v>
      </c>
      <c r="M2251" s="29">
        <f t="shared" si="2566"/>
        <v>0</v>
      </c>
      <c r="N2251" s="29">
        <f t="shared" si="2567"/>
        <v>0</v>
      </c>
      <c r="O2251" s="29">
        <f t="shared" si="2568"/>
        <v>0</v>
      </c>
      <c r="P2251" s="29">
        <f t="shared" si="2569"/>
        <v>0</v>
      </c>
      <c r="Q2251" s="37">
        <f t="shared" si="2570"/>
        <v>0</v>
      </c>
    </row>
    <row r="2252" spans="4:17" x14ac:dyDescent="0.3">
      <c r="D2252" s="307"/>
      <c r="E2252" s="26"/>
      <c r="F2252" s="206"/>
      <c r="G2252" s="207"/>
      <c r="H2252" s="207"/>
      <c r="I2252" s="51"/>
      <c r="J2252" s="308"/>
      <c r="K2252" s="308"/>
      <c r="L2252" s="308"/>
      <c r="M2252" s="308"/>
      <c r="N2252" s="308"/>
      <c r="O2252" s="308"/>
      <c r="P2252" s="308"/>
      <c r="Q2252" s="309"/>
    </row>
    <row r="2253" spans="4:17" x14ac:dyDescent="0.3">
      <c r="D2253" s="814" t="s">
        <v>1321</v>
      </c>
      <c r="E2253" s="815"/>
      <c r="F2253" s="815"/>
      <c r="G2253" s="815"/>
      <c r="H2253" s="815"/>
      <c r="I2253" s="175">
        <f t="shared" ref="I2253:Q2253" si="2571">SUM(I2254:I2266)</f>
        <v>0</v>
      </c>
      <c r="J2253" s="175">
        <f t="shared" si="2571"/>
        <v>15.612520000000002</v>
      </c>
      <c r="K2253" s="175">
        <f t="shared" si="2571"/>
        <v>0</v>
      </c>
      <c r="L2253" s="175">
        <f t="shared" si="2571"/>
        <v>21.456400000000002</v>
      </c>
      <c r="M2253" s="175">
        <f t="shared" si="2571"/>
        <v>24.834250000000001</v>
      </c>
      <c r="N2253" s="175">
        <f t="shared" si="2571"/>
        <v>0</v>
      </c>
      <c r="O2253" s="175">
        <f t="shared" si="2571"/>
        <v>0</v>
      </c>
      <c r="P2253" s="175">
        <f t="shared" si="2571"/>
        <v>0</v>
      </c>
      <c r="Q2253" s="175">
        <f t="shared" si="2571"/>
        <v>0</v>
      </c>
    </row>
    <row r="2254" spans="4:17" x14ac:dyDescent="0.3">
      <c r="D2254" s="235">
        <v>2</v>
      </c>
      <c r="E2254" s="237">
        <v>74</v>
      </c>
      <c r="F2254" s="238">
        <v>5</v>
      </c>
      <c r="G2254" s="239">
        <v>1.37</v>
      </c>
      <c r="H2254" s="239">
        <f t="shared" ref="H2254:H2266" si="2572">E2254*G2254</f>
        <v>101.38000000000001</v>
      </c>
      <c r="I2254" s="131">
        <f t="shared" ref="I2254:I2266" si="2573">IF($F2254=4.2,H2254*$B$23,0)</f>
        <v>0</v>
      </c>
      <c r="J2254" s="31">
        <f t="shared" ref="J2254:J2266" si="2574">IF($F2254=5,$H2254*$B$24,0)</f>
        <v>15.612520000000002</v>
      </c>
      <c r="K2254" s="31">
        <f t="shared" ref="K2254:K2266" si="2575">IF($F2254=6.3,$H2254*$B$25,0)</f>
        <v>0</v>
      </c>
      <c r="L2254" s="31">
        <f t="shared" ref="L2254:L2266" si="2576">IF($F2254=8,$H2254*$B$26,0)</f>
        <v>0</v>
      </c>
      <c r="M2254" s="31">
        <f t="shared" ref="M2254:M2266" si="2577">IF($F2254=10,$H2254*$B$27,0)</f>
        <v>0</v>
      </c>
      <c r="N2254" s="31">
        <f t="shared" ref="N2254:N2266" si="2578">IF($F2254=12.5,$H2254*$B$28,0)</f>
        <v>0</v>
      </c>
      <c r="O2254" s="31">
        <f t="shared" ref="O2254:O2266" si="2579">IF($F2254=16,$H2254*$B$29,0)</f>
        <v>0</v>
      </c>
      <c r="P2254" s="31">
        <f t="shared" ref="P2254:P2266" si="2580">IF($F2254=20,$H2254*$B$30,0)</f>
        <v>0</v>
      </c>
      <c r="Q2254" s="49">
        <f t="shared" ref="Q2254:Q2266" si="2581">IF($F2254=25,$H2254*$B$31,0)</f>
        <v>0</v>
      </c>
    </row>
    <row r="2255" spans="4:17" s="62" customFormat="1" x14ac:dyDescent="0.3">
      <c r="D2255" s="235">
        <v>5</v>
      </c>
      <c r="E2255" s="237">
        <v>1</v>
      </c>
      <c r="F2255" s="238">
        <v>8</v>
      </c>
      <c r="G2255" s="239">
        <v>2.2200000000000002</v>
      </c>
      <c r="H2255" s="239">
        <f t="shared" si="2572"/>
        <v>2.2200000000000002</v>
      </c>
      <c r="I2255" s="131">
        <f t="shared" si="2573"/>
        <v>0</v>
      </c>
      <c r="J2255" s="31">
        <f t="shared" si="2574"/>
        <v>0</v>
      </c>
      <c r="K2255" s="31">
        <f t="shared" si="2575"/>
        <v>0</v>
      </c>
      <c r="L2255" s="31">
        <f t="shared" si="2576"/>
        <v>0.87690000000000012</v>
      </c>
      <c r="M2255" s="31">
        <f t="shared" si="2577"/>
        <v>0</v>
      </c>
      <c r="N2255" s="31">
        <f t="shared" si="2578"/>
        <v>0</v>
      </c>
      <c r="O2255" s="31">
        <f t="shared" si="2579"/>
        <v>0</v>
      </c>
      <c r="P2255" s="31">
        <f t="shared" si="2580"/>
        <v>0</v>
      </c>
      <c r="Q2255" s="49">
        <f t="shared" si="2581"/>
        <v>0</v>
      </c>
    </row>
    <row r="2256" spans="4:17" s="62" customFormat="1" x14ac:dyDescent="0.3">
      <c r="D2256" s="235">
        <v>6</v>
      </c>
      <c r="E2256" s="237">
        <v>1</v>
      </c>
      <c r="F2256" s="238">
        <v>8</v>
      </c>
      <c r="G2256" s="239">
        <v>2.12</v>
      </c>
      <c r="H2256" s="239">
        <f t="shared" si="2572"/>
        <v>2.12</v>
      </c>
      <c r="I2256" s="131">
        <f t="shared" si="2573"/>
        <v>0</v>
      </c>
      <c r="J2256" s="31">
        <f t="shared" si="2574"/>
        <v>0</v>
      </c>
      <c r="K2256" s="31">
        <f t="shared" si="2575"/>
        <v>0</v>
      </c>
      <c r="L2256" s="31">
        <f t="shared" si="2576"/>
        <v>0.83740000000000003</v>
      </c>
      <c r="M2256" s="31">
        <f t="shared" si="2577"/>
        <v>0</v>
      </c>
      <c r="N2256" s="31">
        <f t="shared" si="2578"/>
        <v>0</v>
      </c>
      <c r="O2256" s="31">
        <f t="shared" si="2579"/>
        <v>0</v>
      </c>
      <c r="P2256" s="31">
        <f t="shared" si="2580"/>
        <v>0</v>
      </c>
      <c r="Q2256" s="49">
        <f t="shared" si="2581"/>
        <v>0</v>
      </c>
    </row>
    <row r="2257" spans="4:17" s="62" customFormat="1" x14ac:dyDescent="0.3">
      <c r="D2257" s="235">
        <v>7</v>
      </c>
      <c r="E2257" s="237">
        <v>1</v>
      </c>
      <c r="F2257" s="238">
        <v>8</v>
      </c>
      <c r="G2257" s="239">
        <v>1.73</v>
      </c>
      <c r="H2257" s="239">
        <f t="shared" si="2572"/>
        <v>1.73</v>
      </c>
      <c r="I2257" s="131">
        <f t="shared" si="2573"/>
        <v>0</v>
      </c>
      <c r="J2257" s="31">
        <f t="shared" si="2574"/>
        <v>0</v>
      </c>
      <c r="K2257" s="31">
        <f t="shared" si="2575"/>
        <v>0</v>
      </c>
      <c r="L2257" s="31">
        <f t="shared" si="2576"/>
        <v>0.68335000000000001</v>
      </c>
      <c r="M2257" s="31">
        <f t="shared" si="2577"/>
        <v>0</v>
      </c>
      <c r="N2257" s="31">
        <f t="shared" si="2578"/>
        <v>0</v>
      </c>
      <c r="O2257" s="31">
        <f t="shared" si="2579"/>
        <v>0</v>
      </c>
      <c r="P2257" s="31">
        <f t="shared" si="2580"/>
        <v>0</v>
      </c>
      <c r="Q2257" s="49">
        <f t="shared" si="2581"/>
        <v>0</v>
      </c>
    </row>
    <row r="2258" spans="4:17" s="62" customFormat="1" x14ac:dyDescent="0.3">
      <c r="D2258" s="235">
        <v>8</v>
      </c>
      <c r="E2258" s="237">
        <v>1</v>
      </c>
      <c r="F2258" s="238">
        <v>8</v>
      </c>
      <c r="G2258" s="239">
        <v>2.25</v>
      </c>
      <c r="H2258" s="239">
        <f t="shared" si="2572"/>
        <v>2.25</v>
      </c>
      <c r="I2258" s="131">
        <f t="shared" si="2573"/>
        <v>0</v>
      </c>
      <c r="J2258" s="31">
        <f t="shared" si="2574"/>
        <v>0</v>
      </c>
      <c r="K2258" s="31">
        <f t="shared" si="2575"/>
        <v>0</v>
      </c>
      <c r="L2258" s="31">
        <f t="shared" si="2576"/>
        <v>0.88875000000000004</v>
      </c>
      <c r="M2258" s="31">
        <f t="shared" si="2577"/>
        <v>0</v>
      </c>
      <c r="N2258" s="31">
        <f t="shared" si="2578"/>
        <v>0</v>
      </c>
      <c r="O2258" s="31">
        <f t="shared" si="2579"/>
        <v>0</v>
      </c>
      <c r="P2258" s="31">
        <f t="shared" si="2580"/>
        <v>0</v>
      </c>
      <c r="Q2258" s="49">
        <f t="shared" si="2581"/>
        <v>0</v>
      </c>
    </row>
    <row r="2259" spans="4:17" s="62" customFormat="1" x14ac:dyDescent="0.3">
      <c r="D2259" s="235">
        <v>9</v>
      </c>
      <c r="E2259" s="237">
        <v>4</v>
      </c>
      <c r="F2259" s="238">
        <v>8</v>
      </c>
      <c r="G2259" s="239">
        <v>11.5</v>
      </c>
      <c r="H2259" s="239">
        <f t="shared" si="2572"/>
        <v>46</v>
      </c>
      <c r="I2259" s="131">
        <f t="shared" si="2573"/>
        <v>0</v>
      </c>
      <c r="J2259" s="31">
        <f t="shared" si="2574"/>
        <v>0</v>
      </c>
      <c r="K2259" s="31">
        <f t="shared" si="2575"/>
        <v>0</v>
      </c>
      <c r="L2259" s="31">
        <f t="shared" si="2576"/>
        <v>18.170000000000002</v>
      </c>
      <c r="M2259" s="31">
        <f t="shared" si="2577"/>
        <v>0</v>
      </c>
      <c r="N2259" s="31">
        <f t="shared" si="2578"/>
        <v>0</v>
      </c>
      <c r="O2259" s="31">
        <f t="shared" si="2579"/>
        <v>0</v>
      </c>
      <c r="P2259" s="31">
        <f t="shared" si="2580"/>
        <v>0</v>
      </c>
      <c r="Q2259" s="49">
        <f t="shared" si="2581"/>
        <v>0</v>
      </c>
    </row>
    <row r="2260" spans="4:17" s="62" customFormat="1" x14ac:dyDescent="0.3">
      <c r="D2260" s="235">
        <v>25</v>
      </c>
      <c r="E2260" s="237">
        <v>1</v>
      </c>
      <c r="F2260" s="238">
        <v>10</v>
      </c>
      <c r="G2260" s="239">
        <v>2.1</v>
      </c>
      <c r="H2260" s="239">
        <f t="shared" si="2572"/>
        <v>2.1</v>
      </c>
      <c r="I2260" s="131">
        <f t="shared" si="2573"/>
        <v>0</v>
      </c>
      <c r="J2260" s="31">
        <f t="shared" si="2574"/>
        <v>0</v>
      </c>
      <c r="K2260" s="31">
        <f t="shared" si="2575"/>
        <v>0</v>
      </c>
      <c r="L2260" s="31">
        <f t="shared" si="2576"/>
        <v>0</v>
      </c>
      <c r="M2260" s="31">
        <f t="shared" si="2577"/>
        <v>1.2957000000000001</v>
      </c>
      <c r="N2260" s="31">
        <f t="shared" si="2578"/>
        <v>0</v>
      </c>
      <c r="O2260" s="31">
        <f t="shared" si="2579"/>
        <v>0</v>
      </c>
      <c r="P2260" s="31">
        <f t="shared" si="2580"/>
        <v>0</v>
      </c>
      <c r="Q2260" s="49">
        <f t="shared" si="2581"/>
        <v>0</v>
      </c>
    </row>
    <row r="2261" spans="4:17" s="62" customFormat="1" x14ac:dyDescent="0.3">
      <c r="D2261" s="235">
        <v>26</v>
      </c>
      <c r="E2261" s="237">
        <v>2</v>
      </c>
      <c r="F2261" s="238">
        <v>10</v>
      </c>
      <c r="G2261" s="239">
        <v>3.12</v>
      </c>
      <c r="H2261" s="239">
        <f t="shared" si="2572"/>
        <v>6.24</v>
      </c>
      <c r="I2261" s="131">
        <f t="shared" si="2573"/>
        <v>0</v>
      </c>
      <c r="J2261" s="31">
        <f t="shared" si="2574"/>
        <v>0</v>
      </c>
      <c r="K2261" s="31">
        <f t="shared" si="2575"/>
        <v>0</v>
      </c>
      <c r="L2261" s="31">
        <f t="shared" si="2576"/>
        <v>0</v>
      </c>
      <c r="M2261" s="31">
        <f t="shared" si="2577"/>
        <v>3.8500800000000002</v>
      </c>
      <c r="N2261" s="31">
        <f t="shared" si="2578"/>
        <v>0</v>
      </c>
      <c r="O2261" s="31">
        <f t="shared" si="2579"/>
        <v>0</v>
      </c>
      <c r="P2261" s="31">
        <f t="shared" si="2580"/>
        <v>0</v>
      </c>
      <c r="Q2261" s="49">
        <f t="shared" si="2581"/>
        <v>0</v>
      </c>
    </row>
    <row r="2262" spans="4:17" s="62" customFormat="1" x14ac:dyDescent="0.3">
      <c r="D2262" s="235">
        <v>27</v>
      </c>
      <c r="E2262" s="237">
        <v>2</v>
      </c>
      <c r="F2262" s="238">
        <v>10</v>
      </c>
      <c r="G2262" s="239">
        <v>1.5</v>
      </c>
      <c r="H2262" s="239">
        <f t="shared" si="2572"/>
        <v>3</v>
      </c>
      <c r="I2262" s="131">
        <f t="shared" si="2573"/>
        <v>0</v>
      </c>
      <c r="J2262" s="31">
        <f t="shared" si="2574"/>
        <v>0</v>
      </c>
      <c r="K2262" s="31">
        <f t="shared" si="2575"/>
        <v>0</v>
      </c>
      <c r="L2262" s="31">
        <f t="shared" si="2576"/>
        <v>0</v>
      </c>
      <c r="M2262" s="31">
        <f t="shared" si="2577"/>
        <v>1.851</v>
      </c>
      <c r="N2262" s="31">
        <f t="shared" si="2578"/>
        <v>0</v>
      </c>
      <c r="O2262" s="31">
        <f t="shared" si="2579"/>
        <v>0</v>
      </c>
      <c r="P2262" s="31">
        <f t="shared" si="2580"/>
        <v>0</v>
      </c>
      <c r="Q2262" s="49">
        <f t="shared" si="2581"/>
        <v>0</v>
      </c>
    </row>
    <row r="2263" spans="4:17" x14ac:dyDescent="0.3">
      <c r="D2263" s="235">
        <v>28</v>
      </c>
      <c r="E2263" s="237">
        <v>2</v>
      </c>
      <c r="F2263" s="238">
        <v>10</v>
      </c>
      <c r="G2263" s="239">
        <v>2.2000000000000002</v>
      </c>
      <c r="H2263" s="239">
        <f t="shared" si="2572"/>
        <v>4.4000000000000004</v>
      </c>
      <c r="I2263" s="131">
        <f t="shared" si="2573"/>
        <v>0</v>
      </c>
      <c r="J2263" s="31">
        <f t="shared" si="2574"/>
        <v>0</v>
      </c>
      <c r="K2263" s="31">
        <f t="shared" si="2575"/>
        <v>0</v>
      </c>
      <c r="L2263" s="31">
        <f t="shared" si="2576"/>
        <v>0</v>
      </c>
      <c r="M2263" s="31">
        <f t="shared" si="2577"/>
        <v>2.7148000000000003</v>
      </c>
      <c r="N2263" s="31">
        <f t="shared" si="2578"/>
        <v>0</v>
      </c>
      <c r="O2263" s="31">
        <f t="shared" si="2579"/>
        <v>0</v>
      </c>
      <c r="P2263" s="31">
        <f t="shared" si="2580"/>
        <v>0</v>
      </c>
      <c r="Q2263" s="49">
        <f t="shared" si="2581"/>
        <v>0</v>
      </c>
    </row>
    <row r="2264" spans="4:17" s="62" customFormat="1" x14ac:dyDescent="0.3">
      <c r="D2264" s="235">
        <v>29</v>
      </c>
      <c r="E2264" s="237">
        <v>1</v>
      </c>
      <c r="F2264" s="238">
        <v>10</v>
      </c>
      <c r="G2264" s="239">
        <v>2.0499999999999998</v>
      </c>
      <c r="H2264" s="239">
        <f t="shared" si="2572"/>
        <v>2.0499999999999998</v>
      </c>
      <c r="I2264" s="131">
        <f t="shared" si="2573"/>
        <v>0</v>
      </c>
      <c r="J2264" s="31">
        <f t="shared" si="2574"/>
        <v>0</v>
      </c>
      <c r="K2264" s="31">
        <f t="shared" si="2575"/>
        <v>0</v>
      </c>
      <c r="L2264" s="31">
        <f t="shared" si="2576"/>
        <v>0</v>
      </c>
      <c r="M2264" s="31">
        <f t="shared" si="2577"/>
        <v>1.2648499999999998</v>
      </c>
      <c r="N2264" s="31">
        <f t="shared" si="2578"/>
        <v>0</v>
      </c>
      <c r="O2264" s="31">
        <f t="shared" si="2579"/>
        <v>0</v>
      </c>
      <c r="P2264" s="31">
        <f t="shared" si="2580"/>
        <v>0</v>
      </c>
      <c r="Q2264" s="49">
        <f t="shared" si="2581"/>
        <v>0</v>
      </c>
    </row>
    <row r="2265" spans="4:17" x14ac:dyDescent="0.3">
      <c r="D2265" s="235">
        <v>30</v>
      </c>
      <c r="E2265" s="237">
        <v>2</v>
      </c>
      <c r="F2265" s="238">
        <v>10</v>
      </c>
      <c r="G2265" s="239">
        <v>11.23</v>
      </c>
      <c r="H2265" s="239">
        <f t="shared" si="2572"/>
        <v>22.46</v>
      </c>
      <c r="I2265" s="131">
        <f t="shared" si="2573"/>
        <v>0</v>
      </c>
      <c r="J2265" s="31">
        <f t="shared" si="2574"/>
        <v>0</v>
      </c>
      <c r="K2265" s="31">
        <f t="shared" si="2575"/>
        <v>0</v>
      </c>
      <c r="L2265" s="31">
        <f t="shared" si="2576"/>
        <v>0</v>
      </c>
      <c r="M2265" s="31">
        <f t="shared" si="2577"/>
        <v>13.85782</v>
      </c>
      <c r="N2265" s="31">
        <f t="shared" si="2578"/>
        <v>0</v>
      </c>
      <c r="O2265" s="31">
        <f t="shared" si="2579"/>
        <v>0</v>
      </c>
      <c r="P2265" s="31">
        <f t="shared" si="2580"/>
        <v>0</v>
      </c>
      <c r="Q2265" s="49">
        <f t="shared" si="2581"/>
        <v>0</v>
      </c>
    </row>
    <row r="2266" spans="4:17" x14ac:dyDescent="0.3">
      <c r="D2266" s="235"/>
      <c r="E2266" s="237"/>
      <c r="F2266" s="238"/>
      <c r="G2266" s="239"/>
      <c r="H2266" s="239">
        <f t="shared" si="2572"/>
        <v>0</v>
      </c>
      <c r="I2266" s="131">
        <f t="shared" si="2573"/>
        <v>0</v>
      </c>
      <c r="J2266" s="31">
        <f t="shared" si="2574"/>
        <v>0</v>
      </c>
      <c r="K2266" s="31">
        <f t="shared" si="2575"/>
        <v>0</v>
      </c>
      <c r="L2266" s="31">
        <f t="shared" si="2576"/>
        <v>0</v>
      </c>
      <c r="M2266" s="31">
        <f t="shared" si="2577"/>
        <v>0</v>
      </c>
      <c r="N2266" s="31">
        <f t="shared" si="2578"/>
        <v>0</v>
      </c>
      <c r="O2266" s="31">
        <f t="shared" si="2579"/>
        <v>0</v>
      </c>
      <c r="P2266" s="31">
        <f t="shared" si="2580"/>
        <v>0</v>
      </c>
      <c r="Q2266" s="49">
        <f t="shared" si="2581"/>
        <v>0</v>
      </c>
    </row>
    <row r="2267" spans="4:17" ht="15" thickBot="1" x14ac:dyDescent="0.35">
      <c r="D2267" s="307"/>
      <c r="E2267" s="26"/>
      <c r="F2267" s="206"/>
      <c r="G2267" s="207"/>
      <c r="H2267" s="207"/>
      <c r="I2267" s="51"/>
      <c r="J2267" s="308"/>
      <c r="K2267" s="308"/>
      <c r="L2267" s="308"/>
      <c r="M2267" s="308"/>
      <c r="N2267" s="308"/>
      <c r="O2267" s="308"/>
      <c r="P2267" s="308"/>
      <c r="Q2267" s="309"/>
    </row>
    <row r="2268" spans="4:17" x14ac:dyDescent="0.3">
      <c r="D2268" s="810" t="s">
        <v>1322</v>
      </c>
      <c r="E2268" s="811"/>
      <c r="F2268" s="811"/>
      <c r="G2268" s="811"/>
      <c r="H2268" s="811"/>
      <c r="I2268" s="47">
        <f t="shared" ref="I2268:Q2268" si="2582">SUM(I2269:I2279)</f>
        <v>0</v>
      </c>
      <c r="J2268" s="47">
        <f t="shared" si="2582"/>
        <v>11.39292</v>
      </c>
      <c r="K2268" s="47">
        <f t="shared" si="2582"/>
        <v>0</v>
      </c>
      <c r="L2268" s="47">
        <f t="shared" si="2582"/>
        <v>15.954050000000002</v>
      </c>
      <c r="M2268" s="47">
        <f t="shared" si="2582"/>
        <v>18.275539999999999</v>
      </c>
      <c r="N2268" s="47">
        <f t="shared" si="2582"/>
        <v>0</v>
      </c>
      <c r="O2268" s="47">
        <f t="shared" si="2582"/>
        <v>0</v>
      </c>
      <c r="P2268" s="47">
        <f t="shared" si="2582"/>
        <v>0</v>
      </c>
      <c r="Q2268" s="47">
        <f t="shared" si="2582"/>
        <v>0</v>
      </c>
    </row>
    <row r="2269" spans="4:17" x14ac:dyDescent="0.3">
      <c r="D2269" s="235">
        <v>2</v>
      </c>
      <c r="E2269" s="237">
        <v>54</v>
      </c>
      <c r="F2269" s="238">
        <v>5</v>
      </c>
      <c r="G2269" s="239">
        <v>1.37</v>
      </c>
      <c r="H2269" s="239">
        <f t="shared" ref="H2269:H2279" si="2583">E2269*G2269</f>
        <v>73.98</v>
      </c>
      <c r="I2269" s="131">
        <f t="shared" ref="I2269:I2279" si="2584">IF($F2269=4.2,H2269*$B$23,0)</f>
        <v>0</v>
      </c>
      <c r="J2269" s="31">
        <f t="shared" ref="J2269:J2279" si="2585">IF($F2269=5,$H2269*$B$24,0)</f>
        <v>11.39292</v>
      </c>
      <c r="K2269" s="31">
        <f t="shared" ref="K2269:K2279" si="2586">IF($F2269=6.3,$H2269*$B$25,0)</f>
        <v>0</v>
      </c>
      <c r="L2269" s="31">
        <f t="shared" ref="L2269:L2279" si="2587">IF($F2269=8,$H2269*$B$26,0)</f>
        <v>0</v>
      </c>
      <c r="M2269" s="31">
        <f t="shared" ref="M2269:M2279" si="2588">IF($F2269=10,$H2269*$B$27,0)</f>
        <v>0</v>
      </c>
      <c r="N2269" s="31">
        <f t="shared" ref="N2269:N2279" si="2589">IF($F2269=12.5,$H2269*$B$28,0)</f>
        <v>0</v>
      </c>
      <c r="O2269" s="31">
        <f t="shared" ref="O2269:O2279" si="2590">IF($F2269=16,$H2269*$B$29,0)</f>
        <v>0</v>
      </c>
      <c r="P2269" s="31">
        <f t="shared" ref="P2269:P2279" si="2591">IF($F2269=20,$H2269*$B$30,0)</f>
        <v>0</v>
      </c>
      <c r="Q2269" s="49">
        <f t="shared" ref="Q2269:Q2279" si="2592">IF($F2269=25,$H2269*$B$31,0)</f>
        <v>0</v>
      </c>
    </row>
    <row r="2270" spans="4:17" s="62" customFormat="1" x14ac:dyDescent="0.3">
      <c r="D2270" s="235">
        <v>10</v>
      </c>
      <c r="E2270" s="237">
        <v>1</v>
      </c>
      <c r="F2270" s="238">
        <v>8</v>
      </c>
      <c r="G2270" s="239">
        <v>2.2200000000000002</v>
      </c>
      <c r="H2270" s="239">
        <f t="shared" si="2583"/>
        <v>2.2200000000000002</v>
      </c>
      <c r="I2270" s="131">
        <f t="shared" si="2584"/>
        <v>0</v>
      </c>
      <c r="J2270" s="31">
        <f t="shared" si="2585"/>
        <v>0</v>
      </c>
      <c r="K2270" s="31">
        <f t="shared" si="2586"/>
        <v>0</v>
      </c>
      <c r="L2270" s="31">
        <f t="shared" si="2587"/>
        <v>0.87690000000000012</v>
      </c>
      <c r="M2270" s="31">
        <f t="shared" si="2588"/>
        <v>0</v>
      </c>
      <c r="N2270" s="31">
        <f t="shared" si="2589"/>
        <v>0</v>
      </c>
      <c r="O2270" s="31">
        <f t="shared" si="2590"/>
        <v>0</v>
      </c>
      <c r="P2270" s="31">
        <f t="shared" si="2591"/>
        <v>0</v>
      </c>
      <c r="Q2270" s="49">
        <f t="shared" si="2592"/>
        <v>0</v>
      </c>
    </row>
    <row r="2271" spans="4:17" s="62" customFormat="1" x14ac:dyDescent="0.3">
      <c r="D2271" s="235">
        <v>11</v>
      </c>
      <c r="E2271" s="237">
        <v>1</v>
      </c>
      <c r="F2271" s="238">
        <v>8</v>
      </c>
      <c r="G2271" s="239">
        <v>2.11</v>
      </c>
      <c r="H2271" s="239">
        <f t="shared" si="2583"/>
        <v>2.11</v>
      </c>
      <c r="I2271" s="131">
        <f t="shared" si="2584"/>
        <v>0</v>
      </c>
      <c r="J2271" s="31">
        <f t="shared" si="2585"/>
        <v>0</v>
      </c>
      <c r="K2271" s="31">
        <f t="shared" si="2586"/>
        <v>0</v>
      </c>
      <c r="L2271" s="31">
        <f t="shared" si="2587"/>
        <v>0.83345000000000002</v>
      </c>
      <c r="M2271" s="31">
        <f t="shared" si="2588"/>
        <v>0</v>
      </c>
      <c r="N2271" s="31">
        <f t="shared" si="2589"/>
        <v>0</v>
      </c>
      <c r="O2271" s="31">
        <f t="shared" si="2590"/>
        <v>0</v>
      </c>
      <c r="P2271" s="31">
        <f t="shared" si="2591"/>
        <v>0</v>
      </c>
      <c r="Q2271" s="49">
        <f t="shared" si="2592"/>
        <v>0</v>
      </c>
    </row>
    <row r="2272" spans="4:17" s="62" customFormat="1" x14ac:dyDescent="0.3">
      <c r="D2272" s="235">
        <v>12</v>
      </c>
      <c r="E2272" s="237">
        <v>1</v>
      </c>
      <c r="F2272" s="238">
        <v>8</v>
      </c>
      <c r="G2272" s="239">
        <v>1.86</v>
      </c>
      <c r="H2272" s="239">
        <f t="shared" si="2583"/>
        <v>1.86</v>
      </c>
      <c r="I2272" s="131">
        <f t="shared" si="2584"/>
        <v>0</v>
      </c>
      <c r="J2272" s="31">
        <f t="shared" si="2585"/>
        <v>0</v>
      </c>
      <c r="K2272" s="31">
        <f t="shared" si="2586"/>
        <v>0</v>
      </c>
      <c r="L2272" s="31">
        <f t="shared" si="2587"/>
        <v>0.73470000000000002</v>
      </c>
      <c r="M2272" s="31">
        <f t="shared" si="2588"/>
        <v>0</v>
      </c>
      <c r="N2272" s="31">
        <f t="shared" si="2589"/>
        <v>0</v>
      </c>
      <c r="O2272" s="31">
        <f t="shared" si="2590"/>
        <v>0</v>
      </c>
      <c r="P2272" s="31">
        <f t="shared" si="2591"/>
        <v>0</v>
      </c>
      <c r="Q2272" s="49">
        <f t="shared" si="2592"/>
        <v>0</v>
      </c>
    </row>
    <row r="2273" spans="4:17" s="62" customFormat="1" x14ac:dyDescent="0.3">
      <c r="D2273" s="235">
        <v>13</v>
      </c>
      <c r="E2273" s="237">
        <v>4</v>
      </c>
      <c r="F2273" s="238">
        <v>8</v>
      </c>
      <c r="G2273" s="239">
        <v>8.5500000000000007</v>
      </c>
      <c r="H2273" s="239">
        <f t="shared" si="2583"/>
        <v>34.200000000000003</v>
      </c>
      <c r="I2273" s="131">
        <f t="shared" si="2584"/>
        <v>0</v>
      </c>
      <c r="J2273" s="31">
        <f t="shared" si="2585"/>
        <v>0</v>
      </c>
      <c r="K2273" s="31">
        <f t="shared" si="2586"/>
        <v>0</v>
      </c>
      <c r="L2273" s="31">
        <f t="shared" si="2587"/>
        <v>13.509000000000002</v>
      </c>
      <c r="M2273" s="31">
        <f t="shared" si="2588"/>
        <v>0</v>
      </c>
      <c r="N2273" s="31">
        <f t="shared" si="2589"/>
        <v>0</v>
      </c>
      <c r="O2273" s="31">
        <f t="shared" si="2590"/>
        <v>0</v>
      </c>
      <c r="P2273" s="31">
        <f t="shared" si="2591"/>
        <v>0</v>
      </c>
      <c r="Q2273" s="49">
        <f t="shared" si="2592"/>
        <v>0</v>
      </c>
    </row>
    <row r="2274" spans="4:17" s="62" customFormat="1" x14ac:dyDescent="0.3">
      <c r="D2274" s="235">
        <v>26</v>
      </c>
      <c r="E2274" s="237">
        <v>1</v>
      </c>
      <c r="F2274" s="238">
        <v>10</v>
      </c>
      <c r="G2274" s="239">
        <v>3.12</v>
      </c>
      <c r="H2274" s="239">
        <f t="shared" si="2583"/>
        <v>3.12</v>
      </c>
      <c r="I2274" s="131">
        <f t="shared" si="2584"/>
        <v>0</v>
      </c>
      <c r="J2274" s="31">
        <f t="shared" si="2585"/>
        <v>0</v>
      </c>
      <c r="K2274" s="31">
        <f t="shared" si="2586"/>
        <v>0</v>
      </c>
      <c r="L2274" s="31">
        <f t="shared" si="2587"/>
        <v>0</v>
      </c>
      <c r="M2274" s="31">
        <f t="shared" si="2588"/>
        <v>1.9250400000000001</v>
      </c>
      <c r="N2274" s="31">
        <f t="shared" si="2589"/>
        <v>0</v>
      </c>
      <c r="O2274" s="31">
        <f t="shared" si="2590"/>
        <v>0</v>
      </c>
      <c r="P2274" s="31">
        <f t="shared" si="2591"/>
        <v>0</v>
      </c>
      <c r="Q2274" s="49">
        <f t="shared" si="2592"/>
        <v>0</v>
      </c>
    </row>
    <row r="2275" spans="4:17" s="62" customFormat="1" x14ac:dyDescent="0.3">
      <c r="D2275" s="235">
        <v>27</v>
      </c>
      <c r="E2275" s="237">
        <v>1</v>
      </c>
      <c r="F2275" s="238">
        <v>10</v>
      </c>
      <c r="G2275" s="239">
        <v>1.5</v>
      </c>
      <c r="H2275" s="239">
        <f t="shared" si="2583"/>
        <v>1.5</v>
      </c>
      <c r="I2275" s="131">
        <f t="shared" si="2584"/>
        <v>0</v>
      </c>
      <c r="J2275" s="31">
        <f t="shared" si="2585"/>
        <v>0</v>
      </c>
      <c r="K2275" s="31">
        <f t="shared" si="2586"/>
        <v>0</v>
      </c>
      <c r="L2275" s="31">
        <f t="shared" si="2587"/>
        <v>0</v>
      </c>
      <c r="M2275" s="31">
        <f t="shared" si="2588"/>
        <v>0.92549999999999999</v>
      </c>
      <c r="N2275" s="31">
        <f t="shared" si="2589"/>
        <v>0</v>
      </c>
      <c r="O2275" s="31">
        <f t="shared" si="2590"/>
        <v>0</v>
      </c>
      <c r="P2275" s="31">
        <f t="shared" si="2591"/>
        <v>0</v>
      </c>
      <c r="Q2275" s="49">
        <f t="shared" si="2592"/>
        <v>0</v>
      </c>
    </row>
    <row r="2276" spans="4:17" s="62" customFormat="1" x14ac:dyDescent="0.3">
      <c r="D2276" s="235">
        <v>28</v>
      </c>
      <c r="E2276" s="237">
        <v>2</v>
      </c>
      <c r="F2276" s="238">
        <v>10</v>
      </c>
      <c r="G2276" s="239">
        <v>2.2000000000000002</v>
      </c>
      <c r="H2276" s="239">
        <f t="shared" si="2583"/>
        <v>4.4000000000000004</v>
      </c>
      <c r="I2276" s="131">
        <f t="shared" si="2584"/>
        <v>0</v>
      </c>
      <c r="J2276" s="31">
        <f t="shared" si="2585"/>
        <v>0</v>
      </c>
      <c r="K2276" s="31">
        <f t="shared" si="2586"/>
        <v>0</v>
      </c>
      <c r="L2276" s="31">
        <f t="shared" si="2587"/>
        <v>0</v>
      </c>
      <c r="M2276" s="31">
        <f t="shared" si="2588"/>
        <v>2.7148000000000003</v>
      </c>
      <c r="N2276" s="31">
        <f t="shared" si="2589"/>
        <v>0</v>
      </c>
      <c r="O2276" s="31">
        <f t="shared" si="2590"/>
        <v>0</v>
      </c>
      <c r="P2276" s="31">
        <f t="shared" si="2591"/>
        <v>0</v>
      </c>
      <c r="Q2276" s="49">
        <f t="shared" si="2592"/>
        <v>0</v>
      </c>
    </row>
    <row r="2277" spans="4:17" s="62" customFormat="1" x14ac:dyDescent="0.3">
      <c r="D2277" s="235">
        <v>29</v>
      </c>
      <c r="E2277" s="237">
        <v>1</v>
      </c>
      <c r="F2277" s="238">
        <v>10</v>
      </c>
      <c r="G2277" s="239">
        <v>2.0499999999999998</v>
      </c>
      <c r="H2277" s="239">
        <f t="shared" si="2583"/>
        <v>2.0499999999999998</v>
      </c>
      <c r="I2277" s="131">
        <f t="shared" si="2584"/>
        <v>0</v>
      </c>
      <c r="J2277" s="31">
        <f t="shared" si="2585"/>
        <v>0</v>
      </c>
      <c r="K2277" s="31">
        <f t="shared" si="2586"/>
        <v>0</v>
      </c>
      <c r="L2277" s="31">
        <f t="shared" si="2587"/>
        <v>0</v>
      </c>
      <c r="M2277" s="31">
        <f t="shared" si="2588"/>
        <v>1.2648499999999998</v>
      </c>
      <c r="N2277" s="31">
        <f t="shared" si="2589"/>
        <v>0</v>
      </c>
      <c r="O2277" s="31">
        <f t="shared" si="2590"/>
        <v>0</v>
      </c>
      <c r="P2277" s="31">
        <f t="shared" si="2591"/>
        <v>0</v>
      </c>
      <c r="Q2277" s="49">
        <f t="shared" si="2592"/>
        <v>0</v>
      </c>
    </row>
    <row r="2278" spans="4:17" s="62" customFormat="1" x14ac:dyDescent="0.3">
      <c r="D2278" s="235">
        <v>31</v>
      </c>
      <c r="E2278" s="237">
        <v>1</v>
      </c>
      <c r="F2278" s="238">
        <v>10</v>
      </c>
      <c r="G2278" s="239">
        <v>2.17</v>
      </c>
      <c r="H2278" s="239">
        <f t="shared" si="2583"/>
        <v>2.17</v>
      </c>
      <c r="I2278" s="131">
        <f t="shared" si="2584"/>
        <v>0</v>
      </c>
      <c r="J2278" s="31">
        <f t="shared" si="2585"/>
        <v>0</v>
      </c>
      <c r="K2278" s="31">
        <f t="shared" si="2586"/>
        <v>0</v>
      </c>
      <c r="L2278" s="31">
        <f t="shared" si="2587"/>
        <v>0</v>
      </c>
      <c r="M2278" s="31">
        <f t="shared" si="2588"/>
        <v>1.3388899999999999</v>
      </c>
      <c r="N2278" s="31">
        <f t="shared" si="2589"/>
        <v>0</v>
      </c>
      <c r="O2278" s="31">
        <f t="shared" si="2590"/>
        <v>0</v>
      </c>
      <c r="P2278" s="31">
        <f t="shared" si="2591"/>
        <v>0</v>
      </c>
      <c r="Q2278" s="49">
        <f t="shared" si="2592"/>
        <v>0</v>
      </c>
    </row>
    <row r="2279" spans="4:17" s="62" customFormat="1" x14ac:dyDescent="0.3">
      <c r="D2279" s="235">
        <v>32</v>
      </c>
      <c r="E2279" s="237">
        <v>2</v>
      </c>
      <c r="F2279" s="238">
        <v>10</v>
      </c>
      <c r="G2279" s="239">
        <v>8.19</v>
      </c>
      <c r="H2279" s="239">
        <f t="shared" si="2583"/>
        <v>16.38</v>
      </c>
      <c r="I2279" s="131">
        <f t="shared" si="2584"/>
        <v>0</v>
      </c>
      <c r="J2279" s="31">
        <f t="shared" si="2585"/>
        <v>0</v>
      </c>
      <c r="K2279" s="31">
        <f t="shared" si="2586"/>
        <v>0</v>
      </c>
      <c r="L2279" s="31">
        <f t="shared" si="2587"/>
        <v>0</v>
      </c>
      <c r="M2279" s="31">
        <f t="shared" si="2588"/>
        <v>10.106459999999998</v>
      </c>
      <c r="N2279" s="31">
        <f t="shared" si="2589"/>
        <v>0</v>
      </c>
      <c r="O2279" s="31">
        <f t="shared" si="2590"/>
        <v>0</v>
      </c>
      <c r="P2279" s="31">
        <f t="shared" si="2591"/>
        <v>0</v>
      </c>
      <c r="Q2279" s="49">
        <f t="shared" si="2592"/>
        <v>0</v>
      </c>
    </row>
    <row r="2280" spans="4:17" ht="15" thickBot="1" x14ac:dyDescent="0.35">
      <c r="D2280" s="307"/>
      <c r="E2280" s="26"/>
      <c r="F2280" s="206"/>
      <c r="G2280" s="207"/>
      <c r="H2280" s="207"/>
      <c r="I2280" s="51"/>
      <c r="J2280" s="308"/>
      <c r="K2280" s="308"/>
      <c r="L2280" s="308"/>
      <c r="M2280" s="308"/>
      <c r="N2280" s="308"/>
      <c r="O2280" s="308"/>
      <c r="P2280" s="308"/>
      <c r="Q2280" s="309"/>
    </row>
    <row r="2281" spans="4:17" x14ac:dyDescent="0.3">
      <c r="D2281" s="796" t="s">
        <v>1323</v>
      </c>
      <c r="E2281" s="797"/>
      <c r="F2281" s="797"/>
      <c r="G2281" s="797"/>
      <c r="H2281" s="797"/>
      <c r="I2281" s="47">
        <f t="shared" ref="I2281:Q2281" si="2593">SUM(I2282:I2293)</f>
        <v>0</v>
      </c>
      <c r="J2281" s="47">
        <f t="shared" si="2593"/>
        <v>13.080760000000001</v>
      </c>
      <c r="K2281" s="47">
        <f t="shared" si="2593"/>
        <v>0</v>
      </c>
      <c r="L2281" s="47">
        <f t="shared" si="2593"/>
        <v>18.869149999999998</v>
      </c>
      <c r="M2281" s="47">
        <f t="shared" si="2593"/>
        <v>21.465429999999998</v>
      </c>
      <c r="N2281" s="47">
        <f t="shared" si="2593"/>
        <v>0</v>
      </c>
      <c r="O2281" s="47">
        <f t="shared" si="2593"/>
        <v>0</v>
      </c>
      <c r="P2281" s="47">
        <f t="shared" si="2593"/>
        <v>0</v>
      </c>
      <c r="Q2281" s="47">
        <f t="shared" si="2593"/>
        <v>0</v>
      </c>
    </row>
    <row r="2282" spans="4:17" x14ac:dyDescent="0.3">
      <c r="D2282" s="235">
        <v>2</v>
      </c>
      <c r="E2282" s="237">
        <v>62</v>
      </c>
      <c r="F2282" s="238">
        <v>5</v>
      </c>
      <c r="G2282" s="239">
        <v>1.37</v>
      </c>
      <c r="H2282" s="239">
        <f t="shared" ref="H2282:H2287" si="2594">E2282*G2282</f>
        <v>84.940000000000012</v>
      </c>
      <c r="I2282" s="131">
        <f t="shared" ref="I2282:I2287" si="2595">IF($F2282=4.2,H2282*$B$23,0)</f>
        <v>0</v>
      </c>
      <c r="J2282" s="31">
        <f t="shared" ref="J2282:J2293" si="2596">IF($F2282=5,$H2282*$B$24,0)</f>
        <v>13.080760000000001</v>
      </c>
      <c r="K2282" s="31">
        <f t="shared" ref="K2282:K2293" si="2597">IF($F2282=6.3,$H2282*$B$25,0)</f>
        <v>0</v>
      </c>
      <c r="L2282" s="31">
        <f t="shared" ref="L2282:L2293" si="2598">IF($F2282=8,$H2282*$B$26,0)</f>
        <v>0</v>
      </c>
      <c r="M2282" s="31">
        <f t="shared" ref="M2282:M2293" si="2599">IF($F2282=10,$H2282*$B$27,0)</f>
        <v>0</v>
      </c>
      <c r="N2282" s="31">
        <f t="shared" ref="N2282:N2293" si="2600">IF($F2282=12.5,$H2282*$B$28,0)</f>
        <v>0</v>
      </c>
      <c r="O2282" s="31">
        <f t="shared" ref="O2282:O2293" si="2601">IF($F2282=16,$H2282*$B$29,0)</f>
        <v>0</v>
      </c>
      <c r="P2282" s="31">
        <f t="shared" ref="P2282:P2293" si="2602">IF($F2282=20,$H2282*$B$30,0)</f>
        <v>0</v>
      </c>
      <c r="Q2282" s="49">
        <f t="shared" ref="Q2282:Q2293" si="2603">IF($F2282=25,$H2282*$B$31,0)</f>
        <v>0</v>
      </c>
    </row>
    <row r="2283" spans="4:17" s="62" customFormat="1" x14ac:dyDescent="0.3">
      <c r="D2283" s="235">
        <v>14</v>
      </c>
      <c r="E2283" s="240">
        <v>1</v>
      </c>
      <c r="F2283" s="241">
        <v>8</v>
      </c>
      <c r="G2283" s="242">
        <v>0.93</v>
      </c>
      <c r="H2283" s="239">
        <f t="shared" ref="H2283:H2286" si="2604">E2283*G2283</f>
        <v>0.93</v>
      </c>
      <c r="I2283" s="131">
        <f t="shared" ref="I2283:I2286" si="2605">IF($F2283=4.2,H2283*$B$23,0)</f>
        <v>0</v>
      </c>
      <c r="J2283" s="31">
        <f t="shared" si="2596"/>
        <v>0</v>
      </c>
      <c r="K2283" s="31">
        <f t="shared" si="2597"/>
        <v>0</v>
      </c>
      <c r="L2283" s="31">
        <f t="shared" si="2598"/>
        <v>0.36735000000000001</v>
      </c>
      <c r="M2283" s="31">
        <f t="shared" si="2599"/>
        <v>0</v>
      </c>
      <c r="N2283" s="31">
        <f t="shared" si="2600"/>
        <v>0</v>
      </c>
      <c r="O2283" s="31">
        <f t="shared" si="2601"/>
        <v>0</v>
      </c>
      <c r="P2283" s="31">
        <f t="shared" si="2602"/>
        <v>0</v>
      </c>
      <c r="Q2283" s="49">
        <f t="shared" si="2603"/>
        <v>0</v>
      </c>
    </row>
    <row r="2284" spans="4:17" s="62" customFormat="1" x14ac:dyDescent="0.3">
      <c r="D2284" s="235">
        <v>15</v>
      </c>
      <c r="E2284" s="240">
        <v>1</v>
      </c>
      <c r="F2284" s="241">
        <v>8</v>
      </c>
      <c r="G2284" s="242">
        <v>2.6</v>
      </c>
      <c r="H2284" s="239">
        <f t="shared" si="2604"/>
        <v>2.6</v>
      </c>
      <c r="I2284" s="131">
        <f t="shared" si="2605"/>
        <v>0</v>
      </c>
      <c r="J2284" s="31">
        <f t="shared" si="2596"/>
        <v>0</v>
      </c>
      <c r="K2284" s="31">
        <f t="shared" si="2597"/>
        <v>0</v>
      </c>
      <c r="L2284" s="31">
        <f t="shared" si="2598"/>
        <v>1.0270000000000001</v>
      </c>
      <c r="M2284" s="31">
        <f t="shared" si="2599"/>
        <v>0</v>
      </c>
      <c r="N2284" s="31">
        <f t="shared" si="2600"/>
        <v>0</v>
      </c>
      <c r="O2284" s="31">
        <f t="shared" si="2601"/>
        <v>0</v>
      </c>
      <c r="P2284" s="31">
        <f t="shared" si="2602"/>
        <v>0</v>
      </c>
      <c r="Q2284" s="49">
        <f t="shared" si="2603"/>
        <v>0</v>
      </c>
    </row>
    <row r="2285" spans="4:17" s="62" customFormat="1" x14ac:dyDescent="0.3">
      <c r="D2285" s="235">
        <v>16</v>
      </c>
      <c r="E2285" s="240">
        <v>1</v>
      </c>
      <c r="F2285" s="241">
        <v>8</v>
      </c>
      <c r="G2285" s="242">
        <v>2.08</v>
      </c>
      <c r="H2285" s="239">
        <f t="shared" si="2604"/>
        <v>2.08</v>
      </c>
      <c r="I2285" s="131">
        <f t="shared" si="2605"/>
        <v>0</v>
      </c>
      <c r="J2285" s="31">
        <f t="shared" si="2596"/>
        <v>0</v>
      </c>
      <c r="K2285" s="31">
        <f t="shared" si="2597"/>
        <v>0</v>
      </c>
      <c r="L2285" s="31">
        <f t="shared" si="2598"/>
        <v>0.82160000000000011</v>
      </c>
      <c r="M2285" s="31">
        <f t="shared" si="2599"/>
        <v>0</v>
      </c>
      <c r="N2285" s="31">
        <f t="shared" si="2600"/>
        <v>0</v>
      </c>
      <c r="O2285" s="31">
        <f t="shared" si="2601"/>
        <v>0</v>
      </c>
      <c r="P2285" s="31">
        <f t="shared" si="2602"/>
        <v>0</v>
      </c>
      <c r="Q2285" s="49">
        <f t="shared" si="2603"/>
        <v>0</v>
      </c>
    </row>
    <row r="2286" spans="4:17" s="62" customFormat="1" x14ac:dyDescent="0.3">
      <c r="D2286" s="235">
        <v>17</v>
      </c>
      <c r="E2286" s="240">
        <v>1</v>
      </c>
      <c r="F2286" s="241">
        <v>8</v>
      </c>
      <c r="G2286" s="242">
        <v>1.86</v>
      </c>
      <c r="H2286" s="239">
        <f t="shared" si="2604"/>
        <v>1.86</v>
      </c>
      <c r="I2286" s="131">
        <f t="shared" si="2605"/>
        <v>0</v>
      </c>
      <c r="J2286" s="31">
        <f t="shared" si="2596"/>
        <v>0</v>
      </c>
      <c r="K2286" s="31">
        <f t="shared" si="2597"/>
        <v>0</v>
      </c>
      <c r="L2286" s="31">
        <f t="shared" si="2598"/>
        <v>0.73470000000000002</v>
      </c>
      <c r="M2286" s="31">
        <f t="shared" si="2599"/>
        <v>0</v>
      </c>
      <c r="N2286" s="31">
        <f t="shared" si="2600"/>
        <v>0</v>
      </c>
      <c r="O2286" s="31">
        <f t="shared" si="2601"/>
        <v>0</v>
      </c>
      <c r="P2286" s="31">
        <f t="shared" si="2602"/>
        <v>0</v>
      </c>
      <c r="Q2286" s="49">
        <f t="shared" si="2603"/>
        <v>0</v>
      </c>
    </row>
    <row r="2287" spans="4:17" s="62" customFormat="1" x14ac:dyDescent="0.3">
      <c r="D2287" s="235">
        <v>18</v>
      </c>
      <c r="E2287" s="240">
        <v>1</v>
      </c>
      <c r="F2287" s="241">
        <v>8</v>
      </c>
      <c r="G2287" s="242">
        <v>1.9</v>
      </c>
      <c r="H2287" s="239">
        <f t="shared" si="2594"/>
        <v>1.9</v>
      </c>
      <c r="I2287" s="131">
        <f t="shared" si="2595"/>
        <v>0</v>
      </c>
      <c r="J2287" s="31">
        <f t="shared" si="2596"/>
        <v>0</v>
      </c>
      <c r="K2287" s="31">
        <f t="shared" si="2597"/>
        <v>0</v>
      </c>
      <c r="L2287" s="31">
        <f t="shared" si="2598"/>
        <v>0.75049999999999994</v>
      </c>
      <c r="M2287" s="31">
        <f t="shared" si="2599"/>
        <v>0</v>
      </c>
      <c r="N2287" s="31">
        <f t="shared" si="2600"/>
        <v>0</v>
      </c>
      <c r="O2287" s="31">
        <f t="shared" si="2601"/>
        <v>0</v>
      </c>
      <c r="P2287" s="31">
        <f t="shared" si="2602"/>
        <v>0</v>
      </c>
      <c r="Q2287" s="49">
        <f t="shared" si="2603"/>
        <v>0</v>
      </c>
    </row>
    <row r="2288" spans="4:17" s="62" customFormat="1" x14ac:dyDescent="0.3">
      <c r="D2288" s="235">
        <v>19</v>
      </c>
      <c r="E2288" s="240">
        <v>4</v>
      </c>
      <c r="F2288" s="241">
        <v>8</v>
      </c>
      <c r="G2288" s="242">
        <v>9.6</v>
      </c>
      <c r="H2288" s="239">
        <f t="shared" ref="H2288:H2292" si="2606">E2288*G2288</f>
        <v>38.4</v>
      </c>
      <c r="I2288" s="131">
        <f t="shared" ref="I2288:I2292" si="2607">IF($F2288=4.2,H2288*$B$23,0)</f>
        <v>0</v>
      </c>
      <c r="J2288" s="31">
        <f t="shared" si="2596"/>
        <v>0</v>
      </c>
      <c r="K2288" s="31">
        <f t="shared" si="2597"/>
        <v>0</v>
      </c>
      <c r="L2288" s="31">
        <f t="shared" si="2598"/>
        <v>15.167999999999999</v>
      </c>
      <c r="M2288" s="31">
        <f t="shared" si="2599"/>
        <v>0</v>
      </c>
      <c r="N2288" s="31">
        <f t="shared" si="2600"/>
        <v>0</v>
      </c>
      <c r="O2288" s="31">
        <f t="shared" si="2601"/>
        <v>0</v>
      </c>
      <c r="P2288" s="31">
        <f t="shared" si="2602"/>
        <v>0</v>
      </c>
      <c r="Q2288" s="49">
        <f t="shared" si="2603"/>
        <v>0</v>
      </c>
    </row>
    <row r="2289" spans="4:17" s="62" customFormat="1" x14ac:dyDescent="0.3">
      <c r="D2289" s="235">
        <v>23</v>
      </c>
      <c r="E2289" s="240">
        <v>2</v>
      </c>
      <c r="F2289" s="241">
        <v>10</v>
      </c>
      <c r="G2289" s="242">
        <v>9.24</v>
      </c>
      <c r="H2289" s="239">
        <f t="shared" ref="H2289:H2290" si="2608">E2289*G2289</f>
        <v>18.48</v>
      </c>
      <c r="I2289" s="131">
        <f t="shared" ref="I2289:I2290" si="2609">IF($F2289=4.2,H2289*$B$23,0)</f>
        <v>0</v>
      </c>
      <c r="J2289" s="31">
        <f t="shared" si="2596"/>
        <v>0</v>
      </c>
      <c r="K2289" s="31">
        <f t="shared" si="2597"/>
        <v>0</v>
      </c>
      <c r="L2289" s="31">
        <f t="shared" si="2598"/>
        <v>0</v>
      </c>
      <c r="M2289" s="31">
        <f t="shared" si="2599"/>
        <v>11.40216</v>
      </c>
      <c r="N2289" s="31">
        <f t="shared" si="2600"/>
        <v>0</v>
      </c>
      <c r="O2289" s="31">
        <f t="shared" si="2601"/>
        <v>0</v>
      </c>
      <c r="P2289" s="31">
        <f t="shared" si="2602"/>
        <v>0</v>
      </c>
      <c r="Q2289" s="49">
        <f t="shared" si="2603"/>
        <v>0</v>
      </c>
    </row>
    <row r="2290" spans="4:17" s="62" customFormat="1" x14ac:dyDescent="0.3">
      <c r="D2290" s="235">
        <v>27</v>
      </c>
      <c r="E2290" s="240">
        <v>1</v>
      </c>
      <c r="F2290" s="241">
        <v>10</v>
      </c>
      <c r="G2290" s="242">
        <v>1.5</v>
      </c>
      <c r="H2290" s="239">
        <f t="shared" si="2608"/>
        <v>1.5</v>
      </c>
      <c r="I2290" s="131">
        <f t="shared" si="2609"/>
        <v>0</v>
      </c>
      <c r="J2290" s="31">
        <f t="shared" si="2596"/>
        <v>0</v>
      </c>
      <c r="K2290" s="31">
        <f t="shared" si="2597"/>
        <v>0</v>
      </c>
      <c r="L2290" s="31">
        <f t="shared" si="2598"/>
        <v>0</v>
      </c>
      <c r="M2290" s="31">
        <f t="shared" si="2599"/>
        <v>0.92549999999999999</v>
      </c>
      <c r="N2290" s="31">
        <f t="shared" si="2600"/>
        <v>0</v>
      </c>
      <c r="O2290" s="31">
        <f t="shared" si="2601"/>
        <v>0</v>
      </c>
      <c r="P2290" s="31">
        <f t="shared" si="2602"/>
        <v>0</v>
      </c>
      <c r="Q2290" s="49">
        <f t="shared" si="2603"/>
        <v>0</v>
      </c>
    </row>
    <row r="2291" spans="4:17" s="62" customFormat="1" x14ac:dyDescent="0.3">
      <c r="D2291" s="235">
        <v>31</v>
      </c>
      <c r="E2291" s="240">
        <v>1</v>
      </c>
      <c r="F2291" s="241">
        <v>10</v>
      </c>
      <c r="G2291" s="242">
        <v>2.17</v>
      </c>
      <c r="H2291" s="239">
        <f t="shared" si="2606"/>
        <v>2.17</v>
      </c>
      <c r="I2291" s="131">
        <f t="shared" si="2607"/>
        <v>0</v>
      </c>
      <c r="J2291" s="31">
        <f t="shared" si="2596"/>
        <v>0</v>
      </c>
      <c r="K2291" s="31">
        <f t="shared" si="2597"/>
        <v>0</v>
      </c>
      <c r="L2291" s="31">
        <f t="shared" si="2598"/>
        <v>0</v>
      </c>
      <c r="M2291" s="31">
        <f t="shared" si="2599"/>
        <v>1.3388899999999999</v>
      </c>
      <c r="N2291" s="31">
        <f t="shared" si="2600"/>
        <v>0</v>
      </c>
      <c r="O2291" s="31">
        <f t="shared" si="2601"/>
        <v>0</v>
      </c>
      <c r="P2291" s="31">
        <f t="shared" si="2602"/>
        <v>0</v>
      </c>
      <c r="Q2291" s="49">
        <f t="shared" si="2603"/>
        <v>0</v>
      </c>
    </row>
    <row r="2292" spans="4:17" s="62" customFormat="1" x14ac:dyDescent="0.3">
      <c r="D2292" s="235">
        <v>33</v>
      </c>
      <c r="E2292" s="240">
        <v>2</v>
      </c>
      <c r="F2292" s="241">
        <v>10</v>
      </c>
      <c r="G2292" s="242">
        <v>2.15</v>
      </c>
      <c r="H2292" s="239">
        <f t="shared" si="2606"/>
        <v>4.3</v>
      </c>
      <c r="I2292" s="131">
        <f t="shared" si="2607"/>
        <v>0</v>
      </c>
      <c r="J2292" s="31">
        <f t="shared" si="2596"/>
        <v>0</v>
      </c>
      <c r="K2292" s="31">
        <f t="shared" si="2597"/>
        <v>0</v>
      </c>
      <c r="L2292" s="31">
        <f t="shared" si="2598"/>
        <v>0</v>
      </c>
      <c r="M2292" s="31">
        <f t="shared" si="2599"/>
        <v>2.6530999999999998</v>
      </c>
      <c r="N2292" s="31">
        <f t="shared" si="2600"/>
        <v>0</v>
      </c>
      <c r="O2292" s="31">
        <f t="shared" si="2601"/>
        <v>0</v>
      </c>
      <c r="P2292" s="31">
        <f t="shared" si="2602"/>
        <v>0</v>
      </c>
      <c r="Q2292" s="49">
        <f t="shared" si="2603"/>
        <v>0</v>
      </c>
    </row>
    <row r="2293" spans="4:17" s="62" customFormat="1" x14ac:dyDescent="0.3">
      <c r="D2293" s="235">
        <v>34</v>
      </c>
      <c r="E2293" s="240">
        <v>2</v>
      </c>
      <c r="F2293" s="241">
        <v>10</v>
      </c>
      <c r="G2293" s="242">
        <v>4.17</v>
      </c>
      <c r="H2293" s="239">
        <f t="shared" ref="H2293" si="2610">E2293*G2293</f>
        <v>8.34</v>
      </c>
      <c r="I2293" s="131">
        <f t="shared" ref="I2293" si="2611">IF($F2293=4.2,H2293*$B$23,0)</f>
        <v>0</v>
      </c>
      <c r="J2293" s="31">
        <f t="shared" si="2596"/>
        <v>0</v>
      </c>
      <c r="K2293" s="31">
        <f t="shared" si="2597"/>
        <v>0</v>
      </c>
      <c r="L2293" s="31">
        <f t="shared" si="2598"/>
        <v>0</v>
      </c>
      <c r="M2293" s="31">
        <f t="shared" si="2599"/>
        <v>5.1457800000000002</v>
      </c>
      <c r="N2293" s="31">
        <f t="shared" si="2600"/>
        <v>0</v>
      </c>
      <c r="O2293" s="31">
        <f t="shared" si="2601"/>
        <v>0</v>
      </c>
      <c r="P2293" s="31">
        <f t="shared" si="2602"/>
        <v>0</v>
      </c>
      <c r="Q2293" s="49">
        <f t="shared" si="2603"/>
        <v>0</v>
      </c>
    </row>
    <row r="2294" spans="4:17" ht="15" thickBot="1" x14ac:dyDescent="0.35">
      <c r="D2294" s="307"/>
      <c r="E2294" s="26"/>
      <c r="F2294" s="206"/>
      <c r="G2294" s="207"/>
      <c r="H2294" s="207"/>
      <c r="I2294" s="51"/>
      <c r="J2294" s="308"/>
      <c r="K2294" s="308"/>
      <c r="L2294" s="308"/>
      <c r="M2294" s="308"/>
      <c r="N2294" s="308"/>
      <c r="O2294" s="308"/>
      <c r="P2294" s="308"/>
      <c r="Q2294" s="309"/>
    </row>
    <row r="2295" spans="4:17" s="62" customFormat="1" x14ac:dyDescent="0.3">
      <c r="D2295" s="790" t="s">
        <v>1324</v>
      </c>
      <c r="E2295" s="791"/>
      <c r="F2295" s="791"/>
      <c r="G2295" s="791"/>
      <c r="H2295" s="791"/>
      <c r="I2295" s="47">
        <f t="shared" ref="I2295:Q2295" si="2612">SUM(I2296:I2299)</f>
        <v>0</v>
      </c>
      <c r="J2295" s="47">
        <f t="shared" si="2612"/>
        <v>3.0630600000000001</v>
      </c>
      <c r="K2295" s="47">
        <f t="shared" si="2612"/>
        <v>0</v>
      </c>
      <c r="L2295" s="47">
        <f t="shared" si="2612"/>
        <v>0</v>
      </c>
      <c r="M2295" s="47">
        <f t="shared" si="2612"/>
        <v>5.7134200000000002</v>
      </c>
      <c r="N2295" s="47">
        <f t="shared" si="2612"/>
        <v>12.519000000000002</v>
      </c>
      <c r="O2295" s="47">
        <f t="shared" si="2612"/>
        <v>0</v>
      </c>
      <c r="P2295" s="47">
        <f t="shared" si="2612"/>
        <v>0</v>
      </c>
      <c r="Q2295" s="47">
        <f t="shared" si="2612"/>
        <v>0</v>
      </c>
    </row>
    <row r="2296" spans="4:17" s="62" customFormat="1" x14ac:dyDescent="0.3">
      <c r="D2296" s="235">
        <v>3</v>
      </c>
      <c r="E2296" s="237">
        <v>17</v>
      </c>
      <c r="F2296" s="238">
        <v>5</v>
      </c>
      <c r="G2296" s="242">
        <v>1.17</v>
      </c>
      <c r="H2296" s="239">
        <f>E2296*G2296</f>
        <v>19.89</v>
      </c>
      <c r="I2296" s="131">
        <f t="shared" ref="I2296:I2299" si="2613">IF($F2296=4.2,H2296*$B$23,0)</f>
        <v>0</v>
      </c>
      <c r="J2296" s="31">
        <f t="shared" ref="J2296:J2299" si="2614">IF($F2296=5,$H2296*$B$24,0)</f>
        <v>3.0630600000000001</v>
      </c>
      <c r="K2296" s="31">
        <f t="shared" ref="K2296:K2299" si="2615">IF($F2296=6.3,$H2296*$B$25,0)</f>
        <v>0</v>
      </c>
      <c r="L2296" s="31">
        <f t="shared" ref="L2296:L2299" si="2616">IF($F2296=8,$H2296*$B$26,0)</f>
        <v>0</v>
      </c>
      <c r="M2296" s="31">
        <f t="shared" ref="M2296:M2299" si="2617">IF($F2296=10,$H2296*$B$27,0)</f>
        <v>0</v>
      </c>
      <c r="N2296" s="31">
        <f t="shared" ref="N2296:N2299" si="2618">IF($F2296=12.5,$H2296*$B$28,0)</f>
        <v>0</v>
      </c>
      <c r="O2296" s="31">
        <f t="shared" ref="O2296:O2299" si="2619">IF($F2296=16,$H2296*$B$29,0)</f>
        <v>0</v>
      </c>
      <c r="P2296" s="31">
        <f t="shared" ref="P2296:P2299" si="2620">IF($F2296=20,$H2296*$B$30,0)</f>
        <v>0</v>
      </c>
      <c r="Q2296" s="49">
        <f t="shared" ref="Q2296:Q2299" si="2621">IF($F2296=25,$H2296*$B$31,0)</f>
        <v>0</v>
      </c>
    </row>
    <row r="2297" spans="4:17" s="62" customFormat="1" x14ac:dyDescent="0.3">
      <c r="D2297" s="235">
        <v>35</v>
      </c>
      <c r="E2297" s="240">
        <v>2</v>
      </c>
      <c r="F2297" s="241">
        <v>10</v>
      </c>
      <c r="G2297" s="242">
        <v>4.63</v>
      </c>
      <c r="H2297" s="239">
        <f>E2297*G2297</f>
        <v>9.26</v>
      </c>
      <c r="I2297" s="131">
        <f t="shared" si="2613"/>
        <v>0</v>
      </c>
      <c r="J2297" s="31">
        <f t="shared" si="2614"/>
        <v>0</v>
      </c>
      <c r="K2297" s="31">
        <f t="shared" si="2615"/>
        <v>0</v>
      </c>
      <c r="L2297" s="31">
        <f t="shared" si="2616"/>
        <v>0</v>
      </c>
      <c r="M2297" s="31">
        <f t="shared" si="2617"/>
        <v>5.7134200000000002</v>
      </c>
      <c r="N2297" s="31">
        <f t="shared" si="2618"/>
        <v>0</v>
      </c>
      <c r="O2297" s="31">
        <f t="shared" si="2619"/>
        <v>0</v>
      </c>
      <c r="P2297" s="31">
        <f t="shared" si="2620"/>
        <v>0</v>
      </c>
      <c r="Q2297" s="49">
        <f t="shared" si="2621"/>
        <v>0</v>
      </c>
    </row>
    <row r="2298" spans="4:17" s="62" customFormat="1" x14ac:dyDescent="0.3">
      <c r="D2298" s="235">
        <v>38</v>
      </c>
      <c r="E2298" s="240">
        <v>1</v>
      </c>
      <c r="F2298" s="241">
        <v>12.5</v>
      </c>
      <c r="G2298" s="242">
        <v>4.28</v>
      </c>
      <c r="H2298" s="239">
        <f>E2298*G2298</f>
        <v>4.28</v>
      </c>
      <c r="I2298" s="131">
        <f t="shared" si="2613"/>
        <v>0</v>
      </c>
      <c r="J2298" s="31">
        <f t="shared" si="2614"/>
        <v>0</v>
      </c>
      <c r="K2298" s="31">
        <f t="shared" si="2615"/>
        <v>0</v>
      </c>
      <c r="L2298" s="31">
        <f t="shared" si="2616"/>
        <v>0</v>
      </c>
      <c r="M2298" s="31">
        <f t="shared" si="2617"/>
        <v>0</v>
      </c>
      <c r="N2298" s="31">
        <f t="shared" si="2618"/>
        <v>4.1216400000000002</v>
      </c>
      <c r="O2298" s="31">
        <f t="shared" si="2619"/>
        <v>0</v>
      </c>
      <c r="P2298" s="31">
        <f t="shared" si="2620"/>
        <v>0</v>
      </c>
      <c r="Q2298" s="49">
        <f t="shared" si="2621"/>
        <v>0</v>
      </c>
    </row>
    <row r="2299" spans="4:17" s="62" customFormat="1" x14ac:dyDescent="0.3">
      <c r="D2299" s="235">
        <v>39</v>
      </c>
      <c r="E2299" s="240">
        <v>2</v>
      </c>
      <c r="F2299" s="241">
        <v>12.5</v>
      </c>
      <c r="G2299" s="242">
        <v>4.3600000000000003</v>
      </c>
      <c r="H2299" s="239">
        <f>E2299*G2299</f>
        <v>8.7200000000000006</v>
      </c>
      <c r="I2299" s="131">
        <f t="shared" si="2613"/>
        <v>0</v>
      </c>
      <c r="J2299" s="31">
        <f t="shared" si="2614"/>
        <v>0</v>
      </c>
      <c r="K2299" s="31">
        <f t="shared" si="2615"/>
        <v>0</v>
      </c>
      <c r="L2299" s="31">
        <f t="shared" si="2616"/>
        <v>0</v>
      </c>
      <c r="M2299" s="31">
        <f t="shared" si="2617"/>
        <v>0</v>
      </c>
      <c r="N2299" s="31">
        <f t="shared" si="2618"/>
        <v>8.3973600000000008</v>
      </c>
      <c r="O2299" s="31">
        <f t="shared" si="2619"/>
        <v>0</v>
      </c>
      <c r="P2299" s="31">
        <f t="shared" si="2620"/>
        <v>0</v>
      </c>
      <c r="Q2299" s="49">
        <f t="shared" si="2621"/>
        <v>0</v>
      </c>
    </row>
    <row r="2300" spans="4:17" s="62" customFormat="1" ht="15" thickBot="1" x14ac:dyDescent="0.35">
      <c r="D2300" s="307"/>
      <c r="E2300" s="26"/>
      <c r="F2300" s="206"/>
      <c r="G2300" s="207"/>
      <c r="H2300" s="207"/>
      <c r="I2300" s="51"/>
      <c r="J2300" s="308"/>
      <c r="K2300" s="308"/>
      <c r="L2300" s="308"/>
      <c r="M2300" s="308"/>
      <c r="N2300" s="308"/>
      <c r="O2300" s="308"/>
      <c r="P2300" s="308"/>
      <c r="Q2300" s="309"/>
    </row>
    <row r="2301" spans="4:17" s="62" customFormat="1" x14ac:dyDescent="0.3">
      <c r="D2301" s="796" t="s">
        <v>1325</v>
      </c>
      <c r="E2301" s="797"/>
      <c r="F2301" s="797"/>
      <c r="G2301" s="797"/>
      <c r="H2301" s="797"/>
      <c r="I2301" s="47">
        <f t="shared" ref="I2301:Q2301" si="2622">SUM(I2302:I2312)</f>
        <v>0</v>
      </c>
      <c r="J2301" s="47">
        <f t="shared" si="2622"/>
        <v>24.473680000000002</v>
      </c>
      <c r="K2301" s="47">
        <f t="shared" si="2622"/>
        <v>0</v>
      </c>
      <c r="L2301" s="47">
        <f t="shared" si="2622"/>
        <v>0</v>
      </c>
      <c r="M2301" s="47">
        <f t="shared" si="2622"/>
        <v>4.1832599999999998</v>
      </c>
      <c r="N2301" s="47">
        <f t="shared" si="2622"/>
        <v>0</v>
      </c>
      <c r="O2301" s="47">
        <f t="shared" si="2622"/>
        <v>158.98350000000002</v>
      </c>
      <c r="P2301" s="47">
        <f t="shared" si="2622"/>
        <v>0</v>
      </c>
      <c r="Q2301" s="47">
        <f t="shared" si="2622"/>
        <v>0</v>
      </c>
    </row>
    <row r="2302" spans="4:17" s="62" customFormat="1" x14ac:dyDescent="0.3">
      <c r="D2302" s="235">
        <v>2</v>
      </c>
      <c r="E2302" s="237">
        <v>116</v>
      </c>
      <c r="F2302" s="238">
        <v>5</v>
      </c>
      <c r="G2302" s="239">
        <v>1.37</v>
      </c>
      <c r="H2302" s="239">
        <f t="shared" ref="H2302:H2312" si="2623">E2302*G2302</f>
        <v>158.92000000000002</v>
      </c>
      <c r="I2302" s="131">
        <f t="shared" ref="I2302:I2312" si="2624">IF($F2302=4.2,H2302*$B$23,0)</f>
        <v>0</v>
      </c>
      <c r="J2302" s="31">
        <f t="shared" ref="J2302:J2312" si="2625">IF($F2302=5,$H2302*$B$24,0)</f>
        <v>24.473680000000002</v>
      </c>
      <c r="K2302" s="31">
        <f t="shared" ref="K2302:K2312" si="2626">IF($F2302=6.3,$H2302*$B$25,0)</f>
        <v>0</v>
      </c>
      <c r="L2302" s="31">
        <f t="shared" ref="L2302:L2312" si="2627">IF($F2302=8,$H2302*$B$26,0)</f>
        <v>0</v>
      </c>
      <c r="M2302" s="31">
        <f t="shared" ref="M2302:M2312" si="2628">IF($F2302=10,$H2302*$B$27,0)</f>
        <v>0</v>
      </c>
      <c r="N2302" s="31">
        <f t="shared" ref="N2302:N2312" si="2629">IF($F2302=12.5,$H2302*$B$28,0)</f>
        <v>0</v>
      </c>
      <c r="O2302" s="31">
        <f t="shared" ref="O2302:O2312" si="2630">IF($F2302=16,$H2302*$B$29,0)</f>
        <v>0</v>
      </c>
      <c r="P2302" s="31">
        <f t="shared" ref="P2302:P2312" si="2631">IF($F2302=20,$H2302*$B$30,0)</f>
        <v>0</v>
      </c>
      <c r="Q2302" s="49">
        <f t="shared" ref="Q2302:Q2312" si="2632">IF($F2302=25,$H2302*$B$31,0)</f>
        <v>0</v>
      </c>
    </row>
    <row r="2303" spans="4:17" s="62" customFormat="1" x14ac:dyDescent="0.3">
      <c r="D2303" s="235">
        <v>36</v>
      </c>
      <c r="E2303" s="240">
        <v>6</v>
      </c>
      <c r="F2303" s="241">
        <v>10</v>
      </c>
      <c r="G2303" s="242">
        <v>1.1299999999999999</v>
      </c>
      <c r="H2303" s="239">
        <f t="shared" si="2623"/>
        <v>6.7799999999999994</v>
      </c>
      <c r="I2303" s="131">
        <f t="shared" si="2624"/>
        <v>0</v>
      </c>
      <c r="J2303" s="31">
        <f t="shared" si="2625"/>
        <v>0</v>
      </c>
      <c r="K2303" s="31">
        <f t="shared" si="2626"/>
        <v>0</v>
      </c>
      <c r="L2303" s="31">
        <f t="shared" si="2627"/>
        <v>0</v>
      </c>
      <c r="M2303" s="31">
        <f t="shared" si="2628"/>
        <v>4.1832599999999998</v>
      </c>
      <c r="N2303" s="31">
        <f t="shared" si="2629"/>
        <v>0</v>
      </c>
      <c r="O2303" s="31">
        <f t="shared" si="2630"/>
        <v>0</v>
      </c>
      <c r="P2303" s="31">
        <f t="shared" si="2631"/>
        <v>0</v>
      </c>
      <c r="Q2303" s="49">
        <f t="shared" si="2632"/>
        <v>0</v>
      </c>
    </row>
    <row r="2304" spans="4:17" s="62" customFormat="1" x14ac:dyDescent="0.3">
      <c r="D2304" s="235">
        <v>41</v>
      </c>
      <c r="E2304" s="240">
        <v>2</v>
      </c>
      <c r="F2304" s="241">
        <v>16</v>
      </c>
      <c r="G2304" s="242">
        <v>5.7</v>
      </c>
      <c r="H2304" s="239">
        <f t="shared" si="2623"/>
        <v>11.4</v>
      </c>
      <c r="I2304" s="131">
        <f t="shared" si="2624"/>
        <v>0</v>
      </c>
      <c r="J2304" s="31">
        <f t="shared" si="2625"/>
        <v>0</v>
      </c>
      <c r="K2304" s="31">
        <f t="shared" si="2626"/>
        <v>0</v>
      </c>
      <c r="L2304" s="31">
        <f t="shared" si="2627"/>
        <v>0</v>
      </c>
      <c r="M2304" s="31">
        <f t="shared" si="2628"/>
        <v>0</v>
      </c>
      <c r="N2304" s="31">
        <f t="shared" si="2629"/>
        <v>0</v>
      </c>
      <c r="O2304" s="31">
        <f t="shared" si="2630"/>
        <v>17.9892</v>
      </c>
      <c r="P2304" s="31">
        <f t="shared" si="2631"/>
        <v>0</v>
      </c>
      <c r="Q2304" s="49">
        <f t="shared" si="2632"/>
        <v>0</v>
      </c>
    </row>
    <row r="2305" spans="4:17" s="62" customFormat="1" x14ac:dyDescent="0.3">
      <c r="D2305" s="235">
        <v>42</v>
      </c>
      <c r="E2305" s="240">
        <v>2</v>
      </c>
      <c r="F2305" s="241">
        <v>16</v>
      </c>
      <c r="G2305" s="242">
        <v>2.25</v>
      </c>
      <c r="H2305" s="239">
        <f t="shared" si="2623"/>
        <v>4.5</v>
      </c>
      <c r="I2305" s="131">
        <f t="shared" si="2624"/>
        <v>0</v>
      </c>
      <c r="J2305" s="31">
        <f t="shared" si="2625"/>
        <v>0</v>
      </c>
      <c r="K2305" s="31">
        <f t="shared" si="2626"/>
        <v>0</v>
      </c>
      <c r="L2305" s="31">
        <f t="shared" si="2627"/>
        <v>0</v>
      </c>
      <c r="M2305" s="31">
        <f t="shared" si="2628"/>
        <v>0</v>
      </c>
      <c r="N2305" s="31">
        <f t="shared" si="2629"/>
        <v>0</v>
      </c>
      <c r="O2305" s="31">
        <f t="shared" si="2630"/>
        <v>7.101</v>
      </c>
      <c r="P2305" s="31">
        <f t="shared" si="2631"/>
        <v>0</v>
      </c>
      <c r="Q2305" s="49">
        <f t="shared" si="2632"/>
        <v>0</v>
      </c>
    </row>
    <row r="2306" spans="4:17" s="62" customFormat="1" x14ac:dyDescent="0.3">
      <c r="D2306" s="235">
        <v>43</v>
      </c>
      <c r="E2306" s="240">
        <v>2</v>
      </c>
      <c r="F2306" s="241">
        <v>16</v>
      </c>
      <c r="G2306" s="242">
        <v>8.65</v>
      </c>
      <c r="H2306" s="239">
        <f t="shared" si="2623"/>
        <v>17.3</v>
      </c>
      <c r="I2306" s="131">
        <f t="shared" si="2624"/>
        <v>0</v>
      </c>
      <c r="J2306" s="31">
        <f t="shared" si="2625"/>
        <v>0</v>
      </c>
      <c r="K2306" s="31">
        <f t="shared" si="2626"/>
        <v>0</v>
      </c>
      <c r="L2306" s="31">
        <f t="shared" si="2627"/>
        <v>0</v>
      </c>
      <c r="M2306" s="31">
        <f t="shared" si="2628"/>
        <v>0</v>
      </c>
      <c r="N2306" s="31">
        <f t="shared" si="2629"/>
        <v>0</v>
      </c>
      <c r="O2306" s="31">
        <f t="shared" si="2630"/>
        <v>27.299400000000002</v>
      </c>
      <c r="P2306" s="31">
        <f t="shared" si="2631"/>
        <v>0</v>
      </c>
      <c r="Q2306" s="49">
        <f t="shared" si="2632"/>
        <v>0</v>
      </c>
    </row>
    <row r="2307" spans="4:17" s="62" customFormat="1" x14ac:dyDescent="0.3">
      <c r="D2307" s="235">
        <v>44</v>
      </c>
      <c r="E2307" s="240">
        <v>4</v>
      </c>
      <c r="F2307" s="241">
        <v>16</v>
      </c>
      <c r="G2307" s="242">
        <v>5.68</v>
      </c>
      <c r="H2307" s="239">
        <f t="shared" si="2623"/>
        <v>22.72</v>
      </c>
      <c r="I2307" s="131">
        <f t="shared" si="2624"/>
        <v>0</v>
      </c>
      <c r="J2307" s="31">
        <f t="shared" si="2625"/>
        <v>0</v>
      </c>
      <c r="K2307" s="31">
        <f t="shared" si="2626"/>
        <v>0</v>
      </c>
      <c r="L2307" s="31">
        <f t="shared" si="2627"/>
        <v>0</v>
      </c>
      <c r="M2307" s="31">
        <f t="shared" si="2628"/>
        <v>0</v>
      </c>
      <c r="N2307" s="31">
        <f t="shared" si="2629"/>
        <v>0</v>
      </c>
      <c r="O2307" s="31">
        <f t="shared" si="2630"/>
        <v>35.852159999999998</v>
      </c>
      <c r="P2307" s="31">
        <f t="shared" si="2631"/>
        <v>0</v>
      </c>
      <c r="Q2307" s="49">
        <f t="shared" si="2632"/>
        <v>0</v>
      </c>
    </row>
    <row r="2308" spans="4:17" s="62" customFormat="1" x14ac:dyDescent="0.3">
      <c r="D2308" s="235">
        <v>45</v>
      </c>
      <c r="E2308" s="240">
        <v>1</v>
      </c>
      <c r="F2308" s="241">
        <v>16</v>
      </c>
      <c r="G2308" s="242">
        <v>2.0099999999999998</v>
      </c>
      <c r="H2308" s="239">
        <f t="shared" si="2623"/>
        <v>2.0099999999999998</v>
      </c>
      <c r="I2308" s="131">
        <f t="shared" si="2624"/>
        <v>0</v>
      </c>
      <c r="J2308" s="31">
        <f t="shared" si="2625"/>
        <v>0</v>
      </c>
      <c r="K2308" s="31">
        <f t="shared" si="2626"/>
        <v>0</v>
      </c>
      <c r="L2308" s="31">
        <f t="shared" si="2627"/>
        <v>0</v>
      </c>
      <c r="M2308" s="31">
        <f t="shared" si="2628"/>
        <v>0</v>
      </c>
      <c r="N2308" s="31">
        <f t="shared" si="2629"/>
        <v>0</v>
      </c>
      <c r="O2308" s="31">
        <f t="shared" si="2630"/>
        <v>3.1717799999999996</v>
      </c>
      <c r="P2308" s="31">
        <f t="shared" si="2631"/>
        <v>0</v>
      </c>
      <c r="Q2308" s="49">
        <f t="shared" si="2632"/>
        <v>0</v>
      </c>
    </row>
    <row r="2309" spans="4:17" s="62" customFormat="1" x14ac:dyDescent="0.3">
      <c r="D2309" s="235">
        <v>46</v>
      </c>
      <c r="E2309" s="240">
        <v>1</v>
      </c>
      <c r="F2309" s="241">
        <v>16</v>
      </c>
      <c r="G2309" s="242">
        <v>2.6</v>
      </c>
      <c r="H2309" s="239">
        <f t="shared" si="2623"/>
        <v>2.6</v>
      </c>
      <c r="I2309" s="131">
        <f t="shared" si="2624"/>
        <v>0</v>
      </c>
      <c r="J2309" s="31">
        <f t="shared" si="2625"/>
        <v>0</v>
      </c>
      <c r="K2309" s="31">
        <f t="shared" si="2626"/>
        <v>0</v>
      </c>
      <c r="L2309" s="31">
        <f t="shared" si="2627"/>
        <v>0</v>
      </c>
      <c r="M2309" s="31">
        <f t="shared" si="2628"/>
        <v>0</v>
      </c>
      <c r="N2309" s="31">
        <f t="shared" si="2629"/>
        <v>0</v>
      </c>
      <c r="O2309" s="31">
        <f t="shared" si="2630"/>
        <v>4.1028000000000002</v>
      </c>
      <c r="P2309" s="31">
        <f t="shared" si="2631"/>
        <v>0</v>
      </c>
      <c r="Q2309" s="49">
        <f t="shared" si="2632"/>
        <v>0</v>
      </c>
    </row>
    <row r="2310" spans="4:17" s="62" customFormat="1" x14ac:dyDescent="0.3">
      <c r="D2310" s="235">
        <v>47</v>
      </c>
      <c r="E2310" s="240">
        <v>1</v>
      </c>
      <c r="F2310" s="241">
        <v>16</v>
      </c>
      <c r="G2310" s="242">
        <v>9.92</v>
      </c>
      <c r="H2310" s="239">
        <f t="shared" si="2623"/>
        <v>9.92</v>
      </c>
      <c r="I2310" s="131">
        <f t="shared" si="2624"/>
        <v>0</v>
      </c>
      <c r="J2310" s="31">
        <f t="shared" si="2625"/>
        <v>0</v>
      </c>
      <c r="K2310" s="31">
        <f t="shared" si="2626"/>
        <v>0</v>
      </c>
      <c r="L2310" s="31">
        <f t="shared" si="2627"/>
        <v>0</v>
      </c>
      <c r="M2310" s="31">
        <f t="shared" si="2628"/>
        <v>0</v>
      </c>
      <c r="N2310" s="31">
        <f t="shared" si="2629"/>
        <v>0</v>
      </c>
      <c r="O2310" s="31">
        <f t="shared" si="2630"/>
        <v>15.65376</v>
      </c>
      <c r="P2310" s="31">
        <f t="shared" si="2631"/>
        <v>0</v>
      </c>
      <c r="Q2310" s="49">
        <f t="shared" si="2632"/>
        <v>0</v>
      </c>
    </row>
    <row r="2311" spans="4:17" s="62" customFormat="1" x14ac:dyDescent="0.3">
      <c r="D2311" s="235">
        <v>48</v>
      </c>
      <c r="E2311" s="240">
        <v>2</v>
      </c>
      <c r="F2311" s="241">
        <v>16</v>
      </c>
      <c r="G2311" s="242">
        <v>11.96</v>
      </c>
      <c r="H2311" s="239">
        <f t="shared" si="2623"/>
        <v>23.92</v>
      </c>
      <c r="I2311" s="131">
        <f t="shared" si="2624"/>
        <v>0</v>
      </c>
      <c r="J2311" s="31">
        <f t="shared" si="2625"/>
        <v>0</v>
      </c>
      <c r="K2311" s="31">
        <f t="shared" si="2626"/>
        <v>0</v>
      </c>
      <c r="L2311" s="31">
        <f t="shared" si="2627"/>
        <v>0</v>
      </c>
      <c r="M2311" s="31">
        <f t="shared" si="2628"/>
        <v>0</v>
      </c>
      <c r="N2311" s="31">
        <f t="shared" si="2629"/>
        <v>0</v>
      </c>
      <c r="O2311" s="31">
        <f t="shared" si="2630"/>
        <v>37.745760000000004</v>
      </c>
      <c r="P2311" s="31">
        <f t="shared" si="2631"/>
        <v>0</v>
      </c>
      <c r="Q2311" s="49">
        <f t="shared" si="2632"/>
        <v>0</v>
      </c>
    </row>
    <row r="2312" spans="4:17" s="62" customFormat="1" x14ac:dyDescent="0.3">
      <c r="D2312" s="235">
        <v>49</v>
      </c>
      <c r="E2312" s="240">
        <v>2</v>
      </c>
      <c r="F2312" s="241">
        <v>16</v>
      </c>
      <c r="G2312" s="242">
        <v>3.19</v>
      </c>
      <c r="H2312" s="239">
        <f t="shared" si="2623"/>
        <v>6.38</v>
      </c>
      <c r="I2312" s="131">
        <f t="shared" si="2624"/>
        <v>0</v>
      </c>
      <c r="J2312" s="31">
        <f t="shared" si="2625"/>
        <v>0</v>
      </c>
      <c r="K2312" s="31">
        <f t="shared" si="2626"/>
        <v>0</v>
      </c>
      <c r="L2312" s="31">
        <f t="shared" si="2627"/>
        <v>0</v>
      </c>
      <c r="M2312" s="31">
        <f t="shared" si="2628"/>
        <v>0</v>
      </c>
      <c r="N2312" s="31">
        <f t="shared" si="2629"/>
        <v>0</v>
      </c>
      <c r="O2312" s="31">
        <f t="shared" si="2630"/>
        <v>10.067640000000001</v>
      </c>
      <c r="P2312" s="31">
        <f t="shared" si="2631"/>
        <v>0</v>
      </c>
      <c r="Q2312" s="49">
        <f t="shared" si="2632"/>
        <v>0</v>
      </c>
    </row>
    <row r="2313" spans="4:17" s="62" customFormat="1" ht="15" thickBot="1" x14ac:dyDescent="0.35">
      <c r="D2313" s="307"/>
      <c r="E2313" s="26"/>
      <c r="F2313" s="206"/>
      <c r="G2313" s="207"/>
      <c r="H2313" s="207"/>
      <c r="I2313" s="51"/>
      <c r="J2313" s="308"/>
      <c r="K2313" s="308"/>
      <c r="L2313" s="308"/>
      <c r="M2313" s="308"/>
      <c r="N2313" s="308"/>
      <c r="O2313" s="308"/>
      <c r="P2313" s="308"/>
      <c r="Q2313" s="309"/>
    </row>
    <row r="2314" spans="4:17" s="62" customFormat="1" x14ac:dyDescent="0.3">
      <c r="D2314" s="796" t="s">
        <v>1326</v>
      </c>
      <c r="E2314" s="797"/>
      <c r="F2314" s="797"/>
      <c r="G2314" s="797"/>
      <c r="H2314" s="797"/>
      <c r="I2314" s="47">
        <f t="shared" ref="I2314:Q2314" si="2633">SUM(I2315:I2327)</f>
        <v>0</v>
      </c>
      <c r="J2314" s="47">
        <f t="shared" si="2633"/>
        <v>24.05172</v>
      </c>
      <c r="K2314" s="47">
        <f t="shared" si="2633"/>
        <v>0</v>
      </c>
      <c r="L2314" s="47">
        <f t="shared" si="2633"/>
        <v>0</v>
      </c>
      <c r="M2314" s="47">
        <f t="shared" si="2633"/>
        <v>2.0916299999999999</v>
      </c>
      <c r="N2314" s="47">
        <f t="shared" si="2633"/>
        <v>17.256959999999999</v>
      </c>
      <c r="O2314" s="47">
        <f t="shared" si="2633"/>
        <v>125.45100000000001</v>
      </c>
      <c r="P2314" s="47">
        <f t="shared" si="2633"/>
        <v>0</v>
      </c>
      <c r="Q2314" s="47">
        <f t="shared" si="2633"/>
        <v>0</v>
      </c>
    </row>
    <row r="2315" spans="4:17" s="62" customFormat="1" x14ac:dyDescent="0.3">
      <c r="D2315" s="235">
        <v>2</v>
      </c>
      <c r="E2315" s="237">
        <v>114</v>
      </c>
      <c r="F2315" s="238">
        <v>5</v>
      </c>
      <c r="G2315" s="239">
        <v>1.37</v>
      </c>
      <c r="H2315" s="239">
        <f t="shared" ref="H2315:H2327" si="2634">E2315*G2315</f>
        <v>156.18</v>
      </c>
      <c r="I2315" s="131">
        <f t="shared" ref="I2315:I2327" si="2635">IF($F2315=4.2,H2315*$B$23,0)</f>
        <v>0</v>
      </c>
      <c r="J2315" s="31">
        <f t="shared" ref="J2315:J2327" si="2636">IF($F2315=5,$H2315*$B$24,0)</f>
        <v>24.05172</v>
      </c>
      <c r="K2315" s="31">
        <f t="shared" ref="K2315:K2327" si="2637">IF($F2315=6.3,$H2315*$B$25,0)</f>
        <v>0</v>
      </c>
      <c r="L2315" s="31">
        <f t="shared" ref="L2315:L2327" si="2638">IF($F2315=8,$H2315*$B$26,0)</f>
        <v>0</v>
      </c>
      <c r="M2315" s="31">
        <f t="shared" ref="M2315:M2327" si="2639">IF($F2315=10,$H2315*$B$27,0)</f>
        <v>0</v>
      </c>
      <c r="N2315" s="31">
        <f t="shared" ref="N2315:N2327" si="2640">IF($F2315=12.5,$H2315*$B$28,0)</f>
        <v>0</v>
      </c>
      <c r="O2315" s="31">
        <f t="shared" ref="O2315:O2327" si="2641">IF($F2315=16,$H2315*$B$29,0)</f>
        <v>0</v>
      </c>
      <c r="P2315" s="31">
        <f t="shared" ref="P2315:P2327" si="2642">IF($F2315=20,$H2315*$B$30,0)</f>
        <v>0</v>
      </c>
      <c r="Q2315" s="49">
        <f t="shared" ref="Q2315:Q2327" si="2643">IF($F2315=25,$H2315*$B$31,0)</f>
        <v>0</v>
      </c>
    </row>
    <row r="2316" spans="4:17" s="62" customFormat="1" x14ac:dyDescent="0.3">
      <c r="D2316" s="235">
        <v>36</v>
      </c>
      <c r="E2316" s="240">
        <v>3</v>
      </c>
      <c r="F2316" s="241">
        <v>10</v>
      </c>
      <c r="G2316" s="242">
        <v>1.1299999999999999</v>
      </c>
      <c r="H2316" s="239">
        <f t="shared" si="2634"/>
        <v>3.3899999999999997</v>
      </c>
      <c r="I2316" s="131">
        <f t="shared" si="2635"/>
        <v>0</v>
      </c>
      <c r="J2316" s="31">
        <f t="shared" si="2636"/>
        <v>0</v>
      </c>
      <c r="K2316" s="31">
        <f t="shared" si="2637"/>
        <v>0</v>
      </c>
      <c r="L2316" s="31">
        <f t="shared" si="2638"/>
        <v>0</v>
      </c>
      <c r="M2316" s="31">
        <f t="shared" si="2639"/>
        <v>2.0916299999999999</v>
      </c>
      <c r="N2316" s="31">
        <f t="shared" si="2640"/>
        <v>0</v>
      </c>
      <c r="O2316" s="31">
        <f t="shared" si="2641"/>
        <v>0</v>
      </c>
      <c r="P2316" s="31">
        <f t="shared" si="2642"/>
        <v>0</v>
      </c>
      <c r="Q2316" s="49">
        <f t="shared" si="2643"/>
        <v>0</v>
      </c>
    </row>
    <row r="2317" spans="4:17" s="62" customFormat="1" x14ac:dyDescent="0.3">
      <c r="D2317" s="235">
        <v>40</v>
      </c>
      <c r="E2317" s="240">
        <v>4</v>
      </c>
      <c r="F2317" s="241">
        <v>12.5</v>
      </c>
      <c r="G2317" s="242">
        <v>4.4800000000000004</v>
      </c>
      <c r="H2317" s="239">
        <f t="shared" si="2634"/>
        <v>17.920000000000002</v>
      </c>
      <c r="I2317" s="131">
        <f t="shared" si="2635"/>
        <v>0</v>
      </c>
      <c r="J2317" s="31">
        <f t="shared" si="2636"/>
        <v>0</v>
      </c>
      <c r="K2317" s="31">
        <f t="shared" si="2637"/>
        <v>0</v>
      </c>
      <c r="L2317" s="31">
        <f t="shared" si="2638"/>
        <v>0</v>
      </c>
      <c r="M2317" s="31">
        <f t="shared" si="2639"/>
        <v>0</v>
      </c>
      <c r="N2317" s="31">
        <f t="shared" si="2640"/>
        <v>17.256959999999999</v>
      </c>
      <c r="O2317" s="31">
        <f t="shared" si="2641"/>
        <v>0</v>
      </c>
      <c r="P2317" s="31">
        <f t="shared" si="2642"/>
        <v>0</v>
      </c>
      <c r="Q2317" s="49">
        <f t="shared" si="2643"/>
        <v>0</v>
      </c>
    </row>
    <row r="2318" spans="4:17" s="62" customFormat="1" x14ac:dyDescent="0.3">
      <c r="D2318" s="235">
        <v>50</v>
      </c>
      <c r="E2318" s="240">
        <v>1</v>
      </c>
      <c r="F2318" s="241">
        <v>16</v>
      </c>
      <c r="G2318" s="242">
        <v>2.15</v>
      </c>
      <c r="H2318" s="239">
        <f t="shared" ref="H2318" si="2644">E2318*G2318</f>
        <v>2.15</v>
      </c>
      <c r="I2318" s="131">
        <f t="shared" ref="I2318" si="2645">IF($F2318=4.2,H2318*$B$23,0)</f>
        <v>0</v>
      </c>
      <c r="J2318" s="31">
        <f t="shared" si="2636"/>
        <v>0</v>
      </c>
      <c r="K2318" s="31">
        <f t="shared" si="2637"/>
        <v>0</v>
      </c>
      <c r="L2318" s="31">
        <f t="shared" si="2638"/>
        <v>0</v>
      </c>
      <c r="M2318" s="31">
        <f t="shared" si="2639"/>
        <v>0</v>
      </c>
      <c r="N2318" s="31">
        <f t="shared" si="2640"/>
        <v>0</v>
      </c>
      <c r="O2318" s="31">
        <f t="shared" si="2641"/>
        <v>3.3927</v>
      </c>
      <c r="P2318" s="31">
        <f t="shared" si="2642"/>
        <v>0</v>
      </c>
      <c r="Q2318" s="49">
        <f t="shared" si="2643"/>
        <v>0</v>
      </c>
    </row>
    <row r="2319" spans="4:17" s="62" customFormat="1" x14ac:dyDescent="0.3">
      <c r="D2319" s="235">
        <v>51</v>
      </c>
      <c r="E2319" s="240">
        <v>1</v>
      </c>
      <c r="F2319" s="241">
        <v>16</v>
      </c>
      <c r="G2319" s="242">
        <v>3.23</v>
      </c>
      <c r="H2319" s="239">
        <f t="shared" si="2634"/>
        <v>3.23</v>
      </c>
      <c r="I2319" s="131">
        <f t="shared" si="2635"/>
        <v>0</v>
      </c>
      <c r="J2319" s="31">
        <f t="shared" si="2636"/>
        <v>0</v>
      </c>
      <c r="K2319" s="31">
        <f t="shared" si="2637"/>
        <v>0</v>
      </c>
      <c r="L2319" s="31">
        <f t="shared" si="2638"/>
        <v>0</v>
      </c>
      <c r="M2319" s="31">
        <f t="shared" si="2639"/>
        <v>0</v>
      </c>
      <c r="N2319" s="31">
        <f t="shared" si="2640"/>
        <v>0</v>
      </c>
      <c r="O2319" s="31">
        <f t="shared" si="2641"/>
        <v>5.09694</v>
      </c>
      <c r="P2319" s="31">
        <f t="shared" si="2642"/>
        <v>0</v>
      </c>
      <c r="Q2319" s="49">
        <f t="shared" si="2643"/>
        <v>0</v>
      </c>
    </row>
    <row r="2320" spans="4:17" s="62" customFormat="1" x14ac:dyDescent="0.3">
      <c r="D2320" s="235">
        <v>52</v>
      </c>
      <c r="E2320" s="240">
        <v>2</v>
      </c>
      <c r="F2320" s="241">
        <v>16</v>
      </c>
      <c r="G2320" s="242">
        <v>3.6</v>
      </c>
      <c r="H2320" s="239">
        <f t="shared" si="2634"/>
        <v>7.2</v>
      </c>
      <c r="I2320" s="131">
        <f t="shared" si="2635"/>
        <v>0</v>
      </c>
      <c r="J2320" s="31">
        <f t="shared" si="2636"/>
        <v>0</v>
      </c>
      <c r="K2320" s="31">
        <f t="shared" si="2637"/>
        <v>0</v>
      </c>
      <c r="L2320" s="31">
        <f t="shared" si="2638"/>
        <v>0</v>
      </c>
      <c r="M2320" s="31">
        <f t="shared" si="2639"/>
        <v>0</v>
      </c>
      <c r="N2320" s="31">
        <f t="shared" si="2640"/>
        <v>0</v>
      </c>
      <c r="O2320" s="31">
        <f t="shared" si="2641"/>
        <v>11.361600000000001</v>
      </c>
      <c r="P2320" s="31">
        <f t="shared" si="2642"/>
        <v>0</v>
      </c>
      <c r="Q2320" s="49">
        <f t="shared" si="2643"/>
        <v>0</v>
      </c>
    </row>
    <row r="2321" spans="4:17" s="62" customFormat="1" x14ac:dyDescent="0.3">
      <c r="D2321" s="235">
        <v>53</v>
      </c>
      <c r="E2321" s="240">
        <v>1</v>
      </c>
      <c r="F2321" s="241">
        <v>16</v>
      </c>
      <c r="G2321" s="242">
        <v>2.2000000000000002</v>
      </c>
      <c r="H2321" s="239">
        <f t="shared" si="2634"/>
        <v>2.2000000000000002</v>
      </c>
      <c r="I2321" s="131">
        <f t="shared" si="2635"/>
        <v>0</v>
      </c>
      <c r="J2321" s="31">
        <f t="shared" si="2636"/>
        <v>0</v>
      </c>
      <c r="K2321" s="31">
        <f t="shared" si="2637"/>
        <v>0</v>
      </c>
      <c r="L2321" s="31">
        <f t="shared" si="2638"/>
        <v>0</v>
      </c>
      <c r="M2321" s="31">
        <f t="shared" si="2639"/>
        <v>0</v>
      </c>
      <c r="N2321" s="31">
        <f t="shared" si="2640"/>
        <v>0</v>
      </c>
      <c r="O2321" s="31">
        <f t="shared" si="2641"/>
        <v>3.4716000000000005</v>
      </c>
      <c r="P2321" s="31">
        <f t="shared" si="2642"/>
        <v>0</v>
      </c>
      <c r="Q2321" s="49">
        <f t="shared" si="2643"/>
        <v>0</v>
      </c>
    </row>
    <row r="2322" spans="4:17" s="62" customFormat="1" x14ac:dyDescent="0.3">
      <c r="D2322" s="235">
        <v>54</v>
      </c>
      <c r="E2322" s="240">
        <v>1</v>
      </c>
      <c r="F2322" s="241">
        <v>16</v>
      </c>
      <c r="G2322" s="242">
        <v>3.07</v>
      </c>
      <c r="H2322" s="239">
        <f t="shared" si="2634"/>
        <v>3.07</v>
      </c>
      <c r="I2322" s="131">
        <f t="shared" si="2635"/>
        <v>0</v>
      </c>
      <c r="J2322" s="31">
        <f t="shared" si="2636"/>
        <v>0</v>
      </c>
      <c r="K2322" s="31">
        <f t="shared" si="2637"/>
        <v>0</v>
      </c>
      <c r="L2322" s="31">
        <f t="shared" si="2638"/>
        <v>0</v>
      </c>
      <c r="M2322" s="31">
        <f t="shared" si="2639"/>
        <v>0</v>
      </c>
      <c r="N2322" s="31">
        <f t="shared" si="2640"/>
        <v>0</v>
      </c>
      <c r="O2322" s="31">
        <f t="shared" si="2641"/>
        <v>4.8444599999999998</v>
      </c>
      <c r="P2322" s="31">
        <f t="shared" si="2642"/>
        <v>0</v>
      </c>
      <c r="Q2322" s="49">
        <f t="shared" si="2643"/>
        <v>0</v>
      </c>
    </row>
    <row r="2323" spans="4:17" s="62" customFormat="1" x14ac:dyDescent="0.3">
      <c r="D2323" s="235">
        <v>55</v>
      </c>
      <c r="E2323" s="240">
        <v>2</v>
      </c>
      <c r="F2323" s="241">
        <v>16</v>
      </c>
      <c r="G2323" s="242">
        <v>11.23</v>
      </c>
      <c r="H2323" s="239">
        <f t="shared" si="2634"/>
        <v>22.46</v>
      </c>
      <c r="I2323" s="131">
        <f t="shared" si="2635"/>
        <v>0</v>
      </c>
      <c r="J2323" s="31">
        <f t="shared" si="2636"/>
        <v>0</v>
      </c>
      <c r="K2323" s="31">
        <f t="shared" si="2637"/>
        <v>0</v>
      </c>
      <c r="L2323" s="31">
        <f t="shared" si="2638"/>
        <v>0</v>
      </c>
      <c r="M2323" s="31">
        <f t="shared" si="2639"/>
        <v>0</v>
      </c>
      <c r="N2323" s="31">
        <f t="shared" si="2640"/>
        <v>0</v>
      </c>
      <c r="O2323" s="31">
        <f t="shared" si="2641"/>
        <v>35.441880000000005</v>
      </c>
      <c r="P2323" s="31">
        <f t="shared" si="2642"/>
        <v>0</v>
      </c>
      <c r="Q2323" s="49">
        <f t="shared" si="2643"/>
        <v>0</v>
      </c>
    </row>
    <row r="2324" spans="4:17" s="62" customFormat="1" x14ac:dyDescent="0.3">
      <c r="D2324" s="235">
        <v>56</v>
      </c>
      <c r="E2324" s="240">
        <v>1</v>
      </c>
      <c r="F2324" s="241">
        <v>16</v>
      </c>
      <c r="G2324" s="242">
        <v>2.7</v>
      </c>
      <c r="H2324" s="239">
        <f t="shared" ref="H2324:H2326" si="2646">E2324*G2324</f>
        <v>2.7</v>
      </c>
      <c r="I2324" s="131">
        <f t="shared" ref="I2324:I2326" si="2647">IF($F2324=4.2,H2324*$B$23,0)</f>
        <v>0</v>
      </c>
      <c r="J2324" s="31">
        <f t="shared" si="2636"/>
        <v>0</v>
      </c>
      <c r="K2324" s="31">
        <f t="shared" si="2637"/>
        <v>0</v>
      </c>
      <c r="L2324" s="31">
        <f t="shared" si="2638"/>
        <v>0</v>
      </c>
      <c r="M2324" s="31">
        <f t="shared" si="2639"/>
        <v>0</v>
      </c>
      <c r="N2324" s="31">
        <f t="shared" si="2640"/>
        <v>0</v>
      </c>
      <c r="O2324" s="31">
        <f t="shared" si="2641"/>
        <v>4.2606000000000002</v>
      </c>
      <c r="P2324" s="31">
        <f t="shared" si="2642"/>
        <v>0</v>
      </c>
      <c r="Q2324" s="49">
        <f t="shared" si="2643"/>
        <v>0</v>
      </c>
    </row>
    <row r="2325" spans="4:17" s="62" customFormat="1" x14ac:dyDescent="0.3">
      <c r="D2325" s="235">
        <v>57</v>
      </c>
      <c r="E2325" s="240">
        <v>1</v>
      </c>
      <c r="F2325" s="241">
        <v>16</v>
      </c>
      <c r="G2325" s="242">
        <v>2.75</v>
      </c>
      <c r="H2325" s="239">
        <f t="shared" si="2646"/>
        <v>2.75</v>
      </c>
      <c r="I2325" s="131">
        <f t="shared" si="2647"/>
        <v>0</v>
      </c>
      <c r="J2325" s="31">
        <f t="shared" si="2636"/>
        <v>0</v>
      </c>
      <c r="K2325" s="31">
        <f t="shared" si="2637"/>
        <v>0</v>
      </c>
      <c r="L2325" s="31">
        <f t="shared" si="2638"/>
        <v>0</v>
      </c>
      <c r="M2325" s="31">
        <f t="shared" si="2639"/>
        <v>0</v>
      </c>
      <c r="N2325" s="31">
        <f t="shared" si="2640"/>
        <v>0</v>
      </c>
      <c r="O2325" s="31">
        <f t="shared" si="2641"/>
        <v>4.3395000000000001</v>
      </c>
      <c r="P2325" s="31">
        <f t="shared" si="2642"/>
        <v>0</v>
      </c>
      <c r="Q2325" s="49">
        <f t="shared" si="2643"/>
        <v>0</v>
      </c>
    </row>
    <row r="2326" spans="4:17" s="62" customFormat="1" x14ac:dyDescent="0.3">
      <c r="D2326" s="235">
        <v>58</v>
      </c>
      <c r="E2326" s="240">
        <v>2</v>
      </c>
      <c r="F2326" s="241">
        <v>16</v>
      </c>
      <c r="G2326" s="242">
        <v>11.96</v>
      </c>
      <c r="H2326" s="239">
        <f t="shared" si="2646"/>
        <v>23.92</v>
      </c>
      <c r="I2326" s="131">
        <f t="shared" si="2647"/>
        <v>0</v>
      </c>
      <c r="J2326" s="31">
        <f t="shared" si="2636"/>
        <v>0</v>
      </c>
      <c r="K2326" s="31">
        <f t="shared" si="2637"/>
        <v>0</v>
      </c>
      <c r="L2326" s="31">
        <f t="shared" si="2638"/>
        <v>0</v>
      </c>
      <c r="M2326" s="31">
        <f t="shared" si="2639"/>
        <v>0</v>
      </c>
      <c r="N2326" s="31">
        <f t="shared" si="2640"/>
        <v>0</v>
      </c>
      <c r="O2326" s="31">
        <f t="shared" si="2641"/>
        <v>37.745760000000004</v>
      </c>
      <c r="P2326" s="31">
        <f t="shared" si="2642"/>
        <v>0</v>
      </c>
      <c r="Q2326" s="49">
        <f t="shared" si="2643"/>
        <v>0</v>
      </c>
    </row>
    <row r="2327" spans="4:17" s="62" customFormat="1" x14ac:dyDescent="0.3">
      <c r="D2327" s="235">
        <v>59</v>
      </c>
      <c r="E2327" s="240">
        <v>2</v>
      </c>
      <c r="F2327" s="241">
        <v>16</v>
      </c>
      <c r="G2327" s="242">
        <v>4.91</v>
      </c>
      <c r="H2327" s="239">
        <f t="shared" si="2634"/>
        <v>9.82</v>
      </c>
      <c r="I2327" s="131">
        <f t="shared" si="2635"/>
        <v>0</v>
      </c>
      <c r="J2327" s="31">
        <f t="shared" si="2636"/>
        <v>0</v>
      </c>
      <c r="K2327" s="31">
        <f t="shared" si="2637"/>
        <v>0</v>
      </c>
      <c r="L2327" s="31">
        <f t="shared" si="2638"/>
        <v>0</v>
      </c>
      <c r="M2327" s="31">
        <f t="shared" si="2639"/>
        <v>0</v>
      </c>
      <c r="N2327" s="31">
        <f t="shared" si="2640"/>
        <v>0</v>
      </c>
      <c r="O2327" s="31">
        <f t="shared" si="2641"/>
        <v>15.495960000000002</v>
      </c>
      <c r="P2327" s="31">
        <f t="shared" si="2642"/>
        <v>0</v>
      </c>
      <c r="Q2327" s="49">
        <f t="shared" si="2643"/>
        <v>0</v>
      </c>
    </row>
    <row r="2328" spans="4:17" s="62" customFormat="1" ht="15" thickBot="1" x14ac:dyDescent="0.35">
      <c r="D2328" s="307"/>
      <c r="E2328" s="26"/>
      <c r="F2328" s="206"/>
      <c r="G2328" s="207"/>
      <c r="H2328" s="207"/>
      <c r="I2328" s="51"/>
      <c r="J2328" s="308"/>
      <c r="K2328" s="308"/>
      <c r="L2328" s="308"/>
      <c r="M2328" s="308"/>
      <c r="N2328" s="308"/>
      <c r="O2328" s="308"/>
      <c r="P2328" s="308"/>
      <c r="Q2328" s="309"/>
    </row>
    <row r="2329" spans="4:17" s="62" customFormat="1" x14ac:dyDescent="0.3">
      <c r="D2329" s="796" t="s">
        <v>1327</v>
      </c>
      <c r="E2329" s="797"/>
      <c r="F2329" s="797"/>
      <c r="G2329" s="797"/>
      <c r="H2329" s="797"/>
      <c r="I2329" s="47">
        <f t="shared" ref="I2329:Q2329" si="2648">SUM(I2330:I2334)</f>
        <v>0</v>
      </c>
      <c r="J2329" s="47">
        <f t="shared" si="2648"/>
        <v>5.9459400000000002</v>
      </c>
      <c r="K2329" s="47">
        <f t="shared" si="2648"/>
        <v>0</v>
      </c>
      <c r="L2329" s="47">
        <f t="shared" si="2648"/>
        <v>18.430700000000002</v>
      </c>
      <c r="M2329" s="47">
        <f t="shared" si="2648"/>
        <v>21.570319999999999</v>
      </c>
      <c r="N2329" s="47">
        <f t="shared" si="2648"/>
        <v>0</v>
      </c>
      <c r="O2329" s="47">
        <f t="shared" si="2648"/>
        <v>0</v>
      </c>
      <c r="P2329" s="47">
        <f t="shared" si="2648"/>
        <v>0</v>
      </c>
      <c r="Q2329" s="47">
        <f t="shared" si="2648"/>
        <v>0</v>
      </c>
    </row>
    <row r="2330" spans="4:17" s="62" customFormat="1" x14ac:dyDescent="0.3">
      <c r="D2330" s="235">
        <v>3</v>
      </c>
      <c r="E2330" s="237">
        <v>33</v>
      </c>
      <c r="F2330" s="238">
        <v>5</v>
      </c>
      <c r="G2330" s="239">
        <v>1.17</v>
      </c>
      <c r="H2330" s="239">
        <f t="shared" ref="H2330:H2334" si="2649">E2330*G2330</f>
        <v>38.61</v>
      </c>
      <c r="I2330" s="131">
        <f t="shared" ref="I2330:I2334" si="2650">IF($F2330=4.2,H2330*$B$23,0)</f>
        <v>0</v>
      </c>
      <c r="J2330" s="31">
        <f t="shared" ref="J2330:J2334" si="2651">IF($F2330=5,$H2330*$B$24,0)</f>
        <v>5.9459400000000002</v>
      </c>
      <c r="K2330" s="31">
        <f t="shared" ref="K2330:K2334" si="2652">IF($F2330=6.3,$H2330*$B$25,0)</f>
        <v>0</v>
      </c>
      <c r="L2330" s="31">
        <f t="shared" ref="L2330:L2334" si="2653">IF($F2330=8,$H2330*$B$26,0)</f>
        <v>0</v>
      </c>
      <c r="M2330" s="31">
        <f t="shared" ref="M2330:M2334" si="2654">IF($F2330=10,$H2330*$B$27,0)</f>
        <v>0</v>
      </c>
      <c r="N2330" s="31">
        <f t="shared" ref="N2330:N2334" si="2655">IF($F2330=12.5,$H2330*$B$28,0)</f>
        <v>0</v>
      </c>
      <c r="O2330" s="31">
        <f t="shared" ref="O2330:O2334" si="2656">IF($F2330=16,$H2330*$B$29,0)</f>
        <v>0</v>
      </c>
      <c r="P2330" s="31">
        <f t="shared" ref="P2330:P2334" si="2657">IF($F2330=20,$H2330*$B$30,0)</f>
        <v>0</v>
      </c>
      <c r="Q2330" s="49">
        <f t="shared" ref="Q2330:Q2334" si="2658">IF($F2330=25,$H2330*$B$31,0)</f>
        <v>0</v>
      </c>
    </row>
    <row r="2331" spans="4:17" s="62" customFormat="1" x14ac:dyDescent="0.3">
      <c r="D2331" s="235">
        <v>20</v>
      </c>
      <c r="E2331" s="240">
        <v>1</v>
      </c>
      <c r="F2331" s="241">
        <v>8</v>
      </c>
      <c r="G2331" s="242">
        <v>5.75</v>
      </c>
      <c r="H2331" s="239">
        <f t="shared" si="2649"/>
        <v>5.75</v>
      </c>
      <c r="I2331" s="131">
        <f t="shared" si="2650"/>
        <v>0</v>
      </c>
      <c r="J2331" s="31">
        <f t="shared" si="2651"/>
        <v>0</v>
      </c>
      <c r="K2331" s="31">
        <f t="shared" si="2652"/>
        <v>0</v>
      </c>
      <c r="L2331" s="31">
        <f t="shared" si="2653"/>
        <v>2.2712500000000002</v>
      </c>
      <c r="M2331" s="31">
        <f t="shared" si="2654"/>
        <v>0</v>
      </c>
      <c r="N2331" s="31">
        <f t="shared" si="2655"/>
        <v>0</v>
      </c>
      <c r="O2331" s="31">
        <f t="shared" si="2656"/>
        <v>0</v>
      </c>
      <c r="P2331" s="31">
        <f t="shared" si="2657"/>
        <v>0</v>
      </c>
      <c r="Q2331" s="49">
        <f t="shared" si="2658"/>
        <v>0</v>
      </c>
    </row>
    <row r="2332" spans="4:17" s="62" customFormat="1" x14ac:dyDescent="0.3">
      <c r="D2332" s="235">
        <v>21</v>
      </c>
      <c r="E2332" s="240">
        <v>1</v>
      </c>
      <c r="F2332" s="241">
        <v>8</v>
      </c>
      <c r="G2332" s="242">
        <v>5.95</v>
      </c>
      <c r="H2332" s="239">
        <f t="shared" si="2649"/>
        <v>5.95</v>
      </c>
      <c r="I2332" s="131">
        <f t="shared" si="2650"/>
        <v>0</v>
      </c>
      <c r="J2332" s="31">
        <f t="shared" si="2651"/>
        <v>0</v>
      </c>
      <c r="K2332" s="31">
        <f t="shared" si="2652"/>
        <v>0</v>
      </c>
      <c r="L2332" s="31">
        <f t="shared" si="2653"/>
        <v>2.3502500000000004</v>
      </c>
      <c r="M2332" s="31">
        <f t="shared" si="2654"/>
        <v>0</v>
      </c>
      <c r="N2332" s="31">
        <f t="shared" si="2655"/>
        <v>0</v>
      </c>
      <c r="O2332" s="31">
        <f t="shared" si="2656"/>
        <v>0</v>
      </c>
      <c r="P2332" s="31">
        <f t="shared" si="2657"/>
        <v>0</v>
      </c>
      <c r="Q2332" s="49">
        <f t="shared" si="2658"/>
        <v>0</v>
      </c>
    </row>
    <row r="2333" spans="4:17" s="62" customFormat="1" x14ac:dyDescent="0.3">
      <c r="D2333" s="235">
        <v>22</v>
      </c>
      <c r="E2333" s="240">
        <v>4</v>
      </c>
      <c r="F2333" s="241">
        <v>8</v>
      </c>
      <c r="G2333" s="242">
        <v>8.74</v>
      </c>
      <c r="H2333" s="239">
        <f t="shared" si="2649"/>
        <v>34.96</v>
      </c>
      <c r="I2333" s="131">
        <f t="shared" si="2650"/>
        <v>0</v>
      </c>
      <c r="J2333" s="31">
        <f t="shared" si="2651"/>
        <v>0</v>
      </c>
      <c r="K2333" s="31">
        <f t="shared" si="2652"/>
        <v>0</v>
      </c>
      <c r="L2333" s="31">
        <f t="shared" si="2653"/>
        <v>13.809200000000001</v>
      </c>
      <c r="M2333" s="31">
        <f t="shared" si="2654"/>
        <v>0</v>
      </c>
      <c r="N2333" s="31">
        <f t="shared" si="2655"/>
        <v>0</v>
      </c>
      <c r="O2333" s="31">
        <f t="shared" si="2656"/>
        <v>0</v>
      </c>
      <c r="P2333" s="31">
        <f t="shared" si="2657"/>
        <v>0</v>
      </c>
      <c r="Q2333" s="49">
        <f t="shared" si="2658"/>
        <v>0</v>
      </c>
    </row>
    <row r="2334" spans="4:17" s="62" customFormat="1" x14ac:dyDescent="0.3">
      <c r="D2334" s="235">
        <v>37</v>
      </c>
      <c r="E2334" s="240">
        <v>4</v>
      </c>
      <c r="F2334" s="241">
        <v>10</v>
      </c>
      <c r="G2334" s="242">
        <v>8.74</v>
      </c>
      <c r="H2334" s="239">
        <f t="shared" si="2649"/>
        <v>34.96</v>
      </c>
      <c r="I2334" s="131">
        <f t="shared" si="2650"/>
        <v>0</v>
      </c>
      <c r="J2334" s="31">
        <f t="shared" si="2651"/>
        <v>0</v>
      </c>
      <c r="K2334" s="31">
        <f t="shared" si="2652"/>
        <v>0</v>
      </c>
      <c r="L2334" s="31">
        <f t="shared" si="2653"/>
        <v>0</v>
      </c>
      <c r="M2334" s="31">
        <f t="shared" si="2654"/>
        <v>21.570319999999999</v>
      </c>
      <c r="N2334" s="31">
        <f t="shared" si="2655"/>
        <v>0</v>
      </c>
      <c r="O2334" s="31">
        <f t="shared" si="2656"/>
        <v>0</v>
      </c>
      <c r="P2334" s="31">
        <f t="shared" si="2657"/>
        <v>0</v>
      </c>
      <c r="Q2334" s="49">
        <f t="shared" si="2658"/>
        <v>0</v>
      </c>
    </row>
    <row r="2335" spans="4:17" s="62" customFormat="1" ht="15" thickBot="1" x14ac:dyDescent="0.35">
      <c r="D2335" s="307"/>
      <c r="E2335" s="26"/>
      <c r="F2335" s="206"/>
      <c r="G2335" s="207"/>
      <c r="H2335" s="207"/>
      <c r="I2335" s="51"/>
      <c r="J2335" s="308"/>
      <c r="K2335" s="308"/>
      <c r="L2335" s="308"/>
      <c r="M2335" s="308"/>
      <c r="N2335" s="308"/>
      <c r="O2335" s="308"/>
      <c r="P2335" s="308"/>
      <c r="Q2335" s="309"/>
    </row>
    <row r="2336" spans="4:17" s="62" customFormat="1" x14ac:dyDescent="0.3">
      <c r="D2336" s="796" t="s">
        <v>1328</v>
      </c>
      <c r="E2336" s="797"/>
      <c r="F2336" s="797"/>
      <c r="G2336" s="797"/>
      <c r="H2336" s="797"/>
      <c r="I2336" s="47">
        <f t="shared" ref="I2336:Q2336" si="2659">SUM(I2337:I2341)</f>
        <v>0</v>
      </c>
      <c r="J2336" s="47">
        <f t="shared" si="2659"/>
        <v>69.369299999999996</v>
      </c>
      <c r="K2336" s="47">
        <f t="shared" si="2659"/>
        <v>0</v>
      </c>
      <c r="L2336" s="47">
        <f t="shared" si="2659"/>
        <v>0</v>
      </c>
      <c r="M2336" s="47">
        <f t="shared" si="2659"/>
        <v>0</v>
      </c>
      <c r="N2336" s="47">
        <f t="shared" si="2659"/>
        <v>0</v>
      </c>
      <c r="O2336" s="47">
        <f t="shared" si="2659"/>
        <v>212.55660000000003</v>
      </c>
      <c r="P2336" s="47">
        <f t="shared" si="2659"/>
        <v>0</v>
      </c>
      <c r="Q2336" s="47">
        <f t="shared" si="2659"/>
        <v>377.68500000000006</v>
      </c>
    </row>
    <row r="2337" spans="4:17" s="62" customFormat="1" x14ac:dyDescent="0.3">
      <c r="D2337" s="235">
        <v>3</v>
      </c>
      <c r="E2337" s="237">
        <f>5*77</f>
        <v>385</v>
      </c>
      <c r="F2337" s="238">
        <v>5</v>
      </c>
      <c r="G2337" s="239">
        <v>1.17</v>
      </c>
      <c r="H2337" s="239">
        <f t="shared" ref="H2337:H2341" si="2660">E2337*G2337</f>
        <v>450.45</v>
      </c>
      <c r="I2337" s="131">
        <f t="shared" ref="I2337:I2341" si="2661">IF($F2337=4.2,H2337*$B$23,0)</f>
        <v>0</v>
      </c>
      <c r="J2337" s="31">
        <f t="shared" ref="J2337:J2341" si="2662">IF($F2337=5,$H2337*$B$24,0)</f>
        <v>69.369299999999996</v>
      </c>
      <c r="K2337" s="31">
        <f t="shared" ref="K2337:K2341" si="2663">IF($F2337=6.3,$H2337*$B$25,0)</f>
        <v>0</v>
      </c>
      <c r="L2337" s="31">
        <f t="shared" ref="L2337:L2341" si="2664">IF($F2337=8,$H2337*$B$26,0)</f>
        <v>0</v>
      </c>
      <c r="M2337" s="31">
        <f t="shared" ref="M2337:M2341" si="2665">IF($F2337=10,$H2337*$B$27,0)</f>
        <v>0</v>
      </c>
      <c r="N2337" s="31">
        <f t="shared" ref="N2337:N2341" si="2666">IF($F2337=12.5,$H2337*$B$28,0)</f>
        <v>0</v>
      </c>
      <c r="O2337" s="31">
        <f t="shared" ref="O2337:O2341" si="2667">IF($F2337=16,$H2337*$B$29,0)</f>
        <v>0</v>
      </c>
      <c r="P2337" s="31">
        <f t="shared" ref="P2337:P2341" si="2668">IF($F2337=20,$H2337*$B$30,0)</f>
        <v>0</v>
      </c>
      <c r="Q2337" s="49">
        <f t="shared" ref="Q2337:Q2341" si="2669">IF($F2337=25,$H2337*$B$31,0)</f>
        <v>0</v>
      </c>
    </row>
    <row r="2338" spans="4:17" s="62" customFormat="1" x14ac:dyDescent="0.3">
      <c r="D2338" s="235">
        <v>60</v>
      </c>
      <c r="E2338" s="240">
        <f>5*2</f>
        <v>10</v>
      </c>
      <c r="F2338" s="241">
        <v>16</v>
      </c>
      <c r="G2338" s="242">
        <v>4.03</v>
      </c>
      <c r="H2338" s="239">
        <f t="shared" si="2660"/>
        <v>40.300000000000004</v>
      </c>
      <c r="I2338" s="131">
        <f t="shared" si="2661"/>
        <v>0</v>
      </c>
      <c r="J2338" s="31">
        <f t="shared" si="2662"/>
        <v>0</v>
      </c>
      <c r="K2338" s="31">
        <f t="shared" si="2663"/>
        <v>0</v>
      </c>
      <c r="L2338" s="31">
        <f t="shared" si="2664"/>
        <v>0</v>
      </c>
      <c r="M2338" s="31">
        <f t="shared" si="2665"/>
        <v>0</v>
      </c>
      <c r="N2338" s="31">
        <f t="shared" si="2666"/>
        <v>0</v>
      </c>
      <c r="O2338" s="31">
        <f t="shared" si="2667"/>
        <v>63.59340000000001</v>
      </c>
      <c r="P2338" s="31">
        <f t="shared" si="2668"/>
        <v>0</v>
      </c>
      <c r="Q2338" s="49">
        <f t="shared" si="2669"/>
        <v>0</v>
      </c>
    </row>
    <row r="2339" spans="4:17" s="62" customFormat="1" x14ac:dyDescent="0.3">
      <c r="D2339" s="235">
        <v>61</v>
      </c>
      <c r="E2339" s="240">
        <f>5*2</f>
        <v>10</v>
      </c>
      <c r="F2339" s="241">
        <v>16</v>
      </c>
      <c r="G2339" s="242">
        <v>0.69</v>
      </c>
      <c r="H2339" s="239">
        <f t="shared" si="2660"/>
        <v>6.8999999999999995</v>
      </c>
      <c r="I2339" s="131">
        <f t="shared" si="2661"/>
        <v>0</v>
      </c>
      <c r="J2339" s="31">
        <f t="shared" si="2662"/>
        <v>0</v>
      </c>
      <c r="K2339" s="31">
        <f t="shared" si="2663"/>
        <v>0</v>
      </c>
      <c r="L2339" s="31">
        <f t="shared" si="2664"/>
        <v>0</v>
      </c>
      <c r="M2339" s="31">
        <f t="shared" si="2665"/>
        <v>0</v>
      </c>
      <c r="N2339" s="31">
        <f t="shared" si="2666"/>
        <v>0</v>
      </c>
      <c r="O2339" s="31">
        <f t="shared" si="2667"/>
        <v>10.888199999999999</v>
      </c>
      <c r="P2339" s="31">
        <f t="shared" si="2668"/>
        <v>0</v>
      </c>
      <c r="Q2339" s="49">
        <f t="shared" si="2669"/>
        <v>0</v>
      </c>
    </row>
    <row r="2340" spans="4:17" s="62" customFormat="1" x14ac:dyDescent="0.3">
      <c r="D2340" s="235">
        <v>62</v>
      </c>
      <c r="E2340" s="240">
        <f>5*2</f>
        <v>10</v>
      </c>
      <c r="F2340" s="241">
        <v>16</v>
      </c>
      <c r="G2340" s="242">
        <v>8.75</v>
      </c>
      <c r="H2340" s="239">
        <f t="shared" si="2660"/>
        <v>87.5</v>
      </c>
      <c r="I2340" s="131">
        <f t="shared" si="2661"/>
        <v>0</v>
      </c>
      <c r="J2340" s="31">
        <f t="shared" si="2662"/>
        <v>0</v>
      </c>
      <c r="K2340" s="31">
        <f t="shared" si="2663"/>
        <v>0</v>
      </c>
      <c r="L2340" s="31">
        <f t="shared" si="2664"/>
        <v>0</v>
      </c>
      <c r="M2340" s="31">
        <f t="shared" si="2665"/>
        <v>0</v>
      </c>
      <c r="N2340" s="31">
        <f t="shared" si="2666"/>
        <v>0</v>
      </c>
      <c r="O2340" s="31">
        <f t="shared" si="2667"/>
        <v>138.07500000000002</v>
      </c>
      <c r="P2340" s="31">
        <f t="shared" si="2668"/>
        <v>0</v>
      </c>
      <c r="Q2340" s="49">
        <f t="shared" si="2669"/>
        <v>0</v>
      </c>
    </row>
    <row r="2341" spans="4:17" s="62" customFormat="1" x14ac:dyDescent="0.3">
      <c r="D2341" s="235">
        <v>63</v>
      </c>
      <c r="E2341" s="240">
        <f>5*2</f>
        <v>10</v>
      </c>
      <c r="F2341" s="241">
        <v>25</v>
      </c>
      <c r="G2341" s="242">
        <v>9.81</v>
      </c>
      <c r="H2341" s="239">
        <f t="shared" si="2660"/>
        <v>98.100000000000009</v>
      </c>
      <c r="I2341" s="131">
        <f t="shared" si="2661"/>
        <v>0</v>
      </c>
      <c r="J2341" s="31">
        <f t="shared" si="2662"/>
        <v>0</v>
      </c>
      <c r="K2341" s="31">
        <f t="shared" si="2663"/>
        <v>0</v>
      </c>
      <c r="L2341" s="31">
        <f t="shared" si="2664"/>
        <v>0</v>
      </c>
      <c r="M2341" s="31">
        <f t="shared" si="2665"/>
        <v>0</v>
      </c>
      <c r="N2341" s="31">
        <f t="shared" si="2666"/>
        <v>0</v>
      </c>
      <c r="O2341" s="31">
        <f t="shared" si="2667"/>
        <v>0</v>
      </c>
      <c r="P2341" s="31">
        <f t="shared" si="2668"/>
        <v>0</v>
      </c>
      <c r="Q2341" s="49">
        <f t="shared" si="2669"/>
        <v>377.68500000000006</v>
      </c>
    </row>
    <row r="2342" spans="4:17" s="62" customFormat="1" ht="15" thickBot="1" x14ac:dyDescent="0.35">
      <c r="D2342" s="307"/>
      <c r="E2342" s="26"/>
      <c r="F2342" s="206"/>
      <c r="G2342" s="207"/>
      <c r="H2342" s="207"/>
      <c r="I2342" s="51"/>
      <c r="J2342" s="308"/>
      <c r="K2342" s="308"/>
      <c r="L2342" s="308"/>
      <c r="M2342" s="308"/>
      <c r="N2342" s="308"/>
      <c r="O2342" s="308"/>
      <c r="P2342" s="308"/>
      <c r="Q2342" s="309"/>
    </row>
    <row r="2343" spans="4:17" s="62" customFormat="1" x14ac:dyDescent="0.3">
      <c r="D2343" s="796" t="s">
        <v>1329</v>
      </c>
      <c r="E2343" s="797"/>
      <c r="F2343" s="797"/>
      <c r="G2343" s="797"/>
      <c r="H2343" s="797"/>
      <c r="I2343" s="47">
        <f t="shared" ref="I2343:Q2343" si="2670">SUM(I2344:I2349)</f>
        <v>0</v>
      </c>
      <c r="J2343" s="47">
        <f t="shared" si="2670"/>
        <v>6.3062999999999994</v>
      </c>
      <c r="K2343" s="47">
        <f t="shared" si="2670"/>
        <v>0</v>
      </c>
      <c r="L2343" s="47">
        <f t="shared" si="2670"/>
        <v>0</v>
      </c>
      <c r="M2343" s="47">
        <f t="shared" si="2670"/>
        <v>20.607800000000001</v>
      </c>
      <c r="N2343" s="47">
        <f t="shared" si="2670"/>
        <v>19.808909999999997</v>
      </c>
      <c r="O2343" s="47">
        <f t="shared" si="2670"/>
        <v>0</v>
      </c>
      <c r="P2343" s="47">
        <f t="shared" si="2670"/>
        <v>0</v>
      </c>
      <c r="Q2343" s="47">
        <f t="shared" si="2670"/>
        <v>0</v>
      </c>
    </row>
    <row r="2344" spans="4:17" s="62" customFormat="1" x14ac:dyDescent="0.3">
      <c r="D2344" s="235">
        <v>1</v>
      </c>
      <c r="E2344" s="237">
        <v>35</v>
      </c>
      <c r="F2344" s="238">
        <v>5</v>
      </c>
      <c r="G2344" s="239">
        <v>1.17</v>
      </c>
      <c r="H2344" s="239">
        <f t="shared" ref="H2344:H2349" si="2671">E2344*G2344</f>
        <v>40.949999999999996</v>
      </c>
      <c r="I2344" s="131">
        <f t="shared" ref="I2344:I2349" si="2672">IF($F2344=4.2,H2344*$B$23,0)</f>
        <v>0</v>
      </c>
      <c r="J2344" s="31">
        <f t="shared" ref="J2344:J2349" si="2673">IF($F2344=5,$H2344*$B$24,0)</f>
        <v>6.3062999999999994</v>
      </c>
      <c r="K2344" s="31">
        <f t="shared" ref="K2344:K2349" si="2674">IF($F2344=6.3,$H2344*$B$25,0)</f>
        <v>0</v>
      </c>
      <c r="L2344" s="31">
        <f t="shared" ref="L2344:L2349" si="2675">IF($F2344=8,$H2344*$B$26,0)</f>
        <v>0</v>
      </c>
      <c r="M2344" s="31">
        <f t="shared" ref="M2344:M2349" si="2676">IF($F2344=10,$H2344*$B$27,0)</f>
        <v>0</v>
      </c>
      <c r="N2344" s="31">
        <f t="shared" ref="N2344:N2349" si="2677">IF($F2344=12.5,$H2344*$B$28,0)</f>
        <v>0</v>
      </c>
      <c r="O2344" s="31">
        <f t="shared" ref="O2344:O2349" si="2678">IF($F2344=16,$H2344*$B$29,0)</f>
        <v>0</v>
      </c>
      <c r="P2344" s="31">
        <f t="shared" ref="P2344:P2349" si="2679">IF($F2344=20,$H2344*$B$30,0)</f>
        <v>0</v>
      </c>
      <c r="Q2344" s="49">
        <f t="shared" ref="Q2344:Q2349" si="2680">IF($F2344=25,$H2344*$B$31,0)</f>
        <v>0</v>
      </c>
    </row>
    <row r="2345" spans="4:17" s="62" customFormat="1" x14ac:dyDescent="0.3">
      <c r="D2345" s="235">
        <v>8</v>
      </c>
      <c r="E2345" s="240">
        <v>1</v>
      </c>
      <c r="F2345" s="241">
        <v>10</v>
      </c>
      <c r="G2345" s="242">
        <v>4.45</v>
      </c>
      <c r="H2345" s="239">
        <f t="shared" si="2671"/>
        <v>4.45</v>
      </c>
      <c r="I2345" s="131">
        <f t="shared" si="2672"/>
        <v>0</v>
      </c>
      <c r="J2345" s="31">
        <f t="shared" si="2673"/>
        <v>0</v>
      </c>
      <c r="K2345" s="31">
        <f t="shared" si="2674"/>
        <v>0</v>
      </c>
      <c r="L2345" s="31">
        <f t="shared" si="2675"/>
        <v>0</v>
      </c>
      <c r="M2345" s="31">
        <f t="shared" si="2676"/>
        <v>2.7456499999999999</v>
      </c>
      <c r="N2345" s="31">
        <f t="shared" si="2677"/>
        <v>0</v>
      </c>
      <c r="O2345" s="31">
        <f t="shared" si="2678"/>
        <v>0</v>
      </c>
      <c r="P2345" s="31">
        <f t="shared" si="2679"/>
        <v>0</v>
      </c>
      <c r="Q2345" s="49">
        <f t="shared" si="2680"/>
        <v>0</v>
      </c>
    </row>
    <row r="2346" spans="4:17" s="62" customFormat="1" x14ac:dyDescent="0.3">
      <c r="D2346" s="235">
        <v>9</v>
      </c>
      <c r="E2346" s="240">
        <v>1</v>
      </c>
      <c r="F2346" s="241">
        <v>10</v>
      </c>
      <c r="G2346" s="242">
        <v>2.73</v>
      </c>
      <c r="H2346" s="239">
        <f t="shared" si="2671"/>
        <v>2.73</v>
      </c>
      <c r="I2346" s="131">
        <f t="shared" si="2672"/>
        <v>0</v>
      </c>
      <c r="J2346" s="31">
        <f t="shared" si="2673"/>
        <v>0</v>
      </c>
      <c r="K2346" s="31">
        <f t="shared" si="2674"/>
        <v>0</v>
      </c>
      <c r="L2346" s="31">
        <f t="shared" si="2675"/>
        <v>0</v>
      </c>
      <c r="M2346" s="31">
        <f t="shared" si="2676"/>
        <v>1.68441</v>
      </c>
      <c r="N2346" s="31">
        <f t="shared" si="2677"/>
        <v>0</v>
      </c>
      <c r="O2346" s="31">
        <f t="shared" si="2678"/>
        <v>0</v>
      </c>
      <c r="P2346" s="31">
        <f t="shared" si="2679"/>
        <v>0</v>
      </c>
      <c r="Q2346" s="49">
        <f t="shared" si="2680"/>
        <v>0</v>
      </c>
    </row>
    <row r="2347" spans="4:17" s="62" customFormat="1" x14ac:dyDescent="0.3">
      <c r="D2347" s="235">
        <v>10</v>
      </c>
      <c r="E2347" s="240">
        <v>3</v>
      </c>
      <c r="F2347" s="241">
        <v>10</v>
      </c>
      <c r="G2347" s="242">
        <v>8.74</v>
      </c>
      <c r="H2347" s="239">
        <f t="shared" si="2671"/>
        <v>26.22</v>
      </c>
      <c r="I2347" s="131">
        <f t="shared" si="2672"/>
        <v>0</v>
      </c>
      <c r="J2347" s="31">
        <f t="shared" si="2673"/>
        <v>0</v>
      </c>
      <c r="K2347" s="31">
        <f t="shared" si="2674"/>
        <v>0</v>
      </c>
      <c r="L2347" s="31">
        <f t="shared" si="2675"/>
        <v>0</v>
      </c>
      <c r="M2347" s="31">
        <f t="shared" si="2676"/>
        <v>16.17774</v>
      </c>
      <c r="N2347" s="31">
        <f t="shared" si="2677"/>
        <v>0</v>
      </c>
      <c r="O2347" s="31">
        <f t="shared" si="2678"/>
        <v>0</v>
      </c>
      <c r="P2347" s="31">
        <f t="shared" si="2679"/>
        <v>0</v>
      </c>
      <c r="Q2347" s="49">
        <f t="shared" si="2680"/>
        <v>0</v>
      </c>
    </row>
    <row r="2348" spans="4:17" s="62" customFormat="1" x14ac:dyDescent="0.3">
      <c r="D2348" s="235">
        <v>11</v>
      </c>
      <c r="E2348" s="240">
        <v>1</v>
      </c>
      <c r="F2348" s="241">
        <v>12.5</v>
      </c>
      <c r="G2348" s="242">
        <v>2.65</v>
      </c>
      <c r="H2348" s="239">
        <f t="shared" si="2671"/>
        <v>2.65</v>
      </c>
      <c r="I2348" s="131">
        <f t="shared" si="2672"/>
        <v>0</v>
      </c>
      <c r="J2348" s="31">
        <f t="shared" si="2673"/>
        <v>0</v>
      </c>
      <c r="K2348" s="31">
        <f t="shared" si="2674"/>
        <v>0</v>
      </c>
      <c r="L2348" s="31">
        <f t="shared" si="2675"/>
        <v>0</v>
      </c>
      <c r="M2348" s="31">
        <f t="shared" si="2676"/>
        <v>0</v>
      </c>
      <c r="N2348" s="31">
        <f t="shared" si="2677"/>
        <v>2.5519499999999997</v>
      </c>
      <c r="O2348" s="31">
        <f t="shared" si="2678"/>
        <v>0</v>
      </c>
      <c r="P2348" s="31">
        <f t="shared" si="2679"/>
        <v>0</v>
      </c>
      <c r="Q2348" s="49">
        <f t="shared" si="2680"/>
        <v>0</v>
      </c>
    </row>
    <row r="2349" spans="4:17" s="62" customFormat="1" x14ac:dyDescent="0.3">
      <c r="D2349" s="235">
        <v>12</v>
      </c>
      <c r="E2349" s="240">
        <v>2</v>
      </c>
      <c r="F2349" s="241">
        <v>12.5</v>
      </c>
      <c r="G2349" s="242">
        <v>8.9600000000000009</v>
      </c>
      <c r="H2349" s="239">
        <f t="shared" si="2671"/>
        <v>17.920000000000002</v>
      </c>
      <c r="I2349" s="131">
        <f t="shared" si="2672"/>
        <v>0</v>
      </c>
      <c r="J2349" s="31">
        <f t="shared" si="2673"/>
        <v>0</v>
      </c>
      <c r="K2349" s="31">
        <f t="shared" si="2674"/>
        <v>0</v>
      </c>
      <c r="L2349" s="31">
        <f t="shared" si="2675"/>
        <v>0</v>
      </c>
      <c r="M2349" s="31">
        <f t="shared" si="2676"/>
        <v>0</v>
      </c>
      <c r="N2349" s="31">
        <f t="shared" si="2677"/>
        <v>17.256959999999999</v>
      </c>
      <c r="O2349" s="31">
        <f t="shared" si="2678"/>
        <v>0</v>
      </c>
      <c r="P2349" s="31">
        <f t="shared" si="2679"/>
        <v>0</v>
      </c>
      <c r="Q2349" s="49">
        <f t="shared" si="2680"/>
        <v>0</v>
      </c>
    </row>
    <row r="2350" spans="4:17" s="62" customFormat="1" ht="15" thickBot="1" x14ac:dyDescent="0.35">
      <c r="D2350" s="307"/>
      <c r="E2350" s="26"/>
      <c r="F2350" s="206"/>
      <c r="G2350" s="207"/>
      <c r="H2350" s="207"/>
      <c r="I2350" s="51"/>
      <c r="J2350" s="308"/>
      <c r="K2350" s="308"/>
      <c r="L2350" s="308"/>
      <c r="M2350" s="308"/>
      <c r="N2350" s="308"/>
      <c r="O2350" s="308"/>
      <c r="P2350" s="308"/>
      <c r="Q2350" s="309"/>
    </row>
    <row r="2351" spans="4:17" s="62" customFormat="1" x14ac:dyDescent="0.3">
      <c r="D2351" s="796" t="s">
        <v>1330</v>
      </c>
      <c r="E2351" s="797"/>
      <c r="F2351" s="797"/>
      <c r="G2351" s="797"/>
      <c r="H2351" s="797"/>
      <c r="I2351" s="47">
        <f t="shared" ref="I2351:Q2351" si="2681">SUM(I2352:I2355)</f>
        <v>0</v>
      </c>
      <c r="J2351" s="47">
        <f t="shared" si="2681"/>
        <v>5.9459400000000002</v>
      </c>
      <c r="K2351" s="47">
        <f t="shared" si="2681"/>
        <v>0</v>
      </c>
      <c r="L2351" s="47">
        <f t="shared" si="2681"/>
        <v>0</v>
      </c>
      <c r="M2351" s="47">
        <f t="shared" si="2681"/>
        <v>21.570319999999999</v>
      </c>
      <c r="N2351" s="47">
        <f t="shared" si="2681"/>
        <v>18.489599999999999</v>
      </c>
      <c r="O2351" s="47">
        <f t="shared" si="2681"/>
        <v>0</v>
      </c>
      <c r="P2351" s="47">
        <f t="shared" si="2681"/>
        <v>0</v>
      </c>
      <c r="Q2351" s="47">
        <f t="shared" si="2681"/>
        <v>0</v>
      </c>
    </row>
    <row r="2352" spans="4:17" s="62" customFormat="1" x14ac:dyDescent="0.3">
      <c r="D2352" s="235">
        <v>1</v>
      </c>
      <c r="E2352" s="237">
        <v>33</v>
      </c>
      <c r="F2352" s="238">
        <v>5</v>
      </c>
      <c r="G2352" s="239">
        <v>1.17</v>
      </c>
      <c r="H2352" s="239">
        <f t="shared" ref="H2352:H2355" si="2682">E2352*G2352</f>
        <v>38.61</v>
      </c>
      <c r="I2352" s="131">
        <f t="shared" ref="I2352:I2355" si="2683">IF($F2352=4.2,H2352*$B$23,0)</f>
        <v>0</v>
      </c>
      <c r="J2352" s="31">
        <f t="shared" ref="J2352:J2355" si="2684">IF($F2352=5,$H2352*$B$24,0)</f>
        <v>5.9459400000000002</v>
      </c>
      <c r="K2352" s="31">
        <f t="shared" ref="K2352:K2355" si="2685">IF($F2352=6.3,$H2352*$B$25,0)</f>
        <v>0</v>
      </c>
      <c r="L2352" s="31">
        <f t="shared" ref="L2352:L2355" si="2686">IF($F2352=8,$H2352*$B$26,0)</f>
        <v>0</v>
      </c>
      <c r="M2352" s="31">
        <f t="shared" ref="M2352:M2355" si="2687">IF($F2352=10,$H2352*$B$27,0)</f>
        <v>0</v>
      </c>
      <c r="N2352" s="31">
        <f t="shared" ref="N2352:N2355" si="2688">IF($F2352=12.5,$H2352*$B$28,0)</f>
        <v>0</v>
      </c>
      <c r="O2352" s="31">
        <f t="shared" ref="O2352:O2355" si="2689">IF($F2352=16,$H2352*$B$29,0)</f>
        <v>0</v>
      </c>
      <c r="P2352" s="31">
        <f t="shared" ref="P2352:P2355" si="2690">IF($F2352=20,$H2352*$B$30,0)</f>
        <v>0</v>
      </c>
      <c r="Q2352" s="49">
        <f t="shared" ref="Q2352:Q2355" si="2691">IF($F2352=25,$H2352*$B$31,0)</f>
        <v>0</v>
      </c>
    </row>
    <row r="2353" spans="2:20" s="62" customFormat="1" x14ac:dyDescent="0.3">
      <c r="D2353" s="235">
        <v>10</v>
      </c>
      <c r="E2353" s="240">
        <v>4</v>
      </c>
      <c r="F2353" s="241">
        <v>10</v>
      </c>
      <c r="G2353" s="242">
        <v>8.74</v>
      </c>
      <c r="H2353" s="239">
        <f t="shared" si="2682"/>
        <v>34.96</v>
      </c>
      <c r="I2353" s="131">
        <f t="shared" si="2683"/>
        <v>0</v>
      </c>
      <c r="J2353" s="31">
        <f t="shared" si="2684"/>
        <v>0</v>
      </c>
      <c r="K2353" s="31">
        <f t="shared" si="2685"/>
        <v>0</v>
      </c>
      <c r="L2353" s="31">
        <f t="shared" si="2686"/>
        <v>0</v>
      </c>
      <c r="M2353" s="31">
        <f t="shared" si="2687"/>
        <v>21.570319999999999</v>
      </c>
      <c r="N2353" s="31">
        <f t="shared" si="2688"/>
        <v>0</v>
      </c>
      <c r="O2353" s="31">
        <f t="shared" si="2689"/>
        <v>0</v>
      </c>
      <c r="P2353" s="31">
        <f t="shared" si="2690"/>
        <v>0</v>
      </c>
      <c r="Q2353" s="49">
        <f t="shared" si="2691"/>
        <v>0</v>
      </c>
    </row>
    <row r="2354" spans="2:20" s="62" customFormat="1" x14ac:dyDescent="0.3">
      <c r="D2354" s="235">
        <v>13</v>
      </c>
      <c r="E2354" s="240">
        <v>1</v>
      </c>
      <c r="F2354" s="241">
        <v>12.5</v>
      </c>
      <c r="G2354" s="242">
        <v>1.72</v>
      </c>
      <c r="H2354" s="239">
        <f t="shared" si="2682"/>
        <v>1.72</v>
      </c>
      <c r="I2354" s="131">
        <f t="shared" si="2683"/>
        <v>0</v>
      </c>
      <c r="J2354" s="31">
        <f t="shared" si="2684"/>
        <v>0</v>
      </c>
      <c r="K2354" s="31">
        <f t="shared" si="2685"/>
        <v>0</v>
      </c>
      <c r="L2354" s="31">
        <f t="shared" si="2686"/>
        <v>0</v>
      </c>
      <c r="M2354" s="31">
        <f t="shared" si="2687"/>
        <v>0</v>
      </c>
      <c r="N2354" s="31">
        <f t="shared" si="2688"/>
        <v>1.6563599999999998</v>
      </c>
      <c r="O2354" s="31">
        <f t="shared" si="2689"/>
        <v>0</v>
      </c>
      <c r="P2354" s="31">
        <f t="shared" si="2690"/>
        <v>0</v>
      </c>
      <c r="Q2354" s="49">
        <f t="shared" si="2691"/>
        <v>0</v>
      </c>
    </row>
    <row r="2355" spans="2:20" s="62" customFormat="1" x14ac:dyDescent="0.3">
      <c r="D2355" s="235">
        <v>14</v>
      </c>
      <c r="E2355" s="240">
        <v>2</v>
      </c>
      <c r="F2355" s="241">
        <v>12.5</v>
      </c>
      <c r="G2355" s="242">
        <v>8.74</v>
      </c>
      <c r="H2355" s="239">
        <f t="shared" si="2682"/>
        <v>17.48</v>
      </c>
      <c r="I2355" s="131">
        <f t="shared" si="2683"/>
        <v>0</v>
      </c>
      <c r="J2355" s="31">
        <f t="shared" si="2684"/>
        <v>0</v>
      </c>
      <c r="K2355" s="31">
        <f t="shared" si="2685"/>
        <v>0</v>
      </c>
      <c r="L2355" s="31">
        <f t="shared" si="2686"/>
        <v>0</v>
      </c>
      <c r="M2355" s="31">
        <f t="shared" si="2687"/>
        <v>0</v>
      </c>
      <c r="N2355" s="31">
        <f t="shared" si="2688"/>
        <v>16.83324</v>
      </c>
      <c r="O2355" s="31">
        <f t="shared" si="2689"/>
        <v>0</v>
      </c>
      <c r="P2355" s="31">
        <f t="shared" si="2690"/>
        <v>0</v>
      </c>
      <c r="Q2355" s="49">
        <f t="shared" si="2691"/>
        <v>0</v>
      </c>
    </row>
    <row r="2356" spans="2:20" s="62" customFormat="1" ht="15" thickBot="1" x14ac:dyDescent="0.35">
      <c r="D2356" s="307"/>
      <c r="E2356" s="26"/>
      <c r="F2356" s="206"/>
      <c r="G2356" s="207"/>
      <c r="H2356" s="207"/>
      <c r="I2356" s="51"/>
      <c r="J2356" s="308"/>
      <c r="K2356" s="308"/>
      <c r="L2356" s="308"/>
      <c r="M2356" s="308"/>
      <c r="N2356" s="308"/>
      <c r="O2356" s="308"/>
      <c r="P2356" s="308"/>
      <c r="Q2356" s="309"/>
    </row>
    <row r="2357" spans="2:20" s="16" customFormat="1" ht="15" customHeight="1" thickBot="1" x14ac:dyDescent="0.3">
      <c r="B2357" s="34"/>
      <c r="D2357" s="792" t="s">
        <v>323</v>
      </c>
      <c r="E2357" s="793"/>
      <c r="F2357" s="793"/>
      <c r="G2357" s="793"/>
      <c r="H2357" s="793"/>
      <c r="I2357" s="793"/>
      <c r="J2357" s="793"/>
      <c r="K2357" s="793"/>
      <c r="L2357" s="793"/>
      <c r="M2357" s="793"/>
      <c r="N2357" s="793"/>
      <c r="O2357" s="793"/>
      <c r="P2357" s="793"/>
      <c r="Q2357" s="794"/>
      <c r="S2357" s="795"/>
      <c r="T2357" s="795"/>
    </row>
    <row r="2358" spans="2:20" s="62" customFormat="1" x14ac:dyDescent="0.3">
      <c r="D2358" s="796" t="s">
        <v>1382</v>
      </c>
      <c r="E2358" s="797"/>
      <c r="F2358" s="797"/>
      <c r="G2358" s="797"/>
      <c r="H2358" s="797"/>
      <c r="I2358" s="47">
        <f t="shared" ref="I2358:Q2358" si="2692">SUM(I2359:I2370)</f>
        <v>0</v>
      </c>
      <c r="J2358" s="47">
        <f t="shared" si="2692"/>
        <v>4.4983399999999998</v>
      </c>
      <c r="K2358" s="47">
        <f t="shared" si="2692"/>
        <v>0</v>
      </c>
      <c r="L2358" s="47">
        <f t="shared" si="2692"/>
        <v>1.0428000000000002</v>
      </c>
      <c r="M2358" s="47">
        <f t="shared" si="2692"/>
        <v>20.046330000000001</v>
      </c>
      <c r="N2358" s="47">
        <f t="shared" si="2692"/>
        <v>0</v>
      </c>
      <c r="O2358" s="47">
        <f t="shared" si="2692"/>
        <v>0</v>
      </c>
      <c r="P2358" s="47">
        <f t="shared" si="2692"/>
        <v>0</v>
      </c>
      <c r="Q2358" s="47">
        <f t="shared" si="2692"/>
        <v>0</v>
      </c>
    </row>
    <row r="2359" spans="2:20" s="62" customFormat="1" x14ac:dyDescent="0.3">
      <c r="D2359" s="235">
        <v>2</v>
      </c>
      <c r="E2359" s="237">
        <v>23</v>
      </c>
      <c r="F2359" s="238">
        <v>5</v>
      </c>
      <c r="G2359" s="239">
        <v>1.27</v>
      </c>
      <c r="H2359" s="239">
        <f t="shared" ref="H2359:H2370" si="2693">E2359*G2359</f>
        <v>29.21</v>
      </c>
      <c r="I2359" s="131">
        <f t="shared" ref="I2359:I2370" si="2694">IF($F2359=4.2,H2359*$B$23,0)</f>
        <v>0</v>
      </c>
      <c r="J2359" s="31">
        <f t="shared" ref="J2359:J2370" si="2695">IF($F2359=5,$H2359*$B$24,0)</f>
        <v>4.4983399999999998</v>
      </c>
      <c r="K2359" s="31">
        <f t="shared" ref="K2359:K2370" si="2696">IF($F2359=6.3,$H2359*$B$25,0)</f>
        <v>0</v>
      </c>
      <c r="L2359" s="31">
        <f t="shared" ref="L2359:L2370" si="2697">IF($F2359=8,$H2359*$B$26,0)</f>
        <v>0</v>
      </c>
      <c r="M2359" s="31">
        <f t="shared" ref="M2359:M2370" si="2698">IF($F2359=10,$H2359*$B$27,0)</f>
        <v>0</v>
      </c>
      <c r="N2359" s="31">
        <f t="shared" ref="N2359:N2370" si="2699">IF($F2359=12.5,$H2359*$B$28,0)</f>
        <v>0</v>
      </c>
      <c r="O2359" s="31">
        <f t="shared" ref="O2359:O2370" si="2700">IF($F2359=16,$H2359*$B$29,0)</f>
        <v>0</v>
      </c>
      <c r="P2359" s="31">
        <f t="shared" ref="P2359:P2370" si="2701">IF($F2359=20,$H2359*$B$30,0)</f>
        <v>0</v>
      </c>
      <c r="Q2359" s="49">
        <f t="shared" ref="Q2359:Q2370" si="2702">IF($F2359=25,$H2359*$B$31,0)</f>
        <v>0</v>
      </c>
    </row>
    <row r="2360" spans="2:20" s="62" customFormat="1" x14ac:dyDescent="0.3">
      <c r="D2360" s="235">
        <v>21</v>
      </c>
      <c r="E2360" s="240">
        <v>3</v>
      </c>
      <c r="F2360" s="241">
        <v>8</v>
      </c>
      <c r="G2360" s="242">
        <v>0.88</v>
      </c>
      <c r="H2360" s="239">
        <f t="shared" si="2693"/>
        <v>2.64</v>
      </c>
      <c r="I2360" s="131">
        <f t="shared" si="2694"/>
        <v>0</v>
      </c>
      <c r="J2360" s="31">
        <f t="shared" si="2695"/>
        <v>0</v>
      </c>
      <c r="K2360" s="31">
        <f t="shared" si="2696"/>
        <v>0</v>
      </c>
      <c r="L2360" s="31">
        <f t="shared" si="2697"/>
        <v>1.0428000000000002</v>
      </c>
      <c r="M2360" s="31">
        <f t="shared" si="2698"/>
        <v>0</v>
      </c>
      <c r="N2360" s="31">
        <f t="shared" si="2699"/>
        <v>0</v>
      </c>
      <c r="O2360" s="31">
        <f t="shared" si="2700"/>
        <v>0</v>
      </c>
      <c r="P2360" s="31">
        <f t="shared" si="2701"/>
        <v>0</v>
      </c>
      <c r="Q2360" s="49">
        <f t="shared" si="2702"/>
        <v>0</v>
      </c>
    </row>
    <row r="2361" spans="2:20" s="62" customFormat="1" x14ac:dyDescent="0.3">
      <c r="D2361" s="235">
        <v>25</v>
      </c>
      <c r="E2361" s="240">
        <v>4</v>
      </c>
      <c r="F2361" s="241">
        <v>10</v>
      </c>
      <c r="G2361" s="242">
        <v>4.28</v>
      </c>
      <c r="H2361" s="239">
        <f t="shared" si="2693"/>
        <v>17.12</v>
      </c>
      <c r="I2361" s="131">
        <f t="shared" si="2694"/>
        <v>0</v>
      </c>
      <c r="J2361" s="31">
        <f t="shared" si="2695"/>
        <v>0</v>
      </c>
      <c r="K2361" s="31">
        <f t="shared" si="2696"/>
        <v>0</v>
      </c>
      <c r="L2361" s="31">
        <f t="shared" si="2697"/>
        <v>0</v>
      </c>
      <c r="M2361" s="31">
        <f t="shared" si="2698"/>
        <v>10.563040000000001</v>
      </c>
      <c r="N2361" s="31">
        <f t="shared" si="2699"/>
        <v>0</v>
      </c>
      <c r="O2361" s="31">
        <f t="shared" si="2700"/>
        <v>0</v>
      </c>
      <c r="P2361" s="31">
        <f t="shared" si="2701"/>
        <v>0</v>
      </c>
      <c r="Q2361" s="49">
        <f t="shared" si="2702"/>
        <v>0</v>
      </c>
    </row>
    <row r="2362" spans="2:20" s="62" customFormat="1" x14ac:dyDescent="0.3">
      <c r="D2362" s="235">
        <v>26</v>
      </c>
      <c r="E2362" s="240">
        <v>1</v>
      </c>
      <c r="F2362" s="241">
        <v>10</v>
      </c>
      <c r="G2362" s="242">
        <v>1.54</v>
      </c>
      <c r="H2362" s="239">
        <f t="shared" si="2693"/>
        <v>1.54</v>
      </c>
      <c r="I2362" s="131">
        <f t="shared" si="2694"/>
        <v>0</v>
      </c>
      <c r="J2362" s="31">
        <f t="shared" si="2695"/>
        <v>0</v>
      </c>
      <c r="K2362" s="31">
        <f t="shared" si="2696"/>
        <v>0</v>
      </c>
      <c r="L2362" s="31">
        <f t="shared" si="2697"/>
        <v>0</v>
      </c>
      <c r="M2362" s="31">
        <f t="shared" si="2698"/>
        <v>0.95018000000000002</v>
      </c>
      <c r="N2362" s="31">
        <f t="shared" si="2699"/>
        <v>0</v>
      </c>
      <c r="O2362" s="31">
        <f t="shared" si="2700"/>
        <v>0</v>
      </c>
      <c r="P2362" s="31">
        <f t="shared" si="2701"/>
        <v>0</v>
      </c>
      <c r="Q2362" s="49">
        <f t="shared" si="2702"/>
        <v>0</v>
      </c>
    </row>
    <row r="2363" spans="2:20" s="62" customFormat="1" x14ac:dyDescent="0.3">
      <c r="D2363" s="235">
        <v>27</v>
      </c>
      <c r="E2363" s="240">
        <v>3</v>
      </c>
      <c r="F2363" s="241">
        <v>10</v>
      </c>
      <c r="G2363" s="242">
        <v>4.6100000000000003</v>
      </c>
      <c r="H2363" s="239">
        <f t="shared" si="2693"/>
        <v>13.830000000000002</v>
      </c>
      <c r="I2363" s="131">
        <f t="shared" si="2694"/>
        <v>0</v>
      </c>
      <c r="J2363" s="31">
        <f t="shared" si="2695"/>
        <v>0</v>
      </c>
      <c r="K2363" s="31">
        <f t="shared" si="2696"/>
        <v>0</v>
      </c>
      <c r="L2363" s="31">
        <f t="shared" si="2697"/>
        <v>0</v>
      </c>
      <c r="M2363" s="31">
        <f t="shared" si="2698"/>
        <v>8.5331100000000006</v>
      </c>
      <c r="N2363" s="31">
        <f t="shared" si="2699"/>
        <v>0</v>
      </c>
      <c r="O2363" s="31">
        <f t="shared" si="2700"/>
        <v>0</v>
      </c>
      <c r="P2363" s="31">
        <f t="shared" si="2701"/>
        <v>0</v>
      </c>
      <c r="Q2363" s="49">
        <f t="shared" si="2702"/>
        <v>0</v>
      </c>
    </row>
    <row r="2364" spans="2:20" s="62" customFormat="1" x14ac:dyDescent="0.3">
      <c r="D2364" s="235"/>
      <c r="E2364" s="240"/>
      <c r="F2364" s="241"/>
      <c r="G2364" s="242"/>
      <c r="H2364" s="239">
        <f t="shared" si="2693"/>
        <v>0</v>
      </c>
      <c r="I2364" s="131">
        <f t="shared" si="2694"/>
        <v>0</v>
      </c>
      <c r="J2364" s="31">
        <f t="shared" si="2695"/>
        <v>0</v>
      </c>
      <c r="K2364" s="31">
        <f t="shared" si="2696"/>
        <v>0</v>
      </c>
      <c r="L2364" s="31">
        <f t="shared" si="2697"/>
        <v>0</v>
      </c>
      <c r="M2364" s="31">
        <f t="shared" si="2698"/>
        <v>0</v>
      </c>
      <c r="N2364" s="31">
        <f t="shared" si="2699"/>
        <v>0</v>
      </c>
      <c r="O2364" s="31">
        <f t="shared" si="2700"/>
        <v>0</v>
      </c>
      <c r="P2364" s="31">
        <f t="shared" si="2701"/>
        <v>0</v>
      </c>
      <c r="Q2364" s="49">
        <f t="shared" si="2702"/>
        <v>0</v>
      </c>
    </row>
    <row r="2365" spans="2:20" s="62" customFormat="1" x14ac:dyDescent="0.3">
      <c r="D2365" s="235"/>
      <c r="E2365" s="240"/>
      <c r="F2365" s="241"/>
      <c r="G2365" s="242"/>
      <c r="H2365" s="239">
        <f t="shared" si="2693"/>
        <v>0</v>
      </c>
      <c r="I2365" s="131">
        <f t="shared" si="2694"/>
        <v>0</v>
      </c>
      <c r="J2365" s="31">
        <f t="shared" si="2695"/>
        <v>0</v>
      </c>
      <c r="K2365" s="31">
        <f t="shared" si="2696"/>
        <v>0</v>
      </c>
      <c r="L2365" s="31">
        <f t="shared" si="2697"/>
        <v>0</v>
      </c>
      <c r="M2365" s="31">
        <f t="shared" si="2698"/>
        <v>0</v>
      </c>
      <c r="N2365" s="31">
        <f t="shared" si="2699"/>
        <v>0</v>
      </c>
      <c r="O2365" s="31">
        <f t="shared" si="2700"/>
        <v>0</v>
      </c>
      <c r="P2365" s="31">
        <f t="shared" si="2701"/>
        <v>0</v>
      </c>
      <c r="Q2365" s="49">
        <f t="shared" si="2702"/>
        <v>0</v>
      </c>
    </row>
    <row r="2366" spans="2:20" s="62" customFormat="1" x14ac:dyDescent="0.3">
      <c r="D2366" s="235"/>
      <c r="E2366" s="240"/>
      <c r="F2366" s="241"/>
      <c r="G2366" s="242"/>
      <c r="H2366" s="239">
        <f t="shared" si="2693"/>
        <v>0</v>
      </c>
      <c r="I2366" s="131">
        <f t="shared" si="2694"/>
        <v>0</v>
      </c>
      <c r="J2366" s="31">
        <f t="shared" si="2695"/>
        <v>0</v>
      </c>
      <c r="K2366" s="31">
        <f t="shared" si="2696"/>
        <v>0</v>
      </c>
      <c r="L2366" s="31">
        <f t="shared" si="2697"/>
        <v>0</v>
      </c>
      <c r="M2366" s="31">
        <f t="shared" si="2698"/>
        <v>0</v>
      </c>
      <c r="N2366" s="31">
        <f t="shared" si="2699"/>
        <v>0</v>
      </c>
      <c r="O2366" s="31">
        <f t="shared" si="2700"/>
        <v>0</v>
      </c>
      <c r="P2366" s="31">
        <f t="shared" si="2701"/>
        <v>0</v>
      </c>
      <c r="Q2366" s="49">
        <f t="shared" si="2702"/>
        <v>0</v>
      </c>
    </row>
    <row r="2367" spans="2:20" s="62" customFormat="1" x14ac:dyDescent="0.3">
      <c r="D2367" s="235"/>
      <c r="E2367" s="240"/>
      <c r="F2367" s="241"/>
      <c r="G2367" s="242"/>
      <c r="H2367" s="239">
        <f t="shared" si="2693"/>
        <v>0</v>
      </c>
      <c r="I2367" s="131">
        <f t="shared" si="2694"/>
        <v>0</v>
      </c>
      <c r="J2367" s="31">
        <f t="shared" si="2695"/>
        <v>0</v>
      </c>
      <c r="K2367" s="31">
        <f t="shared" si="2696"/>
        <v>0</v>
      </c>
      <c r="L2367" s="31">
        <f t="shared" si="2697"/>
        <v>0</v>
      </c>
      <c r="M2367" s="31">
        <f t="shared" si="2698"/>
        <v>0</v>
      </c>
      <c r="N2367" s="31">
        <f t="shared" si="2699"/>
        <v>0</v>
      </c>
      <c r="O2367" s="31">
        <f t="shared" si="2700"/>
        <v>0</v>
      </c>
      <c r="P2367" s="31">
        <f t="shared" si="2701"/>
        <v>0</v>
      </c>
      <c r="Q2367" s="49">
        <f t="shared" si="2702"/>
        <v>0</v>
      </c>
    </row>
    <row r="2368" spans="2:20" s="62" customFormat="1" x14ac:dyDescent="0.3">
      <c r="D2368" s="235"/>
      <c r="E2368" s="240"/>
      <c r="F2368" s="241"/>
      <c r="G2368" s="242"/>
      <c r="H2368" s="239">
        <f t="shared" si="2693"/>
        <v>0</v>
      </c>
      <c r="I2368" s="131">
        <f t="shared" si="2694"/>
        <v>0</v>
      </c>
      <c r="J2368" s="31">
        <f t="shared" si="2695"/>
        <v>0</v>
      </c>
      <c r="K2368" s="31">
        <f t="shared" si="2696"/>
        <v>0</v>
      </c>
      <c r="L2368" s="31">
        <f t="shared" si="2697"/>
        <v>0</v>
      </c>
      <c r="M2368" s="31">
        <f t="shared" si="2698"/>
        <v>0</v>
      </c>
      <c r="N2368" s="31">
        <f t="shared" si="2699"/>
        <v>0</v>
      </c>
      <c r="O2368" s="31">
        <f t="shared" si="2700"/>
        <v>0</v>
      </c>
      <c r="P2368" s="31">
        <f t="shared" si="2701"/>
        <v>0</v>
      </c>
      <c r="Q2368" s="49">
        <f t="shared" si="2702"/>
        <v>0</v>
      </c>
    </row>
    <row r="2369" spans="4:17" s="62" customFormat="1" x14ac:dyDescent="0.3">
      <c r="D2369" s="235"/>
      <c r="E2369" s="240"/>
      <c r="F2369" s="241"/>
      <c r="G2369" s="242"/>
      <c r="H2369" s="239">
        <f t="shared" si="2693"/>
        <v>0</v>
      </c>
      <c r="I2369" s="131">
        <f t="shared" si="2694"/>
        <v>0</v>
      </c>
      <c r="J2369" s="31">
        <f t="shared" si="2695"/>
        <v>0</v>
      </c>
      <c r="K2369" s="31">
        <f t="shared" si="2696"/>
        <v>0</v>
      </c>
      <c r="L2369" s="31">
        <f t="shared" si="2697"/>
        <v>0</v>
      </c>
      <c r="M2369" s="31">
        <f t="shared" si="2698"/>
        <v>0</v>
      </c>
      <c r="N2369" s="31">
        <f t="shared" si="2699"/>
        <v>0</v>
      </c>
      <c r="O2369" s="31">
        <f t="shared" si="2700"/>
        <v>0</v>
      </c>
      <c r="P2369" s="31">
        <f t="shared" si="2701"/>
        <v>0</v>
      </c>
      <c r="Q2369" s="49">
        <f t="shared" si="2702"/>
        <v>0</v>
      </c>
    </row>
    <row r="2370" spans="4:17" s="62" customFormat="1" x14ac:dyDescent="0.3">
      <c r="D2370" s="235"/>
      <c r="E2370" s="240"/>
      <c r="F2370" s="241"/>
      <c r="G2370" s="242"/>
      <c r="H2370" s="239">
        <f t="shared" si="2693"/>
        <v>0</v>
      </c>
      <c r="I2370" s="131">
        <f t="shared" si="2694"/>
        <v>0</v>
      </c>
      <c r="J2370" s="31">
        <f t="shared" si="2695"/>
        <v>0</v>
      </c>
      <c r="K2370" s="31">
        <f t="shared" si="2696"/>
        <v>0</v>
      </c>
      <c r="L2370" s="31">
        <f t="shared" si="2697"/>
        <v>0</v>
      </c>
      <c r="M2370" s="31">
        <f t="shared" si="2698"/>
        <v>0</v>
      </c>
      <c r="N2370" s="31">
        <f t="shared" si="2699"/>
        <v>0</v>
      </c>
      <c r="O2370" s="31">
        <f t="shared" si="2700"/>
        <v>0</v>
      </c>
      <c r="P2370" s="31">
        <f t="shared" si="2701"/>
        <v>0</v>
      </c>
      <c r="Q2370" s="49">
        <f t="shared" si="2702"/>
        <v>0</v>
      </c>
    </row>
    <row r="2371" spans="4:17" s="62" customFormat="1" ht="15" thickBot="1" x14ac:dyDescent="0.35">
      <c r="D2371" s="307"/>
      <c r="E2371" s="26"/>
      <c r="F2371" s="206"/>
      <c r="G2371" s="207"/>
      <c r="H2371" s="207"/>
      <c r="I2371" s="51"/>
      <c r="J2371" s="308"/>
      <c r="K2371" s="308"/>
      <c r="L2371" s="308"/>
      <c r="M2371" s="308"/>
      <c r="N2371" s="308"/>
      <c r="O2371" s="308"/>
      <c r="P2371" s="308"/>
      <c r="Q2371" s="309"/>
    </row>
    <row r="2372" spans="4:17" s="62" customFormat="1" x14ac:dyDescent="0.3">
      <c r="D2372" s="796" t="s">
        <v>1383</v>
      </c>
      <c r="E2372" s="797"/>
      <c r="F2372" s="797"/>
      <c r="G2372" s="797"/>
      <c r="H2372" s="797"/>
      <c r="I2372" s="47">
        <f t="shared" ref="I2372:Q2372" si="2703">SUM(I2373:I2377)</f>
        <v>0</v>
      </c>
      <c r="J2372" s="47">
        <f t="shared" si="2703"/>
        <v>6.3062999999999994</v>
      </c>
      <c r="K2372" s="47">
        <f t="shared" si="2703"/>
        <v>0.17394999999999999</v>
      </c>
      <c r="L2372" s="47">
        <f t="shared" si="2703"/>
        <v>0</v>
      </c>
      <c r="M2372" s="47">
        <f t="shared" si="2703"/>
        <v>30.652559999999994</v>
      </c>
      <c r="N2372" s="47">
        <f t="shared" si="2703"/>
        <v>0</v>
      </c>
      <c r="O2372" s="47">
        <f t="shared" si="2703"/>
        <v>0</v>
      </c>
      <c r="P2372" s="47">
        <f t="shared" si="2703"/>
        <v>0</v>
      </c>
      <c r="Q2372" s="47">
        <f t="shared" si="2703"/>
        <v>0</v>
      </c>
    </row>
    <row r="2373" spans="4:17" s="62" customFormat="1" x14ac:dyDescent="0.3">
      <c r="D2373" s="235">
        <v>1</v>
      </c>
      <c r="E2373" s="237">
        <v>35</v>
      </c>
      <c r="F2373" s="238">
        <v>5</v>
      </c>
      <c r="G2373" s="239">
        <v>1.17</v>
      </c>
      <c r="H2373" s="239">
        <f t="shared" ref="H2373:H2377" si="2704">E2373*G2373</f>
        <v>40.949999999999996</v>
      </c>
      <c r="I2373" s="131">
        <f t="shared" ref="I2373:I2377" si="2705">IF($F2373=4.2,H2373*$B$23,0)</f>
        <v>0</v>
      </c>
      <c r="J2373" s="31">
        <f t="shared" ref="J2373:J2377" si="2706">IF($F2373=5,$H2373*$B$24,0)</f>
        <v>6.3062999999999994</v>
      </c>
      <c r="K2373" s="31">
        <f t="shared" ref="K2373:K2377" si="2707">IF($F2373=6.3,$H2373*$B$25,0)</f>
        <v>0</v>
      </c>
      <c r="L2373" s="31">
        <f t="shared" ref="L2373:L2377" si="2708">IF($F2373=8,$H2373*$B$26,0)</f>
        <v>0</v>
      </c>
      <c r="M2373" s="31">
        <f t="shared" ref="M2373:M2377" si="2709">IF($F2373=10,$H2373*$B$27,0)</f>
        <v>0</v>
      </c>
      <c r="N2373" s="31">
        <f t="shared" ref="N2373:N2377" si="2710">IF($F2373=12.5,$H2373*$B$28,0)</f>
        <v>0</v>
      </c>
      <c r="O2373" s="31">
        <f t="shared" ref="O2373:O2377" si="2711">IF($F2373=16,$H2373*$B$29,0)</f>
        <v>0</v>
      </c>
      <c r="P2373" s="31">
        <f t="shared" ref="P2373:P2377" si="2712">IF($F2373=20,$H2373*$B$30,0)</f>
        <v>0</v>
      </c>
      <c r="Q2373" s="49">
        <f t="shared" ref="Q2373:Q2377" si="2713">IF($F2373=25,$H2373*$B$31,0)</f>
        <v>0</v>
      </c>
    </row>
    <row r="2374" spans="4:17" s="62" customFormat="1" x14ac:dyDescent="0.3">
      <c r="D2374" s="235">
        <v>6</v>
      </c>
      <c r="E2374" s="240">
        <v>1</v>
      </c>
      <c r="F2374" s="241">
        <v>6.3</v>
      </c>
      <c r="G2374" s="242">
        <v>0.71</v>
      </c>
      <c r="H2374" s="239">
        <f t="shared" si="2704"/>
        <v>0.71</v>
      </c>
      <c r="I2374" s="131">
        <f t="shared" si="2705"/>
        <v>0</v>
      </c>
      <c r="J2374" s="31">
        <f t="shared" si="2706"/>
        <v>0</v>
      </c>
      <c r="K2374" s="31">
        <f t="shared" si="2707"/>
        <v>0.17394999999999999</v>
      </c>
      <c r="L2374" s="31">
        <f t="shared" si="2708"/>
        <v>0</v>
      </c>
      <c r="M2374" s="31">
        <f t="shared" si="2709"/>
        <v>0</v>
      </c>
      <c r="N2374" s="31">
        <f t="shared" si="2710"/>
        <v>0</v>
      </c>
      <c r="O2374" s="31">
        <f t="shared" si="2711"/>
        <v>0</v>
      </c>
      <c r="P2374" s="31">
        <f t="shared" si="2712"/>
        <v>0</v>
      </c>
      <c r="Q2374" s="49">
        <f t="shared" si="2713"/>
        <v>0</v>
      </c>
    </row>
    <row r="2375" spans="4:17" s="62" customFormat="1" x14ac:dyDescent="0.3">
      <c r="D2375" s="235">
        <v>21</v>
      </c>
      <c r="E2375" s="240">
        <v>3</v>
      </c>
      <c r="F2375" s="241">
        <v>10</v>
      </c>
      <c r="G2375" s="242">
        <v>8.2799999999999994</v>
      </c>
      <c r="H2375" s="239">
        <f t="shared" si="2704"/>
        <v>24.839999999999996</v>
      </c>
      <c r="I2375" s="131">
        <f t="shared" si="2705"/>
        <v>0</v>
      </c>
      <c r="J2375" s="31">
        <f t="shared" si="2706"/>
        <v>0</v>
      </c>
      <c r="K2375" s="31">
        <f t="shared" si="2707"/>
        <v>0</v>
      </c>
      <c r="L2375" s="31">
        <f t="shared" si="2708"/>
        <v>0</v>
      </c>
      <c r="M2375" s="31">
        <f t="shared" si="2709"/>
        <v>15.326279999999997</v>
      </c>
      <c r="N2375" s="31">
        <f t="shared" si="2710"/>
        <v>0</v>
      </c>
      <c r="O2375" s="31">
        <f t="shared" si="2711"/>
        <v>0</v>
      </c>
      <c r="P2375" s="31">
        <f t="shared" si="2712"/>
        <v>0</v>
      </c>
      <c r="Q2375" s="49">
        <f t="shared" si="2713"/>
        <v>0</v>
      </c>
    </row>
    <row r="2376" spans="4:17" s="62" customFormat="1" x14ac:dyDescent="0.3">
      <c r="D2376" s="235">
        <v>22</v>
      </c>
      <c r="E2376" s="240">
        <v>4</v>
      </c>
      <c r="F2376" s="241">
        <v>10</v>
      </c>
      <c r="G2376" s="242">
        <v>1.86</v>
      </c>
      <c r="H2376" s="239">
        <f t="shared" si="2704"/>
        <v>7.44</v>
      </c>
      <c r="I2376" s="131">
        <f t="shared" si="2705"/>
        <v>0</v>
      </c>
      <c r="J2376" s="31">
        <f t="shared" si="2706"/>
        <v>0</v>
      </c>
      <c r="K2376" s="31">
        <f t="shared" si="2707"/>
        <v>0</v>
      </c>
      <c r="L2376" s="31">
        <f t="shared" si="2708"/>
        <v>0</v>
      </c>
      <c r="M2376" s="31">
        <f t="shared" si="2709"/>
        <v>4.5904800000000003</v>
      </c>
      <c r="N2376" s="31">
        <f t="shared" si="2710"/>
        <v>0</v>
      </c>
      <c r="O2376" s="31">
        <f t="shared" si="2711"/>
        <v>0</v>
      </c>
      <c r="P2376" s="31">
        <f t="shared" si="2712"/>
        <v>0</v>
      </c>
      <c r="Q2376" s="49">
        <f t="shared" si="2713"/>
        <v>0</v>
      </c>
    </row>
    <row r="2377" spans="4:17" s="62" customFormat="1" x14ac:dyDescent="0.3">
      <c r="D2377" s="235">
        <v>23</v>
      </c>
      <c r="E2377" s="240">
        <v>2</v>
      </c>
      <c r="F2377" s="241">
        <v>10</v>
      </c>
      <c r="G2377" s="242">
        <v>8.6999999999999993</v>
      </c>
      <c r="H2377" s="239">
        <f t="shared" si="2704"/>
        <v>17.399999999999999</v>
      </c>
      <c r="I2377" s="131">
        <f t="shared" si="2705"/>
        <v>0</v>
      </c>
      <c r="J2377" s="31">
        <f t="shared" si="2706"/>
        <v>0</v>
      </c>
      <c r="K2377" s="31">
        <f t="shared" si="2707"/>
        <v>0</v>
      </c>
      <c r="L2377" s="31">
        <f t="shared" si="2708"/>
        <v>0</v>
      </c>
      <c r="M2377" s="31">
        <f t="shared" si="2709"/>
        <v>10.735799999999999</v>
      </c>
      <c r="N2377" s="31">
        <f t="shared" si="2710"/>
        <v>0</v>
      </c>
      <c r="O2377" s="31">
        <f t="shared" si="2711"/>
        <v>0</v>
      </c>
      <c r="P2377" s="31">
        <f t="shared" si="2712"/>
        <v>0</v>
      </c>
      <c r="Q2377" s="49">
        <f t="shared" si="2713"/>
        <v>0</v>
      </c>
    </row>
    <row r="2378" spans="4:17" s="62" customFormat="1" ht="15" thickBot="1" x14ac:dyDescent="0.35">
      <c r="D2378" s="307"/>
      <c r="E2378" s="26"/>
      <c r="F2378" s="206"/>
      <c r="G2378" s="207"/>
      <c r="H2378" s="207"/>
      <c r="I2378" s="51"/>
      <c r="J2378" s="308"/>
      <c r="K2378" s="308"/>
      <c r="L2378" s="308"/>
      <c r="M2378" s="308"/>
      <c r="N2378" s="308"/>
      <c r="O2378" s="308"/>
      <c r="P2378" s="308"/>
      <c r="Q2378" s="309"/>
    </row>
    <row r="2379" spans="4:17" s="62" customFormat="1" x14ac:dyDescent="0.3">
      <c r="D2379" s="796" t="s">
        <v>1384</v>
      </c>
      <c r="E2379" s="797"/>
      <c r="F2379" s="797"/>
      <c r="G2379" s="797"/>
      <c r="H2379" s="797"/>
      <c r="I2379" s="47">
        <f t="shared" ref="I2379:Q2379" si="2714">SUM(I2380:I2384)</f>
        <v>0</v>
      </c>
      <c r="J2379" s="47">
        <f t="shared" si="2714"/>
        <v>4.4983399999999998</v>
      </c>
      <c r="K2379" s="47">
        <f t="shared" si="2714"/>
        <v>0</v>
      </c>
      <c r="L2379" s="47">
        <f t="shared" si="2714"/>
        <v>1.0428000000000002</v>
      </c>
      <c r="M2379" s="47">
        <f t="shared" si="2714"/>
        <v>20.268449999999998</v>
      </c>
      <c r="N2379" s="47">
        <f t="shared" si="2714"/>
        <v>0</v>
      </c>
      <c r="O2379" s="47">
        <f t="shared" si="2714"/>
        <v>0</v>
      </c>
      <c r="P2379" s="47">
        <f t="shared" si="2714"/>
        <v>0</v>
      </c>
      <c r="Q2379" s="47">
        <f t="shared" si="2714"/>
        <v>0</v>
      </c>
    </row>
    <row r="2380" spans="4:17" s="62" customFormat="1" x14ac:dyDescent="0.3">
      <c r="D2380" s="235">
        <v>2</v>
      </c>
      <c r="E2380" s="237">
        <v>23</v>
      </c>
      <c r="F2380" s="238">
        <v>5</v>
      </c>
      <c r="G2380" s="239">
        <v>1.27</v>
      </c>
      <c r="H2380" s="239">
        <f t="shared" ref="H2380:H2384" si="2715">E2380*G2380</f>
        <v>29.21</v>
      </c>
      <c r="I2380" s="131">
        <f t="shared" ref="I2380:I2384" si="2716">IF($F2380=4.2,H2380*$B$23,0)</f>
        <v>0</v>
      </c>
      <c r="J2380" s="31">
        <f t="shared" ref="J2380:J2384" si="2717">IF($F2380=5,$H2380*$B$24,0)</f>
        <v>4.4983399999999998</v>
      </c>
      <c r="K2380" s="31">
        <f t="shared" ref="K2380:K2384" si="2718">IF($F2380=6.3,$H2380*$B$25,0)</f>
        <v>0</v>
      </c>
      <c r="L2380" s="31">
        <f t="shared" ref="L2380:L2384" si="2719">IF($F2380=8,$H2380*$B$26,0)</f>
        <v>0</v>
      </c>
      <c r="M2380" s="31">
        <f t="shared" ref="M2380:M2384" si="2720">IF($F2380=10,$H2380*$B$27,0)</f>
        <v>0</v>
      </c>
      <c r="N2380" s="31">
        <f t="shared" ref="N2380:N2384" si="2721">IF($F2380=12.5,$H2380*$B$28,0)</f>
        <v>0</v>
      </c>
      <c r="O2380" s="31">
        <f t="shared" ref="O2380:O2384" si="2722">IF($F2380=16,$H2380*$B$29,0)</f>
        <v>0</v>
      </c>
      <c r="P2380" s="31">
        <f t="shared" ref="P2380:P2384" si="2723">IF($F2380=20,$H2380*$B$30,0)</f>
        <v>0</v>
      </c>
      <c r="Q2380" s="49">
        <f t="shared" ref="Q2380:Q2384" si="2724">IF($F2380=25,$H2380*$B$31,0)</f>
        <v>0</v>
      </c>
    </row>
    <row r="2381" spans="4:17" s="62" customFormat="1" x14ac:dyDescent="0.3">
      <c r="D2381" s="235">
        <v>9</v>
      </c>
      <c r="E2381" s="240">
        <v>3</v>
      </c>
      <c r="F2381" s="241">
        <v>8</v>
      </c>
      <c r="G2381" s="242">
        <v>0.88</v>
      </c>
      <c r="H2381" s="239">
        <f t="shared" si="2715"/>
        <v>2.64</v>
      </c>
      <c r="I2381" s="131">
        <f t="shared" si="2716"/>
        <v>0</v>
      </c>
      <c r="J2381" s="31">
        <f t="shared" si="2717"/>
        <v>0</v>
      </c>
      <c r="K2381" s="31">
        <f t="shared" si="2718"/>
        <v>0</v>
      </c>
      <c r="L2381" s="31">
        <f t="shared" si="2719"/>
        <v>1.0428000000000002</v>
      </c>
      <c r="M2381" s="31">
        <f t="shared" si="2720"/>
        <v>0</v>
      </c>
      <c r="N2381" s="31">
        <f t="shared" si="2721"/>
        <v>0</v>
      </c>
      <c r="O2381" s="31">
        <f t="shared" si="2722"/>
        <v>0</v>
      </c>
      <c r="P2381" s="31">
        <f t="shared" si="2723"/>
        <v>0</v>
      </c>
      <c r="Q2381" s="49">
        <f t="shared" si="2724"/>
        <v>0</v>
      </c>
    </row>
    <row r="2382" spans="4:17" s="62" customFormat="1" x14ac:dyDescent="0.3">
      <c r="D2382" s="235">
        <v>24</v>
      </c>
      <c r="E2382" s="240">
        <v>4</v>
      </c>
      <c r="F2382" s="241">
        <v>10</v>
      </c>
      <c r="G2382" s="242">
        <v>4.38</v>
      </c>
      <c r="H2382" s="239">
        <f t="shared" si="2715"/>
        <v>17.52</v>
      </c>
      <c r="I2382" s="131">
        <f t="shared" si="2716"/>
        <v>0</v>
      </c>
      <c r="J2382" s="31">
        <f t="shared" si="2717"/>
        <v>0</v>
      </c>
      <c r="K2382" s="31">
        <f t="shared" si="2718"/>
        <v>0</v>
      </c>
      <c r="L2382" s="31">
        <f t="shared" si="2719"/>
        <v>0</v>
      </c>
      <c r="M2382" s="31">
        <f t="shared" si="2720"/>
        <v>10.809839999999999</v>
      </c>
      <c r="N2382" s="31">
        <f t="shared" si="2721"/>
        <v>0</v>
      </c>
      <c r="O2382" s="31">
        <f t="shared" si="2722"/>
        <v>0</v>
      </c>
      <c r="P2382" s="31">
        <f t="shared" si="2723"/>
        <v>0</v>
      </c>
      <c r="Q2382" s="49">
        <f t="shared" si="2724"/>
        <v>0</v>
      </c>
    </row>
    <row r="2383" spans="4:17" s="62" customFormat="1" x14ac:dyDescent="0.3">
      <c r="D2383" s="235">
        <v>25</v>
      </c>
      <c r="E2383" s="240">
        <v>1</v>
      </c>
      <c r="F2383" s="241">
        <v>10</v>
      </c>
      <c r="G2383" s="242">
        <v>1.56</v>
      </c>
      <c r="H2383" s="239">
        <f t="shared" si="2715"/>
        <v>1.56</v>
      </c>
      <c r="I2383" s="131">
        <f t="shared" si="2716"/>
        <v>0</v>
      </c>
      <c r="J2383" s="31">
        <f t="shared" si="2717"/>
        <v>0</v>
      </c>
      <c r="K2383" s="31">
        <f t="shared" si="2718"/>
        <v>0</v>
      </c>
      <c r="L2383" s="31">
        <f t="shared" si="2719"/>
        <v>0</v>
      </c>
      <c r="M2383" s="31">
        <f t="shared" si="2720"/>
        <v>0.96252000000000004</v>
      </c>
      <c r="N2383" s="31">
        <f t="shared" si="2721"/>
        <v>0</v>
      </c>
      <c r="O2383" s="31">
        <f t="shared" si="2722"/>
        <v>0</v>
      </c>
      <c r="P2383" s="31">
        <f t="shared" si="2723"/>
        <v>0</v>
      </c>
      <c r="Q2383" s="49">
        <f t="shared" si="2724"/>
        <v>0</v>
      </c>
    </row>
    <row r="2384" spans="4:17" s="62" customFormat="1" x14ac:dyDescent="0.3">
      <c r="D2384" s="235">
        <v>26</v>
      </c>
      <c r="E2384" s="240">
        <v>3</v>
      </c>
      <c r="F2384" s="241">
        <v>10</v>
      </c>
      <c r="G2384" s="242">
        <v>4.59</v>
      </c>
      <c r="H2384" s="239">
        <f t="shared" si="2715"/>
        <v>13.77</v>
      </c>
      <c r="I2384" s="131">
        <f t="shared" si="2716"/>
        <v>0</v>
      </c>
      <c r="J2384" s="31">
        <f t="shared" si="2717"/>
        <v>0</v>
      </c>
      <c r="K2384" s="31">
        <f t="shared" si="2718"/>
        <v>0</v>
      </c>
      <c r="L2384" s="31">
        <f t="shared" si="2719"/>
        <v>0</v>
      </c>
      <c r="M2384" s="31">
        <f t="shared" si="2720"/>
        <v>8.4960899999999988</v>
      </c>
      <c r="N2384" s="31">
        <f t="shared" si="2721"/>
        <v>0</v>
      </c>
      <c r="O2384" s="31">
        <f t="shared" si="2722"/>
        <v>0</v>
      </c>
      <c r="P2384" s="31">
        <f t="shared" si="2723"/>
        <v>0</v>
      </c>
      <c r="Q2384" s="49">
        <f t="shared" si="2724"/>
        <v>0</v>
      </c>
    </row>
    <row r="2385" spans="4:17" s="62" customFormat="1" ht="15" thickBot="1" x14ac:dyDescent="0.35">
      <c r="D2385" s="307"/>
      <c r="E2385" s="26"/>
      <c r="F2385" s="206"/>
      <c r="G2385" s="207"/>
      <c r="H2385" s="207"/>
      <c r="I2385" s="51"/>
      <c r="J2385" s="308"/>
      <c r="K2385" s="308"/>
      <c r="L2385" s="308"/>
      <c r="M2385" s="308"/>
      <c r="N2385" s="308"/>
      <c r="O2385" s="308"/>
      <c r="P2385" s="308"/>
      <c r="Q2385" s="309"/>
    </row>
    <row r="2386" spans="4:17" s="62" customFormat="1" x14ac:dyDescent="0.3">
      <c r="D2386" s="796" t="s">
        <v>1385</v>
      </c>
      <c r="E2386" s="797"/>
      <c r="F2386" s="797"/>
      <c r="G2386" s="797"/>
      <c r="H2386" s="797"/>
      <c r="I2386" s="47">
        <f t="shared" ref="I2386:Q2386" si="2725">SUM(I2387:I2391)</f>
        <v>0</v>
      </c>
      <c r="J2386" s="47">
        <f t="shared" si="2725"/>
        <v>6.1261200000000002</v>
      </c>
      <c r="K2386" s="47">
        <f t="shared" si="2725"/>
        <v>0.59289999999999998</v>
      </c>
      <c r="L2386" s="47">
        <f t="shared" si="2725"/>
        <v>0</v>
      </c>
      <c r="M2386" s="47">
        <f t="shared" si="2725"/>
        <v>16.825589999999998</v>
      </c>
      <c r="N2386" s="47">
        <f t="shared" si="2725"/>
        <v>16.043579999999999</v>
      </c>
      <c r="O2386" s="47">
        <f t="shared" si="2725"/>
        <v>0</v>
      </c>
      <c r="P2386" s="47">
        <f t="shared" si="2725"/>
        <v>0</v>
      </c>
      <c r="Q2386" s="47">
        <f t="shared" si="2725"/>
        <v>0</v>
      </c>
    </row>
    <row r="2387" spans="4:17" s="62" customFormat="1" x14ac:dyDescent="0.3">
      <c r="D2387" s="235">
        <v>1</v>
      </c>
      <c r="E2387" s="237">
        <v>34</v>
      </c>
      <c r="F2387" s="238">
        <v>5</v>
      </c>
      <c r="G2387" s="239">
        <v>1.17</v>
      </c>
      <c r="H2387" s="239">
        <f t="shared" ref="H2387:H2391" si="2726">E2387*G2387</f>
        <v>39.78</v>
      </c>
      <c r="I2387" s="131">
        <f t="shared" ref="I2387:I2391" si="2727">IF($F2387=4.2,H2387*$B$23,0)</f>
        <v>0</v>
      </c>
      <c r="J2387" s="31">
        <f t="shared" ref="J2387:J2391" si="2728">IF($F2387=5,$H2387*$B$24,0)</f>
        <v>6.1261200000000002</v>
      </c>
      <c r="K2387" s="31">
        <f t="shared" ref="K2387:K2391" si="2729">IF($F2387=6.3,$H2387*$B$25,0)</f>
        <v>0</v>
      </c>
      <c r="L2387" s="31">
        <f t="shared" ref="L2387:L2391" si="2730">IF($F2387=8,$H2387*$B$26,0)</f>
        <v>0</v>
      </c>
      <c r="M2387" s="31">
        <f t="shared" ref="M2387:M2391" si="2731">IF($F2387=10,$H2387*$B$27,0)</f>
        <v>0</v>
      </c>
      <c r="N2387" s="31">
        <f t="shared" ref="N2387:N2391" si="2732">IF($F2387=12.5,$H2387*$B$28,0)</f>
        <v>0</v>
      </c>
      <c r="O2387" s="31">
        <f t="shared" ref="O2387:O2391" si="2733">IF($F2387=16,$H2387*$B$29,0)</f>
        <v>0</v>
      </c>
      <c r="P2387" s="31">
        <f t="shared" ref="P2387:P2391" si="2734">IF($F2387=20,$H2387*$B$30,0)</f>
        <v>0</v>
      </c>
      <c r="Q2387" s="49">
        <f t="shared" ref="Q2387:Q2391" si="2735">IF($F2387=25,$H2387*$B$31,0)</f>
        <v>0</v>
      </c>
    </row>
    <row r="2388" spans="4:17" s="62" customFormat="1" x14ac:dyDescent="0.3">
      <c r="D2388" s="235">
        <v>7</v>
      </c>
      <c r="E2388" s="240">
        <v>2</v>
      </c>
      <c r="F2388" s="241">
        <v>6.3</v>
      </c>
      <c r="G2388" s="242">
        <v>1.21</v>
      </c>
      <c r="H2388" s="239">
        <f t="shared" si="2726"/>
        <v>2.42</v>
      </c>
      <c r="I2388" s="131">
        <f t="shared" si="2727"/>
        <v>0</v>
      </c>
      <c r="J2388" s="31">
        <f t="shared" si="2728"/>
        <v>0</v>
      </c>
      <c r="K2388" s="31">
        <f t="shared" si="2729"/>
        <v>0.59289999999999998</v>
      </c>
      <c r="L2388" s="31">
        <f t="shared" si="2730"/>
        <v>0</v>
      </c>
      <c r="M2388" s="31">
        <f t="shared" si="2731"/>
        <v>0</v>
      </c>
      <c r="N2388" s="31">
        <f t="shared" si="2732"/>
        <v>0</v>
      </c>
      <c r="O2388" s="31">
        <f t="shared" si="2733"/>
        <v>0</v>
      </c>
      <c r="P2388" s="31">
        <f t="shared" si="2734"/>
        <v>0</v>
      </c>
      <c r="Q2388" s="49">
        <f t="shared" si="2735"/>
        <v>0</v>
      </c>
    </row>
    <row r="2389" spans="4:17" s="62" customFormat="1" x14ac:dyDescent="0.3">
      <c r="D2389" s="235">
        <v>27</v>
      </c>
      <c r="E2389" s="240">
        <v>1</v>
      </c>
      <c r="F2389" s="241">
        <v>10</v>
      </c>
      <c r="G2389" s="242">
        <v>3</v>
      </c>
      <c r="H2389" s="239">
        <f t="shared" si="2726"/>
        <v>3</v>
      </c>
      <c r="I2389" s="131">
        <f t="shared" si="2727"/>
        <v>0</v>
      </c>
      <c r="J2389" s="31">
        <f t="shared" si="2728"/>
        <v>0</v>
      </c>
      <c r="K2389" s="31">
        <f t="shared" si="2729"/>
        <v>0</v>
      </c>
      <c r="L2389" s="31">
        <f t="shared" si="2730"/>
        <v>0</v>
      </c>
      <c r="M2389" s="31">
        <f t="shared" si="2731"/>
        <v>1.851</v>
      </c>
      <c r="N2389" s="31">
        <f t="shared" si="2732"/>
        <v>0</v>
      </c>
      <c r="O2389" s="31">
        <f t="shared" si="2733"/>
        <v>0</v>
      </c>
      <c r="P2389" s="31">
        <f t="shared" si="2734"/>
        <v>0</v>
      </c>
      <c r="Q2389" s="49">
        <f t="shared" si="2735"/>
        <v>0</v>
      </c>
    </row>
    <row r="2390" spans="4:17" s="62" customFormat="1" x14ac:dyDescent="0.3">
      <c r="D2390" s="235">
        <v>28</v>
      </c>
      <c r="E2390" s="240">
        <v>3</v>
      </c>
      <c r="F2390" s="241">
        <v>10</v>
      </c>
      <c r="G2390" s="242">
        <v>8.09</v>
      </c>
      <c r="H2390" s="239">
        <f t="shared" si="2726"/>
        <v>24.27</v>
      </c>
      <c r="I2390" s="131">
        <f t="shared" si="2727"/>
        <v>0</v>
      </c>
      <c r="J2390" s="31">
        <f t="shared" si="2728"/>
        <v>0</v>
      </c>
      <c r="K2390" s="31">
        <f t="shared" si="2729"/>
        <v>0</v>
      </c>
      <c r="L2390" s="31">
        <f t="shared" si="2730"/>
        <v>0</v>
      </c>
      <c r="M2390" s="31">
        <f t="shared" si="2731"/>
        <v>14.974589999999999</v>
      </c>
      <c r="N2390" s="31">
        <f t="shared" si="2732"/>
        <v>0</v>
      </c>
      <c r="O2390" s="31">
        <f t="shared" si="2733"/>
        <v>0</v>
      </c>
      <c r="P2390" s="31">
        <f t="shared" si="2734"/>
        <v>0</v>
      </c>
      <c r="Q2390" s="49">
        <f t="shared" si="2735"/>
        <v>0</v>
      </c>
    </row>
    <row r="2391" spans="4:17" s="62" customFormat="1" x14ac:dyDescent="0.3">
      <c r="D2391" s="235">
        <v>49</v>
      </c>
      <c r="E2391" s="240">
        <v>2</v>
      </c>
      <c r="F2391" s="241">
        <v>12.5</v>
      </c>
      <c r="G2391" s="242">
        <v>8.33</v>
      </c>
      <c r="H2391" s="239">
        <f t="shared" si="2726"/>
        <v>16.66</v>
      </c>
      <c r="I2391" s="131">
        <f t="shared" si="2727"/>
        <v>0</v>
      </c>
      <c r="J2391" s="31">
        <f t="shared" si="2728"/>
        <v>0</v>
      </c>
      <c r="K2391" s="31">
        <f t="shared" si="2729"/>
        <v>0</v>
      </c>
      <c r="L2391" s="31">
        <f t="shared" si="2730"/>
        <v>0</v>
      </c>
      <c r="M2391" s="31">
        <f t="shared" si="2731"/>
        <v>0</v>
      </c>
      <c r="N2391" s="31">
        <f t="shared" si="2732"/>
        <v>16.043579999999999</v>
      </c>
      <c r="O2391" s="31">
        <f t="shared" si="2733"/>
        <v>0</v>
      </c>
      <c r="P2391" s="31">
        <f t="shared" si="2734"/>
        <v>0</v>
      </c>
      <c r="Q2391" s="49">
        <f t="shared" si="2735"/>
        <v>0</v>
      </c>
    </row>
    <row r="2392" spans="4:17" s="62" customFormat="1" ht="15" thickBot="1" x14ac:dyDescent="0.35">
      <c r="D2392" s="307"/>
      <c r="E2392" s="26"/>
      <c r="F2392" s="206"/>
      <c r="G2392" s="207"/>
      <c r="H2392" s="207"/>
      <c r="I2392" s="51"/>
      <c r="J2392" s="308"/>
      <c r="K2392" s="308"/>
      <c r="L2392" s="308"/>
      <c r="M2392" s="308"/>
      <c r="N2392" s="308"/>
      <c r="O2392" s="308"/>
      <c r="P2392" s="308"/>
      <c r="Q2392" s="309"/>
    </row>
    <row r="2393" spans="4:17" s="62" customFormat="1" x14ac:dyDescent="0.3">
      <c r="D2393" s="796" t="s">
        <v>1386</v>
      </c>
      <c r="E2393" s="797"/>
      <c r="F2393" s="797"/>
      <c r="G2393" s="797"/>
      <c r="H2393" s="797"/>
      <c r="I2393" s="47">
        <f t="shared" ref="I2393:Q2393" si="2736">SUM(I2394:I2402)</f>
        <v>0</v>
      </c>
      <c r="J2393" s="47">
        <f t="shared" si="2736"/>
        <v>13.080760000000001</v>
      </c>
      <c r="K2393" s="47">
        <f t="shared" si="2736"/>
        <v>0</v>
      </c>
      <c r="L2393" s="47">
        <f t="shared" si="2736"/>
        <v>0</v>
      </c>
      <c r="M2393" s="47">
        <f t="shared" si="2736"/>
        <v>6.0527700000000006</v>
      </c>
      <c r="N2393" s="47">
        <f t="shared" si="2736"/>
        <v>14.2524</v>
      </c>
      <c r="O2393" s="47">
        <f t="shared" si="2736"/>
        <v>54.220080000000003</v>
      </c>
      <c r="P2393" s="47">
        <f t="shared" si="2736"/>
        <v>36.799999999999997</v>
      </c>
      <c r="Q2393" s="47">
        <f t="shared" si="2736"/>
        <v>0</v>
      </c>
    </row>
    <row r="2394" spans="4:17" s="62" customFormat="1" x14ac:dyDescent="0.3">
      <c r="D2394" s="235">
        <v>3</v>
      </c>
      <c r="E2394" s="237">
        <v>62</v>
      </c>
      <c r="F2394" s="238">
        <v>5</v>
      </c>
      <c r="G2394" s="239">
        <v>1.37</v>
      </c>
      <c r="H2394" s="239">
        <f t="shared" ref="H2394:H2402" si="2737">E2394*G2394</f>
        <v>84.940000000000012</v>
      </c>
      <c r="I2394" s="131">
        <f t="shared" ref="I2394:I2402" si="2738">IF($F2394=4.2,H2394*$B$23,0)</f>
        <v>0</v>
      </c>
      <c r="J2394" s="31">
        <f t="shared" ref="J2394:J2402" si="2739">IF($F2394=5,$H2394*$B$24,0)</f>
        <v>13.080760000000001</v>
      </c>
      <c r="K2394" s="31">
        <f t="shared" ref="K2394:K2402" si="2740">IF($F2394=6.3,$H2394*$B$25,0)</f>
        <v>0</v>
      </c>
      <c r="L2394" s="31">
        <f t="shared" ref="L2394:L2402" si="2741">IF($F2394=8,$H2394*$B$26,0)</f>
        <v>0</v>
      </c>
      <c r="M2394" s="31">
        <f t="shared" ref="M2394:M2402" si="2742">IF($F2394=10,$H2394*$B$27,0)</f>
        <v>0</v>
      </c>
      <c r="N2394" s="31">
        <f t="shared" ref="N2394:N2402" si="2743">IF($F2394=12.5,$H2394*$B$28,0)</f>
        <v>0</v>
      </c>
      <c r="O2394" s="31">
        <f t="shared" ref="O2394:O2402" si="2744">IF($F2394=16,$H2394*$B$29,0)</f>
        <v>0</v>
      </c>
      <c r="P2394" s="31">
        <f t="shared" ref="P2394:P2402" si="2745">IF($F2394=20,$H2394*$B$30,0)</f>
        <v>0</v>
      </c>
      <c r="Q2394" s="49">
        <f t="shared" ref="Q2394:Q2402" si="2746">IF($F2394=25,$H2394*$B$31,0)</f>
        <v>0</v>
      </c>
    </row>
    <row r="2395" spans="4:17" s="62" customFormat="1" x14ac:dyDescent="0.3">
      <c r="D2395" s="235">
        <v>29</v>
      </c>
      <c r="E2395" s="240">
        <v>3</v>
      </c>
      <c r="F2395" s="241">
        <v>10</v>
      </c>
      <c r="G2395" s="242">
        <v>3.27</v>
      </c>
      <c r="H2395" s="239">
        <f t="shared" si="2737"/>
        <v>9.81</v>
      </c>
      <c r="I2395" s="131">
        <f t="shared" si="2738"/>
        <v>0</v>
      </c>
      <c r="J2395" s="31">
        <f t="shared" si="2739"/>
        <v>0</v>
      </c>
      <c r="K2395" s="31">
        <f t="shared" si="2740"/>
        <v>0</v>
      </c>
      <c r="L2395" s="31">
        <f t="shared" si="2741"/>
        <v>0</v>
      </c>
      <c r="M2395" s="31">
        <f t="shared" si="2742"/>
        <v>6.0527700000000006</v>
      </c>
      <c r="N2395" s="31">
        <f t="shared" si="2743"/>
        <v>0</v>
      </c>
      <c r="O2395" s="31">
        <f t="shared" si="2744"/>
        <v>0</v>
      </c>
      <c r="P2395" s="31">
        <f t="shared" si="2745"/>
        <v>0</v>
      </c>
      <c r="Q2395" s="49">
        <f t="shared" si="2746"/>
        <v>0</v>
      </c>
    </row>
    <row r="2396" spans="4:17" s="62" customFormat="1" x14ac:dyDescent="0.3">
      <c r="D2396" s="235">
        <v>50</v>
      </c>
      <c r="E2396" s="240">
        <v>1</v>
      </c>
      <c r="F2396" s="241">
        <v>12.5</v>
      </c>
      <c r="G2396" s="242">
        <v>2</v>
      </c>
      <c r="H2396" s="239">
        <f t="shared" si="2737"/>
        <v>2</v>
      </c>
      <c r="I2396" s="131">
        <f t="shared" si="2738"/>
        <v>0</v>
      </c>
      <c r="J2396" s="31">
        <f t="shared" si="2739"/>
        <v>0</v>
      </c>
      <c r="K2396" s="31">
        <f t="shared" si="2740"/>
        <v>0</v>
      </c>
      <c r="L2396" s="31">
        <f t="shared" si="2741"/>
        <v>0</v>
      </c>
      <c r="M2396" s="31">
        <f t="shared" si="2742"/>
        <v>0</v>
      </c>
      <c r="N2396" s="31">
        <f t="shared" si="2743"/>
        <v>1.9259999999999999</v>
      </c>
      <c r="O2396" s="31">
        <f t="shared" si="2744"/>
        <v>0</v>
      </c>
      <c r="P2396" s="31">
        <f t="shared" si="2745"/>
        <v>0</v>
      </c>
      <c r="Q2396" s="49">
        <f t="shared" si="2746"/>
        <v>0</v>
      </c>
    </row>
    <row r="2397" spans="4:17" s="62" customFormat="1" x14ac:dyDescent="0.3">
      <c r="D2397" s="235">
        <v>51</v>
      </c>
      <c r="E2397" s="240">
        <v>1</v>
      </c>
      <c r="F2397" s="241">
        <v>12.5</v>
      </c>
      <c r="G2397" s="242">
        <v>2.04</v>
      </c>
      <c r="H2397" s="239">
        <f t="shared" si="2737"/>
        <v>2.04</v>
      </c>
      <c r="I2397" s="131">
        <f t="shared" si="2738"/>
        <v>0</v>
      </c>
      <c r="J2397" s="31">
        <f t="shared" si="2739"/>
        <v>0</v>
      </c>
      <c r="K2397" s="31">
        <f t="shared" si="2740"/>
        <v>0</v>
      </c>
      <c r="L2397" s="31">
        <f t="shared" si="2741"/>
        <v>0</v>
      </c>
      <c r="M2397" s="31">
        <f t="shared" si="2742"/>
        <v>0</v>
      </c>
      <c r="N2397" s="31">
        <f t="shared" si="2743"/>
        <v>1.96452</v>
      </c>
      <c r="O2397" s="31">
        <f t="shared" si="2744"/>
        <v>0</v>
      </c>
      <c r="P2397" s="31">
        <f t="shared" si="2745"/>
        <v>0</v>
      </c>
      <c r="Q2397" s="49">
        <f t="shared" si="2746"/>
        <v>0</v>
      </c>
    </row>
    <row r="2398" spans="4:17" s="62" customFormat="1" x14ac:dyDescent="0.3">
      <c r="D2398" s="235">
        <v>52</v>
      </c>
      <c r="E2398" s="240">
        <v>4</v>
      </c>
      <c r="F2398" s="241">
        <v>12.5</v>
      </c>
      <c r="G2398" s="242">
        <v>2.69</v>
      </c>
      <c r="H2398" s="239">
        <f t="shared" si="2737"/>
        <v>10.76</v>
      </c>
      <c r="I2398" s="131">
        <f t="shared" si="2738"/>
        <v>0</v>
      </c>
      <c r="J2398" s="31">
        <f t="shared" si="2739"/>
        <v>0</v>
      </c>
      <c r="K2398" s="31">
        <f t="shared" si="2740"/>
        <v>0</v>
      </c>
      <c r="L2398" s="31">
        <f t="shared" si="2741"/>
        <v>0</v>
      </c>
      <c r="M2398" s="31">
        <f t="shared" si="2742"/>
        <v>0</v>
      </c>
      <c r="N2398" s="31">
        <f t="shared" si="2743"/>
        <v>10.361879999999999</v>
      </c>
      <c r="O2398" s="31">
        <f t="shared" si="2744"/>
        <v>0</v>
      </c>
      <c r="P2398" s="31">
        <f t="shared" si="2745"/>
        <v>0</v>
      </c>
      <c r="Q2398" s="49">
        <f t="shared" si="2746"/>
        <v>0</v>
      </c>
    </row>
    <row r="2399" spans="4:17" s="62" customFormat="1" x14ac:dyDescent="0.3">
      <c r="D2399" s="235">
        <v>77</v>
      </c>
      <c r="E2399" s="240">
        <v>2</v>
      </c>
      <c r="F2399" s="241">
        <v>16</v>
      </c>
      <c r="G2399" s="242">
        <v>4.4000000000000004</v>
      </c>
      <c r="H2399" s="239">
        <f t="shared" si="2737"/>
        <v>8.8000000000000007</v>
      </c>
      <c r="I2399" s="131">
        <f t="shared" si="2738"/>
        <v>0</v>
      </c>
      <c r="J2399" s="31">
        <f t="shared" si="2739"/>
        <v>0</v>
      </c>
      <c r="K2399" s="31">
        <f t="shared" si="2740"/>
        <v>0</v>
      </c>
      <c r="L2399" s="31">
        <f t="shared" si="2741"/>
        <v>0</v>
      </c>
      <c r="M2399" s="31">
        <f t="shared" si="2742"/>
        <v>0</v>
      </c>
      <c r="N2399" s="31">
        <f t="shared" si="2743"/>
        <v>0</v>
      </c>
      <c r="O2399" s="31">
        <f t="shared" si="2744"/>
        <v>13.886400000000002</v>
      </c>
      <c r="P2399" s="31">
        <f t="shared" si="2745"/>
        <v>0</v>
      </c>
      <c r="Q2399" s="49">
        <f t="shared" si="2746"/>
        <v>0</v>
      </c>
    </row>
    <row r="2400" spans="4:17" s="62" customFormat="1" x14ac:dyDescent="0.3">
      <c r="D2400" s="235">
        <v>78</v>
      </c>
      <c r="E2400" s="240">
        <v>3</v>
      </c>
      <c r="F2400" s="241">
        <v>16</v>
      </c>
      <c r="G2400" s="242">
        <v>8.52</v>
      </c>
      <c r="H2400" s="239">
        <f t="shared" si="2737"/>
        <v>25.56</v>
      </c>
      <c r="I2400" s="131">
        <f t="shared" si="2738"/>
        <v>0</v>
      </c>
      <c r="J2400" s="31">
        <f t="shared" si="2739"/>
        <v>0</v>
      </c>
      <c r="K2400" s="31">
        <f t="shared" si="2740"/>
        <v>0</v>
      </c>
      <c r="L2400" s="31">
        <f t="shared" si="2741"/>
        <v>0</v>
      </c>
      <c r="M2400" s="31">
        <f t="shared" si="2742"/>
        <v>0</v>
      </c>
      <c r="N2400" s="31">
        <f t="shared" si="2743"/>
        <v>0</v>
      </c>
      <c r="O2400" s="31">
        <f t="shared" si="2744"/>
        <v>40.333680000000001</v>
      </c>
      <c r="P2400" s="31">
        <f t="shared" si="2745"/>
        <v>0</v>
      </c>
      <c r="Q2400" s="49">
        <f t="shared" si="2746"/>
        <v>0</v>
      </c>
    </row>
    <row r="2401" spans="4:17" s="62" customFormat="1" x14ac:dyDescent="0.3">
      <c r="D2401" s="235">
        <v>83</v>
      </c>
      <c r="E2401" s="240">
        <v>2</v>
      </c>
      <c r="F2401" s="241">
        <v>20</v>
      </c>
      <c r="G2401" s="242">
        <v>3.38</v>
      </c>
      <c r="H2401" s="239">
        <f t="shared" si="2737"/>
        <v>6.76</v>
      </c>
      <c r="I2401" s="131">
        <f t="shared" si="2738"/>
        <v>0</v>
      </c>
      <c r="J2401" s="31">
        <f t="shared" si="2739"/>
        <v>0</v>
      </c>
      <c r="K2401" s="31">
        <f t="shared" si="2740"/>
        <v>0</v>
      </c>
      <c r="L2401" s="31">
        <f t="shared" si="2741"/>
        <v>0</v>
      </c>
      <c r="M2401" s="31">
        <f t="shared" si="2742"/>
        <v>0</v>
      </c>
      <c r="N2401" s="31">
        <f t="shared" si="2743"/>
        <v>0</v>
      </c>
      <c r="O2401" s="31">
        <f t="shared" si="2744"/>
        <v>0</v>
      </c>
      <c r="P2401" s="31">
        <f t="shared" si="2745"/>
        <v>16.899999999999999</v>
      </c>
      <c r="Q2401" s="49">
        <f t="shared" si="2746"/>
        <v>0</v>
      </c>
    </row>
    <row r="2402" spans="4:17" s="62" customFormat="1" x14ac:dyDescent="0.3">
      <c r="D2402" s="235">
        <v>84</v>
      </c>
      <c r="E2402" s="240">
        <v>2</v>
      </c>
      <c r="F2402" s="241">
        <v>20</v>
      </c>
      <c r="G2402" s="242">
        <v>3.98</v>
      </c>
      <c r="H2402" s="239">
        <f t="shared" si="2737"/>
        <v>7.96</v>
      </c>
      <c r="I2402" s="131">
        <f t="shared" si="2738"/>
        <v>0</v>
      </c>
      <c r="J2402" s="31">
        <f t="shared" si="2739"/>
        <v>0</v>
      </c>
      <c r="K2402" s="31">
        <f t="shared" si="2740"/>
        <v>0</v>
      </c>
      <c r="L2402" s="31">
        <f t="shared" si="2741"/>
        <v>0</v>
      </c>
      <c r="M2402" s="31">
        <f t="shared" si="2742"/>
        <v>0</v>
      </c>
      <c r="N2402" s="31">
        <f t="shared" si="2743"/>
        <v>0</v>
      </c>
      <c r="O2402" s="31">
        <f t="shared" si="2744"/>
        <v>0</v>
      </c>
      <c r="P2402" s="31">
        <f t="shared" si="2745"/>
        <v>19.899999999999999</v>
      </c>
      <c r="Q2402" s="49">
        <f t="shared" si="2746"/>
        <v>0</v>
      </c>
    </row>
    <row r="2403" spans="4:17" s="62" customFormat="1" ht="15" thickBot="1" x14ac:dyDescent="0.35">
      <c r="D2403" s="307"/>
      <c r="E2403" s="26"/>
      <c r="F2403" s="206"/>
      <c r="G2403" s="207"/>
      <c r="H2403" s="207"/>
      <c r="I2403" s="51"/>
      <c r="J2403" s="308"/>
      <c r="K2403" s="308"/>
      <c r="L2403" s="308"/>
      <c r="M2403" s="308"/>
      <c r="N2403" s="308"/>
      <c r="O2403" s="308"/>
      <c r="P2403" s="308"/>
      <c r="Q2403" s="309"/>
    </row>
    <row r="2404" spans="4:17" s="62" customFormat="1" x14ac:dyDescent="0.3">
      <c r="D2404" s="796" t="s">
        <v>1387</v>
      </c>
      <c r="E2404" s="797"/>
      <c r="F2404" s="797"/>
      <c r="G2404" s="797"/>
      <c r="H2404" s="797"/>
      <c r="I2404" s="47">
        <f t="shared" ref="I2404:Q2404" si="2747">SUM(I2405:I2416)</f>
        <v>0</v>
      </c>
      <c r="J2404" s="47">
        <f t="shared" si="2747"/>
        <v>13.50272</v>
      </c>
      <c r="K2404" s="47">
        <f t="shared" si="2747"/>
        <v>0</v>
      </c>
      <c r="L2404" s="47">
        <f t="shared" si="2747"/>
        <v>0</v>
      </c>
      <c r="M2404" s="47">
        <f t="shared" si="2747"/>
        <v>0</v>
      </c>
      <c r="N2404" s="47">
        <f t="shared" si="2747"/>
        <v>51.568650000000005</v>
      </c>
      <c r="O2404" s="47">
        <f t="shared" si="2747"/>
        <v>54.693480000000001</v>
      </c>
      <c r="P2404" s="47">
        <f t="shared" si="2747"/>
        <v>0</v>
      </c>
      <c r="Q2404" s="47">
        <f t="shared" si="2747"/>
        <v>0</v>
      </c>
    </row>
    <row r="2405" spans="4:17" s="62" customFormat="1" x14ac:dyDescent="0.3">
      <c r="D2405" s="235">
        <v>3</v>
      </c>
      <c r="E2405" s="237">
        <v>64</v>
      </c>
      <c r="F2405" s="238">
        <v>5</v>
      </c>
      <c r="G2405" s="239">
        <v>1.37</v>
      </c>
      <c r="H2405" s="239">
        <f t="shared" ref="H2405:H2416" si="2748">E2405*G2405</f>
        <v>87.68</v>
      </c>
      <c r="I2405" s="131">
        <f t="shared" ref="I2405:I2416" si="2749">IF($F2405=4.2,H2405*$B$23,0)</f>
        <v>0</v>
      </c>
      <c r="J2405" s="31">
        <f t="shared" ref="J2405:J2416" si="2750">IF($F2405=5,$H2405*$B$24,0)</f>
        <v>13.50272</v>
      </c>
      <c r="K2405" s="31">
        <f t="shared" ref="K2405:K2416" si="2751">IF($F2405=6.3,$H2405*$B$25,0)</f>
        <v>0</v>
      </c>
      <c r="L2405" s="31">
        <f t="shared" ref="L2405:L2416" si="2752">IF($F2405=8,$H2405*$B$26,0)</f>
        <v>0</v>
      </c>
      <c r="M2405" s="31">
        <f t="shared" ref="M2405:M2416" si="2753">IF($F2405=10,$H2405*$B$27,0)</f>
        <v>0</v>
      </c>
      <c r="N2405" s="31">
        <f t="shared" ref="N2405:N2416" si="2754">IF($F2405=12.5,$H2405*$B$28,0)</f>
        <v>0</v>
      </c>
      <c r="O2405" s="31">
        <f t="shared" ref="O2405:O2416" si="2755">IF($F2405=16,$H2405*$B$29,0)</f>
        <v>0</v>
      </c>
      <c r="P2405" s="31">
        <f t="shared" ref="P2405:P2416" si="2756">IF($F2405=20,$H2405*$B$30,0)</f>
        <v>0</v>
      </c>
      <c r="Q2405" s="49">
        <f t="shared" ref="Q2405:Q2416" si="2757">IF($F2405=25,$H2405*$B$31,0)</f>
        <v>0</v>
      </c>
    </row>
    <row r="2406" spans="4:17" s="62" customFormat="1" x14ac:dyDescent="0.3">
      <c r="D2406" s="235">
        <v>50</v>
      </c>
      <c r="E2406" s="240">
        <v>1</v>
      </c>
      <c r="F2406" s="241">
        <v>12.5</v>
      </c>
      <c r="G2406" s="242">
        <v>2</v>
      </c>
      <c r="H2406" s="239">
        <f t="shared" si="2748"/>
        <v>2</v>
      </c>
      <c r="I2406" s="131">
        <f t="shared" si="2749"/>
        <v>0</v>
      </c>
      <c r="J2406" s="31">
        <f t="shared" si="2750"/>
        <v>0</v>
      </c>
      <c r="K2406" s="31">
        <f t="shared" si="2751"/>
        <v>0</v>
      </c>
      <c r="L2406" s="31">
        <f t="shared" si="2752"/>
        <v>0</v>
      </c>
      <c r="M2406" s="31">
        <f t="shared" si="2753"/>
        <v>0</v>
      </c>
      <c r="N2406" s="31">
        <f t="shared" si="2754"/>
        <v>1.9259999999999999</v>
      </c>
      <c r="O2406" s="31">
        <f t="shared" si="2755"/>
        <v>0</v>
      </c>
      <c r="P2406" s="31">
        <f t="shared" si="2756"/>
        <v>0</v>
      </c>
      <c r="Q2406" s="49">
        <f t="shared" si="2757"/>
        <v>0</v>
      </c>
    </row>
    <row r="2407" spans="4:17" s="62" customFormat="1" x14ac:dyDescent="0.3">
      <c r="D2407" s="235">
        <v>51</v>
      </c>
      <c r="E2407" s="240">
        <v>1</v>
      </c>
      <c r="F2407" s="241">
        <v>12.5</v>
      </c>
      <c r="G2407" s="242">
        <v>2.04</v>
      </c>
      <c r="H2407" s="239">
        <f t="shared" si="2748"/>
        <v>2.04</v>
      </c>
      <c r="I2407" s="131">
        <f t="shared" si="2749"/>
        <v>0</v>
      </c>
      <c r="J2407" s="31">
        <f t="shared" si="2750"/>
        <v>0</v>
      </c>
      <c r="K2407" s="31">
        <f t="shared" si="2751"/>
        <v>0</v>
      </c>
      <c r="L2407" s="31">
        <f t="shared" si="2752"/>
        <v>0</v>
      </c>
      <c r="M2407" s="31">
        <f t="shared" si="2753"/>
        <v>0</v>
      </c>
      <c r="N2407" s="31">
        <f t="shared" si="2754"/>
        <v>1.96452</v>
      </c>
      <c r="O2407" s="31">
        <f t="shared" si="2755"/>
        <v>0</v>
      </c>
      <c r="P2407" s="31">
        <f t="shared" si="2756"/>
        <v>0</v>
      </c>
      <c r="Q2407" s="49">
        <f t="shared" si="2757"/>
        <v>0</v>
      </c>
    </row>
    <row r="2408" spans="4:17" s="62" customFormat="1" x14ac:dyDescent="0.3">
      <c r="D2408" s="235">
        <v>53</v>
      </c>
      <c r="E2408" s="240">
        <v>2</v>
      </c>
      <c r="F2408" s="241">
        <v>12.5</v>
      </c>
      <c r="G2408" s="242">
        <v>2.64</v>
      </c>
      <c r="H2408" s="239">
        <f t="shared" si="2748"/>
        <v>5.28</v>
      </c>
      <c r="I2408" s="131">
        <f t="shared" si="2749"/>
        <v>0</v>
      </c>
      <c r="J2408" s="31">
        <f t="shared" si="2750"/>
        <v>0</v>
      </c>
      <c r="K2408" s="31">
        <f t="shared" si="2751"/>
        <v>0</v>
      </c>
      <c r="L2408" s="31">
        <f t="shared" si="2752"/>
        <v>0</v>
      </c>
      <c r="M2408" s="31">
        <f t="shared" si="2753"/>
        <v>0</v>
      </c>
      <c r="N2408" s="31">
        <f t="shared" si="2754"/>
        <v>5.0846400000000003</v>
      </c>
      <c r="O2408" s="31">
        <f t="shared" si="2755"/>
        <v>0</v>
      </c>
      <c r="P2408" s="31">
        <f t="shared" si="2756"/>
        <v>0</v>
      </c>
      <c r="Q2408" s="49">
        <f t="shared" si="2757"/>
        <v>0</v>
      </c>
    </row>
    <row r="2409" spans="4:17" s="62" customFormat="1" x14ac:dyDescent="0.3">
      <c r="D2409" s="235">
        <v>54</v>
      </c>
      <c r="E2409" s="240">
        <v>1</v>
      </c>
      <c r="F2409" s="241">
        <v>12.5</v>
      </c>
      <c r="G2409" s="242">
        <v>2.37</v>
      </c>
      <c r="H2409" s="239">
        <f t="shared" si="2748"/>
        <v>2.37</v>
      </c>
      <c r="I2409" s="131">
        <f t="shared" si="2749"/>
        <v>0</v>
      </c>
      <c r="J2409" s="31">
        <f t="shared" si="2750"/>
        <v>0</v>
      </c>
      <c r="K2409" s="31">
        <f t="shared" si="2751"/>
        <v>0</v>
      </c>
      <c r="L2409" s="31">
        <f t="shared" si="2752"/>
        <v>0</v>
      </c>
      <c r="M2409" s="31">
        <f t="shared" si="2753"/>
        <v>0</v>
      </c>
      <c r="N2409" s="31">
        <f t="shared" si="2754"/>
        <v>2.2823099999999998</v>
      </c>
      <c r="O2409" s="31">
        <f t="shared" si="2755"/>
        <v>0</v>
      </c>
      <c r="P2409" s="31">
        <f t="shared" si="2756"/>
        <v>0</v>
      </c>
      <c r="Q2409" s="49">
        <f t="shared" si="2757"/>
        <v>0</v>
      </c>
    </row>
    <row r="2410" spans="4:17" s="62" customFormat="1" x14ac:dyDescent="0.3">
      <c r="D2410" s="235">
        <v>55</v>
      </c>
      <c r="E2410" s="240">
        <v>2</v>
      </c>
      <c r="F2410" s="241">
        <v>12.5</v>
      </c>
      <c r="G2410" s="242">
        <v>2.41</v>
      </c>
      <c r="H2410" s="239">
        <f t="shared" si="2748"/>
        <v>4.82</v>
      </c>
      <c r="I2410" s="131">
        <f t="shared" si="2749"/>
        <v>0</v>
      </c>
      <c r="J2410" s="31">
        <f t="shared" si="2750"/>
        <v>0</v>
      </c>
      <c r="K2410" s="31">
        <f t="shared" si="2751"/>
        <v>0</v>
      </c>
      <c r="L2410" s="31">
        <f t="shared" si="2752"/>
        <v>0</v>
      </c>
      <c r="M2410" s="31">
        <f t="shared" si="2753"/>
        <v>0</v>
      </c>
      <c r="N2410" s="31">
        <f t="shared" si="2754"/>
        <v>4.6416599999999999</v>
      </c>
      <c r="O2410" s="31">
        <f t="shared" si="2755"/>
        <v>0</v>
      </c>
      <c r="P2410" s="31">
        <f t="shared" si="2756"/>
        <v>0</v>
      </c>
      <c r="Q2410" s="49">
        <f t="shared" si="2757"/>
        <v>0</v>
      </c>
    </row>
    <row r="2411" spans="4:17" s="62" customFormat="1" x14ac:dyDescent="0.3">
      <c r="D2411" s="235">
        <v>56</v>
      </c>
      <c r="E2411" s="240">
        <v>3</v>
      </c>
      <c r="F2411" s="241">
        <v>12.5</v>
      </c>
      <c r="G2411" s="242">
        <v>2.97</v>
      </c>
      <c r="H2411" s="239">
        <f t="shared" si="2748"/>
        <v>8.91</v>
      </c>
      <c r="I2411" s="131">
        <f t="shared" si="2749"/>
        <v>0</v>
      </c>
      <c r="J2411" s="31">
        <f t="shared" si="2750"/>
        <v>0</v>
      </c>
      <c r="K2411" s="31">
        <f t="shared" si="2751"/>
        <v>0</v>
      </c>
      <c r="L2411" s="31">
        <f t="shared" si="2752"/>
        <v>0</v>
      </c>
      <c r="M2411" s="31">
        <f t="shared" si="2753"/>
        <v>0</v>
      </c>
      <c r="N2411" s="31">
        <f t="shared" si="2754"/>
        <v>8.58033</v>
      </c>
      <c r="O2411" s="31">
        <f t="shared" si="2755"/>
        <v>0</v>
      </c>
      <c r="P2411" s="31">
        <f t="shared" si="2756"/>
        <v>0</v>
      </c>
      <c r="Q2411" s="49">
        <f t="shared" si="2757"/>
        <v>0</v>
      </c>
    </row>
    <row r="2412" spans="4:17" s="62" customFormat="1" x14ac:dyDescent="0.3">
      <c r="D2412" s="235">
        <v>57</v>
      </c>
      <c r="E2412" s="240">
        <v>2</v>
      </c>
      <c r="F2412" s="241">
        <v>12.5</v>
      </c>
      <c r="G2412" s="242">
        <v>3.01</v>
      </c>
      <c r="H2412" s="239">
        <f t="shared" si="2748"/>
        <v>6.02</v>
      </c>
      <c r="I2412" s="131">
        <f t="shared" si="2749"/>
        <v>0</v>
      </c>
      <c r="J2412" s="31">
        <f t="shared" si="2750"/>
        <v>0</v>
      </c>
      <c r="K2412" s="31">
        <f t="shared" si="2751"/>
        <v>0</v>
      </c>
      <c r="L2412" s="31">
        <f t="shared" si="2752"/>
        <v>0</v>
      </c>
      <c r="M2412" s="31">
        <f t="shared" si="2753"/>
        <v>0</v>
      </c>
      <c r="N2412" s="31">
        <f t="shared" si="2754"/>
        <v>5.7972599999999996</v>
      </c>
      <c r="O2412" s="31">
        <f t="shared" si="2755"/>
        <v>0</v>
      </c>
      <c r="P2412" s="31">
        <f t="shared" si="2756"/>
        <v>0</v>
      </c>
      <c r="Q2412" s="49">
        <f t="shared" si="2757"/>
        <v>0</v>
      </c>
    </row>
    <row r="2413" spans="4:17" s="62" customFormat="1" x14ac:dyDescent="0.3">
      <c r="D2413" s="235">
        <v>58</v>
      </c>
      <c r="E2413" s="240">
        <v>1</v>
      </c>
      <c r="F2413" s="241">
        <v>12.5</v>
      </c>
      <c r="G2413" s="242">
        <v>3.61</v>
      </c>
      <c r="H2413" s="239">
        <f t="shared" si="2748"/>
        <v>3.61</v>
      </c>
      <c r="I2413" s="131">
        <f t="shared" si="2749"/>
        <v>0</v>
      </c>
      <c r="J2413" s="31">
        <f t="shared" si="2750"/>
        <v>0</v>
      </c>
      <c r="K2413" s="31">
        <f t="shared" si="2751"/>
        <v>0</v>
      </c>
      <c r="L2413" s="31">
        <f t="shared" si="2752"/>
        <v>0</v>
      </c>
      <c r="M2413" s="31">
        <f t="shared" si="2753"/>
        <v>0</v>
      </c>
      <c r="N2413" s="31">
        <f t="shared" si="2754"/>
        <v>3.4764299999999997</v>
      </c>
      <c r="O2413" s="31">
        <f t="shared" si="2755"/>
        <v>0</v>
      </c>
      <c r="P2413" s="31">
        <f t="shared" si="2756"/>
        <v>0</v>
      </c>
      <c r="Q2413" s="49">
        <f t="shared" si="2757"/>
        <v>0</v>
      </c>
    </row>
    <row r="2414" spans="4:17" s="62" customFormat="1" x14ac:dyDescent="0.3">
      <c r="D2414" s="235">
        <v>59</v>
      </c>
      <c r="E2414" s="240">
        <v>2</v>
      </c>
      <c r="F2414" s="241">
        <v>12.5</v>
      </c>
      <c r="G2414" s="242">
        <v>9.25</v>
      </c>
      <c r="H2414" s="239">
        <f t="shared" si="2748"/>
        <v>18.5</v>
      </c>
      <c r="I2414" s="131">
        <f t="shared" si="2749"/>
        <v>0</v>
      </c>
      <c r="J2414" s="31">
        <f t="shared" si="2750"/>
        <v>0</v>
      </c>
      <c r="K2414" s="31">
        <f t="shared" si="2751"/>
        <v>0</v>
      </c>
      <c r="L2414" s="31">
        <f t="shared" si="2752"/>
        <v>0</v>
      </c>
      <c r="M2414" s="31">
        <f t="shared" si="2753"/>
        <v>0</v>
      </c>
      <c r="N2414" s="31">
        <f t="shared" si="2754"/>
        <v>17.8155</v>
      </c>
      <c r="O2414" s="31">
        <f t="shared" si="2755"/>
        <v>0</v>
      </c>
      <c r="P2414" s="31">
        <f t="shared" si="2756"/>
        <v>0</v>
      </c>
      <c r="Q2414" s="49">
        <f t="shared" si="2757"/>
        <v>0</v>
      </c>
    </row>
    <row r="2415" spans="4:17" s="62" customFormat="1" x14ac:dyDescent="0.3">
      <c r="D2415" s="235">
        <v>77</v>
      </c>
      <c r="E2415" s="240">
        <v>2</v>
      </c>
      <c r="F2415" s="241">
        <v>16</v>
      </c>
      <c r="G2415" s="242">
        <v>4.4000000000000004</v>
      </c>
      <c r="H2415" s="239">
        <f t="shared" si="2748"/>
        <v>8.8000000000000007</v>
      </c>
      <c r="I2415" s="131">
        <f t="shared" si="2749"/>
        <v>0</v>
      </c>
      <c r="J2415" s="31">
        <f t="shared" si="2750"/>
        <v>0</v>
      </c>
      <c r="K2415" s="31">
        <f t="shared" si="2751"/>
        <v>0</v>
      </c>
      <c r="L2415" s="31">
        <f t="shared" si="2752"/>
        <v>0</v>
      </c>
      <c r="M2415" s="31">
        <f t="shared" si="2753"/>
        <v>0</v>
      </c>
      <c r="N2415" s="31">
        <f t="shared" si="2754"/>
        <v>0</v>
      </c>
      <c r="O2415" s="31">
        <f t="shared" si="2755"/>
        <v>13.886400000000002</v>
      </c>
      <c r="P2415" s="31">
        <f t="shared" si="2756"/>
        <v>0</v>
      </c>
      <c r="Q2415" s="49">
        <f t="shared" si="2757"/>
        <v>0</v>
      </c>
    </row>
    <row r="2416" spans="4:17" s="62" customFormat="1" x14ac:dyDescent="0.3">
      <c r="D2416" s="235">
        <v>79</v>
      </c>
      <c r="E2416" s="240">
        <v>3</v>
      </c>
      <c r="F2416" s="241">
        <v>16</v>
      </c>
      <c r="G2416" s="242">
        <v>8.6199999999999992</v>
      </c>
      <c r="H2416" s="239">
        <f t="shared" si="2748"/>
        <v>25.86</v>
      </c>
      <c r="I2416" s="131">
        <f t="shared" si="2749"/>
        <v>0</v>
      </c>
      <c r="J2416" s="31">
        <f t="shared" si="2750"/>
        <v>0</v>
      </c>
      <c r="K2416" s="31">
        <f t="shared" si="2751"/>
        <v>0</v>
      </c>
      <c r="L2416" s="31">
        <f t="shared" si="2752"/>
        <v>0</v>
      </c>
      <c r="M2416" s="31">
        <f t="shared" si="2753"/>
        <v>0</v>
      </c>
      <c r="N2416" s="31">
        <f t="shared" si="2754"/>
        <v>0</v>
      </c>
      <c r="O2416" s="31">
        <f t="shared" si="2755"/>
        <v>40.807079999999999</v>
      </c>
      <c r="P2416" s="31">
        <f t="shared" si="2756"/>
        <v>0</v>
      </c>
      <c r="Q2416" s="49">
        <f t="shared" si="2757"/>
        <v>0</v>
      </c>
    </row>
    <row r="2417" spans="4:17" s="62" customFormat="1" ht="15" thickBot="1" x14ac:dyDescent="0.35">
      <c r="D2417" s="307"/>
      <c r="E2417" s="26"/>
      <c r="F2417" s="206"/>
      <c r="G2417" s="207"/>
      <c r="H2417" s="207"/>
      <c r="I2417" s="51"/>
      <c r="J2417" s="308"/>
      <c r="K2417" s="308"/>
      <c r="L2417" s="308"/>
      <c r="M2417" s="308"/>
      <c r="N2417" s="308"/>
      <c r="O2417" s="308"/>
      <c r="P2417" s="308"/>
      <c r="Q2417" s="309"/>
    </row>
    <row r="2418" spans="4:17" s="62" customFormat="1" x14ac:dyDescent="0.3">
      <c r="D2418" s="796" t="s">
        <v>1388</v>
      </c>
      <c r="E2418" s="797"/>
      <c r="F2418" s="797"/>
      <c r="G2418" s="797"/>
      <c r="H2418" s="797"/>
      <c r="I2418" s="47">
        <f t="shared" ref="I2418:Q2418" si="2758">SUM(I2419:I2424)</f>
        <v>0</v>
      </c>
      <c r="J2418" s="47">
        <f t="shared" si="2758"/>
        <v>8.8010999999999999</v>
      </c>
      <c r="K2418" s="47">
        <f t="shared" si="2758"/>
        <v>0.1862</v>
      </c>
      <c r="L2418" s="47">
        <f t="shared" si="2758"/>
        <v>0</v>
      </c>
      <c r="M2418" s="47">
        <f t="shared" si="2758"/>
        <v>39.191839999999999</v>
      </c>
      <c r="N2418" s="47">
        <f t="shared" si="2758"/>
        <v>0</v>
      </c>
      <c r="O2418" s="47">
        <f t="shared" si="2758"/>
        <v>0</v>
      </c>
      <c r="P2418" s="47">
        <f t="shared" si="2758"/>
        <v>0</v>
      </c>
      <c r="Q2418" s="47">
        <f t="shared" si="2758"/>
        <v>0</v>
      </c>
    </row>
    <row r="2419" spans="4:17" s="62" customFormat="1" x14ac:dyDescent="0.3">
      <c r="D2419" s="235">
        <v>2</v>
      </c>
      <c r="E2419" s="237">
        <v>45</v>
      </c>
      <c r="F2419" s="238">
        <v>5</v>
      </c>
      <c r="G2419" s="239">
        <v>1.27</v>
      </c>
      <c r="H2419" s="239">
        <f t="shared" ref="H2419:H2424" si="2759">E2419*G2419</f>
        <v>57.15</v>
      </c>
      <c r="I2419" s="131">
        <f t="shared" ref="I2419:I2424" si="2760">IF($F2419=4.2,H2419*$B$23,0)</f>
        <v>0</v>
      </c>
      <c r="J2419" s="31">
        <f t="shared" ref="J2419:J2424" si="2761">IF($F2419=5,$H2419*$B$24,0)</f>
        <v>8.8010999999999999</v>
      </c>
      <c r="K2419" s="31">
        <f t="shared" ref="K2419:K2424" si="2762">IF($F2419=6.3,$H2419*$B$25,0)</f>
        <v>0</v>
      </c>
      <c r="L2419" s="31">
        <f t="shared" ref="L2419:L2424" si="2763">IF($F2419=8,$H2419*$B$26,0)</f>
        <v>0</v>
      </c>
      <c r="M2419" s="31">
        <f t="shared" ref="M2419:M2424" si="2764">IF($F2419=10,$H2419*$B$27,0)</f>
        <v>0</v>
      </c>
      <c r="N2419" s="31">
        <f t="shared" ref="N2419:N2424" si="2765">IF($F2419=12.5,$H2419*$B$28,0)</f>
        <v>0</v>
      </c>
      <c r="O2419" s="31">
        <f t="shared" ref="O2419:O2424" si="2766">IF($F2419=16,$H2419*$B$29,0)</f>
        <v>0</v>
      </c>
      <c r="P2419" s="31">
        <f t="shared" ref="P2419:P2424" si="2767">IF($F2419=20,$H2419*$B$30,0)</f>
        <v>0</v>
      </c>
      <c r="Q2419" s="49">
        <f t="shared" ref="Q2419:Q2424" si="2768">IF($F2419=25,$H2419*$B$31,0)</f>
        <v>0</v>
      </c>
    </row>
    <row r="2420" spans="4:17" s="62" customFormat="1" x14ac:dyDescent="0.3">
      <c r="D2420" s="235">
        <v>8</v>
      </c>
      <c r="E2420" s="240">
        <v>1</v>
      </c>
      <c r="F2420" s="241">
        <v>6.3</v>
      </c>
      <c r="G2420" s="242">
        <v>0.76</v>
      </c>
      <c r="H2420" s="239">
        <f t="shared" si="2759"/>
        <v>0.76</v>
      </c>
      <c r="I2420" s="131">
        <f t="shared" si="2760"/>
        <v>0</v>
      </c>
      <c r="J2420" s="31">
        <f t="shared" si="2761"/>
        <v>0</v>
      </c>
      <c r="K2420" s="31">
        <f t="shared" si="2762"/>
        <v>0.1862</v>
      </c>
      <c r="L2420" s="31">
        <f t="shared" si="2763"/>
        <v>0</v>
      </c>
      <c r="M2420" s="31">
        <f t="shared" si="2764"/>
        <v>0</v>
      </c>
      <c r="N2420" s="31">
        <f t="shared" si="2765"/>
        <v>0</v>
      </c>
      <c r="O2420" s="31">
        <f t="shared" si="2766"/>
        <v>0</v>
      </c>
      <c r="P2420" s="31">
        <f t="shared" si="2767"/>
        <v>0</v>
      </c>
      <c r="Q2420" s="49">
        <f t="shared" si="2768"/>
        <v>0</v>
      </c>
    </row>
    <row r="2421" spans="4:17" s="62" customFormat="1" x14ac:dyDescent="0.3">
      <c r="D2421" s="235">
        <v>30</v>
      </c>
      <c r="E2421" s="240">
        <v>4</v>
      </c>
      <c r="F2421" s="241">
        <v>10</v>
      </c>
      <c r="G2421" s="242">
        <v>8.4700000000000006</v>
      </c>
      <c r="H2421" s="239">
        <f t="shared" si="2759"/>
        <v>33.880000000000003</v>
      </c>
      <c r="I2421" s="131">
        <f t="shared" si="2760"/>
        <v>0</v>
      </c>
      <c r="J2421" s="31">
        <f t="shared" si="2761"/>
        <v>0</v>
      </c>
      <c r="K2421" s="31">
        <f t="shared" si="2762"/>
        <v>0</v>
      </c>
      <c r="L2421" s="31">
        <f t="shared" si="2763"/>
        <v>0</v>
      </c>
      <c r="M2421" s="31">
        <f t="shared" si="2764"/>
        <v>20.903960000000001</v>
      </c>
      <c r="N2421" s="31">
        <f t="shared" si="2765"/>
        <v>0</v>
      </c>
      <c r="O2421" s="31">
        <f t="shared" si="2766"/>
        <v>0</v>
      </c>
      <c r="P2421" s="31">
        <f t="shared" si="2767"/>
        <v>0</v>
      </c>
      <c r="Q2421" s="49">
        <f t="shared" si="2768"/>
        <v>0</v>
      </c>
    </row>
    <row r="2422" spans="4:17" s="62" customFormat="1" x14ac:dyDescent="0.3">
      <c r="D2422" s="235">
        <v>31</v>
      </c>
      <c r="E2422" s="240">
        <v>1</v>
      </c>
      <c r="F2422" s="241">
        <v>10</v>
      </c>
      <c r="G2422" s="242">
        <v>5.79</v>
      </c>
      <c r="H2422" s="239">
        <f t="shared" si="2759"/>
        <v>5.79</v>
      </c>
      <c r="I2422" s="131">
        <f t="shared" si="2760"/>
        <v>0</v>
      </c>
      <c r="J2422" s="31">
        <f t="shared" si="2761"/>
        <v>0</v>
      </c>
      <c r="K2422" s="31">
        <f t="shared" si="2762"/>
        <v>0</v>
      </c>
      <c r="L2422" s="31">
        <f t="shared" si="2763"/>
        <v>0</v>
      </c>
      <c r="M2422" s="31">
        <f t="shared" si="2764"/>
        <v>3.5724299999999998</v>
      </c>
      <c r="N2422" s="31">
        <f t="shared" si="2765"/>
        <v>0</v>
      </c>
      <c r="O2422" s="31">
        <f t="shared" si="2766"/>
        <v>0</v>
      </c>
      <c r="P2422" s="31">
        <f t="shared" si="2767"/>
        <v>0</v>
      </c>
      <c r="Q2422" s="49">
        <f t="shared" si="2768"/>
        <v>0</v>
      </c>
    </row>
    <row r="2423" spans="4:17" s="62" customFormat="1" x14ac:dyDescent="0.3">
      <c r="D2423" s="235">
        <v>32</v>
      </c>
      <c r="E2423" s="240">
        <v>1</v>
      </c>
      <c r="F2423" s="241">
        <v>10</v>
      </c>
      <c r="G2423" s="242">
        <v>5.99</v>
      </c>
      <c r="H2423" s="239">
        <f t="shared" si="2759"/>
        <v>5.99</v>
      </c>
      <c r="I2423" s="131">
        <f t="shared" si="2760"/>
        <v>0</v>
      </c>
      <c r="J2423" s="31">
        <f t="shared" si="2761"/>
        <v>0</v>
      </c>
      <c r="K2423" s="31">
        <f t="shared" si="2762"/>
        <v>0</v>
      </c>
      <c r="L2423" s="31">
        <f t="shared" si="2763"/>
        <v>0</v>
      </c>
      <c r="M2423" s="31">
        <f t="shared" si="2764"/>
        <v>3.6958299999999999</v>
      </c>
      <c r="N2423" s="31">
        <f t="shared" si="2765"/>
        <v>0</v>
      </c>
      <c r="O2423" s="31">
        <f t="shared" si="2766"/>
        <v>0</v>
      </c>
      <c r="P2423" s="31">
        <f t="shared" si="2767"/>
        <v>0</v>
      </c>
      <c r="Q2423" s="49">
        <f t="shared" si="2768"/>
        <v>0</v>
      </c>
    </row>
    <row r="2424" spans="4:17" s="62" customFormat="1" x14ac:dyDescent="0.3">
      <c r="D2424" s="235">
        <v>33</v>
      </c>
      <c r="E2424" s="240">
        <v>2</v>
      </c>
      <c r="F2424" s="241">
        <v>10</v>
      </c>
      <c r="G2424" s="242">
        <v>8.93</v>
      </c>
      <c r="H2424" s="239">
        <f t="shared" si="2759"/>
        <v>17.86</v>
      </c>
      <c r="I2424" s="131">
        <f t="shared" si="2760"/>
        <v>0</v>
      </c>
      <c r="J2424" s="31">
        <f t="shared" si="2761"/>
        <v>0</v>
      </c>
      <c r="K2424" s="31">
        <f t="shared" si="2762"/>
        <v>0</v>
      </c>
      <c r="L2424" s="31">
        <f t="shared" si="2763"/>
        <v>0</v>
      </c>
      <c r="M2424" s="31">
        <f t="shared" si="2764"/>
        <v>11.01962</v>
      </c>
      <c r="N2424" s="31">
        <f t="shared" si="2765"/>
        <v>0</v>
      </c>
      <c r="O2424" s="31">
        <f t="shared" si="2766"/>
        <v>0</v>
      </c>
      <c r="P2424" s="31">
        <f t="shared" si="2767"/>
        <v>0</v>
      </c>
      <c r="Q2424" s="49">
        <f t="shared" si="2768"/>
        <v>0</v>
      </c>
    </row>
    <row r="2425" spans="4:17" s="62" customFormat="1" ht="15" thickBot="1" x14ac:dyDescent="0.35">
      <c r="D2425" s="307"/>
      <c r="E2425" s="26"/>
      <c r="F2425" s="206"/>
      <c r="G2425" s="207"/>
      <c r="H2425" s="207"/>
      <c r="I2425" s="51"/>
      <c r="J2425" s="308"/>
      <c r="K2425" s="308"/>
      <c r="L2425" s="308"/>
      <c r="M2425" s="308"/>
      <c r="N2425" s="308"/>
      <c r="O2425" s="308"/>
      <c r="P2425" s="308"/>
      <c r="Q2425" s="309"/>
    </row>
    <row r="2426" spans="4:17" s="62" customFormat="1" x14ac:dyDescent="0.3">
      <c r="D2426" s="796" t="s">
        <v>1389</v>
      </c>
      <c r="E2426" s="797"/>
      <c r="F2426" s="797"/>
      <c r="G2426" s="797"/>
      <c r="H2426" s="797"/>
      <c r="I2426" s="47">
        <f t="shared" ref="I2426:Q2426" si="2769">SUM(I2427:I2431)</f>
        <v>0</v>
      </c>
      <c r="J2426" s="47">
        <f t="shared" si="2769"/>
        <v>8.8010999999999999</v>
      </c>
      <c r="K2426" s="47">
        <f t="shared" si="2769"/>
        <v>0</v>
      </c>
      <c r="L2426" s="47">
        <f t="shared" si="2769"/>
        <v>16.953399999999998</v>
      </c>
      <c r="M2426" s="47">
        <f t="shared" si="2769"/>
        <v>20.903960000000001</v>
      </c>
      <c r="N2426" s="47">
        <f t="shared" si="2769"/>
        <v>0</v>
      </c>
      <c r="O2426" s="47">
        <f t="shared" si="2769"/>
        <v>0</v>
      </c>
      <c r="P2426" s="47">
        <f t="shared" si="2769"/>
        <v>0</v>
      </c>
      <c r="Q2426" s="47">
        <f t="shared" si="2769"/>
        <v>0</v>
      </c>
    </row>
    <row r="2427" spans="4:17" s="62" customFormat="1" x14ac:dyDescent="0.3">
      <c r="D2427" s="235">
        <v>2</v>
      </c>
      <c r="E2427" s="237">
        <v>45</v>
      </c>
      <c r="F2427" s="238">
        <v>5</v>
      </c>
      <c r="G2427" s="239">
        <v>1.27</v>
      </c>
      <c r="H2427" s="239">
        <f t="shared" ref="H2427:H2431" si="2770">E2427*G2427</f>
        <v>57.15</v>
      </c>
      <c r="I2427" s="131">
        <f t="shared" ref="I2427:I2431" si="2771">IF($F2427=4.2,H2427*$B$23,0)</f>
        <v>0</v>
      </c>
      <c r="J2427" s="31">
        <f t="shared" ref="J2427:J2431" si="2772">IF($F2427=5,$H2427*$B$24,0)</f>
        <v>8.8010999999999999</v>
      </c>
      <c r="K2427" s="31">
        <f t="shared" ref="K2427:K2431" si="2773">IF($F2427=6.3,$H2427*$B$25,0)</f>
        <v>0</v>
      </c>
      <c r="L2427" s="31">
        <f t="shared" ref="L2427:L2431" si="2774">IF($F2427=8,$H2427*$B$26,0)</f>
        <v>0</v>
      </c>
      <c r="M2427" s="31">
        <f t="shared" ref="M2427:M2431" si="2775">IF($F2427=10,$H2427*$B$27,0)</f>
        <v>0</v>
      </c>
      <c r="N2427" s="31">
        <f t="shared" ref="N2427:N2431" si="2776">IF($F2427=12.5,$H2427*$B$28,0)</f>
        <v>0</v>
      </c>
      <c r="O2427" s="31">
        <f t="shared" ref="O2427:O2431" si="2777">IF($F2427=16,$H2427*$B$29,0)</f>
        <v>0</v>
      </c>
      <c r="P2427" s="31">
        <f t="shared" ref="P2427:P2431" si="2778">IF($F2427=20,$H2427*$B$30,0)</f>
        <v>0</v>
      </c>
      <c r="Q2427" s="49">
        <f t="shared" ref="Q2427:Q2431" si="2779">IF($F2427=25,$H2427*$B$31,0)</f>
        <v>0</v>
      </c>
    </row>
    <row r="2428" spans="4:17" s="62" customFormat="1" x14ac:dyDescent="0.3">
      <c r="D2428" s="235">
        <v>10</v>
      </c>
      <c r="E2428" s="240">
        <v>1</v>
      </c>
      <c r="F2428" s="241">
        <v>8</v>
      </c>
      <c r="G2428" s="242">
        <v>2.35</v>
      </c>
      <c r="H2428" s="239">
        <f t="shared" si="2770"/>
        <v>2.35</v>
      </c>
      <c r="I2428" s="131">
        <f t="shared" si="2771"/>
        <v>0</v>
      </c>
      <c r="J2428" s="31">
        <f t="shared" si="2772"/>
        <v>0</v>
      </c>
      <c r="K2428" s="31">
        <f t="shared" si="2773"/>
        <v>0</v>
      </c>
      <c r="L2428" s="31">
        <f t="shared" si="2774"/>
        <v>0.92825000000000013</v>
      </c>
      <c r="M2428" s="31">
        <f t="shared" si="2775"/>
        <v>0</v>
      </c>
      <c r="N2428" s="31">
        <f t="shared" si="2776"/>
        <v>0</v>
      </c>
      <c r="O2428" s="31">
        <f t="shared" si="2777"/>
        <v>0</v>
      </c>
      <c r="P2428" s="31">
        <f t="shared" si="2778"/>
        <v>0</v>
      </c>
      <c r="Q2428" s="49">
        <f t="shared" si="2779"/>
        <v>0</v>
      </c>
    </row>
    <row r="2429" spans="4:17" s="62" customFormat="1" x14ac:dyDescent="0.3">
      <c r="D2429" s="235">
        <v>11</v>
      </c>
      <c r="E2429" s="240">
        <v>1</v>
      </c>
      <c r="F2429" s="241">
        <v>8</v>
      </c>
      <c r="G2429" s="242">
        <v>5.77</v>
      </c>
      <c r="H2429" s="239">
        <f t="shared" si="2770"/>
        <v>5.77</v>
      </c>
      <c r="I2429" s="131">
        <f t="shared" si="2771"/>
        <v>0</v>
      </c>
      <c r="J2429" s="31">
        <f t="shared" si="2772"/>
        <v>0</v>
      </c>
      <c r="K2429" s="31">
        <f t="shared" si="2773"/>
        <v>0</v>
      </c>
      <c r="L2429" s="31">
        <f t="shared" si="2774"/>
        <v>2.27915</v>
      </c>
      <c r="M2429" s="31">
        <f t="shared" si="2775"/>
        <v>0</v>
      </c>
      <c r="N2429" s="31">
        <f t="shared" si="2776"/>
        <v>0</v>
      </c>
      <c r="O2429" s="31">
        <f t="shared" si="2777"/>
        <v>0</v>
      </c>
      <c r="P2429" s="31">
        <f t="shared" si="2778"/>
        <v>0</v>
      </c>
      <c r="Q2429" s="49">
        <f t="shared" si="2779"/>
        <v>0</v>
      </c>
    </row>
    <row r="2430" spans="4:17" s="62" customFormat="1" x14ac:dyDescent="0.3">
      <c r="D2430" s="235">
        <v>12</v>
      </c>
      <c r="E2430" s="240">
        <v>4</v>
      </c>
      <c r="F2430" s="241">
        <v>8</v>
      </c>
      <c r="G2430" s="242">
        <v>8.6999999999999993</v>
      </c>
      <c r="H2430" s="239">
        <f t="shared" si="2770"/>
        <v>34.799999999999997</v>
      </c>
      <c r="I2430" s="131">
        <f t="shared" si="2771"/>
        <v>0</v>
      </c>
      <c r="J2430" s="31">
        <f t="shared" si="2772"/>
        <v>0</v>
      </c>
      <c r="K2430" s="31">
        <f t="shared" si="2773"/>
        <v>0</v>
      </c>
      <c r="L2430" s="31">
        <f t="shared" si="2774"/>
        <v>13.745999999999999</v>
      </c>
      <c r="M2430" s="31">
        <f t="shared" si="2775"/>
        <v>0</v>
      </c>
      <c r="N2430" s="31">
        <f t="shared" si="2776"/>
        <v>0</v>
      </c>
      <c r="O2430" s="31">
        <f t="shared" si="2777"/>
        <v>0</v>
      </c>
      <c r="P2430" s="31">
        <f t="shared" si="2778"/>
        <v>0</v>
      </c>
      <c r="Q2430" s="49">
        <f t="shared" si="2779"/>
        <v>0</v>
      </c>
    </row>
    <row r="2431" spans="4:17" s="62" customFormat="1" x14ac:dyDescent="0.3">
      <c r="D2431" s="235">
        <v>30</v>
      </c>
      <c r="E2431" s="240">
        <v>4</v>
      </c>
      <c r="F2431" s="241">
        <v>10</v>
      </c>
      <c r="G2431" s="242">
        <v>8.4700000000000006</v>
      </c>
      <c r="H2431" s="239">
        <f t="shared" si="2770"/>
        <v>33.880000000000003</v>
      </c>
      <c r="I2431" s="131">
        <f t="shared" si="2771"/>
        <v>0</v>
      </c>
      <c r="J2431" s="31">
        <f t="shared" si="2772"/>
        <v>0</v>
      </c>
      <c r="K2431" s="31">
        <f t="shared" si="2773"/>
        <v>0</v>
      </c>
      <c r="L2431" s="31">
        <f t="shared" si="2774"/>
        <v>0</v>
      </c>
      <c r="M2431" s="31">
        <f t="shared" si="2775"/>
        <v>20.903960000000001</v>
      </c>
      <c r="N2431" s="31">
        <f t="shared" si="2776"/>
        <v>0</v>
      </c>
      <c r="O2431" s="31">
        <f t="shared" si="2777"/>
        <v>0</v>
      </c>
      <c r="P2431" s="31">
        <f t="shared" si="2778"/>
        <v>0</v>
      </c>
      <c r="Q2431" s="49">
        <f t="shared" si="2779"/>
        <v>0</v>
      </c>
    </row>
    <row r="2432" spans="4:17" s="62" customFormat="1" ht="15" thickBot="1" x14ac:dyDescent="0.35">
      <c r="D2432" s="307"/>
      <c r="E2432" s="26"/>
      <c r="F2432" s="206"/>
      <c r="G2432" s="207"/>
      <c r="H2432" s="207"/>
      <c r="I2432" s="51"/>
      <c r="J2432" s="308"/>
      <c r="K2432" s="308"/>
      <c r="L2432" s="308"/>
      <c r="M2432" s="308"/>
      <c r="N2432" s="308"/>
      <c r="O2432" s="308"/>
      <c r="P2432" s="308"/>
      <c r="Q2432" s="309"/>
    </row>
    <row r="2433" spans="4:17" s="62" customFormat="1" x14ac:dyDescent="0.3">
      <c r="D2433" s="796" t="s">
        <v>1390</v>
      </c>
      <c r="E2433" s="797"/>
      <c r="F2433" s="797"/>
      <c r="G2433" s="797"/>
      <c r="H2433" s="797"/>
      <c r="I2433" s="47">
        <f t="shared" ref="I2433:Q2433" si="2780">SUM(I2434:I2448)</f>
        <v>0</v>
      </c>
      <c r="J2433" s="47">
        <f t="shared" si="2780"/>
        <v>12.432419999999999</v>
      </c>
      <c r="K2433" s="47">
        <f t="shared" si="2780"/>
        <v>0</v>
      </c>
      <c r="L2433" s="47">
        <f t="shared" si="2780"/>
        <v>25.260249999999999</v>
      </c>
      <c r="M2433" s="47">
        <f t="shared" si="2780"/>
        <v>26.549509999999998</v>
      </c>
      <c r="N2433" s="47">
        <f t="shared" si="2780"/>
        <v>13.88646</v>
      </c>
      <c r="O2433" s="47">
        <f t="shared" si="2780"/>
        <v>0</v>
      </c>
      <c r="P2433" s="47">
        <f t="shared" si="2780"/>
        <v>0</v>
      </c>
      <c r="Q2433" s="47">
        <f t="shared" si="2780"/>
        <v>0</v>
      </c>
    </row>
    <row r="2434" spans="4:17" s="62" customFormat="1" x14ac:dyDescent="0.3">
      <c r="D2434" s="235">
        <v>1</v>
      </c>
      <c r="E2434" s="237">
        <v>69</v>
      </c>
      <c r="F2434" s="238">
        <v>5</v>
      </c>
      <c r="G2434" s="239">
        <v>1.17</v>
      </c>
      <c r="H2434" s="239">
        <f t="shared" ref="H2434:H2448" si="2781">E2434*G2434</f>
        <v>80.72999999999999</v>
      </c>
      <c r="I2434" s="131">
        <f t="shared" ref="I2434:I2448" si="2782">IF($F2434=4.2,H2434*$B$23,0)</f>
        <v>0</v>
      </c>
      <c r="J2434" s="31">
        <f t="shared" ref="J2434:J2448" si="2783">IF($F2434=5,$H2434*$B$24,0)</f>
        <v>12.432419999999999</v>
      </c>
      <c r="K2434" s="31">
        <f t="shared" ref="K2434:K2448" si="2784">IF($F2434=6.3,$H2434*$B$25,0)</f>
        <v>0</v>
      </c>
      <c r="L2434" s="31">
        <f t="shared" ref="L2434:L2448" si="2785">IF($F2434=8,$H2434*$B$26,0)</f>
        <v>0</v>
      </c>
      <c r="M2434" s="31">
        <f t="shared" ref="M2434:M2448" si="2786">IF($F2434=10,$H2434*$B$27,0)</f>
        <v>0</v>
      </c>
      <c r="N2434" s="31">
        <f t="shared" ref="N2434:N2448" si="2787">IF($F2434=12.5,$H2434*$B$28,0)</f>
        <v>0</v>
      </c>
      <c r="O2434" s="31">
        <f t="shared" ref="O2434:O2448" si="2788">IF($F2434=16,$H2434*$B$29,0)</f>
        <v>0</v>
      </c>
      <c r="P2434" s="31">
        <f t="shared" ref="P2434:P2448" si="2789">IF($F2434=20,$H2434*$B$30,0)</f>
        <v>0</v>
      </c>
      <c r="Q2434" s="49">
        <f t="shared" ref="Q2434:Q2448" si="2790">IF($F2434=25,$H2434*$B$31,0)</f>
        <v>0</v>
      </c>
    </row>
    <row r="2435" spans="4:17" s="62" customFormat="1" x14ac:dyDescent="0.3">
      <c r="D2435" s="235">
        <v>13</v>
      </c>
      <c r="E2435" s="240">
        <v>4</v>
      </c>
      <c r="F2435" s="241">
        <v>8</v>
      </c>
      <c r="G2435" s="242">
        <v>8.09</v>
      </c>
      <c r="H2435" s="239">
        <f t="shared" si="2781"/>
        <v>32.36</v>
      </c>
      <c r="I2435" s="131">
        <f t="shared" si="2782"/>
        <v>0</v>
      </c>
      <c r="J2435" s="31">
        <f t="shared" si="2783"/>
        <v>0</v>
      </c>
      <c r="K2435" s="31">
        <f t="shared" si="2784"/>
        <v>0</v>
      </c>
      <c r="L2435" s="31">
        <f t="shared" si="2785"/>
        <v>12.7822</v>
      </c>
      <c r="M2435" s="31">
        <f t="shared" si="2786"/>
        <v>0</v>
      </c>
      <c r="N2435" s="31">
        <f t="shared" si="2787"/>
        <v>0</v>
      </c>
      <c r="O2435" s="31">
        <f t="shared" si="2788"/>
        <v>0</v>
      </c>
      <c r="P2435" s="31">
        <f t="shared" si="2789"/>
        <v>0</v>
      </c>
      <c r="Q2435" s="49">
        <f t="shared" si="2790"/>
        <v>0</v>
      </c>
    </row>
    <row r="2436" spans="4:17" s="62" customFormat="1" x14ac:dyDescent="0.3">
      <c r="D2436" s="235">
        <v>14</v>
      </c>
      <c r="E2436" s="240">
        <v>3</v>
      </c>
      <c r="F2436" s="241">
        <v>8</v>
      </c>
      <c r="G2436" s="242">
        <v>2.46</v>
      </c>
      <c r="H2436" s="239">
        <f t="shared" si="2781"/>
        <v>7.38</v>
      </c>
      <c r="I2436" s="131">
        <f t="shared" si="2782"/>
        <v>0</v>
      </c>
      <c r="J2436" s="31">
        <f t="shared" si="2783"/>
        <v>0</v>
      </c>
      <c r="K2436" s="31">
        <f t="shared" si="2784"/>
        <v>0</v>
      </c>
      <c r="L2436" s="31">
        <f t="shared" si="2785"/>
        <v>2.9151000000000002</v>
      </c>
      <c r="M2436" s="31">
        <f t="shared" si="2786"/>
        <v>0</v>
      </c>
      <c r="N2436" s="31">
        <f t="shared" si="2787"/>
        <v>0</v>
      </c>
      <c r="O2436" s="31">
        <f t="shared" si="2788"/>
        <v>0</v>
      </c>
      <c r="P2436" s="31">
        <f t="shared" si="2789"/>
        <v>0</v>
      </c>
      <c r="Q2436" s="49">
        <f t="shared" si="2790"/>
        <v>0</v>
      </c>
    </row>
    <row r="2437" spans="4:17" s="62" customFormat="1" x14ac:dyDescent="0.3">
      <c r="D2437" s="235">
        <v>15</v>
      </c>
      <c r="E2437" s="240">
        <v>3</v>
      </c>
      <c r="F2437" s="241">
        <v>8</v>
      </c>
      <c r="G2437" s="242">
        <v>4.51</v>
      </c>
      <c r="H2437" s="239">
        <f t="shared" si="2781"/>
        <v>13.53</v>
      </c>
      <c r="I2437" s="131">
        <f t="shared" si="2782"/>
        <v>0</v>
      </c>
      <c r="J2437" s="31">
        <f t="shared" si="2783"/>
        <v>0</v>
      </c>
      <c r="K2437" s="31">
        <f t="shared" si="2784"/>
        <v>0</v>
      </c>
      <c r="L2437" s="31">
        <f t="shared" si="2785"/>
        <v>5.3443500000000004</v>
      </c>
      <c r="M2437" s="31">
        <f t="shared" si="2786"/>
        <v>0</v>
      </c>
      <c r="N2437" s="31">
        <f t="shared" si="2787"/>
        <v>0</v>
      </c>
      <c r="O2437" s="31">
        <f t="shared" si="2788"/>
        <v>0</v>
      </c>
      <c r="P2437" s="31">
        <f t="shared" si="2789"/>
        <v>0</v>
      </c>
      <c r="Q2437" s="49">
        <f t="shared" si="2790"/>
        <v>0</v>
      </c>
    </row>
    <row r="2438" spans="4:17" s="62" customFormat="1" x14ac:dyDescent="0.3">
      <c r="D2438" s="235">
        <v>16</v>
      </c>
      <c r="E2438" s="240">
        <v>3</v>
      </c>
      <c r="F2438" s="241">
        <v>8</v>
      </c>
      <c r="G2438" s="242">
        <v>2.56</v>
      </c>
      <c r="H2438" s="239">
        <f t="shared" ref="H2438:H2443" si="2791">E2438*G2438</f>
        <v>7.68</v>
      </c>
      <c r="I2438" s="131">
        <f t="shared" ref="I2438:I2443" si="2792">IF($F2438=4.2,H2438*$B$23,0)</f>
        <v>0</v>
      </c>
      <c r="J2438" s="31">
        <f t="shared" si="2783"/>
        <v>0</v>
      </c>
      <c r="K2438" s="31">
        <f t="shared" si="2784"/>
        <v>0</v>
      </c>
      <c r="L2438" s="31">
        <f t="shared" si="2785"/>
        <v>3.0335999999999999</v>
      </c>
      <c r="M2438" s="31">
        <f t="shared" si="2786"/>
        <v>0</v>
      </c>
      <c r="N2438" s="31">
        <f t="shared" si="2787"/>
        <v>0</v>
      </c>
      <c r="O2438" s="31">
        <f t="shared" si="2788"/>
        <v>0</v>
      </c>
      <c r="P2438" s="31">
        <f t="shared" si="2789"/>
        <v>0</v>
      </c>
      <c r="Q2438" s="49">
        <f t="shared" si="2790"/>
        <v>0</v>
      </c>
    </row>
    <row r="2439" spans="4:17" s="62" customFormat="1" x14ac:dyDescent="0.3">
      <c r="D2439" s="235">
        <v>17</v>
      </c>
      <c r="E2439" s="240">
        <v>3</v>
      </c>
      <c r="F2439" s="241">
        <v>8</v>
      </c>
      <c r="G2439" s="242">
        <v>1</v>
      </c>
      <c r="H2439" s="239">
        <f t="shared" si="2791"/>
        <v>3</v>
      </c>
      <c r="I2439" s="131">
        <f t="shared" si="2792"/>
        <v>0</v>
      </c>
      <c r="J2439" s="31">
        <f t="shared" si="2783"/>
        <v>0</v>
      </c>
      <c r="K2439" s="31">
        <f t="shared" si="2784"/>
        <v>0</v>
      </c>
      <c r="L2439" s="31">
        <f t="shared" si="2785"/>
        <v>1.1850000000000001</v>
      </c>
      <c r="M2439" s="31">
        <f t="shared" si="2786"/>
        <v>0</v>
      </c>
      <c r="N2439" s="31">
        <f t="shared" si="2787"/>
        <v>0</v>
      </c>
      <c r="O2439" s="31">
        <f t="shared" si="2788"/>
        <v>0</v>
      </c>
      <c r="P2439" s="31">
        <f t="shared" si="2789"/>
        <v>0</v>
      </c>
      <c r="Q2439" s="49">
        <f t="shared" si="2790"/>
        <v>0</v>
      </c>
    </row>
    <row r="2440" spans="4:17" s="62" customFormat="1" x14ac:dyDescent="0.3">
      <c r="D2440" s="235">
        <v>34</v>
      </c>
      <c r="E2440" s="240">
        <v>1</v>
      </c>
      <c r="F2440" s="241">
        <v>10</v>
      </c>
      <c r="G2440" s="242">
        <v>2.5</v>
      </c>
      <c r="H2440" s="239">
        <f t="shared" si="2791"/>
        <v>2.5</v>
      </c>
      <c r="I2440" s="131">
        <f t="shared" si="2792"/>
        <v>0</v>
      </c>
      <c r="J2440" s="31">
        <f t="shared" si="2783"/>
        <v>0</v>
      </c>
      <c r="K2440" s="31">
        <f t="shared" si="2784"/>
        <v>0</v>
      </c>
      <c r="L2440" s="31">
        <f t="shared" si="2785"/>
        <v>0</v>
      </c>
      <c r="M2440" s="31">
        <f t="shared" si="2786"/>
        <v>1.5425</v>
      </c>
      <c r="N2440" s="31">
        <f t="shared" si="2787"/>
        <v>0</v>
      </c>
      <c r="O2440" s="31">
        <f t="shared" si="2788"/>
        <v>0</v>
      </c>
      <c r="P2440" s="31">
        <f t="shared" si="2789"/>
        <v>0</v>
      </c>
      <c r="Q2440" s="49">
        <f t="shared" si="2790"/>
        <v>0</v>
      </c>
    </row>
    <row r="2441" spans="4:17" s="62" customFormat="1" x14ac:dyDescent="0.3">
      <c r="D2441" s="235">
        <v>35</v>
      </c>
      <c r="E2441" s="240">
        <v>2</v>
      </c>
      <c r="F2441" s="241">
        <v>10</v>
      </c>
      <c r="G2441" s="242">
        <v>4.07</v>
      </c>
      <c r="H2441" s="239">
        <f t="shared" si="2791"/>
        <v>8.14</v>
      </c>
      <c r="I2441" s="131">
        <f t="shared" si="2792"/>
        <v>0</v>
      </c>
      <c r="J2441" s="31">
        <f t="shared" si="2783"/>
        <v>0</v>
      </c>
      <c r="K2441" s="31">
        <f t="shared" si="2784"/>
        <v>0</v>
      </c>
      <c r="L2441" s="31">
        <f t="shared" si="2785"/>
        <v>0</v>
      </c>
      <c r="M2441" s="31">
        <f t="shared" si="2786"/>
        <v>5.0223800000000001</v>
      </c>
      <c r="N2441" s="31">
        <f t="shared" si="2787"/>
        <v>0</v>
      </c>
      <c r="O2441" s="31">
        <f t="shared" si="2788"/>
        <v>0</v>
      </c>
      <c r="P2441" s="31">
        <f t="shared" si="2789"/>
        <v>0</v>
      </c>
      <c r="Q2441" s="49">
        <f t="shared" si="2790"/>
        <v>0</v>
      </c>
    </row>
    <row r="2442" spans="4:17" s="62" customFormat="1" x14ac:dyDescent="0.3">
      <c r="D2442" s="235">
        <v>36</v>
      </c>
      <c r="E2442" s="240">
        <v>1</v>
      </c>
      <c r="F2442" s="241">
        <v>10</v>
      </c>
      <c r="G2442" s="242">
        <v>5.5</v>
      </c>
      <c r="H2442" s="239">
        <f t="shared" si="2791"/>
        <v>5.5</v>
      </c>
      <c r="I2442" s="131">
        <f t="shared" si="2792"/>
        <v>0</v>
      </c>
      <c r="J2442" s="31">
        <f t="shared" si="2783"/>
        <v>0</v>
      </c>
      <c r="K2442" s="31">
        <f t="shared" si="2784"/>
        <v>0</v>
      </c>
      <c r="L2442" s="31">
        <f t="shared" si="2785"/>
        <v>0</v>
      </c>
      <c r="M2442" s="31">
        <f t="shared" si="2786"/>
        <v>3.3935</v>
      </c>
      <c r="N2442" s="31">
        <f t="shared" si="2787"/>
        <v>0</v>
      </c>
      <c r="O2442" s="31">
        <f t="shared" si="2788"/>
        <v>0</v>
      </c>
      <c r="P2442" s="31">
        <f t="shared" si="2789"/>
        <v>0</v>
      </c>
      <c r="Q2442" s="49">
        <f t="shared" si="2790"/>
        <v>0</v>
      </c>
    </row>
    <row r="2443" spans="4:17" s="62" customFormat="1" x14ac:dyDescent="0.3">
      <c r="D2443" s="235">
        <v>37</v>
      </c>
      <c r="E2443" s="240">
        <v>2</v>
      </c>
      <c r="F2443" s="241">
        <v>10</v>
      </c>
      <c r="G2443" s="242">
        <v>8.0500000000000007</v>
      </c>
      <c r="H2443" s="239">
        <f t="shared" si="2791"/>
        <v>16.100000000000001</v>
      </c>
      <c r="I2443" s="131">
        <f t="shared" si="2792"/>
        <v>0</v>
      </c>
      <c r="J2443" s="31">
        <f t="shared" si="2783"/>
        <v>0</v>
      </c>
      <c r="K2443" s="31">
        <f t="shared" si="2784"/>
        <v>0</v>
      </c>
      <c r="L2443" s="31">
        <f t="shared" si="2785"/>
        <v>0</v>
      </c>
      <c r="M2443" s="31">
        <f t="shared" si="2786"/>
        <v>9.9337</v>
      </c>
      <c r="N2443" s="31">
        <f t="shared" si="2787"/>
        <v>0</v>
      </c>
      <c r="O2443" s="31">
        <f t="shared" si="2788"/>
        <v>0</v>
      </c>
      <c r="P2443" s="31">
        <f t="shared" si="2789"/>
        <v>0</v>
      </c>
      <c r="Q2443" s="49">
        <f t="shared" si="2790"/>
        <v>0</v>
      </c>
    </row>
    <row r="2444" spans="4:17" s="62" customFormat="1" x14ac:dyDescent="0.3">
      <c r="D2444" s="235">
        <v>38</v>
      </c>
      <c r="E2444" s="240">
        <v>1</v>
      </c>
      <c r="F2444" s="241">
        <v>10</v>
      </c>
      <c r="G2444" s="242">
        <v>2.4500000000000002</v>
      </c>
      <c r="H2444" s="239">
        <f t="shared" si="2781"/>
        <v>2.4500000000000002</v>
      </c>
      <c r="I2444" s="131">
        <f t="shared" si="2782"/>
        <v>0</v>
      </c>
      <c r="J2444" s="31">
        <f t="shared" si="2783"/>
        <v>0</v>
      </c>
      <c r="K2444" s="31">
        <f t="shared" si="2784"/>
        <v>0</v>
      </c>
      <c r="L2444" s="31">
        <f t="shared" si="2785"/>
        <v>0</v>
      </c>
      <c r="M2444" s="31">
        <f t="shared" si="2786"/>
        <v>1.5116500000000002</v>
      </c>
      <c r="N2444" s="31">
        <f t="shared" si="2787"/>
        <v>0</v>
      </c>
      <c r="O2444" s="31">
        <f t="shared" si="2788"/>
        <v>0</v>
      </c>
      <c r="P2444" s="31">
        <f t="shared" si="2789"/>
        <v>0</v>
      </c>
      <c r="Q2444" s="49">
        <f t="shared" si="2790"/>
        <v>0</v>
      </c>
    </row>
    <row r="2445" spans="4:17" s="62" customFormat="1" x14ac:dyDescent="0.3">
      <c r="D2445" s="235">
        <v>39</v>
      </c>
      <c r="E2445" s="240">
        <v>2</v>
      </c>
      <c r="F2445" s="241">
        <v>10</v>
      </c>
      <c r="G2445" s="242">
        <v>4.17</v>
      </c>
      <c r="H2445" s="239">
        <f t="shared" si="2781"/>
        <v>8.34</v>
      </c>
      <c r="I2445" s="131">
        <f t="shared" si="2782"/>
        <v>0</v>
      </c>
      <c r="J2445" s="31">
        <f t="shared" si="2783"/>
        <v>0</v>
      </c>
      <c r="K2445" s="31">
        <f t="shared" si="2784"/>
        <v>0</v>
      </c>
      <c r="L2445" s="31">
        <f t="shared" si="2785"/>
        <v>0</v>
      </c>
      <c r="M2445" s="31">
        <f t="shared" si="2786"/>
        <v>5.1457800000000002</v>
      </c>
      <c r="N2445" s="31">
        <f t="shared" si="2787"/>
        <v>0</v>
      </c>
      <c r="O2445" s="31">
        <f t="shared" si="2788"/>
        <v>0</v>
      </c>
      <c r="P2445" s="31">
        <f t="shared" si="2789"/>
        <v>0</v>
      </c>
      <c r="Q2445" s="49">
        <f t="shared" si="2790"/>
        <v>0</v>
      </c>
    </row>
    <row r="2446" spans="4:17" s="62" customFormat="1" x14ac:dyDescent="0.3">
      <c r="D2446" s="235">
        <v>60</v>
      </c>
      <c r="E2446" s="240">
        <v>2</v>
      </c>
      <c r="F2446" s="241">
        <v>12.5</v>
      </c>
      <c r="G2446" s="242">
        <v>0.96</v>
      </c>
      <c r="H2446" s="239">
        <f t="shared" si="2781"/>
        <v>1.92</v>
      </c>
      <c r="I2446" s="131">
        <f t="shared" si="2782"/>
        <v>0</v>
      </c>
      <c r="J2446" s="31">
        <f t="shared" si="2783"/>
        <v>0</v>
      </c>
      <c r="K2446" s="31">
        <f t="shared" si="2784"/>
        <v>0</v>
      </c>
      <c r="L2446" s="31">
        <f t="shared" si="2785"/>
        <v>0</v>
      </c>
      <c r="M2446" s="31">
        <f t="shared" si="2786"/>
        <v>0</v>
      </c>
      <c r="N2446" s="31">
        <f t="shared" si="2787"/>
        <v>1.8489599999999999</v>
      </c>
      <c r="O2446" s="31">
        <f t="shared" si="2788"/>
        <v>0</v>
      </c>
      <c r="P2446" s="31">
        <f t="shared" si="2789"/>
        <v>0</v>
      </c>
      <c r="Q2446" s="49">
        <f t="shared" si="2790"/>
        <v>0</v>
      </c>
    </row>
    <row r="2447" spans="4:17" s="62" customFormat="1" x14ac:dyDescent="0.3">
      <c r="D2447" s="235">
        <v>61</v>
      </c>
      <c r="E2447" s="240">
        <v>2</v>
      </c>
      <c r="F2447" s="241">
        <v>12.5</v>
      </c>
      <c r="G2447" s="242">
        <v>3.15</v>
      </c>
      <c r="H2447" s="239">
        <f t="shared" si="2781"/>
        <v>6.3</v>
      </c>
      <c r="I2447" s="131">
        <f t="shared" si="2782"/>
        <v>0</v>
      </c>
      <c r="J2447" s="31">
        <f t="shared" si="2783"/>
        <v>0</v>
      </c>
      <c r="K2447" s="31">
        <f t="shared" si="2784"/>
        <v>0</v>
      </c>
      <c r="L2447" s="31">
        <f t="shared" si="2785"/>
        <v>0</v>
      </c>
      <c r="M2447" s="31">
        <f t="shared" si="2786"/>
        <v>0</v>
      </c>
      <c r="N2447" s="31">
        <f t="shared" si="2787"/>
        <v>6.0668999999999995</v>
      </c>
      <c r="O2447" s="31">
        <f t="shared" si="2788"/>
        <v>0</v>
      </c>
      <c r="P2447" s="31">
        <f t="shared" si="2789"/>
        <v>0</v>
      </c>
      <c r="Q2447" s="49">
        <f t="shared" si="2790"/>
        <v>0</v>
      </c>
    </row>
    <row r="2448" spans="4:17" s="62" customFormat="1" x14ac:dyDescent="0.3">
      <c r="D2448" s="235">
        <v>62</v>
      </c>
      <c r="E2448" s="240">
        <v>2</v>
      </c>
      <c r="F2448" s="241">
        <v>12.5</v>
      </c>
      <c r="G2448" s="242">
        <v>3.1</v>
      </c>
      <c r="H2448" s="239">
        <f t="shared" si="2781"/>
        <v>6.2</v>
      </c>
      <c r="I2448" s="131">
        <f t="shared" si="2782"/>
        <v>0</v>
      </c>
      <c r="J2448" s="31">
        <f t="shared" si="2783"/>
        <v>0</v>
      </c>
      <c r="K2448" s="31">
        <f t="shared" si="2784"/>
        <v>0</v>
      </c>
      <c r="L2448" s="31">
        <f t="shared" si="2785"/>
        <v>0</v>
      </c>
      <c r="M2448" s="31">
        <f t="shared" si="2786"/>
        <v>0</v>
      </c>
      <c r="N2448" s="31">
        <f t="shared" si="2787"/>
        <v>5.9706000000000001</v>
      </c>
      <c r="O2448" s="31">
        <f t="shared" si="2788"/>
        <v>0</v>
      </c>
      <c r="P2448" s="31">
        <f t="shared" si="2789"/>
        <v>0</v>
      </c>
      <c r="Q2448" s="49">
        <f t="shared" si="2790"/>
        <v>0</v>
      </c>
    </row>
    <row r="2449" spans="4:17" s="62" customFormat="1" ht="15" thickBot="1" x14ac:dyDescent="0.35">
      <c r="D2449" s="307"/>
      <c r="E2449" s="26"/>
      <c r="F2449" s="206"/>
      <c r="G2449" s="207"/>
      <c r="H2449" s="207"/>
      <c r="I2449" s="51"/>
      <c r="J2449" s="308"/>
      <c r="K2449" s="308"/>
      <c r="L2449" s="308"/>
      <c r="M2449" s="308"/>
      <c r="N2449" s="308"/>
      <c r="O2449" s="308"/>
      <c r="P2449" s="308"/>
      <c r="Q2449" s="309"/>
    </row>
    <row r="2450" spans="4:17" s="62" customFormat="1" x14ac:dyDescent="0.3">
      <c r="D2450" s="796" t="s">
        <v>1392</v>
      </c>
      <c r="E2450" s="797"/>
      <c r="F2450" s="797"/>
      <c r="G2450" s="797"/>
      <c r="H2450" s="797"/>
      <c r="I2450" s="47">
        <f t="shared" ref="I2450:Q2450" si="2793">SUM(I2451:I2459)</f>
        <v>0</v>
      </c>
      <c r="J2450" s="47">
        <f t="shared" si="2793"/>
        <v>9.5495400000000004</v>
      </c>
      <c r="K2450" s="47">
        <f t="shared" si="2793"/>
        <v>0</v>
      </c>
      <c r="L2450" s="47">
        <f t="shared" si="2793"/>
        <v>0</v>
      </c>
      <c r="M2450" s="47">
        <f t="shared" si="2793"/>
        <v>35.354100000000003</v>
      </c>
      <c r="N2450" s="47">
        <f t="shared" si="2793"/>
        <v>36.767339999999997</v>
      </c>
      <c r="O2450" s="47">
        <f t="shared" si="2793"/>
        <v>0</v>
      </c>
      <c r="P2450" s="47">
        <f t="shared" si="2793"/>
        <v>0</v>
      </c>
      <c r="Q2450" s="47">
        <f t="shared" si="2793"/>
        <v>0</v>
      </c>
    </row>
    <row r="2451" spans="4:17" s="62" customFormat="1" x14ac:dyDescent="0.3">
      <c r="D2451" s="235">
        <v>1</v>
      </c>
      <c r="E2451" s="237">
        <v>53</v>
      </c>
      <c r="F2451" s="238">
        <v>5</v>
      </c>
      <c r="G2451" s="239">
        <v>1.17</v>
      </c>
      <c r="H2451" s="239">
        <f t="shared" ref="H2451:H2459" si="2794">E2451*G2451</f>
        <v>62.01</v>
      </c>
      <c r="I2451" s="131">
        <f t="shared" ref="I2451:I2459" si="2795">IF($F2451=4.2,H2451*$B$23,0)</f>
        <v>0</v>
      </c>
      <c r="J2451" s="31">
        <f t="shared" ref="J2451:J2459" si="2796">IF($F2451=5,$H2451*$B$24,0)</f>
        <v>9.5495400000000004</v>
      </c>
      <c r="K2451" s="31">
        <f t="shared" ref="K2451:K2459" si="2797">IF($F2451=6.3,$H2451*$B$25,0)</f>
        <v>0</v>
      </c>
      <c r="L2451" s="31">
        <f t="shared" ref="L2451:L2459" si="2798">IF($F2451=8,$H2451*$B$26,0)</f>
        <v>0</v>
      </c>
      <c r="M2451" s="31">
        <f t="shared" ref="M2451:M2459" si="2799">IF($F2451=10,$H2451*$B$27,0)</f>
        <v>0</v>
      </c>
      <c r="N2451" s="31">
        <f t="shared" ref="N2451:N2459" si="2800">IF($F2451=12.5,$H2451*$B$28,0)</f>
        <v>0</v>
      </c>
      <c r="O2451" s="31">
        <f t="shared" ref="O2451:O2459" si="2801">IF($F2451=16,$H2451*$B$29,0)</f>
        <v>0</v>
      </c>
      <c r="P2451" s="31">
        <f t="shared" ref="P2451:P2459" si="2802">IF($F2451=20,$H2451*$B$30,0)</f>
        <v>0</v>
      </c>
      <c r="Q2451" s="49">
        <f t="shared" ref="Q2451:Q2459" si="2803">IF($F2451=25,$H2451*$B$31,0)</f>
        <v>0</v>
      </c>
    </row>
    <row r="2452" spans="4:17" s="62" customFormat="1" x14ac:dyDescent="0.3">
      <c r="D2452" s="235">
        <v>34</v>
      </c>
      <c r="E2452" s="240">
        <v>2</v>
      </c>
      <c r="F2452" s="241">
        <v>10</v>
      </c>
      <c r="G2452" s="242">
        <v>2.5</v>
      </c>
      <c r="H2452" s="239">
        <f t="shared" si="2794"/>
        <v>5</v>
      </c>
      <c r="I2452" s="131">
        <f t="shared" si="2795"/>
        <v>0</v>
      </c>
      <c r="J2452" s="31">
        <f t="shared" si="2796"/>
        <v>0</v>
      </c>
      <c r="K2452" s="31">
        <f t="shared" si="2797"/>
        <v>0</v>
      </c>
      <c r="L2452" s="31">
        <f t="shared" si="2798"/>
        <v>0</v>
      </c>
      <c r="M2452" s="31">
        <f t="shared" si="2799"/>
        <v>3.085</v>
      </c>
      <c r="N2452" s="31">
        <f t="shared" si="2800"/>
        <v>0</v>
      </c>
      <c r="O2452" s="31">
        <f t="shared" si="2801"/>
        <v>0</v>
      </c>
      <c r="P2452" s="31">
        <f t="shared" si="2802"/>
        <v>0</v>
      </c>
      <c r="Q2452" s="49">
        <f t="shared" si="2803"/>
        <v>0</v>
      </c>
    </row>
    <row r="2453" spans="4:17" s="62" customFormat="1" x14ac:dyDescent="0.3">
      <c r="D2453" s="235">
        <v>40</v>
      </c>
      <c r="E2453" s="240">
        <v>2</v>
      </c>
      <c r="F2453" s="241">
        <v>10</v>
      </c>
      <c r="G2453" s="242">
        <v>2.95</v>
      </c>
      <c r="H2453" s="239">
        <f t="shared" si="2794"/>
        <v>5.9</v>
      </c>
      <c r="I2453" s="131">
        <f t="shared" si="2795"/>
        <v>0</v>
      </c>
      <c r="J2453" s="31">
        <f t="shared" si="2796"/>
        <v>0</v>
      </c>
      <c r="K2453" s="31">
        <f t="shared" si="2797"/>
        <v>0</v>
      </c>
      <c r="L2453" s="31">
        <f t="shared" si="2798"/>
        <v>0</v>
      </c>
      <c r="M2453" s="31">
        <f t="shared" si="2799"/>
        <v>3.6403000000000003</v>
      </c>
      <c r="N2453" s="31">
        <f t="shared" si="2800"/>
        <v>0</v>
      </c>
      <c r="O2453" s="31">
        <f t="shared" si="2801"/>
        <v>0</v>
      </c>
      <c r="P2453" s="31">
        <f t="shared" si="2802"/>
        <v>0</v>
      </c>
      <c r="Q2453" s="49">
        <f t="shared" si="2803"/>
        <v>0</v>
      </c>
    </row>
    <row r="2454" spans="4:17" s="62" customFormat="1" x14ac:dyDescent="0.3">
      <c r="D2454" s="235">
        <v>41</v>
      </c>
      <c r="E2454" s="240">
        <v>4</v>
      </c>
      <c r="F2454" s="241">
        <v>10</v>
      </c>
      <c r="G2454" s="242">
        <v>1.62</v>
      </c>
      <c r="H2454" s="239">
        <f t="shared" si="2794"/>
        <v>6.48</v>
      </c>
      <c r="I2454" s="131">
        <f t="shared" si="2795"/>
        <v>0</v>
      </c>
      <c r="J2454" s="31">
        <f t="shared" si="2796"/>
        <v>0</v>
      </c>
      <c r="K2454" s="31">
        <f t="shared" si="2797"/>
        <v>0</v>
      </c>
      <c r="L2454" s="31">
        <f t="shared" si="2798"/>
        <v>0</v>
      </c>
      <c r="M2454" s="31">
        <f t="shared" si="2799"/>
        <v>3.9981600000000004</v>
      </c>
      <c r="N2454" s="31">
        <f t="shared" si="2800"/>
        <v>0</v>
      </c>
      <c r="O2454" s="31">
        <f t="shared" si="2801"/>
        <v>0</v>
      </c>
      <c r="P2454" s="31">
        <f t="shared" si="2802"/>
        <v>0</v>
      </c>
      <c r="Q2454" s="49">
        <f t="shared" si="2803"/>
        <v>0</v>
      </c>
    </row>
    <row r="2455" spans="4:17" s="62" customFormat="1" x14ac:dyDescent="0.3">
      <c r="D2455" s="235">
        <v>42</v>
      </c>
      <c r="E2455" s="240">
        <v>1</v>
      </c>
      <c r="F2455" s="241">
        <v>10</v>
      </c>
      <c r="G2455" s="242">
        <v>7.7</v>
      </c>
      <c r="H2455" s="239">
        <f t="shared" si="2794"/>
        <v>7.7</v>
      </c>
      <c r="I2455" s="131">
        <f t="shared" si="2795"/>
        <v>0</v>
      </c>
      <c r="J2455" s="31">
        <f t="shared" si="2796"/>
        <v>0</v>
      </c>
      <c r="K2455" s="31">
        <f t="shared" si="2797"/>
        <v>0</v>
      </c>
      <c r="L2455" s="31">
        <f t="shared" si="2798"/>
        <v>0</v>
      </c>
      <c r="M2455" s="31">
        <f t="shared" si="2799"/>
        <v>4.7508999999999997</v>
      </c>
      <c r="N2455" s="31">
        <f t="shared" si="2800"/>
        <v>0</v>
      </c>
      <c r="O2455" s="31">
        <f t="shared" si="2801"/>
        <v>0</v>
      </c>
      <c r="P2455" s="31">
        <f t="shared" si="2802"/>
        <v>0</v>
      </c>
      <c r="Q2455" s="49">
        <f t="shared" si="2803"/>
        <v>0</v>
      </c>
    </row>
    <row r="2456" spans="4:17" s="62" customFormat="1" x14ac:dyDescent="0.3">
      <c r="D2456" s="235">
        <v>43</v>
      </c>
      <c r="E2456" s="240">
        <v>3</v>
      </c>
      <c r="F2456" s="241">
        <v>10</v>
      </c>
      <c r="G2456" s="242">
        <v>10.74</v>
      </c>
      <c r="H2456" s="239">
        <f t="shared" si="2794"/>
        <v>32.22</v>
      </c>
      <c r="I2456" s="131">
        <f t="shared" si="2795"/>
        <v>0</v>
      </c>
      <c r="J2456" s="31">
        <f t="shared" si="2796"/>
        <v>0</v>
      </c>
      <c r="K2456" s="31">
        <f t="shared" si="2797"/>
        <v>0</v>
      </c>
      <c r="L2456" s="31">
        <f t="shared" si="2798"/>
        <v>0</v>
      </c>
      <c r="M2456" s="31">
        <f t="shared" si="2799"/>
        <v>19.879739999999998</v>
      </c>
      <c r="N2456" s="31">
        <f t="shared" si="2800"/>
        <v>0</v>
      </c>
      <c r="O2456" s="31">
        <f t="shared" si="2801"/>
        <v>0</v>
      </c>
      <c r="P2456" s="31">
        <f t="shared" si="2802"/>
        <v>0</v>
      </c>
      <c r="Q2456" s="49">
        <f t="shared" si="2803"/>
        <v>0</v>
      </c>
    </row>
    <row r="2457" spans="4:17" s="62" customFormat="1" x14ac:dyDescent="0.3">
      <c r="D2457" s="235">
        <v>64</v>
      </c>
      <c r="E2457" s="240">
        <v>1</v>
      </c>
      <c r="F2457" s="241">
        <v>12.5</v>
      </c>
      <c r="G2457" s="242">
        <v>2.93</v>
      </c>
      <c r="H2457" s="239">
        <f t="shared" si="2794"/>
        <v>2.93</v>
      </c>
      <c r="I2457" s="131">
        <f t="shared" si="2795"/>
        <v>0</v>
      </c>
      <c r="J2457" s="31">
        <f t="shared" si="2796"/>
        <v>0</v>
      </c>
      <c r="K2457" s="31">
        <f t="shared" si="2797"/>
        <v>0</v>
      </c>
      <c r="L2457" s="31">
        <f t="shared" si="2798"/>
        <v>0</v>
      </c>
      <c r="M2457" s="31">
        <f t="shared" si="2799"/>
        <v>0</v>
      </c>
      <c r="N2457" s="31">
        <f t="shared" si="2800"/>
        <v>2.82159</v>
      </c>
      <c r="O2457" s="31">
        <f t="shared" si="2801"/>
        <v>0</v>
      </c>
      <c r="P2457" s="31">
        <f t="shared" si="2802"/>
        <v>0</v>
      </c>
      <c r="Q2457" s="49">
        <f t="shared" si="2803"/>
        <v>0</v>
      </c>
    </row>
    <row r="2458" spans="4:17" s="62" customFormat="1" x14ac:dyDescent="0.3">
      <c r="D2458" s="235">
        <v>65</v>
      </c>
      <c r="E2458" s="240">
        <v>1</v>
      </c>
      <c r="F2458" s="241">
        <v>12.5</v>
      </c>
      <c r="G2458" s="242">
        <v>3.03</v>
      </c>
      <c r="H2458" s="239">
        <f t="shared" si="2794"/>
        <v>3.03</v>
      </c>
      <c r="I2458" s="131">
        <f t="shared" si="2795"/>
        <v>0</v>
      </c>
      <c r="J2458" s="31">
        <f t="shared" si="2796"/>
        <v>0</v>
      </c>
      <c r="K2458" s="31">
        <f t="shared" si="2797"/>
        <v>0</v>
      </c>
      <c r="L2458" s="31">
        <f t="shared" si="2798"/>
        <v>0</v>
      </c>
      <c r="M2458" s="31">
        <f t="shared" si="2799"/>
        <v>0</v>
      </c>
      <c r="N2458" s="31">
        <f t="shared" si="2800"/>
        <v>2.9178899999999999</v>
      </c>
      <c r="O2458" s="31">
        <f t="shared" si="2801"/>
        <v>0</v>
      </c>
      <c r="P2458" s="31">
        <f t="shared" si="2802"/>
        <v>0</v>
      </c>
      <c r="Q2458" s="49">
        <f t="shared" si="2803"/>
        <v>0</v>
      </c>
    </row>
    <row r="2459" spans="4:17" s="62" customFormat="1" x14ac:dyDescent="0.3">
      <c r="D2459" s="235">
        <v>66</v>
      </c>
      <c r="E2459" s="240">
        <v>3</v>
      </c>
      <c r="F2459" s="241">
        <v>12.5</v>
      </c>
      <c r="G2459" s="242">
        <v>10.74</v>
      </c>
      <c r="H2459" s="239">
        <f t="shared" si="2794"/>
        <v>32.22</v>
      </c>
      <c r="I2459" s="131">
        <f t="shared" si="2795"/>
        <v>0</v>
      </c>
      <c r="J2459" s="31">
        <f t="shared" si="2796"/>
        <v>0</v>
      </c>
      <c r="K2459" s="31">
        <f t="shared" si="2797"/>
        <v>0</v>
      </c>
      <c r="L2459" s="31">
        <f t="shared" si="2798"/>
        <v>0</v>
      </c>
      <c r="M2459" s="31">
        <f t="shared" si="2799"/>
        <v>0</v>
      </c>
      <c r="N2459" s="31">
        <f t="shared" si="2800"/>
        <v>31.027859999999997</v>
      </c>
      <c r="O2459" s="31">
        <f t="shared" si="2801"/>
        <v>0</v>
      </c>
      <c r="P2459" s="31">
        <f t="shared" si="2802"/>
        <v>0</v>
      </c>
      <c r="Q2459" s="49">
        <f t="shared" si="2803"/>
        <v>0</v>
      </c>
    </row>
    <row r="2460" spans="4:17" s="62" customFormat="1" ht="15" thickBot="1" x14ac:dyDescent="0.35">
      <c r="D2460" s="307"/>
      <c r="E2460" s="26"/>
      <c r="F2460" s="206"/>
      <c r="G2460" s="207"/>
      <c r="H2460" s="207"/>
      <c r="I2460" s="51"/>
      <c r="J2460" s="308"/>
      <c r="K2460" s="308"/>
      <c r="L2460" s="308"/>
      <c r="M2460" s="308"/>
      <c r="N2460" s="308"/>
      <c r="O2460" s="308"/>
      <c r="P2460" s="308"/>
      <c r="Q2460" s="309"/>
    </row>
    <row r="2461" spans="4:17" s="62" customFormat="1" x14ac:dyDescent="0.3">
      <c r="D2461" s="796" t="s">
        <v>1393</v>
      </c>
      <c r="E2461" s="797"/>
      <c r="F2461" s="797"/>
      <c r="G2461" s="797"/>
      <c r="H2461" s="797"/>
      <c r="I2461" s="47">
        <f t="shared" ref="I2461:Q2461" si="2804">SUM(I2462:I2465)</f>
        <v>0</v>
      </c>
      <c r="J2461" s="47">
        <f t="shared" si="2804"/>
        <v>2.5225199999999997</v>
      </c>
      <c r="K2461" s="47">
        <f t="shared" si="2804"/>
        <v>0.34789999999999999</v>
      </c>
      <c r="L2461" s="47">
        <f t="shared" si="2804"/>
        <v>5.379900000000001</v>
      </c>
      <c r="M2461" s="47">
        <f t="shared" si="2804"/>
        <v>5.4049199999999997</v>
      </c>
      <c r="N2461" s="47">
        <f t="shared" si="2804"/>
        <v>0</v>
      </c>
      <c r="O2461" s="47">
        <f t="shared" si="2804"/>
        <v>0</v>
      </c>
      <c r="P2461" s="47">
        <f t="shared" si="2804"/>
        <v>0</v>
      </c>
      <c r="Q2461" s="47">
        <f t="shared" si="2804"/>
        <v>0</v>
      </c>
    </row>
    <row r="2462" spans="4:17" s="62" customFormat="1" x14ac:dyDescent="0.3">
      <c r="D2462" s="235">
        <v>1</v>
      </c>
      <c r="E2462" s="237">
        <f>2*7</f>
        <v>14</v>
      </c>
      <c r="F2462" s="238">
        <v>5</v>
      </c>
      <c r="G2462" s="239">
        <v>1.17</v>
      </c>
      <c r="H2462" s="239">
        <f t="shared" ref="H2462:H2465" si="2805">E2462*G2462</f>
        <v>16.38</v>
      </c>
      <c r="I2462" s="131">
        <f t="shared" ref="I2462:I2465" si="2806">IF($F2462=4.2,H2462*$B$23,0)</f>
        <v>0</v>
      </c>
      <c r="J2462" s="31">
        <f t="shared" ref="J2462:J2465" si="2807">IF($F2462=5,$H2462*$B$24,0)</f>
        <v>2.5225199999999997</v>
      </c>
      <c r="K2462" s="31">
        <f t="shared" ref="K2462:K2465" si="2808">IF($F2462=6.3,$H2462*$B$25,0)</f>
        <v>0</v>
      </c>
      <c r="L2462" s="31">
        <f t="shared" ref="L2462:L2465" si="2809">IF($F2462=8,$H2462*$B$26,0)</f>
        <v>0</v>
      </c>
      <c r="M2462" s="31">
        <f t="shared" ref="M2462:M2465" si="2810">IF($F2462=10,$H2462*$B$27,0)</f>
        <v>0</v>
      </c>
      <c r="N2462" s="31">
        <f t="shared" ref="N2462:N2465" si="2811">IF($F2462=12.5,$H2462*$B$28,0)</f>
        <v>0</v>
      </c>
      <c r="O2462" s="31">
        <f t="shared" ref="O2462:O2465" si="2812">IF($F2462=16,$H2462*$B$29,0)</f>
        <v>0</v>
      </c>
      <c r="P2462" s="31">
        <f t="shared" ref="P2462:P2465" si="2813">IF($F2462=20,$H2462*$B$30,0)</f>
        <v>0</v>
      </c>
      <c r="Q2462" s="49">
        <f t="shared" ref="Q2462:Q2465" si="2814">IF($F2462=25,$H2462*$B$31,0)</f>
        <v>0</v>
      </c>
    </row>
    <row r="2463" spans="4:17" s="62" customFormat="1" x14ac:dyDescent="0.3">
      <c r="D2463" s="235">
        <v>6</v>
      </c>
      <c r="E2463" s="240">
        <f>2*1</f>
        <v>2</v>
      </c>
      <c r="F2463" s="241">
        <v>6.3</v>
      </c>
      <c r="G2463" s="242">
        <v>0.71</v>
      </c>
      <c r="H2463" s="239">
        <f t="shared" si="2805"/>
        <v>1.42</v>
      </c>
      <c r="I2463" s="131">
        <f t="shared" si="2806"/>
        <v>0</v>
      </c>
      <c r="J2463" s="31">
        <f t="shared" si="2807"/>
        <v>0</v>
      </c>
      <c r="K2463" s="31">
        <f t="shared" si="2808"/>
        <v>0.34789999999999999</v>
      </c>
      <c r="L2463" s="31">
        <f t="shared" si="2809"/>
        <v>0</v>
      </c>
      <c r="M2463" s="31">
        <f t="shared" si="2810"/>
        <v>0</v>
      </c>
      <c r="N2463" s="31">
        <f t="shared" si="2811"/>
        <v>0</v>
      </c>
      <c r="O2463" s="31">
        <f t="shared" si="2812"/>
        <v>0</v>
      </c>
      <c r="P2463" s="31">
        <f t="shared" si="2813"/>
        <v>0</v>
      </c>
      <c r="Q2463" s="49">
        <f t="shared" si="2814"/>
        <v>0</v>
      </c>
    </row>
    <row r="2464" spans="4:17" s="62" customFormat="1" x14ac:dyDescent="0.3">
      <c r="D2464" s="235">
        <v>18</v>
      </c>
      <c r="E2464" s="240">
        <f>2*3</f>
        <v>6</v>
      </c>
      <c r="F2464" s="241">
        <v>8</v>
      </c>
      <c r="G2464" s="242">
        <v>2.27</v>
      </c>
      <c r="H2464" s="239">
        <f t="shared" si="2805"/>
        <v>13.620000000000001</v>
      </c>
      <c r="I2464" s="131">
        <f t="shared" si="2806"/>
        <v>0</v>
      </c>
      <c r="J2464" s="31">
        <f t="shared" si="2807"/>
        <v>0</v>
      </c>
      <c r="K2464" s="31">
        <f t="shared" si="2808"/>
        <v>0</v>
      </c>
      <c r="L2464" s="31">
        <f t="shared" si="2809"/>
        <v>5.379900000000001</v>
      </c>
      <c r="M2464" s="31">
        <f t="shared" si="2810"/>
        <v>0</v>
      </c>
      <c r="N2464" s="31">
        <f t="shared" si="2811"/>
        <v>0</v>
      </c>
      <c r="O2464" s="31">
        <f t="shared" si="2812"/>
        <v>0</v>
      </c>
      <c r="P2464" s="31">
        <f t="shared" si="2813"/>
        <v>0</v>
      </c>
      <c r="Q2464" s="49">
        <f t="shared" si="2814"/>
        <v>0</v>
      </c>
    </row>
    <row r="2465" spans="4:17" s="62" customFormat="1" x14ac:dyDescent="0.3">
      <c r="D2465" s="235">
        <v>44</v>
      </c>
      <c r="E2465" s="240">
        <f>2*2</f>
        <v>4</v>
      </c>
      <c r="F2465" s="241">
        <v>10</v>
      </c>
      <c r="G2465" s="242">
        <v>2.19</v>
      </c>
      <c r="H2465" s="239">
        <f t="shared" si="2805"/>
        <v>8.76</v>
      </c>
      <c r="I2465" s="131">
        <f t="shared" si="2806"/>
        <v>0</v>
      </c>
      <c r="J2465" s="31">
        <f t="shared" si="2807"/>
        <v>0</v>
      </c>
      <c r="K2465" s="31">
        <f t="shared" si="2808"/>
        <v>0</v>
      </c>
      <c r="L2465" s="31">
        <f t="shared" si="2809"/>
        <v>0</v>
      </c>
      <c r="M2465" s="31">
        <f t="shared" si="2810"/>
        <v>5.4049199999999997</v>
      </c>
      <c r="N2465" s="31">
        <f t="shared" si="2811"/>
        <v>0</v>
      </c>
      <c r="O2465" s="31">
        <f t="shared" si="2812"/>
        <v>0</v>
      </c>
      <c r="P2465" s="31">
        <f t="shared" si="2813"/>
        <v>0</v>
      </c>
      <c r="Q2465" s="49">
        <f t="shared" si="2814"/>
        <v>0</v>
      </c>
    </row>
    <row r="2466" spans="4:17" s="62" customFormat="1" ht="15" thickBot="1" x14ac:dyDescent="0.35">
      <c r="D2466" s="307"/>
      <c r="E2466" s="26"/>
      <c r="F2466" s="206"/>
      <c r="G2466" s="207"/>
      <c r="H2466" s="207"/>
      <c r="I2466" s="51"/>
      <c r="J2466" s="308"/>
      <c r="K2466" s="308"/>
      <c r="L2466" s="308"/>
      <c r="M2466" s="308"/>
      <c r="N2466" s="308"/>
      <c r="O2466" s="308"/>
      <c r="P2466" s="308"/>
      <c r="Q2466" s="309"/>
    </row>
    <row r="2467" spans="4:17" s="62" customFormat="1" x14ac:dyDescent="0.3">
      <c r="D2467" s="796" t="s">
        <v>1394</v>
      </c>
      <c r="E2467" s="797"/>
      <c r="F2467" s="797"/>
      <c r="G2467" s="797"/>
      <c r="H2467" s="797"/>
      <c r="I2467" s="47">
        <f t="shared" ref="I2467:Q2467" si="2815">SUM(I2468:I2471)</f>
        <v>0</v>
      </c>
      <c r="J2467" s="47">
        <f t="shared" si="2815"/>
        <v>1.0810799999999998</v>
      </c>
      <c r="K2467" s="47">
        <f t="shared" si="2815"/>
        <v>0</v>
      </c>
      <c r="L2467" s="47">
        <f t="shared" si="2815"/>
        <v>3.6814</v>
      </c>
      <c r="M2467" s="47">
        <f t="shared" si="2815"/>
        <v>1.9497200000000001</v>
      </c>
      <c r="N2467" s="47">
        <f t="shared" si="2815"/>
        <v>0</v>
      </c>
      <c r="O2467" s="47">
        <f t="shared" si="2815"/>
        <v>0</v>
      </c>
      <c r="P2467" s="47">
        <f t="shared" si="2815"/>
        <v>0</v>
      </c>
      <c r="Q2467" s="47">
        <f t="shared" si="2815"/>
        <v>0</v>
      </c>
    </row>
    <row r="2468" spans="4:17" s="62" customFormat="1" x14ac:dyDescent="0.3">
      <c r="D2468" s="235">
        <v>1</v>
      </c>
      <c r="E2468" s="237">
        <f>2*3</f>
        <v>6</v>
      </c>
      <c r="F2468" s="238">
        <v>5</v>
      </c>
      <c r="G2468" s="239">
        <v>1.17</v>
      </c>
      <c r="H2468" s="239">
        <f t="shared" ref="H2468:H2471" si="2816">E2468*G2468</f>
        <v>7.02</v>
      </c>
      <c r="I2468" s="131">
        <f t="shared" ref="I2468:I2471" si="2817">IF($F2468=4.2,H2468*$B$23,0)</f>
        <v>0</v>
      </c>
      <c r="J2468" s="31">
        <f t="shared" ref="J2468:J2471" si="2818">IF($F2468=5,$H2468*$B$24,0)</f>
        <v>1.0810799999999998</v>
      </c>
      <c r="K2468" s="31">
        <f t="shared" ref="K2468:K2471" si="2819">IF($F2468=6.3,$H2468*$B$25,0)</f>
        <v>0</v>
      </c>
      <c r="L2468" s="31">
        <f t="shared" ref="L2468:L2471" si="2820">IF($F2468=8,$H2468*$B$26,0)</f>
        <v>0</v>
      </c>
      <c r="M2468" s="31">
        <f t="shared" ref="M2468:M2471" si="2821">IF($F2468=10,$H2468*$B$27,0)</f>
        <v>0</v>
      </c>
      <c r="N2468" s="31">
        <f t="shared" ref="N2468:N2471" si="2822">IF($F2468=12.5,$H2468*$B$28,0)</f>
        <v>0</v>
      </c>
      <c r="O2468" s="31">
        <f t="shared" ref="O2468:O2471" si="2823">IF($F2468=16,$H2468*$B$29,0)</f>
        <v>0</v>
      </c>
      <c r="P2468" s="31">
        <f t="shared" ref="P2468:P2471" si="2824">IF($F2468=20,$H2468*$B$30,0)</f>
        <v>0</v>
      </c>
      <c r="Q2468" s="49">
        <f t="shared" ref="Q2468:Q2471" si="2825">IF($F2468=25,$H2468*$B$31,0)</f>
        <v>0</v>
      </c>
    </row>
    <row r="2469" spans="4:17" s="62" customFormat="1" x14ac:dyDescent="0.3">
      <c r="D2469" s="235">
        <v>19</v>
      </c>
      <c r="E2469" s="240">
        <f>2*4</f>
        <v>8</v>
      </c>
      <c r="F2469" s="241">
        <v>8</v>
      </c>
      <c r="G2469" s="242">
        <v>0.82</v>
      </c>
      <c r="H2469" s="239">
        <f t="shared" si="2816"/>
        <v>6.56</v>
      </c>
      <c r="I2469" s="131">
        <f t="shared" si="2817"/>
        <v>0</v>
      </c>
      <c r="J2469" s="31">
        <f t="shared" si="2818"/>
        <v>0</v>
      </c>
      <c r="K2469" s="31">
        <f t="shared" si="2819"/>
        <v>0</v>
      </c>
      <c r="L2469" s="31">
        <f t="shared" si="2820"/>
        <v>2.5912000000000002</v>
      </c>
      <c r="M2469" s="31">
        <f t="shared" si="2821"/>
        <v>0</v>
      </c>
      <c r="N2469" s="31">
        <f t="shared" si="2822"/>
        <v>0</v>
      </c>
      <c r="O2469" s="31">
        <f t="shared" si="2823"/>
        <v>0</v>
      </c>
      <c r="P2469" s="31">
        <f t="shared" si="2824"/>
        <v>0</v>
      </c>
      <c r="Q2469" s="49">
        <f t="shared" si="2825"/>
        <v>0</v>
      </c>
    </row>
    <row r="2470" spans="4:17" s="62" customFormat="1" x14ac:dyDescent="0.3">
      <c r="D2470" s="235">
        <v>20</v>
      </c>
      <c r="E2470" s="240">
        <f>2*2</f>
        <v>4</v>
      </c>
      <c r="F2470" s="241">
        <v>8</v>
      </c>
      <c r="G2470" s="242">
        <v>0.69</v>
      </c>
      <c r="H2470" s="239">
        <f t="shared" si="2816"/>
        <v>2.76</v>
      </c>
      <c r="I2470" s="131">
        <f t="shared" si="2817"/>
        <v>0</v>
      </c>
      <c r="J2470" s="31">
        <f t="shared" si="2818"/>
        <v>0</v>
      </c>
      <c r="K2470" s="31">
        <f t="shared" si="2819"/>
        <v>0</v>
      </c>
      <c r="L2470" s="31">
        <f t="shared" si="2820"/>
        <v>1.0902000000000001</v>
      </c>
      <c r="M2470" s="31">
        <f t="shared" si="2821"/>
        <v>0</v>
      </c>
      <c r="N2470" s="31">
        <f t="shared" si="2822"/>
        <v>0</v>
      </c>
      <c r="O2470" s="31">
        <f t="shared" si="2823"/>
        <v>0</v>
      </c>
      <c r="P2470" s="31">
        <f t="shared" si="2824"/>
        <v>0</v>
      </c>
      <c r="Q2470" s="49">
        <f t="shared" si="2825"/>
        <v>0</v>
      </c>
    </row>
    <row r="2471" spans="4:17" s="62" customFormat="1" x14ac:dyDescent="0.3">
      <c r="D2471" s="235">
        <v>45</v>
      </c>
      <c r="E2471" s="240">
        <f>2*2</f>
        <v>4</v>
      </c>
      <c r="F2471" s="241">
        <v>10</v>
      </c>
      <c r="G2471" s="242">
        <v>0.79</v>
      </c>
      <c r="H2471" s="239">
        <f t="shared" si="2816"/>
        <v>3.16</v>
      </c>
      <c r="I2471" s="131">
        <f t="shared" si="2817"/>
        <v>0</v>
      </c>
      <c r="J2471" s="31">
        <f t="shared" si="2818"/>
        <v>0</v>
      </c>
      <c r="K2471" s="31">
        <f t="shared" si="2819"/>
        <v>0</v>
      </c>
      <c r="L2471" s="31">
        <f t="shared" si="2820"/>
        <v>0</v>
      </c>
      <c r="M2471" s="31">
        <f t="shared" si="2821"/>
        <v>1.9497200000000001</v>
      </c>
      <c r="N2471" s="31">
        <f t="shared" si="2822"/>
        <v>0</v>
      </c>
      <c r="O2471" s="31">
        <f t="shared" si="2823"/>
        <v>0</v>
      </c>
      <c r="P2471" s="31">
        <f t="shared" si="2824"/>
        <v>0</v>
      </c>
      <c r="Q2471" s="49">
        <f t="shared" si="2825"/>
        <v>0</v>
      </c>
    </row>
    <row r="2472" spans="4:17" s="62" customFormat="1" ht="15" thickBot="1" x14ac:dyDescent="0.35">
      <c r="D2472" s="307"/>
      <c r="E2472" s="26"/>
      <c r="F2472" s="206"/>
      <c r="G2472" s="207"/>
      <c r="H2472" s="207"/>
      <c r="I2472" s="51"/>
      <c r="J2472" s="308"/>
      <c r="K2472" s="308"/>
      <c r="L2472" s="308"/>
      <c r="M2472" s="308"/>
      <c r="N2472" s="308"/>
      <c r="O2472" s="308"/>
      <c r="P2472" s="308"/>
      <c r="Q2472" s="309"/>
    </row>
    <row r="2473" spans="4:17" s="62" customFormat="1" x14ac:dyDescent="0.3">
      <c r="D2473" s="796" t="s">
        <v>1395</v>
      </c>
      <c r="E2473" s="797"/>
      <c r="F2473" s="797"/>
      <c r="G2473" s="797"/>
      <c r="H2473" s="797"/>
      <c r="I2473" s="47">
        <f t="shared" ref="I2473:Q2473" si="2826">SUM(I2474:I2480)</f>
        <v>0</v>
      </c>
      <c r="J2473" s="47">
        <f t="shared" si="2826"/>
        <v>3.1185</v>
      </c>
      <c r="K2473" s="47">
        <f t="shared" si="2826"/>
        <v>0</v>
      </c>
      <c r="L2473" s="47">
        <f t="shared" si="2826"/>
        <v>0</v>
      </c>
      <c r="M2473" s="47">
        <f t="shared" si="2826"/>
        <v>0</v>
      </c>
      <c r="N2473" s="47">
        <f t="shared" si="2826"/>
        <v>36.892530000000001</v>
      </c>
      <c r="O2473" s="47">
        <f t="shared" si="2826"/>
        <v>0</v>
      </c>
      <c r="P2473" s="47">
        <f t="shared" si="2826"/>
        <v>0</v>
      </c>
      <c r="Q2473" s="47">
        <f t="shared" si="2826"/>
        <v>0</v>
      </c>
    </row>
    <row r="2474" spans="4:17" s="62" customFormat="1" x14ac:dyDescent="0.3">
      <c r="D2474" s="235">
        <v>1</v>
      </c>
      <c r="E2474" s="237">
        <v>27</v>
      </c>
      <c r="F2474" s="238">
        <v>5</v>
      </c>
      <c r="G2474" s="239">
        <v>0.75</v>
      </c>
      <c r="H2474" s="239">
        <f t="shared" ref="H2474:H2480" si="2827">E2474*G2474</f>
        <v>20.25</v>
      </c>
      <c r="I2474" s="131">
        <f t="shared" ref="I2474:I2480" si="2828">IF($F2474=4.2,H2474*$B$23,0)</f>
        <v>0</v>
      </c>
      <c r="J2474" s="31">
        <f t="shared" ref="J2474:J2480" si="2829">IF($F2474=5,$H2474*$B$24,0)</f>
        <v>3.1185</v>
      </c>
      <c r="K2474" s="31">
        <f t="shared" ref="K2474:K2480" si="2830">IF($F2474=6.3,$H2474*$B$25,0)</f>
        <v>0</v>
      </c>
      <c r="L2474" s="31">
        <f t="shared" ref="L2474:L2480" si="2831">IF($F2474=8,$H2474*$B$26,0)</f>
        <v>0</v>
      </c>
      <c r="M2474" s="31">
        <f t="shared" ref="M2474:M2480" si="2832">IF($F2474=10,$H2474*$B$27,0)</f>
        <v>0</v>
      </c>
      <c r="N2474" s="31">
        <f t="shared" ref="N2474:N2480" si="2833">IF($F2474=12.5,$H2474*$B$28,0)</f>
        <v>0</v>
      </c>
      <c r="O2474" s="31">
        <f t="shared" ref="O2474:O2480" si="2834">IF($F2474=16,$H2474*$B$29,0)</f>
        <v>0</v>
      </c>
      <c r="P2474" s="31">
        <f t="shared" ref="P2474:P2480" si="2835">IF($F2474=20,$H2474*$B$30,0)</f>
        <v>0</v>
      </c>
      <c r="Q2474" s="49">
        <f t="shared" ref="Q2474:Q2480" si="2836">IF($F2474=25,$H2474*$B$31,0)</f>
        <v>0</v>
      </c>
    </row>
    <row r="2475" spans="4:17" s="62" customFormat="1" x14ac:dyDescent="0.3">
      <c r="D2475" s="235">
        <v>67</v>
      </c>
      <c r="E2475" s="240">
        <v>1</v>
      </c>
      <c r="F2475" s="241">
        <v>12.5</v>
      </c>
      <c r="G2475" s="242">
        <v>2.83</v>
      </c>
      <c r="H2475" s="239">
        <f t="shared" si="2827"/>
        <v>2.83</v>
      </c>
      <c r="I2475" s="131">
        <f t="shared" si="2828"/>
        <v>0</v>
      </c>
      <c r="J2475" s="31">
        <f t="shared" si="2829"/>
        <v>0</v>
      </c>
      <c r="K2475" s="31">
        <f t="shared" si="2830"/>
        <v>0</v>
      </c>
      <c r="L2475" s="31">
        <f t="shared" si="2831"/>
        <v>0</v>
      </c>
      <c r="M2475" s="31">
        <f t="shared" si="2832"/>
        <v>0</v>
      </c>
      <c r="N2475" s="31">
        <f t="shared" si="2833"/>
        <v>2.7252899999999998</v>
      </c>
      <c r="O2475" s="31">
        <f t="shared" si="2834"/>
        <v>0</v>
      </c>
      <c r="P2475" s="31">
        <f t="shared" si="2835"/>
        <v>0</v>
      </c>
      <c r="Q2475" s="49">
        <f t="shared" si="2836"/>
        <v>0</v>
      </c>
    </row>
    <row r="2476" spans="4:17" s="62" customFormat="1" x14ac:dyDescent="0.3">
      <c r="D2476" s="235">
        <v>68</v>
      </c>
      <c r="E2476" s="240">
        <v>1</v>
      </c>
      <c r="F2476" s="241">
        <v>12.5</v>
      </c>
      <c r="G2476" s="242">
        <v>4.51</v>
      </c>
      <c r="H2476" s="239">
        <f t="shared" si="2827"/>
        <v>4.51</v>
      </c>
      <c r="I2476" s="131">
        <f t="shared" si="2828"/>
        <v>0</v>
      </c>
      <c r="J2476" s="31">
        <f t="shared" si="2829"/>
        <v>0</v>
      </c>
      <c r="K2476" s="31">
        <f t="shared" si="2830"/>
        <v>0</v>
      </c>
      <c r="L2476" s="31">
        <f t="shared" si="2831"/>
        <v>0</v>
      </c>
      <c r="M2476" s="31">
        <f t="shared" si="2832"/>
        <v>0</v>
      </c>
      <c r="N2476" s="31">
        <f t="shared" si="2833"/>
        <v>4.3431299999999995</v>
      </c>
      <c r="O2476" s="31">
        <f t="shared" si="2834"/>
        <v>0</v>
      </c>
      <c r="P2476" s="31">
        <f t="shared" si="2835"/>
        <v>0</v>
      </c>
      <c r="Q2476" s="49">
        <f t="shared" si="2836"/>
        <v>0</v>
      </c>
    </row>
    <row r="2477" spans="4:17" s="62" customFormat="1" x14ac:dyDescent="0.3">
      <c r="D2477" s="235">
        <v>69</v>
      </c>
      <c r="E2477" s="240">
        <v>2</v>
      </c>
      <c r="F2477" s="241">
        <v>12.5</v>
      </c>
      <c r="G2477" s="242">
        <v>0.84</v>
      </c>
      <c r="H2477" s="239">
        <f t="shared" si="2827"/>
        <v>1.68</v>
      </c>
      <c r="I2477" s="131">
        <f t="shared" si="2828"/>
        <v>0</v>
      </c>
      <c r="J2477" s="31">
        <f t="shared" si="2829"/>
        <v>0</v>
      </c>
      <c r="K2477" s="31">
        <f t="shared" si="2830"/>
        <v>0</v>
      </c>
      <c r="L2477" s="31">
        <f t="shared" si="2831"/>
        <v>0</v>
      </c>
      <c r="M2477" s="31">
        <f t="shared" si="2832"/>
        <v>0</v>
      </c>
      <c r="N2477" s="31">
        <f t="shared" si="2833"/>
        <v>1.6178399999999999</v>
      </c>
      <c r="O2477" s="31">
        <f t="shared" si="2834"/>
        <v>0</v>
      </c>
      <c r="P2477" s="31">
        <f t="shared" si="2835"/>
        <v>0</v>
      </c>
      <c r="Q2477" s="49">
        <f t="shared" si="2836"/>
        <v>0</v>
      </c>
    </row>
    <row r="2478" spans="4:17" s="62" customFormat="1" x14ac:dyDescent="0.3">
      <c r="D2478" s="235">
        <v>70</v>
      </c>
      <c r="E2478" s="240">
        <v>2</v>
      </c>
      <c r="F2478" s="241">
        <v>12.5</v>
      </c>
      <c r="G2478" s="242">
        <v>6.33</v>
      </c>
      <c r="H2478" s="239">
        <f t="shared" si="2827"/>
        <v>12.66</v>
      </c>
      <c r="I2478" s="131">
        <f t="shared" si="2828"/>
        <v>0</v>
      </c>
      <c r="J2478" s="31">
        <f t="shared" si="2829"/>
        <v>0</v>
      </c>
      <c r="K2478" s="31">
        <f t="shared" si="2830"/>
        <v>0</v>
      </c>
      <c r="L2478" s="31">
        <f t="shared" si="2831"/>
        <v>0</v>
      </c>
      <c r="M2478" s="31">
        <f t="shared" si="2832"/>
        <v>0</v>
      </c>
      <c r="N2478" s="31">
        <f t="shared" si="2833"/>
        <v>12.19158</v>
      </c>
      <c r="O2478" s="31">
        <f t="shared" si="2834"/>
        <v>0</v>
      </c>
      <c r="P2478" s="31">
        <f t="shared" si="2835"/>
        <v>0</v>
      </c>
      <c r="Q2478" s="49">
        <f t="shared" si="2836"/>
        <v>0</v>
      </c>
    </row>
    <row r="2479" spans="4:17" s="62" customFormat="1" x14ac:dyDescent="0.3">
      <c r="D2479" s="235">
        <v>71</v>
      </c>
      <c r="E2479" s="240">
        <v>1</v>
      </c>
      <c r="F2479" s="241">
        <v>12.5</v>
      </c>
      <c r="G2479" s="242">
        <v>2.75</v>
      </c>
      <c r="H2479" s="239">
        <f t="shared" si="2827"/>
        <v>2.75</v>
      </c>
      <c r="I2479" s="131">
        <f t="shared" si="2828"/>
        <v>0</v>
      </c>
      <c r="J2479" s="31">
        <f t="shared" si="2829"/>
        <v>0</v>
      </c>
      <c r="K2479" s="31">
        <f t="shared" si="2830"/>
        <v>0</v>
      </c>
      <c r="L2479" s="31">
        <f t="shared" si="2831"/>
        <v>0</v>
      </c>
      <c r="M2479" s="31">
        <f t="shared" si="2832"/>
        <v>0</v>
      </c>
      <c r="N2479" s="31">
        <f t="shared" si="2833"/>
        <v>2.64825</v>
      </c>
      <c r="O2479" s="31">
        <f t="shared" si="2834"/>
        <v>0</v>
      </c>
      <c r="P2479" s="31">
        <f t="shared" si="2835"/>
        <v>0</v>
      </c>
      <c r="Q2479" s="49">
        <f t="shared" si="2836"/>
        <v>0</v>
      </c>
    </row>
    <row r="2480" spans="4:17" s="62" customFormat="1" x14ac:dyDescent="0.3">
      <c r="D2480" s="235">
        <v>72</v>
      </c>
      <c r="E2480" s="240">
        <v>2</v>
      </c>
      <c r="F2480" s="241">
        <v>12.5</v>
      </c>
      <c r="G2480" s="242">
        <v>6.94</v>
      </c>
      <c r="H2480" s="239">
        <f t="shared" si="2827"/>
        <v>13.88</v>
      </c>
      <c r="I2480" s="131">
        <f t="shared" si="2828"/>
        <v>0</v>
      </c>
      <c r="J2480" s="31">
        <f t="shared" si="2829"/>
        <v>0</v>
      </c>
      <c r="K2480" s="31">
        <f t="shared" si="2830"/>
        <v>0</v>
      </c>
      <c r="L2480" s="31">
        <f t="shared" si="2831"/>
        <v>0</v>
      </c>
      <c r="M2480" s="31">
        <f t="shared" si="2832"/>
        <v>0</v>
      </c>
      <c r="N2480" s="31">
        <f t="shared" si="2833"/>
        <v>13.366440000000001</v>
      </c>
      <c r="O2480" s="31">
        <f t="shared" si="2834"/>
        <v>0</v>
      </c>
      <c r="P2480" s="31">
        <f t="shared" si="2835"/>
        <v>0</v>
      </c>
      <c r="Q2480" s="49">
        <f t="shared" si="2836"/>
        <v>0</v>
      </c>
    </row>
    <row r="2481" spans="4:17" s="62" customFormat="1" ht="15" thickBot="1" x14ac:dyDescent="0.35">
      <c r="D2481" s="307"/>
      <c r="E2481" s="26"/>
      <c r="F2481" s="206"/>
      <c r="G2481" s="207"/>
      <c r="H2481" s="207"/>
      <c r="I2481" s="51"/>
      <c r="J2481" s="308"/>
      <c r="K2481" s="308"/>
      <c r="L2481" s="308"/>
      <c r="M2481" s="308"/>
      <c r="N2481" s="308"/>
      <c r="O2481" s="308"/>
      <c r="P2481" s="308"/>
      <c r="Q2481" s="309"/>
    </row>
    <row r="2482" spans="4:17" s="62" customFormat="1" x14ac:dyDescent="0.3">
      <c r="D2482" s="796" t="s">
        <v>1397</v>
      </c>
      <c r="E2482" s="797"/>
      <c r="F2482" s="797"/>
      <c r="G2482" s="797"/>
      <c r="H2482" s="797"/>
      <c r="I2482" s="47">
        <f t="shared" ref="I2482:Q2482" si="2837">SUM(I2483:I2489)</f>
        <v>0</v>
      </c>
      <c r="J2482" s="47">
        <f t="shared" si="2837"/>
        <v>3.4234199999999997</v>
      </c>
      <c r="K2482" s="47">
        <f t="shared" si="2837"/>
        <v>0</v>
      </c>
      <c r="L2482" s="47">
        <f t="shared" si="2837"/>
        <v>0</v>
      </c>
      <c r="M2482" s="47">
        <f t="shared" si="2837"/>
        <v>8.2554599999999994</v>
      </c>
      <c r="N2482" s="47">
        <f t="shared" si="2837"/>
        <v>15.64875</v>
      </c>
      <c r="O2482" s="47">
        <f t="shared" si="2837"/>
        <v>0</v>
      </c>
      <c r="P2482" s="47">
        <f t="shared" si="2837"/>
        <v>0</v>
      </c>
      <c r="Q2482" s="47">
        <f t="shared" si="2837"/>
        <v>0</v>
      </c>
    </row>
    <row r="2483" spans="4:17" s="62" customFormat="1" x14ac:dyDescent="0.3">
      <c r="D2483" s="235">
        <v>1</v>
      </c>
      <c r="E2483" s="237">
        <v>19</v>
      </c>
      <c r="F2483" s="238">
        <v>5</v>
      </c>
      <c r="G2483" s="239">
        <v>1.17</v>
      </c>
      <c r="H2483" s="239">
        <f t="shared" ref="H2483:H2489" si="2838">E2483*G2483</f>
        <v>22.229999999999997</v>
      </c>
      <c r="I2483" s="131">
        <f t="shared" ref="I2483:I2489" si="2839">IF($F2483=4.2,H2483*$B$23,0)</f>
        <v>0</v>
      </c>
      <c r="J2483" s="31">
        <f t="shared" ref="J2483:J2489" si="2840">IF($F2483=5,$H2483*$B$24,0)</f>
        <v>3.4234199999999997</v>
      </c>
      <c r="K2483" s="31">
        <f t="shared" ref="K2483:K2489" si="2841">IF($F2483=6.3,$H2483*$B$25,0)</f>
        <v>0</v>
      </c>
      <c r="L2483" s="31">
        <f t="shared" ref="L2483:L2489" si="2842">IF($F2483=8,$H2483*$B$26,0)</f>
        <v>0</v>
      </c>
      <c r="M2483" s="31">
        <f t="shared" ref="M2483:M2489" si="2843">IF($F2483=10,$H2483*$B$27,0)</f>
        <v>0</v>
      </c>
      <c r="N2483" s="31">
        <f t="shared" ref="N2483:N2489" si="2844">IF($F2483=12.5,$H2483*$B$28,0)</f>
        <v>0</v>
      </c>
      <c r="O2483" s="31">
        <f t="shared" ref="O2483:O2489" si="2845">IF($F2483=16,$H2483*$B$29,0)</f>
        <v>0</v>
      </c>
      <c r="P2483" s="31">
        <f t="shared" ref="P2483:P2489" si="2846">IF($F2483=20,$H2483*$B$30,0)</f>
        <v>0</v>
      </c>
      <c r="Q2483" s="49">
        <f t="shared" ref="Q2483:Q2489" si="2847">IF($F2483=25,$H2483*$B$31,0)</f>
        <v>0</v>
      </c>
    </row>
    <row r="2484" spans="4:17" s="62" customFormat="1" x14ac:dyDescent="0.3">
      <c r="D2484" s="235">
        <v>46</v>
      </c>
      <c r="E2484" s="240">
        <v>1</v>
      </c>
      <c r="F2484" s="241">
        <v>10</v>
      </c>
      <c r="G2484" s="242">
        <v>1.61</v>
      </c>
      <c r="H2484" s="239">
        <f t="shared" si="2838"/>
        <v>1.61</v>
      </c>
      <c r="I2484" s="131">
        <f t="shared" si="2839"/>
        <v>0</v>
      </c>
      <c r="J2484" s="31">
        <f t="shared" si="2840"/>
        <v>0</v>
      </c>
      <c r="K2484" s="31">
        <f t="shared" si="2841"/>
        <v>0</v>
      </c>
      <c r="L2484" s="31">
        <f t="shared" si="2842"/>
        <v>0</v>
      </c>
      <c r="M2484" s="31">
        <f t="shared" si="2843"/>
        <v>0.99337000000000009</v>
      </c>
      <c r="N2484" s="31">
        <f t="shared" si="2844"/>
        <v>0</v>
      </c>
      <c r="O2484" s="31">
        <f t="shared" si="2845"/>
        <v>0</v>
      </c>
      <c r="P2484" s="31">
        <f t="shared" si="2846"/>
        <v>0</v>
      </c>
      <c r="Q2484" s="49">
        <f t="shared" si="2847"/>
        <v>0</v>
      </c>
    </row>
    <row r="2485" spans="4:17" s="62" customFormat="1" x14ac:dyDescent="0.3">
      <c r="D2485" s="235">
        <v>47</v>
      </c>
      <c r="E2485" s="240">
        <v>1</v>
      </c>
      <c r="F2485" s="241">
        <v>10</v>
      </c>
      <c r="G2485" s="242">
        <v>2.21</v>
      </c>
      <c r="H2485" s="239">
        <f t="shared" si="2838"/>
        <v>2.21</v>
      </c>
      <c r="I2485" s="131">
        <f t="shared" si="2839"/>
        <v>0</v>
      </c>
      <c r="J2485" s="31">
        <f t="shared" si="2840"/>
        <v>0</v>
      </c>
      <c r="K2485" s="31">
        <f t="shared" si="2841"/>
        <v>0</v>
      </c>
      <c r="L2485" s="31">
        <f t="shared" si="2842"/>
        <v>0</v>
      </c>
      <c r="M2485" s="31">
        <f t="shared" si="2843"/>
        <v>1.3635699999999999</v>
      </c>
      <c r="N2485" s="31">
        <f t="shared" si="2844"/>
        <v>0</v>
      </c>
      <c r="O2485" s="31">
        <f t="shared" si="2845"/>
        <v>0</v>
      </c>
      <c r="P2485" s="31">
        <f t="shared" si="2846"/>
        <v>0</v>
      </c>
      <c r="Q2485" s="49">
        <f t="shared" si="2847"/>
        <v>0</v>
      </c>
    </row>
    <row r="2486" spans="4:17" s="62" customFormat="1" x14ac:dyDescent="0.3">
      <c r="D2486" s="235">
        <v>48</v>
      </c>
      <c r="E2486" s="240">
        <v>2</v>
      </c>
      <c r="F2486" s="241">
        <v>10</v>
      </c>
      <c r="G2486" s="242">
        <v>4.78</v>
      </c>
      <c r="H2486" s="239">
        <f t="shared" si="2838"/>
        <v>9.56</v>
      </c>
      <c r="I2486" s="131">
        <f t="shared" si="2839"/>
        <v>0</v>
      </c>
      <c r="J2486" s="31">
        <f t="shared" si="2840"/>
        <v>0</v>
      </c>
      <c r="K2486" s="31">
        <f t="shared" si="2841"/>
        <v>0</v>
      </c>
      <c r="L2486" s="31">
        <f t="shared" si="2842"/>
        <v>0</v>
      </c>
      <c r="M2486" s="31">
        <f t="shared" si="2843"/>
        <v>5.8985200000000004</v>
      </c>
      <c r="N2486" s="31">
        <f t="shared" si="2844"/>
        <v>0</v>
      </c>
      <c r="O2486" s="31">
        <f t="shared" si="2845"/>
        <v>0</v>
      </c>
      <c r="P2486" s="31">
        <f t="shared" si="2846"/>
        <v>0</v>
      </c>
      <c r="Q2486" s="49">
        <f t="shared" si="2847"/>
        <v>0</v>
      </c>
    </row>
    <row r="2487" spans="4:17" s="62" customFormat="1" x14ac:dyDescent="0.3">
      <c r="D2487" s="235">
        <v>65</v>
      </c>
      <c r="E2487" s="240">
        <v>1</v>
      </c>
      <c r="F2487" s="241">
        <v>12.5</v>
      </c>
      <c r="G2487" s="242">
        <v>3.03</v>
      </c>
      <c r="H2487" s="239">
        <f t="shared" si="2838"/>
        <v>3.03</v>
      </c>
      <c r="I2487" s="131">
        <f t="shared" si="2839"/>
        <v>0</v>
      </c>
      <c r="J2487" s="31">
        <f t="shared" si="2840"/>
        <v>0</v>
      </c>
      <c r="K2487" s="31">
        <f t="shared" si="2841"/>
        <v>0</v>
      </c>
      <c r="L2487" s="31">
        <f t="shared" si="2842"/>
        <v>0</v>
      </c>
      <c r="M2487" s="31">
        <f t="shared" si="2843"/>
        <v>0</v>
      </c>
      <c r="N2487" s="31">
        <f t="shared" si="2844"/>
        <v>2.9178899999999999</v>
      </c>
      <c r="O2487" s="31">
        <f t="shared" si="2845"/>
        <v>0</v>
      </c>
      <c r="P2487" s="31">
        <f t="shared" si="2846"/>
        <v>0</v>
      </c>
      <c r="Q2487" s="49">
        <f t="shared" si="2847"/>
        <v>0</v>
      </c>
    </row>
    <row r="2488" spans="4:17" s="62" customFormat="1" x14ac:dyDescent="0.3">
      <c r="D2488" s="235">
        <v>73</v>
      </c>
      <c r="E2488" s="240">
        <v>1</v>
      </c>
      <c r="F2488" s="241">
        <v>12.5</v>
      </c>
      <c r="G2488" s="242">
        <v>4.3600000000000003</v>
      </c>
      <c r="H2488" s="239">
        <f t="shared" si="2838"/>
        <v>4.3600000000000003</v>
      </c>
      <c r="I2488" s="131">
        <f t="shared" si="2839"/>
        <v>0</v>
      </c>
      <c r="J2488" s="31">
        <f t="shared" si="2840"/>
        <v>0</v>
      </c>
      <c r="K2488" s="31">
        <f t="shared" si="2841"/>
        <v>0</v>
      </c>
      <c r="L2488" s="31">
        <f t="shared" si="2842"/>
        <v>0</v>
      </c>
      <c r="M2488" s="31">
        <f t="shared" si="2843"/>
        <v>0</v>
      </c>
      <c r="N2488" s="31">
        <f t="shared" si="2844"/>
        <v>4.1986800000000004</v>
      </c>
      <c r="O2488" s="31">
        <f t="shared" si="2845"/>
        <v>0</v>
      </c>
      <c r="P2488" s="31">
        <f t="shared" si="2846"/>
        <v>0</v>
      </c>
      <c r="Q2488" s="49">
        <f t="shared" si="2847"/>
        <v>0</v>
      </c>
    </row>
    <row r="2489" spans="4:17" s="62" customFormat="1" x14ac:dyDescent="0.3">
      <c r="D2489" s="235">
        <v>74</v>
      </c>
      <c r="E2489" s="240">
        <v>2</v>
      </c>
      <c r="F2489" s="241">
        <v>12.5</v>
      </c>
      <c r="G2489" s="242">
        <v>4.43</v>
      </c>
      <c r="H2489" s="239">
        <f t="shared" si="2838"/>
        <v>8.86</v>
      </c>
      <c r="I2489" s="131">
        <f t="shared" si="2839"/>
        <v>0</v>
      </c>
      <c r="J2489" s="31">
        <f t="shared" si="2840"/>
        <v>0</v>
      </c>
      <c r="K2489" s="31">
        <f t="shared" si="2841"/>
        <v>0</v>
      </c>
      <c r="L2489" s="31">
        <f t="shared" si="2842"/>
        <v>0</v>
      </c>
      <c r="M2489" s="31">
        <f t="shared" si="2843"/>
        <v>0</v>
      </c>
      <c r="N2489" s="31">
        <f t="shared" si="2844"/>
        <v>8.5321799999999985</v>
      </c>
      <c r="O2489" s="31">
        <f t="shared" si="2845"/>
        <v>0</v>
      </c>
      <c r="P2489" s="31">
        <f t="shared" si="2846"/>
        <v>0</v>
      </c>
      <c r="Q2489" s="49">
        <f t="shared" si="2847"/>
        <v>0</v>
      </c>
    </row>
    <row r="2490" spans="4:17" s="62" customFormat="1" ht="15" thickBot="1" x14ac:dyDescent="0.35">
      <c r="D2490" s="307"/>
      <c r="E2490" s="26"/>
      <c r="F2490" s="206"/>
      <c r="G2490" s="207"/>
      <c r="H2490" s="207"/>
      <c r="I2490" s="51"/>
      <c r="J2490" s="308"/>
      <c r="K2490" s="308"/>
      <c r="L2490" s="308"/>
      <c r="M2490" s="308"/>
      <c r="N2490" s="308"/>
      <c r="O2490" s="308"/>
      <c r="P2490" s="308"/>
      <c r="Q2490" s="309"/>
    </row>
    <row r="2491" spans="4:17" s="62" customFormat="1" x14ac:dyDescent="0.3">
      <c r="D2491" s="796" t="s">
        <v>1398</v>
      </c>
      <c r="E2491" s="797"/>
      <c r="F2491" s="797"/>
      <c r="G2491" s="797"/>
      <c r="H2491" s="797"/>
      <c r="I2491" s="47">
        <f t="shared" ref="I2491:Q2491" si="2848">SUM(I2492:I2499)</f>
        <v>0</v>
      </c>
      <c r="J2491" s="47">
        <f t="shared" si="2848"/>
        <v>18.355260000000001</v>
      </c>
      <c r="K2491" s="47">
        <f t="shared" si="2848"/>
        <v>0</v>
      </c>
      <c r="L2491" s="47">
        <f t="shared" si="2848"/>
        <v>0</v>
      </c>
      <c r="M2491" s="47">
        <f t="shared" si="2848"/>
        <v>0</v>
      </c>
      <c r="N2491" s="47">
        <f t="shared" si="2848"/>
        <v>52.704989999999995</v>
      </c>
      <c r="O2491" s="47">
        <f t="shared" si="2848"/>
        <v>61.431539999999998</v>
      </c>
      <c r="P2491" s="47">
        <f t="shared" si="2848"/>
        <v>0</v>
      </c>
      <c r="Q2491" s="47">
        <f t="shared" si="2848"/>
        <v>0</v>
      </c>
    </row>
    <row r="2492" spans="4:17" s="62" customFormat="1" x14ac:dyDescent="0.3">
      <c r="D2492" s="235">
        <v>3</v>
      </c>
      <c r="E2492" s="237">
        <v>87</v>
      </c>
      <c r="F2492" s="238">
        <v>5</v>
      </c>
      <c r="G2492" s="239">
        <v>1.37</v>
      </c>
      <c r="H2492" s="239">
        <f t="shared" ref="H2492:H2499" si="2849">E2492*G2492</f>
        <v>119.19000000000001</v>
      </c>
      <c r="I2492" s="131">
        <f t="shared" ref="I2492:I2499" si="2850">IF($F2492=4.2,H2492*$B$23,0)</f>
        <v>0</v>
      </c>
      <c r="J2492" s="31">
        <f t="shared" ref="J2492:J2499" si="2851">IF($F2492=5,$H2492*$B$24,0)</f>
        <v>18.355260000000001</v>
      </c>
      <c r="K2492" s="31">
        <f t="shared" ref="K2492:K2499" si="2852">IF($F2492=6.3,$H2492*$B$25,0)</f>
        <v>0</v>
      </c>
      <c r="L2492" s="31">
        <f t="shared" ref="L2492:L2499" si="2853">IF($F2492=8,$H2492*$B$26,0)</f>
        <v>0</v>
      </c>
      <c r="M2492" s="31">
        <f t="shared" ref="M2492:M2499" si="2854">IF($F2492=10,$H2492*$B$27,0)</f>
        <v>0</v>
      </c>
      <c r="N2492" s="31">
        <f t="shared" ref="N2492:N2499" si="2855">IF($F2492=12.5,$H2492*$B$28,0)</f>
        <v>0</v>
      </c>
      <c r="O2492" s="31">
        <f t="shared" ref="O2492:O2499" si="2856">IF($F2492=16,$H2492*$B$29,0)</f>
        <v>0</v>
      </c>
      <c r="P2492" s="31">
        <f t="shared" ref="P2492:P2499" si="2857">IF($F2492=20,$H2492*$B$30,0)</f>
        <v>0</v>
      </c>
      <c r="Q2492" s="49">
        <f t="shared" ref="Q2492:Q2499" si="2858">IF($F2492=25,$H2492*$B$31,0)</f>
        <v>0</v>
      </c>
    </row>
    <row r="2493" spans="4:17" s="62" customFormat="1" x14ac:dyDescent="0.3">
      <c r="D2493" s="235">
        <v>62</v>
      </c>
      <c r="E2493" s="240">
        <v>3</v>
      </c>
      <c r="F2493" s="241">
        <v>12.5</v>
      </c>
      <c r="G2493" s="242">
        <v>3.1</v>
      </c>
      <c r="H2493" s="239">
        <f t="shared" si="2849"/>
        <v>9.3000000000000007</v>
      </c>
      <c r="I2493" s="131">
        <f t="shared" si="2850"/>
        <v>0</v>
      </c>
      <c r="J2493" s="31">
        <f t="shared" si="2851"/>
        <v>0</v>
      </c>
      <c r="K2493" s="31">
        <f t="shared" si="2852"/>
        <v>0</v>
      </c>
      <c r="L2493" s="31">
        <f t="shared" si="2853"/>
        <v>0</v>
      </c>
      <c r="M2493" s="31">
        <f t="shared" si="2854"/>
        <v>0</v>
      </c>
      <c r="N2493" s="31">
        <f t="shared" si="2855"/>
        <v>8.9558999999999997</v>
      </c>
      <c r="O2493" s="31">
        <f t="shared" si="2856"/>
        <v>0</v>
      </c>
      <c r="P2493" s="31">
        <f t="shared" si="2857"/>
        <v>0</v>
      </c>
      <c r="Q2493" s="49">
        <f t="shared" si="2858"/>
        <v>0</v>
      </c>
    </row>
    <row r="2494" spans="4:17" s="62" customFormat="1" x14ac:dyDescent="0.3">
      <c r="D2494" s="235">
        <v>66</v>
      </c>
      <c r="E2494" s="240">
        <v>3</v>
      </c>
      <c r="F2494" s="241">
        <v>12.5</v>
      </c>
      <c r="G2494" s="242">
        <v>10.74</v>
      </c>
      <c r="H2494" s="239">
        <f t="shared" si="2849"/>
        <v>32.22</v>
      </c>
      <c r="I2494" s="131">
        <f t="shared" si="2850"/>
        <v>0</v>
      </c>
      <c r="J2494" s="31">
        <f t="shared" si="2851"/>
        <v>0</v>
      </c>
      <c r="K2494" s="31">
        <f t="shared" si="2852"/>
        <v>0</v>
      </c>
      <c r="L2494" s="31">
        <f t="shared" si="2853"/>
        <v>0</v>
      </c>
      <c r="M2494" s="31">
        <f t="shared" si="2854"/>
        <v>0</v>
      </c>
      <c r="N2494" s="31">
        <f t="shared" si="2855"/>
        <v>31.027859999999997</v>
      </c>
      <c r="O2494" s="31">
        <f t="shared" si="2856"/>
        <v>0</v>
      </c>
      <c r="P2494" s="31">
        <f t="shared" si="2857"/>
        <v>0</v>
      </c>
      <c r="Q2494" s="49">
        <f t="shared" si="2858"/>
        <v>0</v>
      </c>
    </row>
    <row r="2495" spans="4:17" s="62" customFormat="1" x14ac:dyDescent="0.3">
      <c r="D2495" s="235">
        <v>75</v>
      </c>
      <c r="E2495" s="240">
        <v>3</v>
      </c>
      <c r="F2495" s="241">
        <v>12.5</v>
      </c>
      <c r="G2495" s="242">
        <v>1.77</v>
      </c>
      <c r="H2495" s="239">
        <f t="shared" si="2849"/>
        <v>5.3100000000000005</v>
      </c>
      <c r="I2495" s="131">
        <f t="shared" si="2850"/>
        <v>0</v>
      </c>
      <c r="J2495" s="31">
        <f t="shared" si="2851"/>
        <v>0</v>
      </c>
      <c r="K2495" s="31">
        <f t="shared" si="2852"/>
        <v>0</v>
      </c>
      <c r="L2495" s="31">
        <f t="shared" si="2853"/>
        <v>0</v>
      </c>
      <c r="M2495" s="31">
        <f t="shared" si="2854"/>
        <v>0</v>
      </c>
      <c r="N2495" s="31">
        <f t="shared" si="2855"/>
        <v>5.1135299999999999</v>
      </c>
      <c r="O2495" s="31">
        <f t="shared" si="2856"/>
        <v>0</v>
      </c>
      <c r="P2495" s="31">
        <f t="shared" si="2857"/>
        <v>0</v>
      </c>
      <c r="Q2495" s="49">
        <f t="shared" si="2858"/>
        <v>0</v>
      </c>
    </row>
    <row r="2496" spans="4:17" s="62" customFormat="1" x14ac:dyDescent="0.3">
      <c r="D2496" s="235">
        <v>76</v>
      </c>
      <c r="E2496" s="240">
        <v>1</v>
      </c>
      <c r="F2496" s="241">
        <v>12.5</v>
      </c>
      <c r="G2496" s="242">
        <v>7.9</v>
      </c>
      <c r="H2496" s="239">
        <f t="shared" si="2849"/>
        <v>7.9</v>
      </c>
      <c r="I2496" s="131">
        <f t="shared" si="2850"/>
        <v>0</v>
      </c>
      <c r="J2496" s="31">
        <f t="shared" si="2851"/>
        <v>0</v>
      </c>
      <c r="K2496" s="31">
        <f t="shared" si="2852"/>
        <v>0</v>
      </c>
      <c r="L2496" s="31">
        <f t="shared" si="2853"/>
        <v>0</v>
      </c>
      <c r="M2496" s="31">
        <f t="shared" si="2854"/>
        <v>0</v>
      </c>
      <c r="N2496" s="31">
        <f t="shared" si="2855"/>
        <v>7.6077000000000004</v>
      </c>
      <c r="O2496" s="31">
        <f t="shared" si="2856"/>
        <v>0</v>
      </c>
      <c r="P2496" s="31">
        <f t="shared" si="2857"/>
        <v>0</v>
      </c>
      <c r="Q2496" s="49">
        <f t="shared" si="2858"/>
        <v>0</v>
      </c>
    </row>
    <row r="2497" spans="2:20" s="62" customFormat="1" x14ac:dyDescent="0.3">
      <c r="D2497" s="235">
        <v>80</v>
      </c>
      <c r="E2497" s="240">
        <v>1</v>
      </c>
      <c r="F2497" s="241">
        <v>16</v>
      </c>
      <c r="G2497" s="242">
        <v>3.23</v>
      </c>
      <c r="H2497" s="239">
        <f t="shared" si="2849"/>
        <v>3.23</v>
      </c>
      <c r="I2497" s="131">
        <f t="shared" si="2850"/>
        <v>0</v>
      </c>
      <c r="J2497" s="31">
        <f t="shared" si="2851"/>
        <v>0</v>
      </c>
      <c r="K2497" s="31">
        <f t="shared" si="2852"/>
        <v>0</v>
      </c>
      <c r="L2497" s="31">
        <f t="shared" si="2853"/>
        <v>0</v>
      </c>
      <c r="M2497" s="31">
        <f t="shared" si="2854"/>
        <v>0</v>
      </c>
      <c r="N2497" s="31">
        <f t="shared" si="2855"/>
        <v>0</v>
      </c>
      <c r="O2497" s="31">
        <f t="shared" si="2856"/>
        <v>5.09694</v>
      </c>
      <c r="P2497" s="31">
        <f t="shared" si="2857"/>
        <v>0</v>
      </c>
      <c r="Q2497" s="49">
        <f t="shared" si="2858"/>
        <v>0</v>
      </c>
    </row>
    <row r="2498" spans="2:20" s="62" customFormat="1" x14ac:dyDescent="0.3">
      <c r="D2498" s="235">
        <v>81</v>
      </c>
      <c r="E2498" s="240">
        <v>1</v>
      </c>
      <c r="F2498" s="241">
        <v>16</v>
      </c>
      <c r="G2498" s="242">
        <v>3.03</v>
      </c>
      <c r="H2498" s="239">
        <f t="shared" si="2849"/>
        <v>3.03</v>
      </c>
      <c r="I2498" s="131">
        <f t="shared" si="2850"/>
        <v>0</v>
      </c>
      <c r="J2498" s="31">
        <f t="shared" si="2851"/>
        <v>0</v>
      </c>
      <c r="K2498" s="31">
        <f t="shared" si="2852"/>
        <v>0</v>
      </c>
      <c r="L2498" s="31">
        <f t="shared" si="2853"/>
        <v>0</v>
      </c>
      <c r="M2498" s="31">
        <f t="shared" si="2854"/>
        <v>0</v>
      </c>
      <c r="N2498" s="31">
        <f t="shared" si="2855"/>
        <v>0</v>
      </c>
      <c r="O2498" s="31">
        <f t="shared" si="2856"/>
        <v>4.7813400000000001</v>
      </c>
      <c r="P2498" s="31">
        <f t="shared" si="2857"/>
        <v>0</v>
      </c>
      <c r="Q2498" s="49">
        <f t="shared" si="2858"/>
        <v>0</v>
      </c>
    </row>
    <row r="2499" spans="2:20" s="62" customFormat="1" x14ac:dyDescent="0.3">
      <c r="D2499" s="235">
        <v>82</v>
      </c>
      <c r="E2499" s="240">
        <v>3</v>
      </c>
      <c r="F2499" s="241">
        <v>16</v>
      </c>
      <c r="G2499" s="242">
        <v>10.89</v>
      </c>
      <c r="H2499" s="239">
        <f t="shared" si="2849"/>
        <v>32.67</v>
      </c>
      <c r="I2499" s="131">
        <f t="shared" si="2850"/>
        <v>0</v>
      </c>
      <c r="J2499" s="31">
        <f t="shared" si="2851"/>
        <v>0</v>
      </c>
      <c r="K2499" s="31">
        <f t="shared" si="2852"/>
        <v>0</v>
      </c>
      <c r="L2499" s="31">
        <f t="shared" si="2853"/>
        <v>0</v>
      </c>
      <c r="M2499" s="31">
        <f t="shared" si="2854"/>
        <v>0</v>
      </c>
      <c r="N2499" s="31">
        <f t="shared" si="2855"/>
        <v>0</v>
      </c>
      <c r="O2499" s="31">
        <f t="shared" si="2856"/>
        <v>51.553260000000002</v>
      </c>
      <c r="P2499" s="31">
        <f t="shared" si="2857"/>
        <v>0</v>
      </c>
      <c r="Q2499" s="49">
        <f t="shared" si="2858"/>
        <v>0</v>
      </c>
    </row>
    <row r="2500" spans="2:20" s="62" customFormat="1" ht="15" thickBot="1" x14ac:dyDescent="0.35">
      <c r="D2500" s="307"/>
      <c r="E2500" s="26"/>
      <c r="F2500" s="206"/>
      <c r="G2500" s="207"/>
      <c r="H2500" s="207"/>
      <c r="I2500" s="51"/>
      <c r="J2500" s="308"/>
      <c r="K2500" s="308"/>
      <c r="L2500" s="308"/>
      <c r="M2500" s="308"/>
      <c r="N2500" s="308"/>
      <c r="O2500" s="308"/>
      <c r="P2500" s="308"/>
      <c r="Q2500" s="309"/>
    </row>
    <row r="2501" spans="2:20" s="16" customFormat="1" ht="15" customHeight="1" thickBot="1" x14ac:dyDescent="0.3">
      <c r="B2501" s="34"/>
      <c r="D2501" s="792" t="s">
        <v>422</v>
      </c>
      <c r="E2501" s="793"/>
      <c r="F2501" s="793"/>
      <c r="G2501" s="793"/>
      <c r="H2501" s="793"/>
      <c r="I2501" s="793"/>
      <c r="J2501" s="793"/>
      <c r="K2501" s="793"/>
      <c r="L2501" s="793"/>
      <c r="M2501" s="793"/>
      <c r="N2501" s="793"/>
      <c r="O2501" s="793"/>
      <c r="P2501" s="793"/>
      <c r="Q2501" s="794"/>
      <c r="S2501" s="795"/>
      <c r="T2501" s="795"/>
    </row>
    <row r="2502" spans="2:20" s="62" customFormat="1" x14ac:dyDescent="0.3">
      <c r="D2502" s="796" t="s">
        <v>1473</v>
      </c>
      <c r="E2502" s="797"/>
      <c r="F2502" s="797"/>
      <c r="G2502" s="797"/>
      <c r="H2502" s="797"/>
      <c r="I2502" s="47">
        <f t="shared" ref="I2502:Q2502" si="2859">SUM(I2503:I2510)</f>
        <v>0</v>
      </c>
      <c r="J2502" s="47">
        <f t="shared" si="2859"/>
        <v>8.8611600000000017</v>
      </c>
      <c r="K2502" s="47">
        <f t="shared" si="2859"/>
        <v>0.19845000000000002</v>
      </c>
      <c r="L2502" s="47">
        <f t="shared" si="2859"/>
        <v>12.13045</v>
      </c>
      <c r="M2502" s="47">
        <f t="shared" si="2859"/>
        <v>18.911050000000003</v>
      </c>
      <c r="N2502" s="47">
        <f t="shared" si="2859"/>
        <v>0</v>
      </c>
      <c r="O2502" s="47">
        <f t="shared" si="2859"/>
        <v>0</v>
      </c>
      <c r="P2502" s="47">
        <f t="shared" si="2859"/>
        <v>0</v>
      </c>
      <c r="Q2502" s="47">
        <f t="shared" si="2859"/>
        <v>0</v>
      </c>
    </row>
    <row r="2503" spans="2:20" s="62" customFormat="1" x14ac:dyDescent="0.3">
      <c r="D2503" s="235">
        <v>11</v>
      </c>
      <c r="E2503" s="237">
        <v>42</v>
      </c>
      <c r="F2503" s="238">
        <v>5</v>
      </c>
      <c r="G2503" s="239">
        <v>1.37</v>
      </c>
      <c r="H2503" s="239">
        <f t="shared" ref="H2503:H2510" si="2860">E2503*G2503</f>
        <v>57.540000000000006</v>
      </c>
      <c r="I2503" s="131">
        <f t="shared" ref="I2503:I2510" si="2861">IF($F2503=4.2,H2503*$B$23,0)</f>
        <v>0</v>
      </c>
      <c r="J2503" s="31">
        <f t="shared" ref="J2503:J2510" si="2862">IF($F2503=5,$H2503*$B$24,0)</f>
        <v>8.8611600000000017</v>
      </c>
      <c r="K2503" s="31">
        <f t="shared" ref="K2503:K2510" si="2863">IF($F2503=6.3,$H2503*$B$25,0)</f>
        <v>0</v>
      </c>
      <c r="L2503" s="31">
        <f t="shared" ref="L2503:L2510" si="2864">IF($F2503=8,$H2503*$B$26,0)</f>
        <v>0</v>
      </c>
      <c r="M2503" s="31">
        <f t="shared" ref="M2503:M2510" si="2865">IF($F2503=10,$H2503*$B$27,0)</f>
        <v>0</v>
      </c>
      <c r="N2503" s="31">
        <f t="shared" ref="N2503:N2510" si="2866">IF($F2503=12.5,$H2503*$B$28,0)</f>
        <v>0</v>
      </c>
      <c r="O2503" s="31">
        <f t="shared" ref="O2503:O2510" si="2867">IF($F2503=16,$H2503*$B$29,0)</f>
        <v>0</v>
      </c>
      <c r="P2503" s="31">
        <f t="shared" ref="P2503:P2510" si="2868">IF($F2503=20,$H2503*$B$30,0)</f>
        <v>0</v>
      </c>
      <c r="Q2503" s="49">
        <f t="shared" ref="Q2503:Q2510" si="2869">IF($F2503=25,$H2503*$B$31,0)</f>
        <v>0</v>
      </c>
    </row>
    <row r="2504" spans="2:20" s="62" customFormat="1" x14ac:dyDescent="0.3">
      <c r="D2504" s="235">
        <v>15</v>
      </c>
      <c r="E2504" s="240">
        <v>1</v>
      </c>
      <c r="F2504" s="241">
        <v>6.3</v>
      </c>
      <c r="G2504" s="242">
        <v>0.81</v>
      </c>
      <c r="H2504" s="239">
        <f t="shared" si="2860"/>
        <v>0.81</v>
      </c>
      <c r="I2504" s="131">
        <f t="shared" si="2861"/>
        <v>0</v>
      </c>
      <c r="J2504" s="31">
        <f t="shared" si="2862"/>
        <v>0</v>
      </c>
      <c r="K2504" s="31">
        <f t="shared" si="2863"/>
        <v>0.19845000000000002</v>
      </c>
      <c r="L2504" s="31">
        <f t="shared" si="2864"/>
        <v>0</v>
      </c>
      <c r="M2504" s="31">
        <f t="shared" si="2865"/>
        <v>0</v>
      </c>
      <c r="N2504" s="31">
        <f t="shared" si="2866"/>
        <v>0</v>
      </c>
      <c r="O2504" s="31">
        <f t="shared" si="2867"/>
        <v>0</v>
      </c>
      <c r="P2504" s="31">
        <f t="shared" si="2868"/>
        <v>0</v>
      </c>
      <c r="Q2504" s="49">
        <f t="shared" si="2869"/>
        <v>0</v>
      </c>
    </row>
    <row r="2505" spans="2:20" s="62" customFormat="1" x14ac:dyDescent="0.3">
      <c r="D2505" s="235">
        <v>18</v>
      </c>
      <c r="E2505" s="240">
        <v>1</v>
      </c>
      <c r="F2505" s="241">
        <v>8</v>
      </c>
      <c r="G2505" s="242">
        <v>2.75</v>
      </c>
      <c r="H2505" s="239">
        <f t="shared" si="2860"/>
        <v>2.75</v>
      </c>
      <c r="I2505" s="131">
        <f t="shared" si="2861"/>
        <v>0</v>
      </c>
      <c r="J2505" s="31">
        <f t="shared" si="2862"/>
        <v>0</v>
      </c>
      <c r="K2505" s="31">
        <f t="shared" si="2863"/>
        <v>0</v>
      </c>
      <c r="L2505" s="31">
        <f t="shared" si="2864"/>
        <v>1.0862500000000002</v>
      </c>
      <c r="M2505" s="31">
        <f t="shared" si="2865"/>
        <v>0</v>
      </c>
      <c r="N2505" s="31">
        <f t="shared" si="2866"/>
        <v>0</v>
      </c>
      <c r="O2505" s="31">
        <f t="shared" si="2867"/>
        <v>0</v>
      </c>
      <c r="P2505" s="31">
        <f t="shared" si="2868"/>
        <v>0</v>
      </c>
      <c r="Q2505" s="49">
        <f t="shared" si="2869"/>
        <v>0</v>
      </c>
    </row>
    <row r="2506" spans="2:20" s="62" customFormat="1" x14ac:dyDescent="0.3">
      <c r="D2506" s="235">
        <v>19</v>
      </c>
      <c r="E2506" s="240">
        <v>1</v>
      </c>
      <c r="F2506" s="241">
        <v>8</v>
      </c>
      <c r="G2506" s="242">
        <v>1.76</v>
      </c>
      <c r="H2506" s="239">
        <f t="shared" si="2860"/>
        <v>1.76</v>
      </c>
      <c r="I2506" s="131">
        <f t="shared" si="2861"/>
        <v>0</v>
      </c>
      <c r="J2506" s="31">
        <f t="shared" si="2862"/>
        <v>0</v>
      </c>
      <c r="K2506" s="31">
        <f t="shared" si="2863"/>
        <v>0</v>
      </c>
      <c r="L2506" s="31">
        <f t="shared" si="2864"/>
        <v>0.69520000000000004</v>
      </c>
      <c r="M2506" s="31">
        <f t="shared" si="2865"/>
        <v>0</v>
      </c>
      <c r="N2506" s="31">
        <f t="shared" si="2866"/>
        <v>0</v>
      </c>
      <c r="O2506" s="31">
        <f t="shared" si="2867"/>
        <v>0</v>
      </c>
      <c r="P2506" s="31">
        <f t="shared" si="2868"/>
        <v>0</v>
      </c>
      <c r="Q2506" s="49">
        <f t="shared" si="2869"/>
        <v>0</v>
      </c>
    </row>
    <row r="2507" spans="2:20" s="62" customFormat="1" x14ac:dyDescent="0.3">
      <c r="D2507" s="235">
        <v>20</v>
      </c>
      <c r="E2507" s="240">
        <v>4</v>
      </c>
      <c r="F2507" s="241">
        <v>8</v>
      </c>
      <c r="G2507" s="242">
        <v>6.55</v>
      </c>
      <c r="H2507" s="239">
        <f t="shared" si="2860"/>
        <v>26.2</v>
      </c>
      <c r="I2507" s="131">
        <f t="shared" si="2861"/>
        <v>0</v>
      </c>
      <c r="J2507" s="31">
        <f t="shared" si="2862"/>
        <v>0</v>
      </c>
      <c r="K2507" s="31">
        <f t="shared" si="2863"/>
        <v>0</v>
      </c>
      <c r="L2507" s="31">
        <f t="shared" si="2864"/>
        <v>10.349</v>
      </c>
      <c r="M2507" s="31">
        <f t="shared" si="2865"/>
        <v>0</v>
      </c>
      <c r="N2507" s="31">
        <f t="shared" si="2866"/>
        <v>0</v>
      </c>
      <c r="O2507" s="31">
        <f t="shared" si="2867"/>
        <v>0</v>
      </c>
      <c r="P2507" s="31">
        <f t="shared" si="2868"/>
        <v>0</v>
      </c>
      <c r="Q2507" s="49">
        <f t="shared" si="2869"/>
        <v>0</v>
      </c>
    </row>
    <row r="2508" spans="2:20" s="62" customFormat="1" x14ac:dyDescent="0.3">
      <c r="D2508" s="235">
        <v>28</v>
      </c>
      <c r="E2508" s="240">
        <v>1</v>
      </c>
      <c r="F2508" s="241">
        <v>10</v>
      </c>
      <c r="G2508" s="242">
        <v>1.33</v>
      </c>
      <c r="H2508" s="239">
        <f t="shared" si="2860"/>
        <v>1.33</v>
      </c>
      <c r="I2508" s="131">
        <f t="shared" si="2861"/>
        <v>0</v>
      </c>
      <c r="J2508" s="31">
        <f t="shared" si="2862"/>
        <v>0</v>
      </c>
      <c r="K2508" s="31">
        <f t="shared" si="2863"/>
        <v>0</v>
      </c>
      <c r="L2508" s="31">
        <f t="shared" si="2864"/>
        <v>0</v>
      </c>
      <c r="M2508" s="31">
        <f t="shared" si="2865"/>
        <v>0.82061000000000006</v>
      </c>
      <c r="N2508" s="31">
        <f t="shared" si="2866"/>
        <v>0</v>
      </c>
      <c r="O2508" s="31">
        <f t="shared" si="2867"/>
        <v>0</v>
      </c>
      <c r="P2508" s="31">
        <f t="shared" si="2868"/>
        <v>0</v>
      </c>
      <c r="Q2508" s="49">
        <f t="shared" si="2869"/>
        <v>0</v>
      </c>
    </row>
    <row r="2509" spans="2:20" s="62" customFormat="1" x14ac:dyDescent="0.3">
      <c r="D2509" s="235">
        <v>29</v>
      </c>
      <c r="E2509" s="240">
        <v>1</v>
      </c>
      <c r="F2509" s="241">
        <v>10</v>
      </c>
      <c r="G2509" s="242">
        <v>4.2</v>
      </c>
      <c r="H2509" s="239">
        <f t="shared" si="2860"/>
        <v>4.2</v>
      </c>
      <c r="I2509" s="131">
        <f t="shared" si="2861"/>
        <v>0</v>
      </c>
      <c r="J2509" s="31">
        <f t="shared" si="2862"/>
        <v>0</v>
      </c>
      <c r="K2509" s="31">
        <f t="shared" si="2863"/>
        <v>0</v>
      </c>
      <c r="L2509" s="31">
        <f t="shared" si="2864"/>
        <v>0</v>
      </c>
      <c r="M2509" s="31">
        <f t="shared" si="2865"/>
        <v>2.5914000000000001</v>
      </c>
      <c r="N2509" s="31">
        <f t="shared" si="2866"/>
        <v>0</v>
      </c>
      <c r="O2509" s="31">
        <f t="shared" si="2867"/>
        <v>0</v>
      </c>
      <c r="P2509" s="31">
        <f t="shared" si="2868"/>
        <v>0</v>
      </c>
      <c r="Q2509" s="49">
        <f t="shared" si="2869"/>
        <v>0</v>
      </c>
    </row>
    <row r="2510" spans="2:20" s="62" customFormat="1" x14ac:dyDescent="0.3">
      <c r="D2510" s="235">
        <v>30</v>
      </c>
      <c r="E2510" s="240">
        <v>4</v>
      </c>
      <c r="F2510" s="241">
        <v>10</v>
      </c>
      <c r="G2510" s="242">
        <v>6.28</v>
      </c>
      <c r="H2510" s="239">
        <f t="shared" si="2860"/>
        <v>25.12</v>
      </c>
      <c r="I2510" s="131">
        <f t="shared" si="2861"/>
        <v>0</v>
      </c>
      <c r="J2510" s="31">
        <f t="shared" si="2862"/>
        <v>0</v>
      </c>
      <c r="K2510" s="31">
        <f t="shared" si="2863"/>
        <v>0</v>
      </c>
      <c r="L2510" s="31">
        <f t="shared" si="2864"/>
        <v>0</v>
      </c>
      <c r="M2510" s="31">
        <f t="shared" si="2865"/>
        <v>15.499040000000001</v>
      </c>
      <c r="N2510" s="31">
        <f t="shared" si="2866"/>
        <v>0</v>
      </c>
      <c r="O2510" s="31">
        <f t="shared" si="2867"/>
        <v>0</v>
      </c>
      <c r="P2510" s="31">
        <f t="shared" si="2868"/>
        <v>0</v>
      </c>
      <c r="Q2510" s="49">
        <f t="shared" si="2869"/>
        <v>0</v>
      </c>
    </row>
    <row r="2511" spans="2:20" s="62" customFormat="1" ht="15" thickBot="1" x14ac:dyDescent="0.35">
      <c r="D2511" s="307"/>
      <c r="E2511" s="26"/>
      <c r="F2511" s="206"/>
      <c r="G2511" s="207"/>
      <c r="H2511" s="207"/>
      <c r="I2511" s="51"/>
      <c r="J2511" s="308"/>
      <c r="K2511" s="308"/>
      <c r="L2511" s="308"/>
      <c r="M2511" s="308"/>
      <c r="N2511" s="308"/>
      <c r="O2511" s="308"/>
      <c r="P2511" s="308"/>
      <c r="Q2511" s="309"/>
    </row>
    <row r="2512" spans="2:20" s="62" customFormat="1" x14ac:dyDescent="0.3">
      <c r="D2512" s="796" t="s">
        <v>1474</v>
      </c>
      <c r="E2512" s="797"/>
      <c r="F2512" s="797"/>
      <c r="G2512" s="797"/>
      <c r="H2512" s="797"/>
      <c r="I2512" s="47">
        <f t="shared" ref="I2512:Q2512" si="2870">SUM(I2513:I2516)</f>
        <v>0</v>
      </c>
      <c r="J2512" s="47">
        <f t="shared" si="2870"/>
        <v>4.4983399999999998</v>
      </c>
      <c r="K2512" s="47">
        <f t="shared" si="2870"/>
        <v>0</v>
      </c>
      <c r="L2512" s="47">
        <f t="shared" si="2870"/>
        <v>0</v>
      </c>
      <c r="M2512" s="47">
        <f t="shared" si="2870"/>
        <v>13.59868</v>
      </c>
      <c r="N2512" s="47">
        <f t="shared" si="2870"/>
        <v>0</v>
      </c>
      <c r="O2512" s="47">
        <f t="shared" si="2870"/>
        <v>0</v>
      </c>
      <c r="P2512" s="47">
        <f t="shared" si="2870"/>
        <v>0</v>
      </c>
      <c r="Q2512" s="47">
        <f t="shared" si="2870"/>
        <v>0</v>
      </c>
    </row>
    <row r="2513" spans="4:17" s="62" customFormat="1" x14ac:dyDescent="0.3">
      <c r="D2513" s="235">
        <v>12</v>
      </c>
      <c r="E2513" s="237">
        <v>23</v>
      </c>
      <c r="F2513" s="238">
        <v>5</v>
      </c>
      <c r="G2513" s="239">
        <v>1.27</v>
      </c>
      <c r="H2513" s="239">
        <f t="shared" ref="H2513:H2516" si="2871">E2513*G2513</f>
        <v>29.21</v>
      </c>
      <c r="I2513" s="131">
        <f t="shared" ref="I2513:I2516" si="2872">IF($F2513=4.2,H2513*$B$23,0)</f>
        <v>0</v>
      </c>
      <c r="J2513" s="31">
        <f t="shared" ref="J2513:J2516" si="2873">IF($F2513=5,$H2513*$B$24,0)</f>
        <v>4.4983399999999998</v>
      </c>
      <c r="K2513" s="31">
        <f t="shared" ref="K2513:K2516" si="2874">IF($F2513=6.3,$H2513*$B$25,0)</f>
        <v>0</v>
      </c>
      <c r="L2513" s="31">
        <f t="shared" ref="L2513:L2516" si="2875">IF($F2513=8,$H2513*$B$26,0)</f>
        <v>0</v>
      </c>
      <c r="M2513" s="31">
        <f t="shared" ref="M2513:M2516" si="2876">IF($F2513=10,$H2513*$B$27,0)</f>
        <v>0</v>
      </c>
      <c r="N2513" s="31">
        <f t="shared" ref="N2513:N2516" si="2877">IF($F2513=12.5,$H2513*$B$28,0)</f>
        <v>0</v>
      </c>
      <c r="O2513" s="31">
        <f t="shared" ref="O2513:O2516" si="2878">IF($F2513=16,$H2513*$B$29,0)</f>
        <v>0</v>
      </c>
      <c r="P2513" s="31">
        <f t="shared" ref="P2513:P2516" si="2879">IF($F2513=20,$H2513*$B$30,0)</f>
        <v>0</v>
      </c>
      <c r="Q2513" s="49">
        <f t="shared" ref="Q2513:Q2516" si="2880">IF($F2513=25,$H2513*$B$31,0)</f>
        <v>0</v>
      </c>
    </row>
    <row r="2514" spans="4:17" s="62" customFormat="1" x14ac:dyDescent="0.3">
      <c r="D2514" s="235">
        <v>31</v>
      </c>
      <c r="E2514" s="240">
        <v>2</v>
      </c>
      <c r="F2514" s="241">
        <v>10</v>
      </c>
      <c r="G2514" s="242">
        <v>2.25</v>
      </c>
      <c r="H2514" s="239">
        <f t="shared" si="2871"/>
        <v>4.5</v>
      </c>
      <c r="I2514" s="131">
        <f t="shared" si="2872"/>
        <v>0</v>
      </c>
      <c r="J2514" s="31">
        <f t="shared" si="2873"/>
        <v>0</v>
      </c>
      <c r="K2514" s="31">
        <f t="shared" si="2874"/>
        <v>0</v>
      </c>
      <c r="L2514" s="31">
        <f t="shared" si="2875"/>
        <v>0</v>
      </c>
      <c r="M2514" s="31">
        <f t="shared" si="2876"/>
        <v>2.7765</v>
      </c>
      <c r="N2514" s="31">
        <f t="shared" si="2877"/>
        <v>0</v>
      </c>
      <c r="O2514" s="31">
        <f t="shared" si="2878"/>
        <v>0</v>
      </c>
      <c r="P2514" s="31">
        <f t="shared" si="2879"/>
        <v>0</v>
      </c>
      <c r="Q2514" s="49">
        <f t="shared" si="2880"/>
        <v>0</v>
      </c>
    </row>
    <row r="2515" spans="4:17" s="62" customFormat="1" x14ac:dyDescent="0.3">
      <c r="D2515" s="235">
        <v>32</v>
      </c>
      <c r="E2515" s="240">
        <v>2</v>
      </c>
      <c r="F2515" s="241">
        <v>10</v>
      </c>
      <c r="G2515" s="242">
        <v>4.09</v>
      </c>
      <c r="H2515" s="239">
        <f t="shared" si="2871"/>
        <v>8.18</v>
      </c>
      <c r="I2515" s="131">
        <f t="shared" si="2872"/>
        <v>0</v>
      </c>
      <c r="J2515" s="31">
        <f t="shared" si="2873"/>
        <v>0</v>
      </c>
      <c r="K2515" s="31">
        <f t="shared" si="2874"/>
        <v>0</v>
      </c>
      <c r="L2515" s="31">
        <f t="shared" si="2875"/>
        <v>0</v>
      </c>
      <c r="M2515" s="31">
        <f t="shared" si="2876"/>
        <v>5.0470600000000001</v>
      </c>
      <c r="N2515" s="31">
        <f t="shared" si="2877"/>
        <v>0</v>
      </c>
      <c r="O2515" s="31">
        <f t="shared" si="2878"/>
        <v>0</v>
      </c>
      <c r="P2515" s="31">
        <f t="shared" si="2879"/>
        <v>0</v>
      </c>
      <c r="Q2515" s="49">
        <f t="shared" si="2880"/>
        <v>0</v>
      </c>
    </row>
    <row r="2516" spans="4:17" s="62" customFormat="1" x14ac:dyDescent="0.3">
      <c r="D2516" s="235">
        <v>33</v>
      </c>
      <c r="E2516" s="240">
        <v>2</v>
      </c>
      <c r="F2516" s="241">
        <v>10</v>
      </c>
      <c r="G2516" s="242">
        <v>4.68</v>
      </c>
      <c r="H2516" s="239">
        <f t="shared" si="2871"/>
        <v>9.36</v>
      </c>
      <c r="I2516" s="131">
        <f t="shared" si="2872"/>
        <v>0</v>
      </c>
      <c r="J2516" s="31">
        <f t="shared" si="2873"/>
        <v>0</v>
      </c>
      <c r="K2516" s="31">
        <f t="shared" si="2874"/>
        <v>0</v>
      </c>
      <c r="L2516" s="31">
        <f t="shared" si="2875"/>
        <v>0</v>
      </c>
      <c r="M2516" s="31">
        <f t="shared" si="2876"/>
        <v>5.7751199999999994</v>
      </c>
      <c r="N2516" s="31">
        <f t="shared" si="2877"/>
        <v>0</v>
      </c>
      <c r="O2516" s="31">
        <f t="shared" si="2878"/>
        <v>0</v>
      </c>
      <c r="P2516" s="31">
        <f t="shared" si="2879"/>
        <v>0</v>
      </c>
      <c r="Q2516" s="49">
        <f t="shared" si="2880"/>
        <v>0</v>
      </c>
    </row>
    <row r="2517" spans="4:17" s="62" customFormat="1" ht="15" thickBot="1" x14ac:dyDescent="0.35">
      <c r="D2517" s="307"/>
      <c r="E2517" s="26"/>
      <c r="F2517" s="206"/>
      <c r="G2517" s="207"/>
      <c r="H2517" s="207"/>
      <c r="I2517" s="51"/>
      <c r="J2517" s="308"/>
      <c r="K2517" s="308"/>
      <c r="L2517" s="308"/>
      <c r="M2517" s="308"/>
      <c r="N2517" s="308"/>
      <c r="O2517" s="308"/>
      <c r="P2517" s="308"/>
      <c r="Q2517" s="309"/>
    </row>
    <row r="2518" spans="4:17" s="62" customFormat="1" x14ac:dyDescent="0.3">
      <c r="D2518" s="796" t="s">
        <v>1475</v>
      </c>
      <c r="E2518" s="797"/>
      <c r="F2518" s="797"/>
      <c r="G2518" s="797"/>
      <c r="H2518" s="797"/>
      <c r="I2518" s="47">
        <f t="shared" ref="I2518:Q2518" si="2881">SUM(I2519:I2523)</f>
        <v>0</v>
      </c>
      <c r="J2518" s="47">
        <f t="shared" si="2881"/>
        <v>8.6055200000000003</v>
      </c>
      <c r="K2518" s="47">
        <f t="shared" si="2881"/>
        <v>0.93099999999999994</v>
      </c>
      <c r="L2518" s="47">
        <f t="shared" si="2881"/>
        <v>0</v>
      </c>
      <c r="M2518" s="47">
        <f t="shared" si="2881"/>
        <v>20.435039999999997</v>
      </c>
      <c r="N2518" s="47">
        <f t="shared" si="2881"/>
        <v>18.056250000000002</v>
      </c>
      <c r="O2518" s="47">
        <f t="shared" si="2881"/>
        <v>0</v>
      </c>
      <c r="P2518" s="47">
        <f t="shared" si="2881"/>
        <v>0</v>
      </c>
      <c r="Q2518" s="47">
        <f t="shared" si="2881"/>
        <v>0</v>
      </c>
    </row>
    <row r="2519" spans="4:17" s="62" customFormat="1" x14ac:dyDescent="0.3">
      <c r="D2519" s="235">
        <v>12</v>
      </c>
      <c r="E2519" s="237">
        <v>44</v>
      </c>
      <c r="F2519" s="238">
        <v>5</v>
      </c>
      <c r="G2519" s="239">
        <v>1.27</v>
      </c>
      <c r="H2519" s="239">
        <f t="shared" ref="H2519:H2523" si="2882">E2519*G2519</f>
        <v>55.88</v>
      </c>
      <c r="I2519" s="131">
        <f t="shared" ref="I2519:I2523" si="2883">IF($F2519=4.2,H2519*$B$23,0)</f>
        <v>0</v>
      </c>
      <c r="J2519" s="31">
        <f t="shared" ref="J2519:J2523" si="2884">IF($F2519=5,$H2519*$B$24,0)</f>
        <v>8.6055200000000003</v>
      </c>
      <c r="K2519" s="31">
        <f t="shared" ref="K2519:K2523" si="2885">IF($F2519=6.3,$H2519*$B$25,0)</f>
        <v>0</v>
      </c>
      <c r="L2519" s="31">
        <f t="shared" ref="L2519:L2523" si="2886">IF($F2519=8,$H2519*$B$26,0)</f>
        <v>0</v>
      </c>
      <c r="M2519" s="31">
        <f t="shared" ref="M2519:M2523" si="2887">IF($F2519=10,$H2519*$B$27,0)</f>
        <v>0</v>
      </c>
      <c r="N2519" s="31">
        <f t="shared" ref="N2519:N2523" si="2888">IF($F2519=12.5,$H2519*$B$28,0)</f>
        <v>0</v>
      </c>
      <c r="O2519" s="31">
        <f t="shared" ref="O2519:O2523" si="2889">IF($F2519=16,$H2519*$B$29,0)</f>
        <v>0</v>
      </c>
      <c r="P2519" s="31">
        <f t="shared" ref="P2519:P2523" si="2890">IF($F2519=20,$H2519*$B$30,0)</f>
        <v>0</v>
      </c>
      <c r="Q2519" s="49">
        <f t="shared" ref="Q2519:Q2523" si="2891">IF($F2519=25,$H2519*$B$31,0)</f>
        <v>0</v>
      </c>
    </row>
    <row r="2520" spans="4:17" s="62" customFormat="1" x14ac:dyDescent="0.3">
      <c r="D2520" s="235">
        <v>16</v>
      </c>
      <c r="E2520" s="240">
        <v>5</v>
      </c>
      <c r="F2520" s="241">
        <v>6.3</v>
      </c>
      <c r="G2520" s="242">
        <v>0.76</v>
      </c>
      <c r="H2520" s="239">
        <f t="shared" si="2882"/>
        <v>3.8</v>
      </c>
      <c r="I2520" s="131">
        <f t="shared" si="2883"/>
        <v>0</v>
      </c>
      <c r="J2520" s="31">
        <f t="shared" si="2884"/>
        <v>0</v>
      </c>
      <c r="K2520" s="31">
        <f t="shared" si="2885"/>
        <v>0.93099999999999994</v>
      </c>
      <c r="L2520" s="31">
        <f t="shared" si="2886"/>
        <v>0</v>
      </c>
      <c r="M2520" s="31">
        <f t="shared" si="2887"/>
        <v>0</v>
      </c>
      <c r="N2520" s="31">
        <f t="shared" si="2888"/>
        <v>0</v>
      </c>
      <c r="O2520" s="31">
        <f t="shared" si="2889"/>
        <v>0</v>
      </c>
      <c r="P2520" s="31">
        <f t="shared" si="2890"/>
        <v>0</v>
      </c>
      <c r="Q2520" s="49">
        <f t="shared" si="2891"/>
        <v>0</v>
      </c>
    </row>
    <row r="2521" spans="4:17" s="62" customFormat="1" x14ac:dyDescent="0.3">
      <c r="D2521" s="235">
        <v>34</v>
      </c>
      <c r="E2521" s="240">
        <v>4</v>
      </c>
      <c r="F2521" s="241">
        <v>10</v>
      </c>
      <c r="G2521" s="242">
        <v>8.2799999999999994</v>
      </c>
      <c r="H2521" s="239">
        <f t="shared" si="2882"/>
        <v>33.119999999999997</v>
      </c>
      <c r="I2521" s="131">
        <f t="shared" si="2883"/>
        <v>0</v>
      </c>
      <c r="J2521" s="31">
        <f t="shared" si="2884"/>
        <v>0</v>
      </c>
      <c r="K2521" s="31">
        <f t="shared" si="2885"/>
        <v>0</v>
      </c>
      <c r="L2521" s="31">
        <f t="shared" si="2886"/>
        <v>0</v>
      </c>
      <c r="M2521" s="31">
        <f t="shared" si="2887"/>
        <v>20.435039999999997</v>
      </c>
      <c r="N2521" s="31">
        <f t="shared" si="2888"/>
        <v>0</v>
      </c>
      <c r="O2521" s="31">
        <f t="shared" si="2889"/>
        <v>0</v>
      </c>
      <c r="P2521" s="31">
        <f t="shared" si="2890"/>
        <v>0</v>
      </c>
      <c r="Q2521" s="49">
        <f t="shared" si="2891"/>
        <v>0</v>
      </c>
    </row>
    <row r="2522" spans="4:17" s="62" customFormat="1" x14ac:dyDescent="0.3">
      <c r="D2522" s="235">
        <v>53</v>
      </c>
      <c r="E2522" s="240">
        <v>1</v>
      </c>
      <c r="F2522" s="241">
        <v>12.5</v>
      </c>
      <c r="G2522" s="242">
        <v>1.47</v>
      </c>
      <c r="H2522" s="239">
        <f t="shared" si="2882"/>
        <v>1.47</v>
      </c>
      <c r="I2522" s="131">
        <f t="shared" si="2883"/>
        <v>0</v>
      </c>
      <c r="J2522" s="31">
        <f t="shared" si="2884"/>
        <v>0</v>
      </c>
      <c r="K2522" s="31">
        <f t="shared" si="2885"/>
        <v>0</v>
      </c>
      <c r="L2522" s="31">
        <f t="shared" si="2886"/>
        <v>0</v>
      </c>
      <c r="M2522" s="31">
        <f t="shared" si="2887"/>
        <v>0</v>
      </c>
      <c r="N2522" s="31">
        <f t="shared" si="2888"/>
        <v>1.41561</v>
      </c>
      <c r="O2522" s="31">
        <f t="shared" si="2889"/>
        <v>0</v>
      </c>
      <c r="P2522" s="31">
        <f t="shared" si="2890"/>
        <v>0</v>
      </c>
      <c r="Q2522" s="49">
        <f t="shared" si="2891"/>
        <v>0</v>
      </c>
    </row>
    <row r="2523" spans="4:17" s="62" customFormat="1" x14ac:dyDescent="0.3">
      <c r="D2523" s="235">
        <v>54</v>
      </c>
      <c r="E2523" s="240">
        <v>2</v>
      </c>
      <c r="F2523" s="241">
        <v>12.5</v>
      </c>
      <c r="G2523" s="242">
        <v>8.64</v>
      </c>
      <c r="H2523" s="239">
        <f t="shared" si="2882"/>
        <v>17.28</v>
      </c>
      <c r="I2523" s="131">
        <f t="shared" si="2883"/>
        <v>0</v>
      </c>
      <c r="J2523" s="31">
        <f t="shared" si="2884"/>
        <v>0</v>
      </c>
      <c r="K2523" s="31">
        <f t="shared" si="2885"/>
        <v>0</v>
      </c>
      <c r="L2523" s="31">
        <f t="shared" si="2886"/>
        <v>0</v>
      </c>
      <c r="M2523" s="31">
        <f t="shared" si="2887"/>
        <v>0</v>
      </c>
      <c r="N2523" s="31">
        <f t="shared" si="2888"/>
        <v>16.640640000000001</v>
      </c>
      <c r="O2523" s="31">
        <f t="shared" si="2889"/>
        <v>0</v>
      </c>
      <c r="P2523" s="31">
        <f t="shared" si="2890"/>
        <v>0</v>
      </c>
      <c r="Q2523" s="49">
        <f t="shared" si="2891"/>
        <v>0</v>
      </c>
    </row>
    <row r="2524" spans="4:17" s="62" customFormat="1" ht="15" thickBot="1" x14ac:dyDescent="0.35">
      <c r="D2524" s="307"/>
      <c r="E2524" s="26"/>
      <c r="F2524" s="206"/>
      <c r="G2524" s="207"/>
      <c r="H2524" s="207"/>
      <c r="I2524" s="51"/>
      <c r="J2524" s="308"/>
      <c r="K2524" s="308"/>
      <c r="L2524" s="308"/>
      <c r="M2524" s="308"/>
      <c r="N2524" s="308"/>
      <c r="O2524" s="308"/>
      <c r="P2524" s="308"/>
      <c r="Q2524" s="309"/>
    </row>
    <row r="2525" spans="4:17" s="62" customFormat="1" x14ac:dyDescent="0.3">
      <c r="D2525" s="796" t="s">
        <v>1476</v>
      </c>
      <c r="E2525" s="797"/>
      <c r="F2525" s="797"/>
      <c r="G2525" s="797"/>
      <c r="H2525" s="797"/>
      <c r="I2525" s="47">
        <f t="shared" ref="I2525:Q2525" si="2892">SUM(I2526:I2531)</f>
        <v>0</v>
      </c>
      <c r="J2525" s="47">
        <f t="shared" si="2892"/>
        <v>9.1922599999999992</v>
      </c>
      <c r="K2525" s="47">
        <f t="shared" si="2892"/>
        <v>0</v>
      </c>
      <c r="L2525" s="47">
        <f t="shared" si="2892"/>
        <v>0</v>
      </c>
      <c r="M2525" s="47">
        <f t="shared" si="2892"/>
        <v>32.997159999999994</v>
      </c>
      <c r="N2525" s="47">
        <f t="shared" si="2892"/>
        <v>0</v>
      </c>
      <c r="O2525" s="47">
        <f t="shared" si="2892"/>
        <v>0</v>
      </c>
      <c r="P2525" s="47">
        <f t="shared" si="2892"/>
        <v>0</v>
      </c>
      <c r="Q2525" s="47">
        <f t="shared" si="2892"/>
        <v>0</v>
      </c>
    </row>
    <row r="2526" spans="4:17" s="62" customFormat="1" x14ac:dyDescent="0.3">
      <c r="D2526" s="235">
        <v>12</v>
      </c>
      <c r="E2526" s="237">
        <v>47</v>
      </c>
      <c r="F2526" s="238">
        <v>5</v>
      </c>
      <c r="G2526" s="239">
        <v>1.27</v>
      </c>
      <c r="H2526" s="239">
        <f t="shared" ref="H2526:H2531" si="2893">E2526*G2526</f>
        <v>59.69</v>
      </c>
      <c r="I2526" s="131">
        <f t="shared" ref="I2526:I2531" si="2894">IF($F2526=4.2,H2526*$B$23,0)</f>
        <v>0</v>
      </c>
      <c r="J2526" s="31">
        <f t="shared" ref="J2526:J2531" si="2895">IF($F2526=5,$H2526*$B$24,0)</f>
        <v>9.1922599999999992</v>
      </c>
      <c r="K2526" s="31">
        <f t="shared" ref="K2526:K2531" si="2896">IF($F2526=6.3,$H2526*$B$25,0)</f>
        <v>0</v>
      </c>
      <c r="L2526" s="31">
        <f t="shared" ref="L2526:L2531" si="2897">IF($F2526=8,$H2526*$B$26,0)</f>
        <v>0</v>
      </c>
      <c r="M2526" s="31">
        <f t="shared" ref="M2526:M2531" si="2898">IF($F2526=10,$H2526*$B$27,0)</f>
        <v>0</v>
      </c>
      <c r="N2526" s="31">
        <f t="shared" ref="N2526:N2531" si="2899">IF($F2526=12.5,$H2526*$B$28,0)</f>
        <v>0</v>
      </c>
      <c r="O2526" s="31">
        <f t="shared" ref="O2526:O2531" si="2900">IF($F2526=16,$H2526*$B$29,0)</f>
        <v>0</v>
      </c>
      <c r="P2526" s="31">
        <f t="shared" ref="P2526:P2531" si="2901">IF($F2526=20,$H2526*$B$30,0)</f>
        <v>0</v>
      </c>
      <c r="Q2526" s="49">
        <f t="shared" ref="Q2526:Q2531" si="2902">IF($F2526=25,$H2526*$B$31,0)</f>
        <v>0</v>
      </c>
    </row>
    <row r="2527" spans="4:17" s="62" customFormat="1" x14ac:dyDescent="0.3">
      <c r="D2527" s="235">
        <v>34</v>
      </c>
      <c r="E2527" s="240">
        <v>3</v>
      </c>
      <c r="F2527" s="241">
        <v>10</v>
      </c>
      <c r="G2527" s="242">
        <v>8.2799999999999994</v>
      </c>
      <c r="H2527" s="239">
        <f t="shared" si="2893"/>
        <v>24.839999999999996</v>
      </c>
      <c r="I2527" s="131">
        <f t="shared" si="2894"/>
        <v>0</v>
      </c>
      <c r="J2527" s="31">
        <f t="shared" si="2895"/>
        <v>0</v>
      </c>
      <c r="K2527" s="31">
        <f t="shared" si="2896"/>
        <v>0</v>
      </c>
      <c r="L2527" s="31">
        <f t="shared" si="2897"/>
        <v>0</v>
      </c>
      <c r="M2527" s="31">
        <f t="shared" si="2898"/>
        <v>15.326279999999997</v>
      </c>
      <c r="N2527" s="31">
        <f t="shared" si="2899"/>
        <v>0</v>
      </c>
      <c r="O2527" s="31">
        <f t="shared" si="2900"/>
        <v>0</v>
      </c>
      <c r="P2527" s="31">
        <f t="shared" si="2901"/>
        <v>0</v>
      </c>
      <c r="Q2527" s="49">
        <f t="shared" si="2902"/>
        <v>0</v>
      </c>
    </row>
    <row r="2528" spans="4:17" s="62" customFormat="1" x14ac:dyDescent="0.3">
      <c r="D2528" s="235">
        <v>35</v>
      </c>
      <c r="E2528" s="240">
        <v>1</v>
      </c>
      <c r="F2528" s="241">
        <v>10</v>
      </c>
      <c r="G2528" s="242">
        <v>4.0999999999999996</v>
      </c>
      <c r="H2528" s="239">
        <f t="shared" si="2893"/>
        <v>4.0999999999999996</v>
      </c>
      <c r="I2528" s="131">
        <f t="shared" si="2894"/>
        <v>0</v>
      </c>
      <c r="J2528" s="31">
        <f t="shared" si="2895"/>
        <v>0</v>
      </c>
      <c r="K2528" s="31">
        <f t="shared" si="2896"/>
        <v>0</v>
      </c>
      <c r="L2528" s="31">
        <f t="shared" si="2897"/>
        <v>0</v>
      </c>
      <c r="M2528" s="31">
        <f t="shared" si="2898"/>
        <v>2.5296999999999996</v>
      </c>
      <c r="N2528" s="31">
        <f t="shared" si="2899"/>
        <v>0</v>
      </c>
      <c r="O2528" s="31">
        <f t="shared" si="2900"/>
        <v>0</v>
      </c>
      <c r="P2528" s="31">
        <f t="shared" si="2901"/>
        <v>0</v>
      </c>
      <c r="Q2528" s="49">
        <f t="shared" si="2902"/>
        <v>0</v>
      </c>
    </row>
    <row r="2529" spans="4:17" s="62" customFormat="1" x14ac:dyDescent="0.3">
      <c r="D2529" s="235">
        <v>36</v>
      </c>
      <c r="E2529" s="240">
        <v>2</v>
      </c>
      <c r="F2529" s="241">
        <v>10</v>
      </c>
      <c r="G2529" s="242">
        <v>1.81</v>
      </c>
      <c r="H2529" s="239">
        <f t="shared" si="2893"/>
        <v>3.62</v>
      </c>
      <c r="I2529" s="131">
        <f t="shared" si="2894"/>
        <v>0</v>
      </c>
      <c r="J2529" s="31">
        <f t="shared" si="2895"/>
        <v>0</v>
      </c>
      <c r="K2529" s="31">
        <f t="shared" si="2896"/>
        <v>0</v>
      </c>
      <c r="L2529" s="31">
        <f t="shared" si="2897"/>
        <v>0</v>
      </c>
      <c r="M2529" s="31">
        <f t="shared" si="2898"/>
        <v>2.2335400000000001</v>
      </c>
      <c r="N2529" s="31">
        <f t="shared" si="2899"/>
        <v>0</v>
      </c>
      <c r="O2529" s="31">
        <f t="shared" si="2900"/>
        <v>0</v>
      </c>
      <c r="P2529" s="31">
        <f t="shared" si="2901"/>
        <v>0</v>
      </c>
      <c r="Q2529" s="49">
        <f t="shared" si="2902"/>
        <v>0</v>
      </c>
    </row>
    <row r="2530" spans="4:17" s="62" customFormat="1" x14ac:dyDescent="0.3">
      <c r="D2530" s="235">
        <v>37</v>
      </c>
      <c r="E2530" s="240">
        <v>2</v>
      </c>
      <c r="F2530" s="241">
        <v>10</v>
      </c>
      <c r="G2530" s="242">
        <v>1.76</v>
      </c>
      <c r="H2530" s="239">
        <f t="shared" si="2893"/>
        <v>3.52</v>
      </c>
      <c r="I2530" s="131">
        <f t="shared" si="2894"/>
        <v>0</v>
      </c>
      <c r="J2530" s="31">
        <f t="shared" si="2895"/>
        <v>0</v>
      </c>
      <c r="K2530" s="31">
        <f t="shared" si="2896"/>
        <v>0</v>
      </c>
      <c r="L2530" s="31">
        <f t="shared" si="2897"/>
        <v>0</v>
      </c>
      <c r="M2530" s="31">
        <f t="shared" si="2898"/>
        <v>2.17184</v>
      </c>
      <c r="N2530" s="31">
        <f t="shared" si="2899"/>
        <v>0</v>
      </c>
      <c r="O2530" s="31">
        <f t="shared" si="2900"/>
        <v>0</v>
      </c>
      <c r="P2530" s="31">
        <f t="shared" si="2901"/>
        <v>0</v>
      </c>
      <c r="Q2530" s="49">
        <f t="shared" si="2902"/>
        <v>0</v>
      </c>
    </row>
    <row r="2531" spans="4:17" s="62" customFormat="1" x14ac:dyDescent="0.3">
      <c r="D2531" s="235">
        <v>38</v>
      </c>
      <c r="E2531" s="240">
        <v>2</v>
      </c>
      <c r="F2531" s="241">
        <v>10</v>
      </c>
      <c r="G2531" s="242">
        <v>8.6999999999999993</v>
      </c>
      <c r="H2531" s="239">
        <f t="shared" si="2893"/>
        <v>17.399999999999999</v>
      </c>
      <c r="I2531" s="131">
        <f t="shared" si="2894"/>
        <v>0</v>
      </c>
      <c r="J2531" s="31">
        <f t="shared" si="2895"/>
        <v>0</v>
      </c>
      <c r="K2531" s="31">
        <f t="shared" si="2896"/>
        <v>0</v>
      </c>
      <c r="L2531" s="31">
        <f t="shared" si="2897"/>
        <v>0</v>
      </c>
      <c r="M2531" s="31">
        <f t="shared" si="2898"/>
        <v>10.735799999999999</v>
      </c>
      <c r="N2531" s="31">
        <f t="shared" si="2899"/>
        <v>0</v>
      </c>
      <c r="O2531" s="31">
        <f t="shared" si="2900"/>
        <v>0</v>
      </c>
      <c r="P2531" s="31">
        <f t="shared" si="2901"/>
        <v>0</v>
      </c>
      <c r="Q2531" s="49">
        <f t="shared" si="2902"/>
        <v>0</v>
      </c>
    </row>
    <row r="2532" spans="4:17" s="62" customFormat="1" ht="15" thickBot="1" x14ac:dyDescent="0.35">
      <c r="D2532" s="307"/>
      <c r="E2532" s="26"/>
      <c r="F2532" s="206"/>
      <c r="G2532" s="207"/>
      <c r="H2532" s="207"/>
      <c r="I2532" s="51"/>
      <c r="J2532" s="308"/>
      <c r="K2532" s="308"/>
      <c r="L2532" s="308"/>
      <c r="M2532" s="308"/>
      <c r="N2532" s="308"/>
      <c r="O2532" s="308"/>
      <c r="P2532" s="308"/>
      <c r="Q2532" s="309"/>
    </row>
    <row r="2533" spans="4:17" s="62" customFormat="1" x14ac:dyDescent="0.3">
      <c r="D2533" s="796" t="s">
        <v>1477</v>
      </c>
      <c r="E2533" s="797"/>
      <c r="F2533" s="797"/>
      <c r="G2533" s="797"/>
      <c r="H2533" s="797"/>
      <c r="I2533" s="47">
        <f t="shared" ref="I2533:Q2533" si="2903">SUM(I2534:I2539)</f>
        <v>0</v>
      </c>
      <c r="J2533" s="47">
        <f t="shared" si="2903"/>
        <v>4.4983399999999998</v>
      </c>
      <c r="K2533" s="47">
        <f t="shared" si="2903"/>
        <v>0</v>
      </c>
      <c r="L2533" s="47">
        <f t="shared" si="2903"/>
        <v>2.2041000000000004</v>
      </c>
      <c r="M2533" s="47">
        <f t="shared" si="2903"/>
        <v>20.274619999999999</v>
      </c>
      <c r="N2533" s="47">
        <f t="shared" si="2903"/>
        <v>0</v>
      </c>
      <c r="O2533" s="47">
        <f t="shared" si="2903"/>
        <v>0</v>
      </c>
      <c r="P2533" s="47">
        <f t="shared" si="2903"/>
        <v>0</v>
      </c>
      <c r="Q2533" s="47">
        <f t="shared" si="2903"/>
        <v>0</v>
      </c>
    </row>
    <row r="2534" spans="4:17" s="62" customFormat="1" x14ac:dyDescent="0.3">
      <c r="D2534" s="235">
        <v>12</v>
      </c>
      <c r="E2534" s="237">
        <v>23</v>
      </c>
      <c r="F2534" s="238">
        <v>5</v>
      </c>
      <c r="G2534" s="239">
        <v>1.27</v>
      </c>
      <c r="H2534" s="239">
        <f t="shared" ref="H2534:H2539" si="2904">E2534*G2534</f>
        <v>29.21</v>
      </c>
      <c r="I2534" s="131">
        <f t="shared" ref="I2534:I2539" si="2905">IF($F2534=4.2,H2534*$B$23,0)</f>
        <v>0</v>
      </c>
      <c r="J2534" s="31">
        <f t="shared" ref="J2534:J2539" si="2906">IF($F2534=5,$H2534*$B$24,0)</f>
        <v>4.4983399999999998</v>
      </c>
      <c r="K2534" s="31">
        <f t="shared" ref="K2534:K2539" si="2907">IF($F2534=6.3,$H2534*$B$25,0)</f>
        <v>0</v>
      </c>
      <c r="L2534" s="31">
        <f t="shared" ref="L2534:L2539" si="2908">IF($F2534=8,$H2534*$B$26,0)</f>
        <v>0</v>
      </c>
      <c r="M2534" s="31">
        <f t="shared" ref="M2534:M2539" si="2909">IF($F2534=10,$H2534*$B$27,0)</f>
        <v>0</v>
      </c>
      <c r="N2534" s="31">
        <f t="shared" ref="N2534:N2539" si="2910">IF($F2534=12.5,$H2534*$B$28,0)</f>
        <v>0</v>
      </c>
      <c r="O2534" s="31">
        <f t="shared" ref="O2534:O2539" si="2911">IF($F2534=16,$H2534*$B$29,0)</f>
        <v>0</v>
      </c>
      <c r="P2534" s="31">
        <f t="shared" ref="P2534:P2539" si="2912">IF($F2534=20,$H2534*$B$30,0)</f>
        <v>0</v>
      </c>
      <c r="Q2534" s="49">
        <f t="shared" ref="Q2534:Q2539" si="2913">IF($F2534=25,$H2534*$B$31,0)</f>
        <v>0</v>
      </c>
    </row>
    <row r="2535" spans="4:17" s="62" customFormat="1" x14ac:dyDescent="0.3">
      <c r="D2535" s="235">
        <v>21</v>
      </c>
      <c r="E2535" s="240">
        <v>3</v>
      </c>
      <c r="F2535" s="241">
        <v>8</v>
      </c>
      <c r="G2535" s="242">
        <v>0.88</v>
      </c>
      <c r="H2535" s="239">
        <f t="shared" si="2904"/>
        <v>2.64</v>
      </c>
      <c r="I2535" s="131">
        <f t="shared" si="2905"/>
        <v>0</v>
      </c>
      <c r="J2535" s="31">
        <f t="shared" si="2906"/>
        <v>0</v>
      </c>
      <c r="K2535" s="31">
        <f t="shared" si="2907"/>
        <v>0</v>
      </c>
      <c r="L2535" s="31">
        <f t="shared" si="2908"/>
        <v>1.0428000000000002</v>
      </c>
      <c r="M2535" s="31">
        <f t="shared" si="2909"/>
        <v>0</v>
      </c>
      <c r="N2535" s="31">
        <f t="shared" si="2910"/>
        <v>0</v>
      </c>
      <c r="O2535" s="31">
        <f t="shared" si="2911"/>
        <v>0</v>
      </c>
      <c r="P2535" s="31">
        <f t="shared" si="2912"/>
        <v>0</v>
      </c>
      <c r="Q2535" s="49">
        <f t="shared" si="2913"/>
        <v>0</v>
      </c>
    </row>
    <row r="2536" spans="4:17" s="62" customFormat="1" x14ac:dyDescent="0.3">
      <c r="D2536" s="235">
        <v>22</v>
      </c>
      <c r="E2536" s="240">
        <v>3</v>
      </c>
      <c r="F2536" s="241">
        <v>8</v>
      </c>
      <c r="G2536" s="242">
        <v>0.98</v>
      </c>
      <c r="H2536" s="239">
        <f t="shared" si="2904"/>
        <v>2.94</v>
      </c>
      <c r="I2536" s="131">
        <f t="shared" si="2905"/>
        <v>0</v>
      </c>
      <c r="J2536" s="31">
        <f t="shared" si="2906"/>
        <v>0</v>
      </c>
      <c r="K2536" s="31">
        <f t="shared" si="2907"/>
        <v>0</v>
      </c>
      <c r="L2536" s="31">
        <f t="shared" si="2908"/>
        <v>1.1613</v>
      </c>
      <c r="M2536" s="31">
        <f t="shared" si="2909"/>
        <v>0</v>
      </c>
      <c r="N2536" s="31">
        <f t="shared" si="2910"/>
        <v>0</v>
      </c>
      <c r="O2536" s="31">
        <f t="shared" si="2911"/>
        <v>0</v>
      </c>
      <c r="P2536" s="31">
        <f t="shared" si="2912"/>
        <v>0</v>
      </c>
      <c r="Q2536" s="49">
        <f t="shared" si="2913"/>
        <v>0</v>
      </c>
    </row>
    <row r="2537" spans="4:17" s="62" customFormat="1" x14ac:dyDescent="0.3">
      <c r="D2537" s="235">
        <v>39</v>
      </c>
      <c r="E2537" s="240">
        <v>4</v>
      </c>
      <c r="F2537" s="241">
        <v>10</v>
      </c>
      <c r="G2537" s="242">
        <v>4.33</v>
      </c>
      <c r="H2537" s="239">
        <f t="shared" si="2904"/>
        <v>17.32</v>
      </c>
      <c r="I2537" s="131">
        <f t="shared" si="2905"/>
        <v>0</v>
      </c>
      <c r="J2537" s="31">
        <f t="shared" si="2906"/>
        <v>0</v>
      </c>
      <c r="K2537" s="31">
        <f t="shared" si="2907"/>
        <v>0</v>
      </c>
      <c r="L2537" s="31">
        <f t="shared" si="2908"/>
        <v>0</v>
      </c>
      <c r="M2537" s="31">
        <f t="shared" si="2909"/>
        <v>10.686439999999999</v>
      </c>
      <c r="N2537" s="31">
        <f t="shared" si="2910"/>
        <v>0</v>
      </c>
      <c r="O2537" s="31">
        <f t="shared" si="2911"/>
        <v>0</v>
      </c>
      <c r="P2537" s="31">
        <f t="shared" si="2912"/>
        <v>0</v>
      </c>
      <c r="Q2537" s="49">
        <f t="shared" si="2913"/>
        <v>0</v>
      </c>
    </row>
    <row r="2538" spans="4:17" s="62" customFormat="1" x14ac:dyDescent="0.3">
      <c r="D2538" s="235">
        <v>40</v>
      </c>
      <c r="E2538" s="240">
        <v>1</v>
      </c>
      <c r="F2538" s="241">
        <v>10</v>
      </c>
      <c r="G2538" s="242">
        <v>1.56</v>
      </c>
      <c r="H2538" s="239">
        <f t="shared" si="2904"/>
        <v>1.56</v>
      </c>
      <c r="I2538" s="131">
        <f t="shared" si="2905"/>
        <v>0</v>
      </c>
      <c r="J2538" s="31">
        <f t="shared" si="2906"/>
        <v>0</v>
      </c>
      <c r="K2538" s="31">
        <f t="shared" si="2907"/>
        <v>0</v>
      </c>
      <c r="L2538" s="31">
        <f t="shared" si="2908"/>
        <v>0</v>
      </c>
      <c r="M2538" s="31">
        <f t="shared" si="2909"/>
        <v>0.96252000000000004</v>
      </c>
      <c r="N2538" s="31">
        <f t="shared" si="2910"/>
        <v>0</v>
      </c>
      <c r="O2538" s="31">
        <f t="shared" si="2911"/>
        <v>0</v>
      </c>
      <c r="P2538" s="31">
        <f t="shared" si="2912"/>
        <v>0</v>
      </c>
      <c r="Q2538" s="49">
        <f t="shared" si="2913"/>
        <v>0</v>
      </c>
    </row>
    <row r="2539" spans="4:17" s="62" customFormat="1" x14ac:dyDescent="0.3">
      <c r="D2539" s="235">
        <v>41</v>
      </c>
      <c r="E2539" s="240">
        <v>3</v>
      </c>
      <c r="F2539" s="241">
        <v>10</v>
      </c>
      <c r="G2539" s="242">
        <v>4.66</v>
      </c>
      <c r="H2539" s="239">
        <f t="shared" si="2904"/>
        <v>13.98</v>
      </c>
      <c r="I2539" s="131">
        <f t="shared" si="2905"/>
        <v>0</v>
      </c>
      <c r="J2539" s="31">
        <f t="shared" si="2906"/>
        <v>0</v>
      </c>
      <c r="K2539" s="31">
        <f t="shared" si="2907"/>
        <v>0</v>
      </c>
      <c r="L2539" s="31">
        <f t="shared" si="2908"/>
        <v>0</v>
      </c>
      <c r="M2539" s="31">
        <f t="shared" si="2909"/>
        <v>8.6256599999999999</v>
      </c>
      <c r="N2539" s="31">
        <f t="shared" si="2910"/>
        <v>0</v>
      </c>
      <c r="O2539" s="31">
        <f t="shared" si="2911"/>
        <v>0</v>
      </c>
      <c r="P2539" s="31">
        <f t="shared" si="2912"/>
        <v>0</v>
      </c>
      <c r="Q2539" s="49">
        <f t="shared" si="2913"/>
        <v>0</v>
      </c>
    </row>
    <row r="2540" spans="4:17" s="62" customFormat="1" ht="15" thickBot="1" x14ac:dyDescent="0.35">
      <c r="D2540" s="307"/>
      <c r="E2540" s="26"/>
      <c r="F2540" s="206"/>
      <c r="G2540" s="207"/>
      <c r="H2540" s="207"/>
      <c r="I2540" s="51"/>
      <c r="J2540" s="308"/>
      <c r="K2540" s="308"/>
      <c r="L2540" s="308"/>
      <c r="M2540" s="308"/>
      <c r="N2540" s="308"/>
      <c r="O2540" s="308"/>
      <c r="P2540" s="308"/>
      <c r="Q2540" s="309"/>
    </row>
    <row r="2541" spans="4:17" s="62" customFormat="1" x14ac:dyDescent="0.3">
      <c r="D2541" s="796" t="s">
        <v>1478</v>
      </c>
      <c r="E2541" s="797"/>
      <c r="F2541" s="797"/>
      <c r="G2541" s="797"/>
      <c r="H2541" s="797"/>
      <c r="I2541" s="47">
        <f t="shared" ref="I2541:Q2541" si="2914">SUM(I2542:I2546)</f>
        <v>0</v>
      </c>
      <c r="J2541" s="47">
        <f t="shared" si="2914"/>
        <v>6.4541400000000007</v>
      </c>
      <c r="K2541" s="47">
        <f t="shared" si="2914"/>
        <v>0.1862</v>
      </c>
      <c r="L2541" s="47">
        <f t="shared" si="2914"/>
        <v>0</v>
      </c>
      <c r="M2541" s="47">
        <f t="shared" si="2914"/>
        <v>16.486240000000002</v>
      </c>
      <c r="N2541" s="47">
        <f t="shared" si="2914"/>
        <v>12.65382</v>
      </c>
      <c r="O2541" s="47">
        <f t="shared" si="2914"/>
        <v>0</v>
      </c>
      <c r="P2541" s="47">
        <f t="shared" si="2914"/>
        <v>0</v>
      </c>
      <c r="Q2541" s="47">
        <f t="shared" si="2914"/>
        <v>0</v>
      </c>
    </row>
    <row r="2542" spans="4:17" s="62" customFormat="1" x14ac:dyDescent="0.3">
      <c r="D2542" s="235">
        <v>12</v>
      </c>
      <c r="E2542" s="237">
        <v>33</v>
      </c>
      <c r="F2542" s="238">
        <v>5</v>
      </c>
      <c r="G2542" s="239">
        <v>1.27</v>
      </c>
      <c r="H2542" s="239">
        <f t="shared" ref="H2542:H2546" si="2915">E2542*G2542</f>
        <v>41.910000000000004</v>
      </c>
      <c r="I2542" s="131">
        <f t="shared" ref="I2542:I2546" si="2916">IF($F2542=4.2,H2542*$B$23,0)</f>
        <v>0</v>
      </c>
      <c r="J2542" s="31">
        <f t="shared" ref="J2542:J2546" si="2917">IF($F2542=5,$H2542*$B$24,0)</f>
        <v>6.4541400000000007</v>
      </c>
      <c r="K2542" s="31">
        <f t="shared" ref="K2542:K2546" si="2918">IF($F2542=6.3,$H2542*$B$25,0)</f>
        <v>0</v>
      </c>
      <c r="L2542" s="31">
        <f t="shared" ref="L2542:L2546" si="2919">IF($F2542=8,$H2542*$B$26,0)</f>
        <v>0</v>
      </c>
      <c r="M2542" s="31">
        <f t="shared" ref="M2542:M2546" si="2920">IF($F2542=10,$H2542*$B$27,0)</f>
        <v>0</v>
      </c>
      <c r="N2542" s="31">
        <f t="shared" ref="N2542:N2546" si="2921">IF($F2542=12.5,$H2542*$B$28,0)</f>
        <v>0</v>
      </c>
      <c r="O2542" s="31">
        <f t="shared" ref="O2542:O2546" si="2922">IF($F2542=16,$H2542*$B$29,0)</f>
        <v>0</v>
      </c>
      <c r="P2542" s="31">
        <f t="shared" ref="P2542:P2546" si="2923">IF($F2542=20,$H2542*$B$30,0)</f>
        <v>0</v>
      </c>
      <c r="Q2542" s="49">
        <f t="shared" ref="Q2542:Q2546" si="2924">IF($F2542=25,$H2542*$B$31,0)</f>
        <v>0</v>
      </c>
    </row>
    <row r="2543" spans="4:17" s="62" customFormat="1" x14ac:dyDescent="0.3">
      <c r="D2543" s="235">
        <v>16</v>
      </c>
      <c r="E2543" s="240">
        <v>1</v>
      </c>
      <c r="F2543" s="241">
        <v>6.3</v>
      </c>
      <c r="G2543" s="242">
        <v>0.76</v>
      </c>
      <c r="H2543" s="239">
        <f t="shared" si="2915"/>
        <v>0.76</v>
      </c>
      <c r="I2543" s="131">
        <f t="shared" si="2916"/>
        <v>0</v>
      </c>
      <c r="J2543" s="31">
        <f t="shared" si="2917"/>
        <v>0</v>
      </c>
      <c r="K2543" s="31">
        <f t="shared" si="2918"/>
        <v>0.1862</v>
      </c>
      <c r="L2543" s="31">
        <f t="shared" si="2919"/>
        <v>0</v>
      </c>
      <c r="M2543" s="31">
        <f t="shared" si="2920"/>
        <v>0</v>
      </c>
      <c r="N2543" s="31">
        <f t="shared" si="2921"/>
        <v>0</v>
      </c>
      <c r="O2543" s="31">
        <f t="shared" si="2922"/>
        <v>0</v>
      </c>
      <c r="P2543" s="31">
        <f t="shared" si="2923"/>
        <v>0</v>
      </c>
      <c r="Q2543" s="49">
        <f t="shared" si="2924"/>
        <v>0</v>
      </c>
    </row>
    <row r="2544" spans="4:17" s="62" customFormat="1" x14ac:dyDescent="0.3">
      <c r="D2544" s="235">
        <v>30</v>
      </c>
      <c r="E2544" s="240">
        <v>4</v>
      </c>
      <c r="F2544" s="241">
        <v>10</v>
      </c>
      <c r="G2544" s="242">
        <v>6.28</v>
      </c>
      <c r="H2544" s="239">
        <f t="shared" si="2915"/>
        <v>25.12</v>
      </c>
      <c r="I2544" s="131">
        <f t="shared" si="2916"/>
        <v>0</v>
      </c>
      <c r="J2544" s="31">
        <f t="shared" si="2917"/>
        <v>0</v>
      </c>
      <c r="K2544" s="31">
        <f t="shared" si="2918"/>
        <v>0</v>
      </c>
      <c r="L2544" s="31">
        <f t="shared" si="2919"/>
        <v>0</v>
      </c>
      <c r="M2544" s="31">
        <f t="shared" si="2920"/>
        <v>15.499040000000001</v>
      </c>
      <c r="N2544" s="31">
        <f t="shared" si="2921"/>
        <v>0</v>
      </c>
      <c r="O2544" s="31">
        <f t="shared" si="2922"/>
        <v>0</v>
      </c>
      <c r="P2544" s="31">
        <f t="shared" si="2923"/>
        <v>0</v>
      </c>
      <c r="Q2544" s="49">
        <f t="shared" si="2924"/>
        <v>0</v>
      </c>
    </row>
    <row r="2545" spans="4:17" s="62" customFormat="1" x14ac:dyDescent="0.3">
      <c r="D2545" s="235">
        <v>42</v>
      </c>
      <c r="E2545" s="240">
        <v>1</v>
      </c>
      <c r="F2545" s="241">
        <v>10</v>
      </c>
      <c r="G2545" s="242">
        <v>1.6</v>
      </c>
      <c r="H2545" s="239">
        <f t="shared" si="2915"/>
        <v>1.6</v>
      </c>
      <c r="I2545" s="131">
        <f t="shared" si="2916"/>
        <v>0</v>
      </c>
      <c r="J2545" s="31">
        <f t="shared" si="2917"/>
        <v>0</v>
      </c>
      <c r="K2545" s="31">
        <f t="shared" si="2918"/>
        <v>0</v>
      </c>
      <c r="L2545" s="31">
        <f t="shared" si="2919"/>
        <v>0</v>
      </c>
      <c r="M2545" s="31">
        <f t="shared" si="2920"/>
        <v>0.98720000000000008</v>
      </c>
      <c r="N2545" s="31">
        <f t="shared" si="2921"/>
        <v>0</v>
      </c>
      <c r="O2545" s="31">
        <f t="shared" si="2922"/>
        <v>0</v>
      </c>
      <c r="P2545" s="31">
        <f t="shared" si="2923"/>
        <v>0</v>
      </c>
      <c r="Q2545" s="49">
        <f t="shared" si="2924"/>
        <v>0</v>
      </c>
    </row>
    <row r="2546" spans="4:17" s="62" customFormat="1" x14ac:dyDescent="0.3">
      <c r="D2546" s="235">
        <v>55</v>
      </c>
      <c r="E2546" s="240">
        <v>2</v>
      </c>
      <c r="F2546" s="241">
        <v>12.5</v>
      </c>
      <c r="G2546" s="242">
        <v>6.57</v>
      </c>
      <c r="H2546" s="239">
        <f t="shared" si="2915"/>
        <v>13.14</v>
      </c>
      <c r="I2546" s="131">
        <f t="shared" si="2916"/>
        <v>0</v>
      </c>
      <c r="J2546" s="31">
        <f t="shared" si="2917"/>
        <v>0</v>
      </c>
      <c r="K2546" s="31">
        <f t="shared" si="2918"/>
        <v>0</v>
      </c>
      <c r="L2546" s="31">
        <f t="shared" si="2919"/>
        <v>0</v>
      </c>
      <c r="M2546" s="31">
        <f t="shared" si="2920"/>
        <v>0</v>
      </c>
      <c r="N2546" s="31">
        <f t="shared" si="2921"/>
        <v>12.65382</v>
      </c>
      <c r="O2546" s="31">
        <f t="shared" si="2922"/>
        <v>0</v>
      </c>
      <c r="P2546" s="31">
        <f t="shared" si="2923"/>
        <v>0</v>
      </c>
      <c r="Q2546" s="49">
        <f t="shared" si="2924"/>
        <v>0</v>
      </c>
    </row>
    <row r="2547" spans="4:17" s="62" customFormat="1" ht="15" thickBot="1" x14ac:dyDescent="0.35">
      <c r="D2547" s="307"/>
      <c r="E2547" s="26"/>
      <c r="F2547" s="206"/>
      <c r="G2547" s="207"/>
      <c r="H2547" s="207"/>
      <c r="I2547" s="51"/>
      <c r="J2547" s="308"/>
      <c r="K2547" s="308"/>
      <c r="L2547" s="308"/>
      <c r="M2547" s="308"/>
      <c r="N2547" s="308"/>
      <c r="O2547" s="308"/>
      <c r="P2547" s="308"/>
      <c r="Q2547" s="309"/>
    </row>
    <row r="2548" spans="4:17" s="62" customFormat="1" x14ac:dyDescent="0.3">
      <c r="D2548" s="796" t="s">
        <v>1479</v>
      </c>
      <c r="E2548" s="797"/>
      <c r="F2548" s="797"/>
      <c r="G2548" s="797"/>
      <c r="H2548" s="797"/>
      <c r="I2548" s="47">
        <f t="shared" ref="I2548:Q2548" si="2925">SUM(I2549:I2552)</f>
        <v>0</v>
      </c>
      <c r="J2548" s="47">
        <f t="shared" si="2925"/>
        <v>3.0630600000000001</v>
      </c>
      <c r="K2548" s="47">
        <f t="shared" si="2925"/>
        <v>1.1858</v>
      </c>
      <c r="L2548" s="47">
        <f t="shared" si="2925"/>
        <v>0</v>
      </c>
      <c r="M2548" s="47">
        <f t="shared" si="2925"/>
        <v>7.9222799999999998</v>
      </c>
      <c r="N2548" s="47">
        <f t="shared" si="2925"/>
        <v>8.0891999999999999</v>
      </c>
      <c r="O2548" s="47">
        <f t="shared" si="2925"/>
        <v>0</v>
      </c>
      <c r="P2548" s="47">
        <f t="shared" si="2925"/>
        <v>0</v>
      </c>
      <c r="Q2548" s="47">
        <f t="shared" si="2925"/>
        <v>0</v>
      </c>
    </row>
    <row r="2549" spans="4:17" s="62" customFormat="1" x14ac:dyDescent="0.3">
      <c r="D2549" s="235">
        <v>14</v>
      </c>
      <c r="E2549" s="237">
        <v>17</v>
      </c>
      <c r="F2549" s="238">
        <v>5</v>
      </c>
      <c r="G2549" s="239">
        <v>1.17</v>
      </c>
      <c r="H2549" s="239">
        <f t="shared" ref="H2549:H2552" si="2926">E2549*G2549</f>
        <v>19.89</v>
      </c>
      <c r="I2549" s="131">
        <f t="shared" ref="I2549:I2552" si="2927">IF($F2549=4.2,H2549*$B$23,0)</f>
        <v>0</v>
      </c>
      <c r="J2549" s="31">
        <f t="shared" ref="J2549:J2552" si="2928">IF($F2549=5,$H2549*$B$24,0)</f>
        <v>3.0630600000000001</v>
      </c>
      <c r="K2549" s="31">
        <f t="shared" ref="K2549:K2552" si="2929">IF($F2549=6.3,$H2549*$B$25,0)</f>
        <v>0</v>
      </c>
      <c r="L2549" s="31">
        <f t="shared" ref="L2549:L2552" si="2930">IF($F2549=8,$H2549*$B$26,0)</f>
        <v>0</v>
      </c>
      <c r="M2549" s="31">
        <f t="shared" ref="M2549:M2552" si="2931">IF($F2549=10,$H2549*$B$27,0)</f>
        <v>0</v>
      </c>
      <c r="N2549" s="31">
        <f t="shared" ref="N2549:N2552" si="2932">IF($F2549=12.5,$H2549*$B$28,0)</f>
        <v>0</v>
      </c>
      <c r="O2549" s="31">
        <f t="shared" ref="O2549:O2552" si="2933">IF($F2549=16,$H2549*$B$29,0)</f>
        <v>0</v>
      </c>
      <c r="P2549" s="31">
        <f t="shared" ref="P2549:P2552" si="2934">IF($F2549=20,$H2549*$B$30,0)</f>
        <v>0</v>
      </c>
      <c r="Q2549" s="49">
        <f t="shared" ref="Q2549:Q2552" si="2935">IF($F2549=25,$H2549*$B$31,0)</f>
        <v>0</v>
      </c>
    </row>
    <row r="2550" spans="4:17" s="62" customFormat="1" x14ac:dyDescent="0.3">
      <c r="D2550" s="235">
        <v>17</v>
      </c>
      <c r="E2550" s="240">
        <v>4</v>
      </c>
      <c r="F2550" s="241">
        <v>6.3</v>
      </c>
      <c r="G2550" s="242">
        <v>1.21</v>
      </c>
      <c r="H2550" s="239">
        <f t="shared" si="2926"/>
        <v>4.84</v>
      </c>
      <c r="I2550" s="131">
        <f t="shared" si="2927"/>
        <v>0</v>
      </c>
      <c r="J2550" s="31">
        <f t="shared" si="2928"/>
        <v>0</v>
      </c>
      <c r="K2550" s="31">
        <f t="shared" si="2929"/>
        <v>1.1858</v>
      </c>
      <c r="L2550" s="31">
        <f t="shared" si="2930"/>
        <v>0</v>
      </c>
      <c r="M2550" s="31">
        <f t="shared" si="2931"/>
        <v>0</v>
      </c>
      <c r="N2550" s="31">
        <f t="shared" si="2932"/>
        <v>0</v>
      </c>
      <c r="O2550" s="31">
        <f t="shared" si="2933"/>
        <v>0</v>
      </c>
      <c r="P2550" s="31">
        <f t="shared" si="2934"/>
        <v>0</v>
      </c>
      <c r="Q2550" s="49">
        <f t="shared" si="2935"/>
        <v>0</v>
      </c>
    </row>
    <row r="2551" spans="4:17" s="62" customFormat="1" x14ac:dyDescent="0.3">
      <c r="D2551" s="235">
        <v>43</v>
      </c>
      <c r="E2551" s="240">
        <v>3</v>
      </c>
      <c r="F2551" s="241">
        <v>10</v>
      </c>
      <c r="G2551" s="242">
        <v>4.28</v>
      </c>
      <c r="H2551" s="239">
        <f t="shared" si="2926"/>
        <v>12.84</v>
      </c>
      <c r="I2551" s="131">
        <f t="shared" si="2927"/>
        <v>0</v>
      </c>
      <c r="J2551" s="31">
        <f t="shared" si="2928"/>
        <v>0</v>
      </c>
      <c r="K2551" s="31">
        <f t="shared" si="2929"/>
        <v>0</v>
      </c>
      <c r="L2551" s="31">
        <f t="shared" si="2930"/>
        <v>0</v>
      </c>
      <c r="M2551" s="31">
        <f t="shared" si="2931"/>
        <v>7.9222799999999998</v>
      </c>
      <c r="N2551" s="31">
        <f t="shared" si="2932"/>
        <v>0</v>
      </c>
      <c r="O2551" s="31">
        <f t="shared" si="2933"/>
        <v>0</v>
      </c>
      <c r="P2551" s="31">
        <f t="shared" si="2934"/>
        <v>0</v>
      </c>
      <c r="Q2551" s="49">
        <f t="shared" si="2935"/>
        <v>0</v>
      </c>
    </row>
    <row r="2552" spans="4:17" s="62" customFormat="1" x14ac:dyDescent="0.3">
      <c r="D2552" s="235">
        <v>56</v>
      </c>
      <c r="E2552" s="240">
        <v>2</v>
      </c>
      <c r="F2552" s="241">
        <v>12.5</v>
      </c>
      <c r="G2552" s="242">
        <v>4.2</v>
      </c>
      <c r="H2552" s="239">
        <f t="shared" si="2926"/>
        <v>8.4</v>
      </c>
      <c r="I2552" s="131">
        <f t="shared" si="2927"/>
        <v>0</v>
      </c>
      <c r="J2552" s="31">
        <f t="shared" si="2928"/>
        <v>0</v>
      </c>
      <c r="K2552" s="31">
        <f t="shared" si="2929"/>
        <v>0</v>
      </c>
      <c r="L2552" s="31">
        <f t="shared" si="2930"/>
        <v>0</v>
      </c>
      <c r="M2552" s="31">
        <f t="shared" si="2931"/>
        <v>0</v>
      </c>
      <c r="N2552" s="31">
        <f t="shared" si="2932"/>
        <v>8.0891999999999999</v>
      </c>
      <c r="O2552" s="31">
        <f t="shared" si="2933"/>
        <v>0</v>
      </c>
      <c r="P2552" s="31">
        <f t="shared" si="2934"/>
        <v>0</v>
      </c>
      <c r="Q2552" s="49">
        <f t="shared" si="2935"/>
        <v>0</v>
      </c>
    </row>
    <row r="2553" spans="4:17" s="62" customFormat="1" ht="15" thickBot="1" x14ac:dyDescent="0.35">
      <c r="D2553" s="307"/>
      <c r="E2553" s="26"/>
      <c r="F2553" s="206"/>
      <c r="G2553" s="207"/>
      <c r="H2553" s="207"/>
      <c r="I2553" s="51"/>
      <c r="J2553" s="308"/>
      <c r="K2553" s="308"/>
      <c r="L2553" s="308"/>
      <c r="M2553" s="308"/>
      <c r="N2553" s="308"/>
      <c r="O2553" s="308"/>
      <c r="P2553" s="308"/>
      <c r="Q2553" s="309"/>
    </row>
    <row r="2554" spans="4:17" s="62" customFormat="1" x14ac:dyDescent="0.3">
      <c r="D2554" s="796" t="s">
        <v>1480</v>
      </c>
      <c r="E2554" s="797"/>
      <c r="F2554" s="797"/>
      <c r="G2554" s="797"/>
      <c r="H2554" s="797"/>
      <c r="I2554" s="47">
        <f t="shared" ref="I2554:Q2554" si="2936">SUM(I2555:I2559)</f>
        <v>0</v>
      </c>
      <c r="J2554" s="47">
        <f t="shared" si="2936"/>
        <v>5.9459400000000002</v>
      </c>
      <c r="K2554" s="47">
        <f t="shared" si="2936"/>
        <v>0.59289999999999998</v>
      </c>
      <c r="L2554" s="47">
        <f t="shared" si="2936"/>
        <v>14.994199999999999</v>
      </c>
      <c r="M2554" s="47">
        <f t="shared" si="2936"/>
        <v>15.326279999999997</v>
      </c>
      <c r="N2554" s="47">
        <f t="shared" si="2936"/>
        <v>0</v>
      </c>
      <c r="O2554" s="47">
        <f t="shared" si="2936"/>
        <v>0</v>
      </c>
      <c r="P2554" s="47">
        <f t="shared" si="2936"/>
        <v>0</v>
      </c>
      <c r="Q2554" s="47">
        <f t="shared" si="2936"/>
        <v>0</v>
      </c>
    </row>
    <row r="2555" spans="4:17" s="62" customFormat="1" x14ac:dyDescent="0.3">
      <c r="D2555" s="235">
        <v>14</v>
      </c>
      <c r="E2555" s="237">
        <v>33</v>
      </c>
      <c r="F2555" s="238">
        <v>5</v>
      </c>
      <c r="G2555" s="239">
        <v>1.17</v>
      </c>
      <c r="H2555" s="239">
        <f t="shared" ref="H2555:H2559" si="2937">E2555*G2555</f>
        <v>38.61</v>
      </c>
      <c r="I2555" s="131">
        <f t="shared" ref="I2555:I2559" si="2938">IF($F2555=4.2,H2555*$B$23,0)</f>
        <v>0</v>
      </c>
      <c r="J2555" s="31">
        <f t="shared" ref="J2555:J2559" si="2939">IF($F2555=5,$H2555*$B$24,0)</f>
        <v>5.9459400000000002</v>
      </c>
      <c r="K2555" s="31">
        <f t="shared" ref="K2555:K2559" si="2940">IF($F2555=6.3,$H2555*$B$25,0)</f>
        <v>0</v>
      </c>
      <c r="L2555" s="31">
        <f t="shared" ref="L2555:L2559" si="2941">IF($F2555=8,$H2555*$B$26,0)</f>
        <v>0</v>
      </c>
      <c r="M2555" s="31">
        <f t="shared" ref="M2555:M2559" si="2942">IF($F2555=10,$H2555*$B$27,0)</f>
        <v>0</v>
      </c>
      <c r="N2555" s="31">
        <f t="shared" ref="N2555:N2559" si="2943">IF($F2555=12.5,$H2555*$B$28,0)</f>
        <v>0</v>
      </c>
      <c r="O2555" s="31">
        <f t="shared" ref="O2555:O2559" si="2944">IF($F2555=16,$H2555*$B$29,0)</f>
        <v>0</v>
      </c>
      <c r="P2555" s="31">
        <f t="shared" ref="P2555:P2559" si="2945">IF($F2555=20,$H2555*$B$30,0)</f>
        <v>0</v>
      </c>
      <c r="Q2555" s="49">
        <f t="shared" ref="Q2555:Q2559" si="2946">IF($F2555=25,$H2555*$B$31,0)</f>
        <v>0</v>
      </c>
    </row>
    <row r="2556" spans="4:17" s="62" customFormat="1" x14ac:dyDescent="0.3">
      <c r="D2556" s="235">
        <v>17</v>
      </c>
      <c r="E2556" s="240">
        <v>2</v>
      </c>
      <c r="F2556" s="241">
        <v>6.3</v>
      </c>
      <c r="G2556" s="242">
        <v>1.21</v>
      </c>
      <c r="H2556" s="239">
        <f t="shared" si="2937"/>
        <v>2.42</v>
      </c>
      <c r="I2556" s="131">
        <f t="shared" si="2938"/>
        <v>0</v>
      </c>
      <c r="J2556" s="31">
        <f t="shared" si="2939"/>
        <v>0</v>
      </c>
      <c r="K2556" s="31">
        <f t="shared" si="2940"/>
        <v>0.59289999999999998</v>
      </c>
      <c r="L2556" s="31">
        <f t="shared" si="2941"/>
        <v>0</v>
      </c>
      <c r="M2556" s="31">
        <f t="shared" si="2942"/>
        <v>0</v>
      </c>
      <c r="N2556" s="31">
        <f t="shared" si="2943"/>
        <v>0</v>
      </c>
      <c r="O2556" s="31">
        <f t="shared" si="2944"/>
        <v>0</v>
      </c>
      <c r="P2556" s="31">
        <f t="shared" si="2945"/>
        <v>0</v>
      </c>
      <c r="Q2556" s="49">
        <f t="shared" si="2946"/>
        <v>0</v>
      </c>
    </row>
    <row r="2557" spans="4:17" s="62" customFormat="1" x14ac:dyDescent="0.3">
      <c r="D2557" s="235">
        <v>23</v>
      </c>
      <c r="E2557" s="240">
        <v>2</v>
      </c>
      <c r="F2557" s="241">
        <v>8</v>
      </c>
      <c r="G2557" s="242">
        <v>2.8</v>
      </c>
      <c r="H2557" s="239">
        <f t="shared" si="2937"/>
        <v>5.6</v>
      </c>
      <c r="I2557" s="131">
        <f t="shared" si="2938"/>
        <v>0</v>
      </c>
      <c r="J2557" s="31">
        <f t="shared" si="2939"/>
        <v>0</v>
      </c>
      <c r="K2557" s="31">
        <f t="shared" si="2940"/>
        <v>0</v>
      </c>
      <c r="L2557" s="31">
        <f t="shared" si="2941"/>
        <v>2.2119999999999997</v>
      </c>
      <c r="M2557" s="31">
        <f t="shared" si="2942"/>
        <v>0</v>
      </c>
      <c r="N2557" s="31">
        <f t="shared" si="2943"/>
        <v>0</v>
      </c>
      <c r="O2557" s="31">
        <f t="shared" si="2944"/>
        <v>0</v>
      </c>
      <c r="P2557" s="31">
        <f t="shared" si="2945"/>
        <v>0</v>
      </c>
      <c r="Q2557" s="49">
        <f t="shared" si="2946"/>
        <v>0</v>
      </c>
    </row>
    <row r="2558" spans="4:17" s="62" customFormat="1" x14ac:dyDescent="0.3">
      <c r="D2558" s="235">
        <v>24</v>
      </c>
      <c r="E2558" s="240">
        <v>4</v>
      </c>
      <c r="F2558" s="241">
        <v>8</v>
      </c>
      <c r="G2558" s="242">
        <v>8.09</v>
      </c>
      <c r="H2558" s="239">
        <f t="shared" si="2937"/>
        <v>32.36</v>
      </c>
      <c r="I2558" s="131">
        <f t="shared" si="2938"/>
        <v>0</v>
      </c>
      <c r="J2558" s="31">
        <f t="shared" si="2939"/>
        <v>0</v>
      </c>
      <c r="K2558" s="31">
        <f t="shared" si="2940"/>
        <v>0</v>
      </c>
      <c r="L2558" s="31">
        <f t="shared" si="2941"/>
        <v>12.7822</v>
      </c>
      <c r="M2558" s="31">
        <f t="shared" si="2942"/>
        <v>0</v>
      </c>
      <c r="N2558" s="31">
        <f t="shared" si="2943"/>
        <v>0</v>
      </c>
      <c r="O2558" s="31">
        <f t="shared" si="2944"/>
        <v>0</v>
      </c>
      <c r="P2558" s="31">
        <f t="shared" si="2945"/>
        <v>0</v>
      </c>
      <c r="Q2558" s="49">
        <f t="shared" si="2946"/>
        <v>0</v>
      </c>
    </row>
    <row r="2559" spans="4:17" s="62" customFormat="1" x14ac:dyDescent="0.3">
      <c r="D2559" s="235">
        <v>34</v>
      </c>
      <c r="E2559" s="240">
        <v>3</v>
      </c>
      <c r="F2559" s="241">
        <v>10</v>
      </c>
      <c r="G2559" s="242">
        <v>8.2799999999999994</v>
      </c>
      <c r="H2559" s="239">
        <f t="shared" si="2937"/>
        <v>24.839999999999996</v>
      </c>
      <c r="I2559" s="131">
        <f t="shared" si="2938"/>
        <v>0</v>
      </c>
      <c r="J2559" s="31">
        <f t="shared" si="2939"/>
        <v>0</v>
      </c>
      <c r="K2559" s="31">
        <f t="shared" si="2940"/>
        <v>0</v>
      </c>
      <c r="L2559" s="31">
        <f t="shared" si="2941"/>
        <v>0</v>
      </c>
      <c r="M2559" s="31">
        <f t="shared" si="2942"/>
        <v>15.326279999999997</v>
      </c>
      <c r="N2559" s="31">
        <f t="shared" si="2943"/>
        <v>0</v>
      </c>
      <c r="O2559" s="31">
        <f t="shared" si="2944"/>
        <v>0</v>
      </c>
      <c r="P2559" s="31">
        <f t="shared" si="2945"/>
        <v>0</v>
      </c>
      <c r="Q2559" s="49">
        <f t="shared" si="2946"/>
        <v>0</v>
      </c>
    </row>
    <row r="2560" spans="4:17" s="62" customFormat="1" ht="15" thickBot="1" x14ac:dyDescent="0.35">
      <c r="D2560" s="307"/>
      <c r="E2560" s="26"/>
      <c r="F2560" s="206"/>
      <c r="G2560" s="207"/>
      <c r="H2560" s="207"/>
      <c r="I2560" s="51"/>
      <c r="J2560" s="308"/>
      <c r="K2560" s="308"/>
      <c r="L2560" s="308"/>
      <c r="M2560" s="308"/>
      <c r="N2560" s="308"/>
      <c r="O2560" s="308"/>
      <c r="P2560" s="308"/>
      <c r="Q2560" s="309"/>
    </row>
    <row r="2561" spans="4:17" s="62" customFormat="1" x14ac:dyDescent="0.3">
      <c r="D2561" s="796" t="s">
        <v>1481</v>
      </c>
      <c r="E2561" s="797"/>
      <c r="F2561" s="797"/>
      <c r="G2561" s="797"/>
      <c r="H2561" s="797"/>
      <c r="I2561" s="47">
        <f t="shared" ref="I2561:Q2561" si="2947">SUM(I2562:I2569)</f>
        <v>0</v>
      </c>
      <c r="J2561" s="47">
        <f t="shared" si="2947"/>
        <v>5.7657599999999993</v>
      </c>
      <c r="K2561" s="47">
        <f t="shared" si="2947"/>
        <v>0</v>
      </c>
      <c r="L2561" s="47">
        <f t="shared" si="2947"/>
        <v>0</v>
      </c>
      <c r="M2561" s="47">
        <f t="shared" si="2947"/>
        <v>17.405570000000001</v>
      </c>
      <c r="N2561" s="47">
        <f t="shared" si="2947"/>
        <v>12.827159999999999</v>
      </c>
      <c r="O2561" s="47">
        <f t="shared" si="2947"/>
        <v>0</v>
      </c>
      <c r="P2561" s="47">
        <f t="shared" si="2947"/>
        <v>0</v>
      </c>
      <c r="Q2561" s="47">
        <f t="shared" si="2947"/>
        <v>0</v>
      </c>
    </row>
    <row r="2562" spans="4:17" s="62" customFormat="1" x14ac:dyDescent="0.3">
      <c r="D2562" s="235">
        <v>14</v>
      </c>
      <c r="E2562" s="237">
        <v>32</v>
      </c>
      <c r="F2562" s="238">
        <v>5</v>
      </c>
      <c r="G2562" s="239">
        <v>1.17</v>
      </c>
      <c r="H2562" s="239">
        <f t="shared" ref="H2562:H2569" si="2948">E2562*G2562</f>
        <v>37.44</v>
      </c>
      <c r="I2562" s="131">
        <f t="shared" ref="I2562:I2569" si="2949">IF($F2562=4.2,H2562*$B$23,0)</f>
        <v>0</v>
      </c>
      <c r="J2562" s="31">
        <f t="shared" ref="J2562:J2569" si="2950">IF($F2562=5,$H2562*$B$24,0)</f>
        <v>5.7657599999999993</v>
      </c>
      <c r="K2562" s="31">
        <f t="shared" ref="K2562:K2569" si="2951">IF($F2562=6.3,$H2562*$B$25,0)</f>
        <v>0</v>
      </c>
      <c r="L2562" s="31">
        <f t="shared" ref="L2562:L2569" si="2952">IF($F2562=8,$H2562*$B$26,0)</f>
        <v>0</v>
      </c>
      <c r="M2562" s="31">
        <f t="shared" ref="M2562:M2569" si="2953">IF($F2562=10,$H2562*$B$27,0)</f>
        <v>0</v>
      </c>
      <c r="N2562" s="31">
        <f t="shared" ref="N2562:N2569" si="2954">IF($F2562=12.5,$H2562*$B$28,0)</f>
        <v>0</v>
      </c>
      <c r="O2562" s="31">
        <f t="shared" ref="O2562:O2569" si="2955">IF($F2562=16,$H2562*$B$29,0)</f>
        <v>0</v>
      </c>
      <c r="P2562" s="31">
        <f t="shared" ref="P2562:P2569" si="2956">IF($F2562=20,$H2562*$B$30,0)</f>
        <v>0</v>
      </c>
      <c r="Q2562" s="49">
        <f t="shared" ref="Q2562:Q2569" si="2957">IF($F2562=25,$H2562*$B$31,0)</f>
        <v>0</v>
      </c>
    </row>
    <row r="2563" spans="4:17" s="62" customFormat="1" x14ac:dyDescent="0.3">
      <c r="D2563" s="235">
        <v>29</v>
      </c>
      <c r="E2563" s="240">
        <v>1</v>
      </c>
      <c r="F2563" s="241">
        <v>10</v>
      </c>
      <c r="G2563" s="242">
        <v>4.2</v>
      </c>
      <c r="H2563" s="239">
        <f t="shared" si="2948"/>
        <v>4.2</v>
      </c>
      <c r="I2563" s="131">
        <f t="shared" si="2949"/>
        <v>0</v>
      </c>
      <c r="J2563" s="31">
        <f t="shared" si="2950"/>
        <v>0</v>
      </c>
      <c r="K2563" s="31">
        <f t="shared" si="2951"/>
        <v>0</v>
      </c>
      <c r="L2563" s="31">
        <f t="shared" si="2952"/>
        <v>0</v>
      </c>
      <c r="M2563" s="31">
        <f t="shared" si="2953"/>
        <v>2.5914000000000001</v>
      </c>
      <c r="N2563" s="31">
        <f t="shared" si="2954"/>
        <v>0</v>
      </c>
      <c r="O2563" s="31">
        <f t="shared" si="2955"/>
        <v>0</v>
      </c>
      <c r="P2563" s="31">
        <f t="shared" si="2956"/>
        <v>0</v>
      </c>
      <c r="Q2563" s="49">
        <f t="shared" si="2957"/>
        <v>0</v>
      </c>
    </row>
    <row r="2564" spans="4:17" s="62" customFormat="1" x14ac:dyDescent="0.3">
      <c r="D2564" s="235">
        <v>30</v>
      </c>
      <c r="E2564" s="240">
        <v>2</v>
      </c>
      <c r="F2564" s="241">
        <v>10</v>
      </c>
      <c r="G2564" s="242">
        <v>6.28</v>
      </c>
      <c r="H2564" s="239">
        <f t="shared" si="2948"/>
        <v>12.56</v>
      </c>
      <c r="I2564" s="131">
        <f t="shared" si="2949"/>
        <v>0</v>
      </c>
      <c r="J2564" s="31">
        <f t="shared" si="2950"/>
        <v>0</v>
      </c>
      <c r="K2564" s="31">
        <f t="shared" si="2951"/>
        <v>0</v>
      </c>
      <c r="L2564" s="31">
        <f t="shared" si="2952"/>
        <v>0</v>
      </c>
      <c r="M2564" s="31">
        <f t="shared" si="2953"/>
        <v>7.7495200000000004</v>
      </c>
      <c r="N2564" s="31">
        <f t="shared" si="2954"/>
        <v>0</v>
      </c>
      <c r="O2564" s="31">
        <f t="shared" si="2955"/>
        <v>0</v>
      </c>
      <c r="P2564" s="31">
        <f t="shared" si="2956"/>
        <v>0</v>
      </c>
      <c r="Q2564" s="49">
        <f t="shared" si="2957"/>
        <v>0</v>
      </c>
    </row>
    <row r="2565" spans="4:17" s="62" customFormat="1" x14ac:dyDescent="0.3">
      <c r="D2565" s="235">
        <v>44</v>
      </c>
      <c r="E2565" s="240">
        <v>2</v>
      </c>
      <c r="F2565" s="241">
        <v>10</v>
      </c>
      <c r="G2565" s="242">
        <v>1.64</v>
      </c>
      <c r="H2565" s="239">
        <f t="shared" si="2948"/>
        <v>3.28</v>
      </c>
      <c r="I2565" s="131">
        <f t="shared" si="2949"/>
        <v>0</v>
      </c>
      <c r="J2565" s="31">
        <f t="shared" si="2950"/>
        <v>0</v>
      </c>
      <c r="K2565" s="31">
        <f t="shared" si="2951"/>
        <v>0</v>
      </c>
      <c r="L2565" s="31">
        <f t="shared" si="2952"/>
        <v>0</v>
      </c>
      <c r="M2565" s="31">
        <f t="shared" si="2953"/>
        <v>2.0237599999999998</v>
      </c>
      <c r="N2565" s="31">
        <f t="shared" si="2954"/>
        <v>0</v>
      </c>
      <c r="O2565" s="31">
        <f t="shared" si="2955"/>
        <v>0</v>
      </c>
      <c r="P2565" s="31">
        <f t="shared" si="2956"/>
        <v>0</v>
      </c>
      <c r="Q2565" s="49">
        <f t="shared" si="2957"/>
        <v>0</v>
      </c>
    </row>
    <row r="2566" spans="4:17" s="62" customFormat="1" x14ac:dyDescent="0.3">
      <c r="D2566" s="235">
        <v>45</v>
      </c>
      <c r="E2566" s="240">
        <v>1</v>
      </c>
      <c r="F2566" s="241">
        <v>10</v>
      </c>
      <c r="G2566" s="242">
        <v>1.67</v>
      </c>
      <c r="H2566" s="239">
        <f t="shared" si="2948"/>
        <v>1.67</v>
      </c>
      <c r="I2566" s="131">
        <f t="shared" si="2949"/>
        <v>0</v>
      </c>
      <c r="J2566" s="31">
        <f t="shared" si="2950"/>
        <v>0</v>
      </c>
      <c r="K2566" s="31">
        <f t="shared" si="2951"/>
        <v>0</v>
      </c>
      <c r="L2566" s="31">
        <f t="shared" si="2952"/>
        <v>0</v>
      </c>
      <c r="M2566" s="31">
        <f t="shared" si="2953"/>
        <v>1.0303899999999999</v>
      </c>
      <c r="N2566" s="31">
        <f t="shared" si="2954"/>
        <v>0</v>
      </c>
      <c r="O2566" s="31">
        <f t="shared" si="2955"/>
        <v>0</v>
      </c>
      <c r="P2566" s="31">
        <f t="shared" si="2956"/>
        <v>0</v>
      </c>
      <c r="Q2566" s="49">
        <f t="shared" si="2957"/>
        <v>0</v>
      </c>
    </row>
    <row r="2567" spans="4:17" s="62" customFormat="1" x14ac:dyDescent="0.3">
      <c r="D2567" s="235">
        <v>46</v>
      </c>
      <c r="E2567" s="240">
        <v>1</v>
      </c>
      <c r="F2567" s="241">
        <v>10</v>
      </c>
      <c r="G2567" s="242">
        <v>2.88</v>
      </c>
      <c r="H2567" s="239">
        <f t="shared" si="2948"/>
        <v>2.88</v>
      </c>
      <c r="I2567" s="131">
        <f t="shared" si="2949"/>
        <v>0</v>
      </c>
      <c r="J2567" s="31">
        <f t="shared" si="2950"/>
        <v>0</v>
      </c>
      <c r="K2567" s="31">
        <f t="shared" si="2951"/>
        <v>0</v>
      </c>
      <c r="L2567" s="31">
        <f t="shared" si="2952"/>
        <v>0</v>
      </c>
      <c r="M2567" s="31">
        <f t="shared" si="2953"/>
        <v>1.7769599999999999</v>
      </c>
      <c r="N2567" s="31">
        <f t="shared" si="2954"/>
        <v>0</v>
      </c>
      <c r="O2567" s="31">
        <f t="shared" si="2955"/>
        <v>0</v>
      </c>
      <c r="P2567" s="31">
        <f t="shared" si="2956"/>
        <v>0</v>
      </c>
      <c r="Q2567" s="49">
        <f t="shared" si="2957"/>
        <v>0</v>
      </c>
    </row>
    <row r="2568" spans="4:17" s="62" customFormat="1" x14ac:dyDescent="0.3">
      <c r="D2568" s="235">
        <v>47</v>
      </c>
      <c r="E2568" s="240">
        <v>1</v>
      </c>
      <c r="F2568" s="241">
        <v>10</v>
      </c>
      <c r="G2568" s="242">
        <v>3.62</v>
      </c>
      <c r="H2568" s="239">
        <f t="shared" si="2948"/>
        <v>3.62</v>
      </c>
      <c r="I2568" s="131">
        <f t="shared" si="2949"/>
        <v>0</v>
      </c>
      <c r="J2568" s="31">
        <f t="shared" si="2950"/>
        <v>0</v>
      </c>
      <c r="K2568" s="31">
        <f t="shared" si="2951"/>
        <v>0</v>
      </c>
      <c r="L2568" s="31">
        <f t="shared" si="2952"/>
        <v>0</v>
      </c>
      <c r="M2568" s="31">
        <f t="shared" si="2953"/>
        <v>2.2335400000000001</v>
      </c>
      <c r="N2568" s="31">
        <f t="shared" si="2954"/>
        <v>0</v>
      </c>
      <c r="O2568" s="31">
        <f t="shared" si="2955"/>
        <v>0</v>
      </c>
      <c r="P2568" s="31">
        <f t="shared" si="2956"/>
        <v>0</v>
      </c>
      <c r="Q2568" s="49">
        <f t="shared" si="2957"/>
        <v>0</v>
      </c>
    </row>
    <row r="2569" spans="4:17" s="62" customFormat="1" x14ac:dyDescent="0.3">
      <c r="D2569" s="235">
        <v>57</v>
      </c>
      <c r="E2569" s="240">
        <v>2</v>
      </c>
      <c r="F2569" s="241">
        <v>12.5</v>
      </c>
      <c r="G2569" s="242">
        <v>6.66</v>
      </c>
      <c r="H2569" s="239">
        <f t="shared" si="2948"/>
        <v>13.32</v>
      </c>
      <c r="I2569" s="131">
        <f t="shared" si="2949"/>
        <v>0</v>
      </c>
      <c r="J2569" s="31">
        <f t="shared" si="2950"/>
        <v>0</v>
      </c>
      <c r="K2569" s="31">
        <f t="shared" si="2951"/>
        <v>0</v>
      </c>
      <c r="L2569" s="31">
        <f t="shared" si="2952"/>
        <v>0</v>
      </c>
      <c r="M2569" s="31">
        <f t="shared" si="2953"/>
        <v>0</v>
      </c>
      <c r="N2569" s="31">
        <f t="shared" si="2954"/>
        <v>12.827159999999999</v>
      </c>
      <c r="O2569" s="31">
        <f t="shared" si="2955"/>
        <v>0</v>
      </c>
      <c r="P2569" s="31">
        <f t="shared" si="2956"/>
        <v>0</v>
      </c>
      <c r="Q2569" s="49">
        <f t="shared" si="2957"/>
        <v>0</v>
      </c>
    </row>
    <row r="2570" spans="4:17" s="62" customFormat="1" ht="15" thickBot="1" x14ac:dyDescent="0.35">
      <c r="D2570" s="307"/>
      <c r="E2570" s="26"/>
      <c r="F2570" s="206"/>
      <c r="G2570" s="207"/>
      <c r="H2570" s="207"/>
      <c r="I2570" s="51"/>
      <c r="J2570" s="308"/>
      <c r="K2570" s="308"/>
      <c r="L2570" s="308"/>
      <c r="M2570" s="308"/>
      <c r="N2570" s="308"/>
      <c r="O2570" s="308"/>
      <c r="P2570" s="308"/>
      <c r="Q2570" s="309"/>
    </row>
    <row r="2571" spans="4:17" s="62" customFormat="1" x14ac:dyDescent="0.3">
      <c r="D2571" s="796" t="s">
        <v>1482</v>
      </c>
      <c r="E2571" s="797"/>
      <c r="F2571" s="797"/>
      <c r="G2571" s="797"/>
      <c r="H2571" s="797"/>
      <c r="I2571" s="47">
        <f t="shared" ref="I2571:Q2571" si="2958">SUM(I2572:I2576)</f>
        <v>0</v>
      </c>
      <c r="J2571" s="47">
        <f t="shared" si="2958"/>
        <v>5.7657599999999993</v>
      </c>
      <c r="K2571" s="47">
        <f t="shared" si="2958"/>
        <v>0</v>
      </c>
      <c r="L2571" s="47">
        <f t="shared" si="2958"/>
        <v>0</v>
      </c>
      <c r="M2571" s="47">
        <f t="shared" si="2958"/>
        <v>24.821909999999995</v>
      </c>
      <c r="N2571" s="47">
        <f t="shared" si="2958"/>
        <v>0</v>
      </c>
      <c r="O2571" s="47">
        <f t="shared" si="2958"/>
        <v>0</v>
      </c>
      <c r="P2571" s="47">
        <f t="shared" si="2958"/>
        <v>0</v>
      </c>
      <c r="Q2571" s="47">
        <f t="shared" si="2958"/>
        <v>0</v>
      </c>
    </row>
    <row r="2572" spans="4:17" s="62" customFormat="1" x14ac:dyDescent="0.3">
      <c r="D2572" s="235">
        <v>14</v>
      </c>
      <c r="E2572" s="237">
        <v>32</v>
      </c>
      <c r="F2572" s="238">
        <v>5</v>
      </c>
      <c r="G2572" s="239">
        <v>1.17</v>
      </c>
      <c r="H2572" s="239">
        <f t="shared" ref="H2572:H2576" si="2959">E2572*G2572</f>
        <v>37.44</v>
      </c>
      <c r="I2572" s="131">
        <f t="shared" ref="I2572:I2576" si="2960">IF($F2572=4.2,H2572*$B$23,0)</f>
        <v>0</v>
      </c>
      <c r="J2572" s="31">
        <f t="shared" ref="J2572:J2576" si="2961">IF($F2572=5,$H2572*$B$24,0)</f>
        <v>5.7657599999999993</v>
      </c>
      <c r="K2572" s="31">
        <f t="shared" ref="K2572:K2576" si="2962">IF($F2572=6.3,$H2572*$B$25,0)</f>
        <v>0</v>
      </c>
      <c r="L2572" s="31">
        <f t="shared" ref="L2572:L2576" si="2963">IF($F2572=8,$H2572*$B$26,0)</f>
        <v>0</v>
      </c>
      <c r="M2572" s="31">
        <f t="shared" ref="M2572:M2576" si="2964">IF($F2572=10,$H2572*$B$27,0)</f>
        <v>0</v>
      </c>
      <c r="N2572" s="31">
        <f t="shared" ref="N2572:N2576" si="2965">IF($F2572=12.5,$H2572*$B$28,0)</f>
        <v>0</v>
      </c>
      <c r="O2572" s="31">
        <f t="shared" ref="O2572:O2576" si="2966">IF($F2572=16,$H2572*$B$29,0)</f>
        <v>0</v>
      </c>
      <c r="P2572" s="31">
        <f t="shared" ref="P2572:P2576" si="2967">IF($F2572=20,$H2572*$B$30,0)</f>
        <v>0</v>
      </c>
      <c r="Q2572" s="49">
        <f t="shared" ref="Q2572:Q2576" si="2968">IF($F2572=25,$H2572*$B$31,0)</f>
        <v>0</v>
      </c>
    </row>
    <row r="2573" spans="4:17" s="62" customFormat="1" x14ac:dyDescent="0.3">
      <c r="D2573" s="235">
        <v>48</v>
      </c>
      <c r="E2573" s="240">
        <v>3</v>
      </c>
      <c r="F2573" s="241">
        <v>10</v>
      </c>
      <c r="G2573" s="242">
        <v>4.12</v>
      </c>
      <c r="H2573" s="239">
        <f t="shared" si="2959"/>
        <v>12.36</v>
      </c>
      <c r="I2573" s="131">
        <f t="shared" si="2960"/>
        <v>0</v>
      </c>
      <c r="J2573" s="31">
        <f t="shared" si="2961"/>
        <v>0</v>
      </c>
      <c r="K2573" s="31">
        <f t="shared" si="2962"/>
        <v>0</v>
      </c>
      <c r="L2573" s="31">
        <f t="shared" si="2963"/>
        <v>0</v>
      </c>
      <c r="M2573" s="31">
        <f t="shared" si="2964"/>
        <v>7.6261199999999993</v>
      </c>
      <c r="N2573" s="31">
        <f t="shared" si="2965"/>
        <v>0</v>
      </c>
      <c r="O2573" s="31">
        <f t="shared" si="2966"/>
        <v>0</v>
      </c>
      <c r="P2573" s="31">
        <f t="shared" si="2967"/>
        <v>0</v>
      </c>
      <c r="Q2573" s="49">
        <f t="shared" si="2968"/>
        <v>0</v>
      </c>
    </row>
    <row r="2574" spans="4:17" s="62" customFormat="1" x14ac:dyDescent="0.3">
      <c r="D2574" s="235">
        <v>49</v>
      </c>
      <c r="E2574" s="240">
        <v>2</v>
      </c>
      <c r="F2574" s="241">
        <v>10</v>
      </c>
      <c r="G2574" s="242">
        <v>3.23</v>
      </c>
      <c r="H2574" s="239">
        <f t="shared" si="2959"/>
        <v>6.46</v>
      </c>
      <c r="I2574" s="131">
        <f t="shared" si="2960"/>
        <v>0</v>
      </c>
      <c r="J2574" s="31">
        <f t="shared" si="2961"/>
        <v>0</v>
      </c>
      <c r="K2574" s="31">
        <f t="shared" si="2962"/>
        <v>0</v>
      </c>
      <c r="L2574" s="31">
        <f t="shared" si="2963"/>
        <v>0</v>
      </c>
      <c r="M2574" s="31">
        <f t="shared" si="2964"/>
        <v>3.9858199999999999</v>
      </c>
      <c r="N2574" s="31">
        <f t="shared" si="2965"/>
        <v>0</v>
      </c>
      <c r="O2574" s="31">
        <f t="shared" si="2966"/>
        <v>0</v>
      </c>
      <c r="P2574" s="31">
        <f t="shared" si="2967"/>
        <v>0</v>
      </c>
      <c r="Q2574" s="49">
        <f t="shared" si="2968"/>
        <v>0</v>
      </c>
    </row>
    <row r="2575" spans="4:17" s="62" customFormat="1" x14ac:dyDescent="0.3">
      <c r="D2575" s="235">
        <v>50</v>
      </c>
      <c r="E2575" s="240">
        <v>2</v>
      </c>
      <c r="F2575" s="241">
        <v>10</v>
      </c>
      <c r="G2575" s="242">
        <v>4.24</v>
      </c>
      <c r="H2575" s="239">
        <f t="shared" si="2959"/>
        <v>8.48</v>
      </c>
      <c r="I2575" s="131">
        <f t="shared" si="2960"/>
        <v>0</v>
      </c>
      <c r="J2575" s="31">
        <f t="shared" si="2961"/>
        <v>0</v>
      </c>
      <c r="K2575" s="31">
        <f t="shared" si="2962"/>
        <v>0</v>
      </c>
      <c r="L2575" s="31">
        <f t="shared" si="2963"/>
        <v>0</v>
      </c>
      <c r="M2575" s="31">
        <f t="shared" si="2964"/>
        <v>5.2321600000000004</v>
      </c>
      <c r="N2575" s="31">
        <f t="shared" si="2965"/>
        <v>0</v>
      </c>
      <c r="O2575" s="31">
        <f t="shared" si="2966"/>
        <v>0</v>
      </c>
      <c r="P2575" s="31">
        <f t="shared" si="2967"/>
        <v>0</v>
      </c>
      <c r="Q2575" s="49">
        <f t="shared" si="2968"/>
        <v>0</v>
      </c>
    </row>
    <row r="2576" spans="4:17" s="62" customFormat="1" x14ac:dyDescent="0.3">
      <c r="D2576" s="235">
        <v>51</v>
      </c>
      <c r="E2576" s="240">
        <v>3</v>
      </c>
      <c r="F2576" s="241">
        <v>10</v>
      </c>
      <c r="G2576" s="242">
        <v>4.3099999999999996</v>
      </c>
      <c r="H2576" s="239">
        <f t="shared" si="2959"/>
        <v>12.93</v>
      </c>
      <c r="I2576" s="131">
        <f t="shared" si="2960"/>
        <v>0</v>
      </c>
      <c r="J2576" s="31">
        <f t="shared" si="2961"/>
        <v>0</v>
      </c>
      <c r="K2576" s="31">
        <f t="shared" si="2962"/>
        <v>0</v>
      </c>
      <c r="L2576" s="31">
        <f t="shared" si="2963"/>
        <v>0</v>
      </c>
      <c r="M2576" s="31">
        <f t="shared" si="2964"/>
        <v>7.9778099999999998</v>
      </c>
      <c r="N2576" s="31">
        <f t="shared" si="2965"/>
        <v>0</v>
      </c>
      <c r="O2576" s="31">
        <f t="shared" si="2966"/>
        <v>0</v>
      </c>
      <c r="P2576" s="31">
        <f t="shared" si="2967"/>
        <v>0</v>
      </c>
      <c r="Q2576" s="49">
        <f t="shared" si="2968"/>
        <v>0</v>
      </c>
    </row>
    <row r="2577" spans="4:17" s="62" customFormat="1" ht="15" thickBot="1" x14ac:dyDescent="0.35">
      <c r="D2577" s="307"/>
      <c r="E2577" s="26"/>
      <c r="F2577" s="206"/>
      <c r="G2577" s="207"/>
      <c r="H2577" s="207"/>
      <c r="I2577" s="51"/>
      <c r="J2577" s="308"/>
      <c r="K2577" s="308"/>
      <c r="L2577" s="308"/>
      <c r="M2577" s="308"/>
      <c r="N2577" s="308"/>
      <c r="O2577" s="308"/>
      <c r="P2577" s="308"/>
      <c r="Q2577" s="309"/>
    </row>
    <row r="2578" spans="4:17" s="62" customFormat="1" x14ac:dyDescent="0.3">
      <c r="D2578" s="796" t="s">
        <v>1483</v>
      </c>
      <c r="E2578" s="797"/>
      <c r="F2578" s="797"/>
      <c r="G2578" s="797"/>
      <c r="H2578" s="797"/>
      <c r="I2578" s="47">
        <f t="shared" ref="I2578:Q2578" si="2969">SUM(I2579:I2589)</f>
        <v>0</v>
      </c>
      <c r="J2578" s="47">
        <f t="shared" si="2969"/>
        <v>12.658799999999999</v>
      </c>
      <c r="K2578" s="47">
        <f t="shared" si="2969"/>
        <v>0</v>
      </c>
      <c r="L2578" s="47">
        <f t="shared" si="2969"/>
        <v>0</v>
      </c>
      <c r="M2578" s="47">
        <f t="shared" si="2969"/>
        <v>0</v>
      </c>
      <c r="N2578" s="47">
        <f t="shared" si="2969"/>
        <v>47.764800000000001</v>
      </c>
      <c r="O2578" s="47">
        <f t="shared" si="2969"/>
        <v>52.405379999999994</v>
      </c>
      <c r="P2578" s="47">
        <f t="shared" si="2969"/>
        <v>0</v>
      </c>
      <c r="Q2578" s="47">
        <f t="shared" si="2969"/>
        <v>0</v>
      </c>
    </row>
    <row r="2579" spans="4:17" s="62" customFormat="1" x14ac:dyDescent="0.3">
      <c r="D2579" s="235">
        <v>1</v>
      </c>
      <c r="E2579" s="237">
        <v>60</v>
      </c>
      <c r="F2579" s="238">
        <v>5</v>
      </c>
      <c r="G2579" s="239">
        <v>1.37</v>
      </c>
      <c r="H2579" s="239">
        <f t="shared" ref="H2579:H2589" si="2970">E2579*G2579</f>
        <v>82.2</v>
      </c>
      <c r="I2579" s="131">
        <f t="shared" ref="I2579:I2589" si="2971">IF($F2579=4.2,H2579*$B$23,0)</f>
        <v>0</v>
      </c>
      <c r="J2579" s="31">
        <f t="shared" ref="J2579:J2589" si="2972">IF($F2579=5,$H2579*$B$24,0)</f>
        <v>12.658799999999999</v>
      </c>
      <c r="K2579" s="31">
        <f t="shared" ref="K2579:K2589" si="2973">IF($F2579=6.3,$H2579*$B$25,0)</f>
        <v>0</v>
      </c>
      <c r="L2579" s="31">
        <f t="shared" ref="L2579:L2589" si="2974">IF($F2579=8,$H2579*$B$26,0)</f>
        <v>0</v>
      </c>
      <c r="M2579" s="31">
        <f t="shared" ref="M2579:M2589" si="2975">IF($F2579=10,$H2579*$B$27,0)</f>
        <v>0</v>
      </c>
      <c r="N2579" s="31">
        <f t="shared" ref="N2579:N2589" si="2976">IF($F2579=12.5,$H2579*$B$28,0)</f>
        <v>0</v>
      </c>
      <c r="O2579" s="31">
        <f t="shared" ref="O2579:O2589" si="2977">IF($F2579=16,$H2579*$B$29,0)</f>
        <v>0</v>
      </c>
      <c r="P2579" s="31">
        <f t="shared" ref="P2579:P2589" si="2978">IF($F2579=20,$H2579*$B$30,0)</f>
        <v>0</v>
      </c>
      <c r="Q2579" s="49">
        <f t="shared" ref="Q2579:Q2589" si="2979">IF($F2579=25,$H2579*$B$31,0)</f>
        <v>0</v>
      </c>
    </row>
    <row r="2580" spans="4:17" s="62" customFormat="1" x14ac:dyDescent="0.3">
      <c r="D2580" s="235">
        <v>51</v>
      </c>
      <c r="E2580" s="240">
        <v>3</v>
      </c>
      <c r="F2580" s="241">
        <v>12.5</v>
      </c>
      <c r="G2580" s="242">
        <v>2.34</v>
      </c>
      <c r="H2580" s="239">
        <f t="shared" si="2970"/>
        <v>7.02</v>
      </c>
      <c r="I2580" s="131">
        <f t="shared" si="2971"/>
        <v>0</v>
      </c>
      <c r="J2580" s="31">
        <f t="shared" si="2972"/>
        <v>0</v>
      </c>
      <c r="K2580" s="31">
        <f t="shared" si="2973"/>
        <v>0</v>
      </c>
      <c r="L2580" s="31">
        <f t="shared" si="2974"/>
        <v>0</v>
      </c>
      <c r="M2580" s="31">
        <f t="shared" si="2975"/>
        <v>0</v>
      </c>
      <c r="N2580" s="31">
        <f t="shared" si="2976"/>
        <v>6.7602599999999997</v>
      </c>
      <c r="O2580" s="31">
        <f t="shared" si="2977"/>
        <v>0</v>
      </c>
      <c r="P2580" s="31">
        <f t="shared" si="2978"/>
        <v>0</v>
      </c>
      <c r="Q2580" s="49">
        <f t="shared" si="2979"/>
        <v>0</v>
      </c>
    </row>
    <row r="2581" spans="4:17" s="62" customFormat="1" x14ac:dyDescent="0.3">
      <c r="D2581" s="235">
        <v>52</v>
      </c>
      <c r="E2581" s="240">
        <v>1</v>
      </c>
      <c r="F2581" s="241">
        <v>12.5</v>
      </c>
      <c r="G2581" s="242">
        <v>2.38</v>
      </c>
      <c r="H2581" s="239">
        <f t="shared" si="2970"/>
        <v>2.38</v>
      </c>
      <c r="I2581" s="131">
        <f t="shared" si="2971"/>
        <v>0</v>
      </c>
      <c r="J2581" s="31">
        <f t="shared" si="2972"/>
        <v>0</v>
      </c>
      <c r="K2581" s="31">
        <f t="shared" si="2973"/>
        <v>0</v>
      </c>
      <c r="L2581" s="31">
        <f t="shared" si="2974"/>
        <v>0</v>
      </c>
      <c r="M2581" s="31">
        <f t="shared" si="2975"/>
        <v>0</v>
      </c>
      <c r="N2581" s="31">
        <f t="shared" si="2976"/>
        <v>2.2919399999999999</v>
      </c>
      <c r="O2581" s="31">
        <f t="shared" si="2977"/>
        <v>0</v>
      </c>
      <c r="P2581" s="31">
        <f t="shared" si="2978"/>
        <v>0</v>
      </c>
      <c r="Q2581" s="49">
        <f t="shared" si="2979"/>
        <v>0</v>
      </c>
    </row>
    <row r="2582" spans="4:17" s="62" customFormat="1" x14ac:dyDescent="0.3">
      <c r="D2582" s="235">
        <v>53</v>
      </c>
      <c r="E2582" s="240">
        <v>2</v>
      </c>
      <c r="F2582" s="241">
        <v>12.5</v>
      </c>
      <c r="G2582" s="242">
        <v>2.98</v>
      </c>
      <c r="H2582" s="239">
        <f t="shared" si="2970"/>
        <v>5.96</v>
      </c>
      <c r="I2582" s="131">
        <f t="shared" si="2971"/>
        <v>0</v>
      </c>
      <c r="J2582" s="31">
        <f t="shared" si="2972"/>
        <v>0</v>
      </c>
      <c r="K2582" s="31">
        <f t="shared" si="2973"/>
        <v>0</v>
      </c>
      <c r="L2582" s="31">
        <f t="shared" si="2974"/>
        <v>0</v>
      </c>
      <c r="M2582" s="31">
        <f t="shared" si="2975"/>
        <v>0</v>
      </c>
      <c r="N2582" s="31">
        <f t="shared" si="2976"/>
        <v>5.7394799999999995</v>
      </c>
      <c r="O2582" s="31">
        <f t="shared" si="2977"/>
        <v>0</v>
      </c>
      <c r="P2582" s="31">
        <f t="shared" si="2978"/>
        <v>0</v>
      </c>
      <c r="Q2582" s="49">
        <f t="shared" si="2979"/>
        <v>0</v>
      </c>
    </row>
    <row r="2583" spans="4:17" s="62" customFormat="1" x14ac:dyDescent="0.3">
      <c r="D2583" s="235">
        <v>54</v>
      </c>
      <c r="E2583" s="240">
        <v>1</v>
      </c>
      <c r="F2583" s="241">
        <v>12.5</v>
      </c>
      <c r="G2583" s="242">
        <v>1.84</v>
      </c>
      <c r="H2583" s="239">
        <f t="shared" si="2970"/>
        <v>1.84</v>
      </c>
      <c r="I2583" s="131">
        <f t="shared" si="2971"/>
        <v>0</v>
      </c>
      <c r="J2583" s="31">
        <f t="shared" si="2972"/>
        <v>0</v>
      </c>
      <c r="K2583" s="31">
        <f t="shared" si="2973"/>
        <v>0</v>
      </c>
      <c r="L2583" s="31">
        <f t="shared" si="2974"/>
        <v>0</v>
      </c>
      <c r="M2583" s="31">
        <f t="shared" si="2975"/>
        <v>0</v>
      </c>
      <c r="N2583" s="31">
        <f t="shared" si="2976"/>
        <v>1.7719199999999999</v>
      </c>
      <c r="O2583" s="31">
        <f t="shared" si="2977"/>
        <v>0</v>
      </c>
      <c r="P2583" s="31">
        <f t="shared" si="2978"/>
        <v>0</v>
      </c>
      <c r="Q2583" s="49">
        <f t="shared" si="2979"/>
        <v>0</v>
      </c>
    </row>
    <row r="2584" spans="4:17" s="62" customFormat="1" x14ac:dyDescent="0.3">
      <c r="D2584" s="235">
        <v>55</v>
      </c>
      <c r="E2584" s="240">
        <v>3</v>
      </c>
      <c r="F2584" s="241">
        <v>12.5</v>
      </c>
      <c r="G2584" s="242">
        <v>2.4</v>
      </c>
      <c r="H2584" s="239">
        <f t="shared" si="2970"/>
        <v>7.1999999999999993</v>
      </c>
      <c r="I2584" s="131">
        <f t="shared" si="2971"/>
        <v>0</v>
      </c>
      <c r="J2584" s="31">
        <f t="shared" si="2972"/>
        <v>0</v>
      </c>
      <c r="K2584" s="31">
        <f t="shared" si="2973"/>
        <v>0</v>
      </c>
      <c r="L2584" s="31">
        <f t="shared" si="2974"/>
        <v>0</v>
      </c>
      <c r="M2584" s="31">
        <f t="shared" si="2975"/>
        <v>0</v>
      </c>
      <c r="N2584" s="31">
        <f t="shared" si="2976"/>
        <v>6.9335999999999993</v>
      </c>
      <c r="O2584" s="31">
        <f t="shared" si="2977"/>
        <v>0</v>
      </c>
      <c r="P2584" s="31">
        <f t="shared" si="2978"/>
        <v>0</v>
      </c>
      <c r="Q2584" s="49">
        <f t="shared" si="2979"/>
        <v>0</v>
      </c>
    </row>
    <row r="2585" spans="4:17" s="62" customFormat="1" x14ac:dyDescent="0.3">
      <c r="D2585" s="235">
        <v>56</v>
      </c>
      <c r="E2585" s="240">
        <v>2</v>
      </c>
      <c r="F2585" s="241">
        <v>12.5</v>
      </c>
      <c r="G2585" s="242">
        <v>2.44</v>
      </c>
      <c r="H2585" s="239">
        <f t="shared" si="2970"/>
        <v>4.88</v>
      </c>
      <c r="I2585" s="131">
        <f t="shared" si="2971"/>
        <v>0</v>
      </c>
      <c r="J2585" s="31">
        <f t="shared" si="2972"/>
        <v>0</v>
      </c>
      <c r="K2585" s="31">
        <f t="shared" si="2973"/>
        <v>0</v>
      </c>
      <c r="L2585" s="31">
        <f t="shared" si="2974"/>
        <v>0</v>
      </c>
      <c r="M2585" s="31">
        <f t="shared" si="2975"/>
        <v>0</v>
      </c>
      <c r="N2585" s="31">
        <f t="shared" si="2976"/>
        <v>4.6994400000000001</v>
      </c>
      <c r="O2585" s="31">
        <f t="shared" si="2977"/>
        <v>0</v>
      </c>
      <c r="P2585" s="31">
        <f t="shared" si="2978"/>
        <v>0</v>
      </c>
      <c r="Q2585" s="49">
        <f t="shared" si="2979"/>
        <v>0</v>
      </c>
    </row>
    <row r="2586" spans="4:17" s="62" customFormat="1" x14ac:dyDescent="0.3">
      <c r="D2586" s="235">
        <v>57</v>
      </c>
      <c r="E2586" s="240">
        <v>1</v>
      </c>
      <c r="F2586" s="241">
        <v>12.5</v>
      </c>
      <c r="G2586" s="242">
        <v>3.04</v>
      </c>
      <c r="H2586" s="239">
        <f t="shared" si="2970"/>
        <v>3.04</v>
      </c>
      <c r="I2586" s="131">
        <f t="shared" si="2971"/>
        <v>0</v>
      </c>
      <c r="J2586" s="31">
        <f t="shared" si="2972"/>
        <v>0</v>
      </c>
      <c r="K2586" s="31">
        <f t="shared" si="2973"/>
        <v>0</v>
      </c>
      <c r="L2586" s="31">
        <f t="shared" si="2974"/>
        <v>0</v>
      </c>
      <c r="M2586" s="31">
        <f t="shared" si="2975"/>
        <v>0</v>
      </c>
      <c r="N2586" s="31">
        <f t="shared" si="2976"/>
        <v>2.9275199999999999</v>
      </c>
      <c r="O2586" s="31">
        <f t="shared" si="2977"/>
        <v>0</v>
      </c>
      <c r="P2586" s="31">
        <f t="shared" si="2978"/>
        <v>0</v>
      </c>
      <c r="Q2586" s="49">
        <f t="shared" si="2979"/>
        <v>0</v>
      </c>
    </row>
    <row r="2587" spans="4:17" s="62" customFormat="1" x14ac:dyDescent="0.3">
      <c r="D2587" s="235">
        <v>58</v>
      </c>
      <c r="E2587" s="240">
        <v>2</v>
      </c>
      <c r="F2587" s="241">
        <v>12.5</v>
      </c>
      <c r="G2587" s="242">
        <v>8.64</v>
      </c>
      <c r="H2587" s="239">
        <f t="shared" si="2970"/>
        <v>17.28</v>
      </c>
      <c r="I2587" s="131">
        <f t="shared" si="2971"/>
        <v>0</v>
      </c>
      <c r="J2587" s="31">
        <f t="shared" si="2972"/>
        <v>0</v>
      </c>
      <c r="K2587" s="31">
        <f t="shared" si="2973"/>
        <v>0</v>
      </c>
      <c r="L2587" s="31">
        <f t="shared" si="2974"/>
        <v>0</v>
      </c>
      <c r="M2587" s="31">
        <f t="shared" si="2975"/>
        <v>0</v>
      </c>
      <c r="N2587" s="31">
        <f t="shared" si="2976"/>
        <v>16.640640000000001</v>
      </c>
      <c r="O2587" s="31">
        <f t="shared" si="2977"/>
        <v>0</v>
      </c>
      <c r="P2587" s="31">
        <f t="shared" si="2978"/>
        <v>0</v>
      </c>
      <c r="Q2587" s="49">
        <f t="shared" si="2979"/>
        <v>0</v>
      </c>
    </row>
    <row r="2588" spans="4:17" s="62" customFormat="1" x14ac:dyDescent="0.3">
      <c r="D2588" s="235">
        <v>64</v>
      </c>
      <c r="E2588" s="240">
        <v>2</v>
      </c>
      <c r="F2588" s="241">
        <v>16</v>
      </c>
      <c r="G2588" s="242">
        <v>4.17</v>
      </c>
      <c r="H2588" s="239">
        <f t="shared" si="2970"/>
        <v>8.34</v>
      </c>
      <c r="I2588" s="131">
        <f t="shared" si="2971"/>
        <v>0</v>
      </c>
      <c r="J2588" s="31">
        <f t="shared" si="2972"/>
        <v>0</v>
      </c>
      <c r="K2588" s="31">
        <f t="shared" si="2973"/>
        <v>0</v>
      </c>
      <c r="L2588" s="31">
        <f t="shared" si="2974"/>
        <v>0</v>
      </c>
      <c r="M2588" s="31">
        <f t="shared" si="2975"/>
        <v>0</v>
      </c>
      <c r="N2588" s="31">
        <f t="shared" si="2976"/>
        <v>0</v>
      </c>
      <c r="O2588" s="31">
        <f t="shared" si="2977"/>
        <v>13.16052</v>
      </c>
      <c r="P2588" s="31">
        <f t="shared" si="2978"/>
        <v>0</v>
      </c>
      <c r="Q2588" s="49">
        <f t="shared" si="2979"/>
        <v>0</v>
      </c>
    </row>
    <row r="2589" spans="4:17" s="62" customFormat="1" x14ac:dyDescent="0.3">
      <c r="D2589" s="235">
        <v>65</v>
      </c>
      <c r="E2589" s="240">
        <v>3</v>
      </c>
      <c r="F2589" s="241">
        <v>16</v>
      </c>
      <c r="G2589" s="242">
        <v>8.2899999999999991</v>
      </c>
      <c r="H2589" s="239">
        <f t="shared" si="2970"/>
        <v>24.869999999999997</v>
      </c>
      <c r="I2589" s="131">
        <f t="shared" si="2971"/>
        <v>0</v>
      </c>
      <c r="J2589" s="31">
        <f t="shared" si="2972"/>
        <v>0</v>
      </c>
      <c r="K2589" s="31">
        <f t="shared" si="2973"/>
        <v>0</v>
      </c>
      <c r="L2589" s="31">
        <f t="shared" si="2974"/>
        <v>0</v>
      </c>
      <c r="M2589" s="31">
        <f t="shared" si="2975"/>
        <v>0</v>
      </c>
      <c r="N2589" s="31">
        <f t="shared" si="2976"/>
        <v>0</v>
      </c>
      <c r="O2589" s="31">
        <f t="shared" si="2977"/>
        <v>39.244859999999996</v>
      </c>
      <c r="P2589" s="31">
        <f t="shared" si="2978"/>
        <v>0</v>
      </c>
      <c r="Q2589" s="49">
        <f t="shared" si="2979"/>
        <v>0</v>
      </c>
    </row>
    <row r="2590" spans="4:17" s="62" customFormat="1" ht="15" thickBot="1" x14ac:dyDescent="0.35">
      <c r="D2590" s="307"/>
      <c r="E2590" s="26"/>
      <c r="F2590" s="206"/>
      <c r="G2590" s="207"/>
      <c r="H2590" s="207"/>
      <c r="I2590" s="51"/>
      <c r="J2590" s="308"/>
      <c r="K2590" s="308"/>
      <c r="L2590" s="308"/>
      <c r="M2590" s="308"/>
      <c r="N2590" s="308"/>
      <c r="O2590" s="308"/>
      <c r="P2590" s="308"/>
      <c r="Q2590" s="309"/>
    </row>
    <row r="2591" spans="4:17" s="62" customFormat="1" x14ac:dyDescent="0.3">
      <c r="D2591" s="796" t="s">
        <v>1484</v>
      </c>
      <c r="E2591" s="797"/>
      <c r="F2591" s="797"/>
      <c r="G2591" s="797"/>
      <c r="H2591" s="797"/>
      <c r="I2591" s="47">
        <f t="shared" ref="I2591:Q2591" si="2980">SUM(I2592:I2602)</f>
        <v>0</v>
      </c>
      <c r="J2591" s="47">
        <f t="shared" si="2980"/>
        <v>13.50272</v>
      </c>
      <c r="K2591" s="47">
        <f t="shared" si="2980"/>
        <v>0</v>
      </c>
      <c r="L2591" s="47">
        <f t="shared" si="2980"/>
        <v>0</v>
      </c>
      <c r="M2591" s="47">
        <f t="shared" si="2980"/>
        <v>5.9602199999999996</v>
      </c>
      <c r="N2591" s="47">
        <f t="shared" si="2980"/>
        <v>21.754170000000002</v>
      </c>
      <c r="O2591" s="47">
        <f t="shared" si="2980"/>
        <v>84.596580000000003</v>
      </c>
      <c r="P2591" s="47">
        <f t="shared" si="2980"/>
        <v>0</v>
      </c>
      <c r="Q2591" s="47">
        <f t="shared" si="2980"/>
        <v>0</v>
      </c>
    </row>
    <row r="2592" spans="4:17" s="62" customFormat="1" x14ac:dyDescent="0.3">
      <c r="D2592" s="235">
        <v>1</v>
      </c>
      <c r="E2592" s="237">
        <v>64</v>
      </c>
      <c r="F2592" s="238">
        <v>5</v>
      </c>
      <c r="G2592" s="239">
        <v>1.37</v>
      </c>
      <c r="H2592" s="239">
        <f t="shared" ref="H2592:H2602" si="2981">E2592*G2592</f>
        <v>87.68</v>
      </c>
      <c r="I2592" s="131">
        <f t="shared" ref="I2592:I2602" si="2982">IF($F2592=4.2,H2592*$B$23,0)</f>
        <v>0</v>
      </c>
      <c r="J2592" s="31">
        <f t="shared" ref="J2592:J2602" si="2983">IF($F2592=5,$H2592*$B$24,0)</f>
        <v>13.50272</v>
      </c>
      <c r="K2592" s="31">
        <f t="shared" ref="K2592:K2602" si="2984">IF($F2592=6.3,$H2592*$B$25,0)</f>
        <v>0</v>
      </c>
      <c r="L2592" s="31">
        <f t="shared" ref="L2592:L2602" si="2985">IF($F2592=8,$H2592*$B$26,0)</f>
        <v>0</v>
      </c>
      <c r="M2592" s="31">
        <f t="shared" ref="M2592:M2602" si="2986">IF($F2592=10,$H2592*$B$27,0)</f>
        <v>0</v>
      </c>
      <c r="N2592" s="31">
        <f t="shared" ref="N2592:N2602" si="2987">IF($F2592=12.5,$H2592*$B$28,0)</f>
        <v>0</v>
      </c>
      <c r="O2592" s="31">
        <f t="shared" ref="O2592:O2602" si="2988">IF($F2592=16,$H2592*$B$29,0)</f>
        <v>0</v>
      </c>
      <c r="P2592" s="31">
        <f t="shared" ref="P2592:P2602" si="2989">IF($F2592=20,$H2592*$B$30,0)</f>
        <v>0</v>
      </c>
      <c r="Q2592" s="49">
        <f t="shared" ref="Q2592:Q2602" si="2990">IF($F2592=25,$H2592*$B$31,0)</f>
        <v>0</v>
      </c>
    </row>
    <row r="2593" spans="4:17" s="62" customFormat="1" x14ac:dyDescent="0.3">
      <c r="D2593" s="235">
        <v>17</v>
      </c>
      <c r="E2593" s="240">
        <v>3</v>
      </c>
      <c r="F2593" s="241">
        <v>10</v>
      </c>
      <c r="G2593" s="242">
        <v>3.22</v>
      </c>
      <c r="H2593" s="239">
        <f t="shared" si="2981"/>
        <v>9.66</v>
      </c>
      <c r="I2593" s="131">
        <f t="shared" si="2982"/>
        <v>0</v>
      </c>
      <c r="J2593" s="31">
        <f t="shared" si="2983"/>
        <v>0</v>
      </c>
      <c r="K2593" s="31">
        <f t="shared" si="2984"/>
        <v>0</v>
      </c>
      <c r="L2593" s="31">
        <f t="shared" si="2985"/>
        <v>0</v>
      </c>
      <c r="M2593" s="31">
        <f t="shared" si="2986"/>
        <v>5.9602199999999996</v>
      </c>
      <c r="N2593" s="31">
        <f t="shared" si="2987"/>
        <v>0</v>
      </c>
      <c r="O2593" s="31">
        <f t="shared" si="2988"/>
        <v>0</v>
      </c>
      <c r="P2593" s="31">
        <f t="shared" si="2989"/>
        <v>0</v>
      </c>
      <c r="Q2593" s="49">
        <f t="shared" si="2990"/>
        <v>0</v>
      </c>
    </row>
    <row r="2594" spans="4:17" s="62" customFormat="1" x14ac:dyDescent="0.3">
      <c r="D2594" s="235">
        <v>59</v>
      </c>
      <c r="E2594" s="240">
        <v>1</v>
      </c>
      <c r="F2594" s="241">
        <v>12.5</v>
      </c>
      <c r="G2594" s="242">
        <v>1.79</v>
      </c>
      <c r="H2594" s="239">
        <f t="shared" si="2981"/>
        <v>1.79</v>
      </c>
      <c r="I2594" s="131">
        <f t="shared" si="2982"/>
        <v>0</v>
      </c>
      <c r="J2594" s="31">
        <f t="shared" si="2983"/>
        <v>0</v>
      </c>
      <c r="K2594" s="31">
        <f t="shared" si="2984"/>
        <v>0</v>
      </c>
      <c r="L2594" s="31">
        <f t="shared" si="2985"/>
        <v>0</v>
      </c>
      <c r="M2594" s="31">
        <f t="shared" si="2986"/>
        <v>0</v>
      </c>
      <c r="N2594" s="31">
        <f t="shared" si="2987"/>
        <v>1.72377</v>
      </c>
      <c r="O2594" s="31">
        <f t="shared" si="2988"/>
        <v>0</v>
      </c>
      <c r="P2594" s="31">
        <f t="shared" si="2989"/>
        <v>0</v>
      </c>
      <c r="Q2594" s="49">
        <f t="shared" si="2990"/>
        <v>0</v>
      </c>
    </row>
    <row r="2595" spans="4:17" s="62" customFormat="1" x14ac:dyDescent="0.3">
      <c r="D2595" s="235">
        <v>60</v>
      </c>
      <c r="E2595" s="240">
        <v>3</v>
      </c>
      <c r="F2595" s="241">
        <v>12.5</v>
      </c>
      <c r="G2595" s="242">
        <v>2.35</v>
      </c>
      <c r="H2595" s="239">
        <f t="shared" si="2981"/>
        <v>7.0500000000000007</v>
      </c>
      <c r="I2595" s="131">
        <f t="shared" si="2982"/>
        <v>0</v>
      </c>
      <c r="J2595" s="31">
        <f t="shared" si="2983"/>
        <v>0</v>
      </c>
      <c r="K2595" s="31">
        <f t="shared" si="2984"/>
        <v>0</v>
      </c>
      <c r="L2595" s="31">
        <f t="shared" si="2985"/>
        <v>0</v>
      </c>
      <c r="M2595" s="31">
        <f t="shared" si="2986"/>
        <v>0</v>
      </c>
      <c r="N2595" s="31">
        <f t="shared" si="2987"/>
        <v>6.7891500000000002</v>
      </c>
      <c r="O2595" s="31">
        <f t="shared" si="2988"/>
        <v>0</v>
      </c>
      <c r="P2595" s="31">
        <f t="shared" si="2989"/>
        <v>0</v>
      </c>
      <c r="Q2595" s="49">
        <f t="shared" si="2990"/>
        <v>0</v>
      </c>
    </row>
    <row r="2596" spans="4:17" s="62" customFormat="1" x14ac:dyDescent="0.3">
      <c r="D2596" s="235">
        <v>61</v>
      </c>
      <c r="E2596" s="240">
        <v>2</v>
      </c>
      <c r="F2596" s="241">
        <v>12.5</v>
      </c>
      <c r="G2596" s="242">
        <v>2.39</v>
      </c>
      <c r="H2596" s="239">
        <f t="shared" si="2981"/>
        <v>4.78</v>
      </c>
      <c r="I2596" s="131">
        <f t="shared" si="2982"/>
        <v>0</v>
      </c>
      <c r="J2596" s="31">
        <f t="shared" si="2983"/>
        <v>0</v>
      </c>
      <c r="K2596" s="31">
        <f t="shared" si="2984"/>
        <v>0</v>
      </c>
      <c r="L2596" s="31">
        <f t="shared" si="2985"/>
        <v>0</v>
      </c>
      <c r="M2596" s="31">
        <f t="shared" si="2986"/>
        <v>0</v>
      </c>
      <c r="N2596" s="31">
        <f t="shared" si="2987"/>
        <v>4.6031399999999998</v>
      </c>
      <c r="O2596" s="31">
        <f t="shared" si="2988"/>
        <v>0</v>
      </c>
      <c r="P2596" s="31">
        <f t="shared" si="2989"/>
        <v>0</v>
      </c>
      <c r="Q2596" s="49">
        <f t="shared" si="2990"/>
        <v>0</v>
      </c>
    </row>
    <row r="2597" spans="4:17" s="62" customFormat="1" x14ac:dyDescent="0.3">
      <c r="D2597" s="235">
        <v>62</v>
      </c>
      <c r="E2597" s="240">
        <v>3</v>
      </c>
      <c r="F2597" s="241">
        <v>12.5</v>
      </c>
      <c r="G2597" s="242">
        <v>2.99</v>
      </c>
      <c r="H2597" s="239">
        <f t="shared" si="2981"/>
        <v>8.9700000000000006</v>
      </c>
      <c r="I2597" s="131">
        <f t="shared" si="2982"/>
        <v>0</v>
      </c>
      <c r="J2597" s="31">
        <f t="shared" si="2983"/>
        <v>0</v>
      </c>
      <c r="K2597" s="31">
        <f t="shared" si="2984"/>
        <v>0</v>
      </c>
      <c r="L2597" s="31">
        <f t="shared" si="2985"/>
        <v>0</v>
      </c>
      <c r="M2597" s="31">
        <f t="shared" si="2986"/>
        <v>0</v>
      </c>
      <c r="N2597" s="31">
        <f t="shared" si="2987"/>
        <v>8.6381100000000011</v>
      </c>
      <c r="O2597" s="31">
        <f t="shared" si="2988"/>
        <v>0</v>
      </c>
      <c r="P2597" s="31">
        <f t="shared" si="2989"/>
        <v>0</v>
      </c>
      <c r="Q2597" s="49">
        <f t="shared" si="2990"/>
        <v>0</v>
      </c>
    </row>
    <row r="2598" spans="4:17" s="62" customFormat="1" x14ac:dyDescent="0.3">
      <c r="D2598" s="235">
        <v>66</v>
      </c>
      <c r="E2598" s="240">
        <v>2</v>
      </c>
      <c r="F2598" s="241">
        <v>16</v>
      </c>
      <c r="G2598" s="242">
        <v>4.2</v>
      </c>
      <c r="H2598" s="239">
        <f t="shared" si="2981"/>
        <v>8.4</v>
      </c>
      <c r="I2598" s="131">
        <f t="shared" si="2982"/>
        <v>0</v>
      </c>
      <c r="J2598" s="31">
        <f t="shared" si="2983"/>
        <v>0</v>
      </c>
      <c r="K2598" s="31">
        <f t="shared" si="2984"/>
        <v>0</v>
      </c>
      <c r="L2598" s="31">
        <f t="shared" si="2985"/>
        <v>0</v>
      </c>
      <c r="M2598" s="31">
        <f t="shared" si="2986"/>
        <v>0</v>
      </c>
      <c r="N2598" s="31">
        <f t="shared" si="2987"/>
        <v>0</v>
      </c>
      <c r="O2598" s="31">
        <f t="shared" si="2988"/>
        <v>13.2552</v>
      </c>
      <c r="P2598" s="31">
        <f t="shared" si="2989"/>
        <v>0</v>
      </c>
      <c r="Q2598" s="49">
        <f t="shared" si="2990"/>
        <v>0</v>
      </c>
    </row>
    <row r="2599" spans="4:17" s="62" customFormat="1" x14ac:dyDescent="0.3">
      <c r="D2599" s="235">
        <v>67</v>
      </c>
      <c r="E2599" s="240">
        <v>3</v>
      </c>
      <c r="F2599" s="241">
        <v>16</v>
      </c>
      <c r="G2599" s="242">
        <v>8.57</v>
      </c>
      <c r="H2599" s="239">
        <f t="shared" si="2981"/>
        <v>25.71</v>
      </c>
      <c r="I2599" s="131">
        <f t="shared" si="2982"/>
        <v>0</v>
      </c>
      <c r="J2599" s="31">
        <f t="shared" si="2983"/>
        <v>0</v>
      </c>
      <c r="K2599" s="31">
        <f t="shared" si="2984"/>
        <v>0</v>
      </c>
      <c r="L2599" s="31">
        <f t="shared" si="2985"/>
        <v>0</v>
      </c>
      <c r="M2599" s="31">
        <f t="shared" si="2986"/>
        <v>0</v>
      </c>
      <c r="N2599" s="31">
        <f t="shared" si="2987"/>
        <v>0</v>
      </c>
      <c r="O2599" s="31">
        <f t="shared" si="2988"/>
        <v>40.57038</v>
      </c>
      <c r="P2599" s="31">
        <f t="shared" si="2989"/>
        <v>0</v>
      </c>
      <c r="Q2599" s="49">
        <f t="shared" si="2990"/>
        <v>0</v>
      </c>
    </row>
    <row r="2600" spans="4:17" s="62" customFormat="1" x14ac:dyDescent="0.3">
      <c r="D2600" s="235">
        <v>68</v>
      </c>
      <c r="E2600" s="240">
        <v>1</v>
      </c>
      <c r="F2600" s="241">
        <v>16</v>
      </c>
      <c r="G2600" s="242">
        <v>2.4500000000000002</v>
      </c>
      <c r="H2600" s="239">
        <f t="shared" si="2981"/>
        <v>2.4500000000000002</v>
      </c>
      <c r="I2600" s="131">
        <f t="shared" si="2982"/>
        <v>0</v>
      </c>
      <c r="J2600" s="31">
        <f t="shared" si="2983"/>
        <v>0</v>
      </c>
      <c r="K2600" s="31">
        <f t="shared" si="2984"/>
        <v>0</v>
      </c>
      <c r="L2600" s="31">
        <f t="shared" si="2985"/>
        <v>0</v>
      </c>
      <c r="M2600" s="31">
        <f t="shared" si="2986"/>
        <v>0</v>
      </c>
      <c r="N2600" s="31">
        <f t="shared" si="2987"/>
        <v>0</v>
      </c>
      <c r="O2600" s="31">
        <f t="shared" si="2988"/>
        <v>3.8661000000000003</v>
      </c>
      <c r="P2600" s="31">
        <f t="shared" si="2989"/>
        <v>0</v>
      </c>
      <c r="Q2600" s="49">
        <f t="shared" si="2990"/>
        <v>0</v>
      </c>
    </row>
    <row r="2601" spans="4:17" s="62" customFormat="1" x14ac:dyDescent="0.3">
      <c r="D2601" s="235">
        <v>69</v>
      </c>
      <c r="E2601" s="240">
        <v>2</v>
      </c>
      <c r="F2601" s="241">
        <v>16</v>
      </c>
      <c r="G2601" s="242">
        <v>3.05</v>
      </c>
      <c r="H2601" s="239">
        <f t="shared" si="2981"/>
        <v>6.1</v>
      </c>
      <c r="I2601" s="131">
        <f t="shared" si="2982"/>
        <v>0</v>
      </c>
      <c r="J2601" s="31">
        <f t="shared" si="2983"/>
        <v>0</v>
      </c>
      <c r="K2601" s="31">
        <f t="shared" si="2984"/>
        <v>0</v>
      </c>
      <c r="L2601" s="31">
        <f t="shared" si="2985"/>
        <v>0</v>
      </c>
      <c r="M2601" s="31">
        <f t="shared" si="2986"/>
        <v>0</v>
      </c>
      <c r="N2601" s="31">
        <f t="shared" si="2987"/>
        <v>0</v>
      </c>
      <c r="O2601" s="31">
        <f t="shared" si="2988"/>
        <v>9.6257999999999999</v>
      </c>
      <c r="P2601" s="31">
        <f t="shared" si="2989"/>
        <v>0</v>
      </c>
      <c r="Q2601" s="49">
        <f t="shared" si="2990"/>
        <v>0</v>
      </c>
    </row>
    <row r="2602" spans="4:17" s="62" customFormat="1" x14ac:dyDescent="0.3">
      <c r="D2602" s="235">
        <v>70</v>
      </c>
      <c r="E2602" s="240">
        <v>3</v>
      </c>
      <c r="F2602" s="241">
        <v>16</v>
      </c>
      <c r="G2602" s="242">
        <v>3.65</v>
      </c>
      <c r="H2602" s="239">
        <f t="shared" si="2981"/>
        <v>10.95</v>
      </c>
      <c r="I2602" s="131">
        <f t="shared" si="2982"/>
        <v>0</v>
      </c>
      <c r="J2602" s="31">
        <f t="shared" si="2983"/>
        <v>0</v>
      </c>
      <c r="K2602" s="31">
        <f t="shared" si="2984"/>
        <v>0</v>
      </c>
      <c r="L2602" s="31">
        <f t="shared" si="2985"/>
        <v>0</v>
      </c>
      <c r="M2602" s="31">
        <f t="shared" si="2986"/>
        <v>0</v>
      </c>
      <c r="N2602" s="31">
        <f t="shared" si="2987"/>
        <v>0</v>
      </c>
      <c r="O2602" s="31">
        <f t="shared" si="2988"/>
        <v>17.2791</v>
      </c>
      <c r="P2602" s="31">
        <f t="shared" si="2989"/>
        <v>0</v>
      </c>
      <c r="Q2602" s="49">
        <f t="shared" si="2990"/>
        <v>0</v>
      </c>
    </row>
    <row r="2603" spans="4:17" s="62" customFormat="1" ht="15" thickBot="1" x14ac:dyDescent="0.35">
      <c r="D2603" s="307"/>
      <c r="E2603" s="26"/>
      <c r="F2603" s="206"/>
      <c r="G2603" s="207"/>
      <c r="H2603" s="207"/>
      <c r="I2603" s="51"/>
      <c r="J2603" s="308"/>
      <c r="K2603" s="308"/>
      <c r="L2603" s="308"/>
      <c r="M2603" s="308"/>
      <c r="N2603" s="308"/>
      <c r="O2603" s="308"/>
      <c r="P2603" s="308"/>
      <c r="Q2603" s="309"/>
    </row>
    <row r="2604" spans="4:17" s="62" customFormat="1" x14ac:dyDescent="0.3">
      <c r="D2604" s="796" t="s">
        <v>1485</v>
      </c>
      <c r="E2604" s="797"/>
      <c r="F2604" s="797"/>
      <c r="G2604" s="797"/>
      <c r="H2604" s="797"/>
      <c r="I2604" s="47">
        <f t="shared" ref="I2604:Q2604" si="2991">SUM(I2605:I2614)</f>
        <v>0</v>
      </c>
      <c r="J2604" s="47">
        <f t="shared" si="2991"/>
        <v>13.291740000000001</v>
      </c>
      <c r="K2604" s="47">
        <f t="shared" si="2991"/>
        <v>0</v>
      </c>
      <c r="L2604" s="47">
        <f t="shared" si="2991"/>
        <v>0</v>
      </c>
      <c r="M2604" s="47">
        <f t="shared" si="2991"/>
        <v>19.59592</v>
      </c>
      <c r="N2604" s="47">
        <f t="shared" si="2991"/>
        <v>0</v>
      </c>
      <c r="O2604" s="47">
        <f t="shared" si="2991"/>
        <v>54.456780000000002</v>
      </c>
      <c r="P2604" s="47">
        <f t="shared" si="2991"/>
        <v>36.799999999999997</v>
      </c>
      <c r="Q2604" s="47">
        <f t="shared" si="2991"/>
        <v>0</v>
      </c>
    </row>
    <row r="2605" spans="4:17" s="62" customFormat="1" x14ac:dyDescent="0.3">
      <c r="D2605" s="235">
        <v>1</v>
      </c>
      <c r="E2605" s="237">
        <v>63</v>
      </c>
      <c r="F2605" s="238">
        <v>5</v>
      </c>
      <c r="G2605" s="239">
        <v>1.37</v>
      </c>
      <c r="H2605" s="239">
        <f t="shared" ref="H2605:H2614" si="2992">E2605*G2605</f>
        <v>86.31</v>
      </c>
      <c r="I2605" s="131">
        <f t="shared" ref="I2605:I2614" si="2993">IF($F2605=4.2,H2605*$B$23,0)</f>
        <v>0</v>
      </c>
      <c r="J2605" s="31">
        <f t="shared" ref="J2605:J2614" si="2994">IF($F2605=5,$H2605*$B$24,0)</f>
        <v>13.291740000000001</v>
      </c>
      <c r="K2605" s="31">
        <f t="shared" ref="K2605:K2614" si="2995">IF($F2605=6.3,$H2605*$B$25,0)</f>
        <v>0</v>
      </c>
      <c r="L2605" s="31">
        <f t="shared" ref="L2605:L2614" si="2996">IF($F2605=8,$H2605*$B$26,0)</f>
        <v>0</v>
      </c>
      <c r="M2605" s="31">
        <f t="shared" ref="M2605:M2614" si="2997">IF($F2605=10,$H2605*$B$27,0)</f>
        <v>0</v>
      </c>
      <c r="N2605" s="31">
        <f t="shared" ref="N2605:N2614" si="2998">IF($F2605=12.5,$H2605*$B$28,0)</f>
        <v>0</v>
      </c>
      <c r="O2605" s="31">
        <f t="shared" ref="O2605:O2614" si="2999">IF($F2605=16,$H2605*$B$29,0)</f>
        <v>0</v>
      </c>
      <c r="P2605" s="31">
        <f t="shared" ref="P2605:P2614" si="3000">IF($F2605=20,$H2605*$B$30,0)</f>
        <v>0</v>
      </c>
      <c r="Q2605" s="49">
        <f t="shared" ref="Q2605:Q2614" si="3001">IF($F2605=25,$H2605*$B$31,0)</f>
        <v>0</v>
      </c>
    </row>
    <row r="2606" spans="4:17" s="62" customFormat="1" x14ac:dyDescent="0.3">
      <c r="D2606" s="235">
        <v>18</v>
      </c>
      <c r="E2606" s="240">
        <v>4</v>
      </c>
      <c r="F2606" s="241">
        <v>10</v>
      </c>
      <c r="G2606" s="242">
        <v>1.86</v>
      </c>
      <c r="H2606" s="239">
        <f t="shared" si="2992"/>
        <v>7.44</v>
      </c>
      <c r="I2606" s="131">
        <f t="shared" si="2993"/>
        <v>0</v>
      </c>
      <c r="J2606" s="31">
        <f t="shared" si="2994"/>
        <v>0</v>
      </c>
      <c r="K2606" s="31">
        <f t="shared" si="2995"/>
        <v>0</v>
      </c>
      <c r="L2606" s="31">
        <f t="shared" si="2996"/>
        <v>0</v>
      </c>
      <c r="M2606" s="31">
        <f t="shared" si="2997"/>
        <v>4.5904800000000003</v>
      </c>
      <c r="N2606" s="31">
        <f t="shared" si="2998"/>
        <v>0</v>
      </c>
      <c r="O2606" s="31">
        <f t="shared" si="2999"/>
        <v>0</v>
      </c>
      <c r="P2606" s="31">
        <f t="shared" si="3000"/>
        <v>0</v>
      </c>
      <c r="Q2606" s="49">
        <f t="shared" si="3001"/>
        <v>0</v>
      </c>
    </row>
    <row r="2607" spans="4:17" s="62" customFormat="1" x14ac:dyDescent="0.3">
      <c r="D2607" s="235">
        <v>19</v>
      </c>
      <c r="E2607" s="240">
        <v>1</v>
      </c>
      <c r="F2607" s="241">
        <v>10</v>
      </c>
      <c r="G2607" s="242">
        <v>2.42</v>
      </c>
      <c r="H2607" s="239">
        <f t="shared" si="2992"/>
        <v>2.42</v>
      </c>
      <c r="I2607" s="131">
        <f t="shared" si="2993"/>
        <v>0</v>
      </c>
      <c r="J2607" s="31">
        <f t="shared" si="2994"/>
        <v>0</v>
      </c>
      <c r="K2607" s="31">
        <f t="shared" si="2995"/>
        <v>0</v>
      </c>
      <c r="L2607" s="31">
        <f t="shared" si="2996"/>
        <v>0</v>
      </c>
      <c r="M2607" s="31">
        <f t="shared" si="2997"/>
        <v>1.4931399999999999</v>
      </c>
      <c r="N2607" s="31">
        <f t="shared" si="2998"/>
        <v>0</v>
      </c>
      <c r="O2607" s="31">
        <f t="shared" si="2999"/>
        <v>0</v>
      </c>
      <c r="P2607" s="31">
        <f t="shared" si="3000"/>
        <v>0</v>
      </c>
      <c r="Q2607" s="49">
        <f t="shared" si="3001"/>
        <v>0</v>
      </c>
    </row>
    <row r="2608" spans="4:17" s="62" customFormat="1" x14ac:dyDescent="0.3">
      <c r="D2608" s="235">
        <v>20</v>
      </c>
      <c r="E2608" s="240">
        <v>2</v>
      </c>
      <c r="F2608" s="241">
        <v>10</v>
      </c>
      <c r="G2608" s="242">
        <v>2.46</v>
      </c>
      <c r="H2608" s="239">
        <f t="shared" si="2992"/>
        <v>4.92</v>
      </c>
      <c r="I2608" s="131">
        <f t="shared" si="2993"/>
        <v>0</v>
      </c>
      <c r="J2608" s="31">
        <f t="shared" si="2994"/>
        <v>0</v>
      </c>
      <c r="K2608" s="31">
        <f t="shared" si="2995"/>
        <v>0</v>
      </c>
      <c r="L2608" s="31">
        <f t="shared" si="2996"/>
        <v>0</v>
      </c>
      <c r="M2608" s="31">
        <f t="shared" si="2997"/>
        <v>3.0356399999999999</v>
      </c>
      <c r="N2608" s="31">
        <f t="shared" si="2998"/>
        <v>0</v>
      </c>
      <c r="O2608" s="31">
        <f t="shared" si="2999"/>
        <v>0</v>
      </c>
      <c r="P2608" s="31">
        <f t="shared" si="3000"/>
        <v>0</v>
      </c>
      <c r="Q2608" s="49">
        <f t="shared" si="3001"/>
        <v>0</v>
      </c>
    </row>
    <row r="2609" spans="4:17" s="62" customFormat="1" x14ac:dyDescent="0.3">
      <c r="D2609" s="235">
        <v>21</v>
      </c>
      <c r="E2609" s="240">
        <v>1</v>
      </c>
      <c r="F2609" s="241">
        <v>10</v>
      </c>
      <c r="G2609" s="242">
        <v>6.06</v>
      </c>
      <c r="H2609" s="239">
        <f t="shared" si="2992"/>
        <v>6.06</v>
      </c>
      <c r="I2609" s="131">
        <f t="shared" si="2993"/>
        <v>0</v>
      </c>
      <c r="J2609" s="31">
        <f t="shared" si="2994"/>
        <v>0</v>
      </c>
      <c r="K2609" s="31">
        <f t="shared" si="2995"/>
        <v>0</v>
      </c>
      <c r="L2609" s="31">
        <f t="shared" si="2996"/>
        <v>0</v>
      </c>
      <c r="M2609" s="31">
        <f t="shared" si="2997"/>
        <v>3.7390199999999996</v>
      </c>
      <c r="N2609" s="31">
        <f t="shared" si="2998"/>
        <v>0</v>
      </c>
      <c r="O2609" s="31">
        <f t="shared" si="2999"/>
        <v>0</v>
      </c>
      <c r="P2609" s="31">
        <f t="shared" si="3000"/>
        <v>0</v>
      </c>
      <c r="Q2609" s="49">
        <f t="shared" si="3001"/>
        <v>0</v>
      </c>
    </row>
    <row r="2610" spans="4:17" s="62" customFormat="1" x14ac:dyDescent="0.3">
      <c r="D2610" s="235">
        <v>22</v>
      </c>
      <c r="E2610" s="240">
        <v>2</v>
      </c>
      <c r="F2610" s="241">
        <v>10</v>
      </c>
      <c r="G2610" s="242">
        <v>5.46</v>
      </c>
      <c r="H2610" s="239">
        <f t="shared" si="2992"/>
        <v>10.92</v>
      </c>
      <c r="I2610" s="131">
        <f t="shared" si="2993"/>
        <v>0</v>
      </c>
      <c r="J2610" s="31">
        <f t="shared" si="2994"/>
        <v>0</v>
      </c>
      <c r="K2610" s="31">
        <f t="shared" si="2995"/>
        <v>0</v>
      </c>
      <c r="L2610" s="31">
        <f t="shared" si="2996"/>
        <v>0</v>
      </c>
      <c r="M2610" s="31">
        <f t="shared" si="2997"/>
        <v>6.7376399999999999</v>
      </c>
      <c r="N2610" s="31">
        <f t="shared" si="2998"/>
        <v>0</v>
      </c>
      <c r="O2610" s="31">
        <f t="shared" si="2999"/>
        <v>0</v>
      </c>
      <c r="P2610" s="31">
        <f t="shared" si="3000"/>
        <v>0</v>
      </c>
      <c r="Q2610" s="49">
        <f t="shared" si="3001"/>
        <v>0</v>
      </c>
    </row>
    <row r="2611" spans="4:17" s="62" customFormat="1" x14ac:dyDescent="0.3">
      <c r="D2611" s="235">
        <v>67</v>
      </c>
      <c r="E2611" s="240">
        <v>3</v>
      </c>
      <c r="F2611" s="241">
        <v>16</v>
      </c>
      <c r="G2611" s="242">
        <v>8.57</v>
      </c>
      <c r="H2611" s="239">
        <f t="shared" si="2992"/>
        <v>25.71</v>
      </c>
      <c r="I2611" s="131">
        <f t="shared" si="2993"/>
        <v>0</v>
      </c>
      <c r="J2611" s="31">
        <f t="shared" si="2994"/>
        <v>0</v>
      </c>
      <c r="K2611" s="31">
        <f t="shared" si="2995"/>
        <v>0</v>
      </c>
      <c r="L2611" s="31">
        <f t="shared" si="2996"/>
        <v>0</v>
      </c>
      <c r="M2611" s="31">
        <f t="shared" si="2997"/>
        <v>0</v>
      </c>
      <c r="N2611" s="31">
        <f t="shared" si="2998"/>
        <v>0</v>
      </c>
      <c r="O2611" s="31">
        <f t="shared" si="2999"/>
        <v>40.57038</v>
      </c>
      <c r="P2611" s="31">
        <f t="shared" si="3000"/>
        <v>0</v>
      </c>
      <c r="Q2611" s="49">
        <f t="shared" si="3001"/>
        <v>0</v>
      </c>
    </row>
    <row r="2612" spans="4:17" s="62" customFormat="1" x14ac:dyDescent="0.3">
      <c r="D2612" s="235">
        <v>71</v>
      </c>
      <c r="E2612" s="240">
        <v>2</v>
      </c>
      <c r="F2612" s="241">
        <v>16</v>
      </c>
      <c r="G2612" s="242">
        <v>4.4000000000000004</v>
      </c>
      <c r="H2612" s="239">
        <f t="shared" si="2992"/>
        <v>8.8000000000000007</v>
      </c>
      <c r="I2612" s="131">
        <f t="shared" si="2993"/>
        <v>0</v>
      </c>
      <c r="J2612" s="31">
        <f t="shared" si="2994"/>
        <v>0</v>
      </c>
      <c r="K2612" s="31">
        <f t="shared" si="2995"/>
        <v>0</v>
      </c>
      <c r="L2612" s="31">
        <f t="shared" si="2996"/>
        <v>0</v>
      </c>
      <c r="M2612" s="31">
        <f t="shared" si="2997"/>
        <v>0</v>
      </c>
      <c r="N2612" s="31">
        <f t="shared" si="2998"/>
        <v>0</v>
      </c>
      <c r="O2612" s="31">
        <f t="shared" si="2999"/>
        <v>13.886400000000002</v>
      </c>
      <c r="P2612" s="31">
        <f t="shared" si="3000"/>
        <v>0</v>
      </c>
      <c r="Q2612" s="49">
        <f t="shared" si="3001"/>
        <v>0</v>
      </c>
    </row>
    <row r="2613" spans="4:17" s="62" customFormat="1" x14ac:dyDescent="0.3">
      <c r="D2613" s="235">
        <v>78</v>
      </c>
      <c r="E2613" s="240">
        <v>2</v>
      </c>
      <c r="F2613" s="241">
        <v>20</v>
      </c>
      <c r="G2613" s="242">
        <v>3.38</v>
      </c>
      <c r="H2613" s="239">
        <f t="shared" si="2992"/>
        <v>6.76</v>
      </c>
      <c r="I2613" s="131">
        <f t="shared" si="2993"/>
        <v>0</v>
      </c>
      <c r="J2613" s="31">
        <f t="shared" si="2994"/>
        <v>0</v>
      </c>
      <c r="K2613" s="31">
        <f t="shared" si="2995"/>
        <v>0</v>
      </c>
      <c r="L2613" s="31">
        <f t="shared" si="2996"/>
        <v>0</v>
      </c>
      <c r="M2613" s="31">
        <f t="shared" si="2997"/>
        <v>0</v>
      </c>
      <c r="N2613" s="31">
        <f t="shared" si="2998"/>
        <v>0</v>
      </c>
      <c r="O2613" s="31">
        <f t="shared" si="2999"/>
        <v>0</v>
      </c>
      <c r="P2613" s="31">
        <f t="shared" si="3000"/>
        <v>16.899999999999999</v>
      </c>
      <c r="Q2613" s="49">
        <f t="shared" si="3001"/>
        <v>0</v>
      </c>
    </row>
    <row r="2614" spans="4:17" s="62" customFormat="1" x14ac:dyDescent="0.3">
      <c r="D2614" s="235">
        <v>79</v>
      </c>
      <c r="E2614" s="240">
        <v>2</v>
      </c>
      <c r="F2614" s="241">
        <v>20</v>
      </c>
      <c r="G2614" s="242">
        <v>3.98</v>
      </c>
      <c r="H2614" s="239">
        <f t="shared" si="2992"/>
        <v>7.96</v>
      </c>
      <c r="I2614" s="131">
        <f t="shared" si="2993"/>
        <v>0</v>
      </c>
      <c r="J2614" s="31">
        <f t="shared" si="2994"/>
        <v>0</v>
      </c>
      <c r="K2614" s="31">
        <f t="shared" si="2995"/>
        <v>0</v>
      </c>
      <c r="L2614" s="31">
        <f t="shared" si="2996"/>
        <v>0</v>
      </c>
      <c r="M2614" s="31">
        <f t="shared" si="2997"/>
        <v>0</v>
      </c>
      <c r="N2614" s="31">
        <f t="shared" si="2998"/>
        <v>0</v>
      </c>
      <c r="O2614" s="31">
        <f t="shared" si="2999"/>
        <v>0</v>
      </c>
      <c r="P2614" s="31">
        <f t="shared" si="3000"/>
        <v>19.899999999999999</v>
      </c>
      <c r="Q2614" s="49">
        <f t="shared" si="3001"/>
        <v>0</v>
      </c>
    </row>
    <row r="2615" spans="4:17" s="62" customFormat="1" ht="15" thickBot="1" x14ac:dyDescent="0.35">
      <c r="D2615" s="307"/>
      <c r="E2615" s="26"/>
      <c r="F2615" s="206"/>
      <c r="G2615" s="207"/>
      <c r="H2615" s="207"/>
      <c r="I2615" s="51"/>
      <c r="J2615" s="308"/>
      <c r="K2615" s="308"/>
      <c r="L2615" s="308"/>
      <c r="M2615" s="308"/>
      <c r="N2615" s="308"/>
      <c r="O2615" s="308"/>
      <c r="P2615" s="308"/>
      <c r="Q2615" s="309"/>
    </row>
    <row r="2616" spans="4:17" s="62" customFormat="1" x14ac:dyDescent="0.3">
      <c r="D2616" s="796" t="s">
        <v>1486</v>
      </c>
      <c r="E2616" s="797"/>
      <c r="F2616" s="797"/>
      <c r="G2616" s="797"/>
      <c r="H2616" s="797"/>
      <c r="I2616" s="47">
        <f t="shared" ref="I2616:Q2616" si="3002">SUM(I2617:I2630)</f>
        <v>0</v>
      </c>
      <c r="J2616" s="47">
        <f t="shared" si="3002"/>
        <v>5.7657599999999993</v>
      </c>
      <c r="K2616" s="47">
        <f t="shared" si="3002"/>
        <v>0</v>
      </c>
      <c r="L2616" s="47">
        <f t="shared" si="3002"/>
        <v>14.366150000000001</v>
      </c>
      <c r="M2616" s="47">
        <f t="shared" si="3002"/>
        <v>17.37472</v>
      </c>
      <c r="N2616" s="47">
        <f t="shared" si="3002"/>
        <v>0</v>
      </c>
      <c r="O2616" s="47">
        <f t="shared" si="3002"/>
        <v>0</v>
      </c>
      <c r="P2616" s="47">
        <f t="shared" si="3002"/>
        <v>0</v>
      </c>
      <c r="Q2616" s="47">
        <f t="shared" si="3002"/>
        <v>0</v>
      </c>
    </row>
    <row r="2617" spans="4:17" s="62" customFormat="1" x14ac:dyDescent="0.3">
      <c r="D2617" s="235">
        <v>2</v>
      </c>
      <c r="E2617" s="237">
        <v>32</v>
      </c>
      <c r="F2617" s="238">
        <v>5</v>
      </c>
      <c r="G2617" s="239">
        <v>1.17</v>
      </c>
      <c r="H2617" s="239">
        <f t="shared" ref="H2617:H2630" si="3003">E2617*G2617</f>
        <v>37.44</v>
      </c>
      <c r="I2617" s="131">
        <f t="shared" ref="I2617:I2630" si="3004">IF($F2617=4.2,H2617*$B$23,0)</f>
        <v>0</v>
      </c>
      <c r="J2617" s="31">
        <f t="shared" ref="J2617:J2630" si="3005">IF($F2617=5,$H2617*$B$24,0)</f>
        <v>5.7657599999999993</v>
      </c>
      <c r="K2617" s="31">
        <f t="shared" ref="K2617:K2630" si="3006">IF($F2617=6.3,$H2617*$B$25,0)</f>
        <v>0</v>
      </c>
      <c r="L2617" s="31">
        <f t="shared" ref="L2617:L2630" si="3007">IF($F2617=8,$H2617*$B$26,0)</f>
        <v>0</v>
      </c>
      <c r="M2617" s="31">
        <f t="shared" ref="M2617:M2630" si="3008">IF($F2617=10,$H2617*$B$27,0)</f>
        <v>0</v>
      </c>
      <c r="N2617" s="31">
        <f t="shared" ref="N2617:N2630" si="3009">IF($F2617=12.5,$H2617*$B$28,0)</f>
        <v>0</v>
      </c>
      <c r="O2617" s="31">
        <f t="shared" ref="O2617:O2630" si="3010">IF($F2617=16,$H2617*$B$29,0)</f>
        <v>0</v>
      </c>
      <c r="P2617" s="31">
        <f t="shared" ref="P2617:P2630" si="3011">IF($F2617=20,$H2617*$B$30,0)</f>
        <v>0</v>
      </c>
      <c r="Q2617" s="49">
        <f t="shared" ref="Q2617:Q2630" si="3012">IF($F2617=25,$H2617*$B$31,0)</f>
        <v>0</v>
      </c>
    </row>
    <row r="2618" spans="4:17" s="62" customFormat="1" x14ac:dyDescent="0.3">
      <c r="D2618" s="235">
        <v>7</v>
      </c>
      <c r="E2618" s="240">
        <v>2</v>
      </c>
      <c r="F2618" s="241">
        <v>8</v>
      </c>
      <c r="G2618" s="242">
        <v>1.39</v>
      </c>
      <c r="H2618" s="239">
        <f t="shared" si="3003"/>
        <v>2.78</v>
      </c>
      <c r="I2618" s="131">
        <f t="shared" si="3004"/>
        <v>0</v>
      </c>
      <c r="J2618" s="31">
        <f t="shared" si="3005"/>
        <v>0</v>
      </c>
      <c r="K2618" s="31">
        <f t="shared" si="3006"/>
        <v>0</v>
      </c>
      <c r="L2618" s="31">
        <f t="shared" si="3007"/>
        <v>1.0981000000000001</v>
      </c>
      <c r="M2618" s="31">
        <f t="shared" si="3008"/>
        <v>0</v>
      </c>
      <c r="N2618" s="31">
        <f t="shared" si="3009"/>
        <v>0</v>
      </c>
      <c r="O2618" s="31">
        <f t="shared" si="3010"/>
        <v>0</v>
      </c>
      <c r="P2618" s="31">
        <f t="shared" si="3011"/>
        <v>0</v>
      </c>
      <c r="Q2618" s="49">
        <f t="shared" si="3012"/>
        <v>0</v>
      </c>
    </row>
    <row r="2619" spans="4:17" s="62" customFormat="1" x14ac:dyDescent="0.3">
      <c r="D2619" s="235">
        <v>8</v>
      </c>
      <c r="E2619" s="240">
        <v>1</v>
      </c>
      <c r="F2619" s="241">
        <v>8</v>
      </c>
      <c r="G2619" s="242">
        <v>2.1</v>
      </c>
      <c r="H2619" s="239">
        <f t="shared" si="3003"/>
        <v>2.1</v>
      </c>
      <c r="I2619" s="131">
        <f t="shared" si="3004"/>
        <v>0</v>
      </c>
      <c r="J2619" s="31">
        <f t="shared" si="3005"/>
        <v>0</v>
      </c>
      <c r="K2619" s="31">
        <f t="shared" si="3006"/>
        <v>0</v>
      </c>
      <c r="L2619" s="31">
        <f t="shared" si="3007"/>
        <v>0.82950000000000013</v>
      </c>
      <c r="M2619" s="31">
        <f t="shared" si="3008"/>
        <v>0</v>
      </c>
      <c r="N2619" s="31">
        <f t="shared" si="3009"/>
        <v>0</v>
      </c>
      <c r="O2619" s="31">
        <f t="shared" si="3010"/>
        <v>0</v>
      </c>
      <c r="P2619" s="31">
        <f t="shared" si="3011"/>
        <v>0</v>
      </c>
      <c r="Q2619" s="49">
        <f t="shared" si="3012"/>
        <v>0</v>
      </c>
    </row>
    <row r="2620" spans="4:17" s="62" customFormat="1" x14ac:dyDescent="0.3">
      <c r="D2620" s="235">
        <v>9</v>
      </c>
      <c r="E2620" s="240">
        <v>1</v>
      </c>
      <c r="F2620" s="241">
        <v>8</v>
      </c>
      <c r="G2620" s="242">
        <v>5.51</v>
      </c>
      <c r="H2620" s="239">
        <f t="shared" si="3003"/>
        <v>5.51</v>
      </c>
      <c r="I2620" s="131">
        <f t="shared" si="3004"/>
        <v>0</v>
      </c>
      <c r="J2620" s="31">
        <f t="shared" si="3005"/>
        <v>0</v>
      </c>
      <c r="K2620" s="31">
        <f t="shared" si="3006"/>
        <v>0</v>
      </c>
      <c r="L2620" s="31">
        <f t="shared" si="3007"/>
        <v>2.17645</v>
      </c>
      <c r="M2620" s="31">
        <f t="shared" si="3008"/>
        <v>0</v>
      </c>
      <c r="N2620" s="31">
        <f t="shared" si="3009"/>
        <v>0</v>
      </c>
      <c r="O2620" s="31">
        <f t="shared" si="3010"/>
        <v>0</v>
      </c>
      <c r="P2620" s="31">
        <f t="shared" si="3011"/>
        <v>0</v>
      </c>
      <c r="Q2620" s="49">
        <f t="shared" si="3012"/>
        <v>0</v>
      </c>
    </row>
    <row r="2621" spans="4:17" s="62" customFormat="1" x14ac:dyDescent="0.3">
      <c r="D2621" s="235">
        <v>10</v>
      </c>
      <c r="E2621" s="240">
        <v>1</v>
      </c>
      <c r="F2621" s="241">
        <v>8</v>
      </c>
      <c r="G2621" s="242">
        <v>5.91</v>
      </c>
      <c r="H2621" s="239">
        <f t="shared" ref="H2621:H2622" si="3013">E2621*G2621</f>
        <v>5.91</v>
      </c>
      <c r="I2621" s="131">
        <f t="shared" ref="I2621:I2622" si="3014">IF($F2621=4.2,H2621*$B$23,0)</f>
        <v>0</v>
      </c>
      <c r="J2621" s="31">
        <f t="shared" si="3005"/>
        <v>0</v>
      </c>
      <c r="K2621" s="31">
        <f t="shared" si="3006"/>
        <v>0</v>
      </c>
      <c r="L2621" s="31">
        <f t="shared" si="3007"/>
        <v>2.3344500000000004</v>
      </c>
      <c r="M2621" s="31">
        <f t="shared" si="3008"/>
        <v>0</v>
      </c>
      <c r="N2621" s="31">
        <f t="shared" si="3009"/>
        <v>0</v>
      </c>
      <c r="O2621" s="31">
        <f t="shared" si="3010"/>
        <v>0</v>
      </c>
      <c r="P2621" s="31">
        <f t="shared" si="3011"/>
        <v>0</v>
      </c>
      <c r="Q2621" s="49">
        <f t="shared" si="3012"/>
        <v>0</v>
      </c>
    </row>
    <row r="2622" spans="4:17" s="62" customFormat="1" x14ac:dyDescent="0.3">
      <c r="D2622" s="235">
        <v>11</v>
      </c>
      <c r="E2622" s="240">
        <v>3</v>
      </c>
      <c r="F2622" s="241">
        <v>8</v>
      </c>
      <c r="G2622" s="242">
        <v>6.69</v>
      </c>
      <c r="H2622" s="239">
        <f t="shared" si="3013"/>
        <v>20.07</v>
      </c>
      <c r="I2622" s="131">
        <f t="shared" si="3014"/>
        <v>0</v>
      </c>
      <c r="J2622" s="31">
        <f t="shared" si="3005"/>
        <v>0</v>
      </c>
      <c r="K2622" s="31">
        <f t="shared" si="3006"/>
        <v>0</v>
      </c>
      <c r="L2622" s="31">
        <f t="shared" si="3007"/>
        <v>7.9276500000000008</v>
      </c>
      <c r="M2622" s="31">
        <f t="shared" si="3008"/>
        <v>0</v>
      </c>
      <c r="N2622" s="31">
        <f t="shared" si="3009"/>
        <v>0</v>
      </c>
      <c r="O2622" s="31">
        <f t="shared" si="3010"/>
        <v>0</v>
      </c>
      <c r="P2622" s="31">
        <f t="shared" si="3011"/>
        <v>0</v>
      </c>
      <c r="Q2622" s="49">
        <f t="shared" si="3012"/>
        <v>0</v>
      </c>
    </row>
    <row r="2623" spans="4:17" s="62" customFormat="1" x14ac:dyDescent="0.3">
      <c r="D2623" s="235">
        <v>23</v>
      </c>
      <c r="E2623" s="240">
        <v>2</v>
      </c>
      <c r="F2623" s="241">
        <v>10</v>
      </c>
      <c r="G2623" s="242">
        <v>1.64</v>
      </c>
      <c r="H2623" s="239">
        <f t="shared" si="3003"/>
        <v>3.28</v>
      </c>
      <c r="I2623" s="131">
        <f t="shared" si="3004"/>
        <v>0</v>
      </c>
      <c r="J2623" s="31">
        <f t="shared" si="3005"/>
        <v>0</v>
      </c>
      <c r="K2623" s="31">
        <f t="shared" si="3006"/>
        <v>0</v>
      </c>
      <c r="L2623" s="31">
        <f t="shared" si="3007"/>
        <v>0</v>
      </c>
      <c r="M2623" s="31">
        <f t="shared" si="3008"/>
        <v>2.0237599999999998</v>
      </c>
      <c r="N2623" s="31">
        <f t="shared" si="3009"/>
        <v>0</v>
      </c>
      <c r="O2623" s="31">
        <f t="shared" si="3010"/>
        <v>0</v>
      </c>
      <c r="P2623" s="31">
        <f t="shared" si="3011"/>
        <v>0</v>
      </c>
      <c r="Q2623" s="49">
        <f t="shared" si="3012"/>
        <v>0</v>
      </c>
    </row>
    <row r="2624" spans="4:17" s="62" customFormat="1" x14ac:dyDescent="0.3">
      <c r="D2624" s="235">
        <v>24</v>
      </c>
      <c r="E2624" s="240">
        <v>1</v>
      </c>
      <c r="F2624" s="241">
        <v>10</v>
      </c>
      <c r="G2624" s="242">
        <v>1.67</v>
      </c>
      <c r="H2624" s="239">
        <f t="shared" si="3003"/>
        <v>1.67</v>
      </c>
      <c r="I2624" s="131">
        <f t="shared" si="3004"/>
        <v>0</v>
      </c>
      <c r="J2624" s="31">
        <f t="shared" si="3005"/>
        <v>0</v>
      </c>
      <c r="K2624" s="31">
        <f t="shared" si="3006"/>
        <v>0</v>
      </c>
      <c r="L2624" s="31">
        <f t="shared" si="3007"/>
        <v>0</v>
      </c>
      <c r="M2624" s="31">
        <f t="shared" si="3008"/>
        <v>1.0303899999999999</v>
      </c>
      <c r="N2624" s="31">
        <f t="shared" si="3009"/>
        <v>0</v>
      </c>
      <c r="O2624" s="31">
        <f t="shared" si="3010"/>
        <v>0</v>
      </c>
      <c r="P2624" s="31">
        <f t="shared" si="3011"/>
        <v>0</v>
      </c>
      <c r="Q2624" s="49">
        <f t="shared" si="3012"/>
        <v>0</v>
      </c>
    </row>
    <row r="2625" spans="4:17" s="62" customFormat="1" x14ac:dyDescent="0.3">
      <c r="D2625" s="235">
        <v>25</v>
      </c>
      <c r="E2625" s="240">
        <v>1</v>
      </c>
      <c r="F2625" s="241">
        <v>10</v>
      </c>
      <c r="G2625" s="242">
        <v>2.83</v>
      </c>
      <c r="H2625" s="239">
        <f t="shared" si="3003"/>
        <v>2.83</v>
      </c>
      <c r="I2625" s="131">
        <f t="shared" si="3004"/>
        <v>0</v>
      </c>
      <c r="J2625" s="31">
        <f t="shared" si="3005"/>
        <v>0</v>
      </c>
      <c r="K2625" s="31">
        <f t="shared" si="3006"/>
        <v>0</v>
      </c>
      <c r="L2625" s="31">
        <f t="shared" si="3007"/>
        <v>0</v>
      </c>
      <c r="M2625" s="31">
        <f t="shared" si="3008"/>
        <v>1.7461100000000001</v>
      </c>
      <c r="N2625" s="31">
        <f t="shared" si="3009"/>
        <v>0</v>
      </c>
      <c r="O2625" s="31">
        <f t="shared" si="3010"/>
        <v>0</v>
      </c>
      <c r="P2625" s="31">
        <f t="shared" si="3011"/>
        <v>0</v>
      </c>
      <c r="Q2625" s="49">
        <f t="shared" si="3012"/>
        <v>0</v>
      </c>
    </row>
    <row r="2626" spans="4:17" s="62" customFormat="1" x14ac:dyDescent="0.3">
      <c r="D2626" s="235">
        <v>26</v>
      </c>
      <c r="E2626" s="240">
        <v>1</v>
      </c>
      <c r="F2626" s="241">
        <v>10</v>
      </c>
      <c r="G2626" s="242">
        <v>3.62</v>
      </c>
      <c r="H2626" s="239">
        <f t="shared" si="3003"/>
        <v>3.62</v>
      </c>
      <c r="I2626" s="131">
        <f t="shared" si="3004"/>
        <v>0</v>
      </c>
      <c r="J2626" s="31">
        <f t="shared" si="3005"/>
        <v>0</v>
      </c>
      <c r="K2626" s="31">
        <f t="shared" si="3006"/>
        <v>0</v>
      </c>
      <c r="L2626" s="31">
        <f t="shared" si="3007"/>
        <v>0</v>
      </c>
      <c r="M2626" s="31">
        <f t="shared" si="3008"/>
        <v>2.2335400000000001</v>
      </c>
      <c r="N2626" s="31">
        <f t="shared" si="3009"/>
        <v>0</v>
      </c>
      <c r="O2626" s="31">
        <f t="shared" si="3010"/>
        <v>0</v>
      </c>
      <c r="P2626" s="31">
        <f t="shared" si="3011"/>
        <v>0</v>
      </c>
      <c r="Q2626" s="49">
        <f t="shared" si="3012"/>
        <v>0</v>
      </c>
    </row>
    <row r="2627" spans="4:17" s="62" customFormat="1" x14ac:dyDescent="0.3">
      <c r="D2627" s="235">
        <v>27</v>
      </c>
      <c r="E2627" s="240">
        <v>1</v>
      </c>
      <c r="F2627" s="241">
        <v>10</v>
      </c>
      <c r="G2627" s="242">
        <v>4.2</v>
      </c>
      <c r="H2627" s="239">
        <f t="shared" si="3003"/>
        <v>4.2</v>
      </c>
      <c r="I2627" s="131">
        <f t="shared" si="3004"/>
        <v>0</v>
      </c>
      <c r="J2627" s="31">
        <f t="shared" si="3005"/>
        <v>0</v>
      </c>
      <c r="K2627" s="31">
        <f t="shared" si="3006"/>
        <v>0</v>
      </c>
      <c r="L2627" s="31">
        <f t="shared" si="3007"/>
        <v>0</v>
      </c>
      <c r="M2627" s="31">
        <f t="shared" si="3008"/>
        <v>2.5914000000000001</v>
      </c>
      <c r="N2627" s="31">
        <f t="shared" si="3009"/>
        <v>0</v>
      </c>
      <c r="O2627" s="31">
        <f t="shared" si="3010"/>
        <v>0</v>
      </c>
      <c r="P2627" s="31">
        <f t="shared" si="3011"/>
        <v>0</v>
      </c>
      <c r="Q2627" s="49">
        <f t="shared" si="3012"/>
        <v>0</v>
      </c>
    </row>
    <row r="2628" spans="4:17" s="62" customFormat="1" x14ac:dyDescent="0.3">
      <c r="D2628" s="235">
        <v>28</v>
      </c>
      <c r="E2628" s="240">
        <v>2</v>
      </c>
      <c r="F2628" s="241">
        <v>10</v>
      </c>
      <c r="G2628" s="242">
        <v>6.28</v>
      </c>
      <c r="H2628" s="239">
        <f t="shared" si="3003"/>
        <v>12.56</v>
      </c>
      <c r="I2628" s="131">
        <f t="shared" si="3004"/>
        <v>0</v>
      </c>
      <c r="J2628" s="31">
        <f t="shared" si="3005"/>
        <v>0</v>
      </c>
      <c r="K2628" s="31">
        <f t="shared" si="3006"/>
        <v>0</v>
      </c>
      <c r="L2628" s="31">
        <f t="shared" si="3007"/>
        <v>0</v>
      </c>
      <c r="M2628" s="31">
        <f t="shared" si="3008"/>
        <v>7.7495200000000004</v>
      </c>
      <c r="N2628" s="31">
        <f t="shared" si="3009"/>
        <v>0</v>
      </c>
      <c r="O2628" s="31">
        <f t="shared" si="3010"/>
        <v>0</v>
      </c>
      <c r="P2628" s="31">
        <f t="shared" si="3011"/>
        <v>0</v>
      </c>
      <c r="Q2628" s="49">
        <f t="shared" si="3012"/>
        <v>0</v>
      </c>
    </row>
    <row r="2629" spans="4:17" s="62" customFormat="1" x14ac:dyDescent="0.3">
      <c r="D2629" s="235"/>
      <c r="E2629" s="240"/>
      <c r="F2629" s="241"/>
      <c r="G2629" s="242"/>
      <c r="H2629" s="239">
        <f t="shared" si="3003"/>
        <v>0</v>
      </c>
      <c r="I2629" s="131">
        <f t="shared" si="3004"/>
        <v>0</v>
      </c>
      <c r="J2629" s="31">
        <f t="shared" si="3005"/>
        <v>0</v>
      </c>
      <c r="K2629" s="31">
        <f t="shared" si="3006"/>
        <v>0</v>
      </c>
      <c r="L2629" s="31">
        <f t="shared" si="3007"/>
        <v>0</v>
      </c>
      <c r="M2629" s="31">
        <f t="shared" si="3008"/>
        <v>0</v>
      </c>
      <c r="N2629" s="31">
        <f t="shared" si="3009"/>
        <v>0</v>
      </c>
      <c r="O2629" s="31">
        <f t="shared" si="3010"/>
        <v>0</v>
      </c>
      <c r="P2629" s="31">
        <f t="shared" si="3011"/>
        <v>0</v>
      </c>
      <c r="Q2629" s="49">
        <f t="shared" si="3012"/>
        <v>0</v>
      </c>
    </row>
    <row r="2630" spans="4:17" s="62" customFormat="1" x14ac:dyDescent="0.3">
      <c r="D2630" s="235"/>
      <c r="E2630" s="240"/>
      <c r="F2630" s="241"/>
      <c r="G2630" s="242"/>
      <c r="H2630" s="239">
        <f t="shared" si="3003"/>
        <v>0</v>
      </c>
      <c r="I2630" s="131">
        <f t="shared" si="3004"/>
        <v>0</v>
      </c>
      <c r="J2630" s="31">
        <f t="shared" si="3005"/>
        <v>0</v>
      </c>
      <c r="K2630" s="31">
        <f t="shared" si="3006"/>
        <v>0</v>
      </c>
      <c r="L2630" s="31">
        <f t="shared" si="3007"/>
        <v>0</v>
      </c>
      <c r="M2630" s="31">
        <f t="shared" si="3008"/>
        <v>0</v>
      </c>
      <c r="N2630" s="31">
        <f t="shared" si="3009"/>
        <v>0</v>
      </c>
      <c r="O2630" s="31">
        <f t="shared" si="3010"/>
        <v>0</v>
      </c>
      <c r="P2630" s="31">
        <f t="shared" si="3011"/>
        <v>0</v>
      </c>
      <c r="Q2630" s="49">
        <f t="shared" si="3012"/>
        <v>0</v>
      </c>
    </row>
    <row r="2631" spans="4:17" s="62" customFormat="1" ht="15" thickBot="1" x14ac:dyDescent="0.35">
      <c r="D2631" s="307"/>
      <c r="E2631" s="26"/>
      <c r="F2631" s="206"/>
      <c r="G2631" s="207"/>
      <c r="H2631" s="207"/>
      <c r="I2631" s="51"/>
      <c r="J2631" s="308"/>
      <c r="K2631" s="308"/>
      <c r="L2631" s="308"/>
      <c r="M2631" s="308"/>
      <c r="N2631" s="308"/>
      <c r="O2631" s="308"/>
      <c r="P2631" s="308"/>
      <c r="Q2631" s="309"/>
    </row>
    <row r="2632" spans="4:17" s="62" customFormat="1" x14ac:dyDescent="0.3">
      <c r="D2632" s="796" t="s">
        <v>1487</v>
      </c>
      <c r="E2632" s="797"/>
      <c r="F2632" s="797"/>
      <c r="G2632" s="797"/>
      <c r="H2632" s="797"/>
      <c r="I2632" s="47">
        <f t="shared" ref="I2632:Q2632" si="3015">SUM(I2633:I2640)</f>
        <v>0</v>
      </c>
      <c r="J2632" s="47">
        <f t="shared" si="3015"/>
        <v>6.6497200000000003</v>
      </c>
      <c r="K2632" s="47">
        <f t="shared" si="3015"/>
        <v>0.37240000000000001</v>
      </c>
      <c r="L2632" s="47">
        <f t="shared" si="3015"/>
        <v>0</v>
      </c>
      <c r="M2632" s="47">
        <f t="shared" si="3015"/>
        <v>28.820070000000001</v>
      </c>
      <c r="N2632" s="47">
        <f t="shared" si="3015"/>
        <v>0</v>
      </c>
      <c r="O2632" s="47">
        <f t="shared" si="3015"/>
        <v>0</v>
      </c>
      <c r="P2632" s="47">
        <f t="shared" si="3015"/>
        <v>0</v>
      </c>
      <c r="Q2632" s="47">
        <f t="shared" si="3015"/>
        <v>0</v>
      </c>
    </row>
    <row r="2633" spans="4:17" s="62" customFormat="1" x14ac:dyDescent="0.3">
      <c r="D2633" s="235">
        <v>3</v>
      </c>
      <c r="E2633" s="237">
        <v>34</v>
      </c>
      <c r="F2633" s="238">
        <v>5</v>
      </c>
      <c r="G2633" s="239">
        <v>1.27</v>
      </c>
      <c r="H2633" s="239">
        <f t="shared" ref="H2633:H2640" si="3016">E2633*G2633</f>
        <v>43.18</v>
      </c>
      <c r="I2633" s="131">
        <f t="shared" ref="I2633:I2640" si="3017">IF($F2633=4.2,H2633*$B$23,0)</f>
        <v>0</v>
      </c>
      <c r="J2633" s="31">
        <f t="shared" ref="J2633:J2640" si="3018">IF($F2633=5,$H2633*$B$24,0)</f>
        <v>6.6497200000000003</v>
      </c>
      <c r="K2633" s="31">
        <f t="shared" ref="K2633:K2640" si="3019">IF($F2633=6.3,$H2633*$B$25,0)</f>
        <v>0</v>
      </c>
      <c r="L2633" s="31">
        <f t="shared" ref="L2633:L2640" si="3020">IF($F2633=8,$H2633*$B$26,0)</f>
        <v>0</v>
      </c>
      <c r="M2633" s="31">
        <f t="shared" ref="M2633:M2640" si="3021">IF($F2633=10,$H2633*$B$27,0)</f>
        <v>0</v>
      </c>
      <c r="N2633" s="31">
        <f t="shared" ref="N2633:N2640" si="3022">IF($F2633=12.5,$H2633*$B$28,0)</f>
        <v>0</v>
      </c>
      <c r="O2633" s="31">
        <f t="shared" ref="O2633:O2640" si="3023">IF($F2633=16,$H2633*$B$29,0)</f>
        <v>0</v>
      </c>
      <c r="P2633" s="31">
        <f t="shared" ref="P2633:P2640" si="3024">IF($F2633=20,$H2633*$B$30,0)</f>
        <v>0</v>
      </c>
      <c r="Q2633" s="49">
        <f t="shared" ref="Q2633:Q2640" si="3025">IF($F2633=25,$H2633*$B$31,0)</f>
        <v>0</v>
      </c>
    </row>
    <row r="2634" spans="4:17" s="62" customFormat="1" x14ac:dyDescent="0.3">
      <c r="D2634" s="235">
        <v>5</v>
      </c>
      <c r="E2634" s="240">
        <v>2</v>
      </c>
      <c r="F2634" s="241">
        <v>6.3</v>
      </c>
      <c r="G2634" s="242">
        <v>0.76</v>
      </c>
      <c r="H2634" s="239">
        <f t="shared" si="3016"/>
        <v>1.52</v>
      </c>
      <c r="I2634" s="131">
        <f t="shared" si="3017"/>
        <v>0</v>
      </c>
      <c r="J2634" s="31">
        <f t="shared" si="3018"/>
        <v>0</v>
      </c>
      <c r="K2634" s="31">
        <f t="shared" si="3019"/>
        <v>0.37240000000000001</v>
      </c>
      <c r="L2634" s="31">
        <f t="shared" si="3020"/>
        <v>0</v>
      </c>
      <c r="M2634" s="31">
        <f t="shared" si="3021"/>
        <v>0</v>
      </c>
      <c r="N2634" s="31">
        <f t="shared" si="3022"/>
        <v>0</v>
      </c>
      <c r="O2634" s="31">
        <f t="shared" si="3023"/>
        <v>0</v>
      </c>
      <c r="P2634" s="31">
        <f t="shared" si="3024"/>
        <v>0</v>
      </c>
      <c r="Q2634" s="49">
        <f t="shared" si="3025"/>
        <v>0</v>
      </c>
    </row>
    <row r="2635" spans="4:17" s="62" customFormat="1" x14ac:dyDescent="0.3">
      <c r="D2635" s="235">
        <v>28</v>
      </c>
      <c r="E2635" s="240">
        <v>4</v>
      </c>
      <c r="F2635" s="241">
        <v>10</v>
      </c>
      <c r="G2635" s="242">
        <v>6.28</v>
      </c>
      <c r="H2635" s="239">
        <f t="shared" si="3016"/>
        <v>25.12</v>
      </c>
      <c r="I2635" s="131">
        <f t="shared" si="3017"/>
        <v>0</v>
      </c>
      <c r="J2635" s="31">
        <f t="shared" si="3018"/>
        <v>0</v>
      </c>
      <c r="K2635" s="31">
        <f t="shared" si="3019"/>
        <v>0</v>
      </c>
      <c r="L2635" s="31">
        <f t="shared" si="3020"/>
        <v>0</v>
      </c>
      <c r="M2635" s="31">
        <f t="shared" si="3021"/>
        <v>15.499040000000001</v>
      </c>
      <c r="N2635" s="31">
        <f t="shared" si="3022"/>
        <v>0</v>
      </c>
      <c r="O2635" s="31">
        <f t="shared" si="3023"/>
        <v>0</v>
      </c>
      <c r="P2635" s="31">
        <f t="shared" si="3024"/>
        <v>0</v>
      </c>
      <c r="Q2635" s="49">
        <f t="shared" si="3025"/>
        <v>0</v>
      </c>
    </row>
    <row r="2636" spans="4:17" s="62" customFormat="1" x14ac:dyDescent="0.3">
      <c r="D2636" s="235">
        <v>29</v>
      </c>
      <c r="E2636" s="240">
        <v>1</v>
      </c>
      <c r="F2636" s="241">
        <v>10</v>
      </c>
      <c r="G2636" s="242">
        <v>3.11</v>
      </c>
      <c r="H2636" s="239">
        <f t="shared" si="3016"/>
        <v>3.11</v>
      </c>
      <c r="I2636" s="131">
        <f t="shared" si="3017"/>
        <v>0</v>
      </c>
      <c r="J2636" s="31">
        <f t="shared" si="3018"/>
        <v>0</v>
      </c>
      <c r="K2636" s="31">
        <f t="shared" si="3019"/>
        <v>0</v>
      </c>
      <c r="L2636" s="31">
        <f t="shared" si="3020"/>
        <v>0</v>
      </c>
      <c r="M2636" s="31">
        <f t="shared" si="3021"/>
        <v>1.9188699999999999</v>
      </c>
      <c r="N2636" s="31">
        <f t="shared" si="3022"/>
        <v>0</v>
      </c>
      <c r="O2636" s="31">
        <f t="shared" si="3023"/>
        <v>0</v>
      </c>
      <c r="P2636" s="31">
        <f t="shared" si="3024"/>
        <v>0</v>
      </c>
      <c r="Q2636" s="49">
        <f t="shared" si="3025"/>
        <v>0</v>
      </c>
    </row>
    <row r="2637" spans="4:17" s="62" customFormat="1" x14ac:dyDescent="0.3">
      <c r="D2637" s="235">
        <v>30</v>
      </c>
      <c r="E2637" s="240">
        <v>1</v>
      </c>
      <c r="F2637" s="241">
        <v>10</v>
      </c>
      <c r="G2637" s="242">
        <v>1.6</v>
      </c>
      <c r="H2637" s="239">
        <f t="shared" si="3016"/>
        <v>1.6</v>
      </c>
      <c r="I2637" s="131">
        <f t="shared" si="3017"/>
        <v>0</v>
      </c>
      <c r="J2637" s="31">
        <f t="shared" si="3018"/>
        <v>0</v>
      </c>
      <c r="K2637" s="31">
        <f t="shared" si="3019"/>
        <v>0</v>
      </c>
      <c r="L2637" s="31">
        <f t="shared" si="3020"/>
        <v>0</v>
      </c>
      <c r="M2637" s="31">
        <f t="shared" si="3021"/>
        <v>0.98720000000000008</v>
      </c>
      <c r="N2637" s="31">
        <f t="shared" si="3022"/>
        <v>0</v>
      </c>
      <c r="O2637" s="31">
        <f t="shared" si="3023"/>
        <v>0</v>
      </c>
      <c r="P2637" s="31">
        <f t="shared" si="3024"/>
        <v>0</v>
      </c>
      <c r="Q2637" s="49">
        <f t="shared" si="3025"/>
        <v>0</v>
      </c>
    </row>
    <row r="2638" spans="4:17" s="62" customFormat="1" x14ac:dyDescent="0.3">
      <c r="D2638" s="235">
        <v>31</v>
      </c>
      <c r="E2638" s="240">
        <v>1</v>
      </c>
      <c r="F2638" s="241">
        <v>10</v>
      </c>
      <c r="G2638" s="242">
        <v>1.47</v>
      </c>
      <c r="H2638" s="239">
        <f t="shared" si="3016"/>
        <v>1.47</v>
      </c>
      <c r="I2638" s="131">
        <f t="shared" si="3017"/>
        <v>0</v>
      </c>
      <c r="J2638" s="31">
        <f t="shared" si="3018"/>
        <v>0</v>
      </c>
      <c r="K2638" s="31">
        <f t="shared" si="3019"/>
        <v>0</v>
      </c>
      <c r="L2638" s="31">
        <f t="shared" si="3020"/>
        <v>0</v>
      </c>
      <c r="M2638" s="31">
        <f t="shared" si="3021"/>
        <v>0.90698999999999996</v>
      </c>
      <c r="N2638" s="31">
        <f t="shared" si="3022"/>
        <v>0</v>
      </c>
      <c r="O2638" s="31">
        <f t="shared" si="3023"/>
        <v>0</v>
      </c>
      <c r="P2638" s="31">
        <f t="shared" si="3024"/>
        <v>0</v>
      </c>
      <c r="Q2638" s="49">
        <f t="shared" si="3025"/>
        <v>0</v>
      </c>
    </row>
    <row r="2639" spans="4:17" s="62" customFormat="1" x14ac:dyDescent="0.3">
      <c r="D2639" s="235">
        <v>32</v>
      </c>
      <c r="E2639" s="240">
        <v>1</v>
      </c>
      <c r="F2639" s="241">
        <v>10</v>
      </c>
      <c r="G2639" s="242">
        <v>2.0499999999999998</v>
      </c>
      <c r="H2639" s="239">
        <f t="shared" si="3016"/>
        <v>2.0499999999999998</v>
      </c>
      <c r="I2639" s="131">
        <f t="shared" si="3017"/>
        <v>0</v>
      </c>
      <c r="J2639" s="31">
        <f t="shared" si="3018"/>
        <v>0</v>
      </c>
      <c r="K2639" s="31">
        <f t="shared" si="3019"/>
        <v>0</v>
      </c>
      <c r="L2639" s="31">
        <f t="shared" si="3020"/>
        <v>0</v>
      </c>
      <c r="M2639" s="31">
        <f t="shared" si="3021"/>
        <v>1.2648499999999998</v>
      </c>
      <c r="N2639" s="31">
        <f t="shared" si="3022"/>
        <v>0</v>
      </c>
      <c r="O2639" s="31">
        <f t="shared" si="3023"/>
        <v>0</v>
      </c>
      <c r="P2639" s="31">
        <f t="shared" si="3024"/>
        <v>0</v>
      </c>
      <c r="Q2639" s="49">
        <f t="shared" si="3025"/>
        <v>0</v>
      </c>
    </row>
    <row r="2640" spans="4:17" s="62" customFormat="1" x14ac:dyDescent="0.3">
      <c r="D2640" s="235">
        <v>33</v>
      </c>
      <c r="E2640" s="240">
        <v>2</v>
      </c>
      <c r="F2640" s="241">
        <v>10</v>
      </c>
      <c r="G2640" s="242">
        <v>6.68</v>
      </c>
      <c r="H2640" s="239">
        <f t="shared" si="3016"/>
        <v>13.36</v>
      </c>
      <c r="I2640" s="131">
        <f t="shared" si="3017"/>
        <v>0</v>
      </c>
      <c r="J2640" s="31">
        <f t="shared" si="3018"/>
        <v>0</v>
      </c>
      <c r="K2640" s="31">
        <f t="shared" si="3019"/>
        <v>0</v>
      </c>
      <c r="L2640" s="31">
        <f t="shared" si="3020"/>
        <v>0</v>
      </c>
      <c r="M2640" s="31">
        <f t="shared" si="3021"/>
        <v>8.2431199999999993</v>
      </c>
      <c r="N2640" s="31">
        <f t="shared" si="3022"/>
        <v>0</v>
      </c>
      <c r="O2640" s="31">
        <f t="shared" si="3023"/>
        <v>0</v>
      </c>
      <c r="P2640" s="31">
        <f t="shared" si="3024"/>
        <v>0</v>
      </c>
      <c r="Q2640" s="49">
        <f t="shared" si="3025"/>
        <v>0</v>
      </c>
    </row>
    <row r="2641" spans="4:17" s="62" customFormat="1" ht="15" thickBot="1" x14ac:dyDescent="0.35">
      <c r="D2641" s="307"/>
      <c r="E2641" s="26"/>
      <c r="F2641" s="206"/>
      <c r="G2641" s="207"/>
      <c r="H2641" s="207"/>
      <c r="I2641" s="51"/>
      <c r="J2641" s="308"/>
      <c r="K2641" s="308"/>
      <c r="L2641" s="308"/>
      <c r="M2641" s="308"/>
      <c r="N2641" s="308"/>
      <c r="O2641" s="308"/>
      <c r="P2641" s="308"/>
      <c r="Q2641" s="309"/>
    </row>
    <row r="2642" spans="4:17" s="62" customFormat="1" x14ac:dyDescent="0.3">
      <c r="D2642" s="796" t="s">
        <v>1488</v>
      </c>
      <c r="E2642" s="797"/>
      <c r="F2642" s="797"/>
      <c r="G2642" s="797"/>
      <c r="H2642" s="797"/>
      <c r="I2642" s="47">
        <f t="shared" ref="I2642:Q2642" si="3026">SUM(I2643:I2647)</f>
        <v>0</v>
      </c>
      <c r="J2642" s="47">
        <f t="shared" si="3026"/>
        <v>8.9966799999999996</v>
      </c>
      <c r="K2642" s="47">
        <f t="shared" si="3026"/>
        <v>0.74480000000000002</v>
      </c>
      <c r="L2642" s="47">
        <f t="shared" si="3026"/>
        <v>0</v>
      </c>
      <c r="M2642" s="47">
        <f t="shared" si="3026"/>
        <v>34.477959999999996</v>
      </c>
      <c r="N2642" s="47">
        <f t="shared" si="3026"/>
        <v>0</v>
      </c>
      <c r="O2642" s="47">
        <f t="shared" si="3026"/>
        <v>0</v>
      </c>
      <c r="P2642" s="47">
        <f t="shared" si="3026"/>
        <v>0</v>
      </c>
      <c r="Q2642" s="47">
        <f t="shared" si="3026"/>
        <v>0</v>
      </c>
    </row>
    <row r="2643" spans="4:17" s="62" customFormat="1" x14ac:dyDescent="0.3">
      <c r="D2643" s="235">
        <v>3</v>
      </c>
      <c r="E2643" s="237">
        <v>46</v>
      </c>
      <c r="F2643" s="238">
        <v>5</v>
      </c>
      <c r="G2643" s="239">
        <v>1.27</v>
      </c>
      <c r="H2643" s="239">
        <f t="shared" ref="H2643:H2647" si="3027">E2643*G2643</f>
        <v>58.42</v>
      </c>
      <c r="I2643" s="131">
        <f t="shared" ref="I2643:I2647" si="3028">IF($F2643=4.2,H2643*$B$23,0)</f>
        <v>0</v>
      </c>
      <c r="J2643" s="31">
        <f t="shared" ref="J2643:J2647" si="3029">IF($F2643=5,$H2643*$B$24,0)</f>
        <v>8.9966799999999996</v>
      </c>
      <c r="K2643" s="31">
        <f t="shared" ref="K2643:K2647" si="3030">IF($F2643=6.3,$H2643*$B$25,0)</f>
        <v>0</v>
      </c>
      <c r="L2643" s="31">
        <f t="shared" ref="L2643:L2647" si="3031">IF($F2643=8,$H2643*$B$26,0)</f>
        <v>0</v>
      </c>
      <c r="M2643" s="31">
        <f t="shared" ref="M2643:M2647" si="3032">IF($F2643=10,$H2643*$B$27,0)</f>
        <v>0</v>
      </c>
      <c r="N2643" s="31">
        <f t="shared" ref="N2643:N2647" si="3033">IF($F2643=12.5,$H2643*$B$28,0)</f>
        <v>0</v>
      </c>
      <c r="O2643" s="31">
        <f t="shared" ref="O2643:O2647" si="3034">IF($F2643=16,$H2643*$B$29,0)</f>
        <v>0</v>
      </c>
      <c r="P2643" s="31">
        <f t="shared" ref="P2643:P2647" si="3035">IF($F2643=20,$H2643*$B$30,0)</f>
        <v>0</v>
      </c>
      <c r="Q2643" s="49">
        <f t="shared" ref="Q2643:Q2647" si="3036">IF($F2643=25,$H2643*$B$31,0)</f>
        <v>0</v>
      </c>
    </row>
    <row r="2644" spans="4:17" s="62" customFormat="1" x14ac:dyDescent="0.3">
      <c r="D2644" s="235">
        <v>5</v>
      </c>
      <c r="E2644" s="240">
        <v>4</v>
      </c>
      <c r="F2644" s="241">
        <v>6.3</v>
      </c>
      <c r="G2644" s="242">
        <v>0.76</v>
      </c>
      <c r="H2644" s="239">
        <f t="shared" si="3027"/>
        <v>3.04</v>
      </c>
      <c r="I2644" s="131">
        <f t="shared" si="3028"/>
        <v>0</v>
      </c>
      <c r="J2644" s="31">
        <f t="shared" si="3029"/>
        <v>0</v>
      </c>
      <c r="K2644" s="31">
        <f t="shared" si="3030"/>
        <v>0.74480000000000002</v>
      </c>
      <c r="L2644" s="31">
        <f t="shared" si="3031"/>
        <v>0</v>
      </c>
      <c r="M2644" s="31">
        <f t="shared" si="3032"/>
        <v>0</v>
      </c>
      <c r="N2644" s="31">
        <f t="shared" si="3033"/>
        <v>0</v>
      </c>
      <c r="O2644" s="31">
        <f t="shared" si="3034"/>
        <v>0</v>
      </c>
      <c r="P2644" s="31">
        <f t="shared" si="3035"/>
        <v>0</v>
      </c>
      <c r="Q2644" s="49">
        <f t="shared" si="3036"/>
        <v>0</v>
      </c>
    </row>
    <row r="2645" spans="4:17" s="62" customFormat="1" x14ac:dyDescent="0.3">
      <c r="D2645" s="235">
        <v>34</v>
      </c>
      <c r="E2645" s="240">
        <v>4</v>
      </c>
      <c r="F2645" s="241">
        <v>10</v>
      </c>
      <c r="G2645" s="242">
        <v>8.2799999999999994</v>
      </c>
      <c r="H2645" s="239">
        <f t="shared" si="3027"/>
        <v>33.119999999999997</v>
      </c>
      <c r="I2645" s="131">
        <f t="shared" si="3028"/>
        <v>0</v>
      </c>
      <c r="J2645" s="31">
        <f t="shared" si="3029"/>
        <v>0</v>
      </c>
      <c r="K2645" s="31">
        <f t="shared" si="3030"/>
        <v>0</v>
      </c>
      <c r="L2645" s="31">
        <f t="shared" si="3031"/>
        <v>0</v>
      </c>
      <c r="M2645" s="31">
        <f t="shared" si="3032"/>
        <v>20.435039999999997</v>
      </c>
      <c r="N2645" s="31">
        <f t="shared" si="3033"/>
        <v>0</v>
      </c>
      <c r="O2645" s="31">
        <f t="shared" si="3034"/>
        <v>0</v>
      </c>
      <c r="P2645" s="31">
        <f t="shared" si="3035"/>
        <v>0</v>
      </c>
      <c r="Q2645" s="49">
        <f t="shared" si="3036"/>
        <v>0</v>
      </c>
    </row>
    <row r="2646" spans="4:17" s="62" customFormat="1" x14ac:dyDescent="0.3">
      <c r="D2646" s="235">
        <v>35</v>
      </c>
      <c r="E2646" s="240">
        <v>2</v>
      </c>
      <c r="F2646" s="241">
        <v>10</v>
      </c>
      <c r="G2646" s="242">
        <v>2.7</v>
      </c>
      <c r="H2646" s="239">
        <f t="shared" si="3027"/>
        <v>5.4</v>
      </c>
      <c r="I2646" s="131">
        <f t="shared" si="3028"/>
        <v>0</v>
      </c>
      <c r="J2646" s="31">
        <f t="shared" si="3029"/>
        <v>0</v>
      </c>
      <c r="K2646" s="31">
        <f t="shared" si="3030"/>
        <v>0</v>
      </c>
      <c r="L2646" s="31">
        <f t="shared" si="3031"/>
        <v>0</v>
      </c>
      <c r="M2646" s="31">
        <f t="shared" si="3032"/>
        <v>3.3318000000000003</v>
      </c>
      <c r="N2646" s="31">
        <f t="shared" si="3033"/>
        <v>0</v>
      </c>
      <c r="O2646" s="31">
        <f t="shared" si="3034"/>
        <v>0</v>
      </c>
      <c r="P2646" s="31">
        <f t="shared" si="3035"/>
        <v>0</v>
      </c>
      <c r="Q2646" s="49">
        <f t="shared" si="3036"/>
        <v>0</v>
      </c>
    </row>
    <row r="2647" spans="4:17" s="62" customFormat="1" x14ac:dyDescent="0.3">
      <c r="D2647" s="235">
        <v>36</v>
      </c>
      <c r="E2647" s="240">
        <v>2</v>
      </c>
      <c r="F2647" s="241">
        <v>10</v>
      </c>
      <c r="G2647" s="242">
        <v>8.68</v>
      </c>
      <c r="H2647" s="239">
        <f t="shared" si="3027"/>
        <v>17.36</v>
      </c>
      <c r="I2647" s="131">
        <f t="shared" si="3028"/>
        <v>0</v>
      </c>
      <c r="J2647" s="31">
        <f t="shared" si="3029"/>
        <v>0</v>
      </c>
      <c r="K2647" s="31">
        <f t="shared" si="3030"/>
        <v>0</v>
      </c>
      <c r="L2647" s="31">
        <f t="shared" si="3031"/>
        <v>0</v>
      </c>
      <c r="M2647" s="31">
        <f t="shared" si="3032"/>
        <v>10.711119999999999</v>
      </c>
      <c r="N2647" s="31">
        <f t="shared" si="3033"/>
        <v>0</v>
      </c>
      <c r="O2647" s="31">
        <f t="shared" si="3034"/>
        <v>0</v>
      </c>
      <c r="P2647" s="31">
        <f t="shared" si="3035"/>
        <v>0</v>
      </c>
      <c r="Q2647" s="49">
        <f t="shared" si="3036"/>
        <v>0</v>
      </c>
    </row>
    <row r="2648" spans="4:17" s="62" customFormat="1" ht="15" thickBot="1" x14ac:dyDescent="0.35">
      <c r="D2648" s="307"/>
      <c r="E2648" s="26"/>
      <c r="F2648" s="206"/>
      <c r="G2648" s="207"/>
      <c r="H2648" s="207"/>
      <c r="I2648" s="51"/>
      <c r="J2648" s="308"/>
      <c r="K2648" s="308"/>
      <c r="L2648" s="308"/>
      <c r="M2648" s="308"/>
      <c r="N2648" s="308"/>
      <c r="O2648" s="308"/>
      <c r="P2648" s="308"/>
      <c r="Q2648" s="309"/>
    </row>
    <row r="2649" spans="4:17" s="62" customFormat="1" x14ac:dyDescent="0.3">
      <c r="D2649" s="796" t="s">
        <v>1489</v>
      </c>
      <c r="E2649" s="797"/>
      <c r="F2649" s="797"/>
      <c r="G2649" s="797"/>
      <c r="H2649" s="797"/>
      <c r="I2649" s="47">
        <f t="shared" ref="I2649:Q2649" si="3037">SUM(I2650:I2655)</f>
        <v>0</v>
      </c>
      <c r="J2649" s="47">
        <f t="shared" si="3037"/>
        <v>8.8010999999999999</v>
      </c>
      <c r="K2649" s="47">
        <f t="shared" si="3037"/>
        <v>0.37240000000000001</v>
      </c>
      <c r="L2649" s="47">
        <f t="shared" si="3037"/>
        <v>0</v>
      </c>
      <c r="M2649" s="47">
        <f t="shared" si="3037"/>
        <v>39.376940000000005</v>
      </c>
      <c r="N2649" s="47">
        <f t="shared" si="3037"/>
        <v>0</v>
      </c>
      <c r="O2649" s="47">
        <f t="shared" si="3037"/>
        <v>0</v>
      </c>
      <c r="P2649" s="47">
        <f t="shared" si="3037"/>
        <v>0</v>
      </c>
      <c r="Q2649" s="47">
        <f t="shared" si="3037"/>
        <v>0</v>
      </c>
    </row>
    <row r="2650" spans="4:17" s="62" customFormat="1" x14ac:dyDescent="0.3">
      <c r="D2650" s="235">
        <v>3</v>
      </c>
      <c r="E2650" s="237">
        <v>45</v>
      </c>
      <c r="F2650" s="238">
        <v>5</v>
      </c>
      <c r="G2650" s="239">
        <v>1.27</v>
      </c>
      <c r="H2650" s="239">
        <f t="shared" ref="H2650:H2655" si="3038">E2650*G2650</f>
        <v>57.15</v>
      </c>
      <c r="I2650" s="131">
        <f t="shared" ref="I2650:I2655" si="3039">IF($F2650=4.2,H2650*$B$23,0)</f>
        <v>0</v>
      </c>
      <c r="J2650" s="31">
        <f t="shared" ref="J2650:J2655" si="3040">IF($F2650=5,$H2650*$B$24,0)</f>
        <v>8.8010999999999999</v>
      </c>
      <c r="K2650" s="31">
        <f t="shared" ref="K2650:K2655" si="3041">IF($F2650=6.3,$H2650*$B$25,0)</f>
        <v>0</v>
      </c>
      <c r="L2650" s="31">
        <f t="shared" ref="L2650:L2655" si="3042">IF($F2650=8,$H2650*$B$26,0)</f>
        <v>0</v>
      </c>
      <c r="M2650" s="31">
        <f t="shared" ref="M2650:M2655" si="3043">IF($F2650=10,$H2650*$B$27,0)</f>
        <v>0</v>
      </c>
      <c r="N2650" s="31">
        <f t="shared" ref="N2650:N2655" si="3044">IF($F2650=12.5,$H2650*$B$28,0)</f>
        <v>0</v>
      </c>
      <c r="O2650" s="31">
        <f t="shared" ref="O2650:O2655" si="3045">IF($F2650=16,$H2650*$B$29,0)</f>
        <v>0</v>
      </c>
      <c r="P2650" s="31">
        <f t="shared" ref="P2650:P2655" si="3046">IF($F2650=20,$H2650*$B$30,0)</f>
        <v>0</v>
      </c>
      <c r="Q2650" s="49">
        <f t="shared" ref="Q2650:Q2655" si="3047">IF($F2650=25,$H2650*$B$31,0)</f>
        <v>0</v>
      </c>
    </row>
    <row r="2651" spans="4:17" s="62" customFormat="1" x14ac:dyDescent="0.3">
      <c r="D2651" s="235">
        <v>5</v>
      </c>
      <c r="E2651" s="240">
        <v>2</v>
      </c>
      <c r="F2651" s="241">
        <v>6.3</v>
      </c>
      <c r="G2651" s="242">
        <v>0.76</v>
      </c>
      <c r="H2651" s="239">
        <f t="shared" si="3038"/>
        <v>1.52</v>
      </c>
      <c r="I2651" s="131">
        <f t="shared" si="3039"/>
        <v>0</v>
      </c>
      <c r="J2651" s="31">
        <f t="shared" si="3040"/>
        <v>0</v>
      </c>
      <c r="K2651" s="31">
        <f t="shared" si="3041"/>
        <v>0.37240000000000001</v>
      </c>
      <c r="L2651" s="31">
        <f t="shared" si="3042"/>
        <v>0</v>
      </c>
      <c r="M2651" s="31">
        <f t="shared" si="3043"/>
        <v>0</v>
      </c>
      <c r="N2651" s="31">
        <f t="shared" si="3044"/>
        <v>0</v>
      </c>
      <c r="O2651" s="31">
        <f t="shared" si="3045"/>
        <v>0</v>
      </c>
      <c r="P2651" s="31">
        <f t="shared" si="3046"/>
        <v>0</v>
      </c>
      <c r="Q2651" s="49">
        <f t="shared" si="3047"/>
        <v>0</v>
      </c>
    </row>
    <row r="2652" spans="4:17" s="62" customFormat="1" x14ac:dyDescent="0.3">
      <c r="D2652" s="235">
        <v>37</v>
      </c>
      <c r="E2652" s="240">
        <v>4</v>
      </c>
      <c r="F2652" s="241">
        <v>10</v>
      </c>
      <c r="G2652" s="242">
        <v>8.4700000000000006</v>
      </c>
      <c r="H2652" s="239">
        <f t="shared" si="3038"/>
        <v>33.880000000000003</v>
      </c>
      <c r="I2652" s="131">
        <f t="shared" si="3039"/>
        <v>0</v>
      </c>
      <c r="J2652" s="31">
        <f t="shared" si="3040"/>
        <v>0</v>
      </c>
      <c r="K2652" s="31">
        <f t="shared" si="3041"/>
        <v>0</v>
      </c>
      <c r="L2652" s="31">
        <f t="shared" si="3042"/>
        <v>0</v>
      </c>
      <c r="M2652" s="31">
        <f t="shared" si="3043"/>
        <v>20.903960000000001</v>
      </c>
      <c r="N2652" s="31">
        <f t="shared" si="3044"/>
        <v>0</v>
      </c>
      <c r="O2652" s="31">
        <f t="shared" si="3045"/>
        <v>0</v>
      </c>
      <c r="P2652" s="31">
        <f t="shared" si="3046"/>
        <v>0</v>
      </c>
      <c r="Q2652" s="49">
        <f t="shared" si="3047"/>
        <v>0</v>
      </c>
    </row>
    <row r="2653" spans="4:17" s="62" customFormat="1" x14ac:dyDescent="0.3">
      <c r="D2653" s="235">
        <v>38</v>
      </c>
      <c r="E2653" s="240">
        <v>1</v>
      </c>
      <c r="F2653" s="241">
        <v>10</v>
      </c>
      <c r="G2653" s="242">
        <v>5.84</v>
      </c>
      <c r="H2653" s="239">
        <f t="shared" si="3038"/>
        <v>5.84</v>
      </c>
      <c r="I2653" s="131">
        <f t="shared" si="3039"/>
        <v>0</v>
      </c>
      <c r="J2653" s="31">
        <f t="shared" si="3040"/>
        <v>0</v>
      </c>
      <c r="K2653" s="31">
        <f t="shared" si="3041"/>
        <v>0</v>
      </c>
      <c r="L2653" s="31">
        <f t="shared" si="3042"/>
        <v>0</v>
      </c>
      <c r="M2653" s="31">
        <f t="shared" si="3043"/>
        <v>3.6032799999999998</v>
      </c>
      <c r="N2653" s="31">
        <f t="shared" si="3044"/>
        <v>0</v>
      </c>
      <c r="O2653" s="31">
        <f t="shared" si="3045"/>
        <v>0</v>
      </c>
      <c r="P2653" s="31">
        <f t="shared" si="3046"/>
        <v>0</v>
      </c>
      <c r="Q2653" s="49">
        <f t="shared" si="3047"/>
        <v>0</v>
      </c>
    </row>
    <row r="2654" spans="4:17" s="62" customFormat="1" x14ac:dyDescent="0.3">
      <c r="D2654" s="235">
        <v>39</v>
      </c>
      <c r="E2654" s="240">
        <v>1</v>
      </c>
      <c r="F2654" s="241">
        <v>10</v>
      </c>
      <c r="G2654" s="242">
        <v>6.24</v>
      </c>
      <c r="H2654" s="239">
        <f t="shared" si="3038"/>
        <v>6.24</v>
      </c>
      <c r="I2654" s="131">
        <f t="shared" si="3039"/>
        <v>0</v>
      </c>
      <c r="J2654" s="31">
        <f t="shared" si="3040"/>
        <v>0</v>
      </c>
      <c r="K2654" s="31">
        <f t="shared" si="3041"/>
        <v>0</v>
      </c>
      <c r="L2654" s="31">
        <f t="shared" si="3042"/>
        <v>0</v>
      </c>
      <c r="M2654" s="31">
        <f t="shared" si="3043"/>
        <v>3.8500800000000002</v>
      </c>
      <c r="N2654" s="31">
        <f t="shared" si="3044"/>
        <v>0</v>
      </c>
      <c r="O2654" s="31">
        <f t="shared" si="3045"/>
        <v>0</v>
      </c>
      <c r="P2654" s="31">
        <f t="shared" si="3046"/>
        <v>0</v>
      </c>
      <c r="Q2654" s="49">
        <f t="shared" si="3047"/>
        <v>0</v>
      </c>
    </row>
    <row r="2655" spans="4:17" s="62" customFormat="1" x14ac:dyDescent="0.3">
      <c r="D2655" s="235">
        <v>40</v>
      </c>
      <c r="E2655" s="240">
        <v>2</v>
      </c>
      <c r="F2655" s="241">
        <v>10</v>
      </c>
      <c r="G2655" s="242">
        <v>8.93</v>
      </c>
      <c r="H2655" s="239">
        <f t="shared" si="3038"/>
        <v>17.86</v>
      </c>
      <c r="I2655" s="131">
        <f t="shared" si="3039"/>
        <v>0</v>
      </c>
      <c r="J2655" s="31">
        <f t="shared" si="3040"/>
        <v>0</v>
      </c>
      <c r="K2655" s="31">
        <f t="shared" si="3041"/>
        <v>0</v>
      </c>
      <c r="L2655" s="31">
        <f t="shared" si="3042"/>
        <v>0</v>
      </c>
      <c r="M2655" s="31">
        <f t="shared" si="3043"/>
        <v>11.01962</v>
      </c>
      <c r="N2655" s="31">
        <f t="shared" si="3044"/>
        <v>0</v>
      </c>
      <c r="O2655" s="31">
        <f t="shared" si="3045"/>
        <v>0</v>
      </c>
      <c r="P2655" s="31">
        <f t="shared" si="3046"/>
        <v>0</v>
      </c>
      <c r="Q2655" s="49">
        <f t="shared" si="3047"/>
        <v>0</v>
      </c>
    </row>
    <row r="2656" spans="4:17" s="62" customFormat="1" ht="15" thickBot="1" x14ac:dyDescent="0.35">
      <c r="D2656" s="307"/>
      <c r="E2656" s="26"/>
      <c r="F2656" s="206"/>
      <c r="G2656" s="207"/>
      <c r="H2656" s="207"/>
      <c r="I2656" s="51"/>
      <c r="J2656" s="308"/>
      <c r="K2656" s="308"/>
      <c r="L2656" s="308"/>
      <c r="M2656" s="308"/>
      <c r="N2656" s="308"/>
      <c r="O2656" s="308"/>
      <c r="P2656" s="308"/>
      <c r="Q2656" s="309"/>
    </row>
    <row r="2657" spans="4:17" s="62" customFormat="1" x14ac:dyDescent="0.3">
      <c r="D2657" s="796" t="s">
        <v>1490</v>
      </c>
      <c r="E2657" s="797"/>
      <c r="F2657" s="797"/>
      <c r="G2657" s="797"/>
      <c r="H2657" s="797"/>
      <c r="I2657" s="47">
        <f t="shared" ref="I2657:Q2657" si="3048">SUM(I2658:I2664)</f>
        <v>0</v>
      </c>
      <c r="J2657" s="47">
        <f t="shared" si="3048"/>
        <v>8.8010999999999999</v>
      </c>
      <c r="K2657" s="47">
        <f t="shared" si="3048"/>
        <v>0.2107</v>
      </c>
      <c r="L2657" s="47">
        <f t="shared" si="3048"/>
        <v>15.681500000000002</v>
      </c>
      <c r="M2657" s="47">
        <f t="shared" si="3048"/>
        <v>19.79336</v>
      </c>
      <c r="N2657" s="47">
        <f t="shared" si="3048"/>
        <v>0</v>
      </c>
      <c r="O2657" s="47">
        <f t="shared" si="3048"/>
        <v>0</v>
      </c>
      <c r="P2657" s="47">
        <f t="shared" si="3048"/>
        <v>0</v>
      </c>
      <c r="Q2657" s="47">
        <f t="shared" si="3048"/>
        <v>0</v>
      </c>
    </row>
    <row r="2658" spans="4:17" s="62" customFormat="1" x14ac:dyDescent="0.3">
      <c r="D2658" s="235">
        <v>3</v>
      </c>
      <c r="E2658" s="237">
        <v>45</v>
      </c>
      <c r="F2658" s="238">
        <v>5</v>
      </c>
      <c r="G2658" s="239">
        <v>1.27</v>
      </c>
      <c r="H2658" s="239">
        <f t="shared" ref="H2658:H2664" si="3049">E2658*G2658</f>
        <v>57.15</v>
      </c>
      <c r="I2658" s="131">
        <f t="shared" ref="I2658:I2664" si="3050">IF($F2658=4.2,H2658*$B$23,0)</f>
        <v>0</v>
      </c>
      <c r="J2658" s="31">
        <f t="shared" ref="J2658:J2664" si="3051">IF($F2658=5,$H2658*$B$24,0)</f>
        <v>8.8010999999999999</v>
      </c>
      <c r="K2658" s="31">
        <f t="shared" ref="K2658:K2664" si="3052">IF($F2658=6.3,$H2658*$B$25,0)</f>
        <v>0</v>
      </c>
      <c r="L2658" s="31">
        <f t="shared" ref="L2658:L2664" si="3053">IF($F2658=8,$H2658*$B$26,0)</f>
        <v>0</v>
      </c>
      <c r="M2658" s="31">
        <f t="shared" ref="M2658:M2664" si="3054">IF($F2658=10,$H2658*$B$27,0)</f>
        <v>0</v>
      </c>
      <c r="N2658" s="31">
        <f t="shared" ref="N2658:N2664" si="3055">IF($F2658=12.5,$H2658*$B$28,0)</f>
        <v>0</v>
      </c>
      <c r="O2658" s="31">
        <f t="shared" ref="O2658:O2664" si="3056">IF($F2658=16,$H2658*$B$29,0)</f>
        <v>0</v>
      </c>
      <c r="P2658" s="31">
        <f t="shared" ref="P2658:P2664" si="3057">IF($F2658=20,$H2658*$B$30,0)</f>
        <v>0</v>
      </c>
      <c r="Q2658" s="49">
        <f t="shared" ref="Q2658:Q2664" si="3058">IF($F2658=25,$H2658*$B$31,0)</f>
        <v>0</v>
      </c>
    </row>
    <row r="2659" spans="4:17" s="62" customFormat="1" x14ac:dyDescent="0.3">
      <c r="D2659" s="235">
        <v>6</v>
      </c>
      <c r="E2659" s="240">
        <v>1</v>
      </c>
      <c r="F2659" s="241">
        <v>6.3</v>
      </c>
      <c r="G2659" s="242">
        <v>0.86</v>
      </c>
      <c r="H2659" s="239">
        <f t="shared" si="3049"/>
        <v>0.86</v>
      </c>
      <c r="I2659" s="131">
        <f t="shared" si="3050"/>
        <v>0</v>
      </c>
      <c r="J2659" s="31">
        <f t="shared" si="3051"/>
        <v>0</v>
      </c>
      <c r="K2659" s="31">
        <f t="shared" si="3052"/>
        <v>0.2107</v>
      </c>
      <c r="L2659" s="31">
        <f t="shared" si="3053"/>
        <v>0</v>
      </c>
      <c r="M2659" s="31">
        <f t="shared" si="3054"/>
        <v>0</v>
      </c>
      <c r="N2659" s="31">
        <f t="shared" si="3055"/>
        <v>0</v>
      </c>
      <c r="O2659" s="31">
        <f t="shared" si="3056"/>
        <v>0</v>
      </c>
      <c r="P2659" s="31">
        <f t="shared" si="3057"/>
        <v>0</v>
      </c>
      <c r="Q2659" s="49">
        <f t="shared" si="3058"/>
        <v>0</v>
      </c>
    </row>
    <row r="2660" spans="4:17" s="62" customFormat="1" x14ac:dyDescent="0.3">
      <c r="D2660" s="235">
        <v>12</v>
      </c>
      <c r="E2660" s="240">
        <v>2</v>
      </c>
      <c r="F2660" s="241">
        <v>8</v>
      </c>
      <c r="G2660" s="242">
        <v>2.25</v>
      </c>
      <c r="H2660" s="239">
        <f t="shared" si="3049"/>
        <v>4.5</v>
      </c>
      <c r="I2660" s="131">
        <f t="shared" si="3050"/>
        <v>0</v>
      </c>
      <c r="J2660" s="31">
        <f t="shared" si="3051"/>
        <v>0</v>
      </c>
      <c r="K2660" s="31">
        <f t="shared" si="3052"/>
        <v>0</v>
      </c>
      <c r="L2660" s="31">
        <f t="shared" si="3053"/>
        <v>1.7775000000000001</v>
      </c>
      <c r="M2660" s="31">
        <f t="shared" si="3054"/>
        <v>0</v>
      </c>
      <c r="N2660" s="31">
        <f t="shared" si="3055"/>
        <v>0</v>
      </c>
      <c r="O2660" s="31">
        <f t="shared" si="3056"/>
        <v>0</v>
      </c>
      <c r="P2660" s="31">
        <f t="shared" si="3057"/>
        <v>0</v>
      </c>
      <c r="Q2660" s="49">
        <f t="shared" si="3058"/>
        <v>0</v>
      </c>
    </row>
    <row r="2661" spans="4:17" s="62" customFormat="1" x14ac:dyDescent="0.3">
      <c r="D2661" s="235">
        <v>13</v>
      </c>
      <c r="E2661" s="240">
        <v>4</v>
      </c>
      <c r="F2661" s="241">
        <v>8</v>
      </c>
      <c r="G2661" s="242">
        <v>8.8000000000000007</v>
      </c>
      <c r="H2661" s="239">
        <f t="shared" si="3049"/>
        <v>35.200000000000003</v>
      </c>
      <c r="I2661" s="131">
        <f t="shared" si="3050"/>
        <v>0</v>
      </c>
      <c r="J2661" s="31">
        <f t="shared" si="3051"/>
        <v>0</v>
      </c>
      <c r="K2661" s="31">
        <f t="shared" si="3052"/>
        <v>0</v>
      </c>
      <c r="L2661" s="31">
        <f t="shared" si="3053"/>
        <v>13.904000000000002</v>
      </c>
      <c r="M2661" s="31">
        <f t="shared" si="3054"/>
        <v>0</v>
      </c>
      <c r="N2661" s="31">
        <f t="shared" si="3055"/>
        <v>0</v>
      </c>
      <c r="O2661" s="31">
        <f t="shared" si="3056"/>
        <v>0</v>
      </c>
      <c r="P2661" s="31">
        <f t="shared" si="3057"/>
        <v>0</v>
      </c>
      <c r="Q2661" s="49">
        <f t="shared" si="3058"/>
        <v>0</v>
      </c>
    </row>
    <row r="2662" spans="4:17" s="62" customFormat="1" x14ac:dyDescent="0.3">
      <c r="D2662" s="235">
        <v>41</v>
      </c>
      <c r="E2662" s="240">
        <v>1</v>
      </c>
      <c r="F2662" s="241">
        <v>10</v>
      </c>
      <c r="G2662" s="242">
        <v>2.6</v>
      </c>
      <c r="H2662" s="239">
        <f t="shared" si="3049"/>
        <v>2.6</v>
      </c>
      <c r="I2662" s="131">
        <f t="shared" si="3050"/>
        <v>0</v>
      </c>
      <c r="J2662" s="31">
        <f t="shared" si="3051"/>
        <v>0</v>
      </c>
      <c r="K2662" s="31">
        <f t="shared" si="3052"/>
        <v>0</v>
      </c>
      <c r="L2662" s="31">
        <f t="shared" si="3053"/>
        <v>0</v>
      </c>
      <c r="M2662" s="31">
        <f t="shared" si="3054"/>
        <v>1.6042000000000001</v>
      </c>
      <c r="N2662" s="31">
        <f t="shared" si="3055"/>
        <v>0</v>
      </c>
      <c r="O2662" s="31">
        <f t="shared" si="3056"/>
        <v>0</v>
      </c>
      <c r="P2662" s="31">
        <f t="shared" si="3057"/>
        <v>0</v>
      </c>
      <c r="Q2662" s="49">
        <f t="shared" si="3058"/>
        <v>0</v>
      </c>
    </row>
    <row r="2663" spans="4:17" s="62" customFormat="1" x14ac:dyDescent="0.3">
      <c r="D2663" s="235">
        <v>42</v>
      </c>
      <c r="E2663" s="240">
        <v>1</v>
      </c>
      <c r="F2663" s="241">
        <v>10</v>
      </c>
      <c r="G2663" s="242">
        <v>4.22</v>
      </c>
      <c r="H2663" s="239">
        <f t="shared" si="3049"/>
        <v>4.22</v>
      </c>
      <c r="I2663" s="131">
        <f t="shared" si="3050"/>
        <v>0</v>
      </c>
      <c r="J2663" s="31">
        <f t="shared" si="3051"/>
        <v>0</v>
      </c>
      <c r="K2663" s="31">
        <f t="shared" si="3052"/>
        <v>0</v>
      </c>
      <c r="L2663" s="31">
        <f t="shared" si="3053"/>
        <v>0</v>
      </c>
      <c r="M2663" s="31">
        <f t="shared" si="3054"/>
        <v>2.6037399999999997</v>
      </c>
      <c r="N2663" s="31">
        <f t="shared" si="3055"/>
        <v>0</v>
      </c>
      <c r="O2663" s="31">
        <f t="shared" si="3056"/>
        <v>0</v>
      </c>
      <c r="P2663" s="31">
        <f t="shared" si="3057"/>
        <v>0</v>
      </c>
      <c r="Q2663" s="49">
        <f t="shared" si="3058"/>
        <v>0</v>
      </c>
    </row>
    <row r="2664" spans="4:17" s="62" customFormat="1" x14ac:dyDescent="0.3">
      <c r="D2664" s="235">
        <v>43</v>
      </c>
      <c r="E2664" s="240">
        <v>3</v>
      </c>
      <c r="F2664" s="241">
        <v>10</v>
      </c>
      <c r="G2664" s="242">
        <v>8.42</v>
      </c>
      <c r="H2664" s="239">
        <f t="shared" si="3049"/>
        <v>25.259999999999998</v>
      </c>
      <c r="I2664" s="131">
        <f t="shared" si="3050"/>
        <v>0</v>
      </c>
      <c r="J2664" s="31">
        <f t="shared" si="3051"/>
        <v>0</v>
      </c>
      <c r="K2664" s="31">
        <f t="shared" si="3052"/>
        <v>0</v>
      </c>
      <c r="L2664" s="31">
        <f t="shared" si="3053"/>
        <v>0</v>
      </c>
      <c r="M2664" s="31">
        <f t="shared" si="3054"/>
        <v>15.585419999999999</v>
      </c>
      <c r="N2664" s="31">
        <f t="shared" si="3055"/>
        <v>0</v>
      </c>
      <c r="O2664" s="31">
        <f t="shared" si="3056"/>
        <v>0</v>
      </c>
      <c r="P2664" s="31">
        <f t="shared" si="3057"/>
        <v>0</v>
      </c>
      <c r="Q2664" s="49">
        <f t="shared" si="3058"/>
        <v>0</v>
      </c>
    </row>
    <row r="2665" spans="4:17" s="62" customFormat="1" ht="15" thickBot="1" x14ac:dyDescent="0.35">
      <c r="D2665" s="307"/>
      <c r="E2665" s="26"/>
      <c r="F2665" s="206"/>
      <c r="G2665" s="207"/>
      <c r="H2665" s="207"/>
      <c r="I2665" s="51"/>
      <c r="J2665" s="308"/>
      <c r="K2665" s="308"/>
      <c r="L2665" s="308"/>
      <c r="M2665" s="308"/>
      <c r="N2665" s="308"/>
      <c r="O2665" s="308"/>
      <c r="P2665" s="308"/>
      <c r="Q2665" s="309"/>
    </row>
    <row r="2666" spans="4:17" s="62" customFormat="1" x14ac:dyDescent="0.3">
      <c r="D2666" s="796" t="s">
        <v>1491</v>
      </c>
      <c r="E2666" s="797"/>
      <c r="F2666" s="797"/>
      <c r="G2666" s="797"/>
      <c r="H2666" s="797"/>
      <c r="I2666" s="47">
        <f t="shared" ref="I2666:Q2666" si="3059">SUM(I2667:I2669)</f>
        <v>0</v>
      </c>
      <c r="J2666" s="47">
        <f t="shared" si="3059"/>
        <v>6.1261200000000002</v>
      </c>
      <c r="K2666" s="47">
        <f t="shared" si="3059"/>
        <v>0</v>
      </c>
      <c r="L2666" s="47">
        <f t="shared" si="3059"/>
        <v>10.013249999999999</v>
      </c>
      <c r="M2666" s="47">
        <f t="shared" si="3059"/>
        <v>9.98306</v>
      </c>
      <c r="N2666" s="47">
        <f t="shared" si="3059"/>
        <v>0</v>
      </c>
      <c r="O2666" s="47">
        <f t="shared" si="3059"/>
        <v>0</v>
      </c>
      <c r="P2666" s="47">
        <f t="shared" si="3059"/>
        <v>0</v>
      </c>
      <c r="Q2666" s="47">
        <f t="shared" si="3059"/>
        <v>0</v>
      </c>
    </row>
    <row r="2667" spans="4:17" s="62" customFormat="1" x14ac:dyDescent="0.3">
      <c r="D2667" s="235">
        <v>2</v>
      </c>
      <c r="E2667" s="237">
        <v>34</v>
      </c>
      <c r="F2667" s="238">
        <v>5</v>
      </c>
      <c r="G2667" s="239">
        <v>1.17</v>
      </c>
      <c r="H2667" s="239">
        <f t="shared" ref="H2667:H2669" si="3060">E2667*G2667</f>
        <v>39.78</v>
      </c>
      <c r="I2667" s="131">
        <f t="shared" ref="I2667:I2669" si="3061">IF($F2667=4.2,H2667*$B$23,0)</f>
        <v>0</v>
      </c>
      <c r="J2667" s="31">
        <f t="shared" ref="J2667:J2669" si="3062">IF($F2667=5,$H2667*$B$24,0)</f>
        <v>6.1261200000000002</v>
      </c>
      <c r="K2667" s="31">
        <f t="shared" ref="K2667:K2669" si="3063">IF($F2667=6.3,$H2667*$B$25,0)</f>
        <v>0</v>
      </c>
      <c r="L2667" s="31">
        <f t="shared" ref="L2667:L2669" si="3064">IF($F2667=8,$H2667*$B$26,0)</f>
        <v>0</v>
      </c>
      <c r="M2667" s="31">
        <f t="shared" ref="M2667:M2669" si="3065">IF($F2667=10,$H2667*$B$27,0)</f>
        <v>0</v>
      </c>
      <c r="N2667" s="31">
        <f t="shared" ref="N2667:N2669" si="3066">IF($F2667=12.5,$H2667*$B$28,0)</f>
        <v>0</v>
      </c>
      <c r="O2667" s="31">
        <f t="shared" ref="O2667:O2669" si="3067">IF($F2667=16,$H2667*$B$29,0)</f>
        <v>0</v>
      </c>
      <c r="P2667" s="31">
        <f t="shared" ref="P2667:P2669" si="3068">IF($F2667=20,$H2667*$B$30,0)</f>
        <v>0</v>
      </c>
      <c r="Q2667" s="49">
        <f t="shared" ref="Q2667:Q2669" si="3069">IF($F2667=25,$H2667*$B$31,0)</f>
        <v>0</v>
      </c>
    </row>
    <row r="2668" spans="4:17" s="62" customFormat="1" x14ac:dyDescent="0.3">
      <c r="D2668" s="235">
        <v>14</v>
      </c>
      <c r="E2668" s="240">
        <v>3</v>
      </c>
      <c r="F2668" s="241">
        <v>8</v>
      </c>
      <c r="G2668" s="242">
        <v>8.4499999999999993</v>
      </c>
      <c r="H2668" s="239">
        <f t="shared" si="3060"/>
        <v>25.349999999999998</v>
      </c>
      <c r="I2668" s="131">
        <f t="shared" si="3061"/>
        <v>0</v>
      </c>
      <c r="J2668" s="31">
        <f t="shared" si="3062"/>
        <v>0</v>
      </c>
      <c r="K2668" s="31">
        <f t="shared" si="3063"/>
        <v>0</v>
      </c>
      <c r="L2668" s="31">
        <f t="shared" si="3064"/>
        <v>10.013249999999999</v>
      </c>
      <c r="M2668" s="31">
        <f t="shared" si="3065"/>
        <v>0</v>
      </c>
      <c r="N2668" s="31">
        <f t="shared" si="3066"/>
        <v>0</v>
      </c>
      <c r="O2668" s="31">
        <f t="shared" si="3067"/>
        <v>0</v>
      </c>
      <c r="P2668" s="31">
        <f t="shared" si="3068"/>
        <v>0</v>
      </c>
      <c r="Q2668" s="49">
        <f t="shared" si="3069"/>
        <v>0</v>
      </c>
    </row>
    <row r="2669" spans="4:17" s="62" customFormat="1" x14ac:dyDescent="0.3">
      <c r="D2669" s="235">
        <v>44</v>
      </c>
      <c r="E2669" s="240">
        <v>2</v>
      </c>
      <c r="F2669" s="241">
        <v>10</v>
      </c>
      <c r="G2669" s="242">
        <v>8.09</v>
      </c>
      <c r="H2669" s="239">
        <f t="shared" si="3060"/>
        <v>16.18</v>
      </c>
      <c r="I2669" s="131">
        <f t="shared" si="3061"/>
        <v>0</v>
      </c>
      <c r="J2669" s="31">
        <f t="shared" si="3062"/>
        <v>0</v>
      </c>
      <c r="K2669" s="31">
        <f t="shared" si="3063"/>
        <v>0</v>
      </c>
      <c r="L2669" s="31">
        <f t="shared" si="3064"/>
        <v>0</v>
      </c>
      <c r="M2669" s="31">
        <f t="shared" si="3065"/>
        <v>9.98306</v>
      </c>
      <c r="N2669" s="31">
        <f t="shared" si="3066"/>
        <v>0</v>
      </c>
      <c r="O2669" s="31">
        <f t="shared" si="3067"/>
        <v>0</v>
      </c>
      <c r="P2669" s="31">
        <f t="shared" si="3068"/>
        <v>0</v>
      </c>
      <c r="Q2669" s="49">
        <f t="shared" si="3069"/>
        <v>0</v>
      </c>
    </row>
    <row r="2670" spans="4:17" s="62" customFormat="1" ht="15" thickBot="1" x14ac:dyDescent="0.35">
      <c r="D2670" s="307"/>
      <c r="E2670" s="26"/>
      <c r="F2670" s="206"/>
      <c r="G2670" s="207"/>
      <c r="H2670" s="207"/>
      <c r="I2670" s="51"/>
      <c r="J2670" s="308"/>
      <c r="K2670" s="308"/>
      <c r="L2670" s="308"/>
      <c r="M2670" s="308"/>
      <c r="N2670" s="308"/>
      <c r="O2670" s="308"/>
      <c r="P2670" s="308"/>
      <c r="Q2670" s="309"/>
    </row>
    <row r="2671" spans="4:17" s="62" customFormat="1" x14ac:dyDescent="0.3">
      <c r="D2671" s="796" t="s">
        <v>1492</v>
      </c>
      <c r="E2671" s="797"/>
      <c r="F2671" s="797"/>
      <c r="G2671" s="797"/>
      <c r="H2671" s="797"/>
      <c r="I2671" s="47">
        <f t="shared" ref="I2671:Q2671" si="3070">SUM(I2672:I2674)</f>
        <v>0</v>
      </c>
      <c r="J2671" s="47">
        <f t="shared" si="3070"/>
        <v>4.8648599999999993</v>
      </c>
      <c r="K2671" s="47">
        <f t="shared" si="3070"/>
        <v>0</v>
      </c>
      <c r="L2671" s="47">
        <f t="shared" si="3070"/>
        <v>8.0579999999999998</v>
      </c>
      <c r="M2671" s="47">
        <f t="shared" si="3070"/>
        <v>7.7495200000000004</v>
      </c>
      <c r="N2671" s="47">
        <f t="shared" si="3070"/>
        <v>0</v>
      </c>
      <c r="O2671" s="47">
        <f t="shared" si="3070"/>
        <v>0</v>
      </c>
      <c r="P2671" s="47">
        <f t="shared" si="3070"/>
        <v>0</v>
      </c>
      <c r="Q2671" s="47">
        <f t="shared" si="3070"/>
        <v>0</v>
      </c>
    </row>
    <row r="2672" spans="4:17" s="62" customFormat="1" x14ac:dyDescent="0.3">
      <c r="D2672" s="235">
        <v>2</v>
      </c>
      <c r="E2672" s="237">
        <v>27</v>
      </c>
      <c r="F2672" s="238">
        <v>5</v>
      </c>
      <c r="G2672" s="239">
        <v>1.17</v>
      </c>
      <c r="H2672" s="239">
        <f t="shared" ref="H2672:H2674" si="3071">E2672*G2672</f>
        <v>31.589999999999996</v>
      </c>
      <c r="I2672" s="131">
        <f t="shared" ref="I2672:I2674" si="3072">IF($F2672=4.2,H2672*$B$23,0)</f>
        <v>0</v>
      </c>
      <c r="J2672" s="31">
        <f t="shared" ref="J2672:J2674" si="3073">IF($F2672=5,$H2672*$B$24,0)</f>
        <v>4.8648599999999993</v>
      </c>
      <c r="K2672" s="31">
        <f t="shared" ref="K2672:K2674" si="3074">IF($F2672=6.3,$H2672*$B$25,0)</f>
        <v>0</v>
      </c>
      <c r="L2672" s="31">
        <f t="shared" ref="L2672:L2674" si="3075">IF($F2672=8,$H2672*$B$26,0)</f>
        <v>0</v>
      </c>
      <c r="M2672" s="31">
        <f t="shared" ref="M2672:M2674" si="3076">IF($F2672=10,$H2672*$B$27,0)</f>
        <v>0</v>
      </c>
      <c r="N2672" s="31">
        <f t="shared" ref="N2672:N2674" si="3077">IF($F2672=12.5,$H2672*$B$28,0)</f>
        <v>0</v>
      </c>
      <c r="O2672" s="31">
        <f t="shared" ref="O2672:O2674" si="3078">IF($F2672=16,$H2672*$B$29,0)</f>
        <v>0</v>
      </c>
      <c r="P2672" s="31">
        <f t="shared" ref="P2672:P2674" si="3079">IF($F2672=20,$H2672*$B$30,0)</f>
        <v>0</v>
      </c>
      <c r="Q2672" s="49">
        <f t="shared" ref="Q2672:Q2674" si="3080">IF($F2672=25,$H2672*$B$31,0)</f>
        <v>0</v>
      </c>
    </row>
    <row r="2673" spans="4:17" s="62" customFormat="1" x14ac:dyDescent="0.3">
      <c r="D2673" s="235">
        <v>15</v>
      </c>
      <c r="E2673" s="240">
        <v>3</v>
      </c>
      <c r="F2673" s="241">
        <v>8</v>
      </c>
      <c r="G2673" s="242">
        <v>6.8</v>
      </c>
      <c r="H2673" s="239">
        <f t="shared" si="3071"/>
        <v>20.399999999999999</v>
      </c>
      <c r="I2673" s="131">
        <f t="shared" si="3072"/>
        <v>0</v>
      </c>
      <c r="J2673" s="31">
        <f t="shared" si="3073"/>
        <v>0</v>
      </c>
      <c r="K2673" s="31">
        <f t="shared" si="3074"/>
        <v>0</v>
      </c>
      <c r="L2673" s="31">
        <f t="shared" si="3075"/>
        <v>8.0579999999999998</v>
      </c>
      <c r="M2673" s="31">
        <f t="shared" si="3076"/>
        <v>0</v>
      </c>
      <c r="N2673" s="31">
        <f t="shared" si="3077"/>
        <v>0</v>
      </c>
      <c r="O2673" s="31">
        <f t="shared" si="3078"/>
        <v>0</v>
      </c>
      <c r="P2673" s="31">
        <f t="shared" si="3079"/>
        <v>0</v>
      </c>
      <c r="Q2673" s="49">
        <f t="shared" si="3080"/>
        <v>0</v>
      </c>
    </row>
    <row r="2674" spans="4:17" s="62" customFormat="1" x14ac:dyDescent="0.3">
      <c r="D2674" s="235">
        <v>45</v>
      </c>
      <c r="E2674" s="240">
        <v>2</v>
      </c>
      <c r="F2674" s="241">
        <v>10</v>
      </c>
      <c r="G2674" s="242">
        <v>6.28</v>
      </c>
      <c r="H2674" s="239">
        <f t="shared" si="3071"/>
        <v>12.56</v>
      </c>
      <c r="I2674" s="131">
        <f t="shared" si="3072"/>
        <v>0</v>
      </c>
      <c r="J2674" s="31">
        <f t="shared" si="3073"/>
        <v>0</v>
      </c>
      <c r="K2674" s="31">
        <f t="shared" si="3074"/>
        <v>0</v>
      </c>
      <c r="L2674" s="31">
        <f t="shared" si="3075"/>
        <v>0</v>
      </c>
      <c r="M2674" s="31">
        <f t="shared" si="3076"/>
        <v>7.7495200000000004</v>
      </c>
      <c r="N2674" s="31">
        <f t="shared" si="3077"/>
        <v>0</v>
      </c>
      <c r="O2674" s="31">
        <f t="shared" si="3078"/>
        <v>0</v>
      </c>
      <c r="P2674" s="31">
        <f t="shared" si="3079"/>
        <v>0</v>
      </c>
      <c r="Q2674" s="49">
        <f t="shared" si="3080"/>
        <v>0</v>
      </c>
    </row>
    <row r="2675" spans="4:17" s="62" customFormat="1" ht="15" thickBot="1" x14ac:dyDescent="0.35">
      <c r="D2675" s="307"/>
      <c r="E2675" s="26"/>
      <c r="F2675" s="206"/>
      <c r="G2675" s="207"/>
      <c r="H2675" s="207"/>
      <c r="I2675" s="51"/>
      <c r="J2675" s="308"/>
      <c r="K2675" s="308"/>
      <c r="L2675" s="308"/>
      <c r="M2675" s="308"/>
      <c r="N2675" s="308"/>
      <c r="O2675" s="308"/>
      <c r="P2675" s="308"/>
      <c r="Q2675" s="309"/>
    </row>
    <row r="2676" spans="4:17" s="62" customFormat="1" x14ac:dyDescent="0.3">
      <c r="D2676" s="796" t="s">
        <v>1493</v>
      </c>
      <c r="E2676" s="797"/>
      <c r="F2676" s="797"/>
      <c r="G2676" s="797"/>
      <c r="H2676" s="797"/>
      <c r="I2676" s="47">
        <f t="shared" ref="I2676:Q2676" si="3081">SUM(I2677:I2679)</f>
        <v>0</v>
      </c>
      <c r="J2676" s="47">
        <f t="shared" si="3081"/>
        <v>7.7477399999999994</v>
      </c>
      <c r="K2676" s="47">
        <f t="shared" si="3081"/>
        <v>0</v>
      </c>
      <c r="L2676" s="47">
        <f t="shared" si="3081"/>
        <v>12.47805</v>
      </c>
      <c r="M2676" s="47">
        <f t="shared" si="3081"/>
        <v>12.475739999999998</v>
      </c>
      <c r="N2676" s="47">
        <f t="shared" si="3081"/>
        <v>0</v>
      </c>
      <c r="O2676" s="47">
        <f t="shared" si="3081"/>
        <v>0</v>
      </c>
      <c r="P2676" s="47">
        <f t="shared" si="3081"/>
        <v>0</v>
      </c>
      <c r="Q2676" s="47">
        <f t="shared" si="3081"/>
        <v>0</v>
      </c>
    </row>
    <row r="2677" spans="4:17" s="62" customFormat="1" x14ac:dyDescent="0.3">
      <c r="D2677" s="235">
        <v>2</v>
      </c>
      <c r="E2677" s="237">
        <v>43</v>
      </c>
      <c r="F2677" s="238">
        <v>5</v>
      </c>
      <c r="G2677" s="239">
        <v>1.17</v>
      </c>
      <c r="H2677" s="239">
        <f t="shared" ref="H2677:H2679" si="3082">E2677*G2677</f>
        <v>50.309999999999995</v>
      </c>
      <c r="I2677" s="131">
        <f t="shared" ref="I2677:I2679" si="3083">IF($F2677=4.2,H2677*$B$23,0)</f>
        <v>0</v>
      </c>
      <c r="J2677" s="31">
        <f t="shared" ref="J2677:J2679" si="3084">IF($F2677=5,$H2677*$B$24,0)</f>
        <v>7.7477399999999994</v>
      </c>
      <c r="K2677" s="31">
        <f t="shared" ref="K2677:K2679" si="3085">IF($F2677=6.3,$H2677*$B$25,0)</f>
        <v>0</v>
      </c>
      <c r="L2677" s="31">
        <f t="shared" ref="L2677:L2679" si="3086">IF($F2677=8,$H2677*$B$26,0)</f>
        <v>0</v>
      </c>
      <c r="M2677" s="31">
        <f t="shared" ref="M2677:M2679" si="3087">IF($F2677=10,$H2677*$B$27,0)</f>
        <v>0</v>
      </c>
      <c r="N2677" s="31">
        <f t="shared" ref="N2677:N2679" si="3088">IF($F2677=12.5,$H2677*$B$28,0)</f>
        <v>0</v>
      </c>
      <c r="O2677" s="31">
        <f t="shared" ref="O2677:O2679" si="3089">IF($F2677=16,$H2677*$B$29,0)</f>
        <v>0</v>
      </c>
      <c r="P2677" s="31">
        <f t="shared" ref="P2677:P2679" si="3090">IF($F2677=20,$H2677*$B$30,0)</f>
        <v>0</v>
      </c>
      <c r="Q2677" s="49">
        <f t="shared" ref="Q2677:Q2679" si="3091">IF($F2677=25,$H2677*$B$31,0)</f>
        <v>0</v>
      </c>
    </row>
    <row r="2678" spans="4:17" s="62" customFormat="1" x14ac:dyDescent="0.3">
      <c r="D2678" s="235">
        <v>16</v>
      </c>
      <c r="E2678" s="240">
        <v>3</v>
      </c>
      <c r="F2678" s="241">
        <v>8</v>
      </c>
      <c r="G2678" s="242">
        <v>10.53</v>
      </c>
      <c r="H2678" s="239">
        <f t="shared" si="3082"/>
        <v>31.589999999999996</v>
      </c>
      <c r="I2678" s="131">
        <f t="shared" si="3083"/>
        <v>0</v>
      </c>
      <c r="J2678" s="31">
        <f t="shared" si="3084"/>
        <v>0</v>
      </c>
      <c r="K2678" s="31">
        <f t="shared" si="3085"/>
        <v>0</v>
      </c>
      <c r="L2678" s="31">
        <f t="shared" si="3086"/>
        <v>12.47805</v>
      </c>
      <c r="M2678" s="31">
        <f t="shared" si="3087"/>
        <v>0</v>
      </c>
      <c r="N2678" s="31">
        <f t="shared" si="3088"/>
        <v>0</v>
      </c>
      <c r="O2678" s="31">
        <f t="shared" si="3089"/>
        <v>0</v>
      </c>
      <c r="P2678" s="31">
        <f t="shared" si="3090"/>
        <v>0</v>
      </c>
      <c r="Q2678" s="49">
        <f t="shared" si="3091"/>
        <v>0</v>
      </c>
    </row>
    <row r="2679" spans="4:17" s="62" customFormat="1" x14ac:dyDescent="0.3">
      <c r="D2679" s="235">
        <v>46</v>
      </c>
      <c r="E2679" s="240">
        <v>2</v>
      </c>
      <c r="F2679" s="241">
        <v>10</v>
      </c>
      <c r="G2679" s="242">
        <v>10.11</v>
      </c>
      <c r="H2679" s="239">
        <f t="shared" si="3082"/>
        <v>20.22</v>
      </c>
      <c r="I2679" s="131">
        <f t="shared" si="3083"/>
        <v>0</v>
      </c>
      <c r="J2679" s="31">
        <f t="shared" si="3084"/>
        <v>0</v>
      </c>
      <c r="K2679" s="31">
        <f t="shared" si="3085"/>
        <v>0</v>
      </c>
      <c r="L2679" s="31">
        <f t="shared" si="3086"/>
        <v>0</v>
      </c>
      <c r="M2679" s="31">
        <f t="shared" si="3087"/>
        <v>12.475739999999998</v>
      </c>
      <c r="N2679" s="31">
        <f t="shared" si="3088"/>
        <v>0</v>
      </c>
      <c r="O2679" s="31">
        <f t="shared" si="3089"/>
        <v>0</v>
      </c>
      <c r="P2679" s="31">
        <f t="shared" si="3090"/>
        <v>0</v>
      </c>
      <c r="Q2679" s="49">
        <f t="shared" si="3091"/>
        <v>0</v>
      </c>
    </row>
    <row r="2680" spans="4:17" s="62" customFormat="1" ht="15" thickBot="1" x14ac:dyDescent="0.35">
      <c r="D2680" s="307"/>
      <c r="E2680" s="26"/>
      <c r="F2680" s="206"/>
      <c r="G2680" s="207"/>
      <c r="H2680" s="207"/>
      <c r="I2680" s="51"/>
      <c r="J2680" s="308"/>
      <c r="K2680" s="308"/>
      <c r="L2680" s="308"/>
      <c r="M2680" s="308"/>
      <c r="N2680" s="308"/>
      <c r="O2680" s="308"/>
      <c r="P2680" s="308"/>
      <c r="Q2680" s="309"/>
    </row>
    <row r="2681" spans="4:17" s="62" customFormat="1" x14ac:dyDescent="0.3">
      <c r="D2681" s="796" t="s">
        <v>1494</v>
      </c>
      <c r="E2681" s="797"/>
      <c r="F2681" s="797"/>
      <c r="G2681" s="797"/>
      <c r="H2681" s="797"/>
      <c r="I2681" s="47">
        <f t="shared" ref="I2681:Q2681" si="3092">SUM(I2682:I2685)</f>
        <v>0</v>
      </c>
      <c r="J2681" s="47">
        <f t="shared" si="3092"/>
        <v>1.4414399999999998</v>
      </c>
      <c r="K2681" s="47">
        <f t="shared" si="3092"/>
        <v>0</v>
      </c>
      <c r="L2681" s="47">
        <f t="shared" si="3092"/>
        <v>0</v>
      </c>
      <c r="M2681" s="47">
        <f t="shared" si="3092"/>
        <v>4.2079399999999998</v>
      </c>
      <c r="N2681" s="47">
        <f t="shared" si="3092"/>
        <v>0</v>
      </c>
      <c r="O2681" s="47">
        <f t="shared" si="3092"/>
        <v>12.008580000000002</v>
      </c>
      <c r="P2681" s="47">
        <f t="shared" si="3092"/>
        <v>0</v>
      </c>
      <c r="Q2681" s="47">
        <f t="shared" si="3092"/>
        <v>0</v>
      </c>
    </row>
    <row r="2682" spans="4:17" s="62" customFormat="1" x14ac:dyDescent="0.3">
      <c r="D2682" s="235">
        <v>2</v>
      </c>
      <c r="E2682" s="237">
        <v>8</v>
      </c>
      <c r="F2682" s="238">
        <v>5</v>
      </c>
      <c r="G2682" s="239">
        <v>1.17</v>
      </c>
      <c r="H2682" s="239">
        <f t="shared" ref="H2682:H2685" si="3093">E2682*G2682</f>
        <v>9.36</v>
      </c>
      <c r="I2682" s="131">
        <f t="shared" ref="I2682:I2685" si="3094">IF($F2682=4.2,H2682*$B$23,0)</f>
        <v>0</v>
      </c>
      <c r="J2682" s="31">
        <f t="shared" ref="J2682:J2685" si="3095">IF($F2682=5,$H2682*$B$24,0)</f>
        <v>1.4414399999999998</v>
      </c>
      <c r="K2682" s="31">
        <f t="shared" ref="K2682:K2685" si="3096">IF($F2682=6.3,$H2682*$B$25,0)</f>
        <v>0</v>
      </c>
      <c r="L2682" s="31">
        <f t="shared" ref="L2682:L2685" si="3097">IF($F2682=8,$H2682*$B$26,0)</f>
        <v>0</v>
      </c>
      <c r="M2682" s="31">
        <f t="shared" ref="M2682:M2685" si="3098">IF($F2682=10,$H2682*$B$27,0)</f>
        <v>0</v>
      </c>
      <c r="N2682" s="31">
        <f t="shared" ref="N2682:N2685" si="3099">IF($F2682=12.5,$H2682*$B$28,0)</f>
        <v>0</v>
      </c>
      <c r="O2682" s="31">
        <f t="shared" ref="O2682:O2685" si="3100">IF($F2682=16,$H2682*$B$29,0)</f>
        <v>0</v>
      </c>
      <c r="P2682" s="31">
        <f t="shared" ref="P2682:P2685" si="3101">IF($F2682=20,$H2682*$B$30,0)</f>
        <v>0</v>
      </c>
      <c r="Q2682" s="49">
        <f t="shared" ref="Q2682:Q2685" si="3102">IF($F2682=25,$H2682*$B$31,0)</f>
        <v>0</v>
      </c>
    </row>
    <row r="2683" spans="4:17" s="62" customFormat="1" x14ac:dyDescent="0.3">
      <c r="D2683" s="235">
        <v>47</v>
      </c>
      <c r="E2683" s="240">
        <v>2</v>
      </c>
      <c r="F2683" s="241">
        <v>10</v>
      </c>
      <c r="G2683" s="242">
        <v>3.41</v>
      </c>
      <c r="H2683" s="239">
        <f t="shared" si="3093"/>
        <v>6.82</v>
      </c>
      <c r="I2683" s="131">
        <f t="shared" si="3094"/>
        <v>0</v>
      </c>
      <c r="J2683" s="31">
        <f t="shared" si="3095"/>
        <v>0</v>
      </c>
      <c r="K2683" s="31">
        <f t="shared" si="3096"/>
        <v>0</v>
      </c>
      <c r="L2683" s="31">
        <f t="shared" si="3097"/>
        <v>0</v>
      </c>
      <c r="M2683" s="31">
        <f t="shared" si="3098"/>
        <v>4.2079399999999998</v>
      </c>
      <c r="N2683" s="31">
        <f t="shared" si="3099"/>
        <v>0</v>
      </c>
      <c r="O2683" s="31">
        <f t="shared" si="3100"/>
        <v>0</v>
      </c>
      <c r="P2683" s="31">
        <f t="shared" si="3101"/>
        <v>0</v>
      </c>
      <c r="Q2683" s="49">
        <f t="shared" si="3102"/>
        <v>0</v>
      </c>
    </row>
    <row r="2684" spans="4:17" s="62" customFormat="1" x14ac:dyDescent="0.3">
      <c r="D2684" s="235">
        <v>72</v>
      </c>
      <c r="E2684" s="240">
        <v>1</v>
      </c>
      <c r="F2684" s="241">
        <v>16</v>
      </c>
      <c r="G2684" s="242">
        <v>1.83</v>
      </c>
      <c r="H2684" s="239">
        <f t="shared" si="3093"/>
        <v>1.83</v>
      </c>
      <c r="I2684" s="131">
        <f t="shared" si="3094"/>
        <v>0</v>
      </c>
      <c r="J2684" s="31">
        <f t="shared" si="3095"/>
        <v>0</v>
      </c>
      <c r="K2684" s="31">
        <f t="shared" si="3096"/>
        <v>0</v>
      </c>
      <c r="L2684" s="31">
        <f t="shared" si="3097"/>
        <v>0</v>
      </c>
      <c r="M2684" s="31">
        <f t="shared" si="3098"/>
        <v>0</v>
      </c>
      <c r="N2684" s="31">
        <f t="shared" si="3099"/>
        <v>0</v>
      </c>
      <c r="O2684" s="31">
        <f t="shared" si="3100"/>
        <v>2.8877400000000004</v>
      </c>
      <c r="P2684" s="31">
        <f t="shared" si="3101"/>
        <v>0</v>
      </c>
      <c r="Q2684" s="49">
        <f t="shared" si="3102"/>
        <v>0</v>
      </c>
    </row>
    <row r="2685" spans="4:17" s="62" customFormat="1" x14ac:dyDescent="0.3">
      <c r="D2685" s="235">
        <v>73</v>
      </c>
      <c r="E2685" s="240">
        <v>2</v>
      </c>
      <c r="F2685" s="241">
        <v>16</v>
      </c>
      <c r="G2685" s="242">
        <v>2.89</v>
      </c>
      <c r="H2685" s="239">
        <f t="shared" si="3093"/>
        <v>5.78</v>
      </c>
      <c r="I2685" s="131">
        <f t="shared" si="3094"/>
        <v>0</v>
      </c>
      <c r="J2685" s="31">
        <f t="shared" si="3095"/>
        <v>0</v>
      </c>
      <c r="K2685" s="31">
        <f t="shared" si="3096"/>
        <v>0</v>
      </c>
      <c r="L2685" s="31">
        <f t="shared" si="3097"/>
        <v>0</v>
      </c>
      <c r="M2685" s="31">
        <f t="shared" si="3098"/>
        <v>0</v>
      </c>
      <c r="N2685" s="31">
        <f t="shared" si="3099"/>
        <v>0</v>
      </c>
      <c r="O2685" s="31">
        <f t="shared" si="3100"/>
        <v>9.1208400000000012</v>
      </c>
      <c r="P2685" s="31">
        <f t="shared" si="3101"/>
        <v>0</v>
      </c>
      <c r="Q2685" s="49">
        <f t="shared" si="3102"/>
        <v>0</v>
      </c>
    </row>
    <row r="2686" spans="4:17" s="62" customFormat="1" ht="15" thickBot="1" x14ac:dyDescent="0.35">
      <c r="D2686" s="307"/>
      <c r="E2686" s="26"/>
      <c r="F2686" s="206"/>
      <c r="G2686" s="207"/>
      <c r="H2686" s="207"/>
      <c r="I2686" s="51"/>
      <c r="J2686" s="308"/>
      <c r="K2686" s="308"/>
      <c r="L2686" s="308"/>
      <c r="M2686" s="308"/>
      <c r="N2686" s="308"/>
      <c r="O2686" s="308"/>
      <c r="P2686" s="308"/>
      <c r="Q2686" s="309"/>
    </row>
    <row r="2687" spans="4:17" s="62" customFormat="1" x14ac:dyDescent="0.3">
      <c r="D2687" s="796" t="s">
        <v>1495</v>
      </c>
      <c r="E2687" s="797"/>
      <c r="F2687" s="797"/>
      <c r="G2687" s="797"/>
      <c r="H2687" s="797"/>
      <c r="I2687" s="47">
        <f t="shared" ref="I2687:Q2687" si="3103">SUM(I2688:I2692)</f>
        <v>0</v>
      </c>
      <c r="J2687" s="47">
        <f t="shared" si="3103"/>
        <v>4.3243199999999993</v>
      </c>
      <c r="K2687" s="47">
        <f t="shared" si="3103"/>
        <v>0</v>
      </c>
      <c r="L2687" s="47">
        <f t="shared" si="3103"/>
        <v>0</v>
      </c>
      <c r="M2687" s="47">
        <f t="shared" si="3103"/>
        <v>13.8825</v>
      </c>
      <c r="N2687" s="47">
        <f t="shared" si="3103"/>
        <v>0</v>
      </c>
      <c r="O2687" s="47">
        <f t="shared" si="3103"/>
        <v>21.350339999999999</v>
      </c>
      <c r="P2687" s="47">
        <f t="shared" si="3103"/>
        <v>0</v>
      </c>
      <c r="Q2687" s="47">
        <f t="shared" si="3103"/>
        <v>0</v>
      </c>
    </row>
    <row r="2688" spans="4:17" s="62" customFormat="1" x14ac:dyDescent="0.3">
      <c r="D2688" s="235">
        <v>2</v>
      </c>
      <c r="E2688" s="237">
        <v>24</v>
      </c>
      <c r="F2688" s="238">
        <v>5</v>
      </c>
      <c r="G2688" s="239">
        <v>1.17</v>
      </c>
      <c r="H2688" s="239">
        <f t="shared" ref="H2688:H2692" si="3104">E2688*G2688</f>
        <v>28.08</v>
      </c>
      <c r="I2688" s="131">
        <f t="shared" ref="I2688:I2692" si="3105">IF($F2688=4.2,H2688*$B$23,0)</f>
        <v>0</v>
      </c>
      <c r="J2688" s="31">
        <f t="shared" ref="J2688:J2692" si="3106">IF($F2688=5,$H2688*$B$24,0)</f>
        <v>4.3243199999999993</v>
      </c>
      <c r="K2688" s="31">
        <f t="shared" ref="K2688:K2692" si="3107">IF($F2688=6.3,$H2688*$B$25,0)</f>
        <v>0</v>
      </c>
      <c r="L2688" s="31">
        <f t="shared" ref="L2688:L2692" si="3108">IF($F2688=8,$H2688*$B$26,0)</f>
        <v>0</v>
      </c>
      <c r="M2688" s="31">
        <f t="shared" ref="M2688:M2692" si="3109">IF($F2688=10,$H2688*$B$27,0)</f>
        <v>0</v>
      </c>
      <c r="N2688" s="31">
        <f t="shared" ref="N2688:N2692" si="3110">IF($F2688=12.5,$H2688*$B$28,0)</f>
        <v>0</v>
      </c>
      <c r="O2688" s="31">
        <f t="shared" ref="O2688:O2692" si="3111">IF($F2688=16,$H2688*$B$29,0)</f>
        <v>0</v>
      </c>
      <c r="P2688" s="31">
        <f t="shared" ref="P2688:P2692" si="3112">IF($F2688=20,$H2688*$B$30,0)</f>
        <v>0</v>
      </c>
      <c r="Q2688" s="49">
        <f t="shared" ref="Q2688:Q2692" si="3113">IF($F2688=25,$H2688*$B$31,0)</f>
        <v>0</v>
      </c>
    </row>
    <row r="2689" spans="4:17" s="62" customFormat="1" x14ac:dyDescent="0.3">
      <c r="D2689" s="235">
        <v>48</v>
      </c>
      <c r="E2689" s="240">
        <v>2</v>
      </c>
      <c r="F2689" s="241">
        <v>10</v>
      </c>
      <c r="G2689" s="242">
        <v>5.59</v>
      </c>
      <c r="H2689" s="239">
        <f t="shared" si="3104"/>
        <v>11.18</v>
      </c>
      <c r="I2689" s="131">
        <f t="shared" si="3105"/>
        <v>0</v>
      </c>
      <c r="J2689" s="31">
        <f t="shared" si="3106"/>
        <v>0</v>
      </c>
      <c r="K2689" s="31">
        <f t="shared" si="3107"/>
        <v>0</v>
      </c>
      <c r="L2689" s="31">
        <f t="shared" si="3108"/>
        <v>0</v>
      </c>
      <c r="M2689" s="31">
        <f t="shared" si="3109"/>
        <v>6.8980600000000001</v>
      </c>
      <c r="N2689" s="31">
        <f t="shared" si="3110"/>
        <v>0</v>
      </c>
      <c r="O2689" s="31">
        <f t="shared" si="3111"/>
        <v>0</v>
      </c>
      <c r="P2689" s="31">
        <f t="shared" si="3112"/>
        <v>0</v>
      </c>
      <c r="Q2689" s="49">
        <f t="shared" si="3113"/>
        <v>0</v>
      </c>
    </row>
    <row r="2690" spans="4:17" s="62" customFormat="1" x14ac:dyDescent="0.3">
      <c r="D2690" s="235">
        <v>49</v>
      </c>
      <c r="E2690" s="240">
        <v>2</v>
      </c>
      <c r="F2690" s="241">
        <v>10</v>
      </c>
      <c r="G2690" s="242">
        <v>5.66</v>
      </c>
      <c r="H2690" s="239">
        <f t="shared" si="3104"/>
        <v>11.32</v>
      </c>
      <c r="I2690" s="131">
        <f t="shared" si="3105"/>
        <v>0</v>
      </c>
      <c r="J2690" s="31">
        <f t="shared" si="3106"/>
        <v>0</v>
      </c>
      <c r="K2690" s="31">
        <f t="shared" si="3107"/>
        <v>0</v>
      </c>
      <c r="L2690" s="31">
        <f t="shared" si="3108"/>
        <v>0</v>
      </c>
      <c r="M2690" s="31">
        <f t="shared" si="3109"/>
        <v>6.9844400000000002</v>
      </c>
      <c r="N2690" s="31">
        <f t="shared" si="3110"/>
        <v>0</v>
      </c>
      <c r="O2690" s="31">
        <f t="shared" si="3111"/>
        <v>0</v>
      </c>
      <c r="P2690" s="31">
        <f t="shared" si="3112"/>
        <v>0</v>
      </c>
      <c r="Q2690" s="49">
        <f t="shared" si="3113"/>
        <v>0</v>
      </c>
    </row>
    <row r="2691" spans="4:17" s="62" customFormat="1" x14ac:dyDescent="0.3">
      <c r="D2691" s="235">
        <v>74</v>
      </c>
      <c r="E2691" s="240">
        <v>1</v>
      </c>
      <c r="F2691" s="241">
        <v>16</v>
      </c>
      <c r="G2691" s="242">
        <v>3.35</v>
      </c>
      <c r="H2691" s="239">
        <f t="shared" si="3104"/>
        <v>3.35</v>
      </c>
      <c r="I2691" s="131">
        <f t="shared" si="3105"/>
        <v>0</v>
      </c>
      <c r="J2691" s="31">
        <f t="shared" si="3106"/>
        <v>0</v>
      </c>
      <c r="K2691" s="31">
        <f t="shared" si="3107"/>
        <v>0</v>
      </c>
      <c r="L2691" s="31">
        <f t="shared" si="3108"/>
        <v>0</v>
      </c>
      <c r="M2691" s="31">
        <f t="shared" si="3109"/>
        <v>0</v>
      </c>
      <c r="N2691" s="31">
        <f t="shared" si="3110"/>
        <v>0</v>
      </c>
      <c r="O2691" s="31">
        <f t="shared" si="3111"/>
        <v>5.2863000000000007</v>
      </c>
      <c r="P2691" s="31">
        <f t="shared" si="3112"/>
        <v>0</v>
      </c>
      <c r="Q2691" s="49">
        <f t="shared" si="3113"/>
        <v>0</v>
      </c>
    </row>
    <row r="2692" spans="4:17" s="62" customFormat="1" x14ac:dyDescent="0.3">
      <c r="D2692" s="235">
        <v>75</v>
      </c>
      <c r="E2692" s="240">
        <v>2</v>
      </c>
      <c r="F2692" s="241">
        <v>16</v>
      </c>
      <c r="G2692" s="242">
        <v>5.09</v>
      </c>
      <c r="H2692" s="239">
        <f t="shared" si="3104"/>
        <v>10.18</v>
      </c>
      <c r="I2692" s="131">
        <f t="shared" si="3105"/>
        <v>0</v>
      </c>
      <c r="J2692" s="31">
        <f t="shared" si="3106"/>
        <v>0</v>
      </c>
      <c r="K2692" s="31">
        <f t="shared" si="3107"/>
        <v>0</v>
      </c>
      <c r="L2692" s="31">
        <f t="shared" si="3108"/>
        <v>0</v>
      </c>
      <c r="M2692" s="31">
        <f t="shared" si="3109"/>
        <v>0</v>
      </c>
      <c r="N2692" s="31">
        <f t="shared" si="3110"/>
        <v>0</v>
      </c>
      <c r="O2692" s="31">
        <f t="shared" si="3111"/>
        <v>16.064039999999999</v>
      </c>
      <c r="P2692" s="31">
        <f t="shared" si="3112"/>
        <v>0</v>
      </c>
      <c r="Q2692" s="49">
        <f t="shared" si="3113"/>
        <v>0</v>
      </c>
    </row>
    <row r="2693" spans="4:17" s="62" customFormat="1" ht="15" thickBot="1" x14ac:dyDescent="0.35">
      <c r="D2693" s="307"/>
      <c r="E2693" s="26"/>
      <c r="F2693" s="206"/>
      <c r="G2693" s="207"/>
      <c r="H2693" s="207"/>
      <c r="I2693" s="51"/>
      <c r="J2693" s="308"/>
      <c r="K2693" s="308"/>
      <c r="L2693" s="308"/>
      <c r="M2693" s="308"/>
      <c r="N2693" s="308"/>
      <c r="O2693" s="308"/>
      <c r="P2693" s="308"/>
      <c r="Q2693" s="309"/>
    </row>
    <row r="2694" spans="4:17" s="62" customFormat="1" x14ac:dyDescent="0.3">
      <c r="D2694" s="796" t="s">
        <v>1496</v>
      </c>
      <c r="E2694" s="797"/>
      <c r="F2694" s="797"/>
      <c r="G2694" s="797"/>
      <c r="H2694" s="797"/>
      <c r="I2694" s="47">
        <f t="shared" ref="I2694:Q2694" si="3114">SUM(I2695:I2698)</f>
        <v>0</v>
      </c>
      <c r="J2694" s="47">
        <f t="shared" si="3114"/>
        <v>1.4414399999999998</v>
      </c>
      <c r="K2694" s="47">
        <f t="shared" si="3114"/>
        <v>0</v>
      </c>
      <c r="L2694" s="47">
        <f t="shared" si="3114"/>
        <v>0</v>
      </c>
      <c r="M2694" s="47">
        <f t="shared" si="3114"/>
        <v>4.1462399999999997</v>
      </c>
      <c r="N2694" s="47">
        <f t="shared" si="3114"/>
        <v>0</v>
      </c>
      <c r="O2694" s="47">
        <f t="shared" si="3114"/>
        <v>11.64564</v>
      </c>
      <c r="P2694" s="47">
        <f t="shared" si="3114"/>
        <v>0</v>
      </c>
      <c r="Q2694" s="47">
        <f t="shared" si="3114"/>
        <v>0</v>
      </c>
    </row>
    <row r="2695" spans="4:17" s="62" customFormat="1" x14ac:dyDescent="0.3">
      <c r="D2695" s="235">
        <v>2</v>
      </c>
      <c r="E2695" s="237">
        <v>8</v>
      </c>
      <c r="F2695" s="238">
        <v>5</v>
      </c>
      <c r="G2695" s="239">
        <v>1.17</v>
      </c>
      <c r="H2695" s="239">
        <f t="shared" ref="H2695:H2698" si="3115">E2695*G2695</f>
        <v>9.36</v>
      </c>
      <c r="I2695" s="131">
        <f t="shared" ref="I2695:I2698" si="3116">IF($F2695=4.2,H2695*$B$23,0)</f>
        <v>0</v>
      </c>
      <c r="J2695" s="31">
        <f t="shared" ref="J2695:J2698" si="3117">IF($F2695=5,$H2695*$B$24,0)</f>
        <v>1.4414399999999998</v>
      </c>
      <c r="K2695" s="31">
        <f t="shared" ref="K2695:K2698" si="3118">IF($F2695=6.3,$H2695*$B$25,0)</f>
        <v>0</v>
      </c>
      <c r="L2695" s="31">
        <f t="shared" ref="L2695:L2698" si="3119">IF($F2695=8,$H2695*$B$26,0)</f>
        <v>0</v>
      </c>
      <c r="M2695" s="31">
        <f t="shared" ref="M2695:M2698" si="3120">IF($F2695=10,$H2695*$B$27,0)</f>
        <v>0</v>
      </c>
      <c r="N2695" s="31">
        <f t="shared" ref="N2695:N2698" si="3121">IF($F2695=12.5,$H2695*$B$28,0)</f>
        <v>0</v>
      </c>
      <c r="O2695" s="31">
        <f t="shared" ref="O2695:O2698" si="3122">IF($F2695=16,$H2695*$B$29,0)</f>
        <v>0</v>
      </c>
      <c r="P2695" s="31">
        <f t="shared" ref="P2695:P2698" si="3123">IF($F2695=20,$H2695*$B$30,0)</f>
        <v>0</v>
      </c>
      <c r="Q2695" s="49">
        <f t="shared" ref="Q2695:Q2698" si="3124">IF($F2695=25,$H2695*$B$31,0)</f>
        <v>0</v>
      </c>
    </row>
    <row r="2696" spans="4:17" s="62" customFormat="1" x14ac:dyDescent="0.3">
      <c r="D2696" s="235">
        <v>50</v>
      </c>
      <c r="E2696" s="240">
        <v>2</v>
      </c>
      <c r="F2696" s="241">
        <v>10</v>
      </c>
      <c r="G2696" s="242">
        <v>3.36</v>
      </c>
      <c r="H2696" s="239">
        <f t="shared" si="3115"/>
        <v>6.72</v>
      </c>
      <c r="I2696" s="131">
        <f t="shared" si="3116"/>
        <v>0</v>
      </c>
      <c r="J2696" s="31">
        <f t="shared" si="3117"/>
        <v>0</v>
      </c>
      <c r="K2696" s="31">
        <f t="shared" si="3118"/>
        <v>0</v>
      </c>
      <c r="L2696" s="31">
        <f t="shared" si="3119"/>
        <v>0</v>
      </c>
      <c r="M2696" s="31">
        <f t="shared" si="3120"/>
        <v>4.1462399999999997</v>
      </c>
      <c r="N2696" s="31">
        <f t="shared" si="3121"/>
        <v>0</v>
      </c>
      <c r="O2696" s="31">
        <f t="shared" si="3122"/>
        <v>0</v>
      </c>
      <c r="P2696" s="31">
        <f t="shared" si="3123"/>
        <v>0</v>
      </c>
      <c r="Q2696" s="49">
        <f t="shared" si="3124"/>
        <v>0</v>
      </c>
    </row>
    <row r="2697" spans="4:17" s="62" customFormat="1" x14ac:dyDescent="0.3">
      <c r="D2697" s="235">
        <v>76</v>
      </c>
      <c r="E2697" s="240">
        <v>1</v>
      </c>
      <c r="F2697" s="241">
        <v>16</v>
      </c>
      <c r="G2697" s="242">
        <v>1.7</v>
      </c>
      <c r="H2697" s="239">
        <f t="shared" si="3115"/>
        <v>1.7</v>
      </c>
      <c r="I2697" s="131">
        <f t="shared" si="3116"/>
        <v>0</v>
      </c>
      <c r="J2697" s="31">
        <f t="shared" si="3117"/>
        <v>0</v>
      </c>
      <c r="K2697" s="31">
        <f t="shared" si="3118"/>
        <v>0</v>
      </c>
      <c r="L2697" s="31">
        <f t="shared" si="3119"/>
        <v>0</v>
      </c>
      <c r="M2697" s="31">
        <f t="shared" si="3120"/>
        <v>0</v>
      </c>
      <c r="N2697" s="31">
        <f t="shared" si="3121"/>
        <v>0</v>
      </c>
      <c r="O2697" s="31">
        <f t="shared" si="3122"/>
        <v>2.6825999999999999</v>
      </c>
      <c r="P2697" s="31">
        <f t="shared" si="3123"/>
        <v>0</v>
      </c>
      <c r="Q2697" s="49">
        <f t="shared" si="3124"/>
        <v>0</v>
      </c>
    </row>
    <row r="2698" spans="4:17" s="62" customFormat="1" x14ac:dyDescent="0.3">
      <c r="D2698" s="235">
        <v>77</v>
      </c>
      <c r="E2698" s="240">
        <v>2</v>
      </c>
      <c r="F2698" s="241">
        <v>16</v>
      </c>
      <c r="G2698" s="242">
        <v>2.84</v>
      </c>
      <c r="H2698" s="239">
        <f t="shared" si="3115"/>
        <v>5.68</v>
      </c>
      <c r="I2698" s="131">
        <f t="shared" si="3116"/>
        <v>0</v>
      </c>
      <c r="J2698" s="31">
        <f t="shared" si="3117"/>
        <v>0</v>
      </c>
      <c r="K2698" s="31">
        <f t="shared" si="3118"/>
        <v>0</v>
      </c>
      <c r="L2698" s="31">
        <f t="shared" si="3119"/>
        <v>0</v>
      </c>
      <c r="M2698" s="31">
        <f t="shared" si="3120"/>
        <v>0</v>
      </c>
      <c r="N2698" s="31">
        <f t="shared" si="3121"/>
        <v>0</v>
      </c>
      <c r="O2698" s="31">
        <f t="shared" si="3122"/>
        <v>8.9630399999999995</v>
      </c>
      <c r="P2698" s="31">
        <f t="shared" si="3123"/>
        <v>0</v>
      </c>
      <c r="Q2698" s="49">
        <f t="shared" si="3124"/>
        <v>0</v>
      </c>
    </row>
    <row r="2699" spans="4:17" s="62" customFormat="1" ht="15" thickBot="1" x14ac:dyDescent="0.35">
      <c r="D2699" s="307"/>
      <c r="E2699" s="26"/>
      <c r="F2699" s="206"/>
      <c r="G2699" s="207"/>
      <c r="H2699" s="207"/>
      <c r="I2699" s="51"/>
      <c r="J2699" s="308"/>
      <c r="K2699" s="308"/>
      <c r="L2699" s="308"/>
      <c r="M2699" s="308"/>
      <c r="N2699" s="308"/>
      <c r="O2699" s="308"/>
      <c r="P2699" s="308"/>
      <c r="Q2699" s="309"/>
    </row>
    <row r="2700" spans="4:17" s="62" customFormat="1" x14ac:dyDescent="0.3">
      <c r="D2700" s="796" t="s">
        <v>1497</v>
      </c>
      <c r="E2700" s="797"/>
      <c r="F2700" s="797"/>
      <c r="G2700" s="797"/>
      <c r="H2700" s="797"/>
      <c r="I2700" s="47">
        <f t="shared" ref="I2700:Q2700" si="3125">SUM(I2701:I2712)</f>
        <v>0</v>
      </c>
      <c r="J2700" s="47">
        <f t="shared" si="3125"/>
        <v>12.432419999999999</v>
      </c>
      <c r="K2700" s="47">
        <f t="shared" si="3125"/>
        <v>0</v>
      </c>
      <c r="L2700" s="47">
        <f t="shared" si="3125"/>
        <v>3.16</v>
      </c>
      <c r="M2700" s="47">
        <f t="shared" si="3125"/>
        <v>43.831679999999999</v>
      </c>
      <c r="N2700" s="47">
        <f t="shared" si="3125"/>
        <v>0</v>
      </c>
      <c r="O2700" s="47">
        <f t="shared" si="3125"/>
        <v>43.931520000000006</v>
      </c>
      <c r="P2700" s="47">
        <f t="shared" si="3125"/>
        <v>0</v>
      </c>
      <c r="Q2700" s="47">
        <f t="shared" si="3125"/>
        <v>0</v>
      </c>
    </row>
    <row r="2701" spans="4:17" s="62" customFormat="1" x14ac:dyDescent="0.3">
      <c r="D2701" s="235">
        <v>1</v>
      </c>
      <c r="E2701" s="237">
        <v>69</v>
      </c>
      <c r="F2701" s="238">
        <v>5</v>
      </c>
      <c r="G2701" s="239">
        <v>1.17</v>
      </c>
      <c r="H2701" s="239">
        <f t="shared" ref="H2701:H2712" si="3126">E2701*G2701</f>
        <v>80.72999999999999</v>
      </c>
      <c r="I2701" s="131">
        <f t="shared" ref="I2701:I2712" si="3127">IF($F2701=4.2,H2701*$B$23,0)</f>
        <v>0</v>
      </c>
      <c r="J2701" s="31">
        <f t="shared" ref="J2701:J2712" si="3128">IF($F2701=5,$H2701*$B$24,0)</f>
        <v>12.432419999999999</v>
      </c>
      <c r="K2701" s="31">
        <f t="shared" ref="K2701:K2712" si="3129">IF($F2701=6.3,$H2701*$B$25,0)</f>
        <v>0</v>
      </c>
      <c r="L2701" s="31">
        <f t="shared" ref="L2701:L2712" si="3130">IF($F2701=8,$H2701*$B$26,0)</f>
        <v>0</v>
      </c>
      <c r="M2701" s="31">
        <f t="shared" ref="M2701:M2712" si="3131">IF($F2701=10,$H2701*$B$27,0)</f>
        <v>0</v>
      </c>
      <c r="N2701" s="31">
        <f t="shared" ref="N2701:N2712" si="3132">IF($F2701=12.5,$H2701*$B$28,0)</f>
        <v>0</v>
      </c>
      <c r="O2701" s="31">
        <f t="shared" ref="O2701:O2712" si="3133">IF($F2701=16,$H2701*$B$29,0)</f>
        <v>0</v>
      </c>
      <c r="P2701" s="31">
        <f t="shared" ref="P2701:P2712" si="3134">IF($F2701=20,$H2701*$B$30,0)</f>
        <v>0</v>
      </c>
      <c r="Q2701" s="49">
        <f t="shared" ref="Q2701:Q2712" si="3135">IF($F2701=25,$H2701*$B$31,0)</f>
        <v>0</v>
      </c>
    </row>
    <row r="2702" spans="4:17" s="62" customFormat="1" x14ac:dyDescent="0.3">
      <c r="D2702" s="235">
        <v>5</v>
      </c>
      <c r="E2702" s="240">
        <v>4</v>
      </c>
      <c r="F2702" s="241">
        <v>8</v>
      </c>
      <c r="G2702" s="242">
        <v>1.18</v>
      </c>
      <c r="H2702" s="239">
        <f t="shared" si="3126"/>
        <v>4.72</v>
      </c>
      <c r="I2702" s="131">
        <f t="shared" si="3127"/>
        <v>0</v>
      </c>
      <c r="J2702" s="31">
        <f t="shared" si="3128"/>
        <v>0</v>
      </c>
      <c r="K2702" s="31">
        <f t="shared" si="3129"/>
        <v>0</v>
      </c>
      <c r="L2702" s="31">
        <f t="shared" si="3130"/>
        <v>1.8644000000000001</v>
      </c>
      <c r="M2702" s="31">
        <f t="shared" si="3131"/>
        <v>0</v>
      </c>
      <c r="N2702" s="31">
        <f t="shared" si="3132"/>
        <v>0</v>
      </c>
      <c r="O2702" s="31">
        <f t="shared" si="3133"/>
        <v>0</v>
      </c>
      <c r="P2702" s="31">
        <f t="shared" si="3134"/>
        <v>0</v>
      </c>
      <c r="Q2702" s="49">
        <f t="shared" si="3135"/>
        <v>0</v>
      </c>
    </row>
    <row r="2703" spans="4:17" s="62" customFormat="1" x14ac:dyDescent="0.3">
      <c r="D2703" s="235">
        <v>6</v>
      </c>
      <c r="E2703" s="240">
        <v>4</v>
      </c>
      <c r="F2703" s="241">
        <v>8</v>
      </c>
      <c r="G2703" s="242">
        <v>0.82</v>
      </c>
      <c r="H2703" s="239">
        <f t="shared" si="3126"/>
        <v>3.28</v>
      </c>
      <c r="I2703" s="131">
        <f t="shared" si="3127"/>
        <v>0</v>
      </c>
      <c r="J2703" s="31">
        <f t="shared" si="3128"/>
        <v>0</v>
      </c>
      <c r="K2703" s="31">
        <f t="shared" si="3129"/>
        <v>0</v>
      </c>
      <c r="L2703" s="31">
        <f t="shared" si="3130"/>
        <v>1.2956000000000001</v>
      </c>
      <c r="M2703" s="31">
        <f t="shared" si="3131"/>
        <v>0</v>
      </c>
      <c r="N2703" s="31">
        <f t="shared" si="3132"/>
        <v>0</v>
      </c>
      <c r="O2703" s="31">
        <f t="shared" si="3133"/>
        <v>0</v>
      </c>
      <c r="P2703" s="31">
        <f t="shared" si="3134"/>
        <v>0</v>
      </c>
      <c r="Q2703" s="49">
        <f t="shared" si="3135"/>
        <v>0</v>
      </c>
    </row>
    <row r="2704" spans="4:17" s="62" customFormat="1" x14ac:dyDescent="0.3">
      <c r="D2704" s="235">
        <v>11</v>
      </c>
      <c r="E2704" s="240">
        <v>1</v>
      </c>
      <c r="F2704" s="241">
        <v>10</v>
      </c>
      <c r="G2704" s="242">
        <v>6.05</v>
      </c>
      <c r="H2704" s="239">
        <f t="shared" si="3126"/>
        <v>6.05</v>
      </c>
      <c r="I2704" s="131">
        <f t="shared" si="3127"/>
        <v>0</v>
      </c>
      <c r="J2704" s="31">
        <f t="shared" si="3128"/>
        <v>0</v>
      </c>
      <c r="K2704" s="31">
        <f t="shared" si="3129"/>
        <v>0</v>
      </c>
      <c r="L2704" s="31">
        <f t="shared" si="3130"/>
        <v>0</v>
      </c>
      <c r="M2704" s="31">
        <f t="shared" si="3131"/>
        <v>3.73285</v>
      </c>
      <c r="N2704" s="31">
        <f t="shared" si="3132"/>
        <v>0</v>
      </c>
      <c r="O2704" s="31">
        <f t="shared" si="3133"/>
        <v>0</v>
      </c>
      <c r="P2704" s="31">
        <f t="shared" si="3134"/>
        <v>0</v>
      </c>
      <c r="Q2704" s="49">
        <f t="shared" si="3135"/>
        <v>0</v>
      </c>
    </row>
    <row r="2705" spans="4:17" s="62" customFormat="1" x14ac:dyDescent="0.3">
      <c r="D2705" s="235">
        <v>12</v>
      </c>
      <c r="E2705" s="240">
        <v>1</v>
      </c>
      <c r="F2705" s="241">
        <v>10</v>
      </c>
      <c r="G2705" s="242">
        <v>8.4700000000000006</v>
      </c>
      <c r="H2705" s="239">
        <f t="shared" ref="H2705:H2708" si="3136">E2705*G2705</f>
        <v>8.4700000000000006</v>
      </c>
      <c r="I2705" s="131">
        <f t="shared" ref="I2705:I2708" si="3137">IF($F2705=4.2,H2705*$B$23,0)</f>
        <v>0</v>
      </c>
      <c r="J2705" s="31">
        <f t="shared" si="3128"/>
        <v>0</v>
      </c>
      <c r="K2705" s="31">
        <f t="shared" si="3129"/>
        <v>0</v>
      </c>
      <c r="L2705" s="31">
        <f t="shared" si="3130"/>
        <v>0</v>
      </c>
      <c r="M2705" s="31">
        <f t="shared" si="3131"/>
        <v>5.2259900000000004</v>
      </c>
      <c r="N2705" s="31">
        <f t="shared" si="3132"/>
        <v>0</v>
      </c>
      <c r="O2705" s="31">
        <f t="shared" si="3133"/>
        <v>0</v>
      </c>
      <c r="P2705" s="31">
        <f t="shared" si="3134"/>
        <v>0</v>
      </c>
      <c r="Q2705" s="49">
        <f t="shared" si="3135"/>
        <v>0</v>
      </c>
    </row>
    <row r="2706" spans="4:17" s="62" customFormat="1" x14ac:dyDescent="0.3">
      <c r="D2706" s="235">
        <v>13</v>
      </c>
      <c r="E2706" s="240">
        <v>2</v>
      </c>
      <c r="F2706" s="241">
        <v>10</v>
      </c>
      <c r="G2706" s="242">
        <v>8.5299999999999994</v>
      </c>
      <c r="H2706" s="239">
        <f t="shared" si="3136"/>
        <v>17.059999999999999</v>
      </c>
      <c r="I2706" s="131">
        <f t="shared" si="3137"/>
        <v>0</v>
      </c>
      <c r="J2706" s="31">
        <f t="shared" si="3128"/>
        <v>0</v>
      </c>
      <c r="K2706" s="31">
        <f t="shared" si="3129"/>
        <v>0</v>
      </c>
      <c r="L2706" s="31">
        <f t="shared" si="3130"/>
        <v>0</v>
      </c>
      <c r="M2706" s="31">
        <f t="shared" si="3131"/>
        <v>10.526019999999999</v>
      </c>
      <c r="N2706" s="31">
        <f t="shared" si="3132"/>
        <v>0</v>
      </c>
      <c r="O2706" s="31">
        <f t="shared" si="3133"/>
        <v>0</v>
      </c>
      <c r="P2706" s="31">
        <f t="shared" si="3134"/>
        <v>0</v>
      </c>
      <c r="Q2706" s="49">
        <f t="shared" si="3135"/>
        <v>0</v>
      </c>
    </row>
    <row r="2707" spans="4:17" s="62" customFormat="1" x14ac:dyDescent="0.3">
      <c r="D2707" s="235">
        <v>14</v>
      </c>
      <c r="E2707" s="240">
        <v>2</v>
      </c>
      <c r="F2707" s="241">
        <v>10</v>
      </c>
      <c r="G2707" s="242">
        <v>8.9600000000000009</v>
      </c>
      <c r="H2707" s="239">
        <f t="shared" si="3136"/>
        <v>17.920000000000002</v>
      </c>
      <c r="I2707" s="131">
        <f t="shared" si="3137"/>
        <v>0</v>
      </c>
      <c r="J2707" s="31">
        <f t="shared" si="3128"/>
        <v>0</v>
      </c>
      <c r="K2707" s="31">
        <f t="shared" si="3129"/>
        <v>0</v>
      </c>
      <c r="L2707" s="31">
        <f t="shared" si="3130"/>
        <v>0</v>
      </c>
      <c r="M2707" s="31">
        <f t="shared" si="3131"/>
        <v>11.056640000000002</v>
      </c>
      <c r="N2707" s="31">
        <f t="shared" si="3132"/>
        <v>0</v>
      </c>
      <c r="O2707" s="31">
        <f t="shared" si="3133"/>
        <v>0</v>
      </c>
      <c r="P2707" s="31">
        <f t="shared" si="3134"/>
        <v>0</v>
      </c>
      <c r="Q2707" s="49">
        <f t="shared" si="3135"/>
        <v>0</v>
      </c>
    </row>
    <row r="2708" spans="4:17" s="62" customFormat="1" x14ac:dyDescent="0.3">
      <c r="D2708" s="235">
        <v>15</v>
      </c>
      <c r="E2708" s="240">
        <v>2</v>
      </c>
      <c r="F2708" s="241">
        <v>10</v>
      </c>
      <c r="G2708" s="242">
        <v>10.77</v>
      </c>
      <c r="H2708" s="239">
        <f t="shared" si="3136"/>
        <v>21.54</v>
      </c>
      <c r="I2708" s="131">
        <f t="shared" si="3137"/>
        <v>0</v>
      </c>
      <c r="J2708" s="31">
        <f t="shared" si="3128"/>
        <v>0</v>
      </c>
      <c r="K2708" s="31">
        <f t="shared" si="3129"/>
        <v>0</v>
      </c>
      <c r="L2708" s="31">
        <f t="shared" si="3130"/>
        <v>0</v>
      </c>
      <c r="M2708" s="31">
        <f t="shared" si="3131"/>
        <v>13.290179999999999</v>
      </c>
      <c r="N2708" s="31">
        <f t="shared" si="3132"/>
        <v>0</v>
      </c>
      <c r="O2708" s="31">
        <f t="shared" si="3133"/>
        <v>0</v>
      </c>
      <c r="P2708" s="31">
        <f t="shared" si="3134"/>
        <v>0</v>
      </c>
      <c r="Q2708" s="49">
        <f t="shared" si="3135"/>
        <v>0</v>
      </c>
    </row>
    <row r="2709" spans="4:17" s="62" customFormat="1" x14ac:dyDescent="0.3">
      <c r="D2709" s="235">
        <v>37</v>
      </c>
      <c r="E2709" s="240">
        <v>1</v>
      </c>
      <c r="F2709" s="241">
        <v>16</v>
      </c>
      <c r="G2709" s="242">
        <v>1.93</v>
      </c>
      <c r="H2709" s="239">
        <f t="shared" si="3126"/>
        <v>1.93</v>
      </c>
      <c r="I2709" s="131">
        <f t="shared" si="3127"/>
        <v>0</v>
      </c>
      <c r="J2709" s="31">
        <f t="shared" si="3128"/>
        <v>0</v>
      </c>
      <c r="K2709" s="31">
        <f t="shared" si="3129"/>
        <v>0</v>
      </c>
      <c r="L2709" s="31">
        <f t="shared" si="3130"/>
        <v>0</v>
      </c>
      <c r="M2709" s="31">
        <f t="shared" si="3131"/>
        <v>0</v>
      </c>
      <c r="N2709" s="31">
        <f t="shared" si="3132"/>
        <v>0</v>
      </c>
      <c r="O2709" s="31">
        <f t="shared" si="3133"/>
        <v>3.0455399999999999</v>
      </c>
      <c r="P2709" s="31">
        <f t="shared" si="3134"/>
        <v>0</v>
      </c>
      <c r="Q2709" s="49">
        <f t="shared" si="3135"/>
        <v>0</v>
      </c>
    </row>
    <row r="2710" spans="4:17" s="62" customFormat="1" x14ac:dyDescent="0.3">
      <c r="D2710" s="235">
        <v>38</v>
      </c>
      <c r="E2710" s="240">
        <v>1</v>
      </c>
      <c r="F2710" s="241">
        <v>16</v>
      </c>
      <c r="G2710" s="242">
        <v>2.2000000000000002</v>
      </c>
      <c r="H2710" s="239">
        <f t="shared" si="3126"/>
        <v>2.2000000000000002</v>
      </c>
      <c r="I2710" s="131">
        <f t="shared" si="3127"/>
        <v>0</v>
      </c>
      <c r="J2710" s="31">
        <f t="shared" si="3128"/>
        <v>0</v>
      </c>
      <c r="K2710" s="31">
        <f t="shared" si="3129"/>
        <v>0</v>
      </c>
      <c r="L2710" s="31">
        <f t="shared" si="3130"/>
        <v>0</v>
      </c>
      <c r="M2710" s="31">
        <f t="shared" si="3131"/>
        <v>0</v>
      </c>
      <c r="N2710" s="31">
        <f t="shared" si="3132"/>
        <v>0</v>
      </c>
      <c r="O2710" s="31">
        <f t="shared" si="3133"/>
        <v>3.4716000000000005</v>
      </c>
      <c r="P2710" s="31">
        <f t="shared" si="3134"/>
        <v>0</v>
      </c>
      <c r="Q2710" s="49">
        <f t="shared" si="3135"/>
        <v>0</v>
      </c>
    </row>
    <row r="2711" spans="4:17" s="62" customFormat="1" x14ac:dyDescent="0.3">
      <c r="D2711" s="235">
        <v>39</v>
      </c>
      <c r="E2711" s="240">
        <v>1</v>
      </c>
      <c r="F2711" s="241">
        <v>16</v>
      </c>
      <c r="G2711" s="242">
        <v>3.31</v>
      </c>
      <c r="H2711" s="239">
        <f t="shared" si="3126"/>
        <v>3.31</v>
      </c>
      <c r="I2711" s="131">
        <f t="shared" si="3127"/>
        <v>0</v>
      </c>
      <c r="J2711" s="31">
        <f t="shared" si="3128"/>
        <v>0</v>
      </c>
      <c r="K2711" s="31">
        <f t="shared" si="3129"/>
        <v>0</v>
      </c>
      <c r="L2711" s="31">
        <f t="shared" si="3130"/>
        <v>0</v>
      </c>
      <c r="M2711" s="31">
        <f t="shared" si="3131"/>
        <v>0</v>
      </c>
      <c r="N2711" s="31">
        <f t="shared" si="3132"/>
        <v>0</v>
      </c>
      <c r="O2711" s="31">
        <f t="shared" si="3133"/>
        <v>5.2231800000000002</v>
      </c>
      <c r="P2711" s="31">
        <f t="shared" si="3134"/>
        <v>0</v>
      </c>
      <c r="Q2711" s="49">
        <f t="shared" si="3135"/>
        <v>0</v>
      </c>
    </row>
    <row r="2712" spans="4:17" s="62" customFormat="1" x14ac:dyDescent="0.3">
      <c r="D2712" s="235">
        <v>40</v>
      </c>
      <c r="E2712" s="240">
        <v>2</v>
      </c>
      <c r="F2712" s="241">
        <v>16</v>
      </c>
      <c r="G2712" s="242">
        <v>10.199999999999999</v>
      </c>
      <c r="H2712" s="239">
        <f t="shared" si="3126"/>
        <v>20.399999999999999</v>
      </c>
      <c r="I2712" s="131">
        <f t="shared" si="3127"/>
        <v>0</v>
      </c>
      <c r="J2712" s="31">
        <f t="shared" si="3128"/>
        <v>0</v>
      </c>
      <c r="K2712" s="31">
        <f t="shared" si="3129"/>
        <v>0</v>
      </c>
      <c r="L2712" s="31">
        <f t="shared" si="3130"/>
        <v>0</v>
      </c>
      <c r="M2712" s="31">
        <f t="shared" si="3131"/>
        <v>0</v>
      </c>
      <c r="N2712" s="31">
        <f t="shared" si="3132"/>
        <v>0</v>
      </c>
      <c r="O2712" s="31">
        <f t="shared" si="3133"/>
        <v>32.191200000000002</v>
      </c>
      <c r="P2712" s="31">
        <f t="shared" si="3134"/>
        <v>0</v>
      </c>
      <c r="Q2712" s="49">
        <f t="shared" si="3135"/>
        <v>0</v>
      </c>
    </row>
    <row r="2713" spans="4:17" s="62" customFormat="1" ht="15" thickBot="1" x14ac:dyDescent="0.35">
      <c r="D2713" s="307"/>
      <c r="E2713" s="26"/>
      <c r="F2713" s="206"/>
      <c r="G2713" s="207"/>
      <c r="H2713" s="207"/>
      <c r="I2713" s="51"/>
      <c r="J2713" s="308"/>
      <c r="K2713" s="308"/>
      <c r="L2713" s="308"/>
      <c r="M2713" s="308"/>
      <c r="N2713" s="308"/>
      <c r="O2713" s="308"/>
      <c r="P2713" s="308"/>
      <c r="Q2713" s="309"/>
    </row>
    <row r="2714" spans="4:17" s="62" customFormat="1" x14ac:dyDescent="0.3">
      <c r="D2714" s="796" t="s">
        <v>1498</v>
      </c>
      <c r="E2714" s="797"/>
      <c r="F2714" s="797"/>
      <c r="G2714" s="797"/>
      <c r="H2714" s="797"/>
      <c r="I2714" s="47">
        <f t="shared" ref="I2714:Q2714" si="3138">SUM(I2715:I2722)</f>
        <v>0</v>
      </c>
      <c r="J2714" s="47">
        <f t="shared" si="3138"/>
        <v>5.9459400000000002</v>
      </c>
      <c r="K2714" s="47">
        <f t="shared" si="3138"/>
        <v>0.22295000000000001</v>
      </c>
      <c r="L2714" s="47">
        <f t="shared" si="3138"/>
        <v>0</v>
      </c>
      <c r="M2714" s="47">
        <f t="shared" si="3138"/>
        <v>16.42454</v>
      </c>
      <c r="N2714" s="47">
        <f t="shared" si="3138"/>
        <v>0</v>
      </c>
      <c r="O2714" s="47">
        <f t="shared" si="3138"/>
        <v>23.322840000000003</v>
      </c>
      <c r="P2714" s="47">
        <f t="shared" si="3138"/>
        <v>0</v>
      </c>
      <c r="Q2714" s="47">
        <f t="shared" si="3138"/>
        <v>0</v>
      </c>
    </row>
    <row r="2715" spans="4:17" s="62" customFormat="1" x14ac:dyDescent="0.3">
      <c r="D2715" s="235">
        <v>1</v>
      </c>
      <c r="E2715" s="237">
        <v>33</v>
      </c>
      <c r="F2715" s="238">
        <v>5</v>
      </c>
      <c r="G2715" s="239">
        <v>1.17</v>
      </c>
      <c r="H2715" s="239">
        <f t="shared" ref="H2715:H2722" si="3139">E2715*G2715</f>
        <v>38.61</v>
      </c>
      <c r="I2715" s="131">
        <f t="shared" ref="I2715:I2722" si="3140">IF($F2715=4.2,H2715*$B$23,0)</f>
        <v>0</v>
      </c>
      <c r="J2715" s="31">
        <f t="shared" ref="J2715:J2722" si="3141">IF($F2715=5,$H2715*$B$24,0)</f>
        <v>5.9459400000000002</v>
      </c>
      <c r="K2715" s="31">
        <f t="shared" ref="K2715:K2722" si="3142">IF($F2715=6.3,$H2715*$B$25,0)</f>
        <v>0</v>
      </c>
      <c r="L2715" s="31">
        <f t="shared" ref="L2715:L2722" si="3143">IF($F2715=8,$H2715*$B$26,0)</f>
        <v>0</v>
      </c>
      <c r="M2715" s="31">
        <f t="shared" ref="M2715:M2722" si="3144">IF($F2715=10,$H2715*$B$27,0)</f>
        <v>0</v>
      </c>
      <c r="N2715" s="31">
        <f t="shared" ref="N2715:N2722" si="3145">IF($F2715=12.5,$H2715*$B$28,0)</f>
        <v>0</v>
      </c>
      <c r="O2715" s="31">
        <f t="shared" ref="O2715:O2722" si="3146">IF($F2715=16,$H2715*$B$29,0)</f>
        <v>0</v>
      </c>
      <c r="P2715" s="31">
        <f t="shared" ref="P2715:P2722" si="3147">IF($F2715=20,$H2715*$B$30,0)</f>
        <v>0</v>
      </c>
      <c r="Q2715" s="49">
        <f t="shared" ref="Q2715:Q2722" si="3148">IF($F2715=25,$H2715*$B$31,0)</f>
        <v>0</v>
      </c>
    </row>
    <row r="2716" spans="4:17" s="62" customFormat="1" x14ac:dyDescent="0.3">
      <c r="D2716" s="235">
        <v>3</v>
      </c>
      <c r="E2716" s="240">
        <v>1</v>
      </c>
      <c r="F2716" s="241">
        <v>6.3</v>
      </c>
      <c r="G2716" s="242">
        <v>0.91</v>
      </c>
      <c r="H2716" s="239">
        <f t="shared" si="3139"/>
        <v>0.91</v>
      </c>
      <c r="I2716" s="131">
        <f t="shared" si="3140"/>
        <v>0</v>
      </c>
      <c r="J2716" s="31">
        <f t="shared" si="3141"/>
        <v>0</v>
      </c>
      <c r="K2716" s="31">
        <f t="shared" si="3142"/>
        <v>0.22295000000000001</v>
      </c>
      <c r="L2716" s="31">
        <f t="shared" si="3143"/>
        <v>0</v>
      </c>
      <c r="M2716" s="31">
        <f t="shared" si="3144"/>
        <v>0</v>
      </c>
      <c r="N2716" s="31">
        <f t="shared" si="3145"/>
        <v>0</v>
      </c>
      <c r="O2716" s="31">
        <f t="shared" si="3146"/>
        <v>0</v>
      </c>
      <c r="P2716" s="31">
        <f t="shared" si="3147"/>
        <v>0</v>
      </c>
      <c r="Q2716" s="49">
        <f t="shared" si="3148"/>
        <v>0</v>
      </c>
    </row>
    <row r="2717" spans="4:17" s="62" customFormat="1" x14ac:dyDescent="0.3">
      <c r="D2717" s="235">
        <v>16</v>
      </c>
      <c r="E2717" s="240">
        <v>2</v>
      </c>
      <c r="F2717" s="241">
        <v>10</v>
      </c>
      <c r="G2717" s="242">
        <v>1.56</v>
      </c>
      <c r="H2717" s="239">
        <f t="shared" si="3139"/>
        <v>3.12</v>
      </c>
      <c r="I2717" s="131">
        <f t="shared" si="3140"/>
        <v>0</v>
      </c>
      <c r="J2717" s="31">
        <f t="shared" si="3141"/>
        <v>0</v>
      </c>
      <c r="K2717" s="31">
        <f t="shared" si="3142"/>
        <v>0</v>
      </c>
      <c r="L2717" s="31">
        <f t="shared" si="3143"/>
        <v>0</v>
      </c>
      <c r="M2717" s="31">
        <f t="shared" si="3144"/>
        <v>1.9250400000000001</v>
      </c>
      <c r="N2717" s="31">
        <f t="shared" si="3145"/>
        <v>0</v>
      </c>
      <c r="O2717" s="31">
        <f t="shared" si="3146"/>
        <v>0</v>
      </c>
      <c r="P2717" s="31">
        <f t="shared" si="3147"/>
        <v>0</v>
      </c>
      <c r="Q2717" s="49">
        <f t="shared" si="3148"/>
        <v>0</v>
      </c>
    </row>
    <row r="2718" spans="4:17" s="62" customFormat="1" x14ac:dyDescent="0.3">
      <c r="D2718" s="235">
        <v>17</v>
      </c>
      <c r="E2718" s="240">
        <v>2</v>
      </c>
      <c r="F2718" s="241">
        <v>10</v>
      </c>
      <c r="G2718" s="242">
        <v>1.6</v>
      </c>
      <c r="H2718" s="239">
        <f t="shared" si="3139"/>
        <v>3.2</v>
      </c>
      <c r="I2718" s="131">
        <f t="shared" si="3140"/>
        <v>0</v>
      </c>
      <c r="J2718" s="31">
        <f t="shared" si="3141"/>
        <v>0</v>
      </c>
      <c r="K2718" s="31">
        <f t="shared" si="3142"/>
        <v>0</v>
      </c>
      <c r="L2718" s="31">
        <f t="shared" si="3143"/>
        <v>0</v>
      </c>
      <c r="M2718" s="31">
        <f t="shared" si="3144"/>
        <v>1.9744000000000002</v>
      </c>
      <c r="N2718" s="31">
        <f t="shared" si="3145"/>
        <v>0</v>
      </c>
      <c r="O2718" s="31">
        <f t="shared" si="3146"/>
        <v>0</v>
      </c>
      <c r="P2718" s="31">
        <f t="shared" si="3147"/>
        <v>0</v>
      </c>
      <c r="Q2718" s="49">
        <f t="shared" si="3148"/>
        <v>0</v>
      </c>
    </row>
    <row r="2719" spans="4:17" s="62" customFormat="1" x14ac:dyDescent="0.3">
      <c r="D2719" s="235">
        <v>18</v>
      </c>
      <c r="E2719" s="240">
        <v>2</v>
      </c>
      <c r="F2719" s="241">
        <v>10</v>
      </c>
      <c r="G2719" s="242">
        <v>5.0599999999999996</v>
      </c>
      <c r="H2719" s="239">
        <f t="shared" si="3139"/>
        <v>10.119999999999999</v>
      </c>
      <c r="I2719" s="131">
        <f t="shared" si="3140"/>
        <v>0</v>
      </c>
      <c r="J2719" s="31">
        <f t="shared" si="3141"/>
        <v>0</v>
      </c>
      <c r="K2719" s="31">
        <f t="shared" si="3142"/>
        <v>0</v>
      </c>
      <c r="L2719" s="31">
        <f t="shared" si="3143"/>
        <v>0</v>
      </c>
      <c r="M2719" s="31">
        <f t="shared" si="3144"/>
        <v>6.2440399999999991</v>
      </c>
      <c r="N2719" s="31">
        <f t="shared" si="3145"/>
        <v>0</v>
      </c>
      <c r="O2719" s="31">
        <f t="shared" si="3146"/>
        <v>0</v>
      </c>
      <c r="P2719" s="31">
        <f t="shared" si="3147"/>
        <v>0</v>
      </c>
      <c r="Q2719" s="49">
        <f t="shared" si="3148"/>
        <v>0</v>
      </c>
    </row>
    <row r="2720" spans="4:17" s="62" customFormat="1" x14ac:dyDescent="0.3">
      <c r="D2720" s="235">
        <v>19</v>
      </c>
      <c r="E2720" s="240">
        <v>2</v>
      </c>
      <c r="F2720" s="241">
        <v>10</v>
      </c>
      <c r="G2720" s="242">
        <v>5.09</v>
      </c>
      <c r="H2720" s="239">
        <f t="shared" si="3139"/>
        <v>10.18</v>
      </c>
      <c r="I2720" s="131">
        <f t="shared" si="3140"/>
        <v>0</v>
      </c>
      <c r="J2720" s="31">
        <f t="shared" si="3141"/>
        <v>0</v>
      </c>
      <c r="K2720" s="31">
        <f t="shared" si="3142"/>
        <v>0</v>
      </c>
      <c r="L2720" s="31">
        <f t="shared" si="3143"/>
        <v>0</v>
      </c>
      <c r="M2720" s="31">
        <f t="shared" si="3144"/>
        <v>6.2810600000000001</v>
      </c>
      <c r="N2720" s="31">
        <f t="shared" si="3145"/>
        <v>0</v>
      </c>
      <c r="O2720" s="31">
        <f t="shared" si="3146"/>
        <v>0</v>
      </c>
      <c r="P2720" s="31">
        <f t="shared" si="3147"/>
        <v>0</v>
      </c>
      <c r="Q2720" s="49">
        <f t="shared" si="3148"/>
        <v>0</v>
      </c>
    </row>
    <row r="2721" spans="4:17" s="62" customFormat="1" x14ac:dyDescent="0.3">
      <c r="D2721" s="235">
        <v>41</v>
      </c>
      <c r="E2721" s="240">
        <v>1</v>
      </c>
      <c r="F2721" s="241">
        <v>16</v>
      </c>
      <c r="G2721" s="242">
        <v>4.9000000000000004</v>
      </c>
      <c r="H2721" s="239">
        <f t="shared" si="3139"/>
        <v>4.9000000000000004</v>
      </c>
      <c r="I2721" s="131">
        <f t="shared" si="3140"/>
        <v>0</v>
      </c>
      <c r="J2721" s="31">
        <f t="shared" si="3141"/>
        <v>0</v>
      </c>
      <c r="K2721" s="31">
        <f t="shared" si="3142"/>
        <v>0</v>
      </c>
      <c r="L2721" s="31">
        <f t="shared" si="3143"/>
        <v>0</v>
      </c>
      <c r="M2721" s="31">
        <f t="shared" si="3144"/>
        <v>0</v>
      </c>
      <c r="N2721" s="31">
        <f t="shared" si="3145"/>
        <v>0</v>
      </c>
      <c r="O2721" s="31">
        <f t="shared" si="3146"/>
        <v>7.7322000000000006</v>
      </c>
      <c r="P2721" s="31">
        <f t="shared" si="3147"/>
        <v>0</v>
      </c>
      <c r="Q2721" s="49">
        <f t="shared" si="3148"/>
        <v>0</v>
      </c>
    </row>
    <row r="2722" spans="4:17" s="62" customFormat="1" x14ac:dyDescent="0.3">
      <c r="D2722" s="235">
        <v>42</v>
      </c>
      <c r="E2722" s="240">
        <v>2</v>
      </c>
      <c r="F2722" s="241">
        <v>16</v>
      </c>
      <c r="G2722" s="242">
        <v>4.9400000000000004</v>
      </c>
      <c r="H2722" s="239">
        <f t="shared" si="3139"/>
        <v>9.8800000000000008</v>
      </c>
      <c r="I2722" s="131">
        <f t="shared" si="3140"/>
        <v>0</v>
      </c>
      <c r="J2722" s="31">
        <f t="shared" si="3141"/>
        <v>0</v>
      </c>
      <c r="K2722" s="31">
        <f t="shared" si="3142"/>
        <v>0</v>
      </c>
      <c r="L2722" s="31">
        <f t="shared" si="3143"/>
        <v>0</v>
      </c>
      <c r="M2722" s="31">
        <f t="shared" si="3144"/>
        <v>0</v>
      </c>
      <c r="N2722" s="31">
        <f t="shared" si="3145"/>
        <v>0</v>
      </c>
      <c r="O2722" s="31">
        <f t="shared" si="3146"/>
        <v>15.590640000000002</v>
      </c>
      <c r="P2722" s="31">
        <f t="shared" si="3147"/>
        <v>0</v>
      </c>
      <c r="Q2722" s="49">
        <f t="shared" si="3148"/>
        <v>0</v>
      </c>
    </row>
    <row r="2723" spans="4:17" s="62" customFormat="1" ht="15" thickBot="1" x14ac:dyDescent="0.35">
      <c r="D2723" s="307"/>
      <c r="E2723" s="26"/>
      <c r="F2723" s="206"/>
      <c r="G2723" s="207"/>
      <c r="H2723" s="207"/>
      <c r="I2723" s="51"/>
      <c r="J2723" s="308"/>
      <c r="K2723" s="308"/>
      <c r="L2723" s="308"/>
      <c r="M2723" s="308"/>
      <c r="N2723" s="308"/>
      <c r="O2723" s="308"/>
      <c r="P2723" s="308"/>
      <c r="Q2723" s="309"/>
    </row>
    <row r="2724" spans="4:17" s="62" customFormat="1" x14ac:dyDescent="0.3">
      <c r="D2724" s="796" t="s">
        <v>1499</v>
      </c>
      <c r="E2724" s="797"/>
      <c r="F2724" s="797"/>
      <c r="G2724" s="797"/>
      <c r="H2724" s="797"/>
      <c r="I2724" s="47">
        <f t="shared" ref="I2724:Q2724" si="3149">SUM(I2725:I2730)</f>
        <v>0</v>
      </c>
      <c r="J2724" s="47">
        <f t="shared" si="3149"/>
        <v>10.090079999999999</v>
      </c>
      <c r="K2724" s="47">
        <f t="shared" si="3149"/>
        <v>0.22295000000000001</v>
      </c>
      <c r="L2724" s="47">
        <f t="shared" si="3149"/>
        <v>0</v>
      </c>
      <c r="M2724" s="47">
        <f t="shared" si="3149"/>
        <v>0</v>
      </c>
      <c r="N2724" s="47">
        <f t="shared" si="3149"/>
        <v>0</v>
      </c>
      <c r="O2724" s="47">
        <f t="shared" si="3149"/>
        <v>54.046500000000009</v>
      </c>
      <c r="P2724" s="47">
        <f t="shared" si="3149"/>
        <v>0</v>
      </c>
      <c r="Q2724" s="47">
        <f t="shared" si="3149"/>
        <v>0</v>
      </c>
    </row>
    <row r="2725" spans="4:17" s="62" customFormat="1" x14ac:dyDescent="0.3">
      <c r="D2725" s="235">
        <v>1</v>
      </c>
      <c r="E2725" s="237">
        <v>56</v>
      </c>
      <c r="F2725" s="238">
        <v>5</v>
      </c>
      <c r="G2725" s="239">
        <v>1.17</v>
      </c>
      <c r="H2725" s="239">
        <f t="shared" ref="H2725:H2730" si="3150">E2725*G2725</f>
        <v>65.52</v>
      </c>
      <c r="I2725" s="131">
        <f t="shared" ref="I2725:I2730" si="3151">IF($F2725=4.2,H2725*$B$23,0)</f>
        <v>0</v>
      </c>
      <c r="J2725" s="31">
        <f t="shared" ref="J2725:J2730" si="3152">IF($F2725=5,$H2725*$B$24,0)</f>
        <v>10.090079999999999</v>
      </c>
      <c r="K2725" s="31">
        <f t="shared" ref="K2725:K2730" si="3153">IF($F2725=6.3,$H2725*$B$25,0)</f>
        <v>0</v>
      </c>
      <c r="L2725" s="31">
        <f t="shared" ref="L2725:L2730" si="3154">IF($F2725=8,$H2725*$B$26,0)</f>
        <v>0</v>
      </c>
      <c r="M2725" s="31">
        <f t="shared" ref="M2725:M2730" si="3155">IF($F2725=10,$H2725*$B$27,0)</f>
        <v>0</v>
      </c>
      <c r="N2725" s="31">
        <f t="shared" ref="N2725:N2730" si="3156">IF($F2725=12.5,$H2725*$B$28,0)</f>
        <v>0</v>
      </c>
      <c r="O2725" s="31">
        <f t="shared" ref="O2725:O2730" si="3157">IF($F2725=16,$H2725*$B$29,0)</f>
        <v>0</v>
      </c>
      <c r="P2725" s="31">
        <f t="shared" ref="P2725:P2730" si="3158">IF($F2725=20,$H2725*$B$30,0)</f>
        <v>0</v>
      </c>
      <c r="Q2725" s="49">
        <f t="shared" ref="Q2725:Q2730" si="3159">IF($F2725=25,$H2725*$B$31,0)</f>
        <v>0</v>
      </c>
    </row>
    <row r="2726" spans="4:17" s="62" customFormat="1" x14ac:dyDescent="0.3">
      <c r="D2726" s="235">
        <v>3</v>
      </c>
      <c r="E2726" s="240">
        <v>1</v>
      </c>
      <c r="F2726" s="241">
        <v>6.3</v>
      </c>
      <c r="G2726" s="242">
        <v>0.91</v>
      </c>
      <c r="H2726" s="239">
        <f t="shared" si="3150"/>
        <v>0.91</v>
      </c>
      <c r="I2726" s="131">
        <f t="shared" si="3151"/>
        <v>0</v>
      </c>
      <c r="J2726" s="31">
        <f t="shared" si="3152"/>
        <v>0</v>
      </c>
      <c r="K2726" s="31">
        <f t="shared" si="3153"/>
        <v>0.22295000000000001</v>
      </c>
      <c r="L2726" s="31">
        <f t="shared" si="3154"/>
        <v>0</v>
      </c>
      <c r="M2726" s="31">
        <f t="shared" si="3155"/>
        <v>0</v>
      </c>
      <c r="N2726" s="31">
        <f t="shared" si="3156"/>
        <v>0</v>
      </c>
      <c r="O2726" s="31">
        <f t="shared" si="3157"/>
        <v>0</v>
      </c>
      <c r="P2726" s="31">
        <f t="shared" si="3158"/>
        <v>0</v>
      </c>
      <c r="Q2726" s="49">
        <f t="shared" si="3159"/>
        <v>0</v>
      </c>
    </row>
    <row r="2727" spans="4:17" s="62" customFormat="1" x14ac:dyDescent="0.3">
      <c r="D2727" s="235">
        <v>43</v>
      </c>
      <c r="E2727" s="240">
        <v>1</v>
      </c>
      <c r="F2727" s="241">
        <v>16</v>
      </c>
      <c r="G2727" s="242">
        <v>6.25</v>
      </c>
      <c r="H2727" s="239">
        <f t="shared" si="3150"/>
        <v>6.25</v>
      </c>
      <c r="I2727" s="131">
        <f t="shared" si="3151"/>
        <v>0</v>
      </c>
      <c r="J2727" s="31">
        <f t="shared" si="3152"/>
        <v>0</v>
      </c>
      <c r="K2727" s="31">
        <f t="shared" si="3153"/>
        <v>0</v>
      </c>
      <c r="L2727" s="31">
        <f t="shared" si="3154"/>
        <v>0</v>
      </c>
      <c r="M2727" s="31">
        <f t="shared" si="3155"/>
        <v>0</v>
      </c>
      <c r="N2727" s="31">
        <f t="shared" si="3156"/>
        <v>0</v>
      </c>
      <c r="O2727" s="31">
        <f t="shared" si="3157"/>
        <v>9.8625000000000007</v>
      </c>
      <c r="P2727" s="31">
        <f t="shared" si="3158"/>
        <v>0</v>
      </c>
      <c r="Q2727" s="49">
        <f t="shared" si="3159"/>
        <v>0</v>
      </c>
    </row>
    <row r="2728" spans="4:17" s="62" customFormat="1" x14ac:dyDescent="0.3">
      <c r="D2728" s="235">
        <v>44</v>
      </c>
      <c r="E2728" s="240">
        <v>2</v>
      </c>
      <c r="F2728" s="241">
        <v>16</v>
      </c>
      <c r="G2728" s="242">
        <v>6.29</v>
      </c>
      <c r="H2728" s="239">
        <f t="shared" si="3150"/>
        <v>12.58</v>
      </c>
      <c r="I2728" s="131">
        <f t="shared" si="3151"/>
        <v>0</v>
      </c>
      <c r="J2728" s="31">
        <f t="shared" si="3152"/>
        <v>0</v>
      </c>
      <c r="K2728" s="31">
        <f t="shared" si="3153"/>
        <v>0</v>
      </c>
      <c r="L2728" s="31">
        <f t="shared" si="3154"/>
        <v>0</v>
      </c>
      <c r="M2728" s="31">
        <f t="shared" si="3155"/>
        <v>0</v>
      </c>
      <c r="N2728" s="31">
        <f t="shared" si="3156"/>
        <v>0</v>
      </c>
      <c r="O2728" s="31">
        <f t="shared" si="3157"/>
        <v>19.851240000000001</v>
      </c>
      <c r="P2728" s="31">
        <f t="shared" si="3158"/>
        <v>0</v>
      </c>
      <c r="Q2728" s="49">
        <f t="shared" si="3159"/>
        <v>0</v>
      </c>
    </row>
    <row r="2729" spans="4:17" s="62" customFormat="1" x14ac:dyDescent="0.3">
      <c r="D2729" s="235">
        <v>45</v>
      </c>
      <c r="E2729" s="240">
        <v>1</v>
      </c>
      <c r="F2729" s="241">
        <v>16</v>
      </c>
      <c r="G2729" s="242">
        <v>2.06</v>
      </c>
      <c r="H2729" s="239">
        <f t="shared" si="3150"/>
        <v>2.06</v>
      </c>
      <c r="I2729" s="131">
        <f t="shared" si="3151"/>
        <v>0</v>
      </c>
      <c r="J2729" s="31">
        <f t="shared" si="3152"/>
        <v>0</v>
      </c>
      <c r="K2729" s="31">
        <f t="shared" si="3153"/>
        <v>0</v>
      </c>
      <c r="L2729" s="31">
        <f t="shared" si="3154"/>
        <v>0</v>
      </c>
      <c r="M2729" s="31">
        <f t="shared" si="3155"/>
        <v>0</v>
      </c>
      <c r="N2729" s="31">
        <f t="shared" si="3156"/>
        <v>0</v>
      </c>
      <c r="O2729" s="31">
        <f t="shared" si="3157"/>
        <v>3.25068</v>
      </c>
      <c r="P2729" s="31">
        <f t="shared" si="3158"/>
        <v>0</v>
      </c>
      <c r="Q2729" s="49">
        <f t="shared" si="3159"/>
        <v>0</v>
      </c>
    </row>
    <row r="2730" spans="4:17" s="62" customFormat="1" x14ac:dyDescent="0.3">
      <c r="D2730" s="235">
        <v>46</v>
      </c>
      <c r="E2730" s="240">
        <v>2</v>
      </c>
      <c r="F2730" s="241">
        <v>16</v>
      </c>
      <c r="G2730" s="242">
        <v>6.68</v>
      </c>
      <c r="H2730" s="239">
        <f t="shared" si="3150"/>
        <v>13.36</v>
      </c>
      <c r="I2730" s="131">
        <f t="shared" si="3151"/>
        <v>0</v>
      </c>
      <c r="J2730" s="31">
        <f t="shared" si="3152"/>
        <v>0</v>
      </c>
      <c r="K2730" s="31">
        <f t="shared" si="3153"/>
        <v>0</v>
      </c>
      <c r="L2730" s="31">
        <f t="shared" si="3154"/>
        <v>0</v>
      </c>
      <c r="M2730" s="31">
        <f t="shared" si="3155"/>
        <v>0</v>
      </c>
      <c r="N2730" s="31">
        <f t="shared" si="3156"/>
        <v>0</v>
      </c>
      <c r="O2730" s="31">
        <f t="shared" si="3157"/>
        <v>21.082080000000001</v>
      </c>
      <c r="P2730" s="31">
        <f t="shared" si="3158"/>
        <v>0</v>
      </c>
      <c r="Q2730" s="49">
        <f t="shared" si="3159"/>
        <v>0</v>
      </c>
    </row>
    <row r="2731" spans="4:17" s="62" customFormat="1" ht="15" thickBot="1" x14ac:dyDescent="0.35">
      <c r="D2731" s="307"/>
      <c r="E2731" s="26"/>
      <c r="F2731" s="206"/>
      <c r="G2731" s="207"/>
      <c r="H2731" s="207"/>
      <c r="I2731" s="51"/>
      <c r="J2731" s="308"/>
      <c r="K2731" s="308"/>
      <c r="L2731" s="308"/>
      <c r="M2731" s="308"/>
      <c r="N2731" s="308"/>
      <c r="O2731" s="308"/>
      <c r="P2731" s="308"/>
      <c r="Q2731" s="309"/>
    </row>
    <row r="2732" spans="4:17" s="62" customFormat="1" x14ac:dyDescent="0.3">
      <c r="D2732" s="796" t="s">
        <v>1500</v>
      </c>
      <c r="E2732" s="797"/>
      <c r="F2732" s="797"/>
      <c r="G2732" s="797"/>
      <c r="H2732" s="797"/>
      <c r="I2732" s="47">
        <f t="shared" ref="I2732:Q2732" si="3160">SUM(I2733:I2735)</f>
        <v>0</v>
      </c>
      <c r="J2732" s="47">
        <f t="shared" si="3160"/>
        <v>1.0810799999999998</v>
      </c>
      <c r="K2732" s="47">
        <f t="shared" si="3160"/>
        <v>0</v>
      </c>
      <c r="L2732" s="47">
        <f t="shared" si="3160"/>
        <v>2.1093000000000002</v>
      </c>
      <c r="M2732" s="47">
        <f t="shared" si="3160"/>
        <v>2.19652</v>
      </c>
      <c r="N2732" s="47">
        <f t="shared" si="3160"/>
        <v>0</v>
      </c>
      <c r="O2732" s="47">
        <f t="shared" si="3160"/>
        <v>0</v>
      </c>
      <c r="P2732" s="47">
        <f t="shared" si="3160"/>
        <v>0</v>
      </c>
      <c r="Q2732" s="47">
        <f t="shared" si="3160"/>
        <v>0</v>
      </c>
    </row>
    <row r="2733" spans="4:17" s="62" customFormat="1" x14ac:dyDescent="0.3">
      <c r="D2733" s="235">
        <v>1</v>
      </c>
      <c r="E2733" s="237">
        <f>2*3</f>
        <v>6</v>
      </c>
      <c r="F2733" s="238">
        <v>5</v>
      </c>
      <c r="G2733" s="239">
        <v>1.17</v>
      </c>
      <c r="H2733" s="239">
        <f t="shared" ref="H2733:H2735" si="3161">E2733*G2733</f>
        <v>7.02</v>
      </c>
      <c r="I2733" s="131">
        <f t="shared" ref="I2733:I2735" si="3162">IF($F2733=4.2,H2733*$B$23,0)</f>
        <v>0</v>
      </c>
      <c r="J2733" s="31">
        <f t="shared" ref="J2733:J2735" si="3163">IF($F2733=5,$H2733*$B$24,0)</f>
        <v>1.0810799999999998</v>
      </c>
      <c r="K2733" s="31">
        <f t="shared" ref="K2733:K2735" si="3164">IF($F2733=6.3,$H2733*$B$25,0)</f>
        <v>0</v>
      </c>
      <c r="L2733" s="31">
        <f t="shared" ref="L2733:L2735" si="3165">IF($F2733=8,$H2733*$B$26,0)</f>
        <v>0</v>
      </c>
      <c r="M2733" s="31">
        <f t="shared" ref="M2733:M2735" si="3166">IF($F2733=10,$H2733*$B$27,0)</f>
        <v>0</v>
      </c>
      <c r="N2733" s="31">
        <f t="shared" ref="N2733:N2735" si="3167">IF($F2733=12.5,$H2733*$B$28,0)</f>
        <v>0</v>
      </c>
      <c r="O2733" s="31">
        <f t="shared" ref="O2733:O2735" si="3168">IF($F2733=16,$H2733*$B$29,0)</f>
        <v>0</v>
      </c>
      <c r="P2733" s="31">
        <f t="shared" ref="P2733:P2735" si="3169">IF($F2733=20,$H2733*$B$30,0)</f>
        <v>0</v>
      </c>
      <c r="Q2733" s="49">
        <f t="shared" ref="Q2733:Q2735" si="3170">IF($F2733=25,$H2733*$B$31,0)</f>
        <v>0</v>
      </c>
    </row>
    <row r="2734" spans="4:17" s="62" customFormat="1" x14ac:dyDescent="0.3">
      <c r="D2734" s="235">
        <v>7</v>
      </c>
      <c r="E2734" s="240">
        <f>2*3</f>
        <v>6</v>
      </c>
      <c r="F2734" s="241">
        <v>8</v>
      </c>
      <c r="G2734" s="242">
        <v>0.89</v>
      </c>
      <c r="H2734" s="239">
        <f t="shared" si="3161"/>
        <v>5.34</v>
      </c>
      <c r="I2734" s="131">
        <f t="shared" si="3162"/>
        <v>0</v>
      </c>
      <c r="J2734" s="31">
        <f t="shared" si="3163"/>
        <v>0</v>
      </c>
      <c r="K2734" s="31">
        <f t="shared" si="3164"/>
        <v>0</v>
      </c>
      <c r="L2734" s="31">
        <f t="shared" si="3165"/>
        <v>2.1093000000000002</v>
      </c>
      <c r="M2734" s="31">
        <f t="shared" si="3166"/>
        <v>0</v>
      </c>
      <c r="N2734" s="31">
        <f t="shared" si="3167"/>
        <v>0</v>
      </c>
      <c r="O2734" s="31">
        <f t="shared" si="3168"/>
        <v>0</v>
      </c>
      <c r="P2734" s="31">
        <f t="shared" si="3169"/>
        <v>0</v>
      </c>
      <c r="Q2734" s="49">
        <f t="shared" si="3170"/>
        <v>0</v>
      </c>
    </row>
    <row r="2735" spans="4:17" s="62" customFormat="1" x14ac:dyDescent="0.3">
      <c r="D2735" s="235">
        <v>20</v>
      </c>
      <c r="E2735" s="240">
        <f>2*2</f>
        <v>4</v>
      </c>
      <c r="F2735" s="241">
        <v>10</v>
      </c>
      <c r="G2735" s="242">
        <v>0.89</v>
      </c>
      <c r="H2735" s="239">
        <f t="shared" si="3161"/>
        <v>3.56</v>
      </c>
      <c r="I2735" s="131">
        <f t="shared" si="3162"/>
        <v>0</v>
      </c>
      <c r="J2735" s="31">
        <f t="shared" si="3163"/>
        <v>0</v>
      </c>
      <c r="K2735" s="31">
        <f t="shared" si="3164"/>
        <v>0</v>
      </c>
      <c r="L2735" s="31">
        <f t="shared" si="3165"/>
        <v>0</v>
      </c>
      <c r="M2735" s="31">
        <f t="shared" si="3166"/>
        <v>2.19652</v>
      </c>
      <c r="N2735" s="31">
        <f t="shared" si="3167"/>
        <v>0</v>
      </c>
      <c r="O2735" s="31">
        <f t="shared" si="3168"/>
        <v>0</v>
      </c>
      <c r="P2735" s="31">
        <f t="shared" si="3169"/>
        <v>0</v>
      </c>
      <c r="Q2735" s="49">
        <f t="shared" si="3170"/>
        <v>0</v>
      </c>
    </row>
    <row r="2736" spans="4:17" s="62" customFormat="1" ht="15" thickBot="1" x14ac:dyDescent="0.35">
      <c r="D2736" s="307"/>
      <c r="E2736" s="26"/>
      <c r="F2736" s="206"/>
      <c r="G2736" s="207"/>
      <c r="H2736" s="207"/>
      <c r="I2736" s="51"/>
      <c r="J2736" s="308"/>
      <c r="K2736" s="308"/>
      <c r="L2736" s="308"/>
      <c r="M2736" s="308"/>
      <c r="N2736" s="308"/>
      <c r="O2736" s="308"/>
      <c r="P2736" s="308"/>
      <c r="Q2736" s="309"/>
    </row>
    <row r="2737" spans="4:17" s="62" customFormat="1" x14ac:dyDescent="0.3">
      <c r="D2737" s="796" t="s">
        <v>1501</v>
      </c>
      <c r="E2737" s="797"/>
      <c r="F2737" s="797"/>
      <c r="G2737" s="797"/>
      <c r="H2737" s="797"/>
      <c r="I2737" s="47">
        <f t="shared" ref="I2737:Q2737" si="3171">SUM(I2738:I2749)</f>
        <v>0</v>
      </c>
      <c r="J2737" s="47">
        <f t="shared" si="3171"/>
        <v>3.7837800000000001</v>
      </c>
      <c r="K2737" s="47">
        <f t="shared" si="3171"/>
        <v>0.52184999999999993</v>
      </c>
      <c r="L2737" s="47">
        <f t="shared" si="3171"/>
        <v>8.0698500000000006</v>
      </c>
      <c r="M2737" s="47">
        <f t="shared" si="3171"/>
        <v>8.1073800000000009</v>
      </c>
      <c r="N2737" s="47">
        <f t="shared" si="3171"/>
        <v>0</v>
      </c>
      <c r="O2737" s="47">
        <f t="shared" si="3171"/>
        <v>0</v>
      </c>
      <c r="P2737" s="47">
        <f t="shared" si="3171"/>
        <v>0</v>
      </c>
      <c r="Q2737" s="47">
        <f t="shared" si="3171"/>
        <v>0</v>
      </c>
    </row>
    <row r="2738" spans="4:17" s="62" customFormat="1" x14ac:dyDescent="0.3">
      <c r="D2738" s="235">
        <v>1</v>
      </c>
      <c r="E2738" s="237">
        <f>3*7</f>
        <v>21</v>
      </c>
      <c r="F2738" s="238">
        <v>5</v>
      </c>
      <c r="G2738" s="239">
        <v>1.17</v>
      </c>
      <c r="H2738" s="239">
        <f t="shared" ref="H2738:H2749" si="3172">E2738*G2738</f>
        <v>24.57</v>
      </c>
      <c r="I2738" s="131">
        <f t="shared" ref="I2738:I2749" si="3173">IF($F2738=4.2,H2738*$B$23,0)</f>
        <v>0</v>
      </c>
      <c r="J2738" s="31">
        <f t="shared" ref="J2738:J2749" si="3174">IF($F2738=5,$H2738*$B$24,0)</f>
        <v>3.7837800000000001</v>
      </c>
      <c r="K2738" s="31">
        <f t="shared" ref="K2738:K2749" si="3175">IF($F2738=6.3,$H2738*$B$25,0)</f>
        <v>0</v>
      </c>
      <c r="L2738" s="31">
        <f t="shared" ref="L2738:L2749" si="3176">IF($F2738=8,$H2738*$B$26,0)</f>
        <v>0</v>
      </c>
      <c r="M2738" s="31">
        <f t="shared" ref="M2738:M2749" si="3177">IF($F2738=10,$H2738*$B$27,0)</f>
        <v>0</v>
      </c>
      <c r="N2738" s="31">
        <f t="shared" ref="N2738:N2749" si="3178">IF($F2738=12.5,$H2738*$B$28,0)</f>
        <v>0</v>
      </c>
      <c r="O2738" s="31">
        <f t="shared" ref="O2738:O2749" si="3179">IF($F2738=16,$H2738*$B$29,0)</f>
        <v>0</v>
      </c>
      <c r="P2738" s="31">
        <f t="shared" ref="P2738:P2749" si="3180">IF($F2738=20,$H2738*$B$30,0)</f>
        <v>0</v>
      </c>
      <c r="Q2738" s="49">
        <f t="shared" ref="Q2738:Q2749" si="3181">IF($F2738=25,$H2738*$B$31,0)</f>
        <v>0</v>
      </c>
    </row>
    <row r="2739" spans="4:17" s="62" customFormat="1" x14ac:dyDescent="0.3">
      <c r="D2739" s="235">
        <v>4</v>
      </c>
      <c r="E2739" s="240">
        <f>3*1</f>
        <v>3</v>
      </c>
      <c r="F2739" s="241">
        <v>6.3</v>
      </c>
      <c r="G2739" s="242">
        <v>0.71</v>
      </c>
      <c r="H2739" s="239">
        <f t="shared" si="3172"/>
        <v>2.13</v>
      </c>
      <c r="I2739" s="131">
        <f t="shared" si="3173"/>
        <v>0</v>
      </c>
      <c r="J2739" s="31">
        <f t="shared" si="3174"/>
        <v>0</v>
      </c>
      <c r="K2739" s="31">
        <f t="shared" si="3175"/>
        <v>0.52184999999999993</v>
      </c>
      <c r="L2739" s="31">
        <f t="shared" si="3176"/>
        <v>0</v>
      </c>
      <c r="M2739" s="31">
        <f t="shared" si="3177"/>
        <v>0</v>
      </c>
      <c r="N2739" s="31">
        <f t="shared" si="3178"/>
        <v>0</v>
      </c>
      <c r="O2739" s="31">
        <f t="shared" si="3179"/>
        <v>0</v>
      </c>
      <c r="P2739" s="31">
        <f t="shared" si="3180"/>
        <v>0</v>
      </c>
      <c r="Q2739" s="49">
        <f t="shared" si="3181"/>
        <v>0</v>
      </c>
    </row>
    <row r="2740" spans="4:17" s="62" customFormat="1" x14ac:dyDescent="0.3">
      <c r="D2740" s="235">
        <v>8</v>
      </c>
      <c r="E2740" s="240">
        <f>3*3</f>
        <v>9</v>
      </c>
      <c r="F2740" s="241">
        <v>8</v>
      </c>
      <c r="G2740" s="242">
        <v>2.27</v>
      </c>
      <c r="H2740" s="239">
        <f t="shared" si="3172"/>
        <v>20.43</v>
      </c>
      <c r="I2740" s="131">
        <f t="shared" si="3173"/>
        <v>0</v>
      </c>
      <c r="J2740" s="31">
        <f t="shared" si="3174"/>
        <v>0</v>
      </c>
      <c r="K2740" s="31">
        <f t="shared" si="3175"/>
        <v>0</v>
      </c>
      <c r="L2740" s="31">
        <f t="shared" si="3176"/>
        <v>8.0698500000000006</v>
      </c>
      <c r="M2740" s="31">
        <f t="shared" si="3177"/>
        <v>0</v>
      </c>
      <c r="N2740" s="31">
        <f t="shared" si="3178"/>
        <v>0</v>
      </c>
      <c r="O2740" s="31">
        <f t="shared" si="3179"/>
        <v>0</v>
      </c>
      <c r="P2740" s="31">
        <f t="shared" si="3180"/>
        <v>0</v>
      </c>
      <c r="Q2740" s="49">
        <f t="shared" si="3181"/>
        <v>0</v>
      </c>
    </row>
    <row r="2741" spans="4:17" s="62" customFormat="1" x14ac:dyDescent="0.3">
      <c r="D2741" s="235">
        <v>21</v>
      </c>
      <c r="E2741" s="240">
        <f>3*2</f>
        <v>6</v>
      </c>
      <c r="F2741" s="241">
        <v>10</v>
      </c>
      <c r="G2741" s="242">
        <v>2.19</v>
      </c>
      <c r="H2741" s="239">
        <f t="shared" si="3172"/>
        <v>13.14</v>
      </c>
      <c r="I2741" s="131">
        <f t="shared" si="3173"/>
        <v>0</v>
      </c>
      <c r="J2741" s="31">
        <f t="shared" si="3174"/>
        <v>0</v>
      </c>
      <c r="K2741" s="31">
        <f t="shared" si="3175"/>
        <v>0</v>
      </c>
      <c r="L2741" s="31">
        <f t="shared" si="3176"/>
        <v>0</v>
      </c>
      <c r="M2741" s="31">
        <f t="shared" si="3177"/>
        <v>8.1073800000000009</v>
      </c>
      <c r="N2741" s="31">
        <f t="shared" si="3178"/>
        <v>0</v>
      </c>
      <c r="O2741" s="31">
        <f t="shared" si="3179"/>
        <v>0</v>
      </c>
      <c r="P2741" s="31">
        <f t="shared" si="3180"/>
        <v>0</v>
      </c>
      <c r="Q2741" s="49">
        <f t="shared" si="3181"/>
        <v>0</v>
      </c>
    </row>
    <row r="2742" spans="4:17" s="62" customFormat="1" x14ac:dyDescent="0.3">
      <c r="D2742" s="235"/>
      <c r="E2742" s="240"/>
      <c r="F2742" s="241"/>
      <c r="G2742" s="242"/>
      <c r="H2742" s="239">
        <f t="shared" si="3172"/>
        <v>0</v>
      </c>
      <c r="I2742" s="131">
        <f t="shared" si="3173"/>
        <v>0</v>
      </c>
      <c r="J2742" s="31">
        <f t="shared" si="3174"/>
        <v>0</v>
      </c>
      <c r="K2742" s="31">
        <f t="shared" si="3175"/>
        <v>0</v>
      </c>
      <c r="L2742" s="31">
        <f t="shared" si="3176"/>
        <v>0</v>
      </c>
      <c r="M2742" s="31">
        <f t="shared" si="3177"/>
        <v>0</v>
      </c>
      <c r="N2742" s="31">
        <f t="shared" si="3178"/>
        <v>0</v>
      </c>
      <c r="O2742" s="31">
        <f t="shared" si="3179"/>
        <v>0</v>
      </c>
      <c r="P2742" s="31">
        <f t="shared" si="3180"/>
        <v>0</v>
      </c>
      <c r="Q2742" s="49">
        <f t="shared" si="3181"/>
        <v>0</v>
      </c>
    </row>
    <row r="2743" spans="4:17" s="62" customFormat="1" x14ac:dyDescent="0.3">
      <c r="D2743" s="235"/>
      <c r="E2743" s="240"/>
      <c r="F2743" s="241"/>
      <c r="G2743" s="242"/>
      <c r="H2743" s="239">
        <f t="shared" si="3172"/>
        <v>0</v>
      </c>
      <c r="I2743" s="131">
        <f t="shared" si="3173"/>
        <v>0</v>
      </c>
      <c r="J2743" s="31">
        <f t="shared" si="3174"/>
        <v>0</v>
      </c>
      <c r="K2743" s="31">
        <f t="shared" si="3175"/>
        <v>0</v>
      </c>
      <c r="L2743" s="31">
        <f t="shared" si="3176"/>
        <v>0</v>
      </c>
      <c r="M2743" s="31">
        <f t="shared" si="3177"/>
        <v>0</v>
      </c>
      <c r="N2743" s="31">
        <f t="shared" si="3178"/>
        <v>0</v>
      </c>
      <c r="O2743" s="31">
        <f t="shared" si="3179"/>
        <v>0</v>
      </c>
      <c r="P2743" s="31">
        <f t="shared" si="3180"/>
        <v>0</v>
      </c>
      <c r="Q2743" s="49">
        <f t="shared" si="3181"/>
        <v>0</v>
      </c>
    </row>
    <row r="2744" spans="4:17" s="62" customFormat="1" x14ac:dyDescent="0.3">
      <c r="D2744" s="235"/>
      <c r="E2744" s="240"/>
      <c r="F2744" s="241"/>
      <c r="G2744" s="242"/>
      <c r="H2744" s="239">
        <f t="shared" si="3172"/>
        <v>0</v>
      </c>
      <c r="I2744" s="131">
        <f t="shared" si="3173"/>
        <v>0</v>
      </c>
      <c r="J2744" s="31">
        <f t="shared" si="3174"/>
        <v>0</v>
      </c>
      <c r="K2744" s="31">
        <f t="shared" si="3175"/>
        <v>0</v>
      </c>
      <c r="L2744" s="31">
        <f t="shared" si="3176"/>
        <v>0</v>
      </c>
      <c r="M2744" s="31">
        <f t="shared" si="3177"/>
        <v>0</v>
      </c>
      <c r="N2744" s="31">
        <f t="shared" si="3178"/>
        <v>0</v>
      </c>
      <c r="O2744" s="31">
        <f t="shared" si="3179"/>
        <v>0</v>
      </c>
      <c r="P2744" s="31">
        <f t="shared" si="3180"/>
        <v>0</v>
      </c>
      <c r="Q2744" s="49">
        <f t="shared" si="3181"/>
        <v>0</v>
      </c>
    </row>
    <row r="2745" spans="4:17" s="62" customFormat="1" x14ac:dyDescent="0.3">
      <c r="D2745" s="235"/>
      <c r="E2745" s="240"/>
      <c r="F2745" s="241"/>
      <c r="G2745" s="242"/>
      <c r="H2745" s="239">
        <f t="shared" si="3172"/>
        <v>0</v>
      </c>
      <c r="I2745" s="131">
        <f t="shared" si="3173"/>
        <v>0</v>
      </c>
      <c r="J2745" s="31">
        <f t="shared" si="3174"/>
        <v>0</v>
      </c>
      <c r="K2745" s="31">
        <f t="shared" si="3175"/>
        <v>0</v>
      </c>
      <c r="L2745" s="31">
        <f t="shared" si="3176"/>
        <v>0</v>
      </c>
      <c r="M2745" s="31">
        <f t="shared" si="3177"/>
        <v>0</v>
      </c>
      <c r="N2745" s="31">
        <f t="shared" si="3178"/>
        <v>0</v>
      </c>
      <c r="O2745" s="31">
        <f t="shared" si="3179"/>
        <v>0</v>
      </c>
      <c r="P2745" s="31">
        <f t="shared" si="3180"/>
        <v>0</v>
      </c>
      <c r="Q2745" s="49">
        <f t="shared" si="3181"/>
        <v>0</v>
      </c>
    </row>
    <row r="2746" spans="4:17" s="62" customFormat="1" x14ac:dyDescent="0.3">
      <c r="D2746" s="235"/>
      <c r="E2746" s="240"/>
      <c r="F2746" s="241"/>
      <c r="G2746" s="242"/>
      <c r="H2746" s="239">
        <f t="shared" si="3172"/>
        <v>0</v>
      </c>
      <c r="I2746" s="131">
        <f t="shared" si="3173"/>
        <v>0</v>
      </c>
      <c r="J2746" s="31">
        <f t="shared" si="3174"/>
        <v>0</v>
      </c>
      <c r="K2746" s="31">
        <f t="shared" si="3175"/>
        <v>0</v>
      </c>
      <c r="L2746" s="31">
        <f t="shared" si="3176"/>
        <v>0</v>
      </c>
      <c r="M2746" s="31">
        <f t="shared" si="3177"/>
        <v>0</v>
      </c>
      <c r="N2746" s="31">
        <f t="shared" si="3178"/>
        <v>0</v>
      </c>
      <c r="O2746" s="31">
        <f t="shared" si="3179"/>
        <v>0</v>
      </c>
      <c r="P2746" s="31">
        <f t="shared" si="3180"/>
        <v>0</v>
      </c>
      <c r="Q2746" s="49">
        <f t="shared" si="3181"/>
        <v>0</v>
      </c>
    </row>
    <row r="2747" spans="4:17" s="62" customFormat="1" x14ac:dyDescent="0.3">
      <c r="D2747" s="235"/>
      <c r="E2747" s="240"/>
      <c r="F2747" s="241"/>
      <c r="G2747" s="242"/>
      <c r="H2747" s="239">
        <f t="shared" si="3172"/>
        <v>0</v>
      </c>
      <c r="I2747" s="131">
        <f t="shared" si="3173"/>
        <v>0</v>
      </c>
      <c r="J2747" s="31">
        <f t="shared" si="3174"/>
        <v>0</v>
      </c>
      <c r="K2747" s="31">
        <f t="shared" si="3175"/>
        <v>0</v>
      </c>
      <c r="L2747" s="31">
        <f t="shared" si="3176"/>
        <v>0</v>
      </c>
      <c r="M2747" s="31">
        <f t="shared" si="3177"/>
        <v>0</v>
      </c>
      <c r="N2747" s="31">
        <f t="shared" si="3178"/>
        <v>0</v>
      </c>
      <c r="O2747" s="31">
        <f t="shared" si="3179"/>
        <v>0</v>
      </c>
      <c r="P2747" s="31">
        <f t="shared" si="3180"/>
        <v>0</v>
      </c>
      <c r="Q2747" s="49">
        <f t="shared" si="3181"/>
        <v>0</v>
      </c>
    </row>
    <row r="2748" spans="4:17" s="62" customFormat="1" x14ac:dyDescent="0.3">
      <c r="D2748" s="235"/>
      <c r="E2748" s="240"/>
      <c r="F2748" s="241"/>
      <c r="G2748" s="242"/>
      <c r="H2748" s="239">
        <f t="shared" si="3172"/>
        <v>0</v>
      </c>
      <c r="I2748" s="131">
        <f t="shared" si="3173"/>
        <v>0</v>
      </c>
      <c r="J2748" s="31">
        <f t="shared" si="3174"/>
        <v>0</v>
      </c>
      <c r="K2748" s="31">
        <f t="shared" si="3175"/>
        <v>0</v>
      </c>
      <c r="L2748" s="31">
        <f t="shared" si="3176"/>
        <v>0</v>
      </c>
      <c r="M2748" s="31">
        <f t="shared" si="3177"/>
        <v>0</v>
      </c>
      <c r="N2748" s="31">
        <f t="shared" si="3178"/>
        <v>0</v>
      </c>
      <c r="O2748" s="31">
        <f t="shared" si="3179"/>
        <v>0</v>
      </c>
      <c r="P2748" s="31">
        <f t="shared" si="3180"/>
        <v>0</v>
      </c>
      <c r="Q2748" s="49">
        <f t="shared" si="3181"/>
        <v>0</v>
      </c>
    </row>
    <row r="2749" spans="4:17" s="62" customFormat="1" x14ac:dyDescent="0.3">
      <c r="D2749" s="235"/>
      <c r="E2749" s="240"/>
      <c r="F2749" s="241"/>
      <c r="G2749" s="242"/>
      <c r="H2749" s="239">
        <f t="shared" si="3172"/>
        <v>0</v>
      </c>
      <c r="I2749" s="131">
        <f t="shared" si="3173"/>
        <v>0</v>
      </c>
      <c r="J2749" s="31">
        <f t="shared" si="3174"/>
        <v>0</v>
      </c>
      <c r="K2749" s="31">
        <f t="shared" si="3175"/>
        <v>0</v>
      </c>
      <c r="L2749" s="31">
        <f t="shared" si="3176"/>
        <v>0</v>
      </c>
      <c r="M2749" s="31">
        <f t="shared" si="3177"/>
        <v>0</v>
      </c>
      <c r="N2749" s="31">
        <f t="shared" si="3178"/>
        <v>0</v>
      </c>
      <c r="O2749" s="31">
        <f t="shared" si="3179"/>
        <v>0</v>
      </c>
      <c r="P2749" s="31">
        <f t="shared" si="3180"/>
        <v>0</v>
      </c>
      <c r="Q2749" s="49">
        <f t="shared" si="3181"/>
        <v>0</v>
      </c>
    </row>
    <row r="2750" spans="4:17" s="62" customFormat="1" ht="15" thickBot="1" x14ac:dyDescent="0.35">
      <c r="D2750" s="307"/>
      <c r="E2750" s="26"/>
      <c r="F2750" s="206"/>
      <c r="G2750" s="207"/>
      <c r="H2750" s="207"/>
      <c r="I2750" s="51"/>
      <c r="J2750" s="308"/>
      <c r="K2750" s="308"/>
      <c r="L2750" s="308"/>
      <c r="M2750" s="308"/>
      <c r="N2750" s="308"/>
      <c r="O2750" s="308"/>
      <c r="P2750" s="308"/>
      <c r="Q2750" s="309"/>
    </row>
    <row r="2751" spans="4:17" s="62" customFormat="1" ht="25.2" customHeight="1" x14ac:dyDescent="0.3">
      <c r="D2751" s="798" t="s">
        <v>1502</v>
      </c>
      <c r="E2751" s="799"/>
      <c r="F2751" s="799"/>
      <c r="G2751" s="799"/>
      <c r="H2751" s="799"/>
      <c r="I2751" s="47">
        <f t="shared" ref="I2751:Q2751" si="3182">SUM(I2752:I2754)</f>
        <v>0</v>
      </c>
      <c r="J2751" s="47">
        <f t="shared" si="3182"/>
        <v>4.3243199999999993</v>
      </c>
      <c r="K2751" s="47">
        <f t="shared" si="3182"/>
        <v>0</v>
      </c>
      <c r="L2751" s="47">
        <f t="shared" si="3182"/>
        <v>8.4372000000000007</v>
      </c>
      <c r="M2751" s="47">
        <f t="shared" si="3182"/>
        <v>8.7860800000000001</v>
      </c>
      <c r="N2751" s="47">
        <f t="shared" si="3182"/>
        <v>0</v>
      </c>
      <c r="O2751" s="47">
        <f t="shared" si="3182"/>
        <v>0</v>
      </c>
      <c r="P2751" s="47">
        <f t="shared" si="3182"/>
        <v>0</v>
      </c>
      <c r="Q2751" s="47">
        <f t="shared" si="3182"/>
        <v>0</v>
      </c>
    </row>
    <row r="2752" spans="4:17" s="62" customFormat="1" x14ac:dyDescent="0.3">
      <c r="D2752" s="235">
        <v>1</v>
      </c>
      <c r="E2752" s="237">
        <f>8*3</f>
        <v>24</v>
      </c>
      <c r="F2752" s="238">
        <v>5</v>
      </c>
      <c r="G2752" s="239">
        <v>1.17</v>
      </c>
      <c r="H2752" s="239">
        <f t="shared" ref="H2752:H2754" si="3183">E2752*G2752</f>
        <v>28.08</v>
      </c>
      <c r="I2752" s="131">
        <f t="shared" ref="I2752:I2754" si="3184">IF($F2752=4.2,H2752*$B$23,0)</f>
        <v>0</v>
      </c>
      <c r="J2752" s="31">
        <f t="shared" ref="J2752:J2754" si="3185">IF($F2752=5,$H2752*$B$24,0)</f>
        <v>4.3243199999999993</v>
      </c>
      <c r="K2752" s="31">
        <f t="shared" ref="K2752:K2754" si="3186">IF($F2752=6.3,$H2752*$B$25,0)</f>
        <v>0</v>
      </c>
      <c r="L2752" s="31">
        <f t="shared" ref="L2752:L2754" si="3187">IF($F2752=8,$H2752*$B$26,0)</f>
        <v>0</v>
      </c>
      <c r="M2752" s="31">
        <f t="shared" ref="M2752:M2754" si="3188">IF($F2752=10,$H2752*$B$27,0)</f>
        <v>0</v>
      </c>
      <c r="N2752" s="31">
        <f t="shared" ref="N2752:N2754" si="3189">IF($F2752=12.5,$H2752*$B$28,0)</f>
        <v>0</v>
      </c>
      <c r="O2752" s="31">
        <f t="shared" ref="O2752:O2754" si="3190">IF($F2752=16,$H2752*$B$29,0)</f>
        <v>0</v>
      </c>
      <c r="P2752" s="31">
        <f t="shared" ref="P2752:P2754" si="3191">IF($F2752=20,$H2752*$B$30,0)</f>
        <v>0</v>
      </c>
      <c r="Q2752" s="49">
        <f t="shared" ref="Q2752:Q2754" si="3192">IF($F2752=25,$H2752*$B$31,0)</f>
        <v>0</v>
      </c>
    </row>
    <row r="2753" spans="4:17" s="62" customFormat="1" x14ac:dyDescent="0.3">
      <c r="D2753" s="235">
        <v>9</v>
      </c>
      <c r="E2753" s="240">
        <f>8*3</f>
        <v>24</v>
      </c>
      <c r="F2753" s="241">
        <v>8</v>
      </c>
      <c r="G2753" s="242">
        <v>0.89</v>
      </c>
      <c r="H2753" s="239">
        <f t="shared" si="3183"/>
        <v>21.36</v>
      </c>
      <c r="I2753" s="131">
        <f t="shared" si="3184"/>
        <v>0</v>
      </c>
      <c r="J2753" s="31">
        <f t="shared" si="3185"/>
        <v>0</v>
      </c>
      <c r="K2753" s="31">
        <f t="shared" si="3186"/>
        <v>0</v>
      </c>
      <c r="L2753" s="31">
        <f t="shared" si="3187"/>
        <v>8.4372000000000007</v>
      </c>
      <c r="M2753" s="31">
        <f t="shared" si="3188"/>
        <v>0</v>
      </c>
      <c r="N2753" s="31">
        <f t="shared" si="3189"/>
        <v>0</v>
      </c>
      <c r="O2753" s="31">
        <f t="shared" si="3190"/>
        <v>0</v>
      </c>
      <c r="P2753" s="31">
        <f t="shared" si="3191"/>
        <v>0</v>
      </c>
      <c r="Q2753" s="49">
        <f t="shared" si="3192"/>
        <v>0</v>
      </c>
    </row>
    <row r="2754" spans="4:17" s="62" customFormat="1" x14ac:dyDescent="0.3">
      <c r="D2754" s="235">
        <v>22</v>
      </c>
      <c r="E2754" s="240">
        <f>8*2</f>
        <v>16</v>
      </c>
      <c r="F2754" s="241">
        <v>10</v>
      </c>
      <c r="G2754" s="242">
        <v>0.89</v>
      </c>
      <c r="H2754" s="239">
        <f t="shared" si="3183"/>
        <v>14.24</v>
      </c>
      <c r="I2754" s="131">
        <f t="shared" si="3184"/>
        <v>0</v>
      </c>
      <c r="J2754" s="31">
        <f t="shared" si="3185"/>
        <v>0</v>
      </c>
      <c r="K2754" s="31">
        <f t="shared" si="3186"/>
        <v>0</v>
      </c>
      <c r="L2754" s="31">
        <f t="shared" si="3187"/>
        <v>0</v>
      </c>
      <c r="M2754" s="31">
        <f t="shared" si="3188"/>
        <v>8.7860800000000001</v>
      </c>
      <c r="N2754" s="31">
        <f t="shared" si="3189"/>
        <v>0</v>
      </c>
      <c r="O2754" s="31">
        <f t="shared" si="3190"/>
        <v>0</v>
      </c>
      <c r="P2754" s="31">
        <f t="shared" si="3191"/>
        <v>0</v>
      </c>
      <c r="Q2754" s="49">
        <f t="shared" si="3192"/>
        <v>0</v>
      </c>
    </row>
    <row r="2755" spans="4:17" s="62" customFormat="1" ht="15" thickBot="1" x14ac:dyDescent="0.35">
      <c r="D2755" s="307"/>
      <c r="E2755" s="26"/>
      <c r="F2755" s="206"/>
      <c r="G2755" s="207"/>
      <c r="H2755" s="207"/>
      <c r="I2755" s="51"/>
      <c r="J2755" s="308"/>
      <c r="K2755" s="308"/>
      <c r="L2755" s="308"/>
      <c r="M2755" s="308"/>
      <c r="N2755" s="308"/>
      <c r="O2755" s="308"/>
      <c r="P2755" s="308"/>
      <c r="Q2755" s="309"/>
    </row>
    <row r="2756" spans="4:17" s="62" customFormat="1" x14ac:dyDescent="0.3">
      <c r="D2756" s="796" t="s">
        <v>1503</v>
      </c>
      <c r="E2756" s="797"/>
      <c r="F2756" s="797"/>
      <c r="G2756" s="797"/>
      <c r="H2756" s="797"/>
      <c r="I2756" s="47">
        <f t="shared" ref="I2756:Q2756" si="3193">SUM(I2757:I2764)</f>
        <v>0</v>
      </c>
      <c r="J2756" s="47">
        <f t="shared" si="3193"/>
        <v>10.090079999999999</v>
      </c>
      <c r="K2756" s="47">
        <f t="shared" si="3193"/>
        <v>0</v>
      </c>
      <c r="L2756" s="47">
        <f t="shared" si="3193"/>
        <v>0</v>
      </c>
      <c r="M2756" s="47">
        <f t="shared" si="3193"/>
        <v>10.390279999999999</v>
      </c>
      <c r="N2756" s="47">
        <f t="shared" si="3193"/>
        <v>0</v>
      </c>
      <c r="O2756" s="47">
        <f t="shared" si="3193"/>
        <v>45.193920000000006</v>
      </c>
      <c r="P2756" s="47">
        <f t="shared" si="3193"/>
        <v>25.5</v>
      </c>
      <c r="Q2756" s="47">
        <f t="shared" si="3193"/>
        <v>0</v>
      </c>
    </row>
    <row r="2757" spans="4:17" s="62" customFormat="1" x14ac:dyDescent="0.3">
      <c r="D2757" s="235">
        <v>1</v>
      </c>
      <c r="E2757" s="237">
        <v>56</v>
      </c>
      <c r="F2757" s="238">
        <v>5</v>
      </c>
      <c r="G2757" s="239">
        <v>1.17</v>
      </c>
      <c r="H2757" s="239">
        <f t="shared" ref="H2757:H2764" si="3194">E2757*G2757</f>
        <v>65.52</v>
      </c>
      <c r="I2757" s="131">
        <f t="shared" ref="I2757:I2764" si="3195">IF($F2757=4.2,H2757*$B$23,0)</f>
        <v>0</v>
      </c>
      <c r="J2757" s="31">
        <f t="shared" ref="J2757:J2764" si="3196">IF($F2757=5,$H2757*$B$24,0)</f>
        <v>10.090079999999999</v>
      </c>
      <c r="K2757" s="31">
        <f t="shared" ref="K2757:K2764" si="3197">IF($F2757=6.3,$H2757*$B$25,0)</f>
        <v>0</v>
      </c>
      <c r="L2757" s="31">
        <f t="shared" ref="L2757:L2764" si="3198">IF($F2757=8,$H2757*$B$26,0)</f>
        <v>0</v>
      </c>
      <c r="M2757" s="31">
        <f t="shared" ref="M2757:M2764" si="3199">IF($F2757=10,$H2757*$B$27,0)</f>
        <v>0</v>
      </c>
      <c r="N2757" s="31">
        <f t="shared" ref="N2757:N2764" si="3200">IF($F2757=12.5,$H2757*$B$28,0)</f>
        <v>0</v>
      </c>
      <c r="O2757" s="31">
        <f t="shared" ref="O2757:O2764" si="3201">IF($F2757=16,$H2757*$B$29,0)</f>
        <v>0</v>
      </c>
      <c r="P2757" s="31">
        <f t="shared" ref="P2757:P2764" si="3202">IF($F2757=20,$H2757*$B$30,0)</f>
        <v>0</v>
      </c>
      <c r="Q2757" s="49">
        <f t="shared" ref="Q2757:Q2764" si="3203">IF($F2757=25,$H2757*$B$31,0)</f>
        <v>0</v>
      </c>
    </row>
    <row r="2758" spans="4:17" s="62" customFormat="1" x14ac:dyDescent="0.3">
      <c r="D2758" s="235">
        <v>23</v>
      </c>
      <c r="E2758" s="240">
        <v>2</v>
      </c>
      <c r="F2758" s="241">
        <v>10</v>
      </c>
      <c r="G2758" s="242">
        <v>1.88</v>
      </c>
      <c r="H2758" s="239">
        <f t="shared" si="3194"/>
        <v>3.76</v>
      </c>
      <c r="I2758" s="131">
        <f t="shared" si="3195"/>
        <v>0</v>
      </c>
      <c r="J2758" s="31">
        <f t="shared" si="3196"/>
        <v>0</v>
      </c>
      <c r="K2758" s="31">
        <f t="shared" si="3197"/>
        <v>0</v>
      </c>
      <c r="L2758" s="31">
        <f t="shared" si="3198"/>
        <v>0</v>
      </c>
      <c r="M2758" s="31">
        <f t="shared" si="3199"/>
        <v>2.3199199999999998</v>
      </c>
      <c r="N2758" s="31">
        <f t="shared" si="3200"/>
        <v>0</v>
      </c>
      <c r="O2758" s="31">
        <f t="shared" si="3201"/>
        <v>0</v>
      </c>
      <c r="P2758" s="31">
        <f t="shared" si="3202"/>
        <v>0</v>
      </c>
      <c r="Q2758" s="49">
        <f t="shared" si="3203"/>
        <v>0</v>
      </c>
    </row>
    <row r="2759" spans="4:17" s="62" customFormat="1" x14ac:dyDescent="0.3">
      <c r="D2759" s="235">
        <v>24</v>
      </c>
      <c r="E2759" s="240">
        <v>2</v>
      </c>
      <c r="F2759" s="241">
        <v>10</v>
      </c>
      <c r="G2759" s="242">
        <v>3.91</v>
      </c>
      <c r="H2759" s="239">
        <f t="shared" si="3194"/>
        <v>7.82</v>
      </c>
      <c r="I2759" s="131">
        <f t="shared" si="3195"/>
        <v>0</v>
      </c>
      <c r="J2759" s="31">
        <f t="shared" si="3196"/>
        <v>0</v>
      </c>
      <c r="K2759" s="31">
        <f t="shared" si="3197"/>
        <v>0</v>
      </c>
      <c r="L2759" s="31">
        <f t="shared" si="3198"/>
        <v>0</v>
      </c>
      <c r="M2759" s="31">
        <f t="shared" si="3199"/>
        <v>4.8249399999999998</v>
      </c>
      <c r="N2759" s="31">
        <f t="shared" si="3200"/>
        <v>0</v>
      </c>
      <c r="O2759" s="31">
        <f t="shared" si="3201"/>
        <v>0</v>
      </c>
      <c r="P2759" s="31">
        <f t="shared" si="3202"/>
        <v>0</v>
      </c>
      <c r="Q2759" s="49">
        <f t="shared" si="3203"/>
        <v>0</v>
      </c>
    </row>
    <row r="2760" spans="4:17" s="62" customFormat="1" x14ac:dyDescent="0.3">
      <c r="D2760" s="235">
        <v>25</v>
      </c>
      <c r="E2760" s="240">
        <v>2</v>
      </c>
      <c r="F2760" s="241">
        <v>10</v>
      </c>
      <c r="G2760" s="242">
        <v>2.63</v>
      </c>
      <c r="H2760" s="239">
        <f t="shared" si="3194"/>
        <v>5.26</v>
      </c>
      <c r="I2760" s="131">
        <f t="shared" si="3195"/>
        <v>0</v>
      </c>
      <c r="J2760" s="31">
        <f t="shared" si="3196"/>
        <v>0</v>
      </c>
      <c r="K2760" s="31">
        <f t="shared" si="3197"/>
        <v>0</v>
      </c>
      <c r="L2760" s="31">
        <f t="shared" si="3198"/>
        <v>0</v>
      </c>
      <c r="M2760" s="31">
        <f t="shared" si="3199"/>
        <v>3.2454199999999997</v>
      </c>
      <c r="N2760" s="31">
        <f t="shared" si="3200"/>
        <v>0</v>
      </c>
      <c r="O2760" s="31">
        <f t="shared" si="3201"/>
        <v>0</v>
      </c>
      <c r="P2760" s="31">
        <f t="shared" si="3202"/>
        <v>0</v>
      </c>
      <c r="Q2760" s="49">
        <f t="shared" si="3203"/>
        <v>0</v>
      </c>
    </row>
    <row r="2761" spans="4:17" s="62" customFormat="1" x14ac:dyDescent="0.3">
      <c r="D2761" s="235">
        <v>47</v>
      </c>
      <c r="E2761" s="240">
        <v>1</v>
      </c>
      <c r="F2761" s="241">
        <v>16</v>
      </c>
      <c r="G2761" s="242">
        <v>3.68</v>
      </c>
      <c r="H2761" s="239">
        <f t="shared" si="3194"/>
        <v>3.68</v>
      </c>
      <c r="I2761" s="131">
        <f t="shared" si="3195"/>
        <v>0</v>
      </c>
      <c r="J2761" s="31">
        <f t="shared" si="3196"/>
        <v>0</v>
      </c>
      <c r="K2761" s="31">
        <f t="shared" si="3197"/>
        <v>0</v>
      </c>
      <c r="L2761" s="31">
        <f t="shared" si="3198"/>
        <v>0</v>
      </c>
      <c r="M2761" s="31">
        <f t="shared" si="3199"/>
        <v>0</v>
      </c>
      <c r="N2761" s="31">
        <f t="shared" si="3200"/>
        <v>0</v>
      </c>
      <c r="O2761" s="31">
        <f t="shared" si="3201"/>
        <v>5.8070400000000006</v>
      </c>
      <c r="P2761" s="31">
        <f t="shared" si="3202"/>
        <v>0</v>
      </c>
      <c r="Q2761" s="49">
        <f t="shared" si="3203"/>
        <v>0</v>
      </c>
    </row>
    <row r="2762" spans="4:17" s="62" customFormat="1" x14ac:dyDescent="0.3">
      <c r="D2762" s="235">
        <v>48</v>
      </c>
      <c r="E2762" s="240">
        <v>1</v>
      </c>
      <c r="F2762" s="241">
        <v>16</v>
      </c>
      <c r="G2762" s="242">
        <v>3.18</v>
      </c>
      <c r="H2762" s="239">
        <f t="shared" si="3194"/>
        <v>3.18</v>
      </c>
      <c r="I2762" s="131">
        <f t="shared" si="3195"/>
        <v>0</v>
      </c>
      <c r="J2762" s="31">
        <f t="shared" si="3196"/>
        <v>0</v>
      </c>
      <c r="K2762" s="31">
        <f t="shared" si="3197"/>
        <v>0</v>
      </c>
      <c r="L2762" s="31">
        <f t="shared" si="3198"/>
        <v>0</v>
      </c>
      <c r="M2762" s="31">
        <f t="shared" si="3199"/>
        <v>0</v>
      </c>
      <c r="N2762" s="31">
        <f t="shared" si="3200"/>
        <v>0</v>
      </c>
      <c r="O2762" s="31">
        <f t="shared" si="3201"/>
        <v>5.0180400000000001</v>
      </c>
      <c r="P2762" s="31">
        <f t="shared" si="3202"/>
        <v>0</v>
      </c>
      <c r="Q2762" s="49">
        <f t="shared" si="3203"/>
        <v>0</v>
      </c>
    </row>
    <row r="2763" spans="4:17" s="62" customFormat="1" x14ac:dyDescent="0.3">
      <c r="D2763" s="235">
        <v>49</v>
      </c>
      <c r="E2763" s="240">
        <v>2</v>
      </c>
      <c r="F2763" s="241">
        <v>16</v>
      </c>
      <c r="G2763" s="242">
        <v>10.89</v>
      </c>
      <c r="H2763" s="239">
        <f t="shared" si="3194"/>
        <v>21.78</v>
      </c>
      <c r="I2763" s="131">
        <f t="shared" si="3195"/>
        <v>0</v>
      </c>
      <c r="J2763" s="31">
        <f t="shared" si="3196"/>
        <v>0</v>
      </c>
      <c r="K2763" s="31">
        <f t="shared" si="3197"/>
        <v>0</v>
      </c>
      <c r="L2763" s="31">
        <f t="shared" si="3198"/>
        <v>0</v>
      </c>
      <c r="M2763" s="31">
        <f t="shared" si="3199"/>
        <v>0</v>
      </c>
      <c r="N2763" s="31">
        <f t="shared" si="3200"/>
        <v>0</v>
      </c>
      <c r="O2763" s="31">
        <f t="shared" si="3201"/>
        <v>34.368840000000006</v>
      </c>
      <c r="P2763" s="31">
        <f t="shared" si="3202"/>
        <v>0</v>
      </c>
      <c r="Q2763" s="49">
        <f t="shared" si="3203"/>
        <v>0</v>
      </c>
    </row>
    <row r="2764" spans="4:17" s="62" customFormat="1" x14ac:dyDescent="0.3">
      <c r="D2764" s="235">
        <v>57</v>
      </c>
      <c r="E2764" s="240">
        <v>2</v>
      </c>
      <c r="F2764" s="241">
        <v>20</v>
      </c>
      <c r="G2764" s="242">
        <v>5.0999999999999996</v>
      </c>
      <c r="H2764" s="239">
        <f t="shared" si="3194"/>
        <v>10.199999999999999</v>
      </c>
      <c r="I2764" s="131">
        <f t="shared" si="3195"/>
        <v>0</v>
      </c>
      <c r="J2764" s="31">
        <f t="shared" si="3196"/>
        <v>0</v>
      </c>
      <c r="K2764" s="31">
        <f t="shared" si="3197"/>
        <v>0</v>
      </c>
      <c r="L2764" s="31">
        <f t="shared" si="3198"/>
        <v>0</v>
      </c>
      <c r="M2764" s="31">
        <f t="shared" si="3199"/>
        <v>0</v>
      </c>
      <c r="N2764" s="31">
        <f t="shared" si="3200"/>
        <v>0</v>
      </c>
      <c r="O2764" s="31">
        <f t="shared" si="3201"/>
        <v>0</v>
      </c>
      <c r="P2764" s="31">
        <f t="shared" si="3202"/>
        <v>25.5</v>
      </c>
      <c r="Q2764" s="49">
        <f t="shared" si="3203"/>
        <v>0</v>
      </c>
    </row>
    <row r="2765" spans="4:17" s="62" customFormat="1" ht="15" thickBot="1" x14ac:dyDescent="0.35">
      <c r="D2765" s="307"/>
      <c r="E2765" s="26"/>
      <c r="F2765" s="206"/>
      <c r="G2765" s="207"/>
      <c r="H2765" s="207"/>
      <c r="I2765" s="51"/>
      <c r="J2765" s="308"/>
      <c r="K2765" s="308"/>
      <c r="L2765" s="308"/>
      <c r="M2765" s="308"/>
      <c r="N2765" s="308"/>
      <c r="O2765" s="308"/>
      <c r="P2765" s="308"/>
      <c r="Q2765" s="309"/>
    </row>
    <row r="2766" spans="4:17" s="62" customFormat="1" x14ac:dyDescent="0.3">
      <c r="D2766" s="796" t="s">
        <v>1504</v>
      </c>
      <c r="E2766" s="797"/>
      <c r="F2766" s="797"/>
      <c r="G2766" s="797"/>
      <c r="H2766" s="797"/>
      <c r="I2766" s="47">
        <f t="shared" ref="I2766:Q2766" si="3204">SUM(I2767:I2769)</f>
        <v>0</v>
      </c>
      <c r="J2766" s="47">
        <f t="shared" si="3204"/>
        <v>1.0810799999999998</v>
      </c>
      <c r="K2766" s="47">
        <f t="shared" si="3204"/>
        <v>0</v>
      </c>
      <c r="L2766" s="47">
        <f t="shared" si="3204"/>
        <v>3.5312999999999999</v>
      </c>
      <c r="M2766" s="47">
        <f t="shared" si="3204"/>
        <v>2.4433199999999999</v>
      </c>
      <c r="N2766" s="47">
        <f t="shared" si="3204"/>
        <v>0</v>
      </c>
      <c r="O2766" s="47">
        <f t="shared" si="3204"/>
        <v>0</v>
      </c>
      <c r="P2766" s="47">
        <f t="shared" si="3204"/>
        <v>0</v>
      </c>
      <c r="Q2766" s="47">
        <f t="shared" si="3204"/>
        <v>0</v>
      </c>
    </row>
    <row r="2767" spans="4:17" s="62" customFormat="1" x14ac:dyDescent="0.3">
      <c r="D2767" s="235">
        <v>1</v>
      </c>
      <c r="E2767" s="237">
        <f>2*3</f>
        <v>6</v>
      </c>
      <c r="F2767" s="238">
        <v>5</v>
      </c>
      <c r="G2767" s="239">
        <v>1.17</v>
      </c>
      <c r="H2767" s="239">
        <f t="shared" ref="H2767:H2769" si="3205">E2767*G2767</f>
        <v>7.02</v>
      </c>
      <c r="I2767" s="131">
        <f t="shared" ref="I2767:I2769" si="3206">IF($F2767=4.2,H2767*$B$23,0)</f>
        <v>0</v>
      </c>
      <c r="J2767" s="31">
        <f t="shared" ref="J2767:J2769" si="3207">IF($F2767=5,$H2767*$B$24,0)</f>
        <v>1.0810799999999998</v>
      </c>
      <c r="K2767" s="31">
        <f t="shared" ref="K2767:K2769" si="3208">IF($F2767=6.3,$H2767*$B$25,0)</f>
        <v>0</v>
      </c>
      <c r="L2767" s="31">
        <f t="shared" ref="L2767:L2769" si="3209">IF($F2767=8,$H2767*$B$26,0)</f>
        <v>0</v>
      </c>
      <c r="M2767" s="31">
        <f t="shared" ref="M2767:M2769" si="3210">IF($F2767=10,$H2767*$B$27,0)</f>
        <v>0</v>
      </c>
      <c r="N2767" s="31">
        <f t="shared" ref="N2767:N2769" si="3211">IF($F2767=12.5,$H2767*$B$28,0)</f>
        <v>0</v>
      </c>
      <c r="O2767" s="31">
        <f t="shared" ref="O2767:O2769" si="3212">IF($F2767=16,$H2767*$B$29,0)</f>
        <v>0</v>
      </c>
      <c r="P2767" s="31">
        <f t="shared" ref="P2767:P2769" si="3213">IF($F2767=20,$H2767*$B$30,0)</f>
        <v>0</v>
      </c>
      <c r="Q2767" s="49">
        <f t="shared" ref="Q2767:Q2769" si="3214">IF($F2767=25,$H2767*$B$31,0)</f>
        <v>0</v>
      </c>
    </row>
    <row r="2768" spans="4:17" s="62" customFormat="1" x14ac:dyDescent="0.3">
      <c r="D2768" s="235">
        <v>10</v>
      </c>
      <c r="E2768" s="240">
        <f>2*3</f>
        <v>6</v>
      </c>
      <c r="F2768" s="241">
        <v>8</v>
      </c>
      <c r="G2768" s="242">
        <v>1.49</v>
      </c>
      <c r="H2768" s="239">
        <f t="shared" si="3205"/>
        <v>8.94</v>
      </c>
      <c r="I2768" s="131">
        <f t="shared" si="3206"/>
        <v>0</v>
      </c>
      <c r="J2768" s="31">
        <f t="shared" si="3207"/>
        <v>0</v>
      </c>
      <c r="K2768" s="31">
        <f t="shared" si="3208"/>
        <v>0</v>
      </c>
      <c r="L2768" s="31">
        <f t="shared" si="3209"/>
        <v>3.5312999999999999</v>
      </c>
      <c r="M2768" s="31">
        <f t="shared" si="3210"/>
        <v>0</v>
      </c>
      <c r="N2768" s="31">
        <f t="shared" si="3211"/>
        <v>0</v>
      </c>
      <c r="O2768" s="31">
        <f t="shared" si="3212"/>
        <v>0</v>
      </c>
      <c r="P2768" s="31">
        <f t="shared" si="3213"/>
        <v>0</v>
      </c>
      <c r="Q2768" s="49">
        <f t="shared" si="3214"/>
        <v>0</v>
      </c>
    </row>
    <row r="2769" spans="4:17" s="62" customFormat="1" x14ac:dyDescent="0.3">
      <c r="D2769" s="235">
        <v>26</v>
      </c>
      <c r="E2769" s="240">
        <f>2*2</f>
        <v>4</v>
      </c>
      <c r="F2769" s="241">
        <v>10</v>
      </c>
      <c r="G2769" s="242">
        <v>0.99</v>
      </c>
      <c r="H2769" s="239">
        <f t="shared" si="3205"/>
        <v>3.96</v>
      </c>
      <c r="I2769" s="131">
        <f t="shared" si="3206"/>
        <v>0</v>
      </c>
      <c r="J2769" s="31">
        <f t="shared" si="3207"/>
        <v>0</v>
      </c>
      <c r="K2769" s="31">
        <f t="shared" si="3208"/>
        <v>0</v>
      </c>
      <c r="L2769" s="31">
        <f t="shared" si="3209"/>
        <v>0</v>
      </c>
      <c r="M2769" s="31">
        <f t="shared" si="3210"/>
        <v>2.4433199999999999</v>
      </c>
      <c r="N2769" s="31">
        <f t="shared" si="3211"/>
        <v>0</v>
      </c>
      <c r="O2769" s="31">
        <f t="shared" si="3212"/>
        <v>0</v>
      </c>
      <c r="P2769" s="31">
        <f t="shared" si="3213"/>
        <v>0</v>
      </c>
      <c r="Q2769" s="49">
        <f t="shared" si="3214"/>
        <v>0</v>
      </c>
    </row>
    <row r="2770" spans="4:17" s="62" customFormat="1" ht="15" thickBot="1" x14ac:dyDescent="0.35">
      <c r="D2770" s="307"/>
      <c r="E2770" s="26"/>
      <c r="F2770" s="206"/>
      <c r="G2770" s="207"/>
      <c r="H2770" s="207"/>
      <c r="I2770" s="51"/>
      <c r="J2770" s="308"/>
      <c r="K2770" s="308"/>
      <c r="L2770" s="308"/>
      <c r="M2770" s="308"/>
      <c r="N2770" s="308"/>
      <c r="O2770" s="308"/>
      <c r="P2770" s="308"/>
      <c r="Q2770" s="309"/>
    </row>
    <row r="2771" spans="4:17" s="62" customFormat="1" x14ac:dyDescent="0.3">
      <c r="D2771" s="796" t="s">
        <v>1505</v>
      </c>
      <c r="E2771" s="797"/>
      <c r="F2771" s="797"/>
      <c r="G2771" s="797"/>
      <c r="H2771" s="797"/>
      <c r="I2771" s="47">
        <f t="shared" ref="I2771:Q2771" si="3215">SUM(I2772:I2777)</f>
        <v>0</v>
      </c>
      <c r="J2771" s="47">
        <f t="shared" si="3215"/>
        <v>4.8648599999999993</v>
      </c>
      <c r="K2771" s="47">
        <f t="shared" si="3215"/>
        <v>0</v>
      </c>
      <c r="L2771" s="47">
        <f t="shared" si="3215"/>
        <v>0</v>
      </c>
      <c r="M2771" s="47">
        <f t="shared" si="3215"/>
        <v>0</v>
      </c>
      <c r="N2771" s="47">
        <f t="shared" si="3215"/>
        <v>16.043579999999999</v>
      </c>
      <c r="O2771" s="47">
        <f t="shared" si="3215"/>
        <v>26.478839999999998</v>
      </c>
      <c r="P2771" s="47">
        <f t="shared" si="3215"/>
        <v>0</v>
      </c>
      <c r="Q2771" s="47">
        <f t="shared" si="3215"/>
        <v>0</v>
      </c>
    </row>
    <row r="2772" spans="4:17" s="62" customFormat="1" x14ac:dyDescent="0.3">
      <c r="D2772" s="235">
        <v>1</v>
      </c>
      <c r="E2772" s="237">
        <v>27</v>
      </c>
      <c r="F2772" s="238">
        <v>5</v>
      </c>
      <c r="G2772" s="239">
        <v>1.17</v>
      </c>
      <c r="H2772" s="239">
        <f t="shared" ref="H2772:H2777" si="3216">E2772*G2772</f>
        <v>31.589999999999996</v>
      </c>
      <c r="I2772" s="131">
        <f t="shared" ref="I2772:I2777" si="3217">IF($F2772=4.2,H2772*$B$23,0)</f>
        <v>0</v>
      </c>
      <c r="J2772" s="31">
        <f t="shared" ref="J2772:J2777" si="3218">IF($F2772=5,$H2772*$B$24,0)</f>
        <v>4.8648599999999993</v>
      </c>
      <c r="K2772" s="31">
        <f t="shared" ref="K2772:K2777" si="3219">IF($F2772=6.3,$H2772*$B$25,0)</f>
        <v>0</v>
      </c>
      <c r="L2772" s="31">
        <f t="shared" ref="L2772:L2777" si="3220">IF($F2772=8,$H2772*$B$26,0)</f>
        <v>0</v>
      </c>
      <c r="M2772" s="31">
        <f t="shared" ref="M2772:M2777" si="3221">IF($F2772=10,$H2772*$B$27,0)</f>
        <v>0</v>
      </c>
      <c r="N2772" s="31">
        <f t="shared" ref="N2772:N2777" si="3222">IF($F2772=12.5,$H2772*$B$28,0)</f>
        <v>0</v>
      </c>
      <c r="O2772" s="31">
        <f t="shared" ref="O2772:O2777" si="3223">IF($F2772=16,$H2772*$B$29,0)</f>
        <v>0</v>
      </c>
      <c r="P2772" s="31">
        <f t="shared" ref="P2772:P2777" si="3224">IF($F2772=20,$H2772*$B$30,0)</f>
        <v>0</v>
      </c>
      <c r="Q2772" s="49">
        <f t="shared" ref="Q2772:Q2777" si="3225">IF($F2772=25,$H2772*$B$31,0)</f>
        <v>0</v>
      </c>
    </row>
    <row r="2773" spans="4:17" s="62" customFormat="1" x14ac:dyDescent="0.3">
      <c r="D2773" s="235">
        <v>32</v>
      </c>
      <c r="E2773" s="240">
        <v>1</v>
      </c>
      <c r="F2773" s="241">
        <v>12.5</v>
      </c>
      <c r="G2773" s="242">
        <v>2.8</v>
      </c>
      <c r="H2773" s="239">
        <f t="shared" si="3216"/>
        <v>2.8</v>
      </c>
      <c r="I2773" s="131">
        <f t="shared" si="3217"/>
        <v>0</v>
      </c>
      <c r="J2773" s="31">
        <f t="shared" si="3218"/>
        <v>0</v>
      </c>
      <c r="K2773" s="31">
        <f t="shared" si="3219"/>
        <v>0</v>
      </c>
      <c r="L2773" s="31">
        <f t="shared" si="3220"/>
        <v>0</v>
      </c>
      <c r="M2773" s="31">
        <f t="shared" si="3221"/>
        <v>0</v>
      </c>
      <c r="N2773" s="31">
        <f t="shared" si="3222"/>
        <v>2.6963999999999997</v>
      </c>
      <c r="O2773" s="31">
        <f t="shared" si="3223"/>
        <v>0</v>
      </c>
      <c r="P2773" s="31">
        <f t="shared" si="3224"/>
        <v>0</v>
      </c>
      <c r="Q2773" s="49">
        <f t="shared" si="3225"/>
        <v>0</v>
      </c>
    </row>
    <row r="2774" spans="4:17" s="62" customFormat="1" x14ac:dyDescent="0.3">
      <c r="D2774" s="235">
        <v>33</v>
      </c>
      <c r="E2774" s="240">
        <v>2</v>
      </c>
      <c r="F2774" s="241">
        <v>12.5</v>
      </c>
      <c r="G2774" s="242">
        <v>6.93</v>
      </c>
      <c r="H2774" s="239">
        <f t="shared" si="3216"/>
        <v>13.86</v>
      </c>
      <c r="I2774" s="131">
        <f t="shared" si="3217"/>
        <v>0</v>
      </c>
      <c r="J2774" s="31">
        <f t="shared" si="3218"/>
        <v>0</v>
      </c>
      <c r="K2774" s="31">
        <f t="shared" si="3219"/>
        <v>0</v>
      </c>
      <c r="L2774" s="31">
        <f t="shared" si="3220"/>
        <v>0</v>
      </c>
      <c r="M2774" s="31">
        <f t="shared" si="3221"/>
        <v>0</v>
      </c>
      <c r="N2774" s="31">
        <f t="shared" si="3222"/>
        <v>13.34718</v>
      </c>
      <c r="O2774" s="31">
        <f t="shared" si="3223"/>
        <v>0</v>
      </c>
      <c r="P2774" s="31">
        <f t="shared" si="3224"/>
        <v>0</v>
      </c>
      <c r="Q2774" s="49">
        <f t="shared" si="3225"/>
        <v>0</v>
      </c>
    </row>
    <row r="2775" spans="4:17" s="62" customFormat="1" x14ac:dyDescent="0.3">
      <c r="D2775" s="235">
        <v>48</v>
      </c>
      <c r="E2775" s="240">
        <v>1</v>
      </c>
      <c r="F2775" s="241">
        <v>16</v>
      </c>
      <c r="G2775" s="242">
        <v>3.18</v>
      </c>
      <c r="H2775" s="239">
        <f t="shared" si="3216"/>
        <v>3.18</v>
      </c>
      <c r="I2775" s="131">
        <f t="shared" si="3217"/>
        <v>0</v>
      </c>
      <c r="J2775" s="31">
        <f t="shared" si="3218"/>
        <v>0</v>
      </c>
      <c r="K2775" s="31">
        <f t="shared" si="3219"/>
        <v>0</v>
      </c>
      <c r="L2775" s="31">
        <f t="shared" si="3220"/>
        <v>0</v>
      </c>
      <c r="M2775" s="31">
        <f t="shared" si="3221"/>
        <v>0</v>
      </c>
      <c r="N2775" s="31">
        <f t="shared" si="3222"/>
        <v>0</v>
      </c>
      <c r="O2775" s="31">
        <f t="shared" si="3223"/>
        <v>5.0180400000000001</v>
      </c>
      <c r="P2775" s="31">
        <f t="shared" si="3224"/>
        <v>0</v>
      </c>
      <c r="Q2775" s="49">
        <f t="shared" si="3225"/>
        <v>0</v>
      </c>
    </row>
    <row r="2776" spans="4:17" s="62" customFormat="1" x14ac:dyDescent="0.3">
      <c r="D2776" s="235">
        <v>50</v>
      </c>
      <c r="E2776" s="240">
        <v>1</v>
      </c>
      <c r="F2776" s="241">
        <v>16</v>
      </c>
      <c r="G2776" s="242">
        <v>0.88</v>
      </c>
      <c r="H2776" s="239">
        <f t="shared" si="3216"/>
        <v>0.88</v>
      </c>
      <c r="I2776" s="131">
        <f t="shared" si="3217"/>
        <v>0</v>
      </c>
      <c r="J2776" s="31">
        <f t="shared" si="3218"/>
        <v>0</v>
      </c>
      <c r="K2776" s="31">
        <f t="shared" si="3219"/>
        <v>0</v>
      </c>
      <c r="L2776" s="31">
        <f t="shared" si="3220"/>
        <v>0</v>
      </c>
      <c r="M2776" s="31">
        <f t="shared" si="3221"/>
        <v>0</v>
      </c>
      <c r="N2776" s="31">
        <f t="shared" si="3222"/>
        <v>0</v>
      </c>
      <c r="O2776" s="31">
        <f t="shared" si="3223"/>
        <v>1.3886400000000001</v>
      </c>
      <c r="P2776" s="31">
        <f t="shared" si="3224"/>
        <v>0</v>
      </c>
      <c r="Q2776" s="49">
        <f t="shared" si="3225"/>
        <v>0</v>
      </c>
    </row>
    <row r="2777" spans="4:17" s="62" customFormat="1" x14ac:dyDescent="0.3">
      <c r="D2777" s="235">
        <v>51</v>
      </c>
      <c r="E2777" s="240">
        <v>2</v>
      </c>
      <c r="F2777" s="241">
        <v>16</v>
      </c>
      <c r="G2777" s="242">
        <v>6.36</v>
      </c>
      <c r="H2777" s="239">
        <f t="shared" si="3216"/>
        <v>12.72</v>
      </c>
      <c r="I2777" s="131">
        <f t="shared" si="3217"/>
        <v>0</v>
      </c>
      <c r="J2777" s="31">
        <f t="shared" si="3218"/>
        <v>0</v>
      </c>
      <c r="K2777" s="31">
        <f t="shared" si="3219"/>
        <v>0</v>
      </c>
      <c r="L2777" s="31">
        <f t="shared" si="3220"/>
        <v>0</v>
      </c>
      <c r="M2777" s="31">
        <f t="shared" si="3221"/>
        <v>0</v>
      </c>
      <c r="N2777" s="31">
        <f t="shared" si="3222"/>
        <v>0</v>
      </c>
      <c r="O2777" s="31">
        <f t="shared" si="3223"/>
        <v>20.07216</v>
      </c>
      <c r="P2777" s="31">
        <f t="shared" si="3224"/>
        <v>0</v>
      </c>
      <c r="Q2777" s="49">
        <f t="shared" si="3225"/>
        <v>0</v>
      </c>
    </row>
    <row r="2778" spans="4:17" s="62" customFormat="1" ht="15" thickBot="1" x14ac:dyDescent="0.35">
      <c r="D2778" s="307"/>
      <c r="E2778" s="26"/>
      <c r="F2778" s="206"/>
      <c r="G2778" s="207"/>
      <c r="H2778" s="207"/>
      <c r="I2778" s="51"/>
      <c r="J2778" s="308"/>
      <c r="K2778" s="308"/>
      <c r="L2778" s="308"/>
      <c r="M2778" s="308"/>
      <c r="N2778" s="308"/>
      <c r="O2778" s="308"/>
      <c r="P2778" s="308"/>
      <c r="Q2778" s="309"/>
    </row>
    <row r="2779" spans="4:17" s="62" customFormat="1" x14ac:dyDescent="0.3">
      <c r="D2779" s="796" t="s">
        <v>1506</v>
      </c>
      <c r="E2779" s="797"/>
      <c r="F2779" s="797"/>
      <c r="G2779" s="797"/>
      <c r="H2779" s="797"/>
      <c r="I2779" s="47">
        <f t="shared" ref="I2779:Q2779" si="3226">SUM(I2780:I2785)</f>
        <v>0</v>
      </c>
      <c r="J2779" s="47">
        <f t="shared" si="3226"/>
        <v>4.3243199999999993</v>
      </c>
      <c r="K2779" s="47">
        <f t="shared" si="3226"/>
        <v>0</v>
      </c>
      <c r="L2779" s="47">
        <f t="shared" si="3226"/>
        <v>0</v>
      </c>
      <c r="M2779" s="47">
        <f t="shared" si="3226"/>
        <v>0</v>
      </c>
      <c r="N2779" s="47">
        <f t="shared" si="3226"/>
        <v>12.47085</v>
      </c>
      <c r="O2779" s="47">
        <f t="shared" si="3226"/>
        <v>22.865220000000001</v>
      </c>
      <c r="P2779" s="47">
        <f t="shared" si="3226"/>
        <v>0</v>
      </c>
      <c r="Q2779" s="47">
        <f t="shared" si="3226"/>
        <v>0</v>
      </c>
    </row>
    <row r="2780" spans="4:17" s="62" customFormat="1" x14ac:dyDescent="0.3">
      <c r="D2780" s="235">
        <v>1</v>
      </c>
      <c r="E2780" s="237">
        <v>24</v>
      </c>
      <c r="F2780" s="238">
        <v>5</v>
      </c>
      <c r="G2780" s="239">
        <v>1.17</v>
      </c>
      <c r="H2780" s="239">
        <f t="shared" ref="H2780:H2785" si="3227">E2780*G2780</f>
        <v>28.08</v>
      </c>
      <c r="I2780" s="131">
        <f t="shared" ref="I2780:I2785" si="3228">IF($F2780=4.2,H2780*$B$23,0)</f>
        <v>0</v>
      </c>
      <c r="J2780" s="31">
        <f t="shared" ref="J2780:J2785" si="3229">IF($F2780=5,$H2780*$B$24,0)</f>
        <v>4.3243199999999993</v>
      </c>
      <c r="K2780" s="31">
        <f t="shared" ref="K2780:K2785" si="3230">IF($F2780=6.3,$H2780*$B$25,0)</f>
        <v>0</v>
      </c>
      <c r="L2780" s="31">
        <f t="shared" ref="L2780:L2785" si="3231">IF($F2780=8,$H2780*$B$26,0)</f>
        <v>0</v>
      </c>
      <c r="M2780" s="31">
        <f t="shared" ref="M2780:M2785" si="3232">IF($F2780=10,$H2780*$B$27,0)</f>
        <v>0</v>
      </c>
      <c r="N2780" s="31">
        <f t="shared" ref="N2780:N2785" si="3233">IF($F2780=12.5,$H2780*$B$28,0)</f>
        <v>0</v>
      </c>
      <c r="O2780" s="31">
        <f t="shared" ref="O2780:O2785" si="3234">IF($F2780=16,$H2780*$B$29,0)</f>
        <v>0</v>
      </c>
      <c r="P2780" s="31">
        <f t="shared" ref="P2780:P2785" si="3235">IF($F2780=20,$H2780*$B$30,0)</f>
        <v>0</v>
      </c>
      <c r="Q2780" s="49">
        <f t="shared" ref="Q2780:Q2785" si="3236">IF($F2780=25,$H2780*$B$31,0)</f>
        <v>0</v>
      </c>
    </row>
    <row r="2781" spans="4:17" s="62" customFormat="1" x14ac:dyDescent="0.3">
      <c r="D2781" s="235">
        <v>52</v>
      </c>
      <c r="E2781" s="240">
        <v>1</v>
      </c>
      <c r="F2781" s="241">
        <v>16</v>
      </c>
      <c r="G2781" s="242">
        <v>0.94</v>
      </c>
      <c r="H2781" s="239">
        <f t="shared" si="3227"/>
        <v>0.94</v>
      </c>
      <c r="I2781" s="131">
        <f t="shared" si="3228"/>
        <v>0</v>
      </c>
      <c r="J2781" s="31">
        <f t="shared" si="3229"/>
        <v>0</v>
      </c>
      <c r="K2781" s="31">
        <f t="shared" si="3230"/>
        <v>0</v>
      </c>
      <c r="L2781" s="31">
        <f t="shared" si="3231"/>
        <v>0</v>
      </c>
      <c r="M2781" s="31">
        <f t="shared" si="3232"/>
        <v>0</v>
      </c>
      <c r="N2781" s="31">
        <f t="shared" si="3233"/>
        <v>0</v>
      </c>
      <c r="O2781" s="31">
        <f t="shared" si="3234"/>
        <v>1.48332</v>
      </c>
      <c r="P2781" s="31">
        <f t="shared" si="3235"/>
        <v>0</v>
      </c>
      <c r="Q2781" s="49">
        <f t="shared" si="3236"/>
        <v>0</v>
      </c>
    </row>
    <row r="2782" spans="4:17" s="62" customFormat="1" x14ac:dyDescent="0.3">
      <c r="D2782" s="235">
        <v>53</v>
      </c>
      <c r="E2782" s="240">
        <v>1</v>
      </c>
      <c r="F2782" s="241">
        <v>16</v>
      </c>
      <c r="G2782" s="242">
        <v>3.23</v>
      </c>
      <c r="H2782" s="239">
        <f t="shared" si="3227"/>
        <v>3.23</v>
      </c>
      <c r="I2782" s="131">
        <f t="shared" si="3228"/>
        <v>0</v>
      </c>
      <c r="J2782" s="31">
        <f t="shared" si="3229"/>
        <v>0</v>
      </c>
      <c r="K2782" s="31">
        <f t="shared" si="3230"/>
        <v>0</v>
      </c>
      <c r="L2782" s="31">
        <f t="shared" si="3231"/>
        <v>0</v>
      </c>
      <c r="M2782" s="31">
        <f t="shared" si="3232"/>
        <v>0</v>
      </c>
      <c r="N2782" s="31">
        <f t="shared" si="3233"/>
        <v>0</v>
      </c>
      <c r="O2782" s="31">
        <f t="shared" si="3234"/>
        <v>5.09694</v>
      </c>
      <c r="P2782" s="31">
        <f t="shared" si="3235"/>
        <v>0</v>
      </c>
      <c r="Q2782" s="49">
        <f t="shared" si="3236"/>
        <v>0</v>
      </c>
    </row>
    <row r="2783" spans="4:17" s="62" customFormat="1" x14ac:dyDescent="0.3">
      <c r="D2783" s="235">
        <v>54</v>
      </c>
      <c r="E2783" s="240">
        <v>2</v>
      </c>
      <c r="F2783" s="241">
        <v>16</v>
      </c>
      <c r="G2783" s="242">
        <v>5.16</v>
      </c>
      <c r="H2783" s="239">
        <f t="shared" si="3227"/>
        <v>10.32</v>
      </c>
      <c r="I2783" s="131">
        <f t="shared" si="3228"/>
        <v>0</v>
      </c>
      <c r="J2783" s="31">
        <f t="shared" si="3229"/>
        <v>0</v>
      </c>
      <c r="K2783" s="31">
        <f t="shared" si="3230"/>
        <v>0</v>
      </c>
      <c r="L2783" s="31">
        <f t="shared" si="3231"/>
        <v>0</v>
      </c>
      <c r="M2783" s="31">
        <f t="shared" si="3232"/>
        <v>0</v>
      </c>
      <c r="N2783" s="31">
        <f t="shared" si="3233"/>
        <v>0</v>
      </c>
      <c r="O2783" s="31">
        <f t="shared" si="3234"/>
        <v>16.284960000000002</v>
      </c>
      <c r="P2783" s="31">
        <f t="shared" si="3235"/>
        <v>0</v>
      </c>
      <c r="Q2783" s="49">
        <f t="shared" si="3236"/>
        <v>0</v>
      </c>
    </row>
    <row r="2784" spans="4:17" s="62" customFormat="1" x14ac:dyDescent="0.3">
      <c r="D2784" s="235">
        <v>35</v>
      </c>
      <c r="E2784" s="240">
        <v>1</v>
      </c>
      <c r="F2784" s="241">
        <v>12.5</v>
      </c>
      <c r="G2784" s="242">
        <v>1.65</v>
      </c>
      <c r="H2784" s="239">
        <f t="shared" si="3227"/>
        <v>1.65</v>
      </c>
      <c r="I2784" s="131">
        <f t="shared" si="3228"/>
        <v>0</v>
      </c>
      <c r="J2784" s="31">
        <f t="shared" si="3229"/>
        <v>0</v>
      </c>
      <c r="K2784" s="31">
        <f t="shared" si="3230"/>
        <v>0</v>
      </c>
      <c r="L2784" s="31">
        <f t="shared" si="3231"/>
        <v>0</v>
      </c>
      <c r="M2784" s="31">
        <f t="shared" si="3232"/>
        <v>0</v>
      </c>
      <c r="N2784" s="31">
        <f t="shared" si="3233"/>
        <v>1.5889499999999999</v>
      </c>
      <c r="O2784" s="31">
        <f t="shared" si="3234"/>
        <v>0</v>
      </c>
      <c r="P2784" s="31">
        <f t="shared" si="3235"/>
        <v>0</v>
      </c>
      <c r="Q2784" s="49">
        <f t="shared" si="3236"/>
        <v>0</v>
      </c>
    </row>
    <row r="2785" spans="2:20" s="62" customFormat="1" x14ac:dyDescent="0.3">
      <c r="D2785" s="235">
        <v>36</v>
      </c>
      <c r="E2785" s="240">
        <v>2</v>
      </c>
      <c r="F2785" s="241">
        <v>12.5</v>
      </c>
      <c r="G2785" s="242">
        <v>5.65</v>
      </c>
      <c r="H2785" s="239">
        <f t="shared" si="3227"/>
        <v>11.3</v>
      </c>
      <c r="I2785" s="131">
        <f t="shared" si="3228"/>
        <v>0</v>
      </c>
      <c r="J2785" s="31">
        <f t="shared" si="3229"/>
        <v>0</v>
      </c>
      <c r="K2785" s="31">
        <f t="shared" si="3230"/>
        <v>0</v>
      </c>
      <c r="L2785" s="31">
        <f t="shared" si="3231"/>
        <v>0</v>
      </c>
      <c r="M2785" s="31">
        <f t="shared" si="3232"/>
        <v>0</v>
      </c>
      <c r="N2785" s="31">
        <f t="shared" si="3233"/>
        <v>10.8819</v>
      </c>
      <c r="O2785" s="31">
        <f t="shared" si="3234"/>
        <v>0</v>
      </c>
      <c r="P2785" s="31">
        <f t="shared" si="3235"/>
        <v>0</v>
      </c>
      <c r="Q2785" s="49">
        <f t="shared" si="3236"/>
        <v>0</v>
      </c>
    </row>
    <row r="2786" spans="2:20" s="62" customFormat="1" ht="15" thickBot="1" x14ac:dyDescent="0.35">
      <c r="D2786" s="307"/>
      <c r="E2786" s="26"/>
      <c r="F2786" s="206"/>
      <c r="G2786" s="207"/>
      <c r="H2786" s="207"/>
      <c r="I2786" s="51"/>
      <c r="J2786" s="308"/>
      <c r="K2786" s="308"/>
      <c r="L2786" s="308"/>
      <c r="M2786" s="308"/>
      <c r="N2786" s="308"/>
      <c r="O2786" s="308"/>
      <c r="P2786" s="308"/>
      <c r="Q2786" s="309"/>
    </row>
    <row r="2787" spans="2:20" s="62" customFormat="1" x14ac:dyDescent="0.3">
      <c r="D2787" s="796" t="s">
        <v>1507</v>
      </c>
      <c r="E2787" s="797"/>
      <c r="F2787" s="797"/>
      <c r="G2787" s="797"/>
      <c r="H2787" s="797"/>
      <c r="I2787" s="47">
        <f t="shared" ref="I2787:Q2787" si="3237">SUM(I2788:I2796)</f>
        <v>0</v>
      </c>
      <c r="J2787" s="47">
        <f t="shared" si="3237"/>
        <v>9.5495400000000004</v>
      </c>
      <c r="K2787" s="47">
        <f t="shared" si="3237"/>
        <v>0</v>
      </c>
      <c r="L2787" s="47">
        <f t="shared" si="3237"/>
        <v>0</v>
      </c>
      <c r="M2787" s="47">
        <f t="shared" si="3237"/>
        <v>35.662599999999998</v>
      </c>
      <c r="N2787" s="47">
        <f t="shared" si="3237"/>
        <v>0</v>
      </c>
      <c r="O2787" s="47">
        <f t="shared" si="3237"/>
        <v>44.404920000000004</v>
      </c>
      <c r="P2787" s="47">
        <f t="shared" si="3237"/>
        <v>0</v>
      </c>
      <c r="Q2787" s="47">
        <f t="shared" si="3237"/>
        <v>0</v>
      </c>
    </row>
    <row r="2788" spans="2:20" s="62" customFormat="1" x14ac:dyDescent="0.3">
      <c r="D2788" s="235">
        <v>1</v>
      </c>
      <c r="E2788" s="237">
        <v>53</v>
      </c>
      <c r="F2788" s="238">
        <v>5</v>
      </c>
      <c r="G2788" s="239">
        <v>1.17</v>
      </c>
      <c r="H2788" s="239">
        <f t="shared" ref="H2788:H2796" si="3238">E2788*G2788</f>
        <v>62.01</v>
      </c>
      <c r="I2788" s="131">
        <f t="shared" ref="I2788:I2796" si="3239">IF($F2788=4.2,H2788*$B$23,0)</f>
        <v>0</v>
      </c>
      <c r="J2788" s="31">
        <f t="shared" ref="J2788:J2796" si="3240">IF($F2788=5,$H2788*$B$24,0)</f>
        <v>9.5495400000000004</v>
      </c>
      <c r="K2788" s="31">
        <f t="shared" ref="K2788:K2796" si="3241">IF($F2788=6.3,$H2788*$B$25,0)</f>
        <v>0</v>
      </c>
      <c r="L2788" s="31">
        <f t="shared" ref="L2788:L2796" si="3242">IF($F2788=8,$H2788*$B$26,0)</f>
        <v>0</v>
      </c>
      <c r="M2788" s="31">
        <f t="shared" ref="M2788:M2796" si="3243">IF($F2788=10,$H2788*$B$27,0)</f>
        <v>0</v>
      </c>
      <c r="N2788" s="31">
        <f t="shared" ref="N2788:N2796" si="3244">IF($F2788=12.5,$H2788*$B$28,0)</f>
        <v>0</v>
      </c>
      <c r="O2788" s="31">
        <f t="shared" ref="O2788:O2796" si="3245">IF($F2788=16,$H2788*$B$29,0)</f>
        <v>0</v>
      </c>
      <c r="P2788" s="31">
        <f t="shared" ref="P2788:P2796" si="3246">IF($F2788=20,$H2788*$B$30,0)</f>
        <v>0</v>
      </c>
      <c r="Q2788" s="49">
        <f t="shared" ref="Q2788:Q2796" si="3247">IF($F2788=25,$H2788*$B$31,0)</f>
        <v>0</v>
      </c>
    </row>
    <row r="2789" spans="2:20" s="62" customFormat="1" x14ac:dyDescent="0.3">
      <c r="D2789" s="235">
        <v>27</v>
      </c>
      <c r="E2789" s="240">
        <v>2</v>
      </c>
      <c r="F2789" s="241">
        <v>10</v>
      </c>
      <c r="G2789" s="242">
        <v>2.75</v>
      </c>
      <c r="H2789" s="239">
        <f t="shared" si="3238"/>
        <v>5.5</v>
      </c>
      <c r="I2789" s="131">
        <f t="shared" si="3239"/>
        <v>0</v>
      </c>
      <c r="J2789" s="31">
        <f t="shared" si="3240"/>
        <v>0</v>
      </c>
      <c r="K2789" s="31">
        <f t="shared" si="3241"/>
        <v>0</v>
      </c>
      <c r="L2789" s="31">
        <f t="shared" si="3242"/>
        <v>0</v>
      </c>
      <c r="M2789" s="31">
        <f t="shared" si="3243"/>
        <v>3.3935</v>
      </c>
      <c r="N2789" s="31">
        <f t="shared" si="3244"/>
        <v>0</v>
      </c>
      <c r="O2789" s="31">
        <f t="shared" si="3245"/>
        <v>0</v>
      </c>
      <c r="P2789" s="31">
        <f t="shared" si="3246"/>
        <v>0</v>
      </c>
      <c r="Q2789" s="49">
        <f t="shared" si="3247"/>
        <v>0</v>
      </c>
    </row>
    <row r="2790" spans="2:20" s="62" customFormat="1" x14ac:dyDescent="0.3">
      <c r="D2790" s="235">
        <v>28</v>
      </c>
      <c r="E2790" s="240">
        <v>2</v>
      </c>
      <c r="F2790" s="241">
        <v>10</v>
      </c>
      <c r="G2790" s="242">
        <v>2.95</v>
      </c>
      <c r="H2790" s="239">
        <f t="shared" si="3238"/>
        <v>5.9</v>
      </c>
      <c r="I2790" s="131">
        <f t="shared" si="3239"/>
        <v>0</v>
      </c>
      <c r="J2790" s="31">
        <f t="shared" si="3240"/>
        <v>0</v>
      </c>
      <c r="K2790" s="31">
        <f t="shared" si="3241"/>
        <v>0</v>
      </c>
      <c r="L2790" s="31">
        <f t="shared" si="3242"/>
        <v>0</v>
      </c>
      <c r="M2790" s="31">
        <f t="shared" si="3243"/>
        <v>3.6403000000000003</v>
      </c>
      <c r="N2790" s="31">
        <f t="shared" si="3244"/>
        <v>0</v>
      </c>
      <c r="O2790" s="31">
        <f t="shared" si="3245"/>
        <v>0</v>
      </c>
      <c r="P2790" s="31">
        <f t="shared" si="3246"/>
        <v>0</v>
      </c>
      <c r="Q2790" s="49">
        <f t="shared" si="3247"/>
        <v>0</v>
      </c>
    </row>
    <row r="2791" spans="2:20" s="62" customFormat="1" x14ac:dyDescent="0.3">
      <c r="D2791" s="235">
        <v>29</v>
      </c>
      <c r="E2791" s="240">
        <v>4</v>
      </c>
      <c r="F2791" s="241">
        <v>10</v>
      </c>
      <c r="G2791" s="242">
        <v>1.62</v>
      </c>
      <c r="H2791" s="239">
        <f t="shared" si="3238"/>
        <v>6.48</v>
      </c>
      <c r="I2791" s="131">
        <f t="shared" si="3239"/>
        <v>0</v>
      </c>
      <c r="J2791" s="31">
        <f t="shared" si="3240"/>
        <v>0</v>
      </c>
      <c r="K2791" s="31">
        <f t="shared" si="3241"/>
        <v>0</v>
      </c>
      <c r="L2791" s="31">
        <f t="shared" si="3242"/>
        <v>0</v>
      </c>
      <c r="M2791" s="31">
        <f t="shared" si="3243"/>
        <v>3.9981600000000004</v>
      </c>
      <c r="N2791" s="31">
        <f t="shared" si="3244"/>
        <v>0</v>
      </c>
      <c r="O2791" s="31">
        <f t="shared" si="3245"/>
        <v>0</v>
      </c>
      <c r="P2791" s="31">
        <f t="shared" si="3246"/>
        <v>0</v>
      </c>
      <c r="Q2791" s="49">
        <f t="shared" si="3247"/>
        <v>0</v>
      </c>
    </row>
    <row r="2792" spans="2:20" s="62" customFormat="1" x14ac:dyDescent="0.3">
      <c r="D2792" s="235">
        <v>30</v>
      </c>
      <c r="E2792" s="240">
        <v>1</v>
      </c>
      <c r="F2792" s="241">
        <v>10</v>
      </c>
      <c r="G2792" s="242">
        <v>7.7</v>
      </c>
      <c r="H2792" s="239">
        <f t="shared" si="3238"/>
        <v>7.7</v>
      </c>
      <c r="I2792" s="131">
        <f t="shared" si="3239"/>
        <v>0</v>
      </c>
      <c r="J2792" s="31">
        <f t="shared" si="3240"/>
        <v>0</v>
      </c>
      <c r="K2792" s="31">
        <f t="shared" si="3241"/>
        <v>0</v>
      </c>
      <c r="L2792" s="31">
        <f t="shared" si="3242"/>
        <v>0</v>
      </c>
      <c r="M2792" s="31">
        <f t="shared" si="3243"/>
        <v>4.7508999999999997</v>
      </c>
      <c r="N2792" s="31">
        <f t="shared" si="3244"/>
        <v>0</v>
      </c>
      <c r="O2792" s="31">
        <f t="shared" si="3245"/>
        <v>0</v>
      </c>
      <c r="P2792" s="31">
        <f t="shared" si="3246"/>
        <v>0</v>
      </c>
      <c r="Q2792" s="49">
        <f t="shared" si="3247"/>
        <v>0</v>
      </c>
    </row>
    <row r="2793" spans="2:20" s="62" customFormat="1" x14ac:dyDescent="0.3">
      <c r="D2793" s="235">
        <v>31</v>
      </c>
      <c r="E2793" s="240">
        <v>3</v>
      </c>
      <c r="F2793" s="241">
        <v>10</v>
      </c>
      <c r="G2793" s="242">
        <v>10.74</v>
      </c>
      <c r="H2793" s="239">
        <f t="shared" si="3238"/>
        <v>32.22</v>
      </c>
      <c r="I2793" s="131">
        <f t="shared" si="3239"/>
        <v>0</v>
      </c>
      <c r="J2793" s="31">
        <f t="shared" si="3240"/>
        <v>0</v>
      </c>
      <c r="K2793" s="31">
        <f t="shared" si="3241"/>
        <v>0</v>
      </c>
      <c r="L2793" s="31">
        <f t="shared" si="3242"/>
        <v>0</v>
      </c>
      <c r="M2793" s="31">
        <f t="shared" si="3243"/>
        <v>19.879739999999998</v>
      </c>
      <c r="N2793" s="31">
        <f t="shared" si="3244"/>
        <v>0</v>
      </c>
      <c r="O2793" s="31">
        <f t="shared" si="3245"/>
        <v>0</v>
      </c>
      <c r="P2793" s="31">
        <f t="shared" si="3246"/>
        <v>0</v>
      </c>
      <c r="Q2793" s="49">
        <f t="shared" si="3247"/>
        <v>0</v>
      </c>
    </row>
    <row r="2794" spans="2:20" s="62" customFormat="1" x14ac:dyDescent="0.3">
      <c r="D2794" s="235">
        <v>53</v>
      </c>
      <c r="E2794" s="240">
        <v>1</v>
      </c>
      <c r="F2794" s="241">
        <v>16</v>
      </c>
      <c r="G2794" s="242">
        <v>3.23</v>
      </c>
      <c r="H2794" s="239">
        <f t="shared" si="3238"/>
        <v>3.23</v>
      </c>
      <c r="I2794" s="131">
        <f t="shared" si="3239"/>
        <v>0</v>
      </c>
      <c r="J2794" s="31">
        <f t="shared" si="3240"/>
        <v>0</v>
      </c>
      <c r="K2794" s="31">
        <f t="shared" si="3241"/>
        <v>0</v>
      </c>
      <c r="L2794" s="31">
        <f t="shared" si="3242"/>
        <v>0</v>
      </c>
      <c r="M2794" s="31">
        <f t="shared" si="3243"/>
        <v>0</v>
      </c>
      <c r="N2794" s="31">
        <f t="shared" si="3244"/>
        <v>0</v>
      </c>
      <c r="O2794" s="31">
        <f t="shared" si="3245"/>
        <v>5.09694</v>
      </c>
      <c r="P2794" s="31">
        <f t="shared" si="3246"/>
        <v>0</v>
      </c>
      <c r="Q2794" s="49">
        <f t="shared" si="3247"/>
        <v>0</v>
      </c>
    </row>
    <row r="2795" spans="2:20" s="62" customFormat="1" x14ac:dyDescent="0.3">
      <c r="D2795" s="235">
        <v>55</v>
      </c>
      <c r="E2795" s="240">
        <v>1</v>
      </c>
      <c r="F2795" s="241">
        <v>16</v>
      </c>
      <c r="G2795" s="242">
        <v>3.43</v>
      </c>
      <c r="H2795" s="239">
        <f t="shared" si="3238"/>
        <v>3.43</v>
      </c>
      <c r="I2795" s="131">
        <f t="shared" si="3239"/>
        <v>0</v>
      </c>
      <c r="J2795" s="31">
        <f t="shared" si="3240"/>
        <v>0</v>
      </c>
      <c r="K2795" s="31">
        <f t="shared" si="3241"/>
        <v>0</v>
      </c>
      <c r="L2795" s="31">
        <f t="shared" si="3242"/>
        <v>0</v>
      </c>
      <c r="M2795" s="31">
        <f t="shared" si="3243"/>
        <v>0</v>
      </c>
      <c r="N2795" s="31">
        <f t="shared" si="3244"/>
        <v>0</v>
      </c>
      <c r="O2795" s="31">
        <f t="shared" si="3245"/>
        <v>5.4125400000000008</v>
      </c>
      <c r="P2795" s="31">
        <f t="shared" si="3246"/>
        <v>0</v>
      </c>
      <c r="Q2795" s="49">
        <f t="shared" si="3247"/>
        <v>0</v>
      </c>
    </row>
    <row r="2796" spans="2:20" s="62" customFormat="1" x14ac:dyDescent="0.3">
      <c r="D2796" s="235">
        <v>56</v>
      </c>
      <c r="E2796" s="240">
        <v>2</v>
      </c>
      <c r="F2796" s="241">
        <v>16</v>
      </c>
      <c r="G2796" s="242">
        <v>10.74</v>
      </c>
      <c r="H2796" s="239">
        <f t="shared" si="3238"/>
        <v>21.48</v>
      </c>
      <c r="I2796" s="131">
        <f t="shared" si="3239"/>
        <v>0</v>
      </c>
      <c r="J2796" s="31">
        <f t="shared" si="3240"/>
        <v>0</v>
      </c>
      <c r="K2796" s="31">
        <f t="shared" si="3241"/>
        <v>0</v>
      </c>
      <c r="L2796" s="31">
        <f t="shared" si="3242"/>
        <v>0</v>
      </c>
      <c r="M2796" s="31">
        <f t="shared" si="3243"/>
        <v>0</v>
      </c>
      <c r="N2796" s="31">
        <f t="shared" si="3244"/>
        <v>0</v>
      </c>
      <c r="O2796" s="31">
        <f t="shared" si="3245"/>
        <v>33.895440000000001</v>
      </c>
      <c r="P2796" s="31">
        <f t="shared" si="3246"/>
        <v>0</v>
      </c>
      <c r="Q2796" s="49">
        <f t="shared" si="3247"/>
        <v>0</v>
      </c>
    </row>
    <row r="2797" spans="2:20" s="62" customFormat="1" ht="15" thickBot="1" x14ac:dyDescent="0.35">
      <c r="D2797" s="307"/>
      <c r="E2797" s="26"/>
      <c r="F2797" s="206"/>
      <c r="G2797" s="207"/>
      <c r="H2797" s="207"/>
      <c r="I2797" s="51"/>
      <c r="J2797" s="308"/>
      <c r="K2797" s="308"/>
      <c r="L2797" s="308"/>
      <c r="M2797" s="308"/>
      <c r="N2797" s="308"/>
      <c r="O2797" s="308"/>
      <c r="P2797" s="308"/>
      <c r="Q2797" s="309"/>
    </row>
    <row r="2798" spans="2:20" s="16" customFormat="1" ht="15" customHeight="1" thickBot="1" x14ac:dyDescent="0.3">
      <c r="B2798" s="34"/>
      <c r="D2798" s="792" t="s">
        <v>583</v>
      </c>
      <c r="E2798" s="793"/>
      <c r="F2798" s="793"/>
      <c r="G2798" s="793"/>
      <c r="H2798" s="793"/>
      <c r="I2798" s="793"/>
      <c r="J2798" s="793"/>
      <c r="K2798" s="793"/>
      <c r="L2798" s="793"/>
      <c r="M2798" s="793"/>
      <c r="N2798" s="793"/>
      <c r="O2798" s="793"/>
      <c r="P2798" s="793"/>
      <c r="Q2798" s="794"/>
      <c r="S2798" s="795"/>
      <c r="T2798" s="795"/>
    </row>
    <row r="2799" spans="2:20" s="62" customFormat="1" x14ac:dyDescent="0.3">
      <c r="D2799" s="796" t="s">
        <v>1591</v>
      </c>
      <c r="E2799" s="797"/>
      <c r="F2799" s="797"/>
      <c r="G2799" s="797"/>
      <c r="H2799" s="797"/>
      <c r="I2799" s="47">
        <f t="shared" ref="I2799:Q2799" si="3248">SUM(I2800:I2810)</f>
        <v>0</v>
      </c>
      <c r="J2799" s="47">
        <f t="shared" si="3248"/>
        <v>7.5613999999999999</v>
      </c>
      <c r="K2799" s="47">
        <f t="shared" si="3248"/>
        <v>0</v>
      </c>
      <c r="L2799" s="47">
        <f t="shared" si="3248"/>
        <v>1.10205</v>
      </c>
      <c r="M2799" s="47">
        <f t="shared" si="3248"/>
        <v>20.052500000000002</v>
      </c>
      <c r="N2799" s="47">
        <f t="shared" si="3248"/>
        <v>20.800799999999999</v>
      </c>
      <c r="O2799" s="47">
        <f t="shared" si="3248"/>
        <v>0</v>
      </c>
      <c r="P2799" s="47">
        <f t="shared" si="3248"/>
        <v>0</v>
      </c>
      <c r="Q2799" s="47">
        <f t="shared" si="3248"/>
        <v>0</v>
      </c>
    </row>
    <row r="2800" spans="2:20" s="62" customFormat="1" x14ac:dyDescent="0.3">
      <c r="D2800" s="235">
        <v>1</v>
      </c>
      <c r="E2800" s="237">
        <v>23</v>
      </c>
      <c r="F2800" s="238">
        <v>5</v>
      </c>
      <c r="G2800" s="239">
        <v>1.27</v>
      </c>
      <c r="H2800" s="239">
        <f t="shared" ref="H2800:H2810" si="3249">E2800*G2800</f>
        <v>29.21</v>
      </c>
      <c r="I2800" s="131">
        <f t="shared" ref="I2800:I2810" si="3250">IF($F2800=4.2,H2800*$B$23,0)</f>
        <v>0</v>
      </c>
      <c r="J2800" s="31">
        <f t="shared" ref="J2800:J2810" si="3251">IF($F2800=5,$H2800*$B$24,0)</f>
        <v>4.4983399999999998</v>
      </c>
      <c r="K2800" s="31">
        <f t="shared" ref="K2800:K2810" si="3252">IF($F2800=6.3,$H2800*$B$25,0)</f>
        <v>0</v>
      </c>
      <c r="L2800" s="31">
        <f t="shared" ref="L2800:L2810" si="3253">IF($F2800=8,$H2800*$B$26,0)</f>
        <v>0</v>
      </c>
      <c r="M2800" s="31">
        <f t="shared" ref="M2800:M2810" si="3254">IF($F2800=10,$H2800*$B$27,0)</f>
        <v>0</v>
      </c>
      <c r="N2800" s="31">
        <f t="shared" ref="N2800:N2810" si="3255">IF($F2800=12.5,$H2800*$B$28,0)</f>
        <v>0</v>
      </c>
      <c r="O2800" s="31">
        <f t="shared" ref="O2800:O2810" si="3256">IF($F2800=16,$H2800*$B$29,0)</f>
        <v>0</v>
      </c>
      <c r="P2800" s="31">
        <f t="shared" ref="P2800:P2810" si="3257">IF($F2800=20,$H2800*$B$30,0)</f>
        <v>0</v>
      </c>
      <c r="Q2800" s="49">
        <f t="shared" ref="Q2800:Q2810" si="3258">IF($F2800=25,$H2800*$B$31,0)</f>
        <v>0</v>
      </c>
    </row>
    <row r="2801" spans="4:17" s="62" customFormat="1" x14ac:dyDescent="0.3">
      <c r="D2801" s="235">
        <v>2</v>
      </c>
      <c r="E2801" s="240">
        <v>17</v>
      </c>
      <c r="F2801" s="241">
        <v>5</v>
      </c>
      <c r="G2801" s="242">
        <v>1.17</v>
      </c>
      <c r="H2801" s="239">
        <f t="shared" si="3249"/>
        <v>19.89</v>
      </c>
      <c r="I2801" s="131">
        <f t="shared" si="3250"/>
        <v>0</v>
      </c>
      <c r="J2801" s="31">
        <f t="shared" si="3251"/>
        <v>3.0630600000000001</v>
      </c>
      <c r="K2801" s="31">
        <f t="shared" si="3252"/>
        <v>0</v>
      </c>
      <c r="L2801" s="31">
        <f t="shared" si="3253"/>
        <v>0</v>
      </c>
      <c r="M2801" s="31">
        <f t="shared" si="3254"/>
        <v>0</v>
      </c>
      <c r="N2801" s="31">
        <f t="shared" si="3255"/>
        <v>0</v>
      </c>
      <c r="O2801" s="31">
        <f t="shared" si="3256"/>
        <v>0</v>
      </c>
      <c r="P2801" s="31">
        <f t="shared" si="3257"/>
        <v>0</v>
      </c>
      <c r="Q2801" s="49">
        <f t="shared" si="3258"/>
        <v>0</v>
      </c>
    </row>
    <row r="2802" spans="4:17" s="62" customFormat="1" x14ac:dyDescent="0.3">
      <c r="D2802" s="235">
        <v>8</v>
      </c>
      <c r="E2802" s="240">
        <v>3</v>
      </c>
      <c r="F2802" s="241">
        <v>8</v>
      </c>
      <c r="G2802" s="242">
        <v>0.93</v>
      </c>
      <c r="H2802" s="239">
        <f t="shared" si="3249"/>
        <v>2.79</v>
      </c>
      <c r="I2802" s="131">
        <f t="shared" si="3250"/>
        <v>0</v>
      </c>
      <c r="J2802" s="31">
        <f t="shared" si="3251"/>
        <v>0</v>
      </c>
      <c r="K2802" s="31">
        <f t="shared" si="3252"/>
        <v>0</v>
      </c>
      <c r="L2802" s="31">
        <f t="shared" si="3253"/>
        <v>1.10205</v>
      </c>
      <c r="M2802" s="31">
        <f t="shared" si="3254"/>
        <v>0</v>
      </c>
      <c r="N2802" s="31">
        <f t="shared" si="3255"/>
        <v>0</v>
      </c>
      <c r="O2802" s="31">
        <f t="shared" si="3256"/>
        <v>0</v>
      </c>
      <c r="P2802" s="31">
        <f t="shared" si="3257"/>
        <v>0</v>
      </c>
      <c r="Q2802" s="49">
        <f t="shared" si="3258"/>
        <v>0</v>
      </c>
    </row>
    <row r="2803" spans="4:17" s="62" customFormat="1" x14ac:dyDescent="0.3">
      <c r="D2803" s="235">
        <v>20</v>
      </c>
      <c r="E2803" s="240">
        <v>4</v>
      </c>
      <c r="F2803" s="241">
        <v>10</v>
      </c>
      <c r="G2803" s="242">
        <v>4.4000000000000004</v>
      </c>
      <c r="H2803" s="239">
        <f t="shared" si="3249"/>
        <v>17.600000000000001</v>
      </c>
      <c r="I2803" s="131">
        <f t="shared" si="3250"/>
        <v>0</v>
      </c>
      <c r="J2803" s="31">
        <f t="shared" si="3251"/>
        <v>0</v>
      </c>
      <c r="K2803" s="31">
        <f t="shared" si="3252"/>
        <v>0</v>
      </c>
      <c r="L2803" s="31">
        <f t="shared" si="3253"/>
        <v>0</v>
      </c>
      <c r="M2803" s="31">
        <f t="shared" si="3254"/>
        <v>10.859200000000001</v>
      </c>
      <c r="N2803" s="31">
        <f t="shared" si="3255"/>
        <v>0</v>
      </c>
      <c r="O2803" s="31">
        <f t="shared" si="3256"/>
        <v>0</v>
      </c>
      <c r="P2803" s="31">
        <f t="shared" si="3257"/>
        <v>0</v>
      </c>
      <c r="Q2803" s="49">
        <f t="shared" si="3258"/>
        <v>0</v>
      </c>
    </row>
    <row r="2804" spans="4:17" s="62" customFormat="1" x14ac:dyDescent="0.3">
      <c r="D2804" s="235">
        <v>21</v>
      </c>
      <c r="E2804" s="240">
        <v>1</v>
      </c>
      <c r="F2804" s="241">
        <v>10</v>
      </c>
      <c r="G2804" s="242">
        <v>1.65</v>
      </c>
      <c r="H2804" s="239">
        <f t="shared" si="3249"/>
        <v>1.65</v>
      </c>
      <c r="I2804" s="131">
        <f t="shared" si="3250"/>
        <v>0</v>
      </c>
      <c r="J2804" s="31">
        <f t="shared" si="3251"/>
        <v>0</v>
      </c>
      <c r="K2804" s="31">
        <f t="shared" si="3252"/>
        <v>0</v>
      </c>
      <c r="L2804" s="31">
        <f t="shared" si="3253"/>
        <v>0</v>
      </c>
      <c r="M2804" s="31">
        <f t="shared" si="3254"/>
        <v>1.0180499999999999</v>
      </c>
      <c r="N2804" s="31">
        <f t="shared" si="3255"/>
        <v>0</v>
      </c>
      <c r="O2804" s="31">
        <f t="shared" si="3256"/>
        <v>0</v>
      </c>
      <c r="P2804" s="31">
        <f t="shared" si="3257"/>
        <v>0</v>
      </c>
      <c r="Q2804" s="49">
        <f t="shared" si="3258"/>
        <v>0</v>
      </c>
    </row>
    <row r="2805" spans="4:17" s="62" customFormat="1" x14ac:dyDescent="0.3">
      <c r="D2805" s="235">
        <v>22</v>
      </c>
      <c r="E2805" s="240">
        <v>1</v>
      </c>
      <c r="F2805" s="241">
        <v>10</v>
      </c>
      <c r="G2805" s="242">
        <v>2.15</v>
      </c>
      <c r="H2805" s="239">
        <f t="shared" si="3249"/>
        <v>2.15</v>
      </c>
      <c r="I2805" s="131">
        <f t="shared" si="3250"/>
        <v>0</v>
      </c>
      <c r="J2805" s="31">
        <f t="shared" si="3251"/>
        <v>0</v>
      </c>
      <c r="K2805" s="31">
        <f t="shared" si="3252"/>
        <v>0</v>
      </c>
      <c r="L2805" s="31">
        <f t="shared" si="3253"/>
        <v>0</v>
      </c>
      <c r="M2805" s="31">
        <f t="shared" si="3254"/>
        <v>1.3265499999999999</v>
      </c>
      <c r="N2805" s="31">
        <f t="shared" si="3255"/>
        <v>0</v>
      </c>
      <c r="O2805" s="31">
        <f t="shared" si="3256"/>
        <v>0</v>
      </c>
      <c r="P2805" s="31">
        <f t="shared" si="3257"/>
        <v>0</v>
      </c>
      <c r="Q2805" s="49">
        <f t="shared" si="3258"/>
        <v>0</v>
      </c>
    </row>
    <row r="2806" spans="4:17" s="62" customFormat="1" x14ac:dyDescent="0.3">
      <c r="D2806" s="235">
        <v>23</v>
      </c>
      <c r="E2806" s="240">
        <v>2</v>
      </c>
      <c r="F2806" s="241">
        <v>10</v>
      </c>
      <c r="G2806" s="242">
        <v>3.88</v>
      </c>
      <c r="H2806" s="239">
        <f t="shared" si="3249"/>
        <v>7.76</v>
      </c>
      <c r="I2806" s="131">
        <f t="shared" si="3250"/>
        <v>0</v>
      </c>
      <c r="J2806" s="31">
        <f t="shared" si="3251"/>
        <v>0</v>
      </c>
      <c r="K2806" s="31">
        <f t="shared" si="3252"/>
        <v>0</v>
      </c>
      <c r="L2806" s="31">
        <f t="shared" si="3253"/>
        <v>0</v>
      </c>
      <c r="M2806" s="31">
        <f t="shared" si="3254"/>
        <v>4.7879199999999997</v>
      </c>
      <c r="N2806" s="31">
        <f t="shared" si="3255"/>
        <v>0</v>
      </c>
      <c r="O2806" s="31">
        <f t="shared" si="3256"/>
        <v>0</v>
      </c>
      <c r="P2806" s="31">
        <f t="shared" si="3257"/>
        <v>0</v>
      </c>
      <c r="Q2806" s="49">
        <f t="shared" si="3258"/>
        <v>0</v>
      </c>
    </row>
    <row r="2807" spans="4:17" s="62" customFormat="1" x14ac:dyDescent="0.3">
      <c r="D2807" s="235">
        <v>24</v>
      </c>
      <c r="E2807" s="240">
        <v>2</v>
      </c>
      <c r="F2807" s="241">
        <v>10</v>
      </c>
      <c r="G2807" s="242">
        <v>1.67</v>
      </c>
      <c r="H2807" s="239">
        <f t="shared" si="3249"/>
        <v>3.34</v>
      </c>
      <c r="I2807" s="131">
        <f t="shared" si="3250"/>
        <v>0</v>
      </c>
      <c r="J2807" s="31">
        <f t="shared" si="3251"/>
        <v>0</v>
      </c>
      <c r="K2807" s="31">
        <f t="shared" si="3252"/>
        <v>0</v>
      </c>
      <c r="L2807" s="31">
        <f t="shared" si="3253"/>
        <v>0</v>
      </c>
      <c r="M2807" s="31">
        <f t="shared" si="3254"/>
        <v>2.0607799999999998</v>
      </c>
      <c r="N2807" s="31">
        <f t="shared" si="3255"/>
        <v>0</v>
      </c>
      <c r="O2807" s="31">
        <f t="shared" si="3256"/>
        <v>0</v>
      </c>
      <c r="P2807" s="31">
        <f t="shared" si="3257"/>
        <v>0</v>
      </c>
      <c r="Q2807" s="49">
        <f t="shared" si="3258"/>
        <v>0</v>
      </c>
    </row>
    <row r="2808" spans="4:17" s="62" customFormat="1" x14ac:dyDescent="0.3">
      <c r="D2808" s="235">
        <v>52</v>
      </c>
      <c r="E2808" s="240">
        <v>1</v>
      </c>
      <c r="F2808" s="241">
        <v>12.5</v>
      </c>
      <c r="G2808" s="242">
        <v>5.54</v>
      </c>
      <c r="H2808" s="239">
        <f t="shared" si="3249"/>
        <v>5.54</v>
      </c>
      <c r="I2808" s="131">
        <f t="shared" si="3250"/>
        <v>0</v>
      </c>
      <c r="J2808" s="31">
        <f t="shared" si="3251"/>
        <v>0</v>
      </c>
      <c r="K2808" s="31">
        <f t="shared" si="3252"/>
        <v>0</v>
      </c>
      <c r="L2808" s="31">
        <f t="shared" si="3253"/>
        <v>0</v>
      </c>
      <c r="M2808" s="31">
        <f t="shared" si="3254"/>
        <v>0</v>
      </c>
      <c r="N2808" s="31">
        <f t="shared" si="3255"/>
        <v>5.3350200000000001</v>
      </c>
      <c r="O2808" s="31">
        <f t="shared" si="3256"/>
        <v>0</v>
      </c>
      <c r="P2808" s="31">
        <f t="shared" si="3257"/>
        <v>0</v>
      </c>
      <c r="Q2808" s="49">
        <f t="shared" si="3258"/>
        <v>0</v>
      </c>
    </row>
    <row r="2809" spans="4:17" s="62" customFormat="1" x14ac:dyDescent="0.3">
      <c r="D2809" s="235">
        <v>53</v>
      </c>
      <c r="E2809" s="240">
        <v>1</v>
      </c>
      <c r="F2809" s="241">
        <v>12.5</v>
      </c>
      <c r="G2809" s="242">
        <v>3.3</v>
      </c>
      <c r="H2809" s="239">
        <f t="shared" si="3249"/>
        <v>3.3</v>
      </c>
      <c r="I2809" s="131">
        <f t="shared" si="3250"/>
        <v>0</v>
      </c>
      <c r="J2809" s="31">
        <f t="shared" si="3251"/>
        <v>0</v>
      </c>
      <c r="K2809" s="31">
        <f t="shared" si="3252"/>
        <v>0</v>
      </c>
      <c r="L2809" s="31">
        <f t="shared" si="3253"/>
        <v>0</v>
      </c>
      <c r="M2809" s="31">
        <f t="shared" si="3254"/>
        <v>0</v>
      </c>
      <c r="N2809" s="31">
        <f t="shared" si="3255"/>
        <v>3.1778999999999997</v>
      </c>
      <c r="O2809" s="31">
        <f t="shared" si="3256"/>
        <v>0</v>
      </c>
      <c r="P2809" s="31">
        <f t="shared" si="3257"/>
        <v>0</v>
      </c>
      <c r="Q2809" s="49">
        <f t="shared" si="3258"/>
        <v>0</v>
      </c>
    </row>
    <row r="2810" spans="4:17" s="62" customFormat="1" x14ac:dyDescent="0.3">
      <c r="D2810" s="235">
        <v>54</v>
      </c>
      <c r="E2810" s="240">
        <v>2</v>
      </c>
      <c r="F2810" s="241">
        <v>12.5</v>
      </c>
      <c r="G2810" s="242">
        <v>6.38</v>
      </c>
      <c r="H2810" s="239">
        <f t="shared" si="3249"/>
        <v>12.76</v>
      </c>
      <c r="I2810" s="131">
        <f t="shared" si="3250"/>
        <v>0</v>
      </c>
      <c r="J2810" s="31">
        <f t="shared" si="3251"/>
        <v>0</v>
      </c>
      <c r="K2810" s="31">
        <f t="shared" si="3252"/>
        <v>0</v>
      </c>
      <c r="L2810" s="31">
        <f t="shared" si="3253"/>
        <v>0</v>
      </c>
      <c r="M2810" s="31">
        <f t="shared" si="3254"/>
        <v>0</v>
      </c>
      <c r="N2810" s="31">
        <f t="shared" si="3255"/>
        <v>12.287879999999999</v>
      </c>
      <c r="O2810" s="31">
        <f t="shared" si="3256"/>
        <v>0</v>
      </c>
      <c r="P2810" s="31">
        <f t="shared" si="3257"/>
        <v>0</v>
      </c>
      <c r="Q2810" s="49">
        <f t="shared" si="3258"/>
        <v>0</v>
      </c>
    </row>
    <row r="2811" spans="4:17" s="62" customFormat="1" ht="15" thickBot="1" x14ac:dyDescent="0.35">
      <c r="D2811" s="307"/>
      <c r="E2811" s="26"/>
      <c r="F2811" s="206"/>
      <c r="G2811" s="207"/>
      <c r="H2811" s="207"/>
      <c r="I2811" s="51"/>
      <c r="J2811" s="308"/>
      <c r="K2811" s="308"/>
      <c r="L2811" s="308"/>
      <c r="M2811" s="308"/>
      <c r="N2811" s="308"/>
      <c r="O2811" s="308"/>
      <c r="P2811" s="308"/>
      <c r="Q2811" s="309"/>
    </row>
    <row r="2812" spans="4:17" s="62" customFormat="1" x14ac:dyDescent="0.3">
      <c r="D2812" s="796" t="s">
        <v>1592</v>
      </c>
      <c r="E2812" s="797"/>
      <c r="F2812" s="797"/>
      <c r="G2812" s="797"/>
      <c r="H2812" s="797"/>
      <c r="I2812" s="47">
        <f t="shared" ref="I2812:Q2812" si="3259">SUM(I2813:I2822)</f>
        <v>0</v>
      </c>
      <c r="J2812" s="47">
        <f t="shared" si="3259"/>
        <v>7.741579999999999</v>
      </c>
      <c r="K2812" s="47">
        <f t="shared" si="3259"/>
        <v>0.38464999999999999</v>
      </c>
      <c r="L2812" s="47">
        <f t="shared" si="3259"/>
        <v>1.22055</v>
      </c>
      <c r="M2812" s="47">
        <f t="shared" si="3259"/>
        <v>30.603200000000001</v>
      </c>
      <c r="N2812" s="47">
        <f t="shared" si="3259"/>
        <v>4.0253399999999999</v>
      </c>
      <c r="O2812" s="47">
        <f t="shared" si="3259"/>
        <v>0</v>
      </c>
      <c r="P2812" s="47">
        <f t="shared" si="3259"/>
        <v>0</v>
      </c>
      <c r="Q2812" s="47">
        <f t="shared" si="3259"/>
        <v>0</v>
      </c>
    </row>
    <row r="2813" spans="4:17" s="62" customFormat="1" x14ac:dyDescent="0.3">
      <c r="D2813" s="235">
        <v>1</v>
      </c>
      <c r="E2813" s="237">
        <v>23</v>
      </c>
      <c r="F2813" s="238">
        <v>5</v>
      </c>
      <c r="G2813" s="239">
        <v>1.27</v>
      </c>
      <c r="H2813" s="239">
        <f t="shared" ref="H2813:H2822" si="3260">E2813*G2813</f>
        <v>29.21</v>
      </c>
      <c r="I2813" s="131">
        <f t="shared" ref="I2813:I2822" si="3261">IF($F2813=4.2,H2813*$B$23,0)</f>
        <v>0</v>
      </c>
      <c r="J2813" s="31">
        <f t="shared" ref="J2813:J2822" si="3262">IF($F2813=5,$H2813*$B$24,0)</f>
        <v>4.4983399999999998</v>
      </c>
      <c r="K2813" s="31">
        <f t="shared" ref="K2813:K2822" si="3263">IF($F2813=6.3,$H2813*$B$25,0)</f>
        <v>0</v>
      </c>
      <c r="L2813" s="31">
        <f t="shared" ref="L2813:L2822" si="3264">IF($F2813=8,$H2813*$B$26,0)</f>
        <v>0</v>
      </c>
      <c r="M2813" s="31">
        <f t="shared" ref="M2813:M2822" si="3265">IF($F2813=10,$H2813*$B$27,0)</f>
        <v>0</v>
      </c>
      <c r="N2813" s="31">
        <f t="shared" ref="N2813:N2822" si="3266">IF($F2813=12.5,$H2813*$B$28,0)</f>
        <v>0</v>
      </c>
      <c r="O2813" s="31">
        <f t="shared" ref="O2813:O2822" si="3267">IF($F2813=16,$H2813*$B$29,0)</f>
        <v>0</v>
      </c>
      <c r="P2813" s="31">
        <f t="shared" ref="P2813:P2822" si="3268">IF($F2813=20,$H2813*$B$30,0)</f>
        <v>0</v>
      </c>
      <c r="Q2813" s="49">
        <f t="shared" ref="Q2813:Q2822" si="3269">IF($F2813=25,$H2813*$B$31,0)</f>
        <v>0</v>
      </c>
    </row>
    <row r="2814" spans="4:17" s="62" customFormat="1" x14ac:dyDescent="0.3">
      <c r="D2814" s="235">
        <v>2</v>
      </c>
      <c r="E2814" s="240">
        <v>18</v>
      </c>
      <c r="F2814" s="241">
        <v>5</v>
      </c>
      <c r="G2814" s="242">
        <v>1.17</v>
      </c>
      <c r="H2814" s="239">
        <f t="shared" si="3260"/>
        <v>21.06</v>
      </c>
      <c r="I2814" s="131">
        <f t="shared" si="3261"/>
        <v>0</v>
      </c>
      <c r="J2814" s="31">
        <f t="shared" si="3262"/>
        <v>3.2432399999999997</v>
      </c>
      <c r="K2814" s="31">
        <f t="shared" si="3263"/>
        <v>0</v>
      </c>
      <c r="L2814" s="31">
        <f t="shared" si="3264"/>
        <v>0</v>
      </c>
      <c r="M2814" s="31">
        <f t="shared" si="3265"/>
        <v>0</v>
      </c>
      <c r="N2814" s="31">
        <f t="shared" si="3266"/>
        <v>0</v>
      </c>
      <c r="O2814" s="31">
        <f t="shared" si="3267"/>
        <v>0</v>
      </c>
      <c r="P2814" s="31">
        <f t="shared" si="3268"/>
        <v>0</v>
      </c>
      <c r="Q2814" s="49">
        <f t="shared" si="3269"/>
        <v>0</v>
      </c>
    </row>
    <row r="2815" spans="4:17" s="62" customFormat="1" x14ac:dyDescent="0.3">
      <c r="D2815" s="235">
        <v>4</v>
      </c>
      <c r="E2815" s="240">
        <v>1</v>
      </c>
      <c r="F2815" s="241">
        <v>6.3</v>
      </c>
      <c r="G2815" s="242">
        <v>0.71</v>
      </c>
      <c r="H2815" s="239">
        <f t="shared" si="3260"/>
        <v>0.71</v>
      </c>
      <c r="I2815" s="131">
        <f t="shared" si="3261"/>
        <v>0</v>
      </c>
      <c r="J2815" s="31">
        <f t="shared" si="3262"/>
        <v>0</v>
      </c>
      <c r="K2815" s="31">
        <f t="shared" si="3263"/>
        <v>0.17394999999999999</v>
      </c>
      <c r="L2815" s="31">
        <f t="shared" si="3264"/>
        <v>0</v>
      </c>
      <c r="M2815" s="31">
        <f t="shared" si="3265"/>
        <v>0</v>
      </c>
      <c r="N2815" s="31">
        <f t="shared" si="3266"/>
        <v>0</v>
      </c>
      <c r="O2815" s="31">
        <f t="shared" si="3267"/>
        <v>0</v>
      </c>
      <c r="P2815" s="31">
        <f t="shared" si="3268"/>
        <v>0</v>
      </c>
      <c r="Q2815" s="49">
        <f t="shared" si="3269"/>
        <v>0</v>
      </c>
    </row>
    <row r="2816" spans="4:17" s="62" customFormat="1" x14ac:dyDescent="0.3">
      <c r="D2816" s="235">
        <v>5</v>
      </c>
      <c r="E2816" s="240">
        <v>1</v>
      </c>
      <c r="F2816" s="241">
        <v>6.3</v>
      </c>
      <c r="G2816" s="242">
        <v>0.86</v>
      </c>
      <c r="H2816" s="239">
        <f t="shared" si="3260"/>
        <v>0.86</v>
      </c>
      <c r="I2816" s="131">
        <f t="shared" si="3261"/>
        <v>0</v>
      </c>
      <c r="J2816" s="31">
        <f t="shared" si="3262"/>
        <v>0</v>
      </c>
      <c r="K2816" s="31">
        <f t="shared" si="3263"/>
        <v>0.2107</v>
      </c>
      <c r="L2816" s="31">
        <f t="shared" si="3264"/>
        <v>0</v>
      </c>
      <c r="M2816" s="31">
        <f t="shared" si="3265"/>
        <v>0</v>
      </c>
      <c r="N2816" s="31">
        <f t="shared" si="3266"/>
        <v>0</v>
      </c>
      <c r="O2816" s="31">
        <f t="shared" si="3267"/>
        <v>0</v>
      </c>
      <c r="P2816" s="31">
        <f t="shared" si="3268"/>
        <v>0</v>
      </c>
      <c r="Q2816" s="49">
        <f t="shared" si="3269"/>
        <v>0</v>
      </c>
    </row>
    <row r="2817" spans="4:17" s="62" customFormat="1" x14ac:dyDescent="0.3">
      <c r="D2817" s="235">
        <v>9</v>
      </c>
      <c r="E2817" s="240">
        <v>3</v>
      </c>
      <c r="F2817" s="241">
        <v>8</v>
      </c>
      <c r="G2817" s="242">
        <v>1.03</v>
      </c>
      <c r="H2817" s="239">
        <f t="shared" si="3260"/>
        <v>3.09</v>
      </c>
      <c r="I2817" s="131">
        <f t="shared" si="3261"/>
        <v>0</v>
      </c>
      <c r="J2817" s="31">
        <f t="shared" si="3262"/>
        <v>0</v>
      </c>
      <c r="K2817" s="31">
        <f t="shared" si="3263"/>
        <v>0</v>
      </c>
      <c r="L2817" s="31">
        <f t="shared" si="3264"/>
        <v>1.22055</v>
      </c>
      <c r="M2817" s="31">
        <f t="shared" si="3265"/>
        <v>0</v>
      </c>
      <c r="N2817" s="31">
        <f t="shared" si="3266"/>
        <v>0</v>
      </c>
      <c r="O2817" s="31">
        <f t="shared" si="3267"/>
        <v>0</v>
      </c>
      <c r="P2817" s="31">
        <f t="shared" si="3268"/>
        <v>0</v>
      </c>
      <c r="Q2817" s="49">
        <f t="shared" si="3269"/>
        <v>0</v>
      </c>
    </row>
    <row r="2818" spans="4:17" s="62" customFormat="1" x14ac:dyDescent="0.3">
      <c r="D2818" s="235">
        <v>25</v>
      </c>
      <c r="E2818" s="240">
        <v>3</v>
      </c>
      <c r="F2818" s="241">
        <v>10</v>
      </c>
      <c r="G2818" s="242">
        <v>4.4400000000000004</v>
      </c>
      <c r="H2818" s="239">
        <f t="shared" si="3260"/>
        <v>13.32</v>
      </c>
      <c r="I2818" s="131">
        <f t="shared" si="3261"/>
        <v>0</v>
      </c>
      <c r="J2818" s="31">
        <f t="shared" si="3262"/>
        <v>0</v>
      </c>
      <c r="K2818" s="31">
        <f t="shared" si="3263"/>
        <v>0</v>
      </c>
      <c r="L2818" s="31">
        <f t="shared" si="3264"/>
        <v>0</v>
      </c>
      <c r="M2818" s="31">
        <f t="shared" si="3265"/>
        <v>8.2184399999999993</v>
      </c>
      <c r="N2818" s="31">
        <f t="shared" si="3266"/>
        <v>0</v>
      </c>
      <c r="O2818" s="31">
        <f t="shared" si="3267"/>
        <v>0</v>
      </c>
      <c r="P2818" s="31">
        <f t="shared" si="3268"/>
        <v>0</v>
      </c>
      <c r="Q2818" s="49">
        <f t="shared" si="3269"/>
        <v>0</v>
      </c>
    </row>
    <row r="2819" spans="4:17" s="62" customFormat="1" x14ac:dyDescent="0.3">
      <c r="D2819" s="235">
        <v>26</v>
      </c>
      <c r="E2819" s="240">
        <v>4</v>
      </c>
      <c r="F2819" s="241">
        <v>10</v>
      </c>
      <c r="G2819" s="242">
        <v>4.45</v>
      </c>
      <c r="H2819" s="239">
        <f t="shared" si="3260"/>
        <v>17.8</v>
      </c>
      <c r="I2819" s="131">
        <f t="shared" si="3261"/>
        <v>0</v>
      </c>
      <c r="J2819" s="31">
        <f t="shared" si="3262"/>
        <v>0</v>
      </c>
      <c r="K2819" s="31">
        <f t="shared" si="3263"/>
        <v>0</v>
      </c>
      <c r="L2819" s="31">
        <f t="shared" si="3264"/>
        <v>0</v>
      </c>
      <c r="M2819" s="31">
        <f t="shared" si="3265"/>
        <v>10.9826</v>
      </c>
      <c r="N2819" s="31">
        <f t="shared" si="3266"/>
        <v>0</v>
      </c>
      <c r="O2819" s="31">
        <f t="shared" si="3267"/>
        <v>0</v>
      </c>
      <c r="P2819" s="31">
        <f t="shared" si="3268"/>
        <v>0</v>
      </c>
      <c r="Q2819" s="49">
        <f t="shared" si="3269"/>
        <v>0</v>
      </c>
    </row>
    <row r="2820" spans="4:17" s="62" customFormat="1" x14ac:dyDescent="0.3">
      <c r="D2820" s="235">
        <v>27</v>
      </c>
      <c r="E2820" s="240">
        <v>2</v>
      </c>
      <c r="F2820" s="241">
        <v>10</v>
      </c>
      <c r="G2820" s="242">
        <v>2.7</v>
      </c>
      <c r="H2820" s="239">
        <f t="shared" si="3260"/>
        <v>5.4</v>
      </c>
      <c r="I2820" s="131">
        <f t="shared" si="3261"/>
        <v>0</v>
      </c>
      <c r="J2820" s="31">
        <f t="shared" si="3262"/>
        <v>0</v>
      </c>
      <c r="K2820" s="31">
        <f t="shared" si="3263"/>
        <v>0</v>
      </c>
      <c r="L2820" s="31">
        <f t="shared" si="3264"/>
        <v>0</v>
      </c>
      <c r="M2820" s="31">
        <f t="shared" si="3265"/>
        <v>3.3318000000000003</v>
      </c>
      <c r="N2820" s="31">
        <f t="shared" si="3266"/>
        <v>0</v>
      </c>
      <c r="O2820" s="31">
        <f t="shared" si="3267"/>
        <v>0</v>
      </c>
      <c r="P2820" s="31">
        <f t="shared" si="3268"/>
        <v>0</v>
      </c>
      <c r="Q2820" s="49">
        <f t="shared" si="3269"/>
        <v>0</v>
      </c>
    </row>
    <row r="2821" spans="4:17" s="62" customFormat="1" x14ac:dyDescent="0.3">
      <c r="D2821" s="235">
        <v>28</v>
      </c>
      <c r="E2821" s="240">
        <v>2</v>
      </c>
      <c r="F2821" s="241">
        <v>10</v>
      </c>
      <c r="G2821" s="242">
        <v>6.54</v>
      </c>
      <c r="H2821" s="239">
        <f t="shared" si="3260"/>
        <v>13.08</v>
      </c>
      <c r="I2821" s="131">
        <f t="shared" si="3261"/>
        <v>0</v>
      </c>
      <c r="J2821" s="31">
        <f t="shared" si="3262"/>
        <v>0</v>
      </c>
      <c r="K2821" s="31">
        <f t="shared" si="3263"/>
        <v>0</v>
      </c>
      <c r="L2821" s="31">
        <f t="shared" si="3264"/>
        <v>0</v>
      </c>
      <c r="M2821" s="31">
        <f t="shared" si="3265"/>
        <v>8.0703599999999991</v>
      </c>
      <c r="N2821" s="31">
        <f t="shared" si="3266"/>
        <v>0</v>
      </c>
      <c r="O2821" s="31">
        <f t="shared" si="3267"/>
        <v>0</v>
      </c>
      <c r="P2821" s="31">
        <f t="shared" si="3268"/>
        <v>0</v>
      </c>
      <c r="Q2821" s="49">
        <f t="shared" si="3269"/>
        <v>0</v>
      </c>
    </row>
    <row r="2822" spans="4:17" s="62" customFormat="1" x14ac:dyDescent="0.3">
      <c r="D2822" s="235">
        <v>55</v>
      </c>
      <c r="E2822" s="240">
        <v>2</v>
      </c>
      <c r="F2822" s="241">
        <v>12.5</v>
      </c>
      <c r="G2822" s="242">
        <v>2.09</v>
      </c>
      <c r="H2822" s="239">
        <f t="shared" si="3260"/>
        <v>4.18</v>
      </c>
      <c r="I2822" s="131">
        <f t="shared" si="3261"/>
        <v>0</v>
      </c>
      <c r="J2822" s="31">
        <f t="shared" si="3262"/>
        <v>0</v>
      </c>
      <c r="K2822" s="31">
        <f t="shared" si="3263"/>
        <v>0</v>
      </c>
      <c r="L2822" s="31">
        <f t="shared" si="3264"/>
        <v>0</v>
      </c>
      <c r="M2822" s="31">
        <f t="shared" si="3265"/>
        <v>0</v>
      </c>
      <c r="N2822" s="31">
        <f t="shared" si="3266"/>
        <v>4.0253399999999999</v>
      </c>
      <c r="O2822" s="31">
        <f t="shared" si="3267"/>
        <v>0</v>
      </c>
      <c r="P2822" s="31">
        <f t="shared" si="3268"/>
        <v>0</v>
      </c>
      <c r="Q2822" s="49">
        <f t="shared" si="3269"/>
        <v>0</v>
      </c>
    </row>
    <row r="2823" spans="4:17" s="62" customFormat="1" ht="15" thickBot="1" x14ac:dyDescent="0.35">
      <c r="D2823" s="307"/>
      <c r="E2823" s="26"/>
      <c r="F2823" s="206"/>
      <c r="G2823" s="207"/>
      <c r="H2823" s="207"/>
      <c r="I2823" s="51"/>
      <c r="J2823" s="308"/>
      <c r="K2823" s="308"/>
      <c r="L2823" s="308"/>
      <c r="M2823" s="308"/>
      <c r="N2823" s="308"/>
      <c r="O2823" s="308"/>
      <c r="P2823" s="308"/>
      <c r="Q2823" s="309"/>
    </row>
    <row r="2824" spans="4:17" s="62" customFormat="1" x14ac:dyDescent="0.3">
      <c r="D2824" s="796" t="s">
        <v>1593</v>
      </c>
      <c r="E2824" s="797"/>
      <c r="F2824" s="797"/>
      <c r="G2824" s="797"/>
      <c r="H2824" s="797"/>
      <c r="I2824" s="47">
        <f t="shared" ref="I2824:Q2824" si="3270">SUM(I2825:I2835)</f>
        <v>0</v>
      </c>
      <c r="J2824" s="47">
        <f t="shared" si="3270"/>
        <v>7.5613999999999999</v>
      </c>
      <c r="K2824" s="47">
        <f t="shared" si="3270"/>
        <v>0</v>
      </c>
      <c r="L2824" s="47">
        <f t="shared" si="3270"/>
        <v>3.7209000000000003</v>
      </c>
      <c r="M2824" s="47">
        <f t="shared" si="3270"/>
        <v>17.454929999999997</v>
      </c>
      <c r="N2824" s="47">
        <f t="shared" si="3270"/>
        <v>20.704500000000003</v>
      </c>
      <c r="O2824" s="47">
        <f t="shared" si="3270"/>
        <v>0</v>
      </c>
      <c r="P2824" s="47">
        <f t="shared" si="3270"/>
        <v>0</v>
      </c>
      <c r="Q2824" s="47">
        <f t="shared" si="3270"/>
        <v>0</v>
      </c>
    </row>
    <row r="2825" spans="4:17" s="62" customFormat="1" x14ac:dyDescent="0.3">
      <c r="D2825" s="235">
        <v>1</v>
      </c>
      <c r="E2825" s="237">
        <v>23</v>
      </c>
      <c r="F2825" s="238">
        <v>5</v>
      </c>
      <c r="G2825" s="239">
        <v>1.27</v>
      </c>
      <c r="H2825" s="239">
        <f t="shared" ref="H2825:H2835" si="3271">E2825*G2825</f>
        <v>29.21</v>
      </c>
      <c r="I2825" s="131">
        <f t="shared" ref="I2825:I2835" si="3272">IF($F2825=4.2,H2825*$B$23,0)</f>
        <v>0</v>
      </c>
      <c r="J2825" s="31">
        <f t="shared" ref="J2825:J2835" si="3273">IF($F2825=5,$H2825*$B$24,0)</f>
        <v>4.4983399999999998</v>
      </c>
      <c r="K2825" s="31">
        <f t="shared" ref="K2825:K2835" si="3274">IF($F2825=6.3,$H2825*$B$25,0)</f>
        <v>0</v>
      </c>
      <c r="L2825" s="31">
        <f t="shared" ref="L2825:L2835" si="3275">IF($F2825=8,$H2825*$B$26,0)</f>
        <v>0</v>
      </c>
      <c r="M2825" s="31">
        <f t="shared" ref="M2825:M2835" si="3276">IF($F2825=10,$H2825*$B$27,0)</f>
        <v>0</v>
      </c>
      <c r="N2825" s="31">
        <f t="shared" ref="N2825:N2835" si="3277">IF($F2825=12.5,$H2825*$B$28,0)</f>
        <v>0</v>
      </c>
      <c r="O2825" s="31">
        <f t="shared" ref="O2825:O2835" si="3278">IF($F2825=16,$H2825*$B$29,0)</f>
        <v>0</v>
      </c>
      <c r="P2825" s="31">
        <f t="shared" ref="P2825:P2835" si="3279">IF($F2825=20,$H2825*$B$30,0)</f>
        <v>0</v>
      </c>
      <c r="Q2825" s="49">
        <f t="shared" ref="Q2825:Q2835" si="3280">IF($F2825=25,$H2825*$B$31,0)</f>
        <v>0</v>
      </c>
    </row>
    <row r="2826" spans="4:17" s="62" customFormat="1" x14ac:dyDescent="0.3">
      <c r="D2826" s="235">
        <v>2</v>
      </c>
      <c r="E2826" s="240">
        <v>17</v>
      </c>
      <c r="F2826" s="241">
        <v>5</v>
      </c>
      <c r="G2826" s="242">
        <v>1.17</v>
      </c>
      <c r="H2826" s="239">
        <f t="shared" si="3271"/>
        <v>19.89</v>
      </c>
      <c r="I2826" s="131">
        <f t="shared" si="3272"/>
        <v>0</v>
      </c>
      <c r="J2826" s="31">
        <f t="shared" si="3273"/>
        <v>3.0630600000000001</v>
      </c>
      <c r="K2826" s="31">
        <f t="shared" si="3274"/>
        <v>0</v>
      </c>
      <c r="L2826" s="31">
        <f t="shared" si="3275"/>
        <v>0</v>
      </c>
      <c r="M2826" s="31">
        <f t="shared" si="3276"/>
        <v>0</v>
      </c>
      <c r="N2826" s="31">
        <f t="shared" si="3277"/>
        <v>0</v>
      </c>
      <c r="O2826" s="31">
        <f t="shared" si="3278"/>
        <v>0</v>
      </c>
      <c r="P2826" s="31">
        <f t="shared" si="3279"/>
        <v>0</v>
      </c>
      <c r="Q2826" s="49">
        <f t="shared" si="3280"/>
        <v>0</v>
      </c>
    </row>
    <row r="2827" spans="4:17" s="62" customFormat="1" x14ac:dyDescent="0.3">
      <c r="D2827" s="235">
        <v>10</v>
      </c>
      <c r="E2827" s="240">
        <v>3</v>
      </c>
      <c r="F2827" s="241">
        <v>8</v>
      </c>
      <c r="G2827" s="242">
        <v>0.78</v>
      </c>
      <c r="H2827" s="239">
        <f t="shared" si="3271"/>
        <v>2.34</v>
      </c>
      <c r="I2827" s="131">
        <f t="shared" si="3272"/>
        <v>0</v>
      </c>
      <c r="J2827" s="31">
        <f t="shared" si="3273"/>
        <v>0</v>
      </c>
      <c r="K2827" s="31">
        <f t="shared" si="3274"/>
        <v>0</v>
      </c>
      <c r="L2827" s="31">
        <f t="shared" si="3275"/>
        <v>0.92430000000000001</v>
      </c>
      <c r="M2827" s="31">
        <f t="shared" si="3276"/>
        <v>0</v>
      </c>
      <c r="N2827" s="31">
        <f t="shared" si="3277"/>
        <v>0</v>
      </c>
      <c r="O2827" s="31">
        <f t="shared" si="3278"/>
        <v>0</v>
      </c>
      <c r="P2827" s="31">
        <f t="shared" si="3279"/>
        <v>0</v>
      </c>
      <c r="Q2827" s="49">
        <f t="shared" si="3280"/>
        <v>0</v>
      </c>
    </row>
    <row r="2828" spans="4:17" s="62" customFormat="1" x14ac:dyDescent="0.3">
      <c r="D2828" s="235">
        <v>11</v>
      </c>
      <c r="E2828" s="240">
        <v>4</v>
      </c>
      <c r="F2828" s="241">
        <v>8</v>
      </c>
      <c r="G2828" s="242">
        <v>1.77</v>
      </c>
      <c r="H2828" s="239">
        <f t="shared" si="3271"/>
        <v>7.08</v>
      </c>
      <c r="I2828" s="131">
        <f t="shared" si="3272"/>
        <v>0</v>
      </c>
      <c r="J2828" s="31">
        <f t="shared" si="3273"/>
        <v>0</v>
      </c>
      <c r="K2828" s="31">
        <f t="shared" si="3274"/>
        <v>0</v>
      </c>
      <c r="L2828" s="31">
        <f t="shared" si="3275"/>
        <v>2.7966000000000002</v>
      </c>
      <c r="M2828" s="31">
        <f t="shared" si="3276"/>
        <v>0</v>
      </c>
      <c r="N2828" s="31">
        <f t="shared" si="3277"/>
        <v>0</v>
      </c>
      <c r="O2828" s="31">
        <f t="shared" si="3278"/>
        <v>0</v>
      </c>
      <c r="P2828" s="31">
        <f t="shared" si="3279"/>
        <v>0</v>
      </c>
      <c r="Q2828" s="49">
        <f t="shared" si="3280"/>
        <v>0</v>
      </c>
    </row>
    <row r="2829" spans="4:17" s="62" customFormat="1" x14ac:dyDescent="0.3">
      <c r="D2829" s="235">
        <v>21</v>
      </c>
      <c r="E2829" s="240">
        <v>1</v>
      </c>
      <c r="F2829" s="241">
        <v>10</v>
      </c>
      <c r="G2829" s="242">
        <v>1.65</v>
      </c>
      <c r="H2829" s="239">
        <f t="shared" si="3271"/>
        <v>1.65</v>
      </c>
      <c r="I2829" s="131">
        <f t="shared" si="3272"/>
        <v>0</v>
      </c>
      <c r="J2829" s="31">
        <f t="shared" si="3273"/>
        <v>0</v>
      </c>
      <c r="K2829" s="31">
        <f t="shared" si="3274"/>
        <v>0</v>
      </c>
      <c r="L2829" s="31">
        <f t="shared" si="3275"/>
        <v>0</v>
      </c>
      <c r="M2829" s="31">
        <f t="shared" si="3276"/>
        <v>1.0180499999999999</v>
      </c>
      <c r="N2829" s="31">
        <f t="shared" si="3277"/>
        <v>0</v>
      </c>
      <c r="O2829" s="31">
        <f t="shared" si="3278"/>
        <v>0</v>
      </c>
      <c r="P2829" s="31">
        <f t="shared" si="3279"/>
        <v>0</v>
      </c>
      <c r="Q2829" s="49">
        <f t="shared" si="3280"/>
        <v>0</v>
      </c>
    </row>
    <row r="2830" spans="4:17" s="62" customFormat="1" x14ac:dyDescent="0.3">
      <c r="D2830" s="235">
        <v>23</v>
      </c>
      <c r="E2830" s="240">
        <v>2</v>
      </c>
      <c r="F2830" s="241">
        <v>10</v>
      </c>
      <c r="G2830" s="242">
        <v>3.88</v>
      </c>
      <c r="H2830" s="239">
        <f t="shared" si="3271"/>
        <v>7.76</v>
      </c>
      <c r="I2830" s="131">
        <f t="shared" si="3272"/>
        <v>0</v>
      </c>
      <c r="J2830" s="31">
        <f t="shared" si="3273"/>
        <v>0</v>
      </c>
      <c r="K2830" s="31">
        <f t="shared" si="3274"/>
        <v>0</v>
      </c>
      <c r="L2830" s="31">
        <f t="shared" si="3275"/>
        <v>0</v>
      </c>
      <c r="M2830" s="31">
        <f t="shared" si="3276"/>
        <v>4.7879199999999997</v>
      </c>
      <c r="N2830" s="31">
        <f t="shared" si="3277"/>
        <v>0</v>
      </c>
      <c r="O2830" s="31">
        <f t="shared" si="3278"/>
        <v>0</v>
      </c>
      <c r="P2830" s="31">
        <f t="shared" si="3279"/>
        <v>0</v>
      </c>
      <c r="Q2830" s="49">
        <f t="shared" si="3280"/>
        <v>0</v>
      </c>
    </row>
    <row r="2831" spans="4:17" s="62" customFormat="1" x14ac:dyDescent="0.3">
      <c r="D2831" s="235">
        <v>29</v>
      </c>
      <c r="E2831" s="240">
        <v>4</v>
      </c>
      <c r="F2831" s="241">
        <v>10</v>
      </c>
      <c r="G2831" s="242">
        <v>4.17</v>
      </c>
      <c r="H2831" s="239">
        <f t="shared" si="3271"/>
        <v>16.68</v>
      </c>
      <c r="I2831" s="131">
        <f t="shared" si="3272"/>
        <v>0</v>
      </c>
      <c r="J2831" s="31">
        <f t="shared" si="3273"/>
        <v>0</v>
      </c>
      <c r="K2831" s="31">
        <f t="shared" si="3274"/>
        <v>0</v>
      </c>
      <c r="L2831" s="31">
        <f t="shared" si="3275"/>
        <v>0</v>
      </c>
      <c r="M2831" s="31">
        <f t="shared" si="3276"/>
        <v>10.29156</v>
      </c>
      <c r="N2831" s="31">
        <f t="shared" si="3277"/>
        <v>0</v>
      </c>
      <c r="O2831" s="31">
        <f t="shared" si="3278"/>
        <v>0</v>
      </c>
      <c r="P2831" s="31">
        <f t="shared" si="3279"/>
        <v>0</v>
      </c>
      <c r="Q2831" s="49">
        <f t="shared" si="3280"/>
        <v>0</v>
      </c>
    </row>
    <row r="2832" spans="4:17" s="62" customFormat="1" x14ac:dyDescent="0.3">
      <c r="D2832" s="235">
        <v>30</v>
      </c>
      <c r="E2832" s="240">
        <v>1</v>
      </c>
      <c r="F2832" s="241">
        <v>10</v>
      </c>
      <c r="G2832" s="242">
        <v>2.2000000000000002</v>
      </c>
      <c r="H2832" s="239">
        <f t="shared" si="3271"/>
        <v>2.2000000000000002</v>
      </c>
      <c r="I2832" s="131">
        <f t="shared" si="3272"/>
        <v>0</v>
      </c>
      <c r="J2832" s="31">
        <f t="shared" si="3273"/>
        <v>0</v>
      </c>
      <c r="K2832" s="31">
        <f t="shared" si="3274"/>
        <v>0</v>
      </c>
      <c r="L2832" s="31">
        <f t="shared" si="3275"/>
        <v>0</v>
      </c>
      <c r="M2832" s="31">
        <f t="shared" si="3276"/>
        <v>1.3574000000000002</v>
      </c>
      <c r="N2832" s="31">
        <f t="shared" si="3277"/>
        <v>0</v>
      </c>
      <c r="O2832" s="31">
        <f t="shared" si="3278"/>
        <v>0</v>
      </c>
      <c r="P2832" s="31">
        <f t="shared" si="3279"/>
        <v>0</v>
      </c>
      <c r="Q2832" s="49">
        <f t="shared" si="3280"/>
        <v>0</v>
      </c>
    </row>
    <row r="2833" spans="4:17" s="62" customFormat="1" x14ac:dyDescent="0.3">
      <c r="D2833" s="235">
        <v>54</v>
      </c>
      <c r="E2833" s="240">
        <v>2</v>
      </c>
      <c r="F2833" s="241">
        <v>12.5</v>
      </c>
      <c r="G2833" s="242">
        <v>6.38</v>
      </c>
      <c r="H2833" s="239">
        <f t="shared" si="3271"/>
        <v>12.76</v>
      </c>
      <c r="I2833" s="131">
        <f t="shared" si="3272"/>
        <v>0</v>
      </c>
      <c r="J2833" s="31">
        <f t="shared" si="3273"/>
        <v>0</v>
      </c>
      <c r="K2833" s="31">
        <f t="shared" si="3274"/>
        <v>0</v>
      </c>
      <c r="L2833" s="31">
        <f t="shared" si="3275"/>
        <v>0</v>
      </c>
      <c r="M2833" s="31">
        <f t="shared" si="3276"/>
        <v>0</v>
      </c>
      <c r="N2833" s="31">
        <f t="shared" si="3277"/>
        <v>12.287879999999999</v>
      </c>
      <c r="O2833" s="31">
        <f t="shared" si="3278"/>
        <v>0</v>
      </c>
      <c r="P2833" s="31">
        <f t="shared" si="3279"/>
        <v>0</v>
      </c>
      <c r="Q2833" s="49">
        <f t="shared" si="3280"/>
        <v>0</v>
      </c>
    </row>
    <row r="2834" spans="4:17" s="62" customFormat="1" x14ac:dyDescent="0.3">
      <c r="D2834" s="235">
        <v>56</v>
      </c>
      <c r="E2834" s="240">
        <v>1</v>
      </c>
      <c r="F2834" s="241">
        <v>12.5</v>
      </c>
      <c r="G2834" s="242">
        <v>5.49</v>
      </c>
      <c r="H2834" s="239">
        <f t="shared" si="3271"/>
        <v>5.49</v>
      </c>
      <c r="I2834" s="131">
        <f t="shared" si="3272"/>
        <v>0</v>
      </c>
      <c r="J2834" s="31">
        <f t="shared" si="3273"/>
        <v>0</v>
      </c>
      <c r="K2834" s="31">
        <f t="shared" si="3274"/>
        <v>0</v>
      </c>
      <c r="L2834" s="31">
        <f t="shared" si="3275"/>
        <v>0</v>
      </c>
      <c r="M2834" s="31">
        <f t="shared" si="3276"/>
        <v>0</v>
      </c>
      <c r="N2834" s="31">
        <f t="shared" si="3277"/>
        <v>5.2868700000000004</v>
      </c>
      <c r="O2834" s="31">
        <f t="shared" si="3278"/>
        <v>0</v>
      </c>
      <c r="P2834" s="31">
        <f t="shared" si="3279"/>
        <v>0</v>
      </c>
      <c r="Q2834" s="49">
        <f t="shared" si="3280"/>
        <v>0</v>
      </c>
    </row>
    <row r="2835" spans="4:17" s="62" customFormat="1" x14ac:dyDescent="0.3">
      <c r="D2835" s="235">
        <v>57</v>
      </c>
      <c r="E2835" s="240">
        <v>1</v>
      </c>
      <c r="F2835" s="241">
        <v>12.5</v>
      </c>
      <c r="G2835" s="242">
        <v>3.25</v>
      </c>
      <c r="H2835" s="239">
        <f t="shared" si="3271"/>
        <v>3.25</v>
      </c>
      <c r="I2835" s="131">
        <f t="shared" si="3272"/>
        <v>0</v>
      </c>
      <c r="J2835" s="31">
        <f t="shared" si="3273"/>
        <v>0</v>
      </c>
      <c r="K2835" s="31">
        <f t="shared" si="3274"/>
        <v>0</v>
      </c>
      <c r="L2835" s="31">
        <f t="shared" si="3275"/>
        <v>0</v>
      </c>
      <c r="M2835" s="31">
        <f t="shared" si="3276"/>
        <v>0</v>
      </c>
      <c r="N2835" s="31">
        <f t="shared" si="3277"/>
        <v>3.12975</v>
      </c>
      <c r="O2835" s="31">
        <f t="shared" si="3278"/>
        <v>0</v>
      </c>
      <c r="P2835" s="31">
        <f t="shared" si="3279"/>
        <v>0</v>
      </c>
      <c r="Q2835" s="49">
        <f t="shared" si="3280"/>
        <v>0</v>
      </c>
    </row>
    <row r="2836" spans="4:17" s="62" customFormat="1" ht="15" thickBot="1" x14ac:dyDescent="0.35">
      <c r="D2836" s="307"/>
      <c r="E2836" s="26"/>
      <c r="F2836" s="206"/>
      <c r="G2836" s="207"/>
      <c r="H2836" s="207"/>
      <c r="I2836" s="51"/>
      <c r="J2836" s="308"/>
      <c r="K2836" s="308"/>
      <c r="L2836" s="308"/>
      <c r="M2836" s="308"/>
      <c r="N2836" s="308"/>
      <c r="O2836" s="308"/>
      <c r="P2836" s="308"/>
      <c r="Q2836" s="309"/>
    </row>
    <row r="2837" spans="4:17" s="62" customFormat="1" x14ac:dyDescent="0.3">
      <c r="D2837" s="796" t="s">
        <v>1594</v>
      </c>
      <c r="E2837" s="797"/>
      <c r="F2837" s="797"/>
      <c r="G2837" s="797"/>
      <c r="H2837" s="797"/>
      <c r="I2837" s="47">
        <f t="shared" ref="I2837:Q2837" si="3281">SUM(I2838:I2846)</f>
        <v>0</v>
      </c>
      <c r="J2837" s="47">
        <f t="shared" si="3281"/>
        <v>7.741579999999999</v>
      </c>
      <c r="K2837" s="47">
        <f t="shared" si="3281"/>
        <v>0.17394999999999999</v>
      </c>
      <c r="L2837" s="47">
        <f t="shared" si="3281"/>
        <v>4.0685000000000002</v>
      </c>
      <c r="M2837" s="47">
        <f t="shared" si="3281"/>
        <v>30.726599999999998</v>
      </c>
      <c r="N2837" s="47">
        <f t="shared" si="3281"/>
        <v>0</v>
      </c>
      <c r="O2837" s="47">
        <f t="shared" si="3281"/>
        <v>0</v>
      </c>
      <c r="P2837" s="47">
        <f t="shared" si="3281"/>
        <v>0</v>
      </c>
      <c r="Q2837" s="47">
        <f t="shared" si="3281"/>
        <v>0</v>
      </c>
    </row>
    <row r="2838" spans="4:17" s="62" customFormat="1" x14ac:dyDescent="0.3">
      <c r="D2838" s="235">
        <v>1</v>
      </c>
      <c r="E2838" s="237">
        <v>23</v>
      </c>
      <c r="F2838" s="238">
        <v>5</v>
      </c>
      <c r="G2838" s="239">
        <v>1.27</v>
      </c>
      <c r="H2838" s="239">
        <f t="shared" ref="H2838:H2846" si="3282">E2838*G2838</f>
        <v>29.21</v>
      </c>
      <c r="I2838" s="131">
        <f t="shared" ref="I2838:I2846" si="3283">IF($F2838=4.2,H2838*$B$23,0)</f>
        <v>0</v>
      </c>
      <c r="J2838" s="31">
        <f t="shared" ref="J2838:J2846" si="3284">IF($F2838=5,$H2838*$B$24,0)</f>
        <v>4.4983399999999998</v>
      </c>
      <c r="K2838" s="31">
        <f t="shared" ref="K2838:K2846" si="3285">IF($F2838=6.3,$H2838*$B$25,0)</f>
        <v>0</v>
      </c>
      <c r="L2838" s="31">
        <f t="shared" ref="L2838:L2846" si="3286">IF($F2838=8,$H2838*$B$26,0)</f>
        <v>0</v>
      </c>
      <c r="M2838" s="31">
        <f t="shared" ref="M2838:M2846" si="3287">IF($F2838=10,$H2838*$B$27,0)</f>
        <v>0</v>
      </c>
      <c r="N2838" s="31">
        <f t="shared" ref="N2838:N2846" si="3288">IF($F2838=12.5,$H2838*$B$28,0)</f>
        <v>0</v>
      </c>
      <c r="O2838" s="31">
        <f t="shared" ref="O2838:O2846" si="3289">IF($F2838=16,$H2838*$B$29,0)</f>
        <v>0</v>
      </c>
      <c r="P2838" s="31">
        <f t="shared" ref="P2838:P2846" si="3290">IF($F2838=20,$H2838*$B$30,0)</f>
        <v>0</v>
      </c>
      <c r="Q2838" s="49">
        <f t="shared" ref="Q2838:Q2846" si="3291">IF($F2838=25,$H2838*$B$31,0)</f>
        <v>0</v>
      </c>
    </row>
    <row r="2839" spans="4:17" s="62" customFormat="1" x14ac:dyDescent="0.3">
      <c r="D2839" s="235">
        <v>2</v>
      </c>
      <c r="E2839" s="240">
        <v>18</v>
      </c>
      <c r="F2839" s="241">
        <v>5</v>
      </c>
      <c r="G2839" s="242">
        <v>1.17</v>
      </c>
      <c r="H2839" s="239">
        <f t="shared" si="3282"/>
        <v>21.06</v>
      </c>
      <c r="I2839" s="131">
        <f t="shared" si="3283"/>
        <v>0</v>
      </c>
      <c r="J2839" s="31">
        <f t="shared" si="3284"/>
        <v>3.2432399999999997</v>
      </c>
      <c r="K2839" s="31">
        <f t="shared" si="3285"/>
        <v>0</v>
      </c>
      <c r="L2839" s="31">
        <f t="shared" si="3286"/>
        <v>0</v>
      </c>
      <c r="M2839" s="31">
        <f t="shared" si="3287"/>
        <v>0</v>
      </c>
      <c r="N2839" s="31">
        <f t="shared" si="3288"/>
        <v>0</v>
      </c>
      <c r="O2839" s="31">
        <f t="shared" si="3289"/>
        <v>0</v>
      </c>
      <c r="P2839" s="31">
        <f t="shared" si="3290"/>
        <v>0</v>
      </c>
      <c r="Q2839" s="49">
        <f t="shared" si="3291"/>
        <v>0</v>
      </c>
    </row>
    <row r="2840" spans="4:17" s="62" customFormat="1" x14ac:dyDescent="0.3">
      <c r="D2840" s="235">
        <v>4</v>
      </c>
      <c r="E2840" s="240">
        <v>1</v>
      </c>
      <c r="F2840" s="241">
        <v>6.3</v>
      </c>
      <c r="G2840" s="242">
        <v>0.71</v>
      </c>
      <c r="H2840" s="239">
        <f t="shared" si="3282"/>
        <v>0.71</v>
      </c>
      <c r="I2840" s="131">
        <f t="shared" si="3283"/>
        <v>0</v>
      </c>
      <c r="J2840" s="31">
        <f t="shared" si="3284"/>
        <v>0</v>
      </c>
      <c r="K2840" s="31">
        <f t="shared" si="3285"/>
        <v>0.17394999999999999</v>
      </c>
      <c r="L2840" s="31">
        <f t="shared" si="3286"/>
        <v>0</v>
      </c>
      <c r="M2840" s="31">
        <f t="shared" si="3287"/>
        <v>0</v>
      </c>
      <c r="N2840" s="31">
        <f t="shared" si="3288"/>
        <v>0</v>
      </c>
      <c r="O2840" s="31">
        <f t="shared" si="3289"/>
        <v>0</v>
      </c>
      <c r="P2840" s="31">
        <f t="shared" si="3290"/>
        <v>0</v>
      </c>
      <c r="Q2840" s="49">
        <f t="shared" si="3291"/>
        <v>0</v>
      </c>
    </row>
    <row r="2841" spans="4:17" s="62" customFormat="1" x14ac:dyDescent="0.3">
      <c r="D2841" s="235">
        <v>12</v>
      </c>
      <c r="E2841" s="240">
        <v>3</v>
      </c>
      <c r="F2841" s="241">
        <v>8</v>
      </c>
      <c r="G2841" s="242">
        <v>1.26</v>
      </c>
      <c r="H2841" s="239">
        <f t="shared" si="3282"/>
        <v>3.7800000000000002</v>
      </c>
      <c r="I2841" s="131">
        <f t="shared" si="3283"/>
        <v>0</v>
      </c>
      <c r="J2841" s="31">
        <f t="shared" si="3284"/>
        <v>0</v>
      </c>
      <c r="K2841" s="31">
        <f t="shared" si="3285"/>
        <v>0</v>
      </c>
      <c r="L2841" s="31">
        <f t="shared" si="3286"/>
        <v>1.4931000000000001</v>
      </c>
      <c r="M2841" s="31">
        <f t="shared" si="3287"/>
        <v>0</v>
      </c>
      <c r="N2841" s="31">
        <f t="shared" si="3288"/>
        <v>0</v>
      </c>
      <c r="O2841" s="31">
        <f t="shared" si="3289"/>
        <v>0</v>
      </c>
      <c r="P2841" s="31">
        <f t="shared" si="3290"/>
        <v>0</v>
      </c>
      <c r="Q2841" s="49">
        <f t="shared" si="3291"/>
        <v>0</v>
      </c>
    </row>
    <row r="2842" spans="4:17" s="62" customFormat="1" x14ac:dyDescent="0.3">
      <c r="D2842" s="235">
        <v>13</v>
      </c>
      <c r="E2842" s="240">
        <v>4</v>
      </c>
      <c r="F2842" s="241">
        <v>8</v>
      </c>
      <c r="G2842" s="242">
        <v>1.63</v>
      </c>
      <c r="H2842" s="239">
        <f t="shared" si="3282"/>
        <v>6.52</v>
      </c>
      <c r="I2842" s="131">
        <f t="shared" si="3283"/>
        <v>0</v>
      </c>
      <c r="J2842" s="31">
        <f t="shared" si="3284"/>
        <v>0</v>
      </c>
      <c r="K2842" s="31">
        <f t="shared" si="3285"/>
        <v>0</v>
      </c>
      <c r="L2842" s="31">
        <f t="shared" si="3286"/>
        <v>2.5754000000000001</v>
      </c>
      <c r="M2842" s="31">
        <f t="shared" si="3287"/>
        <v>0</v>
      </c>
      <c r="N2842" s="31">
        <f t="shared" si="3288"/>
        <v>0</v>
      </c>
      <c r="O2842" s="31">
        <f t="shared" si="3289"/>
        <v>0</v>
      </c>
      <c r="P2842" s="31">
        <f t="shared" si="3290"/>
        <v>0</v>
      </c>
      <c r="Q2842" s="49">
        <f t="shared" si="3291"/>
        <v>0</v>
      </c>
    </row>
    <row r="2843" spans="4:17" s="62" customFormat="1" x14ac:dyDescent="0.3">
      <c r="D2843" s="235">
        <v>25</v>
      </c>
      <c r="E2843" s="240">
        <v>3</v>
      </c>
      <c r="F2843" s="241">
        <v>10</v>
      </c>
      <c r="G2843" s="242">
        <v>4.4400000000000004</v>
      </c>
      <c r="H2843" s="239">
        <f t="shared" si="3282"/>
        <v>13.32</v>
      </c>
      <c r="I2843" s="131">
        <f t="shared" si="3283"/>
        <v>0</v>
      </c>
      <c r="J2843" s="31">
        <f t="shared" si="3284"/>
        <v>0</v>
      </c>
      <c r="K2843" s="31">
        <f t="shared" si="3285"/>
        <v>0</v>
      </c>
      <c r="L2843" s="31">
        <f t="shared" si="3286"/>
        <v>0</v>
      </c>
      <c r="M2843" s="31">
        <f t="shared" si="3287"/>
        <v>8.2184399999999993</v>
      </c>
      <c r="N2843" s="31">
        <f t="shared" si="3288"/>
        <v>0</v>
      </c>
      <c r="O2843" s="31">
        <f t="shared" si="3289"/>
        <v>0</v>
      </c>
      <c r="P2843" s="31">
        <f t="shared" si="3290"/>
        <v>0</v>
      </c>
      <c r="Q2843" s="49">
        <f t="shared" si="3291"/>
        <v>0</v>
      </c>
    </row>
    <row r="2844" spans="4:17" s="62" customFormat="1" x14ac:dyDescent="0.3">
      <c r="D2844" s="235">
        <v>27</v>
      </c>
      <c r="E2844" s="240">
        <v>2</v>
      </c>
      <c r="F2844" s="241">
        <v>10</v>
      </c>
      <c r="G2844" s="242">
        <v>2.7</v>
      </c>
      <c r="H2844" s="239">
        <f t="shared" si="3282"/>
        <v>5.4</v>
      </c>
      <c r="I2844" s="131">
        <f t="shared" si="3283"/>
        <v>0</v>
      </c>
      <c r="J2844" s="31">
        <f t="shared" si="3284"/>
        <v>0</v>
      </c>
      <c r="K2844" s="31">
        <f t="shared" si="3285"/>
        <v>0</v>
      </c>
      <c r="L2844" s="31">
        <f t="shared" si="3286"/>
        <v>0</v>
      </c>
      <c r="M2844" s="31">
        <f t="shared" si="3287"/>
        <v>3.3318000000000003</v>
      </c>
      <c r="N2844" s="31">
        <f t="shared" si="3288"/>
        <v>0</v>
      </c>
      <c r="O2844" s="31">
        <f t="shared" si="3289"/>
        <v>0</v>
      </c>
      <c r="P2844" s="31">
        <f t="shared" si="3290"/>
        <v>0</v>
      </c>
      <c r="Q2844" s="49">
        <f t="shared" si="3291"/>
        <v>0</v>
      </c>
    </row>
    <row r="2845" spans="4:17" s="62" customFormat="1" x14ac:dyDescent="0.3">
      <c r="D2845" s="235">
        <v>28</v>
      </c>
      <c r="E2845" s="240">
        <v>2</v>
      </c>
      <c r="F2845" s="241">
        <v>10</v>
      </c>
      <c r="G2845" s="242">
        <v>6.54</v>
      </c>
      <c r="H2845" s="239">
        <f t="shared" si="3282"/>
        <v>13.08</v>
      </c>
      <c r="I2845" s="131">
        <f t="shared" si="3283"/>
        <v>0</v>
      </c>
      <c r="J2845" s="31">
        <f t="shared" si="3284"/>
        <v>0</v>
      </c>
      <c r="K2845" s="31">
        <f t="shared" si="3285"/>
        <v>0</v>
      </c>
      <c r="L2845" s="31">
        <f t="shared" si="3286"/>
        <v>0</v>
      </c>
      <c r="M2845" s="31">
        <f t="shared" si="3287"/>
        <v>8.0703599999999991</v>
      </c>
      <c r="N2845" s="31">
        <f t="shared" si="3288"/>
        <v>0</v>
      </c>
      <c r="O2845" s="31">
        <f t="shared" si="3289"/>
        <v>0</v>
      </c>
      <c r="P2845" s="31">
        <f t="shared" si="3290"/>
        <v>0</v>
      </c>
      <c r="Q2845" s="49">
        <f t="shared" si="3291"/>
        <v>0</v>
      </c>
    </row>
    <row r="2846" spans="4:17" s="62" customFormat="1" x14ac:dyDescent="0.3">
      <c r="D2846" s="235">
        <v>31</v>
      </c>
      <c r="E2846" s="240">
        <v>4</v>
      </c>
      <c r="F2846" s="241">
        <v>10</v>
      </c>
      <c r="G2846" s="242">
        <v>4.5</v>
      </c>
      <c r="H2846" s="239">
        <f t="shared" si="3282"/>
        <v>18</v>
      </c>
      <c r="I2846" s="131">
        <f t="shared" si="3283"/>
        <v>0</v>
      </c>
      <c r="J2846" s="31">
        <f t="shared" si="3284"/>
        <v>0</v>
      </c>
      <c r="K2846" s="31">
        <f t="shared" si="3285"/>
        <v>0</v>
      </c>
      <c r="L2846" s="31">
        <f t="shared" si="3286"/>
        <v>0</v>
      </c>
      <c r="M2846" s="31">
        <f t="shared" si="3287"/>
        <v>11.106</v>
      </c>
      <c r="N2846" s="31">
        <f t="shared" si="3288"/>
        <v>0</v>
      </c>
      <c r="O2846" s="31">
        <f t="shared" si="3289"/>
        <v>0</v>
      </c>
      <c r="P2846" s="31">
        <f t="shared" si="3290"/>
        <v>0</v>
      </c>
      <c r="Q2846" s="49">
        <f t="shared" si="3291"/>
        <v>0</v>
      </c>
    </row>
    <row r="2847" spans="4:17" s="62" customFormat="1" ht="15" thickBot="1" x14ac:dyDescent="0.35">
      <c r="D2847" s="307"/>
      <c r="E2847" s="26"/>
      <c r="F2847" s="206"/>
      <c r="G2847" s="207"/>
      <c r="H2847" s="207"/>
      <c r="I2847" s="51"/>
      <c r="J2847" s="308"/>
      <c r="K2847" s="308"/>
      <c r="L2847" s="308"/>
      <c r="M2847" s="308"/>
      <c r="N2847" s="308"/>
      <c r="O2847" s="308"/>
      <c r="P2847" s="308"/>
      <c r="Q2847" s="309"/>
    </row>
    <row r="2848" spans="4:17" s="62" customFormat="1" x14ac:dyDescent="0.3">
      <c r="D2848" s="796" t="s">
        <v>1595</v>
      </c>
      <c r="E2848" s="797"/>
      <c r="F2848" s="797"/>
      <c r="G2848" s="797"/>
      <c r="H2848" s="797"/>
      <c r="I2848" s="47">
        <f t="shared" ref="I2848:Q2848" si="3292">SUM(I2849:I2853)</f>
        <v>0</v>
      </c>
      <c r="J2848" s="47">
        <f t="shared" si="3292"/>
        <v>5.9459400000000002</v>
      </c>
      <c r="K2848" s="47">
        <f t="shared" si="3292"/>
        <v>0.59289999999999998</v>
      </c>
      <c r="L2848" s="47">
        <f t="shared" si="3292"/>
        <v>14.994199999999999</v>
      </c>
      <c r="M2848" s="47">
        <f t="shared" si="3292"/>
        <v>0</v>
      </c>
      <c r="N2848" s="47">
        <f t="shared" si="3292"/>
        <v>16.043579999999999</v>
      </c>
      <c r="O2848" s="47">
        <f t="shared" si="3292"/>
        <v>0</v>
      </c>
      <c r="P2848" s="47">
        <f t="shared" si="3292"/>
        <v>0</v>
      </c>
      <c r="Q2848" s="47">
        <f t="shared" si="3292"/>
        <v>0</v>
      </c>
    </row>
    <row r="2849" spans="4:17" s="62" customFormat="1" x14ac:dyDescent="0.3">
      <c r="D2849" s="235">
        <v>2</v>
      </c>
      <c r="E2849" s="237">
        <v>33</v>
      </c>
      <c r="F2849" s="238">
        <v>5</v>
      </c>
      <c r="G2849" s="239">
        <v>1.17</v>
      </c>
      <c r="H2849" s="239">
        <f t="shared" ref="H2849:H2853" si="3293">E2849*G2849</f>
        <v>38.61</v>
      </c>
      <c r="I2849" s="131">
        <f t="shared" ref="I2849:I2853" si="3294">IF($F2849=4.2,H2849*$B$23,0)</f>
        <v>0</v>
      </c>
      <c r="J2849" s="31">
        <f t="shared" ref="J2849:J2853" si="3295">IF($F2849=5,$H2849*$B$24,0)</f>
        <v>5.9459400000000002</v>
      </c>
      <c r="K2849" s="31">
        <f t="shared" ref="K2849:K2853" si="3296">IF($F2849=6.3,$H2849*$B$25,0)</f>
        <v>0</v>
      </c>
      <c r="L2849" s="31">
        <f t="shared" ref="L2849:L2853" si="3297">IF($F2849=8,$H2849*$B$26,0)</f>
        <v>0</v>
      </c>
      <c r="M2849" s="31">
        <f t="shared" ref="M2849:M2853" si="3298">IF($F2849=10,$H2849*$B$27,0)</f>
        <v>0</v>
      </c>
      <c r="N2849" s="31">
        <f t="shared" ref="N2849:N2853" si="3299">IF($F2849=12.5,$H2849*$B$28,0)</f>
        <v>0</v>
      </c>
      <c r="O2849" s="31">
        <f t="shared" ref="O2849:O2853" si="3300">IF($F2849=16,$H2849*$B$29,0)</f>
        <v>0</v>
      </c>
      <c r="P2849" s="31">
        <f t="shared" ref="P2849:P2853" si="3301">IF($F2849=20,$H2849*$B$30,0)</f>
        <v>0</v>
      </c>
      <c r="Q2849" s="49">
        <f t="shared" ref="Q2849:Q2853" si="3302">IF($F2849=25,$H2849*$B$31,0)</f>
        <v>0</v>
      </c>
    </row>
    <row r="2850" spans="4:17" s="62" customFormat="1" x14ac:dyDescent="0.3">
      <c r="D2850" s="235">
        <v>6</v>
      </c>
      <c r="E2850" s="240">
        <v>2</v>
      </c>
      <c r="F2850" s="241">
        <v>6.3</v>
      </c>
      <c r="G2850" s="242">
        <v>1.21</v>
      </c>
      <c r="H2850" s="239">
        <f t="shared" si="3293"/>
        <v>2.42</v>
      </c>
      <c r="I2850" s="131">
        <f t="shared" si="3294"/>
        <v>0</v>
      </c>
      <c r="J2850" s="31">
        <f t="shared" si="3295"/>
        <v>0</v>
      </c>
      <c r="K2850" s="31">
        <f t="shared" si="3296"/>
        <v>0.59289999999999998</v>
      </c>
      <c r="L2850" s="31">
        <f t="shared" si="3297"/>
        <v>0</v>
      </c>
      <c r="M2850" s="31">
        <f t="shared" si="3298"/>
        <v>0</v>
      </c>
      <c r="N2850" s="31">
        <f t="shared" si="3299"/>
        <v>0</v>
      </c>
      <c r="O2850" s="31">
        <f t="shared" si="3300"/>
        <v>0</v>
      </c>
      <c r="P2850" s="31">
        <f t="shared" si="3301"/>
        <v>0</v>
      </c>
      <c r="Q2850" s="49">
        <f t="shared" si="3302"/>
        <v>0</v>
      </c>
    </row>
    <row r="2851" spans="4:17" s="62" customFormat="1" x14ac:dyDescent="0.3">
      <c r="D2851" s="235">
        <v>14</v>
      </c>
      <c r="E2851" s="240">
        <v>2</v>
      </c>
      <c r="F2851" s="241">
        <v>8</v>
      </c>
      <c r="G2851" s="242">
        <v>2.8</v>
      </c>
      <c r="H2851" s="239">
        <f t="shared" si="3293"/>
        <v>5.6</v>
      </c>
      <c r="I2851" s="131">
        <f t="shared" si="3294"/>
        <v>0</v>
      </c>
      <c r="J2851" s="31">
        <f t="shared" si="3295"/>
        <v>0</v>
      </c>
      <c r="K2851" s="31">
        <f t="shared" si="3296"/>
        <v>0</v>
      </c>
      <c r="L2851" s="31">
        <f t="shared" si="3297"/>
        <v>2.2119999999999997</v>
      </c>
      <c r="M2851" s="31">
        <f t="shared" si="3298"/>
        <v>0</v>
      </c>
      <c r="N2851" s="31">
        <f t="shared" si="3299"/>
        <v>0</v>
      </c>
      <c r="O2851" s="31">
        <f t="shared" si="3300"/>
        <v>0</v>
      </c>
      <c r="P2851" s="31">
        <f t="shared" si="3301"/>
        <v>0</v>
      </c>
      <c r="Q2851" s="49">
        <f t="shared" si="3302"/>
        <v>0</v>
      </c>
    </row>
    <row r="2852" spans="4:17" s="62" customFormat="1" x14ac:dyDescent="0.3">
      <c r="D2852" s="235">
        <v>15</v>
      </c>
      <c r="E2852" s="240">
        <v>4</v>
      </c>
      <c r="F2852" s="241">
        <v>8</v>
      </c>
      <c r="G2852" s="242">
        <v>8.09</v>
      </c>
      <c r="H2852" s="239">
        <f t="shared" si="3293"/>
        <v>32.36</v>
      </c>
      <c r="I2852" s="131">
        <f t="shared" si="3294"/>
        <v>0</v>
      </c>
      <c r="J2852" s="31">
        <f t="shared" si="3295"/>
        <v>0</v>
      </c>
      <c r="K2852" s="31">
        <f t="shared" si="3296"/>
        <v>0</v>
      </c>
      <c r="L2852" s="31">
        <f t="shared" si="3297"/>
        <v>12.7822</v>
      </c>
      <c r="M2852" s="31">
        <f t="shared" si="3298"/>
        <v>0</v>
      </c>
      <c r="N2852" s="31">
        <f t="shared" si="3299"/>
        <v>0</v>
      </c>
      <c r="O2852" s="31">
        <f t="shared" si="3300"/>
        <v>0</v>
      </c>
      <c r="P2852" s="31">
        <f t="shared" si="3301"/>
        <v>0</v>
      </c>
      <c r="Q2852" s="49">
        <f t="shared" si="3302"/>
        <v>0</v>
      </c>
    </row>
    <row r="2853" spans="4:17" s="62" customFormat="1" x14ac:dyDescent="0.3">
      <c r="D2853" s="235">
        <v>58</v>
      </c>
      <c r="E2853" s="240">
        <v>2</v>
      </c>
      <c r="F2853" s="241">
        <v>12.5</v>
      </c>
      <c r="G2853" s="242">
        <v>8.33</v>
      </c>
      <c r="H2853" s="239">
        <f t="shared" si="3293"/>
        <v>16.66</v>
      </c>
      <c r="I2853" s="131">
        <f t="shared" si="3294"/>
        <v>0</v>
      </c>
      <c r="J2853" s="31">
        <f t="shared" si="3295"/>
        <v>0</v>
      </c>
      <c r="K2853" s="31">
        <f t="shared" si="3296"/>
        <v>0</v>
      </c>
      <c r="L2853" s="31">
        <f t="shared" si="3297"/>
        <v>0</v>
      </c>
      <c r="M2853" s="31">
        <f t="shared" si="3298"/>
        <v>0</v>
      </c>
      <c r="N2853" s="31">
        <f t="shared" si="3299"/>
        <v>16.043579999999999</v>
      </c>
      <c r="O2853" s="31">
        <f t="shared" si="3300"/>
        <v>0</v>
      </c>
      <c r="P2853" s="31">
        <f t="shared" si="3301"/>
        <v>0</v>
      </c>
      <c r="Q2853" s="49">
        <f t="shared" si="3302"/>
        <v>0</v>
      </c>
    </row>
    <row r="2854" spans="4:17" s="62" customFormat="1" ht="15" thickBot="1" x14ac:dyDescent="0.35">
      <c r="D2854" s="307"/>
      <c r="E2854" s="26"/>
      <c r="F2854" s="206"/>
      <c r="G2854" s="207"/>
      <c r="H2854" s="207"/>
      <c r="I2854" s="51"/>
      <c r="J2854" s="308"/>
      <c r="K2854" s="308"/>
      <c r="L2854" s="308"/>
      <c r="M2854" s="308"/>
      <c r="N2854" s="308"/>
      <c r="O2854" s="308"/>
      <c r="P2854" s="308"/>
      <c r="Q2854" s="309"/>
    </row>
    <row r="2855" spans="4:17" s="62" customFormat="1" x14ac:dyDescent="0.3">
      <c r="D2855" s="796" t="s">
        <v>1596</v>
      </c>
      <c r="E2855" s="797"/>
      <c r="F2855" s="797"/>
      <c r="G2855" s="797"/>
      <c r="H2855" s="797"/>
      <c r="I2855" s="47">
        <f t="shared" ref="I2855:Q2855" si="3303">SUM(I2856:I2860)</f>
        <v>0</v>
      </c>
      <c r="J2855" s="47">
        <f t="shared" si="3303"/>
        <v>6.1261200000000002</v>
      </c>
      <c r="K2855" s="47">
        <f t="shared" si="3303"/>
        <v>0.59289999999999998</v>
      </c>
      <c r="L2855" s="47">
        <f t="shared" si="3303"/>
        <v>14.994199999999999</v>
      </c>
      <c r="M2855" s="47">
        <f t="shared" si="3303"/>
        <v>0</v>
      </c>
      <c r="N2855" s="47">
        <f t="shared" si="3303"/>
        <v>16.043579999999999</v>
      </c>
      <c r="O2855" s="47">
        <f t="shared" si="3303"/>
        <v>0</v>
      </c>
      <c r="P2855" s="47">
        <f t="shared" si="3303"/>
        <v>0</v>
      </c>
      <c r="Q2855" s="47">
        <f t="shared" si="3303"/>
        <v>0</v>
      </c>
    </row>
    <row r="2856" spans="4:17" s="62" customFormat="1" x14ac:dyDescent="0.3">
      <c r="D2856" s="235">
        <v>2</v>
      </c>
      <c r="E2856" s="237">
        <v>34</v>
      </c>
      <c r="F2856" s="238">
        <v>5</v>
      </c>
      <c r="G2856" s="239">
        <v>1.17</v>
      </c>
      <c r="H2856" s="239">
        <f t="shared" ref="H2856:H2860" si="3304">E2856*G2856</f>
        <v>39.78</v>
      </c>
      <c r="I2856" s="131">
        <f t="shared" ref="I2856:I2860" si="3305">IF($F2856=4.2,H2856*$B$23,0)</f>
        <v>0</v>
      </c>
      <c r="J2856" s="31">
        <f t="shared" ref="J2856:J2860" si="3306">IF($F2856=5,$H2856*$B$24,0)</f>
        <v>6.1261200000000002</v>
      </c>
      <c r="K2856" s="31">
        <f t="shared" ref="K2856:K2860" si="3307">IF($F2856=6.3,$H2856*$B$25,0)</f>
        <v>0</v>
      </c>
      <c r="L2856" s="31">
        <f t="shared" ref="L2856:L2860" si="3308">IF($F2856=8,$H2856*$B$26,0)</f>
        <v>0</v>
      </c>
      <c r="M2856" s="31">
        <f t="shared" ref="M2856:M2860" si="3309">IF($F2856=10,$H2856*$B$27,0)</f>
        <v>0</v>
      </c>
      <c r="N2856" s="31">
        <f t="shared" ref="N2856:N2860" si="3310">IF($F2856=12.5,$H2856*$B$28,0)</f>
        <v>0</v>
      </c>
      <c r="O2856" s="31">
        <f t="shared" ref="O2856:O2860" si="3311">IF($F2856=16,$H2856*$B$29,0)</f>
        <v>0</v>
      </c>
      <c r="P2856" s="31">
        <f t="shared" ref="P2856:P2860" si="3312">IF($F2856=20,$H2856*$B$30,0)</f>
        <v>0</v>
      </c>
      <c r="Q2856" s="49">
        <f t="shared" ref="Q2856:Q2860" si="3313">IF($F2856=25,$H2856*$B$31,0)</f>
        <v>0</v>
      </c>
    </row>
    <row r="2857" spans="4:17" s="62" customFormat="1" x14ac:dyDescent="0.3">
      <c r="D2857" s="235">
        <v>6</v>
      </c>
      <c r="E2857" s="240">
        <v>2</v>
      </c>
      <c r="F2857" s="241">
        <v>6.3</v>
      </c>
      <c r="G2857" s="242">
        <v>1.21</v>
      </c>
      <c r="H2857" s="239">
        <f t="shared" si="3304"/>
        <v>2.42</v>
      </c>
      <c r="I2857" s="131">
        <f t="shared" si="3305"/>
        <v>0</v>
      </c>
      <c r="J2857" s="31">
        <f t="shared" si="3306"/>
        <v>0</v>
      </c>
      <c r="K2857" s="31">
        <f t="shared" si="3307"/>
        <v>0.59289999999999998</v>
      </c>
      <c r="L2857" s="31">
        <f t="shared" si="3308"/>
        <v>0</v>
      </c>
      <c r="M2857" s="31">
        <f t="shared" si="3309"/>
        <v>0</v>
      </c>
      <c r="N2857" s="31">
        <f t="shared" si="3310"/>
        <v>0</v>
      </c>
      <c r="O2857" s="31">
        <f t="shared" si="3311"/>
        <v>0</v>
      </c>
      <c r="P2857" s="31">
        <f t="shared" si="3312"/>
        <v>0</v>
      </c>
      <c r="Q2857" s="49">
        <f t="shared" si="3313"/>
        <v>0</v>
      </c>
    </row>
    <row r="2858" spans="4:17" s="62" customFormat="1" x14ac:dyDescent="0.3">
      <c r="D2858" s="235">
        <v>14</v>
      </c>
      <c r="E2858" s="240">
        <v>2</v>
      </c>
      <c r="F2858" s="241">
        <v>8</v>
      </c>
      <c r="G2858" s="242">
        <v>2.8</v>
      </c>
      <c r="H2858" s="239">
        <f t="shared" si="3304"/>
        <v>5.6</v>
      </c>
      <c r="I2858" s="131">
        <f t="shared" si="3305"/>
        <v>0</v>
      </c>
      <c r="J2858" s="31">
        <f t="shared" si="3306"/>
        <v>0</v>
      </c>
      <c r="K2858" s="31">
        <f t="shared" si="3307"/>
        <v>0</v>
      </c>
      <c r="L2858" s="31">
        <f t="shared" si="3308"/>
        <v>2.2119999999999997</v>
      </c>
      <c r="M2858" s="31">
        <f t="shared" si="3309"/>
        <v>0</v>
      </c>
      <c r="N2858" s="31">
        <f t="shared" si="3310"/>
        <v>0</v>
      </c>
      <c r="O2858" s="31">
        <f t="shared" si="3311"/>
        <v>0</v>
      </c>
      <c r="P2858" s="31">
        <f t="shared" si="3312"/>
        <v>0</v>
      </c>
      <c r="Q2858" s="49">
        <f t="shared" si="3313"/>
        <v>0</v>
      </c>
    </row>
    <row r="2859" spans="4:17" s="62" customFormat="1" x14ac:dyDescent="0.3">
      <c r="D2859" s="235">
        <v>15</v>
      </c>
      <c r="E2859" s="240">
        <v>4</v>
      </c>
      <c r="F2859" s="241">
        <v>8</v>
      </c>
      <c r="G2859" s="242">
        <v>8.09</v>
      </c>
      <c r="H2859" s="239">
        <f t="shared" si="3304"/>
        <v>32.36</v>
      </c>
      <c r="I2859" s="131">
        <f t="shared" si="3305"/>
        <v>0</v>
      </c>
      <c r="J2859" s="31">
        <f t="shared" si="3306"/>
        <v>0</v>
      </c>
      <c r="K2859" s="31">
        <f t="shared" si="3307"/>
        <v>0</v>
      </c>
      <c r="L2859" s="31">
        <f t="shared" si="3308"/>
        <v>12.7822</v>
      </c>
      <c r="M2859" s="31">
        <f t="shared" si="3309"/>
        <v>0</v>
      </c>
      <c r="N2859" s="31">
        <f t="shared" si="3310"/>
        <v>0</v>
      </c>
      <c r="O2859" s="31">
        <f t="shared" si="3311"/>
        <v>0</v>
      </c>
      <c r="P2859" s="31">
        <f t="shared" si="3312"/>
        <v>0</v>
      </c>
      <c r="Q2859" s="49">
        <f t="shared" si="3313"/>
        <v>0</v>
      </c>
    </row>
    <row r="2860" spans="4:17" s="62" customFormat="1" x14ac:dyDescent="0.3">
      <c r="D2860" s="235">
        <v>58</v>
      </c>
      <c r="E2860" s="240">
        <v>2</v>
      </c>
      <c r="F2860" s="241">
        <v>12.5</v>
      </c>
      <c r="G2860" s="242">
        <v>8.33</v>
      </c>
      <c r="H2860" s="239">
        <f t="shared" si="3304"/>
        <v>16.66</v>
      </c>
      <c r="I2860" s="131">
        <f t="shared" si="3305"/>
        <v>0</v>
      </c>
      <c r="J2860" s="31">
        <f t="shared" si="3306"/>
        <v>0</v>
      </c>
      <c r="K2860" s="31">
        <f t="shared" si="3307"/>
        <v>0</v>
      </c>
      <c r="L2860" s="31">
        <f t="shared" si="3308"/>
        <v>0</v>
      </c>
      <c r="M2860" s="31">
        <f t="shared" si="3309"/>
        <v>0</v>
      </c>
      <c r="N2860" s="31">
        <f t="shared" si="3310"/>
        <v>16.043579999999999</v>
      </c>
      <c r="O2860" s="31">
        <f t="shared" si="3311"/>
        <v>0</v>
      </c>
      <c r="P2860" s="31">
        <f t="shared" si="3312"/>
        <v>0</v>
      </c>
      <c r="Q2860" s="49">
        <f t="shared" si="3313"/>
        <v>0</v>
      </c>
    </row>
    <row r="2861" spans="4:17" s="62" customFormat="1" ht="15" thickBot="1" x14ac:dyDescent="0.35">
      <c r="D2861" s="307"/>
      <c r="E2861" s="26"/>
      <c r="F2861" s="206"/>
      <c r="G2861" s="207"/>
      <c r="H2861" s="207"/>
      <c r="I2861" s="51"/>
      <c r="J2861" s="308"/>
      <c r="K2861" s="308"/>
      <c r="L2861" s="308"/>
      <c r="M2861" s="308"/>
      <c r="N2861" s="308"/>
      <c r="O2861" s="308"/>
      <c r="P2861" s="308"/>
      <c r="Q2861" s="309"/>
    </row>
    <row r="2862" spans="4:17" s="62" customFormat="1" x14ac:dyDescent="0.3">
      <c r="D2862" s="796" t="s">
        <v>1597</v>
      </c>
      <c r="E2862" s="797"/>
      <c r="F2862" s="797"/>
      <c r="G2862" s="797"/>
      <c r="H2862" s="797"/>
      <c r="I2862" s="47">
        <f t="shared" ref="I2862:Q2862" si="3314">SUM(I2863:I2871)</f>
        <v>0</v>
      </c>
      <c r="J2862" s="47">
        <f t="shared" si="3314"/>
        <v>13.080760000000001</v>
      </c>
      <c r="K2862" s="47">
        <f t="shared" si="3314"/>
        <v>0</v>
      </c>
      <c r="L2862" s="47">
        <f t="shared" si="3314"/>
        <v>0</v>
      </c>
      <c r="M2862" s="47">
        <f t="shared" si="3314"/>
        <v>6.0527700000000006</v>
      </c>
      <c r="N2862" s="47">
        <f t="shared" si="3314"/>
        <v>14.2524</v>
      </c>
      <c r="O2862" s="47">
        <f t="shared" si="3314"/>
        <v>54.220080000000003</v>
      </c>
      <c r="P2862" s="47">
        <f t="shared" si="3314"/>
        <v>36.799999999999997</v>
      </c>
      <c r="Q2862" s="47">
        <f t="shared" si="3314"/>
        <v>0</v>
      </c>
    </row>
    <row r="2863" spans="4:17" s="62" customFormat="1" x14ac:dyDescent="0.3">
      <c r="D2863" s="235">
        <v>3</v>
      </c>
      <c r="E2863" s="237">
        <v>62</v>
      </c>
      <c r="F2863" s="238">
        <v>5</v>
      </c>
      <c r="G2863" s="239">
        <v>1.37</v>
      </c>
      <c r="H2863" s="239">
        <f t="shared" ref="H2863:H2871" si="3315">E2863*G2863</f>
        <v>84.940000000000012</v>
      </c>
      <c r="I2863" s="131">
        <f t="shared" ref="I2863:I2871" si="3316">IF($F2863=4.2,H2863*$B$23,0)</f>
        <v>0</v>
      </c>
      <c r="J2863" s="31">
        <f t="shared" ref="J2863:J2871" si="3317">IF($F2863=5,$H2863*$B$24,0)</f>
        <v>13.080760000000001</v>
      </c>
      <c r="K2863" s="31">
        <f t="shared" ref="K2863:K2871" si="3318">IF($F2863=6.3,$H2863*$B$25,0)</f>
        <v>0</v>
      </c>
      <c r="L2863" s="31">
        <f t="shared" ref="L2863:L2871" si="3319">IF($F2863=8,$H2863*$B$26,0)</f>
        <v>0</v>
      </c>
      <c r="M2863" s="31">
        <f t="shared" ref="M2863:M2871" si="3320">IF($F2863=10,$H2863*$B$27,0)</f>
        <v>0</v>
      </c>
      <c r="N2863" s="31">
        <f t="shared" ref="N2863:N2871" si="3321">IF($F2863=12.5,$H2863*$B$28,0)</f>
        <v>0</v>
      </c>
      <c r="O2863" s="31">
        <f t="shared" ref="O2863:O2871" si="3322">IF($F2863=16,$H2863*$B$29,0)</f>
        <v>0</v>
      </c>
      <c r="P2863" s="31">
        <f t="shared" ref="P2863:P2871" si="3323">IF($F2863=20,$H2863*$B$30,0)</f>
        <v>0</v>
      </c>
      <c r="Q2863" s="49">
        <f t="shared" ref="Q2863:Q2871" si="3324">IF($F2863=25,$H2863*$B$31,0)</f>
        <v>0</v>
      </c>
    </row>
    <row r="2864" spans="4:17" s="62" customFormat="1" x14ac:dyDescent="0.3">
      <c r="D2864" s="235">
        <v>32</v>
      </c>
      <c r="E2864" s="240">
        <v>3</v>
      </c>
      <c r="F2864" s="241">
        <v>10</v>
      </c>
      <c r="G2864" s="242">
        <v>3.27</v>
      </c>
      <c r="H2864" s="239">
        <f t="shared" si="3315"/>
        <v>9.81</v>
      </c>
      <c r="I2864" s="131">
        <f t="shared" si="3316"/>
        <v>0</v>
      </c>
      <c r="J2864" s="31">
        <f t="shared" si="3317"/>
        <v>0</v>
      </c>
      <c r="K2864" s="31">
        <f t="shared" si="3318"/>
        <v>0</v>
      </c>
      <c r="L2864" s="31">
        <f t="shared" si="3319"/>
        <v>0</v>
      </c>
      <c r="M2864" s="31">
        <f t="shared" si="3320"/>
        <v>6.0527700000000006</v>
      </c>
      <c r="N2864" s="31">
        <f t="shared" si="3321"/>
        <v>0</v>
      </c>
      <c r="O2864" s="31">
        <f t="shared" si="3322"/>
        <v>0</v>
      </c>
      <c r="P2864" s="31">
        <f t="shared" si="3323"/>
        <v>0</v>
      </c>
      <c r="Q2864" s="49">
        <f t="shared" si="3324"/>
        <v>0</v>
      </c>
    </row>
    <row r="2865" spans="4:17" s="62" customFormat="1" x14ac:dyDescent="0.3">
      <c r="D2865" s="235">
        <v>59</v>
      </c>
      <c r="E2865" s="240">
        <v>1</v>
      </c>
      <c r="F2865" s="241">
        <v>12.5</v>
      </c>
      <c r="G2865" s="242">
        <v>2</v>
      </c>
      <c r="H2865" s="239">
        <f t="shared" si="3315"/>
        <v>2</v>
      </c>
      <c r="I2865" s="131">
        <f t="shared" si="3316"/>
        <v>0</v>
      </c>
      <c r="J2865" s="31">
        <f t="shared" si="3317"/>
        <v>0</v>
      </c>
      <c r="K2865" s="31">
        <f t="shared" si="3318"/>
        <v>0</v>
      </c>
      <c r="L2865" s="31">
        <f t="shared" si="3319"/>
        <v>0</v>
      </c>
      <c r="M2865" s="31">
        <f t="shared" si="3320"/>
        <v>0</v>
      </c>
      <c r="N2865" s="31">
        <f t="shared" si="3321"/>
        <v>1.9259999999999999</v>
      </c>
      <c r="O2865" s="31">
        <f t="shared" si="3322"/>
        <v>0</v>
      </c>
      <c r="P2865" s="31">
        <f t="shared" si="3323"/>
        <v>0</v>
      </c>
      <c r="Q2865" s="49">
        <f t="shared" si="3324"/>
        <v>0</v>
      </c>
    </row>
    <row r="2866" spans="4:17" s="62" customFormat="1" x14ac:dyDescent="0.3">
      <c r="D2866" s="235">
        <v>60</v>
      </c>
      <c r="E2866" s="240">
        <v>1</v>
      </c>
      <c r="F2866" s="241">
        <v>12.5</v>
      </c>
      <c r="G2866" s="242">
        <v>2.04</v>
      </c>
      <c r="H2866" s="239">
        <f t="shared" si="3315"/>
        <v>2.04</v>
      </c>
      <c r="I2866" s="131">
        <f t="shared" si="3316"/>
        <v>0</v>
      </c>
      <c r="J2866" s="31">
        <f t="shared" si="3317"/>
        <v>0</v>
      </c>
      <c r="K2866" s="31">
        <f t="shared" si="3318"/>
        <v>0</v>
      </c>
      <c r="L2866" s="31">
        <f t="shared" si="3319"/>
        <v>0</v>
      </c>
      <c r="M2866" s="31">
        <f t="shared" si="3320"/>
        <v>0</v>
      </c>
      <c r="N2866" s="31">
        <f t="shared" si="3321"/>
        <v>1.96452</v>
      </c>
      <c r="O2866" s="31">
        <f t="shared" si="3322"/>
        <v>0</v>
      </c>
      <c r="P2866" s="31">
        <f t="shared" si="3323"/>
        <v>0</v>
      </c>
      <c r="Q2866" s="49">
        <f t="shared" si="3324"/>
        <v>0</v>
      </c>
    </row>
    <row r="2867" spans="4:17" s="62" customFormat="1" x14ac:dyDescent="0.3">
      <c r="D2867" s="235">
        <v>61</v>
      </c>
      <c r="E2867" s="240">
        <v>4</v>
      </c>
      <c r="F2867" s="241">
        <v>12.5</v>
      </c>
      <c r="G2867" s="242">
        <v>2.69</v>
      </c>
      <c r="H2867" s="239">
        <f t="shared" si="3315"/>
        <v>10.76</v>
      </c>
      <c r="I2867" s="131">
        <f t="shared" si="3316"/>
        <v>0</v>
      </c>
      <c r="J2867" s="31">
        <f t="shared" si="3317"/>
        <v>0</v>
      </c>
      <c r="K2867" s="31">
        <f t="shared" si="3318"/>
        <v>0</v>
      </c>
      <c r="L2867" s="31">
        <f t="shared" si="3319"/>
        <v>0</v>
      </c>
      <c r="M2867" s="31">
        <f t="shared" si="3320"/>
        <v>0</v>
      </c>
      <c r="N2867" s="31">
        <f t="shared" si="3321"/>
        <v>10.361879999999999</v>
      </c>
      <c r="O2867" s="31">
        <f t="shared" si="3322"/>
        <v>0</v>
      </c>
      <c r="P2867" s="31">
        <f t="shared" si="3323"/>
        <v>0</v>
      </c>
      <c r="Q2867" s="49">
        <f t="shared" si="3324"/>
        <v>0</v>
      </c>
    </row>
    <row r="2868" spans="4:17" s="62" customFormat="1" x14ac:dyDescent="0.3">
      <c r="D2868" s="235">
        <v>67</v>
      </c>
      <c r="E2868" s="240">
        <v>2</v>
      </c>
      <c r="F2868" s="241">
        <v>16</v>
      </c>
      <c r="G2868" s="242">
        <v>4.4000000000000004</v>
      </c>
      <c r="H2868" s="239">
        <f t="shared" si="3315"/>
        <v>8.8000000000000007</v>
      </c>
      <c r="I2868" s="131">
        <f t="shared" si="3316"/>
        <v>0</v>
      </c>
      <c r="J2868" s="31">
        <f t="shared" si="3317"/>
        <v>0</v>
      </c>
      <c r="K2868" s="31">
        <f t="shared" si="3318"/>
        <v>0</v>
      </c>
      <c r="L2868" s="31">
        <f t="shared" si="3319"/>
        <v>0</v>
      </c>
      <c r="M2868" s="31">
        <f t="shared" si="3320"/>
        <v>0</v>
      </c>
      <c r="N2868" s="31">
        <f t="shared" si="3321"/>
        <v>0</v>
      </c>
      <c r="O2868" s="31">
        <f t="shared" si="3322"/>
        <v>13.886400000000002</v>
      </c>
      <c r="P2868" s="31">
        <f t="shared" si="3323"/>
        <v>0</v>
      </c>
      <c r="Q2868" s="49">
        <f t="shared" si="3324"/>
        <v>0</v>
      </c>
    </row>
    <row r="2869" spans="4:17" s="62" customFormat="1" x14ac:dyDescent="0.3">
      <c r="D2869" s="235">
        <v>68</v>
      </c>
      <c r="E2869" s="240">
        <v>3</v>
      </c>
      <c r="F2869" s="241">
        <v>16</v>
      </c>
      <c r="G2869" s="242">
        <v>8.52</v>
      </c>
      <c r="H2869" s="239">
        <f t="shared" si="3315"/>
        <v>25.56</v>
      </c>
      <c r="I2869" s="131">
        <f t="shared" si="3316"/>
        <v>0</v>
      </c>
      <c r="J2869" s="31">
        <f t="shared" si="3317"/>
        <v>0</v>
      </c>
      <c r="K2869" s="31">
        <f t="shared" si="3318"/>
        <v>0</v>
      </c>
      <c r="L2869" s="31">
        <f t="shared" si="3319"/>
        <v>0</v>
      </c>
      <c r="M2869" s="31">
        <f t="shared" si="3320"/>
        <v>0</v>
      </c>
      <c r="N2869" s="31">
        <f t="shared" si="3321"/>
        <v>0</v>
      </c>
      <c r="O2869" s="31">
        <f t="shared" si="3322"/>
        <v>40.333680000000001</v>
      </c>
      <c r="P2869" s="31">
        <f t="shared" si="3323"/>
        <v>0</v>
      </c>
      <c r="Q2869" s="49">
        <f t="shared" si="3324"/>
        <v>0</v>
      </c>
    </row>
    <row r="2870" spans="4:17" s="62" customFormat="1" x14ac:dyDescent="0.3">
      <c r="D2870" s="235">
        <v>74</v>
      </c>
      <c r="E2870" s="240">
        <v>2</v>
      </c>
      <c r="F2870" s="241">
        <v>20</v>
      </c>
      <c r="G2870" s="242">
        <v>3.38</v>
      </c>
      <c r="H2870" s="239">
        <f t="shared" si="3315"/>
        <v>6.76</v>
      </c>
      <c r="I2870" s="131">
        <f t="shared" si="3316"/>
        <v>0</v>
      </c>
      <c r="J2870" s="31">
        <f t="shared" si="3317"/>
        <v>0</v>
      </c>
      <c r="K2870" s="31">
        <f t="shared" si="3318"/>
        <v>0</v>
      </c>
      <c r="L2870" s="31">
        <f t="shared" si="3319"/>
        <v>0</v>
      </c>
      <c r="M2870" s="31">
        <f t="shared" si="3320"/>
        <v>0</v>
      </c>
      <c r="N2870" s="31">
        <f t="shared" si="3321"/>
        <v>0</v>
      </c>
      <c r="O2870" s="31">
        <f t="shared" si="3322"/>
        <v>0</v>
      </c>
      <c r="P2870" s="31">
        <f t="shared" si="3323"/>
        <v>16.899999999999999</v>
      </c>
      <c r="Q2870" s="49">
        <f t="shared" si="3324"/>
        <v>0</v>
      </c>
    </row>
    <row r="2871" spans="4:17" s="62" customFormat="1" x14ac:dyDescent="0.3">
      <c r="D2871" s="235">
        <v>75</v>
      </c>
      <c r="E2871" s="240">
        <v>2</v>
      </c>
      <c r="F2871" s="241">
        <v>20</v>
      </c>
      <c r="G2871" s="242">
        <v>3.98</v>
      </c>
      <c r="H2871" s="239">
        <f t="shared" si="3315"/>
        <v>7.96</v>
      </c>
      <c r="I2871" s="131">
        <f t="shared" si="3316"/>
        <v>0</v>
      </c>
      <c r="J2871" s="31">
        <f t="shared" si="3317"/>
        <v>0</v>
      </c>
      <c r="K2871" s="31">
        <f t="shared" si="3318"/>
        <v>0</v>
      </c>
      <c r="L2871" s="31">
        <f t="shared" si="3319"/>
        <v>0</v>
      </c>
      <c r="M2871" s="31">
        <f t="shared" si="3320"/>
        <v>0</v>
      </c>
      <c r="N2871" s="31">
        <f t="shared" si="3321"/>
        <v>0</v>
      </c>
      <c r="O2871" s="31">
        <f t="shared" si="3322"/>
        <v>0</v>
      </c>
      <c r="P2871" s="31">
        <f t="shared" si="3323"/>
        <v>19.899999999999999</v>
      </c>
      <c r="Q2871" s="49">
        <f t="shared" si="3324"/>
        <v>0</v>
      </c>
    </row>
    <row r="2872" spans="4:17" s="62" customFormat="1" ht="15" thickBot="1" x14ac:dyDescent="0.35">
      <c r="D2872" s="307"/>
      <c r="E2872" s="26"/>
      <c r="F2872" s="206"/>
      <c r="G2872" s="207"/>
      <c r="H2872" s="207"/>
      <c r="I2872" s="51"/>
      <c r="J2872" s="308"/>
      <c r="K2872" s="308"/>
      <c r="L2872" s="308"/>
      <c r="M2872" s="308"/>
      <c r="N2872" s="308"/>
      <c r="O2872" s="308"/>
      <c r="P2872" s="308"/>
      <c r="Q2872" s="309"/>
    </row>
    <row r="2873" spans="4:17" s="62" customFormat="1" x14ac:dyDescent="0.3">
      <c r="D2873" s="796" t="s">
        <v>1598</v>
      </c>
      <c r="E2873" s="797"/>
      <c r="F2873" s="797"/>
      <c r="G2873" s="797"/>
      <c r="H2873" s="797"/>
      <c r="I2873" s="47">
        <f t="shared" ref="I2873:Q2873" si="3325">SUM(I2874:I2884)</f>
        <v>0</v>
      </c>
      <c r="J2873" s="47">
        <f t="shared" si="3325"/>
        <v>13.50272</v>
      </c>
      <c r="K2873" s="47">
        <f t="shared" si="3325"/>
        <v>0</v>
      </c>
      <c r="L2873" s="47">
        <f t="shared" si="3325"/>
        <v>0</v>
      </c>
      <c r="M2873" s="47">
        <f t="shared" si="3325"/>
        <v>26.85801</v>
      </c>
      <c r="N2873" s="47">
        <f t="shared" si="3325"/>
        <v>0</v>
      </c>
      <c r="O2873" s="47">
        <f t="shared" si="3325"/>
        <v>84.770160000000004</v>
      </c>
      <c r="P2873" s="47">
        <f t="shared" si="3325"/>
        <v>0</v>
      </c>
      <c r="Q2873" s="47">
        <f t="shared" si="3325"/>
        <v>0</v>
      </c>
    </row>
    <row r="2874" spans="4:17" s="62" customFormat="1" x14ac:dyDescent="0.3">
      <c r="D2874" s="235">
        <v>3</v>
      </c>
      <c r="E2874" s="237">
        <v>64</v>
      </c>
      <c r="F2874" s="238">
        <v>5</v>
      </c>
      <c r="G2874" s="239">
        <v>1.37</v>
      </c>
      <c r="H2874" s="239">
        <f t="shared" ref="H2874:H2884" si="3326">E2874*G2874</f>
        <v>87.68</v>
      </c>
      <c r="I2874" s="131">
        <f t="shared" ref="I2874:I2884" si="3327">IF($F2874=4.2,H2874*$B$23,0)</f>
        <v>0</v>
      </c>
      <c r="J2874" s="31">
        <f t="shared" ref="J2874:J2884" si="3328">IF($F2874=5,$H2874*$B$24,0)</f>
        <v>13.50272</v>
      </c>
      <c r="K2874" s="31">
        <f t="shared" ref="K2874:K2884" si="3329">IF($F2874=6.3,$H2874*$B$25,0)</f>
        <v>0</v>
      </c>
      <c r="L2874" s="31">
        <f t="shared" ref="L2874:L2884" si="3330">IF($F2874=8,$H2874*$B$26,0)</f>
        <v>0</v>
      </c>
      <c r="M2874" s="31">
        <f t="shared" ref="M2874:M2884" si="3331">IF($F2874=10,$H2874*$B$27,0)</f>
        <v>0</v>
      </c>
      <c r="N2874" s="31">
        <f t="shared" ref="N2874:N2884" si="3332">IF($F2874=12.5,$H2874*$B$28,0)</f>
        <v>0</v>
      </c>
      <c r="O2874" s="31">
        <f t="shared" ref="O2874:O2884" si="3333">IF($F2874=16,$H2874*$B$29,0)</f>
        <v>0</v>
      </c>
      <c r="P2874" s="31">
        <f t="shared" ref="P2874:P2884" si="3334">IF($F2874=20,$H2874*$B$30,0)</f>
        <v>0</v>
      </c>
      <c r="Q2874" s="49">
        <f t="shared" ref="Q2874:Q2884" si="3335">IF($F2874=25,$H2874*$B$31,0)</f>
        <v>0</v>
      </c>
    </row>
    <row r="2875" spans="4:17" s="62" customFormat="1" x14ac:dyDescent="0.3">
      <c r="D2875" s="235">
        <v>33</v>
      </c>
      <c r="E2875" s="240">
        <v>2</v>
      </c>
      <c r="F2875" s="241">
        <v>10</v>
      </c>
      <c r="G2875" s="242">
        <v>1.61</v>
      </c>
      <c r="H2875" s="239">
        <f t="shared" si="3326"/>
        <v>3.22</v>
      </c>
      <c r="I2875" s="131">
        <f t="shared" si="3327"/>
        <v>0</v>
      </c>
      <c r="J2875" s="31">
        <f t="shared" si="3328"/>
        <v>0</v>
      </c>
      <c r="K2875" s="31">
        <f t="shared" si="3329"/>
        <v>0</v>
      </c>
      <c r="L2875" s="31">
        <f t="shared" si="3330"/>
        <v>0</v>
      </c>
      <c r="M2875" s="31">
        <f t="shared" si="3331"/>
        <v>1.9867400000000002</v>
      </c>
      <c r="N2875" s="31">
        <f t="shared" si="3332"/>
        <v>0</v>
      </c>
      <c r="O2875" s="31">
        <f t="shared" si="3333"/>
        <v>0</v>
      </c>
      <c r="P2875" s="31">
        <f t="shared" si="3334"/>
        <v>0</v>
      </c>
      <c r="Q2875" s="49">
        <f t="shared" si="3335"/>
        <v>0</v>
      </c>
    </row>
    <row r="2876" spans="4:17" s="62" customFormat="1" x14ac:dyDescent="0.3">
      <c r="D2876" s="235">
        <v>34</v>
      </c>
      <c r="E2876" s="240">
        <v>3</v>
      </c>
      <c r="F2876" s="241">
        <v>10</v>
      </c>
      <c r="G2876" s="242">
        <v>2.17</v>
      </c>
      <c r="H2876" s="239">
        <f t="shared" si="3326"/>
        <v>6.51</v>
      </c>
      <c r="I2876" s="131">
        <f t="shared" si="3327"/>
        <v>0</v>
      </c>
      <c r="J2876" s="31">
        <f t="shared" si="3328"/>
        <v>0</v>
      </c>
      <c r="K2876" s="31">
        <f t="shared" si="3329"/>
        <v>0</v>
      </c>
      <c r="L2876" s="31">
        <f t="shared" si="3330"/>
        <v>0</v>
      </c>
      <c r="M2876" s="31">
        <f t="shared" si="3331"/>
        <v>4.0166699999999995</v>
      </c>
      <c r="N2876" s="31">
        <f t="shared" si="3332"/>
        <v>0</v>
      </c>
      <c r="O2876" s="31">
        <f t="shared" si="3333"/>
        <v>0</v>
      </c>
      <c r="P2876" s="31">
        <f t="shared" si="3334"/>
        <v>0</v>
      </c>
      <c r="Q2876" s="49">
        <f t="shared" si="3335"/>
        <v>0</v>
      </c>
    </row>
    <row r="2877" spans="4:17" s="62" customFormat="1" x14ac:dyDescent="0.3">
      <c r="D2877" s="235">
        <v>35</v>
      </c>
      <c r="E2877" s="240">
        <v>5</v>
      </c>
      <c r="F2877" s="241">
        <v>10</v>
      </c>
      <c r="G2877" s="242">
        <v>2.21</v>
      </c>
      <c r="H2877" s="239">
        <f t="shared" si="3326"/>
        <v>11.05</v>
      </c>
      <c r="I2877" s="131">
        <f t="shared" si="3327"/>
        <v>0</v>
      </c>
      <c r="J2877" s="31">
        <f t="shared" si="3328"/>
        <v>0</v>
      </c>
      <c r="K2877" s="31">
        <f t="shared" si="3329"/>
        <v>0</v>
      </c>
      <c r="L2877" s="31">
        <f t="shared" si="3330"/>
        <v>0</v>
      </c>
      <c r="M2877" s="31">
        <f t="shared" si="3331"/>
        <v>6.81785</v>
      </c>
      <c r="N2877" s="31">
        <f t="shared" si="3332"/>
        <v>0</v>
      </c>
      <c r="O2877" s="31">
        <f t="shared" si="3333"/>
        <v>0</v>
      </c>
      <c r="P2877" s="31">
        <f t="shared" si="3334"/>
        <v>0</v>
      </c>
      <c r="Q2877" s="49">
        <f t="shared" si="3335"/>
        <v>0</v>
      </c>
    </row>
    <row r="2878" spans="4:17" s="62" customFormat="1" x14ac:dyDescent="0.3">
      <c r="D2878" s="235">
        <v>36</v>
      </c>
      <c r="E2878" s="240">
        <v>2</v>
      </c>
      <c r="F2878" s="241">
        <v>10</v>
      </c>
      <c r="G2878" s="242">
        <v>2.81</v>
      </c>
      <c r="H2878" s="239">
        <f t="shared" si="3326"/>
        <v>5.62</v>
      </c>
      <c r="I2878" s="131">
        <f t="shared" si="3327"/>
        <v>0</v>
      </c>
      <c r="J2878" s="31">
        <f t="shared" si="3328"/>
        <v>0</v>
      </c>
      <c r="K2878" s="31">
        <f t="shared" si="3329"/>
        <v>0</v>
      </c>
      <c r="L2878" s="31">
        <f t="shared" si="3330"/>
        <v>0</v>
      </c>
      <c r="M2878" s="31">
        <f t="shared" si="3331"/>
        <v>3.4675400000000001</v>
      </c>
      <c r="N2878" s="31">
        <f t="shared" si="3332"/>
        <v>0</v>
      </c>
      <c r="O2878" s="31">
        <f t="shared" si="3333"/>
        <v>0</v>
      </c>
      <c r="P2878" s="31">
        <f t="shared" si="3334"/>
        <v>0</v>
      </c>
      <c r="Q2878" s="49">
        <f t="shared" si="3335"/>
        <v>0</v>
      </c>
    </row>
    <row r="2879" spans="4:17" s="62" customFormat="1" x14ac:dyDescent="0.3">
      <c r="D2879" s="235">
        <v>37</v>
      </c>
      <c r="E2879" s="240">
        <v>3</v>
      </c>
      <c r="F2879" s="241">
        <v>10</v>
      </c>
      <c r="G2879" s="242">
        <v>5.71</v>
      </c>
      <c r="H2879" s="239">
        <f t="shared" si="3326"/>
        <v>17.13</v>
      </c>
      <c r="I2879" s="131">
        <f t="shared" si="3327"/>
        <v>0</v>
      </c>
      <c r="J2879" s="31">
        <f t="shared" si="3328"/>
        <v>0</v>
      </c>
      <c r="K2879" s="31">
        <f t="shared" si="3329"/>
        <v>0</v>
      </c>
      <c r="L2879" s="31">
        <f t="shared" si="3330"/>
        <v>0</v>
      </c>
      <c r="M2879" s="31">
        <f t="shared" si="3331"/>
        <v>10.56921</v>
      </c>
      <c r="N2879" s="31">
        <f t="shared" si="3332"/>
        <v>0</v>
      </c>
      <c r="O2879" s="31">
        <f t="shared" si="3333"/>
        <v>0</v>
      </c>
      <c r="P2879" s="31">
        <f t="shared" si="3334"/>
        <v>0</v>
      </c>
      <c r="Q2879" s="49">
        <f t="shared" si="3335"/>
        <v>0</v>
      </c>
    </row>
    <row r="2880" spans="4:17" s="62" customFormat="1" x14ac:dyDescent="0.3">
      <c r="D2880" s="235">
        <v>69</v>
      </c>
      <c r="E2880" s="240">
        <v>2</v>
      </c>
      <c r="F2880" s="241">
        <v>16</v>
      </c>
      <c r="G2880" s="242">
        <v>4.2</v>
      </c>
      <c r="H2880" s="239">
        <f t="shared" si="3326"/>
        <v>8.4</v>
      </c>
      <c r="I2880" s="131">
        <f t="shared" si="3327"/>
        <v>0</v>
      </c>
      <c r="J2880" s="31">
        <f t="shared" si="3328"/>
        <v>0</v>
      </c>
      <c r="K2880" s="31">
        <f t="shared" si="3329"/>
        <v>0</v>
      </c>
      <c r="L2880" s="31">
        <f t="shared" si="3330"/>
        <v>0</v>
      </c>
      <c r="M2880" s="31">
        <f t="shared" si="3331"/>
        <v>0</v>
      </c>
      <c r="N2880" s="31">
        <f t="shared" si="3332"/>
        <v>0</v>
      </c>
      <c r="O2880" s="31">
        <f t="shared" si="3333"/>
        <v>13.2552</v>
      </c>
      <c r="P2880" s="31">
        <f t="shared" si="3334"/>
        <v>0</v>
      </c>
      <c r="Q2880" s="49">
        <f t="shared" si="3335"/>
        <v>0</v>
      </c>
    </row>
    <row r="2881" spans="4:17" s="62" customFormat="1" x14ac:dyDescent="0.3">
      <c r="D2881" s="235">
        <v>70</v>
      </c>
      <c r="E2881" s="240">
        <v>3</v>
      </c>
      <c r="F2881" s="241">
        <v>16</v>
      </c>
      <c r="G2881" s="242">
        <v>8.6199999999999992</v>
      </c>
      <c r="H2881" s="239">
        <f t="shared" si="3326"/>
        <v>25.86</v>
      </c>
      <c r="I2881" s="131">
        <f t="shared" si="3327"/>
        <v>0</v>
      </c>
      <c r="J2881" s="31">
        <f t="shared" si="3328"/>
        <v>0</v>
      </c>
      <c r="K2881" s="31">
        <f t="shared" si="3329"/>
        <v>0</v>
      </c>
      <c r="L2881" s="31">
        <f t="shared" si="3330"/>
        <v>0</v>
      </c>
      <c r="M2881" s="31">
        <f t="shared" si="3331"/>
        <v>0</v>
      </c>
      <c r="N2881" s="31">
        <f t="shared" si="3332"/>
        <v>0</v>
      </c>
      <c r="O2881" s="31">
        <f t="shared" si="3333"/>
        <v>40.807079999999999</v>
      </c>
      <c r="P2881" s="31">
        <f t="shared" si="3334"/>
        <v>0</v>
      </c>
      <c r="Q2881" s="49">
        <f t="shared" si="3335"/>
        <v>0</v>
      </c>
    </row>
    <row r="2882" spans="4:17" s="62" customFormat="1" x14ac:dyDescent="0.3">
      <c r="D2882" s="235">
        <v>71</v>
      </c>
      <c r="E2882" s="240">
        <v>1</v>
      </c>
      <c r="F2882" s="241">
        <v>16</v>
      </c>
      <c r="G2882" s="242">
        <v>2.81</v>
      </c>
      <c r="H2882" s="239">
        <f t="shared" si="3326"/>
        <v>2.81</v>
      </c>
      <c r="I2882" s="131">
        <f t="shared" si="3327"/>
        <v>0</v>
      </c>
      <c r="J2882" s="31">
        <f t="shared" si="3328"/>
        <v>0</v>
      </c>
      <c r="K2882" s="31">
        <f t="shared" si="3329"/>
        <v>0</v>
      </c>
      <c r="L2882" s="31">
        <f t="shared" si="3330"/>
        <v>0</v>
      </c>
      <c r="M2882" s="31">
        <f t="shared" si="3331"/>
        <v>0</v>
      </c>
      <c r="N2882" s="31">
        <f t="shared" si="3332"/>
        <v>0</v>
      </c>
      <c r="O2882" s="31">
        <f t="shared" si="3333"/>
        <v>4.4341800000000005</v>
      </c>
      <c r="P2882" s="31">
        <f t="shared" si="3334"/>
        <v>0</v>
      </c>
      <c r="Q2882" s="49">
        <f t="shared" si="3335"/>
        <v>0</v>
      </c>
    </row>
    <row r="2883" spans="4:17" s="62" customFormat="1" x14ac:dyDescent="0.3">
      <c r="D2883" s="235">
        <v>72</v>
      </c>
      <c r="E2883" s="240">
        <v>2</v>
      </c>
      <c r="F2883" s="241">
        <v>16</v>
      </c>
      <c r="G2883" s="242">
        <v>2.85</v>
      </c>
      <c r="H2883" s="239">
        <f t="shared" si="3326"/>
        <v>5.7</v>
      </c>
      <c r="I2883" s="131">
        <f t="shared" si="3327"/>
        <v>0</v>
      </c>
      <c r="J2883" s="31">
        <f t="shared" si="3328"/>
        <v>0</v>
      </c>
      <c r="K2883" s="31">
        <f t="shared" si="3329"/>
        <v>0</v>
      </c>
      <c r="L2883" s="31">
        <f t="shared" si="3330"/>
        <v>0</v>
      </c>
      <c r="M2883" s="31">
        <f t="shared" si="3331"/>
        <v>0</v>
      </c>
      <c r="N2883" s="31">
        <f t="shared" si="3332"/>
        <v>0</v>
      </c>
      <c r="O2883" s="31">
        <f t="shared" si="3333"/>
        <v>8.9946000000000002</v>
      </c>
      <c r="P2883" s="31">
        <f t="shared" si="3334"/>
        <v>0</v>
      </c>
      <c r="Q2883" s="49">
        <f t="shared" si="3335"/>
        <v>0</v>
      </c>
    </row>
    <row r="2884" spans="4:17" s="62" customFormat="1" x14ac:dyDescent="0.3">
      <c r="D2884" s="235">
        <v>73</v>
      </c>
      <c r="E2884" s="240">
        <v>3</v>
      </c>
      <c r="F2884" s="241">
        <v>16</v>
      </c>
      <c r="G2884" s="242">
        <v>3.65</v>
      </c>
      <c r="H2884" s="239">
        <f t="shared" si="3326"/>
        <v>10.95</v>
      </c>
      <c r="I2884" s="131">
        <f t="shared" si="3327"/>
        <v>0</v>
      </c>
      <c r="J2884" s="31">
        <f t="shared" si="3328"/>
        <v>0</v>
      </c>
      <c r="K2884" s="31">
        <f t="shared" si="3329"/>
        <v>0</v>
      </c>
      <c r="L2884" s="31">
        <f t="shared" si="3330"/>
        <v>0</v>
      </c>
      <c r="M2884" s="31">
        <f t="shared" si="3331"/>
        <v>0</v>
      </c>
      <c r="N2884" s="31">
        <f t="shared" si="3332"/>
        <v>0</v>
      </c>
      <c r="O2884" s="31">
        <f t="shared" si="3333"/>
        <v>17.2791</v>
      </c>
      <c r="P2884" s="31">
        <f t="shared" si="3334"/>
        <v>0</v>
      </c>
      <c r="Q2884" s="49">
        <f t="shared" si="3335"/>
        <v>0</v>
      </c>
    </row>
    <row r="2885" spans="4:17" s="62" customFormat="1" ht="15" thickBot="1" x14ac:dyDescent="0.35">
      <c r="D2885" s="307"/>
      <c r="E2885" s="26"/>
      <c r="F2885" s="206"/>
      <c r="G2885" s="207"/>
      <c r="H2885" s="207"/>
      <c r="I2885" s="51"/>
      <c r="J2885" s="308"/>
      <c r="K2885" s="308"/>
      <c r="L2885" s="308"/>
      <c r="M2885" s="308"/>
      <c r="N2885" s="308"/>
      <c r="O2885" s="308"/>
      <c r="P2885" s="308"/>
      <c r="Q2885" s="309"/>
    </row>
    <row r="2886" spans="4:17" s="62" customFormat="1" x14ac:dyDescent="0.3">
      <c r="D2886" s="796" t="s">
        <v>1599</v>
      </c>
      <c r="E2886" s="797"/>
      <c r="F2886" s="797"/>
      <c r="G2886" s="797"/>
      <c r="H2886" s="797"/>
      <c r="I2886" s="47">
        <f t="shared" ref="I2886:Q2886" si="3336">SUM(I2887:I2898)</f>
        <v>0</v>
      </c>
      <c r="J2886" s="47">
        <f t="shared" si="3336"/>
        <v>13.291740000000001</v>
      </c>
      <c r="K2886" s="47">
        <f t="shared" si="3336"/>
        <v>0</v>
      </c>
      <c r="L2886" s="47">
        <f t="shared" si="3336"/>
        <v>0</v>
      </c>
      <c r="M2886" s="47">
        <f t="shared" si="3336"/>
        <v>52.266069999999999</v>
      </c>
      <c r="N2886" s="47">
        <f t="shared" si="3336"/>
        <v>0</v>
      </c>
      <c r="O2886" s="47">
        <f t="shared" si="3336"/>
        <v>53.588880000000003</v>
      </c>
      <c r="P2886" s="47">
        <f t="shared" si="3336"/>
        <v>0</v>
      </c>
      <c r="Q2886" s="47">
        <f t="shared" si="3336"/>
        <v>0</v>
      </c>
    </row>
    <row r="2887" spans="4:17" s="62" customFormat="1" x14ac:dyDescent="0.3">
      <c r="D2887" s="235">
        <v>3</v>
      </c>
      <c r="E2887" s="237">
        <v>63</v>
      </c>
      <c r="F2887" s="238">
        <v>5</v>
      </c>
      <c r="G2887" s="239">
        <v>1.37</v>
      </c>
      <c r="H2887" s="239">
        <f t="shared" ref="H2887:H2898" si="3337">E2887*G2887</f>
        <v>86.31</v>
      </c>
      <c r="I2887" s="131">
        <f t="shared" ref="I2887:I2898" si="3338">IF($F2887=4.2,H2887*$B$23,0)</f>
        <v>0</v>
      </c>
      <c r="J2887" s="31">
        <f t="shared" ref="J2887:J2898" si="3339">IF($F2887=5,$H2887*$B$24,0)</f>
        <v>13.291740000000001</v>
      </c>
      <c r="K2887" s="31">
        <f t="shared" ref="K2887:K2898" si="3340">IF($F2887=6.3,$H2887*$B$25,0)</f>
        <v>0</v>
      </c>
      <c r="L2887" s="31">
        <f t="shared" ref="L2887:L2898" si="3341">IF($F2887=8,$H2887*$B$26,0)</f>
        <v>0</v>
      </c>
      <c r="M2887" s="31">
        <f t="shared" ref="M2887:M2898" si="3342">IF($F2887=10,$H2887*$B$27,0)</f>
        <v>0</v>
      </c>
      <c r="N2887" s="31">
        <f t="shared" ref="N2887:N2898" si="3343">IF($F2887=12.5,$H2887*$B$28,0)</f>
        <v>0</v>
      </c>
      <c r="O2887" s="31">
        <f t="shared" ref="O2887:O2898" si="3344">IF($F2887=16,$H2887*$B$29,0)</f>
        <v>0</v>
      </c>
      <c r="P2887" s="31">
        <f t="shared" ref="P2887:P2898" si="3345">IF($F2887=20,$H2887*$B$30,0)</f>
        <v>0</v>
      </c>
      <c r="Q2887" s="49">
        <f t="shared" ref="Q2887:Q2898" si="3346">IF($F2887=25,$H2887*$B$31,0)</f>
        <v>0</v>
      </c>
    </row>
    <row r="2888" spans="4:17" s="62" customFormat="1" x14ac:dyDescent="0.3">
      <c r="D2888" s="235">
        <v>33</v>
      </c>
      <c r="E2888" s="240">
        <v>2</v>
      </c>
      <c r="F2888" s="241">
        <v>10</v>
      </c>
      <c r="G2888" s="242">
        <v>1.61</v>
      </c>
      <c r="H2888" s="239">
        <f t="shared" si="3337"/>
        <v>3.22</v>
      </c>
      <c r="I2888" s="131">
        <f t="shared" si="3338"/>
        <v>0</v>
      </c>
      <c r="J2888" s="31">
        <f t="shared" si="3339"/>
        <v>0</v>
      </c>
      <c r="K2888" s="31">
        <f t="shared" si="3340"/>
        <v>0</v>
      </c>
      <c r="L2888" s="31">
        <f t="shared" si="3341"/>
        <v>0</v>
      </c>
      <c r="M2888" s="31">
        <f t="shared" si="3342"/>
        <v>1.9867400000000002</v>
      </c>
      <c r="N2888" s="31">
        <f t="shared" si="3343"/>
        <v>0</v>
      </c>
      <c r="O2888" s="31">
        <f t="shared" si="3344"/>
        <v>0</v>
      </c>
      <c r="P2888" s="31">
        <f t="shared" si="3345"/>
        <v>0</v>
      </c>
      <c r="Q2888" s="49">
        <f t="shared" si="3346"/>
        <v>0</v>
      </c>
    </row>
    <row r="2889" spans="4:17" s="62" customFormat="1" x14ac:dyDescent="0.3">
      <c r="D2889" s="235">
        <v>34</v>
      </c>
      <c r="E2889" s="240">
        <v>3</v>
      </c>
      <c r="F2889" s="241">
        <v>10</v>
      </c>
      <c r="G2889" s="242">
        <v>2.17</v>
      </c>
      <c r="H2889" s="239">
        <f t="shared" si="3337"/>
        <v>6.51</v>
      </c>
      <c r="I2889" s="131">
        <f t="shared" si="3338"/>
        <v>0</v>
      </c>
      <c r="J2889" s="31">
        <f t="shared" si="3339"/>
        <v>0</v>
      </c>
      <c r="K2889" s="31">
        <f t="shared" si="3340"/>
        <v>0</v>
      </c>
      <c r="L2889" s="31">
        <f t="shared" si="3341"/>
        <v>0</v>
      </c>
      <c r="M2889" s="31">
        <f t="shared" si="3342"/>
        <v>4.0166699999999995</v>
      </c>
      <c r="N2889" s="31">
        <f t="shared" si="3343"/>
        <v>0</v>
      </c>
      <c r="O2889" s="31">
        <f t="shared" si="3344"/>
        <v>0</v>
      </c>
      <c r="P2889" s="31">
        <f t="shared" si="3345"/>
        <v>0</v>
      </c>
      <c r="Q2889" s="49">
        <f t="shared" si="3346"/>
        <v>0</v>
      </c>
    </row>
    <row r="2890" spans="4:17" s="62" customFormat="1" x14ac:dyDescent="0.3">
      <c r="D2890" s="235">
        <v>35</v>
      </c>
      <c r="E2890" s="240">
        <v>4</v>
      </c>
      <c r="F2890" s="241">
        <v>10</v>
      </c>
      <c r="G2890" s="242">
        <v>2.21</v>
      </c>
      <c r="H2890" s="239">
        <f t="shared" si="3337"/>
        <v>8.84</v>
      </c>
      <c r="I2890" s="131">
        <f t="shared" si="3338"/>
        <v>0</v>
      </c>
      <c r="J2890" s="31">
        <f t="shared" si="3339"/>
        <v>0</v>
      </c>
      <c r="K2890" s="31">
        <f t="shared" si="3340"/>
        <v>0</v>
      </c>
      <c r="L2890" s="31">
        <f t="shared" si="3341"/>
        <v>0</v>
      </c>
      <c r="M2890" s="31">
        <f t="shared" si="3342"/>
        <v>5.4542799999999998</v>
      </c>
      <c r="N2890" s="31">
        <f t="shared" si="3343"/>
        <v>0</v>
      </c>
      <c r="O2890" s="31">
        <f t="shared" si="3344"/>
        <v>0</v>
      </c>
      <c r="P2890" s="31">
        <f t="shared" si="3345"/>
        <v>0</v>
      </c>
      <c r="Q2890" s="49">
        <f t="shared" si="3346"/>
        <v>0</v>
      </c>
    </row>
    <row r="2891" spans="4:17" s="62" customFormat="1" x14ac:dyDescent="0.3">
      <c r="D2891" s="235">
        <v>36</v>
      </c>
      <c r="E2891" s="240">
        <v>2</v>
      </c>
      <c r="F2891" s="241">
        <v>10</v>
      </c>
      <c r="G2891" s="242">
        <v>2.81</v>
      </c>
      <c r="H2891" s="239">
        <f t="shared" si="3337"/>
        <v>5.62</v>
      </c>
      <c r="I2891" s="131">
        <f t="shared" si="3338"/>
        <v>0</v>
      </c>
      <c r="J2891" s="31">
        <f t="shared" si="3339"/>
        <v>0</v>
      </c>
      <c r="K2891" s="31">
        <f t="shared" si="3340"/>
        <v>0</v>
      </c>
      <c r="L2891" s="31">
        <f t="shared" si="3341"/>
        <v>0</v>
      </c>
      <c r="M2891" s="31">
        <f t="shared" si="3342"/>
        <v>3.4675400000000001</v>
      </c>
      <c r="N2891" s="31">
        <f t="shared" si="3343"/>
        <v>0</v>
      </c>
      <c r="O2891" s="31">
        <f t="shared" si="3344"/>
        <v>0</v>
      </c>
      <c r="P2891" s="31">
        <f t="shared" si="3345"/>
        <v>0</v>
      </c>
      <c r="Q2891" s="49">
        <f t="shared" si="3346"/>
        <v>0</v>
      </c>
    </row>
    <row r="2892" spans="4:17" s="62" customFormat="1" x14ac:dyDescent="0.3">
      <c r="D2892" s="235">
        <v>38</v>
      </c>
      <c r="E2892" s="240">
        <v>1</v>
      </c>
      <c r="F2892" s="241">
        <v>10</v>
      </c>
      <c r="G2892" s="242">
        <v>2.77</v>
      </c>
      <c r="H2892" s="239">
        <f t="shared" si="3337"/>
        <v>2.77</v>
      </c>
      <c r="I2892" s="131">
        <f t="shared" si="3338"/>
        <v>0</v>
      </c>
      <c r="J2892" s="31">
        <f t="shared" si="3339"/>
        <v>0</v>
      </c>
      <c r="K2892" s="31">
        <f t="shared" si="3340"/>
        <v>0</v>
      </c>
      <c r="L2892" s="31">
        <f t="shared" si="3341"/>
        <v>0</v>
      </c>
      <c r="M2892" s="31">
        <f t="shared" si="3342"/>
        <v>1.70909</v>
      </c>
      <c r="N2892" s="31">
        <f t="shared" si="3343"/>
        <v>0</v>
      </c>
      <c r="O2892" s="31">
        <f t="shared" si="3344"/>
        <v>0</v>
      </c>
      <c r="P2892" s="31">
        <f t="shared" si="3345"/>
        <v>0</v>
      </c>
      <c r="Q2892" s="49">
        <f t="shared" si="3346"/>
        <v>0</v>
      </c>
    </row>
    <row r="2893" spans="4:17" s="62" customFormat="1" x14ac:dyDescent="0.3">
      <c r="D2893" s="235">
        <v>39</v>
      </c>
      <c r="E2893" s="240">
        <v>5</v>
      </c>
      <c r="F2893" s="241">
        <v>10</v>
      </c>
      <c r="G2893" s="242">
        <v>2.23</v>
      </c>
      <c r="H2893" s="239">
        <f t="shared" si="3337"/>
        <v>11.15</v>
      </c>
      <c r="I2893" s="131">
        <f t="shared" si="3338"/>
        <v>0</v>
      </c>
      <c r="J2893" s="31">
        <f t="shared" si="3339"/>
        <v>0</v>
      </c>
      <c r="K2893" s="31">
        <f t="shared" si="3340"/>
        <v>0</v>
      </c>
      <c r="L2893" s="31">
        <f t="shared" si="3341"/>
        <v>0</v>
      </c>
      <c r="M2893" s="31">
        <f t="shared" si="3342"/>
        <v>6.8795500000000001</v>
      </c>
      <c r="N2893" s="31">
        <f t="shared" si="3343"/>
        <v>0</v>
      </c>
      <c r="O2893" s="31">
        <f t="shared" si="3344"/>
        <v>0</v>
      </c>
      <c r="P2893" s="31">
        <f t="shared" si="3345"/>
        <v>0</v>
      </c>
      <c r="Q2893" s="49">
        <f t="shared" si="3346"/>
        <v>0</v>
      </c>
    </row>
    <row r="2894" spans="4:17" s="62" customFormat="1" x14ac:dyDescent="0.3">
      <c r="D2894" s="235">
        <v>40</v>
      </c>
      <c r="E2894" s="240">
        <v>5</v>
      </c>
      <c r="F2894" s="241">
        <v>10</v>
      </c>
      <c r="G2894" s="242">
        <v>2.8</v>
      </c>
      <c r="H2894" s="239">
        <f t="shared" si="3337"/>
        <v>14</v>
      </c>
      <c r="I2894" s="131">
        <f t="shared" si="3338"/>
        <v>0</v>
      </c>
      <c r="J2894" s="31">
        <f t="shared" si="3339"/>
        <v>0</v>
      </c>
      <c r="K2894" s="31">
        <f t="shared" si="3340"/>
        <v>0</v>
      </c>
      <c r="L2894" s="31">
        <f t="shared" si="3341"/>
        <v>0</v>
      </c>
      <c r="M2894" s="31">
        <f t="shared" si="3342"/>
        <v>8.6379999999999999</v>
      </c>
      <c r="N2894" s="31">
        <f t="shared" si="3343"/>
        <v>0</v>
      </c>
      <c r="O2894" s="31">
        <f t="shared" si="3344"/>
        <v>0</v>
      </c>
      <c r="P2894" s="31">
        <f t="shared" si="3345"/>
        <v>0</v>
      </c>
      <c r="Q2894" s="49">
        <f t="shared" si="3346"/>
        <v>0</v>
      </c>
    </row>
    <row r="2895" spans="4:17" s="62" customFormat="1" x14ac:dyDescent="0.3">
      <c r="D2895" s="235">
        <v>41</v>
      </c>
      <c r="E2895" s="240">
        <v>2</v>
      </c>
      <c r="F2895" s="241">
        <v>10</v>
      </c>
      <c r="G2895" s="242">
        <v>2.83</v>
      </c>
      <c r="H2895" s="239">
        <f t="shared" si="3337"/>
        <v>5.66</v>
      </c>
      <c r="I2895" s="131">
        <f t="shared" si="3338"/>
        <v>0</v>
      </c>
      <c r="J2895" s="31">
        <f t="shared" si="3339"/>
        <v>0</v>
      </c>
      <c r="K2895" s="31">
        <f t="shared" si="3340"/>
        <v>0</v>
      </c>
      <c r="L2895" s="31">
        <f t="shared" si="3341"/>
        <v>0</v>
      </c>
      <c r="M2895" s="31">
        <f t="shared" si="3342"/>
        <v>3.4922200000000001</v>
      </c>
      <c r="N2895" s="31">
        <f t="shared" si="3343"/>
        <v>0</v>
      </c>
      <c r="O2895" s="31">
        <f t="shared" si="3344"/>
        <v>0</v>
      </c>
      <c r="P2895" s="31">
        <f t="shared" si="3345"/>
        <v>0</v>
      </c>
      <c r="Q2895" s="49">
        <f t="shared" si="3346"/>
        <v>0</v>
      </c>
    </row>
    <row r="2896" spans="4:17" s="62" customFormat="1" x14ac:dyDescent="0.3">
      <c r="D2896" s="235">
        <v>42</v>
      </c>
      <c r="E2896" s="240">
        <v>3</v>
      </c>
      <c r="F2896" s="241">
        <v>10</v>
      </c>
      <c r="G2896" s="242">
        <v>8.98</v>
      </c>
      <c r="H2896" s="239">
        <f t="shared" si="3337"/>
        <v>26.94</v>
      </c>
      <c r="I2896" s="131">
        <f t="shared" si="3338"/>
        <v>0</v>
      </c>
      <c r="J2896" s="31">
        <f t="shared" si="3339"/>
        <v>0</v>
      </c>
      <c r="K2896" s="31">
        <f t="shared" si="3340"/>
        <v>0</v>
      </c>
      <c r="L2896" s="31">
        <f t="shared" si="3341"/>
        <v>0</v>
      </c>
      <c r="M2896" s="31">
        <f t="shared" si="3342"/>
        <v>16.621980000000001</v>
      </c>
      <c r="N2896" s="31">
        <f t="shared" si="3343"/>
        <v>0</v>
      </c>
      <c r="O2896" s="31">
        <f t="shared" si="3344"/>
        <v>0</v>
      </c>
      <c r="P2896" s="31">
        <f t="shared" si="3345"/>
        <v>0</v>
      </c>
      <c r="Q2896" s="49">
        <f t="shared" si="3346"/>
        <v>0</v>
      </c>
    </row>
    <row r="2897" spans="4:17" s="62" customFormat="1" x14ac:dyDescent="0.3">
      <c r="D2897" s="235">
        <v>68</v>
      </c>
      <c r="E2897" s="240">
        <v>3</v>
      </c>
      <c r="F2897" s="241">
        <v>16</v>
      </c>
      <c r="G2897" s="242">
        <v>8.52</v>
      </c>
      <c r="H2897" s="239">
        <f t="shared" si="3337"/>
        <v>25.56</v>
      </c>
      <c r="I2897" s="131">
        <f t="shared" si="3338"/>
        <v>0</v>
      </c>
      <c r="J2897" s="31">
        <f t="shared" si="3339"/>
        <v>0</v>
      </c>
      <c r="K2897" s="31">
        <f t="shared" si="3340"/>
        <v>0</v>
      </c>
      <c r="L2897" s="31">
        <f t="shared" si="3341"/>
        <v>0</v>
      </c>
      <c r="M2897" s="31">
        <f t="shared" si="3342"/>
        <v>0</v>
      </c>
      <c r="N2897" s="31">
        <f t="shared" si="3343"/>
        <v>0</v>
      </c>
      <c r="O2897" s="31">
        <f t="shared" si="3344"/>
        <v>40.333680000000001</v>
      </c>
      <c r="P2897" s="31">
        <f t="shared" si="3345"/>
        <v>0</v>
      </c>
      <c r="Q2897" s="49">
        <f t="shared" si="3346"/>
        <v>0</v>
      </c>
    </row>
    <row r="2898" spans="4:17" s="62" customFormat="1" x14ac:dyDescent="0.3">
      <c r="D2898" s="235">
        <v>69</v>
      </c>
      <c r="E2898" s="240">
        <v>2</v>
      </c>
      <c r="F2898" s="241">
        <v>16</v>
      </c>
      <c r="G2898" s="242">
        <v>4.2</v>
      </c>
      <c r="H2898" s="239">
        <f t="shared" si="3337"/>
        <v>8.4</v>
      </c>
      <c r="I2898" s="131">
        <f t="shared" si="3338"/>
        <v>0</v>
      </c>
      <c r="J2898" s="31">
        <f t="shared" si="3339"/>
        <v>0</v>
      </c>
      <c r="K2898" s="31">
        <f t="shared" si="3340"/>
        <v>0</v>
      </c>
      <c r="L2898" s="31">
        <f t="shared" si="3341"/>
        <v>0</v>
      </c>
      <c r="M2898" s="31">
        <f t="shared" si="3342"/>
        <v>0</v>
      </c>
      <c r="N2898" s="31">
        <f t="shared" si="3343"/>
        <v>0</v>
      </c>
      <c r="O2898" s="31">
        <f t="shared" si="3344"/>
        <v>13.2552</v>
      </c>
      <c r="P2898" s="31">
        <f t="shared" si="3345"/>
        <v>0</v>
      </c>
      <c r="Q2898" s="49">
        <f t="shared" si="3346"/>
        <v>0</v>
      </c>
    </row>
    <row r="2899" spans="4:17" s="62" customFormat="1" ht="15" thickBot="1" x14ac:dyDescent="0.35">
      <c r="D2899" s="307"/>
      <c r="E2899" s="26"/>
      <c r="F2899" s="206"/>
      <c r="G2899" s="207"/>
      <c r="H2899" s="207"/>
      <c r="I2899" s="51"/>
      <c r="J2899" s="308"/>
      <c r="K2899" s="308"/>
      <c r="L2899" s="308"/>
      <c r="M2899" s="308"/>
      <c r="N2899" s="308"/>
      <c r="O2899" s="308"/>
      <c r="P2899" s="308"/>
      <c r="Q2899" s="309"/>
    </row>
    <row r="2900" spans="4:17" s="62" customFormat="1" x14ac:dyDescent="0.3">
      <c r="D2900" s="796" t="s">
        <v>1600</v>
      </c>
      <c r="E2900" s="797"/>
      <c r="F2900" s="797"/>
      <c r="G2900" s="797"/>
      <c r="H2900" s="797"/>
      <c r="I2900" s="47">
        <f t="shared" ref="I2900:Q2900" si="3347">SUM(I2901:I2910)</f>
        <v>0</v>
      </c>
      <c r="J2900" s="47">
        <f t="shared" si="3347"/>
        <v>13.50272</v>
      </c>
      <c r="K2900" s="47">
        <f t="shared" si="3347"/>
        <v>0</v>
      </c>
      <c r="L2900" s="47">
        <f t="shared" si="3347"/>
        <v>0</v>
      </c>
      <c r="M2900" s="47">
        <f t="shared" si="3347"/>
        <v>0</v>
      </c>
      <c r="N2900" s="47">
        <f t="shared" si="3347"/>
        <v>52.300530000000002</v>
      </c>
      <c r="O2900" s="47">
        <f t="shared" si="3347"/>
        <v>54.693480000000001</v>
      </c>
      <c r="P2900" s="47">
        <f t="shared" si="3347"/>
        <v>0</v>
      </c>
      <c r="Q2900" s="47">
        <f t="shared" si="3347"/>
        <v>0</v>
      </c>
    </row>
    <row r="2901" spans="4:17" s="62" customFormat="1" x14ac:dyDescent="0.3">
      <c r="D2901" s="235">
        <v>3</v>
      </c>
      <c r="E2901" s="237">
        <v>64</v>
      </c>
      <c r="F2901" s="238">
        <v>5</v>
      </c>
      <c r="G2901" s="239">
        <v>1.37</v>
      </c>
      <c r="H2901" s="239">
        <f t="shared" ref="H2901:H2910" si="3348">E2901*G2901</f>
        <v>87.68</v>
      </c>
      <c r="I2901" s="131">
        <f t="shared" ref="I2901:I2910" si="3349">IF($F2901=4.2,H2901*$B$23,0)</f>
        <v>0</v>
      </c>
      <c r="J2901" s="31">
        <f t="shared" ref="J2901:J2910" si="3350">IF($F2901=5,$H2901*$B$24,0)</f>
        <v>13.50272</v>
      </c>
      <c r="K2901" s="31">
        <f t="shared" ref="K2901:K2910" si="3351">IF($F2901=6.3,$H2901*$B$25,0)</f>
        <v>0</v>
      </c>
      <c r="L2901" s="31">
        <f t="shared" ref="L2901:L2910" si="3352">IF($F2901=8,$H2901*$B$26,0)</f>
        <v>0</v>
      </c>
      <c r="M2901" s="31">
        <f t="shared" ref="M2901:M2910" si="3353">IF($F2901=10,$H2901*$B$27,0)</f>
        <v>0</v>
      </c>
      <c r="N2901" s="31">
        <f t="shared" ref="N2901:N2910" si="3354">IF($F2901=12.5,$H2901*$B$28,0)</f>
        <v>0</v>
      </c>
      <c r="O2901" s="31">
        <f t="shared" ref="O2901:O2910" si="3355">IF($F2901=16,$H2901*$B$29,0)</f>
        <v>0</v>
      </c>
      <c r="P2901" s="31">
        <f t="shared" ref="P2901:P2910" si="3356">IF($F2901=20,$H2901*$B$30,0)</f>
        <v>0</v>
      </c>
      <c r="Q2901" s="49">
        <f t="shared" ref="Q2901:Q2910" si="3357">IF($F2901=25,$H2901*$B$31,0)</f>
        <v>0</v>
      </c>
    </row>
    <row r="2902" spans="4:17" s="62" customFormat="1" x14ac:dyDescent="0.3">
      <c r="D2902" s="235">
        <v>59</v>
      </c>
      <c r="E2902" s="240">
        <v>1</v>
      </c>
      <c r="F2902" s="241">
        <v>12.5</v>
      </c>
      <c r="G2902" s="242">
        <v>2</v>
      </c>
      <c r="H2902" s="239">
        <f t="shared" si="3348"/>
        <v>2</v>
      </c>
      <c r="I2902" s="131">
        <f t="shared" si="3349"/>
        <v>0</v>
      </c>
      <c r="J2902" s="31">
        <f t="shared" si="3350"/>
        <v>0</v>
      </c>
      <c r="K2902" s="31">
        <f t="shared" si="3351"/>
        <v>0</v>
      </c>
      <c r="L2902" s="31">
        <f t="shared" si="3352"/>
        <v>0</v>
      </c>
      <c r="M2902" s="31">
        <f t="shared" si="3353"/>
        <v>0</v>
      </c>
      <c r="N2902" s="31">
        <f t="shared" si="3354"/>
        <v>1.9259999999999999</v>
      </c>
      <c r="O2902" s="31">
        <f t="shared" si="3355"/>
        <v>0</v>
      </c>
      <c r="P2902" s="31">
        <f t="shared" si="3356"/>
        <v>0</v>
      </c>
      <c r="Q2902" s="49">
        <f t="shared" si="3357"/>
        <v>0</v>
      </c>
    </row>
    <row r="2903" spans="4:17" s="62" customFormat="1" x14ac:dyDescent="0.3">
      <c r="D2903" s="235">
        <v>60</v>
      </c>
      <c r="E2903" s="240">
        <v>1</v>
      </c>
      <c r="F2903" s="241">
        <v>12.5</v>
      </c>
      <c r="G2903" s="242">
        <v>2.04</v>
      </c>
      <c r="H2903" s="239">
        <f t="shared" si="3348"/>
        <v>2.04</v>
      </c>
      <c r="I2903" s="131">
        <f t="shared" si="3349"/>
        <v>0</v>
      </c>
      <c r="J2903" s="31">
        <f t="shared" si="3350"/>
        <v>0</v>
      </c>
      <c r="K2903" s="31">
        <f t="shared" si="3351"/>
        <v>0</v>
      </c>
      <c r="L2903" s="31">
        <f t="shared" si="3352"/>
        <v>0</v>
      </c>
      <c r="M2903" s="31">
        <f t="shared" si="3353"/>
        <v>0</v>
      </c>
      <c r="N2903" s="31">
        <f t="shared" si="3354"/>
        <v>1.96452</v>
      </c>
      <c r="O2903" s="31">
        <f t="shared" si="3355"/>
        <v>0</v>
      </c>
      <c r="P2903" s="31">
        <f t="shared" si="3356"/>
        <v>0</v>
      </c>
      <c r="Q2903" s="49">
        <f t="shared" si="3357"/>
        <v>0</v>
      </c>
    </row>
    <row r="2904" spans="4:17" s="62" customFormat="1" x14ac:dyDescent="0.3">
      <c r="D2904" s="235">
        <v>62</v>
      </c>
      <c r="E2904" s="240">
        <v>2</v>
      </c>
      <c r="F2904" s="241">
        <v>12.5</v>
      </c>
      <c r="G2904" s="242">
        <v>2.64</v>
      </c>
      <c r="H2904" s="239">
        <f t="shared" si="3348"/>
        <v>5.28</v>
      </c>
      <c r="I2904" s="131">
        <f t="shared" si="3349"/>
        <v>0</v>
      </c>
      <c r="J2904" s="31">
        <f t="shared" si="3350"/>
        <v>0</v>
      </c>
      <c r="K2904" s="31">
        <f t="shared" si="3351"/>
        <v>0</v>
      </c>
      <c r="L2904" s="31">
        <f t="shared" si="3352"/>
        <v>0</v>
      </c>
      <c r="M2904" s="31">
        <f t="shared" si="3353"/>
        <v>0</v>
      </c>
      <c r="N2904" s="31">
        <f t="shared" si="3354"/>
        <v>5.0846400000000003</v>
      </c>
      <c r="O2904" s="31">
        <f t="shared" si="3355"/>
        <v>0</v>
      </c>
      <c r="P2904" s="31">
        <f t="shared" si="3356"/>
        <v>0</v>
      </c>
      <c r="Q2904" s="49">
        <f t="shared" si="3357"/>
        <v>0</v>
      </c>
    </row>
    <row r="2905" spans="4:17" s="62" customFormat="1" x14ac:dyDescent="0.3">
      <c r="D2905" s="235">
        <v>63</v>
      </c>
      <c r="E2905" s="240">
        <v>1</v>
      </c>
      <c r="F2905" s="241">
        <v>12.5</v>
      </c>
      <c r="G2905" s="242">
        <v>2.21</v>
      </c>
      <c r="H2905" s="239">
        <f t="shared" si="3348"/>
        <v>2.21</v>
      </c>
      <c r="I2905" s="131">
        <f t="shared" si="3349"/>
        <v>0</v>
      </c>
      <c r="J2905" s="31">
        <f t="shared" si="3350"/>
        <v>0</v>
      </c>
      <c r="K2905" s="31">
        <f t="shared" si="3351"/>
        <v>0</v>
      </c>
      <c r="L2905" s="31">
        <f t="shared" si="3352"/>
        <v>0</v>
      </c>
      <c r="M2905" s="31">
        <f t="shared" si="3353"/>
        <v>0</v>
      </c>
      <c r="N2905" s="31">
        <f t="shared" si="3354"/>
        <v>2.1282299999999998</v>
      </c>
      <c r="O2905" s="31">
        <f t="shared" si="3355"/>
        <v>0</v>
      </c>
      <c r="P2905" s="31">
        <f t="shared" si="3356"/>
        <v>0</v>
      </c>
      <c r="Q2905" s="49">
        <f t="shared" si="3357"/>
        <v>0</v>
      </c>
    </row>
    <row r="2906" spans="4:17" s="62" customFormat="1" x14ac:dyDescent="0.3">
      <c r="D2906" s="235">
        <v>64</v>
      </c>
      <c r="E2906" s="240">
        <v>5</v>
      </c>
      <c r="F2906" s="241">
        <v>12.5</v>
      </c>
      <c r="G2906" s="242">
        <v>2.81</v>
      </c>
      <c r="H2906" s="239">
        <f t="shared" si="3348"/>
        <v>14.05</v>
      </c>
      <c r="I2906" s="131">
        <f t="shared" si="3349"/>
        <v>0</v>
      </c>
      <c r="J2906" s="31">
        <f t="shared" si="3350"/>
        <v>0</v>
      </c>
      <c r="K2906" s="31">
        <f t="shared" si="3351"/>
        <v>0</v>
      </c>
      <c r="L2906" s="31">
        <f t="shared" si="3352"/>
        <v>0</v>
      </c>
      <c r="M2906" s="31">
        <f t="shared" si="3353"/>
        <v>0</v>
      </c>
      <c r="N2906" s="31">
        <f t="shared" si="3354"/>
        <v>13.530150000000001</v>
      </c>
      <c r="O2906" s="31">
        <f t="shared" si="3355"/>
        <v>0</v>
      </c>
      <c r="P2906" s="31">
        <f t="shared" si="3356"/>
        <v>0</v>
      </c>
      <c r="Q2906" s="49">
        <f t="shared" si="3357"/>
        <v>0</v>
      </c>
    </row>
    <row r="2907" spans="4:17" s="62" customFormat="1" x14ac:dyDescent="0.3">
      <c r="D2907" s="235">
        <v>65</v>
      </c>
      <c r="E2907" s="240">
        <v>3</v>
      </c>
      <c r="F2907" s="241">
        <v>12.5</v>
      </c>
      <c r="G2907" s="242">
        <v>3.41</v>
      </c>
      <c r="H2907" s="239">
        <f t="shared" si="3348"/>
        <v>10.23</v>
      </c>
      <c r="I2907" s="131">
        <f t="shared" si="3349"/>
        <v>0</v>
      </c>
      <c r="J2907" s="31">
        <f t="shared" si="3350"/>
        <v>0</v>
      </c>
      <c r="K2907" s="31">
        <f t="shared" si="3351"/>
        <v>0</v>
      </c>
      <c r="L2907" s="31">
        <f t="shared" si="3352"/>
        <v>0</v>
      </c>
      <c r="M2907" s="31">
        <f t="shared" si="3353"/>
        <v>0</v>
      </c>
      <c r="N2907" s="31">
        <f t="shared" si="3354"/>
        <v>9.8514900000000001</v>
      </c>
      <c r="O2907" s="31">
        <f t="shared" si="3355"/>
        <v>0</v>
      </c>
      <c r="P2907" s="31">
        <f t="shared" si="3356"/>
        <v>0</v>
      </c>
      <c r="Q2907" s="49">
        <f t="shared" si="3357"/>
        <v>0</v>
      </c>
    </row>
    <row r="2908" spans="4:17" s="62" customFormat="1" x14ac:dyDescent="0.3">
      <c r="D2908" s="235">
        <v>66</v>
      </c>
      <c r="E2908" s="240">
        <v>2</v>
      </c>
      <c r="F2908" s="241">
        <v>12.5</v>
      </c>
      <c r="G2908" s="242">
        <v>9.25</v>
      </c>
      <c r="H2908" s="239">
        <f t="shared" si="3348"/>
        <v>18.5</v>
      </c>
      <c r="I2908" s="131">
        <f t="shared" si="3349"/>
        <v>0</v>
      </c>
      <c r="J2908" s="31">
        <f t="shared" si="3350"/>
        <v>0</v>
      </c>
      <c r="K2908" s="31">
        <f t="shared" si="3351"/>
        <v>0</v>
      </c>
      <c r="L2908" s="31">
        <f t="shared" si="3352"/>
        <v>0</v>
      </c>
      <c r="M2908" s="31">
        <f t="shared" si="3353"/>
        <v>0</v>
      </c>
      <c r="N2908" s="31">
        <f t="shared" si="3354"/>
        <v>17.8155</v>
      </c>
      <c r="O2908" s="31">
        <f t="shared" si="3355"/>
        <v>0</v>
      </c>
      <c r="P2908" s="31">
        <f t="shared" si="3356"/>
        <v>0</v>
      </c>
      <c r="Q2908" s="49">
        <f t="shared" si="3357"/>
        <v>0</v>
      </c>
    </row>
    <row r="2909" spans="4:17" s="62" customFormat="1" x14ac:dyDescent="0.3">
      <c r="D2909" s="235">
        <v>67</v>
      </c>
      <c r="E2909" s="240">
        <v>2</v>
      </c>
      <c r="F2909" s="241">
        <v>16</v>
      </c>
      <c r="G2909" s="242">
        <v>4.4000000000000004</v>
      </c>
      <c r="H2909" s="239">
        <f t="shared" si="3348"/>
        <v>8.8000000000000007</v>
      </c>
      <c r="I2909" s="131">
        <f t="shared" si="3349"/>
        <v>0</v>
      </c>
      <c r="J2909" s="31">
        <f t="shared" si="3350"/>
        <v>0</v>
      </c>
      <c r="K2909" s="31">
        <f t="shared" si="3351"/>
        <v>0</v>
      </c>
      <c r="L2909" s="31">
        <f t="shared" si="3352"/>
        <v>0</v>
      </c>
      <c r="M2909" s="31">
        <f t="shared" si="3353"/>
        <v>0</v>
      </c>
      <c r="N2909" s="31">
        <f t="shared" si="3354"/>
        <v>0</v>
      </c>
      <c r="O2909" s="31">
        <f t="shared" si="3355"/>
        <v>13.886400000000002</v>
      </c>
      <c r="P2909" s="31">
        <f t="shared" si="3356"/>
        <v>0</v>
      </c>
      <c r="Q2909" s="49">
        <f t="shared" si="3357"/>
        <v>0</v>
      </c>
    </row>
    <row r="2910" spans="4:17" s="62" customFormat="1" x14ac:dyDescent="0.3">
      <c r="D2910" s="235">
        <v>70</v>
      </c>
      <c r="E2910" s="240">
        <v>3</v>
      </c>
      <c r="F2910" s="241">
        <v>16</v>
      </c>
      <c r="G2910" s="242">
        <v>8.6199999999999992</v>
      </c>
      <c r="H2910" s="239">
        <f t="shared" si="3348"/>
        <v>25.86</v>
      </c>
      <c r="I2910" s="131">
        <f t="shared" si="3349"/>
        <v>0</v>
      </c>
      <c r="J2910" s="31">
        <f t="shared" si="3350"/>
        <v>0</v>
      </c>
      <c r="K2910" s="31">
        <f t="shared" si="3351"/>
        <v>0</v>
      </c>
      <c r="L2910" s="31">
        <f t="shared" si="3352"/>
        <v>0</v>
      </c>
      <c r="M2910" s="31">
        <f t="shared" si="3353"/>
        <v>0</v>
      </c>
      <c r="N2910" s="31">
        <f t="shared" si="3354"/>
        <v>0</v>
      </c>
      <c r="O2910" s="31">
        <f t="shared" si="3355"/>
        <v>40.807079999999999</v>
      </c>
      <c r="P2910" s="31">
        <f t="shared" si="3356"/>
        <v>0</v>
      </c>
      <c r="Q2910" s="49">
        <f t="shared" si="3357"/>
        <v>0</v>
      </c>
    </row>
    <row r="2911" spans="4:17" s="62" customFormat="1" ht="15" thickBot="1" x14ac:dyDescent="0.35">
      <c r="D2911" s="307"/>
      <c r="E2911" s="26"/>
      <c r="F2911" s="206"/>
      <c r="G2911" s="207"/>
      <c r="H2911" s="207"/>
      <c r="I2911" s="51"/>
      <c r="J2911" s="308"/>
      <c r="K2911" s="308"/>
      <c r="L2911" s="308"/>
      <c r="M2911" s="308"/>
      <c r="N2911" s="308"/>
      <c r="O2911" s="308"/>
      <c r="P2911" s="308"/>
      <c r="Q2911" s="309"/>
    </row>
    <row r="2912" spans="4:17" s="62" customFormat="1" x14ac:dyDescent="0.3">
      <c r="D2912" s="796" t="s">
        <v>1601</v>
      </c>
      <c r="E2912" s="797"/>
      <c r="F2912" s="797"/>
      <c r="G2912" s="797"/>
      <c r="H2912" s="797"/>
      <c r="I2912" s="47">
        <f t="shared" ref="I2912:Q2912" si="3358">SUM(I2913:I2917)</f>
        <v>0</v>
      </c>
      <c r="J2912" s="47">
        <f t="shared" si="3358"/>
        <v>17.6022</v>
      </c>
      <c r="K2912" s="47">
        <f t="shared" si="3358"/>
        <v>0.5586000000000001</v>
      </c>
      <c r="L2912" s="47">
        <f t="shared" si="3358"/>
        <v>0</v>
      </c>
      <c r="M2912" s="47">
        <f t="shared" si="3358"/>
        <v>78.630480000000006</v>
      </c>
      <c r="N2912" s="47">
        <f t="shared" si="3358"/>
        <v>0</v>
      </c>
      <c r="O2912" s="47">
        <f t="shared" si="3358"/>
        <v>0</v>
      </c>
      <c r="P2912" s="47">
        <f t="shared" si="3358"/>
        <v>0</v>
      </c>
      <c r="Q2912" s="47">
        <f t="shared" si="3358"/>
        <v>0</v>
      </c>
    </row>
    <row r="2913" spans="4:17" s="62" customFormat="1" x14ac:dyDescent="0.3">
      <c r="D2913" s="235">
        <v>1</v>
      </c>
      <c r="E2913" s="237">
        <f>2*45</f>
        <v>90</v>
      </c>
      <c r="F2913" s="238">
        <v>5</v>
      </c>
      <c r="G2913" s="239">
        <v>1.27</v>
      </c>
      <c r="H2913" s="239">
        <f t="shared" ref="H2913:H2917" si="3359">E2913*G2913</f>
        <v>114.3</v>
      </c>
      <c r="I2913" s="131">
        <f t="shared" ref="I2913:I2917" si="3360">IF($F2913=4.2,H2913*$B$23,0)</f>
        <v>0</v>
      </c>
      <c r="J2913" s="31">
        <f t="shared" ref="J2913:J2917" si="3361">IF($F2913=5,$H2913*$B$24,0)</f>
        <v>17.6022</v>
      </c>
      <c r="K2913" s="31">
        <f t="shared" ref="K2913:K2917" si="3362">IF($F2913=6.3,$H2913*$B$25,0)</f>
        <v>0</v>
      </c>
      <c r="L2913" s="31">
        <f t="shared" ref="L2913:L2917" si="3363">IF($F2913=8,$H2913*$B$26,0)</f>
        <v>0</v>
      </c>
      <c r="M2913" s="31">
        <f t="shared" ref="M2913:M2917" si="3364">IF($F2913=10,$H2913*$B$27,0)</f>
        <v>0</v>
      </c>
      <c r="N2913" s="31">
        <f t="shared" ref="N2913:N2917" si="3365">IF($F2913=12.5,$H2913*$B$28,0)</f>
        <v>0</v>
      </c>
      <c r="O2913" s="31">
        <f t="shared" ref="O2913:O2917" si="3366">IF($F2913=16,$H2913*$B$29,0)</f>
        <v>0</v>
      </c>
      <c r="P2913" s="31">
        <f t="shared" ref="P2913:P2917" si="3367">IF($F2913=20,$H2913*$B$30,0)</f>
        <v>0</v>
      </c>
      <c r="Q2913" s="49">
        <f t="shared" ref="Q2913:Q2917" si="3368">IF($F2913=25,$H2913*$B$31,0)</f>
        <v>0</v>
      </c>
    </row>
    <row r="2914" spans="4:17" s="62" customFormat="1" x14ac:dyDescent="0.3">
      <c r="D2914" s="235">
        <v>7</v>
      </c>
      <c r="E2914" s="240">
        <v>3</v>
      </c>
      <c r="F2914" s="241">
        <v>6.3</v>
      </c>
      <c r="G2914" s="242">
        <v>0.76</v>
      </c>
      <c r="H2914" s="239">
        <f t="shared" si="3359"/>
        <v>2.2800000000000002</v>
      </c>
      <c r="I2914" s="131">
        <f t="shared" si="3360"/>
        <v>0</v>
      </c>
      <c r="J2914" s="31">
        <f t="shared" si="3361"/>
        <v>0</v>
      </c>
      <c r="K2914" s="31">
        <f t="shared" si="3362"/>
        <v>0.5586000000000001</v>
      </c>
      <c r="L2914" s="31">
        <f t="shared" si="3363"/>
        <v>0</v>
      </c>
      <c r="M2914" s="31">
        <f t="shared" si="3364"/>
        <v>0</v>
      </c>
      <c r="N2914" s="31">
        <f t="shared" si="3365"/>
        <v>0</v>
      </c>
      <c r="O2914" s="31">
        <f t="shared" si="3366"/>
        <v>0</v>
      </c>
      <c r="P2914" s="31">
        <f t="shared" si="3367"/>
        <v>0</v>
      </c>
      <c r="Q2914" s="49">
        <f t="shared" si="3368"/>
        <v>0</v>
      </c>
    </row>
    <row r="2915" spans="4:17" s="62" customFormat="1" x14ac:dyDescent="0.3">
      <c r="D2915" s="235">
        <v>43</v>
      </c>
      <c r="E2915" s="240">
        <f>2*4</f>
        <v>8</v>
      </c>
      <c r="F2915" s="241">
        <v>10</v>
      </c>
      <c r="G2915" s="242">
        <v>8.4700000000000006</v>
      </c>
      <c r="H2915" s="239">
        <f t="shared" si="3359"/>
        <v>67.760000000000005</v>
      </c>
      <c r="I2915" s="131">
        <f t="shared" si="3360"/>
        <v>0</v>
      </c>
      <c r="J2915" s="31">
        <f t="shared" si="3361"/>
        <v>0</v>
      </c>
      <c r="K2915" s="31">
        <f t="shared" si="3362"/>
        <v>0</v>
      </c>
      <c r="L2915" s="31">
        <f t="shared" si="3363"/>
        <v>0</v>
      </c>
      <c r="M2915" s="31">
        <f t="shared" si="3364"/>
        <v>41.807920000000003</v>
      </c>
      <c r="N2915" s="31">
        <f t="shared" si="3365"/>
        <v>0</v>
      </c>
      <c r="O2915" s="31">
        <f t="shared" si="3366"/>
        <v>0</v>
      </c>
      <c r="P2915" s="31">
        <f t="shared" si="3367"/>
        <v>0</v>
      </c>
      <c r="Q2915" s="49">
        <f t="shared" si="3368"/>
        <v>0</v>
      </c>
    </row>
    <row r="2916" spans="4:17" s="62" customFormat="1" x14ac:dyDescent="0.3">
      <c r="D2916" s="235">
        <v>44</v>
      </c>
      <c r="E2916" s="240">
        <f>2*2</f>
        <v>4</v>
      </c>
      <c r="F2916" s="241">
        <v>10</v>
      </c>
      <c r="G2916" s="242">
        <v>5.99</v>
      </c>
      <c r="H2916" s="239">
        <f t="shared" si="3359"/>
        <v>23.96</v>
      </c>
      <c r="I2916" s="131">
        <f t="shared" si="3360"/>
        <v>0</v>
      </c>
      <c r="J2916" s="31">
        <f t="shared" si="3361"/>
        <v>0</v>
      </c>
      <c r="K2916" s="31">
        <f t="shared" si="3362"/>
        <v>0</v>
      </c>
      <c r="L2916" s="31">
        <f t="shared" si="3363"/>
        <v>0</v>
      </c>
      <c r="M2916" s="31">
        <f t="shared" si="3364"/>
        <v>14.78332</v>
      </c>
      <c r="N2916" s="31">
        <f t="shared" si="3365"/>
        <v>0</v>
      </c>
      <c r="O2916" s="31">
        <f t="shared" si="3366"/>
        <v>0</v>
      </c>
      <c r="P2916" s="31">
        <f t="shared" si="3367"/>
        <v>0</v>
      </c>
      <c r="Q2916" s="49">
        <f t="shared" si="3368"/>
        <v>0</v>
      </c>
    </row>
    <row r="2917" spans="4:17" s="62" customFormat="1" x14ac:dyDescent="0.3">
      <c r="D2917" s="235">
        <v>45</v>
      </c>
      <c r="E2917" s="240">
        <f>2*2</f>
        <v>4</v>
      </c>
      <c r="F2917" s="241">
        <v>10</v>
      </c>
      <c r="G2917" s="242">
        <v>8.93</v>
      </c>
      <c r="H2917" s="239">
        <f t="shared" si="3359"/>
        <v>35.72</v>
      </c>
      <c r="I2917" s="131">
        <f t="shared" si="3360"/>
        <v>0</v>
      </c>
      <c r="J2917" s="31">
        <f t="shared" si="3361"/>
        <v>0</v>
      </c>
      <c r="K2917" s="31">
        <f t="shared" si="3362"/>
        <v>0</v>
      </c>
      <c r="L2917" s="31">
        <f t="shared" si="3363"/>
        <v>0</v>
      </c>
      <c r="M2917" s="31">
        <f t="shared" si="3364"/>
        <v>22.039239999999999</v>
      </c>
      <c r="N2917" s="31">
        <f t="shared" si="3365"/>
        <v>0</v>
      </c>
      <c r="O2917" s="31">
        <f t="shared" si="3366"/>
        <v>0</v>
      </c>
      <c r="P2917" s="31">
        <f t="shared" si="3367"/>
        <v>0</v>
      </c>
      <c r="Q2917" s="49">
        <f t="shared" si="3368"/>
        <v>0</v>
      </c>
    </row>
    <row r="2918" spans="4:17" s="62" customFormat="1" ht="15" thickBot="1" x14ac:dyDescent="0.35">
      <c r="D2918" s="307"/>
      <c r="E2918" s="26"/>
      <c r="F2918" s="206"/>
      <c r="G2918" s="207"/>
      <c r="H2918" s="207"/>
      <c r="I2918" s="51"/>
      <c r="J2918" s="308"/>
      <c r="K2918" s="308"/>
      <c r="L2918" s="308"/>
      <c r="M2918" s="308"/>
      <c r="N2918" s="308"/>
      <c r="O2918" s="308"/>
      <c r="P2918" s="308"/>
      <c r="Q2918" s="309"/>
    </row>
    <row r="2919" spans="4:17" s="62" customFormat="1" x14ac:dyDescent="0.3">
      <c r="D2919" s="796" t="s">
        <v>1602</v>
      </c>
      <c r="E2919" s="797"/>
      <c r="F2919" s="797"/>
      <c r="G2919" s="797"/>
      <c r="H2919" s="797"/>
      <c r="I2919" s="47">
        <f t="shared" ref="I2919:Q2919" si="3369">SUM(I2920:I2925)</f>
        <v>0</v>
      </c>
      <c r="J2919" s="47">
        <f t="shared" si="3369"/>
        <v>8.8010999999999999</v>
      </c>
      <c r="K2919" s="47">
        <f t="shared" si="3369"/>
        <v>0.37240000000000001</v>
      </c>
      <c r="L2919" s="47">
        <f t="shared" si="3369"/>
        <v>0</v>
      </c>
      <c r="M2919" s="47">
        <f t="shared" si="3369"/>
        <v>36.834899999999998</v>
      </c>
      <c r="N2919" s="47">
        <f t="shared" si="3369"/>
        <v>0</v>
      </c>
      <c r="O2919" s="47">
        <f t="shared" si="3369"/>
        <v>0</v>
      </c>
      <c r="P2919" s="47">
        <f t="shared" si="3369"/>
        <v>0</v>
      </c>
      <c r="Q2919" s="47">
        <f t="shared" si="3369"/>
        <v>0</v>
      </c>
    </row>
    <row r="2920" spans="4:17" s="62" customFormat="1" x14ac:dyDescent="0.3">
      <c r="D2920" s="235">
        <v>1</v>
      </c>
      <c r="E2920" s="237">
        <v>45</v>
      </c>
      <c r="F2920" s="238">
        <v>5</v>
      </c>
      <c r="G2920" s="239">
        <v>1.27</v>
      </c>
      <c r="H2920" s="239">
        <f t="shared" ref="H2920:H2925" si="3370">E2920*G2920</f>
        <v>57.15</v>
      </c>
      <c r="I2920" s="131">
        <f t="shared" ref="I2920:I2925" si="3371">IF($F2920=4.2,H2920*$B$23,0)</f>
        <v>0</v>
      </c>
      <c r="J2920" s="31">
        <f t="shared" ref="J2920:J2925" si="3372">IF($F2920=5,$H2920*$B$24,0)</f>
        <v>8.8010999999999999</v>
      </c>
      <c r="K2920" s="31">
        <f t="shared" ref="K2920:K2925" si="3373">IF($F2920=6.3,$H2920*$B$25,0)</f>
        <v>0</v>
      </c>
      <c r="L2920" s="31">
        <f t="shared" ref="L2920:L2925" si="3374">IF($F2920=8,$H2920*$B$26,0)</f>
        <v>0</v>
      </c>
      <c r="M2920" s="31">
        <f t="shared" ref="M2920:M2925" si="3375">IF($F2920=10,$H2920*$B$27,0)</f>
        <v>0</v>
      </c>
      <c r="N2920" s="31">
        <f t="shared" ref="N2920:N2925" si="3376">IF($F2920=12.5,$H2920*$B$28,0)</f>
        <v>0</v>
      </c>
      <c r="O2920" s="31">
        <f t="shared" ref="O2920:O2925" si="3377">IF($F2920=16,$H2920*$B$29,0)</f>
        <v>0</v>
      </c>
      <c r="P2920" s="31">
        <f t="shared" ref="P2920:P2925" si="3378">IF($F2920=20,$H2920*$B$30,0)</f>
        <v>0</v>
      </c>
      <c r="Q2920" s="49">
        <f t="shared" ref="Q2920:Q2925" si="3379">IF($F2920=25,$H2920*$B$31,0)</f>
        <v>0</v>
      </c>
    </row>
    <row r="2921" spans="4:17" s="62" customFormat="1" x14ac:dyDescent="0.3">
      <c r="D2921" s="235">
        <v>7</v>
      </c>
      <c r="E2921" s="240">
        <v>2</v>
      </c>
      <c r="F2921" s="241">
        <v>6.3</v>
      </c>
      <c r="G2921" s="242">
        <v>0.76</v>
      </c>
      <c r="H2921" s="239">
        <f t="shared" si="3370"/>
        <v>1.52</v>
      </c>
      <c r="I2921" s="131">
        <f t="shared" si="3371"/>
        <v>0</v>
      </c>
      <c r="J2921" s="31">
        <f t="shared" si="3372"/>
        <v>0</v>
      </c>
      <c r="K2921" s="31">
        <f t="shared" si="3373"/>
        <v>0.37240000000000001</v>
      </c>
      <c r="L2921" s="31">
        <f t="shared" si="3374"/>
        <v>0</v>
      </c>
      <c r="M2921" s="31">
        <f t="shared" si="3375"/>
        <v>0</v>
      </c>
      <c r="N2921" s="31">
        <f t="shared" si="3376"/>
        <v>0</v>
      </c>
      <c r="O2921" s="31">
        <f t="shared" si="3377"/>
        <v>0</v>
      </c>
      <c r="P2921" s="31">
        <f t="shared" si="3378"/>
        <v>0</v>
      </c>
      <c r="Q2921" s="49">
        <f t="shared" si="3379"/>
        <v>0</v>
      </c>
    </row>
    <row r="2922" spans="4:17" s="62" customFormat="1" x14ac:dyDescent="0.3">
      <c r="D2922" s="235">
        <v>46</v>
      </c>
      <c r="E2922" s="240">
        <v>4</v>
      </c>
      <c r="F2922" s="241">
        <v>10</v>
      </c>
      <c r="G2922" s="242">
        <v>8.3699999999999992</v>
      </c>
      <c r="H2922" s="239">
        <f t="shared" si="3370"/>
        <v>33.479999999999997</v>
      </c>
      <c r="I2922" s="131">
        <f t="shared" si="3371"/>
        <v>0</v>
      </c>
      <c r="J2922" s="31">
        <f t="shared" si="3372"/>
        <v>0</v>
      </c>
      <c r="K2922" s="31">
        <f t="shared" si="3373"/>
        <v>0</v>
      </c>
      <c r="L2922" s="31">
        <f t="shared" si="3374"/>
        <v>0</v>
      </c>
      <c r="M2922" s="31">
        <f t="shared" si="3375"/>
        <v>20.657159999999998</v>
      </c>
      <c r="N2922" s="31">
        <f t="shared" si="3376"/>
        <v>0</v>
      </c>
      <c r="O2922" s="31">
        <f t="shared" si="3377"/>
        <v>0</v>
      </c>
      <c r="P2922" s="31">
        <f t="shared" si="3378"/>
        <v>0</v>
      </c>
      <c r="Q2922" s="49">
        <f t="shared" si="3379"/>
        <v>0</v>
      </c>
    </row>
    <row r="2923" spans="4:17" s="62" customFormat="1" x14ac:dyDescent="0.3">
      <c r="D2923" s="235">
        <v>47</v>
      </c>
      <c r="E2923" s="240">
        <v>1</v>
      </c>
      <c r="F2923" s="241">
        <v>10</v>
      </c>
      <c r="G2923" s="242">
        <v>2.5499999999999998</v>
      </c>
      <c r="H2923" s="239">
        <f t="shared" si="3370"/>
        <v>2.5499999999999998</v>
      </c>
      <c r="I2923" s="131">
        <f t="shared" si="3371"/>
        <v>0</v>
      </c>
      <c r="J2923" s="31">
        <f t="shared" si="3372"/>
        <v>0</v>
      </c>
      <c r="K2923" s="31">
        <f t="shared" si="3373"/>
        <v>0</v>
      </c>
      <c r="L2923" s="31">
        <f t="shared" si="3374"/>
        <v>0</v>
      </c>
      <c r="M2923" s="31">
        <f t="shared" si="3375"/>
        <v>1.5733499999999998</v>
      </c>
      <c r="N2923" s="31">
        <f t="shared" si="3376"/>
        <v>0</v>
      </c>
      <c r="O2923" s="31">
        <f t="shared" si="3377"/>
        <v>0</v>
      </c>
      <c r="P2923" s="31">
        <f t="shared" si="3378"/>
        <v>0</v>
      </c>
      <c r="Q2923" s="49">
        <f t="shared" si="3379"/>
        <v>0</v>
      </c>
    </row>
    <row r="2924" spans="4:17" s="62" customFormat="1" x14ac:dyDescent="0.3">
      <c r="D2924" s="235">
        <v>48</v>
      </c>
      <c r="E2924" s="240">
        <v>1</v>
      </c>
      <c r="F2924" s="241">
        <v>10</v>
      </c>
      <c r="G2924" s="242">
        <v>5.93</v>
      </c>
      <c r="H2924" s="239">
        <f t="shared" si="3370"/>
        <v>5.93</v>
      </c>
      <c r="I2924" s="131">
        <f t="shared" si="3371"/>
        <v>0</v>
      </c>
      <c r="J2924" s="31">
        <f t="shared" si="3372"/>
        <v>0</v>
      </c>
      <c r="K2924" s="31">
        <f t="shared" si="3373"/>
        <v>0</v>
      </c>
      <c r="L2924" s="31">
        <f t="shared" si="3374"/>
        <v>0</v>
      </c>
      <c r="M2924" s="31">
        <f t="shared" si="3375"/>
        <v>3.6588099999999999</v>
      </c>
      <c r="N2924" s="31">
        <f t="shared" si="3376"/>
        <v>0</v>
      </c>
      <c r="O2924" s="31">
        <f t="shared" si="3377"/>
        <v>0</v>
      </c>
      <c r="P2924" s="31">
        <f t="shared" si="3378"/>
        <v>0</v>
      </c>
      <c r="Q2924" s="49">
        <f t="shared" si="3379"/>
        <v>0</v>
      </c>
    </row>
    <row r="2925" spans="4:17" s="62" customFormat="1" x14ac:dyDescent="0.3">
      <c r="D2925" s="235">
        <v>49</v>
      </c>
      <c r="E2925" s="240">
        <v>2</v>
      </c>
      <c r="F2925" s="241">
        <v>10</v>
      </c>
      <c r="G2925" s="242">
        <v>8.8699999999999992</v>
      </c>
      <c r="H2925" s="239">
        <f t="shared" si="3370"/>
        <v>17.739999999999998</v>
      </c>
      <c r="I2925" s="131">
        <f t="shared" si="3371"/>
        <v>0</v>
      </c>
      <c r="J2925" s="31">
        <f t="shared" si="3372"/>
        <v>0</v>
      </c>
      <c r="K2925" s="31">
        <f t="shared" si="3373"/>
        <v>0</v>
      </c>
      <c r="L2925" s="31">
        <f t="shared" si="3374"/>
        <v>0</v>
      </c>
      <c r="M2925" s="31">
        <f t="shared" si="3375"/>
        <v>10.94558</v>
      </c>
      <c r="N2925" s="31">
        <f t="shared" si="3376"/>
        <v>0</v>
      </c>
      <c r="O2925" s="31">
        <f t="shared" si="3377"/>
        <v>0</v>
      </c>
      <c r="P2925" s="31">
        <f t="shared" si="3378"/>
        <v>0</v>
      </c>
      <c r="Q2925" s="49">
        <f t="shared" si="3379"/>
        <v>0</v>
      </c>
    </row>
    <row r="2926" spans="4:17" s="62" customFormat="1" ht="15" thickBot="1" x14ac:dyDescent="0.35">
      <c r="D2926" s="307"/>
      <c r="E2926" s="26"/>
      <c r="F2926" s="206"/>
      <c r="G2926" s="207"/>
      <c r="H2926" s="207"/>
      <c r="I2926" s="51"/>
      <c r="J2926" s="308"/>
      <c r="K2926" s="308"/>
      <c r="L2926" s="308"/>
      <c r="M2926" s="308"/>
      <c r="N2926" s="308"/>
      <c r="O2926" s="308"/>
      <c r="P2926" s="308"/>
      <c r="Q2926" s="309"/>
    </row>
    <row r="2927" spans="4:17" s="62" customFormat="1" x14ac:dyDescent="0.3">
      <c r="D2927" s="796" t="s">
        <v>1603</v>
      </c>
      <c r="E2927" s="797"/>
      <c r="F2927" s="797"/>
      <c r="G2927" s="797"/>
      <c r="H2927" s="797"/>
      <c r="I2927" s="47">
        <f t="shared" ref="I2927:Q2927" si="3380">SUM(I2928:I2932)</f>
        <v>0</v>
      </c>
      <c r="J2927" s="47">
        <f t="shared" si="3380"/>
        <v>8.8010999999999999</v>
      </c>
      <c r="K2927" s="47">
        <f t="shared" si="3380"/>
        <v>0</v>
      </c>
      <c r="L2927" s="47">
        <f t="shared" si="3380"/>
        <v>16.913899999999998</v>
      </c>
      <c r="M2927" s="47">
        <f t="shared" si="3380"/>
        <v>20.903960000000001</v>
      </c>
      <c r="N2927" s="47">
        <f t="shared" si="3380"/>
        <v>0</v>
      </c>
      <c r="O2927" s="47">
        <f t="shared" si="3380"/>
        <v>0</v>
      </c>
      <c r="P2927" s="47">
        <f t="shared" si="3380"/>
        <v>0</v>
      </c>
      <c r="Q2927" s="47">
        <f t="shared" si="3380"/>
        <v>0</v>
      </c>
    </row>
    <row r="2928" spans="4:17" s="62" customFormat="1" x14ac:dyDescent="0.3">
      <c r="D2928" s="235">
        <v>1</v>
      </c>
      <c r="E2928" s="237">
        <v>45</v>
      </c>
      <c r="F2928" s="238">
        <v>5</v>
      </c>
      <c r="G2928" s="239">
        <v>1.27</v>
      </c>
      <c r="H2928" s="239">
        <f t="shared" ref="H2928:H2932" si="3381">E2928*G2928</f>
        <v>57.15</v>
      </c>
      <c r="I2928" s="131">
        <f t="shared" ref="I2928:I2932" si="3382">IF($F2928=4.2,H2928*$B$23,0)</f>
        <v>0</v>
      </c>
      <c r="J2928" s="31">
        <f t="shared" ref="J2928:J2932" si="3383">IF($F2928=5,$H2928*$B$24,0)</f>
        <v>8.8010999999999999</v>
      </c>
      <c r="K2928" s="31">
        <f t="shared" ref="K2928:K2932" si="3384">IF($F2928=6.3,$H2928*$B$25,0)</f>
        <v>0</v>
      </c>
      <c r="L2928" s="31">
        <f t="shared" ref="L2928:L2932" si="3385">IF($F2928=8,$H2928*$B$26,0)</f>
        <v>0</v>
      </c>
      <c r="M2928" s="31">
        <f t="shared" ref="M2928:M2932" si="3386">IF($F2928=10,$H2928*$B$27,0)</f>
        <v>0</v>
      </c>
      <c r="N2928" s="31">
        <f t="shared" ref="N2928:N2932" si="3387">IF($F2928=12.5,$H2928*$B$28,0)</f>
        <v>0</v>
      </c>
      <c r="O2928" s="31">
        <f t="shared" ref="O2928:O2932" si="3388">IF($F2928=16,$H2928*$B$29,0)</f>
        <v>0</v>
      </c>
      <c r="P2928" s="31">
        <f t="shared" ref="P2928:P2932" si="3389">IF($F2928=20,$H2928*$B$30,0)</f>
        <v>0</v>
      </c>
      <c r="Q2928" s="49">
        <f t="shared" ref="Q2928:Q2932" si="3390">IF($F2928=25,$H2928*$B$31,0)</f>
        <v>0</v>
      </c>
    </row>
    <row r="2929" spans="4:17" s="62" customFormat="1" x14ac:dyDescent="0.3">
      <c r="D2929" s="235">
        <v>16</v>
      </c>
      <c r="E2929" s="240">
        <v>1</v>
      </c>
      <c r="F2929" s="241">
        <v>8</v>
      </c>
      <c r="G2929" s="242">
        <v>2.35</v>
      </c>
      <c r="H2929" s="239">
        <f t="shared" si="3381"/>
        <v>2.35</v>
      </c>
      <c r="I2929" s="131">
        <f t="shared" si="3382"/>
        <v>0</v>
      </c>
      <c r="J2929" s="31">
        <f t="shared" si="3383"/>
        <v>0</v>
      </c>
      <c r="K2929" s="31">
        <f t="shared" si="3384"/>
        <v>0</v>
      </c>
      <c r="L2929" s="31">
        <f t="shared" si="3385"/>
        <v>0.92825000000000013</v>
      </c>
      <c r="M2929" s="31">
        <f t="shared" si="3386"/>
        <v>0</v>
      </c>
      <c r="N2929" s="31">
        <f t="shared" si="3387"/>
        <v>0</v>
      </c>
      <c r="O2929" s="31">
        <f t="shared" si="3388"/>
        <v>0</v>
      </c>
      <c r="P2929" s="31">
        <f t="shared" si="3389"/>
        <v>0</v>
      </c>
      <c r="Q2929" s="49">
        <f t="shared" si="3390"/>
        <v>0</v>
      </c>
    </row>
    <row r="2930" spans="4:17" s="62" customFormat="1" x14ac:dyDescent="0.3">
      <c r="D2930" s="235">
        <v>17</v>
      </c>
      <c r="E2930" s="240">
        <v>1</v>
      </c>
      <c r="F2930" s="241">
        <v>8</v>
      </c>
      <c r="G2930" s="242">
        <v>5.75</v>
      </c>
      <c r="H2930" s="239">
        <f t="shared" si="3381"/>
        <v>5.75</v>
      </c>
      <c r="I2930" s="131">
        <f t="shared" si="3382"/>
        <v>0</v>
      </c>
      <c r="J2930" s="31">
        <f t="shared" si="3383"/>
        <v>0</v>
      </c>
      <c r="K2930" s="31">
        <f t="shared" si="3384"/>
        <v>0</v>
      </c>
      <c r="L2930" s="31">
        <f t="shared" si="3385"/>
        <v>2.2712500000000002</v>
      </c>
      <c r="M2930" s="31">
        <f t="shared" si="3386"/>
        <v>0</v>
      </c>
      <c r="N2930" s="31">
        <f t="shared" si="3387"/>
        <v>0</v>
      </c>
      <c r="O2930" s="31">
        <f t="shared" si="3388"/>
        <v>0</v>
      </c>
      <c r="P2930" s="31">
        <f t="shared" si="3389"/>
        <v>0</v>
      </c>
      <c r="Q2930" s="49">
        <f t="shared" si="3390"/>
        <v>0</v>
      </c>
    </row>
    <row r="2931" spans="4:17" s="62" customFormat="1" x14ac:dyDescent="0.3">
      <c r="D2931" s="235">
        <v>18</v>
      </c>
      <c r="E2931" s="240">
        <v>4</v>
      </c>
      <c r="F2931" s="241">
        <v>8</v>
      </c>
      <c r="G2931" s="242">
        <v>8.68</v>
      </c>
      <c r="H2931" s="239">
        <f t="shared" si="3381"/>
        <v>34.72</v>
      </c>
      <c r="I2931" s="131">
        <f t="shared" si="3382"/>
        <v>0</v>
      </c>
      <c r="J2931" s="31">
        <f t="shared" si="3383"/>
        <v>0</v>
      </c>
      <c r="K2931" s="31">
        <f t="shared" si="3384"/>
        <v>0</v>
      </c>
      <c r="L2931" s="31">
        <f t="shared" si="3385"/>
        <v>13.714399999999999</v>
      </c>
      <c r="M2931" s="31">
        <f t="shared" si="3386"/>
        <v>0</v>
      </c>
      <c r="N2931" s="31">
        <f t="shared" si="3387"/>
        <v>0</v>
      </c>
      <c r="O2931" s="31">
        <f t="shared" si="3388"/>
        <v>0</v>
      </c>
      <c r="P2931" s="31">
        <f t="shared" si="3389"/>
        <v>0</v>
      </c>
      <c r="Q2931" s="49">
        <f t="shared" si="3390"/>
        <v>0</v>
      </c>
    </row>
    <row r="2932" spans="4:17" s="62" customFormat="1" x14ac:dyDescent="0.3">
      <c r="D2932" s="235">
        <v>43</v>
      </c>
      <c r="E2932" s="240">
        <v>4</v>
      </c>
      <c r="F2932" s="241">
        <v>10</v>
      </c>
      <c r="G2932" s="242">
        <v>8.4700000000000006</v>
      </c>
      <c r="H2932" s="239">
        <f t="shared" si="3381"/>
        <v>33.880000000000003</v>
      </c>
      <c r="I2932" s="131">
        <f t="shared" si="3382"/>
        <v>0</v>
      </c>
      <c r="J2932" s="31">
        <f t="shared" si="3383"/>
        <v>0</v>
      </c>
      <c r="K2932" s="31">
        <f t="shared" si="3384"/>
        <v>0</v>
      </c>
      <c r="L2932" s="31">
        <f t="shared" si="3385"/>
        <v>0</v>
      </c>
      <c r="M2932" s="31">
        <f t="shared" si="3386"/>
        <v>20.903960000000001</v>
      </c>
      <c r="N2932" s="31">
        <f t="shared" si="3387"/>
        <v>0</v>
      </c>
      <c r="O2932" s="31">
        <f t="shared" si="3388"/>
        <v>0</v>
      </c>
      <c r="P2932" s="31">
        <f t="shared" si="3389"/>
        <v>0</v>
      </c>
      <c r="Q2932" s="49">
        <f t="shared" si="3390"/>
        <v>0</v>
      </c>
    </row>
    <row r="2933" spans="4:17" s="62" customFormat="1" ht="15" thickBot="1" x14ac:dyDescent="0.35">
      <c r="D2933" s="307"/>
      <c r="E2933" s="26"/>
      <c r="F2933" s="206"/>
      <c r="G2933" s="207"/>
      <c r="H2933" s="207"/>
      <c r="I2933" s="51"/>
      <c r="J2933" s="308"/>
      <c r="K2933" s="308"/>
      <c r="L2933" s="308"/>
      <c r="M2933" s="308"/>
      <c r="N2933" s="308"/>
      <c r="O2933" s="308"/>
      <c r="P2933" s="308"/>
      <c r="Q2933" s="309"/>
    </row>
    <row r="2934" spans="4:17" s="62" customFormat="1" x14ac:dyDescent="0.3">
      <c r="D2934" s="796" t="s">
        <v>1604</v>
      </c>
      <c r="E2934" s="797"/>
      <c r="F2934" s="797"/>
      <c r="G2934" s="797"/>
      <c r="H2934" s="797"/>
      <c r="I2934" s="47">
        <f t="shared" ref="I2934:Q2934" si="3391">SUM(I2935:I2938)</f>
        <v>0</v>
      </c>
      <c r="J2934" s="47">
        <f t="shared" si="3391"/>
        <v>3.0630600000000001</v>
      </c>
      <c r="K2934" s="47">
        <f t="shared" si="3391"/>
        <v>0</v>
      </c>
      <c r="L2934" s="47">
        <f t="shared" si="3391"/>
        <v>5.2732500000000009</v>
      </c>
      <c r="M2934" s="47">
        <f t="shared" si="3391"/>
        <v>6.6821099999999998</v>
      </c>
      <c r="N2934" s="47">
        <f t="shared" si="3391"/>
        <v>0</v>
      </c>
      <c r="O2934" s="47">
        <f t="shared" si="3391"/>
        <v>0</v>
      </c>
      <c r="P2934" s="47">
        <f t="shared" si="3391"/>
        <v>0</v>
      </c>
      <c r="Q2934" s="47">
        <f t="shared" si="3391"/>
        <v>0</v>
      </c>
    </row>
    <row r="2935" spans="4:17" s="62" customFormat="1" x14ac:dyDescent="0.3">
      <c r="D2935" s="235">
        <v>2</v>
      </c>
      <c r="E2935" s="237">
        <v>17</v>
      </c>
      <c r="F2935" s="238">
        <v>5</v>
      </c>
      <c r="G2935" s="239">
        <v>1.17</v>
      </c>
      <c r="H2935" s="239">
        <f t="shared" ref="H2935:H2938" si="3392">E2935*G2935</f>
        <v>19.89</v>
      </c>
      <c r="I2935" s="131">
        <f t="shared" ref="I2935:I2938" si="3393">IF($F2935=4.2,H2935*$B$23,0)</f>
        <v>0</v>
      </c>
      <c r="J2935" s="31">
        <f t="shared" ref="J2935:J2938" si="3394">IF($F2935=5,$H2935*$B$24,0)</f>
        <v>3.0630600000000001</v>
      </c>
      <c r="K2935" s="31">
        <f t="shared" ref="K2935:K2938" si="3395">IF($F2935=6.3,$H2935*$B$25,0)</f>
        <v>0</v>
      </c>
      <c r="L2935" s="31">
        <f t="shared" ref="L2935:L2938" si="3396">IF($F2935=8,$H2935*$B$26,0)</f>
        <v>0</v>
      </c>
      <c r="M2935" s="31">
        <f t="shared" ref="M2935:M2938" si="3397">IF($F2935=10,$H2935*$B$27,0)</f>
        <v>0</v>
      </c>
      <c r="N2935" s="31">
        <f t="shared" ref="N2935:N2938" si="3398">IF($F2935=12.5,$H2935*$B$28,0)</f>
        <v>0</v>
      </c>
      <c r="O2935" s="31">
        <f t="shared" ref="O2935:O2938" si="3399">IF($F2935=16,$H2935*$B$29,0)</f>
        <v>0</v>
      </c>
      <c r="P2935" s="31">
        <f t="shared" ref="P2935:P2938" si="3400">IF($F2935=20,$H2935*$B$30,0)</f>
        <v>0</v>
      </c>
      <c r="Q2935" s="49">
        <f t="shared" ref="Q2935:Q2938" si="3401">IF($F2935=25,$H2935*$B$31,0)</f>
        <v>0</v>
      </c>
    </row>
    <row r="2936" spans="4:17" s="62" customFormat="1" x14ac:dyDescent="0.3">
      <c r="D2936" s="235">
        <v>19</v>
      </c>
      <c r="E2936" s="240">
        <v>3</v>
      </c>
      <c r="F2936" s="241">
        <v>8</v>
      </c>
      <c r="G2936" s="242">
        <v>4.45</v>
      </c>
      <c r="H2936" s="239">
        <f t="shared" si="3392"/>
        <v>13.350000000000001</v>
      </c>
      <c r="I2936" s="131">
        <f t="shared" si="3393"/>
        <v>0</v>
      </c>
      <c r="J2936" s="31">
        <f t="shared" si="3394"/>
        <v>0</v>
      </c>
      <c r="K2936" s="31">
        <f t="shared" si="3395"/>
        <v>0</v>
      </c>
      <c r="L2936" s="31">
        <f t="shared" si="3396"/>
        <v>5.2732500000000009</v>
      </c>
      <c r="M2936" s="31">
        <f t="shared" si="3397"/>
        <v>0</v>
      </c>
      <c r="N2936" s="31">
        <f t="shared" si="3398"/>
        <v>0</v>
      </c>
      <c r="O2936" s="31">
        <f t="shared" si="3399"/>
        <v>0</v>
      </c>
      <c r="P2936" s="31">
        <f t="shared" si="3400"/>
        <v>0</v>
      </c>
      <c r="Q2936" s="49">
        <f t="shared" si="3401"/>
        <v>0</v>
      </c>
    </row>
    <row r="2937" spans="4:17" s="62" customFormat="1" x14ac:dyDescent="0.3">
      <c r="D2937" s="235">
        <v>50</v>
      </c>
      <c r="E2937" s="240">
        <v>1</v>
      </c>
      <c r="F2937" s="241">
        <v>10</v>
      </c>
      <c r="G2937" s="242">
        <v>2.65</v>
      </c>
      <c r="H2937" s="239">
        <f t="shared" si="3392"/>
        <v>2.65</v>
      </c>
      <c r="I2937" s="131">
        <f t="shared" si="3393"/>
        <v>0</v>
      </c>
      <c r="J2937" s="31">
        <f t="shared" si="3394"/>
        <v>0</v>
      </c>
      <c r="K2937" s="31">
        <f t="shared" si="3395"/>
        <v>0</v>
      </c>
      <c r="L2937" s="31">
        <f t="shared" si="3396"/>
        <v>0</v>
      </c>
      <c r="M2937" s="31">
        <f t="shared" si="3397"/>
        <v>1.6350499999999999</v>
      </c>
      <c r="N2937" s="31">
        <f t="shared" si="3398"/>
        <v>0</v>
      </c>
      <c r="O2937" s="31">
        <f t="shared" si="3399"/>
        <v>0</v>
      </c>
      <c r="P2937" s="31">
        <f t="shared" si="3400"/>
        <v>0</v>
      </c>
      <c r="Q2937" s="49">
        <f t="shared" si="3401"/>
        <v>0</v>
      </c>
    </row>
    <row r="2938" spans="4:17" s="62" customFormat="1" x14ac:dyDescent="0.3">
      <c r="D2938" s="235">
        <v>51</v>
      </c>
      <c r="E2938" s="240">
        <v>2</v>
      </c>
      <c r="F2938" s="241">
        <v>10</v>
      </c>
      <c r="G2938" s="242">
        <v>4.09</v>
      </c>
      <c r="H2938" s="239">
        <f t="shared" si="3392"/>
        <v>8.18</v>
      </c>
      <c r="I2938" s="131">
        <f t="shared" si="3393"/>
        <v>0</v>
      </c>
      <c r="J2938" s="31">
        <f t="shared" si="3394"/>
        <v>0</v>
      </c>
      <c r="K2938" s="31">
        <f t="shared" si="3395"/>
        <v>0</v>
      </c>
      <c r="L2938" s="31">
        <f t="shared" si="3396"/>
        <v>0</v>
      </c>
      <c r="M2938" s="31">
        <f t="shared" si="3397"/>
        <v>5.0470600000000001</v>
      </c>
      <c r="N2938" s="31">
        <f t="shared" si="3398"/>
        <v>0</v>
      </c>
      <c r="O2938" s="31">
        <f t="shared" si="3399"/>
        <v>0</v>
      </c>
      <c r="P2938" s="31">
        <f t="shared" si="3400"/>
        <v>0</v>
      </c>
      <c r="Q2938" s="49">
        <f t="shared" si="3401"/>
        <v>0</v>
      </c>
    </row>
    <row r="2939" spans="4:17" s="62" customFormat="1" ht="15" thickBot="1" x14ac:dyDescent="0.35">
      <c r="D2939" s="307"/>
      <c r="E2939" s="26"/>
      <c r="F2939" s="206"/>
      <c r="G2939" s="207"/>
      <c r="H2939" s="207"/>
      <c r="I2939" s="51"/>
      <c r="J2939" s="308"/>
      <c r="K2939" s="308"/>
      <c r="L2939" s="308"/>
      <c r="M2939" s="308"/>
      <c r="N2939" s="308"/>
      <c r="O2939" s="308"/>
      <c r="P2939" s="308"/>
      <c r="Q2939" s="309"/>
    </row>
    <row r="2940" spans="4:17" s="62" customFormat="1" x14ac:dyDescent="0.3">
      <c r="D2940" s="796" t="s">
        <v>1605</v>
      </c>
      <c r="E2940" s="797"/>
      <c r="F2940" s="797"/>
      <c r="G2940" s="797"/>
      <c r="H2940" s="797"/>
      <c r="I2940" s="47">
        <f t="shared" ref="I2940:Q2940" si="3402">SUM(I2941:I2946)</f>
        <v>0</v>
      </c>
      <c r="J2940" s="47">
        <f t="shared" si="3402"/>
        <v>6.3062999999999994</v>
      </c>
      <c r="K2940" s="47">
        <f t="shared" si="3402"/>
        <v>0</v>
      </c>
      <c r="L2940" s="47">
        <f t="shared" si="3402"/>
        <v>12.987600000000002</v>
      </c>
      <c r="M2940" s="47">
        <f t="shared" si="3402"/>
        <v>25.22296</v>
      </c>
      <c r="N2940" s="47">
        <f t="shared" si="3402"/>
        <v>0</v>
      </c>
      <c r="O2940" s="47">
        <f t="shared" si="3402"/>
        <v>0</v>
      </c>
      <c r="P2940" s="47">
        <f t="shared" si="3402"/>
        <v>0</v>
      </c>
      <c r="Q2940" s="47">
        <f t="shared" si="3402"/>
        <v>0</v>
      </c>
    </row>
    <row r="2941" spans="4:17" s="62" customFormat="1" x14ac:dyDescent="0.3">
      <c r="D2941" s="235">
        <v>1</v>
      </c>
      <c r="E2941" s="237">
        <v>35</v>
      </c>
      <c r="F2941" s="238">
        <v>5</v>
      </c>
      <c r="G2941" s="239">
        <v>1.17</v>
      </c>
      <c r="H2941" s="239">
        <f t="shared" ref="H2941:H2946" si="3403">E2941*G2941</f>
        <v>40.949999999999996</v>
      </c>
      <c r="I2941" s="131">
        <f t="shared" ref="I2941:I2946" si="3404">IF($F2941=4.2,H2941*$B$23,0)</f>
        <v>0</v>
      </c>
      <c r="J2941" s="31">
        <f t="shared" ref="J2941:J2946" si="3405">IF($F2941=5,$H2941*$B$24,0)</f>
        <v>6.3062999999999994</v>
      </c>
      <c r="K2941" s="31">
        <f t="shared" ref="K2941:K2946" si="3406">IF($F2941=6.3,$H2941*$B$25,0)</f>
        <v>0</v>
      </c>
      <c r="L2941" s="31">
        <f t="shared" ref="L2941:L2946" si="3407">IF($F2941=8,$H2941*$B$26,0)</f>
        <v>0</v>
      </c>
      <c r="M2941" s="31">
        <f t="shared" ref="M2941:M2946" si="3408">IF($F2941=10,$H2941*$B$27,0)</f>
        <v>0</v>
      </c>
      <c r="N2941" s="31">
        <f t="shared" ref="N2941:N2946" si="3409">IF($F2941=12.5,$H2941*$B$28,0)</f>
        <v>0</v>
      </c>
      <c r="O2941" s="31">
        <f t="shared" ref="O2941:O2946" si="3410">IF($F2941=16,$H2941*$B$29,0)</f>
        <v>0</v>
      </c>
      <c r="P2941" s="31">
        <f t="shared" ref="P2941:P2946" si="3411">IF($F2941=20,$H2941*$B$30,0)</f>
        <v>0</v>
      </c>
      <c r="Q2941" s="49">
        <f t="shared" ref="Q2941:Q2946" si="3412">IF($F2941=25,$H2941*$B$31,0)</f>
        <v>0</v>
      </c>
    </row>
    <row r="2942" spans="4:17" s="62" customFormat="1" x14ac:dyDescent="0.3">
      <c r="D2942" s="235">
        <v>6</v>
      </c>
      <c r="E2942" s="240">
        <v>4</v>
      </c>
      <c r="F2942" s="241">
        <v>8</v>
      </c>
      <c r="G2942" s="242">
        <v>8.2200000000000006</v>
      </c>
      <c r="H2942" s="239">
        <f t="shared" si="3403"/>
        <v>32.880000000000003</v>
      </c>
      <c r="I2942" s="131">
        <f t="shared" si="3404"/>
        <v>0</v>
      </c>
      <c r="J2942" s="31">
        <f t="shared" si="3405"/>
        <v>0</v>
      </c>
      <c r="K2942" s="31">
        <f t="shared" si="3406"/>
        <v>0</v>
      </c>
      <c r="L2942" s="31">
        <f t="shared" si="3407"/>
        <v>12.987600000000002</v>
      </c>
      <c r="M2942" s="31">
        <f t="shared" si="3408"/>
        <v>0</v>
      </c>
      <c r="N2942" s="31">
        <f t="shared" si="3409"/>
        <v>0</v>
      </c>
      <c r="O2942" s="31">
        <f t="shared" si="3410"/>
        <v>0</v>
      </c>
      <c r="P2942" s="31">
        <f t="shared" si="3411"/>
        <v>0</v>
      </c>
      <c r="Q2942" s="49">
        <f t="shared" si="3412"/>
        <v>0</v>
      </c>
    </row>
    <row r="2943" spans="4:17" s="62" customFormat="1" x14ac:dyDescent="0.3">
      <c r="D2943" s="235">
        <v>12</v>
      </c>
      <c r="E2943" s="240">
        <v>1</v>
      </c>
      <c r="F2943" s="241">
        <v>10</v>
      </c>
      <c r="G2943" s="242">
        <v>5.45</v>
      </c>
      <c r="H2943" s="239">
        <f t="shared" si="3403"/>
        <v>5.45</v>
      </c>
      <c r="I2943" s="131">
        <f t="shared" si="3404"/>
        <v>0</v>
      </c>
      <c r="J2943" s="31">
        <f t="shared" si="3405"/>
        <v>0</v>
      </c>
      <c r="K2943" s="31">
        <f t="shared" si="3406"/>
        <v>0</v>
      </c>
      <c r="L2943" s="31">
        <f t="shared" si="3407"/>
        <v>0</v>
      </c>
      <c r="M2943" s="31">
        <f t="shared" si="3408"/>
        <v>3.3626499999999999</v>
      </c>
      <c r="N2943" s="31">
        <f t="shared" si="3409"/>
        <v>0</v>
      </c>
      <c r="O2943" s="31">
        <f t="shared" si="3410"/>
        <v>0</v>
      </c>
      <c r="P2943" s="31">
        <f t="shared" si="3411"/>
        <v>0</v>
      </c>
      <c r="Q2943" s="49">
        <f t="shared" si="3412"/>
        <v>0</v>
      </c>
    </row>
    <row r="2944" spans="4:17" s="62" customFormat="1" x14ac:dyDescent="0.3">
      <c r="D2944" s="235">
        <v>13</v>
      </c>
      <c r="E2944" s="240">
        <v>2</v>
      </c>
      <c r="F2944" s="241">
        <v>10</v>
      </c>
      <c r="G2944" s="242">
        <v>8.19</v>
      </c>
      <c r="H2944" s="239">
        <f t="shared" si="3403"/>
        <v>16.38</v>
      </c>
      <c r="I2944" s="131">
        <f t="shared" si="3404"/>
        <v>0</v>
      </c>
      <c r="J2944" s="31">
        <f t="shared" si="3405"/>
        <v>0</v>
      </c>
      <c r="K2944" s="31">
        <f t="shared" si="3406"/>
        <v>0</v>
      </c>
      <c r="L2944" s="31">
        <f t="shared" si="3407"/>
        <v>0</v>
      </c>
      <c r="M2944" s="31">
        <f t="shared" si="3408"/>
        <v>10.106459999999998</v>
      </c>
      <c r="N2944" s="31">
        <f t="shared" si="3409"/>
        <v>0</v>
      </c>
      <c r="O2944" s="31">
        <f t="shared" si="3410"/>
        <v>0</v>
      </c>
      <c r="P2944" s="31">
        <f t="shared" si="3411"/>
        <v>0</v>
      </c>
      <c r="Q2944" s="49">
        <f t="shared" si="3412"/>
        <v>0</v>
      </c>
    </row>
    <row r="2945" spans="4:17" s="62" customFormat="1" x14ac:dyDescent="0.3">
      <c r="D2945" s="235">
        <v>14</v>
      </c>
      <c r="E2945" s="240">
        <v>1</v>
      </c>
      <c r="F2945" s="241">
        <v>10</v>
      </c>
      <c r="G2945" s="242">
        <v>1.79</v>
      </c>
      <c r="H2945" s="239">
        <f t="shared" si="3403"/>
        <v>1.79</v>
      </c>
      <c r="I2945" s="131">
        <f t="shared" si="3404"/>
        <v>0</v>
      </c>
      <c r="J2945" s="31">
        <f t="shared" si="3405"/>
        <v>0</v>
      </c>
      <c r="K2945" s="31">
        <f t="shared" si="3406"/>
        <v>0</v>
      </c>
      <c r="L2945" s="31">
        <f t="shared" si="3407"/>
        <v>0</v>
      </c>
      <c r="M2945" s="31">
        <f t="shared" si="3408"/>
        <v>1.10443</v>
      </c>
      <c r="N2945" s="31">
        <f t="shared" si="3409"/>
        <v>0</v>
      </c>
      <c r="O2945" s="31">
        <f t="shared" si="3410"/>
        <v>0</v>
      </c>
      <c r="P2945" s="31">
        <f t="shared" si="3411"/>
        <v>0</v>
      </c>
      <c r="Q2945" s="49">
        <f t="shared" si="3412"/>
        <v>0</v>
      </c>
    </row>
    <row r="2946" spans="4:17" s="62" customFormat="1" x14ac:dyDescent="0.3">
      <c r="D2946" s="235">
        <v>15</v>
      </c>
      <c r="E2946" s="240">
        <v>2</v>
      </c>
      <c r="F2946" s="241">
        <v>10</v>
      </c>
      <c r="G2946" s="242">
        <v>8.6300000000000008</v>
      </c>
      <c r="H2946" s="239">
        <f t="shared" si="3403"/>
        <v>17.260000000000002</v>
      </c>
      <c r="I2946" s="131">
        <f t="shared" si="3404"/>
        <v>0</v>
      </c>
      <c r="J2946" s="31">
        <f t="shared" si="3405"/>
        <v>0</v>
      </c>
      <c r="K2946" s="31">
        <f t="shared" si="3406"/>
        <v>0</v>
      </c>
      <c r="L2946" s="31">
        <f t="shared" si="3407"/>
        <v>0</v>
      </c>
      <c r="M2946" s="31">
        <f t="shared" si="3408"/>
        <v>10.649420000000001</v>
      </c>
      <c r="N2946" s="31">
        <f t="shared" si="3409"/>
        <v>0</v>
      </c>
      <c r="O2946" s="31">
        <f t="shared" si="3410"/>
        <v>0</v>
      </c>
      <c r="P2946" s="31">
        <f t="shared" si="3411"/>
        <v>0</v>
      </c>
      <c r="Q2946" s="49">
        <f t="shared" si="3412"/>
        <v>0</v>
      </c>
    </row>
    <row r="2947" spans="4:17" s="62" customFormat="1" ht="15" thickBot="1" x14ac:dyDescent="0.35">
      <c r="D2947" s="307"/>
      <c r="E2947" s="26"/>
      <c r="F2947" s="206"/>
      <c r="G2947" s="207"/>
      <c r="H2947" s="207"/>
      <c r="I2947" s="51"/>
      <c r="J2947" s="308"/>
      <c r="K2947" s="308"/>
      <c r="L2947" s="308"/>
      <c r="M2947" s="308"/>
      <c r="N2947" s="308"/>
      <c r="O2947" s="308"/>
      <c r="P2947" s="308"/>
      <c r="Q2947" s="309"/>
    </row>
    <row r="2948" spans="4:17" s="62" customFormat="1" x14ac:dyDescent="0.3">
      <c r="D2948" s="796" t="s">
        <v>1609</v>
      </c>
      <c r="E2948" s="797"/>
      <c r="F2948" s="797"/>
      <c r="G2948" s="797"/>
      <c r="H2948" s="797"/>
      <c r="I2948" s="47">
        <f t="shared" ref="I2948:Q2948" si="3413">SUM(I2949:I2952)</f>
        <v>0</v>
      </c>
      <c r="J2948" s="47">
        <f t="shared" si="3413"/>
        <v>6.1261200000000002</v>
      </c>
      <c r="K2948" s="47">
        <f t="shared" si="3413"/>
        <v>0</v>
      </c>
      <c r="L2948" s="47">
        <f t="shared" si="3413"/>
        <v>10.546500000000002</v>
      </c>
      <c r="M2948" s="47">
        <f t="shared" si="3413"/>
        <v>13.117420000000001</v>
      </c>
      <c r="N2948" s="47">
        <f t="shared" si="3413"/>
        <v>0</v>
      </c>
      <c r="O2948" s="47">
        <f t="shared" si="3413"/>
        <v>0</v>
      </c>
      <c r="P2948" s="47">
        <f t="shared" si="3413"/>
        <v>0</v>
      </c>
      <c r="Q2948" s="47">
        <f t="shared" si="3413"/>
        <v>0</v>
      </c>
    </row>
    <row r="2949" spans="4:17" s="62" customFormat="1" x14ac:dyDescent="0.3">
      <c r="D2949" s="235">
        <v>1</v>
      </c>
      <c r="E2949" s="237">
        <f>2*17</f>
        <v>34</v>
      </c>
      <c r="F2949" s="238">
        <v>5</v>
      </c>
      <c r="G2949" s="239">
        <v>1.17</v>
      </c>
      <c r="H2949" s="239">
        <f t="shared" ref="H2949:H2952" si="3414">E2949*G2949</f>
        <v>39.78</v>
      </c>
      <c r="I2949" s="131">
        <f t="shared" ref="I2949:I2952" si="3415">IF($F2949=4.2,H2949*$B$23,0)</f>
        <v>0</v>
      </c>
      <c r="J2949" s="31">
        <f t="shared" ref="J2949:J2952" si="3416">IF($F2949=5,$H2949*$B$24,0)</f>
        <v>6.1261200000000002</v>
      </c>
      <c r="K2949" s="31">
        <f t="shared" ref="K2949:K2952" si="3417">IF($F2949=6.3,$H2949*$B$25,0)</f>
        <v>0</v>
      </c>
      <c r="L2949" s="31">
        <f t="shared" ref="L2949:L2952" si="3418">IF($F2949=8,$H2949*$B$26,0)</f>
        <v>0</v>
      </c>
      <c r="M2949" s="31">
        <f t="shared" ref="M2949:M2952" si="3419">IF($F2949=10,$H2949*$B$27,0)</f>
        <v>0</v>
      </c>
      <c r="N2949" s="31">
        <f t="shared" ref="N2949:N2952" si="3420">IF($F2949=12.5,$H2949*$B$28,0)</f>
        <v>0</v>
      </c>
      <c r="O2949" s="31">
        <f t="shared" ref="O2949:O2952" si="3421">IF($F2949=16,$H2949*$B$29,0)</f>
        <v>0</v>
      </c>
      <c r="P2949" s="31">
        <f t="shared" ref="P2949:P2952" si="3422">IF($F2949=20,$H2949*$B$30,0)</f>
        <v>0</v>
      </c>
      <c r="Q2949" s="49">
        <f t="shared" ref="Q2949:Q2952" si="3423">IF($F2949=25,$H2949*$B$31,0)</f>
        <v>0</v>
      </c>
    </row>
    <row r="2950" spans="4:17" s="62" customFormat="1" x14ac:dyDescent="0.3">
      <c r="D2950" s="235">
        <v>7</v>
      </c>
      <c r="E2950" s="240">
        <f>2*3</f>
        <v>6</v>
      </c>
      <c r="F2950" s="241">
        <v>8</v>
      </c>
      <c r="G2950" s="242">
        <v>4.45</v>
      </c>
      <c r="H2950" s="239">
        <f t="shared" si="3414"/>
        <v>26.700000000000003</v>
      </c>
      <c r="I2950" s="131">
        <f t="shared" si="3415"/>
        <v>0</v>
      </c>
      <c r="J2950" s="31">
        <f t="shared" si="3416"/>
        <v>0</v>
      </c>
      <c r="K2950" s="31">
        <f t="shared" si="3417"/>
        <v>0</v>
      </c>
      <c r="L2950" s="31">
        <f t="shared" si="3418"/>
        <v>10.546500000000002</v>
      </c>
      <c r="M2950" s="31">
        <f t="shared" si="3419"/>
        <v>0</v>
      </c>
      <c r="N2950" s="31">
        <f t="shared" si="3420"/>
        <v>0</v>
      </c>
      <c r="O2950" s="31">
        <f t="shared" si="3421"/>
        <v>0</v>
      </c>
      <c r="P2950" s="31">
        <f t="shared" si="3422"/>
        <v>0</v>
      </c>
      <c r="Q2950" s="49">
        <f t="shared" si="3423"/>
        <v>0</v>
      </c>
    </row>
    <row r="2951" spans="4:17" s="62" customFormat="1" x14ac:dyDescent="0.3">
      <c r="D2951" s="235">
        <v>16</v>
      </c>
      <c r="E2951" s="240">
        <f>2*1</f>
        <v>2</v>
      </c>
      <c r="F2951" s="241">
        <v>10</v>
      </c>
      <c r="G2951" s="242">
        <v>2.4500000000000002</v>
      </c>
      <c r="H2951" s="239">
        <f t="shared" si="3414"/>
        <v>4.9000000000000004</v>
      </c>
      <c r="I2951" s="131">
        <f t="shared" si="3415"/>
        <v>0</v>
      </c>
      <c r="J2951" s="31">
        <f t="shared" si="3416"/>
        <v>0</v>
      </c>
      <c r="K2951" s="31">
        <f t="shared" si="3417"/>
        <v>0</v>
      </c>
      <c r="L2951" s="31">
        <f t="shared" si="3418"/>
        <v>0</v>
      </c>
      <c r="M2951" s="31">
        <f t="shared" si="3419"/>
        <v>3.0233000000000003</v>
      </c>
      <c r="N2951" s="31">
        <f t="shared" si="3420"/>
        <v>0</v>
      </c>
      <c r="O2951" s="31">
        <f t="shared" si="3421"/>
        <v>0</v>
      </c>
      <c r="P2951" s="31">
        <f t="shared" si="3422"/>
        <v>0</v>
      </c>
      <c r="Q2951" s="49">
        <f t="shared" si="3423"/>
        <v>0</v>
      </c>
    </row>
    <row r="2952" spans="4:17" s="62" customFormat="1" x14ac:dyDescent="0.3">
      <c r="D2952" s="235">
        <v>17</v>
      </c>
      <c r="E2952" s="240">
        <f>2*2</f>
        <v>4</v>
      </c>
      <c r="F2952" s="241">
        <v>10</v>
      </c>
      <c r="G2952" s="242">
        <v>4.09</v>
      </c>
      <c r="H2952" s="239">
        <f t="shared" si="3414"/>
        <v>16.36</v>
      </c>
      <c r="I2952" s="131">
        <f t="shared" si="3415"/>
        <v>0</v>
      </c>
      <c r="J2952" s="31">
        <f t="shared" si="3416"/>
        <v>0</v>
      </c>
      <c r="K2952" s="31">
        <f t="shared" si="3417"/>
        <v>0</v>
      </c>
      <c r="L2952" s="31">
        <f t="shared" si="3418"/>
        <v>0</v>
      </c>
      <c r="M2952" s="31">
        <f t="shared" si="3419"/>
        <v>10.09412</v>
      </c>
      <c r="N2952" s="31">
        <f t="shared" si="3420"/>
        <v>0</v>
      </c>
      <c r="O2952" s="31">
        <f t="shared" si="3421"/>
        <v>0</v>
      </c>
      <c r="P2952" s="31">
        <f t="shared" si="3422"/>
        <v>0</v>
      </c>
      <c r="Q2952" s="49">
        <f t="shared" si="3423"/>
        <v>0</v>
      </c>
    </row>
    <row r="2953" spans="4:17" s="62" customFormat="1" ht="15" thickBot="1" x14ac:dyDescent="0.35">
      <c r="D2953" s="307"/>
      <c r="E2953" s="26"/>
      <c r="F2953" s="206"/>
      <c r="G2953" s="207"/>
      <c r="H2953" s="207"/>
      <c r="I2953" s="51"/>
      <c r="J2953" s="308"/>
      <c r="K2953" s="308"/>
      <c r="L2953" s="308"/>
      <c r="M2953" s="308"/>
      <c r="N2953" s="308"/>
      <c r="O2953" s="308"/>
      <c r="P2953" s="308"/>
      <c r="Q2953" s="309"/>
    </row>
    <row r="2954" spans="4:17" s="62" customFormat="1" x14ac:dyDescent="0.3">
      <c r="D2954" s="796" t="s">
        <v>1610</v>
      </c>
      <c r="E2954" s="797"/>
      <c r="F2954" s="797"/>
      <c r="G2954" s="797"/>
      <c r="H2954" s="797"/>
      <c r="I2954" s="47">
        <f t="shared" ref="I2954:Q2954" si="3424">SUM(I2955:I2960)</f>
        <v>0</v>
      </c>
      <c r="J2954" s="47">
        <f t="shared" si="3424"/>
        <v>6.3062999999999994</v>
      </c>
      <c r="K2954" s="47">
        <f t="shared" si="3424"/>
        <v>0</v>
      </c>
      <c r="L2954" s="47">
        <f t="shared" si="3424"/>
        <v>12.987600000000002</v>
      </c>
      <c r="M2954" s="47">
        <f t="shared" si="3424"/>
        <v>25.130409999999998</v>
      </c>
      <c r="N2954" s="47">
        <f t="shared" si="3424"/>
        <v>0</v>
      </c>
      <c r="O2954" s="47">
        <f t="shared" si="3424"/>
        <v>0</v>
      </c>
      <c r="P2954" s="47">
        <f t="shared" si="3424"/>
        <v>0</v>
      </c>
      <c r="Q2954" s="47">
        <f t="shared" si="3424"/>
        <v>0</v>
      </c>
    </row>
    <row r="2955" spans="4:17" s="62" customFormat="1" x14ac:dyDescent="0.3">
      <c r="D2955" s="235">
        <v>1</v>
      </c>
      <c r="E2955" s="237">
        <v>35</v>
      </c>
      <c r="F2955" s="238">
        <v>5</v>
      </c>
      <c r="G2955" s="239">
        <v>1.17</v>
      </c>
      <c r="H2955" s="239">
        <f t="shared" ref="H2955:H2960" si="3425">E2955*G2955</f>
        <v>40.949999999999996</v>
      </c>
      <c r="I2955" s="131">
        <f t="shared" ref="I2955:I2960" si="3426">IF($F2955=4.2,H2955*$B$23,0)</f>
        <v>0</v>
      </c>
      <c r="J2955" s="31">
        <f t="shared" ref="J2955:J2960" si="3427">IF($F2955=5,$H2955*$B$24,0)</f>
        <v>6.3062999999999994</v>
      </c>
      <c r="K2955" s="31">
        <f t="shared" ref="K2955:K2960" si="3428">IF($F2955=6.3,$H2955*$B$25,0)</f>
        <v>0</v>
      </c>
      <c r="L2955" s="31">
        <f t="shared" ref="L2955:L2960" si="3429">IF($F2955=8,$H2955*$B$26,0)</f>
        <v>0</v>
      </c>
      <c r="M2955" s="31">
        <f t="shared" ref="M2955:M2960" si="3430">IF($F2955=10,$H2955*$B$27,0)</f>
        <v>0</v>
      </c>
      <c r="N2955" s="31">
        <f t="shared" ref="N2955:N2960" si="3431">IF($F2955=12.5,$H2955*$B$28,0)</f>
        <v>0</v>
      </c>
      <c r="O2955" s="31">
        <f t="shared" ref="O2955:O2960" si="3432">IF($F2955=16,$H2955*$B$29,0)</f>
        <v>0</v>
      </c>
      <c r="P2955" s="31">
        <f t="shared" ref="P2955:P2960" si="3433">IF($F2955=20,$H2955*$B$30,0)</f>
        <v>0</v>
      </c>
      <c r="Q2955" s="49">
        <f t="shared" ref="Q2955:Q2960" si="3434">IF($F2955=25,$H2955*$B$31,0)</f>
        <v>0</v>
      </c>
    </row>
    <row r="2956" spans="4:17" s="62" customFormat="1" x14ac:dyDescent="0.3">
      <c r="D2956" s="235">
        <v>6</v>
      </c>
      <c r="E2956" s="240">
        <v>4</v>
      </c>
      <c r="F2956" s="241">
        <v>8</v>
      </c>
      <c r="G2956" s="242">
        <v>8.2200000000000006</v>
      </c>
      <c r="H2956" s="239">
        <f t="shared" si="3425"/>
        <v>32.880000000000003</v>
      </c>
      <c r="I2956" s="131">
        <f t="shared" si="3426"/>
        <v>0</v>
      </c>
      <c r="J2956" s="31">
        <f t="shared" si="3427"/>
        <v>0</v>
      </c>
      <c r="K2956" s="31">
        <f t="shared" si="3428"/>
        <v>0</v>
      </c>
      <c r="L2956" s="31">
        <f t="shared" si="3429"/>
        <v>12.987600000000002</v>
      </c>
      <c r="M2956" s="31">
        <f t="shared" si="3430"/>
        <v>0</v>
      </c>
      <c r="N2956" s="31">
        <f t="shared" si="3431"/>
        <v>0</v>
      </c>
      <c r="O2956" s="31">
        <f t="shared" si="3432"/>
        <v>0</v>
      </c>
      <c r="P2956" s="31">
        <f t="shared" si="3433"/>
        <v>0</v>
      </c>
      <c r="Q2956" s="49">
        <f t="shared" si="3434"/>
        <v>0</v>
      </c>
    </row>
    <row r="2957" spans="4:17" s="62" customFormat="1" x14ac:dyDescent="0.3">
      <c r="D2957" s="235">
        <v>13</v>
      </c>
      <c r="E2957" s="240">
        <v>2</v>
      </c>
      <c r="F2957" s="241">
        <v>10</v>
      </c>
      <c r="G2957" s="242">
        <v>8.19</v>
      </c>
      <c r="H2957" s="239">
        <f t="shared" si="3425"/>
        <v>16.38</v>
      </c>
      <c r="I2957" s="131">
        <f t="shared" si="3426"/>
        <v>0</v>
      </c>
      <c r="J2957" s="31">
        <f t="shared" si="3427"/>
        <v>0</v>
      </c>
      <c r="K2957" s="31">
        <f t="shared" si="3428"/>
        <v>0</v>
      </c>
      <c r="L2957" s="31">
        <f t="shared" si="3429"/>
        <v>0</v>
      </c>
      <c r="M2957" s="31">
        <f t="shared" si="3430"/>
        <v>10.106459999999998</v>
      </c>
      <c r="N2957" s="31">
        <f t="shared" si="3431"/>
        <v>0</v>
      </c>
      <c r="O2957" s="31">
        <f t="shared" si="3432"/>
        <v>0</v>
      </c>
      <c r="P2957" s="31">
        <f t="shared" si="3433"/>
        <v>0</v>
      </c>
      <c r="Q2957" s="49">
        <f t="shared" si="3434"/>
        <v>0</v>
      </c>
    </row>
    <row r="2958" spans="4:17" s="62" customFormat="1" x14ac:dyDescent="0.3">
      <c r="D2958" s="235">
        <v>18</v>
      </c>
      <c r="E2958" s="240">
        <v>1</v>
      </c>
      <c r="F2958" s="241">
        <v>10</v>
      </c>
      <c r="G2958" s="242">
        <v>5.3</v>
      </c>
      <c r="H2958" s="239">
        <f t="shared" si="3425"/>
        <v>5.3</v>
      </c>
      <c r="I2958" s="131">
        <f t="shared" si="3426"/>
        <v>0</v>
      </c>
      <c r="J2958" s="31">
        <f t="shared" si="3427"/>
        <v>0</v>
      </c>
      <c r="K2958" s="31">
        <f t="shared" si="3428"/>
        <v>0</v>
      </c>
      <c r="L2958" s="31">
        <f t="shared" si="3429"/>
        <v>0</v>
      </c>
      <c r="M2958" s="31">
        <f t="shared" si="3430"/>
        <v>3.2700999999999998</v>
      </c>
      <c r="N2958" s="31">
        <f t="shared" si="3431"/>
        <v>0</v>
      </c>
      <c r="O2958" s="31">
        <f t="shared" si="3432"/>
        <v>0</v>
      </c>
      <c r="P2958" s="31">
        <f t="shared" si="3433"/>
        <v>0</v>
      </c>
      <c r="Q2958" s="49">
        <f t="shared" si="3434"/>
        <v>0</v>
      </c>
    </row>
    <row r="2959" spans="4:17" s="62" customFormat="1" x14ac:dyDescent="0.3">
      <c r="D2959" s="235">
        <v>19</v>
      </c>
      <c r="E2959" s="240">
        <v>1</v>
      </c>
      <c r="F2959" s="241">
        <v>10</v>
      </c>
      <c r="G2959" s="242">
        <v>1.79</v>
      </c>
      <c r="H2959" s="239">
        <f t="shared" si="3425"/>
        <v>1.79</v>
      </c>
      <c r="I2959" s="131">
        <f t="shared" si="3426"/>
        <v>0</v>
      </c>
      <c r="J2959" s="31">
        <f t="shared" si="3427"/>
        <v>0</v>
      </c>
      <c r="K2959" s="31">
        <f t="shared" si="3428"/>
        <v>0</v>
      </c>
      <c r="L2959" s="31">
        <f t="shared" si="3429"/>
        <v>0</v>
      </c>
      <c r="M2959" s="31">
        <f t="shared" si="3430"/>
        <v>1.10443</v>
      </c>
      <c r="N2959" s="31">
        <f t="shared" si="3431"/>
        <v>0</v>
      </c>
      <c r="O2959" s="31">
        <f t="shared" si="3432"/>
        <v>0</v>
      </c>
      <c r="P2959" s="31">
        <f t="shared" si="3433"/>
        <v>0</v>
      </c>
      <c r="Q2959" s="49">
        <f t="shared" si="3434"/>
        <v>0</v>
      </c>
    </row>
    <row r="2960" spans="4:17" s="62" customFormat="1" x14ac:dyDescent="0.3">
      <c r="D2960" s="235">
        <v>20</v>
      </c>
      <c r="E2960" s="240">
        <v>2</v>
      </c>
      <c r="F2960" s="241">
        <v>10</v>
      </c>
      <c r="G2960" s="242">
        <v>8.6300000000000008</v>
      </c>
      <c r="H2960" s="239">
        <f t="shared" si="3425"/>
        <v>17.260000000000002</v>
      </c>
      <c r="I2960" s="131">
        <f t="shared" si="3426"/>
        <v>0</v>
      </c>
      <c r="J2960" s="31">
        <f t="shared" si="3427"/>
        <v>0</v>
      </c>
      <c r="K2960" s="31">
        <f t="shared" si="3428"/>
        <v>0</v>
      </c>
      <c r="L2960" s="31">
        <f t="shared" si="3429"/>
        <v>0</v>
      </c>
      <c r="M2960" s="31">
        <f t="shared" si="3430"/>
        <v>10.649420000000001</v>
      </c>
      <c r="N2960" s="31">
        <f t="shared" si="3431"/>
        <v>0</v>
      </c>
      <c r="O2960" s="31">
        <f t="shared" si="3432"/>
        <v>0</v>
      </c>
      <c r="P2960" s="31">
        <f t="shared" si="3433"/>
        <v>0</v>
      </c>
      <c r="Q2960" s="49">
        <f t="shared" si="3434"/>
        <v>0</v>
      </c>
    </row>
    <row r="2961" spans="4:17" s="62" customFormat="1" ht="15" thickBot="1" x14ac:dyDescent="0.35">
      <c r="D2961" s="307"/>
      <c r="E2961" s="26"/>
      <c r="F2961" s="206"/>
      <c r="G2961" s="207"/>
      <c r="H2961" s="207"/>
      <c r="I2961" s="51"/>
      <c r="J2961" s="308"/>
      <c r="K2961" s="308"/>
      <c r="L2961" s="308"/>
      <c r="M2961" s="308"/>
      <c r="N2961" s="308"/>
      <c r="O2961" s="308"/>
      <c r="P2961" s="308"/>
      <c r="Q2961" s="309"/>
    </row>
    <row r="2962" spans="4:17" s="62" customFormat="1" x14ac:dyDescent="0.3">
      <c r="D2962" s="796" t="s">
        <v>1611</v>
      </c>
      <c r="E2962" s="797"/>
      <c r="F2962" s="797"/>
      <c r="G2962" s="797"/>
      <c r="H2962" s="797"/>
      <c r="I2962" s="47">
        <f t="shared" ref="I2962:Q2962" si="3435">SUM(I2963:I2966)</f>
        <v>0</v>
      </c>
      <c r="J2962" s="47">
        <f t="shared" si="3435"/>
        <v>3.0630600000000001</v>
      </c>
      <c r="K2962" s="47">
        <f t="shared" si="3435"/>
        <v>0</v>
      </c>
      <c r="L2962" s="47">
        <f t="shared" si="3435"/>
        <v>5.1784499999999998</v>
      </c>
      <c r="M2962" s="47">
        <f t="shared" si="3435"/>
        <v>6.7438099999999999</v>
      </c>
      <c r="N2962" s="47">
        <f t="shared" si="3435"/>
        <v>0</v>
      </c>
      <c r="O2962" s="47">
        <f t="shared" si="3435"/>
        <v>0</v>
      </c>
      <c r="P2962" s="47">
        <f t="shared" si="3435"/>
        <v>0</v>
      </c>
      <c r="Q2962" s="47">
        <f t="shared" si="3435"/>
        <v>0</v>
      </c>
    </row>
    <row r="2963" spans="4:17" s="62" customFormat="1" x14ac:dyDescent="0.3">
      <c r="D2963" s="235">
        <v>1</v>
      </c>
      <c r="E2963" s="237">
        <v>17</v>
      </c>
      <c r="F2963" s="238">
        <v>5</v>
      </c>
      <c r="G2963" s="239">
        <v>1.17</v>
      </c>
      <c r="H2963" s="239">
        <f t="shared" ref="H2963:H2966" si="3436">E2963*G2963</f>
        <v>19.89</v>
      </c>
      <c r="I2963" s="131">
        <f t="shared" ref="I2963:I2966" si="3437">IF($F2963=4.2,H2963*$B$23,0)</f>
        <v>0</v>
      </c>
      <c r="J2963" s="31">
        <f t="shared" ref="J2963:J2966" si="3438">IF($F2963=5,$H2963*$B$24,0)</f>
        <v>3.0630600000000001</v>
      </c>
      <c r="K2963" s="31">
        <f t="shared" ref="K2963:K2966" si="3439">IF($F2963=6.3,$H2963*$B$25,0)</f>
        <v>0</v>
      </c>
      <c r="L2963" s="31">
        <f t="shared" ref="L2963:L2966" si="3440">IF($F2963=8,$H2963*$B$26,0)</f>
        <v>0</v>
      </c>
      <c r="M2963" s="31">
        <f t="shared" ref="M2963:M2966" si="3441">IF($F2963=10,$H2963*$B$27,0)</f>
        <v>0</v>
      </c>
      <c r="N2963" s="31">
        <f t="shared" ref="N2963:N2966" si="3442">IF($F2963=12.5,$H2963*$B$28,0)</f>
        <v>0</v>
      </c>
      <c r="O2963" s="31">
        <f t="shared" ref="O2963:O2966" si="3443">IF($F2963=16,$H2963*$B$29,0)</f>
        <v>0</v>
      </c>
      <c r="P2963" s="31">
        <f t="shared" ref="P2963:P2966" si="3444">IF($F2963=20,$H2963*$B$30,0)</f>
        <v>0</v>
      </c>
      <c r="Q2963" s="49">
        <f t="shared" ref="Q2963:Q2966" si="3445">IF($F2963=25,$H2963*$B$31,0)</f>
        <v>0</v>
      </c>
    </row>
    <row r="2964" spans="4:17" s="62" customFormat="1" x14ac:dyDescent="0.3">
      <c r="D2964" s="235">
        <v>8</v>
      </c>
      <c r="E2964" s="240">
        <v>3</v>
      </c>
      <c r="F2964" s="241">
        <v>8</v>
      </c>
      <c r="G2964" s="242">
        <v>4.37</v>
      </c>
      <c r="H2964" s="239">
        <f t="shared" si="3436"/>
        <v>13.11</v>
      </c>
      <c r="I2964" s="131">
        <f t="shared" si="3437"/>
        <v>0</v>
      </c>
      <c r="J2964" s="31">
        <f t="shared" si="3438"/>
        <v>0</v>
      </c>
      <c r="K2964" s="31">
        <f t="shared" si="3439"/>
        <v>0</v>
      </c>
      <c r="L2964" s="31">
        <f t="shared" si="3440"/>
        <v>5.1784499999999998</v>
      </c>
      <c r="M2964" s="31">
        <f t="shared" si="3441"/>
        <v>0</v>
      </c>
      <c r="N2964" s="31">
        <f t="shared" si="3442"/>
        <v>0</v>
      </c>
      <c r="O2964" s="31">
        <f t="shared" si="3443"/>
        <v>0</v>
      </c>
      <c r="P2964" s="31">
        <f t="shared" si="3444"/>
        <v>0</v>
      </c>
      <c r="Q2964" s="49">
        <f t="shared" si="3445"/>
        <v>0</v>
      </c>
    </row>
    <row r="2965" spans="4:17" s="62" customFormat="1" x14ac:dyDescent="0.3">
      <c r="D2965" s="235">
        <v>21</v>
      </c>
      <c r="E2965" s="240">
        <v>1</v>
      </c>
      <c r="F2965" s="241">
        <v>10</v>
      </c>
      <c r="G2965" s="242">
        <v>2.5499999999999998</v>
      </c>
      <c r="H2965" s="239">
        <f t="shared" si="3436"/>
        <v>2.5499999999999998</v>
      </c>
      <c r="I2965" s="131">
        <f t="shared" si="3437"/>
        <v>0</v>
      </c>
      <c r="J2965" s="31">
        <f t="shared" si="3438"/>
        <v>0</v>
      </c>
      <c r="K2965" s="31">
        <f t="shared" si="3439"/>
        <v>0</v>
      </c>
      <c r="L2965" s="31">
        <f t="shared" si="3440"/>
        <v>0</v>
      </c>
      <c r="M2965" s="31">
        <f t="shared" si="3441"/>
        <v>1.5733499999999998</v>
      </c>
      <c r="N2965" s="31">
        <f t="shared" si="3442"/>
        <v>0</v>
      </c>
      <c r="O2965" s="31">
        <f t="shared" si="3443"/>
        <v>0</v>
      </c>
      <c r="P2965" s="31">
        <f t="shared" si="3444"/>
        <v>0</v>
      </c>
      <c r="Q2965" s="49">
        <f t="shared" si="3445"/>
        <v>0</v>
      </c>
    </row>
    <row r="2966" spans="4:17" s="62" customFormat="1" x14ac:dyDescent="0.3">
      <c r="D2966" s="235">
        <v>22</v>
      </c>
      <c r="E2966" s="240">
        <v>2</v>
      </c>
      <c r="F2966" s="241">
        <v>10</v>
      </c>
      <c r="G2966" s="242">
        <v>4.1900000000000004</v>
      </c>
      <c r="H2966" s="239">
        <f t="shared" si="3436"/>
        <v>8.3800000000000008</v>
      </c>
      <c r="I2966" s="131">
        <f t="shared" si="3437"/>
        <v>0</v>
      </c>
      <c r="J2966" s="31">
        <f t="shared" si="3438"/>
        <v>0</v>
      </c>
      <c r="K2966" s="31">
        <f t="shared" si="3439"/>
        <v>0</v>
      </c>
      <c r="L2966" s="31">
        <f t="shared" si="3440"/>
        <v>0</v>
      </c>
      <c r="M2966" s="31">
        <f t="shared" si="3441"/>
        <v>5.1704600000000003</v>
      </c>
      <c r="N2966" s="31">
        <f t="shared" si="3442"/>
        <v>0</v>
      </c>
      <c r="O2966" s="31">
        <f t="shared" si="3443"/>
        <v>0</v>
      </c>
      <c r="P2966" s="31">
        <f t="shared" si="3444"/>
        <v>0</v>
      </c>
      <c r="Q2966" s="49">
        <f t="shared" si="3445"/>
        <v>0</v>
      </c>
    </row>
    <row r="2967" spans="4:17" s="62" customFormat="1" ht="15" thickBot="1" x14ac:dyDescent="0.35">
      <c r="D2967" s="307"/>
      <c r="E2967" s="26"/>
      <c r="F2967" s="206"/>
      <c r="G2967" s="207"/>
      <c r="H2967" s="207"/>
      <c r="I2967" s="51"/>
      <c r="J2967" s="308"/>
      <c r="K2967" s="308"/>
      <c r="L2967" s="308"/>
      <c r="M2967" s="308"/>
      <c r="N2967" s="308"/>
      <c r="O2967" s="308"/>
      <c r="P2967" s="308"/>
      <c r="Q2967" s="309"/>
    </row>
    <row r="2968" spans="4:17" s="62" customFormat="1" x14ac:dyDescent="0.3">
      <c r="D2968" s="796" t="s">
        <v>1612</v>
      </c>
      <c r="E2968" s="797"/>
      <c r="F2968" s="797"/>
      <c r="G2968" s="797"/>
      <c r="H2968" s="797"/>
      <c r="I2968" s="47">
        <f t="shared" ref="I2968:Q2968" si="3446">SUM(I2969:I2977)</f>
        <v>0</v>
      </c>
      <c r="J2968" s="47">
        <f t="shared" si="3446"/>
        <v>9.5495400000000004</v>
      </c>
      <c r="K2968" s="47">
        <f t="shared" si="3446"/>
        <v>0</v>
      </c>
      <c r="L2968" s="47">
        <f t="shared" si="3446"/>
        <v>0</v>
      </c>
      <c r="M2968" s="47">
        <f t="shared" si="3446"/>
        <v>35.230699999999999</v>
      </c>
      <c r="N2968" s="47">
        <f t="shared" si="3446"/>
        <v>36.815489999999997</v>
      </c>
      <c r="O2968" s="47">
        <f t="shared" si="3446"/>
        <v>0</v>
      </c>
      <c r="P2968" s="47">
        <f t="shared" si="3446"/>
        <v>0</v>
      </c>
      <c r="Q2968" s="47">
        <f t="shared" si="3446"/>
        <v>0</v>
      </c>
    </row>
    <row r="2969" spans="4:17" s="62" customFormat="1" x14ac:dyDescent="0.3">
      <c r="D2969" s="235">
        <v>1</v>
      </c>
      <c r="E2969" s="237">
        <v>53</v>
      </c>
      <c r="F2969" s="238">
        <v>5</v>
      </c>
      <c r="G2969" s="239">
        <v>1.17</v>
      </c>
      <c r="H2969" s="239">
        <f t="shared" ref="H2969:H2977" si="3447">E2969*G2969</f>
        <v>62.01</v>
      </c>
      <c r="I2969" s="131">
        <f t="shared" ref="I2969:I2977" si="3448">IF($F2969=4.2,H2969*$B$23,0)</f>
        <v>0</v>
      </c>
      <c r="J2969" s="31">
        <f t="shared" ref="J2969:J2977" si="3449">IF($F2969=5,$H2969*$B$24,0)</f>
        <v>9.5495400000000004</v>
      </c>
      <c r="K2969" s="31">
        <f t="shared" ref="K2969:K2977" si="3450">IF($F2969=6.3,$H2969*$B$25,0)</f>
        <v>0</v>
      </c>
      <c r="L2969" s="31">
        <f t="shared" ref="L2969:L2977" si="3451">IF($F2969=8,$H2969*$B$26,0)</f>
        <v>0</v>
      </c>
      <c r="M2969" s="31">
        <f t="shared" ref="M2969:M2977" si="3452">IF($F2969=10,$H2969*$B$27,0)</f>
        <v>0</v>
      </c>
      <c r="N2969" s="31">
        <f t="shared" ref="N2969:N2977" si="3453">IF($F2969=12.5,$H2969*$B$28,0)</f>
        <v>0</v>
      </c>
      <c r="O2969" s="31">
        <f t="shared" ref="O2969:O2977" si="3454">IF($F2969=16,$H2969*$B$29,0)</f>
        <v>0</v>
      </c>
      <c r="P2969" s="31">
        <f t="shared" ref="P2969:P2977" si="3455">IF($F2969=20,$H2969*$B$30,0)</f>
        <v>0</v>
      </c>
      <c r="Q2969" s="49">
        <f t="shared" ref="Q2969:Q2977" si="3456">IF($F2969=25,$H2969*$B$31,0)</f>
        <v>0</v>
      </c>
    </row>
    <row r="2970" spans="4:17" s="62" customFormat="1" x14ac:dyDescent="0.3">
      <c r="D2970" s="235">
        <v>16</v>
      </c>
      <c r="E2970" s="240">
        <v>2</v>
      </c>
      <c r="F2970" s="241">
        <v>10</v>
      </c>
      <c r="G2970" s="242">
        <v>2.4500000000000002</v>
      </c>
      <c r="H2970" s="239">
        <f t="shared" si="3447"/>
        <v>4.9000000000000004</v>
      </c>
      <c r="I2970" s="131">
        <f t="shared" si="3448"/>
        <v>0</v>
      </c>
      <c r="J2970" s="31">
        <f t="shared" si="3449"/>
        <v>0</v>
      </c>
      <c r="K2970" s="31">
        <f t="shared" si="3450"/>
        <v>0</v>
      </c>
      <c r="L2970" s="31">
        <f t="shared" si="3451"/>
        <v>0</v>
      </c>
      <c r="M2970" s="31">
        <f t="shared" si="3452"/>
        <v>3.0233000000000003</v>
      </c>
      <c r="N2970" s="31">
        <f t="shared" si="3453"/>
        <v>0</v>
      </c>
      <c r="O2970" s="31">
        <f t="shared" si="3454"/>
        <v>0</v>
      </c>
      <c r="P2970" s="31">
        <f t="shared" si="3455"/>
        <v>0</v>
      </c>
      <c r="Q2970" s="49">
        <f t="shared" si="3456"/>
        <v>0</v>
      </c>
    </row>
    <row r="2971" spans="4:17" s="62" customFormat="1" x14ac:dyDescent="0.3">
      <c r="D2971" s="235">
        <v>23</v>
      </c>
      <c r="E2971" s="240">
        <v>2</v>
      </c>
      <c r="F2971" s="241">
        <v>10</v>
      </c>
      <c r="G2971" s="242">
        <v>2.9</v>
      </c>
      <c r="H2971" s="239">
        <f t="shared" si="3447"/>
        <v>5.8</v>
      </c>
      <c r="I2971" s="131">
        <f t="shared" si="3448"/>
        <v>0</v>
      </c>
      <c r="J2971" s="31">
        <f t="shared" si="3449"/>
        <v>0</v>
      </c>
      <c r="K2971" s="31">
        <f t="shared" si="3450"/>
        <v>0</v>
      </c>
      <c r="L2971" s="31">
        <f t="shared" si="3451"/>
        <v>0</v>
      </c>
      <c r="M2971" s="31">
        <f t="shared" si="3452"/>
        <v>3.5785999999999998</v>
      </c>
      <c r="N2971" s="31">
        <f t="shared" si="3453"/>
        <v>0</v>
      </c>
      <c r="O2971" s="31">
        <f t="shared" si="3454"/>
        <v>0</v>
      </c>
      <c r="P2971" s="31">
        <f t="shared" si="3455"/>
        <v>0</v>
      </c>
      <c r="Q2971" s="49">
        <f t="shared" si="3456"/>
        <v>0</v>
      </c>
    </row>
    <row r="2972" spans="4:17" s="62" customFormat="1" x14ac:dyDescent="0.3">
      <c r="D2972" s="235">
        <v>24</v>
      </c>
      <c r="E2972" s="240">
        <v>4</v>
      </c>
      <c r="F2972" s="241">
        <v>10</v>
      </c>
      <c r="G2972" s="242">
        <v>1.62</v>
      </c>
      <c r="H2972" s="239">
        <f t="shared" si="3447"/>
        <v>6.48</v>
      </c>
      <c r="I2972" s="131">
        <f t="shared" si="3448"/>
        <v>0</v>
      </c>
      <c r="J2972" s="31">
        <f t="shared" si="3449"/>
        <v>0</v>
      </c>
      <c r="K2972" s="31">
        <f t="shared" si="3450"/>
        <v>0</v>
      </c>
      <c r="L2972" s="31">
        <f t="shared" si="3451"/>
        <v>0</v>
      </c>
      <c r="M2972" s="31">
        <f t="shared" si="3452"/>
        <v>3.9981600000000004</v>
      </c>
      <c r="N2972" s="31">
        <f t="shared" si="3453"/>
        <v>0</v>
      </c>
      <c r="O2972" s="31">
        <f t="shared" si="3454"/>
        <v>0</v>
      </c>
      <c r="P2972" s="31">
        <f t="shared" si="3455"/>
        <v>0</v>
      </c>
      <c r="Q2972" s="49">
        <f t="shared" si="3456"/>
        <v>0</v>
      </c>
    </row>
    <row r="2973" spans="4:17" s="62" customFormat="1" x14ac:dyDescent="0.3">
      <c r="D2973" s="235">
        <v>25</v>
      </c>
      <c r="E2973" s="240">
        <v>1</v>
      </c>
      <c r="F2973" s="241">
        <v>10</v>
      </c>
      <c r="G2973" s="242">
        <v>7.7</v>
      </c>
      <c r="H2973" s="239">
        <f t="shared" si="3447"/>
        <v>7.7</v>
      </c>
      <c r="I2973" s="131">
        <f t="shared" si="3448"/>
        <v>0</v>
      </c>
      <c r="J2973" s="31">
        <f t="shared" si="3449"/>
        <v>0</v>
      </c>
      <c r="K2973" s="31">
        <f t="shared" si="3450"/>
        <v>0</v>
      </c>
      <c r="L2973" s="31">
        <f t="shared" si="3451"/>
        <v>0</v>
      </c>
      <c r="M2973" s="31">
        <f t="shared" si="3452"/>
        <v>4.7508999999999997</v>
      </c>
      <c r="N2973" s="31">
        <f t="shared" si="3453"/>
        <v>0</v>
      </c>
      <c r="O2973" s="31">
        <f t="shared" si="3454"/>
        <v>0</v>
      </c>
      <c r="P2973" s="31">
        <f t="shared" si="3455"/>
        <v>0</v>
      </c>
      <c r="Q2973" s="49">
        <f t="shared" si="3456"/>
        <v>0</v>
      </c>
    </row>
    <row r="2974" spans="4:17" s="62" customFormat="1" x14ac:dyDescent="0.3">
      <c r="D2974" s="235">
        <v>26</v>
      </c>
      <c r="E2974" s="240">
        <v>3</v>
      </c>
      <c r="F2974" s="241">
        <v>10</v>
      </c>
      <c r="G2974" s="242">
        <v>10.74</v>
      </c>
      <c r="H2974" s="239">
        <f t="shared" si="3447"/>
        <v>32.22</v>
      </c>
      <c r="I2974" s="131">
        <f t="shared" si="3448"/>
        <v>0</v>
      </c>
      <c r="J2974" s="31">
        <f t="shared" si="3449"/>
        <v>0</v>
      </c>
      <c r="K2974" s="31">
        <f t="shared" si="3450"/>
        <v>0</v>
      </c>
      <c r="L2974" s="31">
        <f t="shared" si="3451"/>
        <v>0</v>
      </c>
      <c r="M2974" s="31">
        <f t="shared" si="3452"/>
        <v>19.879739999999998</v>
      </c>
      <c r="N2974" s="31">
        <f t="shared" si="3453"/>
        <v>0</v>
      </c>
      <c r="O2974" s="31">
        <f t="shared" si="3454"/>
        <v>0</v>
      </c>
      <c r="P2974" s="31">
        <f t="shared" si="3455"/>
        <v>0</v>
      </c>
      <c r="Q2974" s="49">
        <f t="shared" si="3456"/>
        <v>0</v>
      </c>
    </row>
    <row r="2975" spans="4:17" s="62" customFormat="1" x14ac:dyDescent="0.3">
      <c r="D2975" s="235">
        <v>43</v>
      </c>
      <c r="E2975" s="240">
        <v>1</v>
      </c>
      <c r="F2975" s="241">
        <v>12.5</v>
      </c>
      <c r="G2975" s="242">
        <v>2.93</v>
      </c>
      <c r="H2975" s="239">
        <f t="shared" si="3447"/>
        <v>2.93</v>
      </c>
      <c r="I2975" s="131">
        <f t="shared" si="3448"/>
        <v>0</v>
      </c>
      <c r="J2975" s="31">
        <f t="shared" si="3449"/>
        <v>0</v>
      </c>
      <c r="K2975" s="31">
        <f t="shared" si="3450"/>
        <v>0</v>
      </c>
      <c r="L2975" s="31">
        <f t="shared" si="3451"/>
        <v>0</v>
      </c>
      <c r="M2975" s="31">
        <f t="shared" si="3452"/>
        <v>0</v>
      </c>
      <c r="N2975" s="31">
        <f t="shared" si="3453"/>
        <v>2.82159</v>
      </c>
      <c r="O2975" s="31">
        <f t="shared" si="3454"/>
        <v>0</v>
      </c>
      <c r="P2975" s="31">
        <f t="shared" si="3455"/>
        <v>0</v>
      </c>
      <c r="Q2975" s="49">
        <f t="shared" si="3456"/>
        <v>0</v>
      </c>
    </row>
    <row r="2976" spans="4:17" s="62" customFormat="1" x14ac:dyDescent="0.3">
      <c r="D2976" s="235">
        <v>44</v>
      </c>
      <c r="E2976" s="240">
        <v>1</v>
      </c>
      <c r="F2976" s="241">
        <v>12.5</v>
      </c>
      <c r="G2976" s="242">
        <v>3.08</v>
      </c>
      <c r="H2976" s="239">
        <f t="shared" si="3447"/>
        <v>3.08</v>
      </c>
      <c r="I2976" s="131">
        <f t="shared" si="3448"/>
        <v>0</v>
      </c>
      <c r="J2976" s="31">
        <f t="shared" si="3449"/>
        <v>0</v>
      </c>
      <c r="K2976" s="31">
        <f t="shared" si="3450"/>
        <v>0</v>
      </c>
      <c r="L2976" s="31">
        <f t="shared" si="3451"/>
        <v>0</v>
      </c>
      <c r="M2976" s="31">
        <f t="shared" si="3452"/>
        <v>0</v>
      </c>
      <c r="N2976" s="31">
        <f t="shared" si="3453"/>
        <v>2.96604</v>
      </c>
      <c r="O2976" s="31">
        <f t="shared" si="3454"/>
        <v>0</v>
      </c>
      <c r="P2976" s="31">
        <f t="shared" si="3455"/>
        <v>0</v>
      </c>
      <c r="Q2976" s="49">
        <f t="shared" si="3456"/>
        <v>0</v>
      </c>
    </row>
    <row r="2977" spans="4:17" s="62" customFormat="1" x14ac:dyDescent="0.3">
      <c r="D2977" s="235">
        <v>45</v>
      </c>
      <c r="E2977" s="240">
        <v>3</v>
      </c>
      <c r="F2977" s="241">
        <v>12.5</v>
      </c>
      <c r="G2977" s="242">
        <v>10.74</v>
      </c>
      <c r="H2977" s="239">
        <f t="shared" si="3447"/>
        <v>32.22</v>
      </c>
      <c r="I2977" s="131">
        <f t="shared" si="3448"/>
        <v>0</v>
      </c>
      <c r="J2977" s="31">
        <f t="shared" si="3449"/>
        <v>0</v>
      </c>
      <c r="K2977" s="31">
        <f t="shared" si="3450"/>
        <v>0</v>
      </c>
      <c r="L2977" s="31">
        <f t="shared" si="3451"/>
        <v>0</v>
      </c>
      <c r="M2977" s="31">
        <f t="shared" si="3452"/>
        <v>0</v>
      </c>
      <c r="N2977" s="31">
        <f t="shared" si="3453"/>
        <v>31.027859999999997</v>
      </c>
      <c r="O2977" s="31">
        <f t="shared" si="3454"/>
        <v>0</v>
      </c>
      <c r="P2977" s="31">
        <f t="shared" si="3455"/>
        <v>0</v>
      </c>
      <c r="Q2977" s="49">
        <f t="shared" si="3456"/>
        <v>0</v>
      </c>
    </row>
    <row r="2978" spans="4:17" s="62" customFormat="1" ht="15" thickBot="1" x14ac:dyDescent="0.35">
      <c r="D2978" s="307"/>
      <c r="E2978" s="26"/>
      <c r="F2978" s="206"/>
      <c r="G2978" s="207"/>
      <c r="H2978" s="207"/>
      <c r="I2978" s="51"/>
      <c r="J2978" s="308"/>
      <c r="K2978" s="308"/>
      <c r="L2978" s="308"/>
      <c r="M2978" s="308"/>
      <c r="N2978" s="308"/>
      <c r="O2978" s="308"/>
      <c r="P2978" s="308"/>
      <c r="Q2978" s="309"/>
    </row>
    <row r="2979" spans="4:17" s="62" customFormat="1" x14ac:dyDescent="0.3">
      <c r="D2979" s="796" t="s">
        <v>1613</v>
      </c>
      <c r="E2979" s="797"/>
      <c r="F2979" s="797"/>
      <c r="G2979" s="797"/>
      <c r="H2979" s="797"/>
      <c r="I2979" s="47">
        <f t="shared" ref="I2979:Q2979" si="3457">SUM(I2980:I2983)</f>
        <v>0</v>
      </c>
      <c r="J2979" s="47">
        <f t="shared" si="3457"/>
        <v>5.0450399999999993</v>
      </c>
      <c r="K2979" s="47">
        <f t="shared" si="3457"/>
        <v>0.69579999999999997</v>
      </c>
      <c r="L2979" s="47">
        <f t="shared" si="3457"/>
        <v>10.759800000000002</v>
      </c>
      <c r="M2979" s="47">
        <f t="shared" si="3457"/>
        <v>10.809839999999999</v>
      </c>
      <c r="N2979" s="47">
        <f t="shared" si="3457"/>
        <v>0</v>
      </c>
      <c r="O2979" s="47">
        <f t="shared" si="3457"/>
        <v>0</v>
      </c>
      <c r="P2979" s="47">
        <f t="shared" si="3457"/>
        <v>0</v>
      </c>
      <c r="Q2979" s="47">
        <f t="shared" si="3457"/>
        <v>0</v>
      </c>
    </row>
    <row r="2980" spans="4:17" s="62" customFormat="1" x14ac:dyDescent="0.3">
      <c r="D2980" s="235">
        <v>1</v>
      </c>
      <c r="E2980" s="237">
        <f>4*7</f>
        <v>28</v>
      </c>
      <c r="F2980" s="238">
        <v>5</v>
      </c>
      <c r="G2980" s="239">
        <v>1.17</v>
      </c>
      <c r="H2980" s="239">
        <f t="shared" ref="H2980:H2983" si="3458">E2980*G2980</f>
        <v>32.76</v>
      </c>
      <c r="I2980" s="131">
        <f t="shared" ref="I2980:I2983" si="3459">IF($F2980=4.2,H2980*$B$23,0)</f>
        <v>0</v>
      </c>
      <c r="J2980" s="31">
        <f t="shared" ref="J2980:J2983" si="3460">IF($F2980=5,$H2980*$B$24,0)</f>
        <v>5.0450399999999993</v>
      </c>
      <c r="K2980" s="31">
        <f t="shared" ref="K2980:K2983" si="3461">IF($F2980=6.3,$H2980*$B$25,0)</f>
        <v>0</v>
      </c>
      <c r="L2980" s="31">
        <f t="shared" ref="L2980:L2983" si="3462">IF($F2980=8,$H2980*$B$26,0)</f>
        <v>0</v>
      </c>
      <c r="M2980" s="31">
        <f t="shared" ref="M2980:M2983" si="3463">IF($F2980=10,$H2980*$B$27,0)</f>
        <v>0</v>
      </c>
      <c r="N2980" s="31">
        <f t="shared" ref="N2980:N2983" si="3464">IF($F2980=12.5,$H2980*$B$28,0)</f>
        <v>0</v>
      </c>
      <c r="O2980" s="31">
        <f t="shared" ref="O2980:O2983" si="3465">IF($F2980=16,$H2980*$B$29,0)</f>
        <v>0</v>
      </c>
      <c r="P2980" s="31">
        <f t="shared" ref="P2980:P2983" si="3466">IF($F2980=20,$H2980*$B$30,0)</f>
        <v>0</v>
      </c>
      <c r="Q2980" s="49">
        <f t="shared" ref="Q2980:Q2983" si="3467">IF($F2980=25,$H2980*$B$31,0)</f>
        <v>0</v>
      </c>
    </row>
    <row r="2981" spans="4:17" s="62" customFormat="1" x14ac:dyDescent="0.3">
      <c r="D2981" s="235">
        <v>5</v>
      </c>
      <c r="E2981" s="240">
        <f>4*1</f>
        <v>4</v>
      </c>
      <c r="F2981" s="241">
        <v>6.3</v>
      </c>
      <c r="G2981" s="242">
        <v>0.71</v>
      </c>
      <c r="H2981" s="239">
        <f t="shared" si="3458"/>
        <v>2.84</v>
      </c>
      <c r="I2981" s="131">
        <f t="shared" si="3459"/>
        <v>0</v>
      </c>
      <c r="J2981" s="31">
        <f t="shared" si="3460"/>
        <v>0</v>
      </c>
      <c r="K2981" s="31">
        <f t="shared" si="3461"/>
        <v>0.69579999999999997</v>
      </c>
      <c r="L2981" s="31">
        <f t="shared" si="3462"/>
        <v>0</v>
      </c>
      <c r="M2981" s="31">
        <f t="shared" si="3463"/>
        <v>0</v>
      </c>
      <c r="N2981" s="31">
        <f t="shared" si="3464"/>
        <v>0</v>
      </c>
      <c r="O2981" s="31">
        <f t="shared" si="3465"/>
        <v>0</v>
      </c>
      <c r="P2981" s="31">
        <f t="shared" si="3466"/>
        <v>0</v>
      </c>
      <c r="Q2981" s="49">
        <f t="shared" si="3467"/>
        <v>0</v>
      </c>
    </row>
    <row r="2982" spans="4:17" s="62" customFormat="1" x14ac:dyDescent="0.3">
      <c r="D2982" s="235">
        <v>9</v>
      </c>
      <c r="E2982" s="240">
        <f>4*3</f>
        <v>12</v>
      </c>
      <c r="F2982" s="241">
        <v>8</v>
      </c>
      <c r="G2982" s="242">
        <v>2.27</v>
      </c>
      <c r="H2982" s="239">
        <f t="shared" si="3458"/>
        <v>27.240000000000002</v>
      </c>
      <c r="I2982" s="131">
        <f t="shared" si="3459"/>
        <v>0</v>
      </c>
      <c r="J2982" s="31">
        <f t="shared" si="3460"/>
        <v>0</v>
      </c>
      <c r="K2982" s="31">
        <f t="shared" si="3461"/>
        <v>0</v>
      </c>
      <c r="L2982" s="31">
        <f t="shared" si="3462"/>
        <v>10.759800000000002</v>
      </c>
      <c r="M2982" s="31">
        <f t="shared" si="3463"/>
        <v>0</v>
      </c>
      <c r="N2982" s="31">
        <f t="shared" si="3464"/>
        <v>0</v>
      </c>
      <c r="O2982" s="31">
        <f t="shared" si="3465"/>
        <v>0</v>
      </c>
      <c r="P2982" s="31">
        <f t="shared" si="3466"/>
        <v>0</v>
      </c>
      <c r="Q2982" s="49">
        <f t="shared" si="3467"/>
        <v>0</v>
      </c>
    </row>
    <row r="2983" spans="4:17" s="62" customFormat="1" x14ac:dyDescent="0.3">
      <c r="D2983" s="235">
        <v>27</v>
      </c>
      <c r="E2983" s="240">
        <f>4*2</f>
        <v>8</v>
      </c>
      <c r="F2983" s="241">
        <v>10</v>
      </c>
      <c r="G2983" s="242">
        <v>2.19</v>
      </c>
      <c r="H2983" s="239">
        <f t="shared" si="3458"/>
        <v>17.52</v>
      </c>
      <c r="I2983" s="131">
        <f t="shared" si="3459"/>
        <v>0</v>
      </c>
      <c r="J2983" s="31">
        <f t="shared" si="3460"/>
        <v>0</v>
      </c>
      <c r="K2983" s="31">
        <f t="shared" si="3461"/>
        <v>0</v>
      </c>
      <c r="L2983" s="31">
        <f t="shared" si="3462"/>
        <v>0</v>
      </c>
      <c r="M2983" s="31">
        <f t="shared" si="3463"/>
        <v>10.809839999999999</v>
      </c>
      <c r="N2983" s="31">
        <f t="shared" si="3464"/>
        <v>0</v>
      </c>
      <c r="O2983" s="31">
        <f t="shared" si="3465"/>
        <v>0</v>
      </c>
      <c r="P2983" s="31">
        <f t="shared" si="3466"/>
        <v>0</v>
      </c>
      <c r="Q2983" s="49">
        <f t="shared" si="3467"/>
        <v>0</v>
      </c>
    </row>
    <row r="2984" spans="4:17" s="62" customFormat="1" ht="15" thickBot="1" x14ac:dyDescent="0.35">
      <c r="D2984" s="307"/>
      <c r="E2984" s="26"/>
      <c r="F2984" s="206"/>
      <c r="G2984" s="207"/>
      <c r="H2984" s="207"/>
      <c r="I2984" s="51"/>
      <c r="J2984" s="308"/>
      <c r="K2984" s="308"/>
      <c r="L2984" s="308"/>
      <c r="M2984" s="308"/>
      <c r="N2984" s="308"/>
      <c r="O2984" s="308"/>
      <c r="P2984" s="308"/>
      <c r="Q2984" s="309"/>
    </row>
    <row r="2985" spans="4:17" s="62" customFormat="1" x14ac:dyDescent="0.3">
      <c r="D2985" s="796" t="s">
        <v>1614</v>
      </c>
      <c r="E2985" s="797"/>
      <c r="F2985" s="797"/>
      <c r="G2985" s="797"/>
      <c r="H2985" s="797"/>
      <c r="I2985" s="47">
        <f t="shared" ref="I2985:Q2985" si="3468">SUM(I2986:I2989)</f>
        <v>0</v>
      </c>
      <c r="J2985" s="47">
        <f t="shared" si="3468"/>
        <v>1.4414399999999998</v>
      </c>
      <c r="K2985" s="47">
        <f t="shared" si="3468"/>
        <v>0</v>
      </c>
      <c r="L2985" s="47">
        <f t="shared" si="3468"/>
        <v>3.6814</v>
      </c>
      <c r="M2985" s="47">
        <f t="shared" si="3468"/>
        <v>1.90036</v>
      </c>
      <c r="N2985" s="47">
        <f t="shared" si="3468"/>
        <v>0</v>
      </c>
      <c r="O2985" s="47">
        <f t="shared" si="3468"/>
        <v>0</v>
      </c>
      <c r="P2985" s="47">
        <f t="shared" si="3468"/>
        <v>0</v>
      </c>
      <c r="Q2985" s="47">
        <f t="shared" si="3468"/>
        <v>0</v>
      </c>
    </row>
    <row r="2986" spans="4:17" s="62" customFormat="1" x14ac:dyDescent="0.3">
      <c r="D2986" s="235">
        <v>1</v>
      </c>
      <c r="E2986" s="237">
        <f>2*4</f>
        <v>8</v>
      </c>
      <c r="F2986" s="238">
        <v>5</v>
      </c>
      <c r="G2986" s="239">
        <v>1.17</v>
      </c>
      <c r="H2986" s="239">
        <f t="shared" ref="H2986:H2989" si="3469">E2986*G2986</f>
        <v>9.36</v>
      </c>
      <c r="I2986" s="131">
        <f t="shared" ref="I2986:I2989" si="3470">IF($F2986=4.2,H2986*$B$23,0)</f>
        <v>0</v>
      </c>
      <c r="J2986" s="31">
        <f t="shared" ref="J2986:J2989" si="3471">IF($F2986=5,$H2986*$B$24,0)</f>
        <v>1.4414399999999998</v>
      </c>
      <c r="K2986" s="31">
        <f t="shared" ref="K2986:K2989" si="3472">IF($F2986=6.3,$H2986*$B$25,0)</f>
        <v>0</v>
      </c>
      <c r="L2986" s="31">
        <f t="shared" ref="L2986:L2989" si="3473">IF($F2986=8,$H2986*$B$26,0)</f>
        <v>0</v>
      </c>
      <c r="M2986" s="31">
        <f t="shared" ref="M2986:M2989" si="3474">IF($F2986=10,$H2986*$B$27,0)</f>
        <v>0</v>
      </c>
      <c r="N2986" s="31">
        <f t="shared" ref="N2986:N2989" si="3475">IF($F2986=12.5,$H2986*$B$28,0)</f>
        <v>0</v>
      </c>
      <c r="O2986" s="31">
        <f t="shared" ref="O2986:O2989" si="3476">IF($F2986=16,$H2986*$B$29,0)</f>
        <v>0</v>
      </c>
      <c r="P2986" s="31">
        <f t="shared" ref="P2986:P2989" si="3477">IF($F2986=20,$H2986*$B$30,0)</f>
        <v>0</v>
      </c>
      <c r="Q2986" s="49">
        <f t="shared" ref="Q2986:Q2989" si="3478">IF($F2986=25,$H2986*$B$31,0)</f>
        <v>0</v>
      </c>
    </row>
    <row r="2987" spans="4:17" s="62" customFormat="1" x14ac:dyDescent="0.3">
      <c r="D2987" s="235">
        <v>10</v>
      </c>
      <c r="E2987" s="240">
        <f>2*4</f>
        <v>8</v>
      </c>
      <c r="F2987" s="241">
        <v>8</v>
      </c>
      <c r="G2987" s="242">
        <v>0.82</v>
      </c>
      <c r="H2987" s="239">
        <f t="shared" si="3469"/>
        <v>6.56</v>
      </c>
      <c r="I2987" s="131">
        <f t="shared" si="3470"/>
        <v>0</v>
      </c>
      <c r="J2987" s="31">
        <f t="shared" si="3471"/>
        <v>0</v>
      </c>
      <c r="K2987" s="31">
        <f t="shared" si="3472"/>
        <v>0</v>
      </c>
      <c r="L2987" s="31">
        <f t="shared" si="3473"/>
        <v>2.5912000000000002</v>
      </c>
      <c r="M2987" s="31">
        <f t="shared" si="3474"/>
        <v>0</v>
      </c>
      <c r="N2987" s="31">
        <f t="shared" si="3475"/>
        <v>0</v>
      </c>
      <c r="O2987" s="31">
        <f t="shared" si="3476"/>
        <v>0</v>
      </c>
      <c r="P2987" s="31">
        <f t="shared" si="3477"/>
        <v>0</v>
      </c>
      <c r="Q2987" s="49">
        <f t="shared" si="3478"/>
        <v>0</v>
      </c>
    </row>
    <row r="2988" spans="4:17" s="62" customFormat="1" x14ac:dyDescent="0.3">
      <c r="D2988" s="235">
        <v>11</v>
      </c>
      <c r="E2988" s="240">
        <f>2*2</f>
        <v>4</v>
      </c>
      <c r="F2988" s="241">
        <v>8</v>
      </c>
      <c r="G2988" s="242">
        <v>0.69</v>
      </c>
      <c r="H2988" s="239">
        <f t="shared" si="3469"/>
        <v>2.76</v>
      </c>
      <c r="I2988" s="131">
        <f t="shared" si="3470"/>
        <v>0</v>
      </c>
      <c r="J2988" s="31">
        <f t="shared" si="3471"/>
        <v>0</v>
      </c>
      <c r="K2988" s="31">
        <f t="shared" si="3472"/>
        <v>0</v>
      </c>
      <c r="L2988" s="31">
        <f t="shared" si="3473"/>
        <v>1.0902000000000001</v>
      </c>
      <c r="M2988" s="31">
        <f t="shared" si="3474"/>
        <v>0</v>
      </c>
      <c r="N2988" s="31">
        <f t="shared" si="3475"/>
        <v>0</v>
      </c>
      <c r="O2988" s="31">
        <f t="shared" si="3476"/>
        <v>0</v>
      </c>
      <c r="P2988" s="31">
        <f t="shared" si="3477"/>
        <v>0</v>
      </c>
      <c r="Q2988" s="49">
        <f t="shared" si="3478"/>
        <v>0</v>
      </c>
    </row>
    <row r="2989" spans="4:17" s="62" customFormat="1" x14ac:dyDescent="0.3">
      <c r="D2989" s="235">
        <v>28</v>
      </c>
      <c r="E2989" s="240">
        <f>2*2</f>
        <v>4</v>
      </c>
      <c r="F2989" s="241">
        <v>10</v>
      </c>
      <c r="G2989" s="242">
        <v>0.77</v>
      </c>
      <c r="H2989" s="239">
        <f t="shared" si="3469"/>
        <v>3.08</v>
      </c>
      <c r="I2989" s="131">
        <f t="shared" si="3470"/>
        <v>0</v>
      </c>
      <c r="J2989" s="31">
        <f t="shared" si="3471"/>
        <v>0</v>
      </c>
      <c r="K2989" s="31">
        <f t="shared" si="3472"/>
        <v>0</v>
      </c>
      <c r="L2989" s="31">
        <f t="shared" si="3473"/>
        <v>0</v>
      </c>
      <c r="M2989" s="31">
        <f t="shared" si="3474"/>
        <v>1.90036</v>
      </c>
      <c r="N2989" s="31">
        <f t="shared" si="3475"/>
        <v>0</v>
      </c>
      <c r="O2989" s="31">
        <f t="shared" si="3476"/>
        <v>0</v>
      </c>
      <c r="P2989" s="31">
        <f t="shared" si="3477"/>
        <v>0</v>
      </c>
      <c r="Q2989" s="49">
        <f t="shared" si="3478"/>
        <v>0</v>
      </c>
    </row>
    <row r="2990" spans="4:17" s="62" customFormat="1" ht="15" thickBot="1" x14ac:dyDescent="0.35">
      <c r="D2990" s="307"/>
      <c r="E2990" s="26"/>
      <c r="F2990" s="206"/>
      <c r="G2990" s="207"/>
      <c r="H2990" s="207"/>
      <c r="I2990" s="51"/>
      <c r="J2990" s="308"/>
      <c r="K2990" s="308"/>
      <c r="L2990" s="308"/>
      <c r="M2990" s="308"/>
      <c r="N2990" s="308"/>
      <c r="O2990" s="308"/>
      <c r="P2990" s="308"/>
      <c r="Q2990" s="309"/>
    </row>
    <row r="2991" spans="4:17" s="62" customFormat="1" x14ac:dyDescent="0.3">
      <c r="D2991" s="796" t="s">
        <v>1615</v>
      </c>
      <c r="E2991" s="797"/>
      <c r="F2991" s="797"/>
      <c r="G2991" s="797"/>
      <c r="H2991" s="797"/>
      <c r="I2991" s="47">
        <f t="shared" ref="I2991:Q2991" si="3479">SUM(I2992:I2997)</f>
        <v>0</v>
      </c>
      <c r="J2991" s="47">
        <f t="shared" si="3479"/>
        <v>6.4864799999999994</v>
      </c>
      <c r="K2991" s="47">
        <f t="shared" si="3479"/>
        <v>0</v>
      </c>
      <c r="L2991" s="47">
        <f t="shared" si="3479"/>
        <v>0</v>
      </c>
      <c r="M2991" s="47">
        <f t="shared" si="3479"/>
        <v>0</v>
      </c>
      <c r="N2991" s="47">
        <f t="shared" si="3479"/>
        <v>54.082079999999991</v>
      </c>
      <c r="O2991" s="47">
        <f t="shared" si="3479"/>
        <v>0</v>
      </c>
      <c r="P2991" s="47">
        <f t="shared" si="3479"/>
        <v>0</v>
      </c>
      <c r="Q2991" s="47">
        <f t="shared" si="3479"/>
        <v>0</v>
      </c>
    </row>
    <row r="2992" spans="4:17" s="62" customFormat="1" x14ac:dyDescent="0.3">
      <c r="D2992" s="235">
        <v>1</v>
      </c>
      <c r="E2992" s="237">
        <f>2*18</f>
        <v>36</v>
      </c>
      <c r="F2992" s="238">
        <v>5</v>
      </c>
      <c r="G2992" s="239">
        <v>1.17</v>
      </c>
      <c r="H2992" s="239">
        <f t="shared" ref="H2992:H2997" si="3480">E2992*G2992</f>
        <v>42.12</v>
      </c>
      <c r="I2992" s="131">
        <f t="shared" ref="I2992:I2997" si="3481">IF($F2992=4.2,H2992*$B$23,0)</f>
        <v>0</v>
      </c>
      <c r="J2992" s="31">
        <f t="shared" ref="J2992:J2997" si="3482">IF($F2992=5,$H2992*$B$24,0)</f>
        <v>6.4864799999999994</v>
      </c>
      <c r="K2992" s="31">
        <f t="shared" ref="K2992:K2997" si="3483">IF($F2992=6.3,$H2992*$B$25,0)</f>
        <v>0</v>
      </c>
      <c r="L2992" s="31">
        <f t="shared" ref="L2992:L2997" si="3484">IF($F2992=8,$H2992*$B$26,0)</f>
        <v>0</v>
      </c>
      <c r="M2992" s="31">
        <f t="shared" ref="M2992:M2997" si="3485">IF($F2992=10,$H2992*$B$27,0)</f>
        <v>0</v>
      </c>
      <c r="N2992" s="31">
        <f t="shared" ref="N2992:N2997" si="3486">IF($F2992=12.5,$H2992*$B$28,0)</f>
        <v>0</v>
      </c>
      <c r="O2992" s="31">
        <f t="shared" ref="O2992:O2997" si="3487">IF($F2992=16,$H2992*$B$29,0)</f>
        <v>0</v>
      </c>
      <c r="P2992" s="31">
        <f t="shared" ref="P2992:P2997" si="3488">IF($F2992=20,$H2992*$B$30,0)</f>
        <v>0</v>
      </c>
      <c r="Q2992" s="49">
        <f t="shared" ref="Q2992:Q2997" si="3489">IF($F2992=25,$H2992*$B$31,0)</f>
        <v>0</v>
      </c>
    </row>
    <row r="2993" spans="4:17" s="62" customFormat="1" x14ac:dyDescent="0.3">
      <c r="D2993" s="235">
        <v>46</v>
      </c>
      <c r="E2993" s="240">
        <f>2*1</f>
        <v>2</v>
      </c>
      <c r="F2993" s="241">
        <v>12.5</v>
      </c>
      <c r="G2993" s="242">
        <v>2.88</v>
      </c>
      <c r="H2993" s="239">
        <f t="shared" si="3480"/>
        <v>5.76</v>
      </c>
      <c r="I2993" s="131">
        <f t="shared" si="3481"/>
        <v>0</v>
      </c>
      <c r="J2993" s="31">
        <f t="shared" si="3482"/>
        <v>0</v>
      </c>
      <c r="K2993" s="31">
        <f t="shared" si="3483"/>
        <v>0</v>
      </c>
      <c r="L2993" s="31">
        <f t="shared" si="3484"/>
        <v>0</v>
      </c>
      <c r="M2993" s="31">
        <f t="shared" si="3485"/>
        <v>0</v>
      </c>
      <c r="N2993" s="31">
        <f t="shared" si="3486"/>
        <v>5.5468799999999998</v>
      </c>
      <c r="O2993" s="31">
        <f t="shared" si="3487"/>
        <v>0</v>
      </c>
      <c r="P2993" s="31">
        <f t="shared" si="3488"/>
        <v>0</v>
      </c>
      <c r="Q2993" s="49">
        <f t="shared" si="3489"/>
        <v>0</v>
      </c>
    </row>
    <row r="2994" spans="4:17" s="62" customFormat="1" x14ac:dyDescent="0.3">
      <c r="D2994" s="235">
        <v>47</v>
      </c>
      <c r="E2994" s="240">
        <f>2*1</f>
        <v>2</v>
      </c>
      <c r="F2994" s="241">
        <v>12.5</v>
      </c>
      <c r="G2994" s="242">
        <v>4.3099999999999996</v>
      </c>
      <c r="H2994" s="239">
        <f t="shared" si="3480"/>
        <v>8.6199999999999992</v>
      </c>
      <c r="I2994" s="131">
        <f t="shared" si="3481"/>
        <v>0</v>
      </c>
      <c r="J2994" s="31">
        <f t="shared" si="3482"/>
        <v>0</v>
      </c>
      <c r="K2994" s="31">
        <f t="shared" si="3483"/>
        <v>0</v>
      </c>
      <c r="L2994" s="31">
        <f t="shared" si="3484"/>
        <v>0</v>
      </c>
      <c r="M2994" s="31">
        <f t="shared" si="3485"/>
        <v>0</v>
      </c>
      <c r="N2994" s="31">
        <f t="shared" si="3486"/>
        <v>8.3010599999999997</v>
      </c>
      <c r="O2994" s="31">
        <f t="shared" si="3487"/>
        <v>0</v>
      </c>
      <c r="P2994" s="31">
        <f t="shared" si="3488"/>
        <v>0</v>
      </c>
      <c r="Q2994" s="49">
        <f t="shared" si="3489"/>
        <v>0</v>
      </c>
    </row>
    <row r="2995" spans="4:17" s="62" customFormat="1" x14ac:dyDescent="0.3">
      <c r="D2995" s="235">
        <v>48</v>
      </c>
      <c r="E2995" s="240">
        <f>2*2</f>
        <v>4</v>
      </c>
      <c r="F2995" s="241">
        <v>12.5</v>
      </c>
      <c r="G2995" s="242">
        <v>4.38</v>
      </c>
      <c r="H2995" s="239">
        <f t="shared" si="3480"/>
        <v>17.52</v>
      </c>
      <c r="I2995" s="131">
        <f t="shared" si="3481"/>
        <v>0</v>
      </c>
      <c r="J2995" s="31">
        <f t="shared" si="3482"/>
        <v>0</v>
      </c>
      <c r="K2995" s="31">
        <f t="shared" si="3483"/>
        <v>0</v>
      </c>
      <c r="L2995" s="31">
        <f t="shared" si="3484"/>
        <v>0</v>
      </c>
      <c r="M2995" s="31">
        <f t="shared" si="3485"/>
        <v>0</v>
      </c>
      <c r="N2995" s="31">
        <f t="shared" si="3486"/>
        <v>16.871759999999998</v>
      </c>
      <c r="O2995" s="31">
        <f t="shared" si="3487"/>
        <v>0</v>
      </c>
      <c r="P2995" s="31">
        <f t="shared" si="3488"/>
        <v>0</v>
      </c>
      <c r="Q2995" s="49">
        <f t="shared" si="3489"/>
        <v>0</v>
      </c>
    </row>
    <row r="2996" spans="4:17" s="62" customFormat="1" x14ac:dyDescent="0.3">
      <c r="D2996" s="235">
        <v>49</v>
      </c>
      <c r="E2996" s="240">
        <f>2*1</f>
        <v>2</v>
      </c>
      <c r="F2996" s="241">
        <v>12.5</v>
      </c>
      <c r="G2996" s="242">
        <v>2.37</v>
      </c>
      <c r="H2996" s="239">
        <f t="shared" si="3480"/>
        <v>4.74</v>
      </c>
      <c r="I2996" s="131">
        <f t="shared" si="3481"/>
        <v>0</v>
      </c>
      <c r="J2996" s="31">
        <f t="shared" si="3482"/>
        <v>0</v>
      </c>
      <c r="K2996" s="31">
        <f t="shared" si="3483"/>
        <v>0</v>
      </c>
      <c r="L2996" s="31">
        <f t="shared" si="3484"/>
        <v>0</v>
      </c>
      <c r="M2996" s="31">
        <f t="shared" si="3485"/>
        <v>0</v>
      </c>
      <c r="N2996" s="31">
        <f t="shared" si="3486"/>
        <v>4.5646199999999997</v>
      </c>
      <c r="O2996" s="31">
        <f t="shared" si="3487"/>
        <v>0</v>
      </c>
      <c r="P2996" s="31">
        <f t="shared" si="3488"/>
        <v>0</v>
      </c>
      <c r="Q2996" s="49">
        <f t="shared" si="3489"/>
        <v>0</v>
      </c>
    </row>
    <row r="2997" spans="4:17" s="62" customFormat="1" x14ac:dyDescent="0.3">
      <c r="D2997" s="235">
        <v>50</v>
      </c>
      <c r="E2997" s="240">
        <f>2*2</f>
        <v>4</v>
      </c>
      <c r="F2997" s="241">
        <v>12.5</v>
      </c>
      <c r="G2997" s="242">
        <v>4.88</v>
      </c>
      <c r="H2997" s="239">
        <f t="shared" si="3480"/>
        <v>19.52</v>
      </c>
      <c r="I2997" s="131">
        <f t="shared" si="3481"/>
        <v>0</v>
      </c>
      <c r="J2997" s="31">
        <f t="shared" si="3482"/>
        <v>0</v>
      </c>
      <c r="K2997" s="31">
        <f t="shared" si="3483"/>
        <v>0</v>
      </c>
      <c r="L2997" s="31">
        <f t="shared" si="3484"/>
        <v>0</v>
      </c>
      <c r="M2997" s="31">
        <f t="shared" si="3485"/>
        <v>0</v>
      </c>
      <c r="N2997" s="31">
        <f t="shared" si="3486"/>
        <v>18.79776</v>
      </c>
      <c r="O2997" s="31">
        <f t="shared" si="3487"/>
        <v>0</v>
      </c>
      <c r="P2997" s="31">
        <f t="shared" si="3488"/>
        <v>0</v>
      </c>
      <c r="Q2997" s="49">
        <f t="shared" si="3489"/>
        <v>0</v>
      </c>
    </row>
    <row r="2998" spans="4:17" s="62" customFormat="1" ht="15" thickBot="1" x14ac:dyDescent="0.35">
      <c r="D2998" s="307"/>
      <c r="E2998" s="26"/>
      <c r="F2998" s="206"/>
      <c r="G2998" s="207"/>
      <c r="H2998" s="207"/>
      <c r="I2998" s="51"/>
      <c r="J2998" s="308"/>
      <c r="K2998" s="308"/>
      <c r="L2998" s="308"/>
      <c r="M2998" s="308"/>
      <c r="N2998" s="308"/>
      <c r="O2998" s="308"/>
      <c r="P2998" s="308"/>
      <c r="Q2998" s="309"/>
    </row>
    <row r="2999" spans="4:17" s="62" customFormat="1" x14ac:dyDescent="0.3">
      <c r="D2999" s="796" t="s">
        <v>1616</v>
      </c>
      <c r="E2999" s="797"/>
      <c r="F2999" s="797"/>
      <c r="G2999" s="797"/>
      <c r="H2999" s="797"/>
      <c r="I2999" s="47">
        <f t="shared" ref="I2999:Q2999" si="3490">SUM(I3000:I3004)</f>
        <v>0</v>
      </c>
      <c r="J2999" s="47">
        <f t="shared" si="3490"/>
        <v>1.6216199999999998</v>
      </c>
      <c r="K2999" s="47">
        <f t="shared" si="3490"/>
        <v>0</v>
      </c>
      <c r="L2999" s="47">
        <f t="shared" si="3490"/>
        <v>0</v>
      </c>
      <c r="M2999" s="47">
        <f t="shared" si="3490"/>
        <v>5.7010799999999993</v>
      </c>
      <c r="N2999" s="47">
        <f t="shared" si="3490"/>
        <v>5.9706000000000001</v>
      </c>
      <c r="O2999" s="47">
        <f t="shared" si="3490"/>
        <v>0</v>
      </c>
      <c r="P2999" s="47">
        <f t="shared" si="3490"/>
        <v>0</v>
      </c>
      <c r="Q2999" s="47">
        <f t="shared" si="3490"/>
        <v>0</v>
      </c>
    </row>
    <row r="3000" spans="4:17" s="62" customFormat="1" x14ac:dyDescent="0.3">
      <c r="D3000" s="235">
        <v>1</v>
      </c>
      <c r="E3000" s="237">
        <v>9</v>
      </c>
      <c r="F3000" s="238">
        <v>5</v>
      </c>
      <c r="G3000" s="239">
        <v>1.17</v>
      </c>
      <c r="H3000" s="239">
        <f t="shared" ref="H3000:H3004" si="3491">E3000*G3000</f>
        <v>10.53</v>
      </c>
      <c r="I3000" s="131">
        <f t="shared" ref="I3000:I3004" si="3492">IF($F3000=4.2,H3000*$B$23,0)</f>
        <v>0</v>
      </c>
      <c r="J3000" s="31">
        <f t="shared" ref="J3000:J3004" si="3493">IF($F3000=5,$H3000*$B$24,0)</f>
        <v>1.6216199999999998</v>
      </c>
      <c r="K3000" s="31">
        <f t="shared" ref="K3000:K3004" si="3494">IF($F3000=6.3,$H3000*$B$25,0)</f>
        <v>0</v>
      </c>
      <c r="L3000" s="31">
        <f t="shared" ref="L3000:L3004" si="3495">IF($F3000=8,$H3000*$B$26,0)</f>
        <v>0</v>
      </c>
      <c r="M3000" s="31">
        <f t="shared" ref="M3000:M3004" si="3496">IF($F3000=10,$H3000*$B$27,0)</f>
        <v>0</v>
      </c>
      <c r="N3000" s="31">
        <f t="shared" ref="N3000:N3004" si="3497">IF($F3000=12.5,$H3000*$B$28,0)</f>
        <v>0</v>
      </c>
      <c r="O3000" s="31">
        <f t="shared" ref="O3000:O3004" si="3498">IF($F3000=16,$H3000*$B$29,0)</f>
        <v>0</v>
      </c>
      <c r="P3000" s="31">
        <f t="shared" ref="P3000:P3004" si="3499">IF($F3000=20,$H3000*$B$30,0)</f>
        <v>0</v>
      </c>
      <c r="Q3000" s="49">
        <f t="shared" ref="Q3000:Q3004" si="3500">IF($F3000=25,$H3000*$B$31,0)</f>
        <v>0</v>
      </c>
    </row>
    <row r="3001" spans="4:17" s="62" customFormat="1" x14ac:dyDescent="0.3">
      <c r="D3001" s="235">
        <v>29</v>
      </c>
      <c r="E3001" s="240">
        <v>2</v>
      </c>
      <c r="F3001" s="241">
        <v>10</v>
      </c>
      <c r="G3001" s="242">
        <v>1.76</v>
      </c>
      <c r="H3001" s="239">
        <f t="shared" si="3491"/>
        <v>3.52</v>
      </c>
      <c r="I3001" s="131">
        <f t="shared" si="3492"/>
        <v>0</v>
      </c>
      <c r="J3001" s="31">
        <f t="shared" si="3493"/>
        <v>0</v>
      </c>
      <c r="K3001" s="31">
        <f t="shared" si="3494"/>
        <v>0</v>
      </c>
      <c r="L3001" s="31">
        <f t="shared" si="3495"/>
        <v>0</v>
      </c>
      <c r="M3001" s="31">
        <f t="shared" si="3496"/>
        <v>2.17184</v>
      </c>
      <c r="N3001" s="31">
        <f t="shared" si="3497"/>
        <v>0</v>
      </c>
      <c r="O3001" s="31">
        <f t="shared" si="3498"/>
        <v>0</v>
      </c>
      <c r="P3001" s="31">
        <f t="shared" si="3499"/>
        <v>0</v>
      </c>
      <c r="Q3001" s="49">
        <f t="shared" si="3500"/>
        <v>0</v>
      </c>
    </row>
    <row r="3002" spans="4:17" s="62" customFormat="1" x14ac:dyDescent="0.3">
      <c r="D3002" s="235">
        <v>30</v>
      </c>
      <c r="E3002" s="240">
        <v>2</v>
      </c>
      <c r="F3002" s="241">
        <v>10</v>
      </c>
      <c r="G3002" s="242">
        <v>2.86</v>
      </c>
      <c r="H3002" s="239">
        <f t="shared" si="3491"/>
        <v>5.72</v>
      </c>
      <c r="I3002" s="131">
        <f t="shared" si="3492"/>
        <v>0</v>
      </c>
      <c r="J3002" s="31">
        <f t="shared" si="3493"/>
        <v>0</v>
      </c>
      <c r="K3002" s="31">
        <f t="shared" si="3494"/>
        <v>0</v>
      </c>
      <c r="L3002" s="31">
        <f t="shared" si="3495"/>
        <v>0</v>
      </c>
      <c r="M3002" s="31">
        <f t="shared" si="3496"/>
        <v>3.5292399999999997</v>
      </c>
      <c r="N3002" s="31">
        <f t="shared" si="3497"/>
        <v>0</v>
      </c>
      <c r="O3002" s="31">
        <f t="shared" si="3498"/>
        <v>0</v>
      </c>
      <c r="P3002" s="31">
        <f t="shared" si="3499"/>
        <v>0</v>
      </c>
      <c r="Q3002" s="49">
        <f t="shared" si="3500"/>
        <v>0</v>
      </c>
    </row>
    <row r="3003" spans="4:17" s="62" customFormat="1" x14ac:dyDescent="0.3">
      <c r="D3003" s="235">
        <v>51</v>
      </c>
      <c r="E3003" s="240">
        <v>2</v>
      </c>
      <c r="F3003" s="241">
        <v>12.5</v>
      </c>
      <c r="G3003" s="242">
        <v>0.77</v>
      </c>
      <c r="H3003" s="239">
        <f t="shared" si="3491"/>
        <v>1.54</v>
      </c>
      <c r="I3003" s="131">
        <f t="shared" si="3492"/>
        <v>0</v>
      </c>
      <c r="J3003" s="31">
        <f t="shared" si="3493"/>
        <v>0</v>
      </c>
      <c r="K3003" s="31">
        <f t="shared" si="3494"/>
        <v>0</v>
      </c>
      <c r="L3003" s="31">
        <f t="shared" si="3495"/>
        <v>0</v>
      </c>
      <c r="M3003" s="31">
        <f t="shared" si="3496"/>
        <v>0</v>
      </c>
      <c r="N3003" s="31">
        <f t="shared" si="3497"/>
        <v>1.48302</v>
      </c>
      <c r="O3003" s="31">
        <f t="shared" si="3498"/>
        <v>0</v>
      </c>
      <c r="P3003" s="31">
        <f t="shared" si="3499"/>
        <v>0</v>
      </c>
      <c r="Q3003" s="49">
        <f t="shared" si="3500"/>
        <v>0</v>
      </c>
    </row>
    <row r="3004" spans="4:17" s="62" customFormat="1" x14ac:dyDescent="0.3">
      <c r="D3004" s="235">
        <v>52</v>
      </c>
      <c r="E3004" s="240">
        <v>2</v>
      </c>
      <c r="F3004" s="241">
        <v>12.5</v>
      </c>
      <c r="G3004" s="242">
        <v>2.33</v>
      </c>
      <c r="H3004" s="239">
        <f t="shared" si="3491"/>
        <v>4.66</v>
      </c>
      <c r="I3004" s="131">
        <f t="shared" si="3492"/>
        <v>0</v>
      </c>
      <c r="J3004" s="31">
        <f t="shared" si="3493"/>
        <v>0</v>
      </c>
      <c r="K3004" s="31">
        <f t="shared" si="3494"/>
        <v>0</v>
      </c>
      <c r="L3004" s="31">
        <f t="shared" si="3495"/>
        <v>0</v>
      </c>
      <c r="M3004" s="31">
        <f t="shared" si="3496"/>
        <v>0</v>
      </c>
      <c r="N3004" s="31">
        <f t="shared" si="3497"/>
        <v>4.4875800000000003</v>
      </c>
      <c r="O3004" s="31">
        <f t="shared" si="3498"/>
        <v>0</v>
      </c>
      <c r="P3004" s="31">
        <f t="shared" si="3499"/>
        <v>0</v>
      </c>
      <c r="Q3004" s="49">
        <f t="shared" si="3500"/>
        <v>0</v>
      </c>
    </row>
    <row r="3005" spans="4:17" s="62" customFormat="1" ht="15" thickBot="1" x14ac:dyDescent="0.35">
      <c r="D3005" s="307"/>
      <c r="E3005" s="26"/>
      <c r="F3005" s="206"/>
      <c r="G3005" s="207"/>
      <c r="H3005" s="207"/>
      <c r="I3005" s="51"/>
      <c r="J3005" s="308"/>
      <c r="K3005" s="308"/>
      <c r="L3005" s="308"/>
      <c r="M3005" s="308"/>
      <c r="N3005" s="308"/>
      <c r="O3005" s="308"/>
      <c r="P3005" s="308"/>
      <c r="Q3005" s="309"/>
    </row>
    <row r="3006" spans="4:17" s="62" customFormat="1" x14ac:dyDescent="0.3">
      <c r="D3006" s="796" t="s">
        <v>1617</v>
      </c>
      <c r="E3006" s="797"/>
      <c r="F3006" s="797"/>
      <c r="G3006" s="797"/>
      <c r="H3006" s="797"/>
      <c r="I3006" s="47">
        <f t="shared" ref="I3006:Q3006" si="3501">SUM(I3007:I3013)</f>
        <v>0</v>
      </c>
      <c r="J3006" s="47">
        <f t="shared" si="3501"/>
        <v>3.4234199999999997</v>
      </c>
      <c r="K3006" s="47">
        <f t="shared" si="3501"/>
        <v>0</v>
      </c>
      <c r="L3006" s="47">
        <f t="shared" si="3501"/>
        <v>0</v>
      </c>
      <c r="M3006" s="47">
        <f t="shared" si="3501"/>
        <v>8.2431199999999993</v>
      </c>
      <c r="N3006" s="47">
        <f t="shared" si="3501"/>
        <v>15.64875</v>
      </c>
      <c r="O3006" s="47">
        <f t="shared" si="3501"/>
        <v>0</v>
      </c>
      <c r="P3006" s="47">
        <f t="shared" si="3501"/>
        <v>0</v>
      </c>
      <c r="Q3006" s="47">
        <f t="shared" si="3501"/>
        <v>0</v>
      </c>
    </row>
    <row r="3007" spans="4:17" s="62" customFormat="1" x14ac:dyDescent="0.3">
      <c r="D3007" s="235">
        <v>1</v>
      </c>
      <c r="E3007" s="237">
        <v>19</v>
      </c>
      <c r="F3007" s="238">
        <v>5</v>
      </c>
      <c r="G3007" s="239">
        <v>1.17</v>
      </c>
      <c r="H3007" s="239">
        <f t="shared" ref="H3007:H3013" si="3502">E3007*G3007</f>
        <v>22.229999999999997</v>
      </c>
      <c r="I3007" s="131">
        <f t="shared" ref="I3007:I3013" si="3503">IF($F3007=4.2,H3007*$B$23,0)</f>
        <v>0</v>
      </c>
      <c r="J3007" s="31">
        <f t="shared" ref="J3007:J3013" si="3504">IF($F3007=5,$H3007*$B$24,0)</f>
        <v>3.4234199999999997</v>
      </c>
      <c r="K3007" s="31">
        <f t="shared" ref="K3007:K3013" si="3505">IF($F3007=6.3,$H3007*$B$25,0)</f>
        <v>0</v>
      </c>
      <c r="L3007" s="31">
        <f t="shared" ref="L3007:L3013" si="3506">IF($F3007=8,$H3007*$B$26,0)</f>
        <v>0</v>
      </c>
      <c r="M3007" s="31">
        <f t="shared" ref="M3007:M3013" si="3507">IF($F3007=10,$H3007*$B$27,0)</f>
        <v>0</v>
      </c>
      <c r="N3007" s="31">
        <f t="shared" ref="N3007:N3013" si="3508">IF($F3007=12.5,$H3007*$B$28,0)</f>
        <v>0</v>
      </c>
      <c r="O3007" s="31">
        <f t="shared" ref="O3007:O3013" si="3509">IF($F3007=16,$H3007*$B$29,0)</f>
        <v>0</v>
      </c>
      <c r="P3007" s="31">
        <f t="shared" ref="P3007:P3013" si="3510">IF($F3007=20,$H3007*$B$30,0)</f>
        <v>0</v>
      </c>
      <c r="Q3007" s="49">
        <f t="shared" ref="Q3007:Q3013" si="3511">IF($F3007=25,$H3007*$B$31,0)</f>
        <v>0</v>
      </c>
    </row>
    <row r="3008" spans="4:17" s="62" customFormat="1" x14ac:dyDescent="0.3">
      <c r="D3008" s="235">
        <v>31</v>
      </c>
      <c r="E3008" s="240">
        <v>1</v>
      </c>
      <c r="F3008" s="241">
        <v>10</v>
      </c>
      <c r="G3008" s="242">
        <v>1.61</v>
      </c>
      <c r="H3008" s="239">
        <f t="shared" si="3502"/>
        <v>1.61</v>
      </c>
      <c r="I3008" s="131">
        <f t="shared" si="3503"/>
        <v>0</v>
      </c>
      <c r="J3008" s="31">
        <f t="shared" si="3504"/>
        <v>0</v>
      </c>
      <c r="K3008" s="31">
        <f t="shared" si="3505"/>
        <v>0</v>
      </c>
      <c r="L3008" s="31">
        <f t="shared" si="3506"/>
        <v>0</v>
      </c>
      <c r="M3008" s="31">
        <f t="shared" si="3507"/>
        <v>0.99337000000000009</v>
      </c>
      <c r="N3008" s="31">
        <f t="shared" si="3508"/>
        <v>0</v>
      </c>
      <c r="O3008" s="31">
        <f t="shared" si="3509"/>
        <v>0</v>
      </c>
      <c r="P3008" s="31">
        <f t="shared" si="3510"/>
        <v>0</v>
      </c>
      <c r="Q3008" s="49">
        <f t="shared" si="3511"/>
        <v>0</v>
      </c>
    </row>
    <row r="3009" spans="4:17" s="62" customFormat="1" x14ac:dyDescent="0.3">
      <c r="D3009" s="235">
        <v>32</v>
      </c>
      <c r="E3009" s="240">
        <v>1</v>
      </c>
      <c r="F3009" s="241">
        <v>10</v>
      </c>
      <c r="G3009" s="242">
        <v>2.21</v>
      </c>
      <c r="H3009" s="239">
        <f t="shared" si="3502"/>
        <v>2.21</v>
      </c>
      <c r="I3009" s="131">
        <f t="shared" si="3503"/>
        <v>0</v>
      </c>
      <c r="J3009" s="31">
        <f t="shared" si="3504"/>
        <v>0</v>
      </c>
      <c r="K3009" s="31">
        <f t="shared" si="3505"/>
        <v>0</v>
      </c>
      <c r="L3009" s="31">
        <f t="shared" si="3506"/>
        <v>0</v>
      </c>
      <c r="M3009" s="31">
        <f t="shared" si="3507"/>
        <v>1.3635699999999999</v>
      </c>
      <c r="N3009" s="31">
        <f t="shared" si="3508"/>
        <v>0</v>
      </c>
      <c r="O3009" s="31">
        <f t="shared" si="3509"/>
        <v>0</v>
      </c>
      <c r="P3009" s="31">
        <f t="shared" si="3510"/>
        <v>0</v>
      </c>
      <c r="Q3009" s="49">
        <f t="shared" si="3511"/>
        <v>0</v>
      </c>
    </row>
    <row r="3010" spans="4:17" s="62" customFormat="1" x14ac:dyDescent="0.3">
      <c r="D3010" s="235">
        <v>33</v>
      </c>
      <c r="E3010" s="240">
        <v>2</v>
      </c>
      <c r="F3010" s="241">
        <v>10</v>
      </c>
      <c r="G3010" s="242">
        <v>4.7699999999999996</v>
      </c>
      <c r="H3010" s="239">
        <f t="shared" si="3502"/>
        <v>9.5399999999999991</v>
      </c>
      <c r="I3010" s="131">
        <f t="shared" si="3503"/>
        <v>0</v>
      </c>
      <c r="J3010" s="31">
        <f t="shared" si="3504"/>
        <v>0</v>
      </c>
      <c r="K3010" s="31">
        <f t="shared" si="3505"/>
        <v>0</v>
      </c>
      <c r="L3010" s="31">
        <f t="shared" si="3506"/>
        <v>0</v>
      </c>
      <c r="M3010" s="31">
        <f t="shared" si="3507"/>
        <v>5.8861799999999995</v>
      </c>
      <c r="N3010" s="31">
        <f t="shared" si="3508"/>
        <v>0</v>
      </c>
      <c r="O3010" s="31">
        <f t="shared" si="3509"/>
        <v>0</v>
      </c>
      <c r="P3010" s="31">
        <f t="shared" si="3510"/>
        <v>0</v>
      </c>
      <c r="Q3010" s="49">
        <f t="shared" si="3511"/>
        <v>0</v>
      </c>
    </row>
    <row r="3011" spans="4:17" s="62" customFormat="1" x14ac:dyDescent="0.3">
      <c r="D3011" s="235">
        <v>53</v>
      </c>
      <c r="E3011" s="240">
        <v>1</v>
      </c>
      <c r="F3011" s="241">
        <v>12.5</v>
      </c>
      <c r="G3011" s="242">
        <v>3.03</v>
      </c>
      <c r="H3011" s="239">
        <f t="shared" si="3502"/>
        <v>3.03</v>
      </c>
      <c r="I3011" s="131">
        <f t="shared" si="3503"/>
        <v>0</v>
      </c>
      <c r="J3011" s="31">
        <f t="shared" si="3504"/>
        <v>0</v>
      </c>
      <c r="K3011" s="31">
        <f t="shared" si="3505"/>
        <v>0</v>
      </c>
      <c r="L3011" s="31">
        <f t="shared" si="3506"/>
        <v>0</v>
      </c>
      <c r="M3011" s="31">
        <f t="shared" si="3507"/>
        <v>0</v>
      </c>
      <c r="N3011" s="31">
        <f t="shared" si="3508"/>
        <v>2.9178899999999999</v>
      </c>
      <c r="O3011" s="31">
        <f t="shared" si="3509"/>
        <v>0</v>
      </c>
      <c r="P3011" s="31">
        <f t="shared" si="3510"/>
        <v>0</v>
      </c>
      <c r="Q3011" s="49">
        <f t="shared" si="3511"/>
        <v>0</v>
      </c>
    </row>
    <row r="3012" spans="4:17" s="62" customFormat="1" x14ac:dyDescent="0.3">
      <c r="D3012" s="235">
        <v>54</v>
      </c>
      <c r="E3012" s="240">
        <v>1</v>
      </c>
      <c r="F3012" s="241">
        <v>12.5</v>
      </c>
      <c r="G3012" s="242">
        <v>4.3600000000000003</v>
      </c>
      <c r="H3012" s="239">
        <f t="shared" si="3502"/>
        <v>4.3600000000000003</v>
      </c>
      <c r="I3012" s="131">
        <f t="shared" si="3503"/>
        <v>0</v>
      </c>
      <c r="J3012" s="31">
        <f t="shared" si="3504"/>
        <v>0</v>
      </c>
      <c r="K3012" s="31">
        <f t="shared" si="3505"/>
        <v>0</v>
      </c>
      <c r="L3012" s="31">
        <f t="shared" si="3506"/>
        <v>0</v>
      </c>
      <c r="M3012" s="31">
        <f t="shared" si="3507"/>
        <v>0</v>
      </c>
      <c r="N3012" s="31">
        <f t="shared" si="3508"/>
        <v>4.1986800000000004</v>
      </c>
      <c r="O3012" s="31">
        <f t="shared" si="3509"/>
        <v>0</v>
      </c>
      <c r="P3012" s="31">
        <f t="shared" si="3510"/>
        <v>0</v>
      </c>
      <c r="Q3012" s="49">
        <f t="shared" si="3511"/>
        <v>0</v>
      </c>
    </row>
    <row r="3013" spans="4:17" s="62" customFormat="1" x14ac:dyDescent="0.3">
      <c r="D3013" s="235">
        <v>55</v>
      </c>
      <c r="E3013" s="240">
        <v>2</v>
      </c>
      <c r="F3013" s="241">
        <v>12.5</v>
      </c>
      <c r="G3013" s="242">
        <v>4.43</v>
      </c>
      <c r="H3013" s="239">
        <f t="shared" si="3502"/>
        <v>8.86</v>
      </c>
      <c r="I3013" s="131">
        <f t="shared" si="3503"/>
        <v>0</v>
      </c>
      <c r="J3013" s="31">
        <f t="shared" si="3504"/>
        <v>0</v>
      </c>
      <c r="K3013" s="31">
        <f t="shared" si="3505"/>
        <v>0</v>
      </c>
      <c r="L3013" s="31">
        <f t="shared" si="3506"/>
        <v>0</v>
      </c>
      <c r="M3013" s="31">
        <f t="shared" si="3507"/>
        <v>0</v>
      </c>
      <c r="N3013" s="31">
        <f t="shared" si="3508"/>
        <v>8.5321799999999985</v>
      </c>
      <c r="O3013" s="31">
        <f t="shared" si="3509"/>
        <v>0</v>
      </c>
      <c r="P3013" s="31">
        <f t="shared" si="3510"/>
        <v>0</v>
      </c>
      <c r="Q3013" s="49">
        <f t="shared" si="3511"/>
        <v>0</v>
      </c>
    </row>
    <row r="3014" spans="4:17" s="62" customFormat="1" ht="15" thickBot="1" x14ac:dyDescent="0.35">
      <c r="D3014" s="307"/>
      <c r="E3014" s="26"/>
      <c r="F3014" s="206"/>
      <c r="G3014" s="207"/>
      <c r="H3014" s="207"/>
      <c r="I3014" s="51"/>
      <c r="J3014" s="308"/>
      <c r="K3014" s="308"/>
      <c r="L3014" s="308"/>
      <c r="M3014" s="308"/>
      <c r="N3014" s="308"/>
      <c r="O3014" s="308"/>
      <c r="P3014" s="308"/>
      <c r="Q3014" s="309"/>
    </row>
    <row r="3015" spans="4:17" s="62" customFormat="1" x14ac:dyDescent="0.3">
      <c r="D3015" s="796" t="s">
        <v>1618</v>
      </c>
      <c r="E3015" s="797"/>
      <c r="F3015" s="797"/>
      <c r="G3015" s="797"/>
      <c r="H3015" s="797"/>
      <c r="I3015" s="47">
        <f t="shared" ref="I3015:Q3015" si="3512">SUM(I3016:I3019)</f>
        <v>0</v>
      </c>
      <c r="J3015" s="47">
        <f t="shared" si="3512"/>
        <v>1.0810799999999998</v>
      </c>
      <c r="K3015" s="47">
        <f t="shared" si="3512"/>
        <v>0</v>
      </c>
      <c r="L3015" s="47">
        <f t="shared" si="3512"/>
        <v>3.6814</v>
      </c>
      <c r="M3015" s="47">
        <f t="shared" si="3512"/>
        <v>1.9497200000000001</v>
      </c>
      <c r="N3015" s="47">
        <f t="shared" si="3512"/>
        <v>0</v>
      </c>
      <c r="O3015" s="47">
        <f t="shared" si="3512"/>
        <v>0</v>
      </c>
      <c r="P3015" s="47">
        <f t="shared" si="3512"/>
        <v>0</v>
      </c>
      <c r="Q3015" s="47">
        <f t="shared" si="3512"/>
        <v>0</v>
      </c>
    </row>
    <row r="3016" spans="4:17" s="62" customFormat="1" x14ac:dyDescent="0.3">
      <c r="D3016" s="235">
        <v>1</v>
      </c>
      <c r="E3016" s="237">
        <f>2*3</f>
        <v>6</v>
      </c>
      <c r="F3016" s="238">
        <v>5</v>
      </c>
      <c r="G3016" s="239">
        <v>1.17</v>
      </c>
      <c r="H3016" s="239">
        <f t="shared" ref="H3016:H3019" si="3513">E3016*G3016</f>
        <v>7.02</v>
      </c>
      <c r="I3016" s="131">
        <f t="shared" ref="I3016:I3019" si="3514">IF($F3016=4.2,H3016*$B$23,0)</f>
        <v>0</v>
      </c>
      <c r="J3016" s="31">
        <f t="shared" ref="J3016:J3019" si="3515">IF($F3016=5,$H3016*$B$24,0)</f>
        <v>1.0810799999999998</v>
      </c>
      <c r="K3016" s="31">
        <f t="shared" ref="K3016:K3019" si="3516">IF($F3016=6.3,$H3016*$B$25,0)</f>
        <v>0</v>
      </c>
      <c r="L3016" s="31">
        <f t="shared" ref="L3016:L3019" si="3517">IF($F3016=8,$H3016*$B$26,0)</f>
        <v>0</v>
      </c>
      <c r="M3016" s="31">
        <f t="shared" ref="M3016:M3019" si="3518">IF($F3016=10,$H3016*$B$27,0)</f>
        <v>0</v>
      </c>
      <c r="N3016" s="31">
        <f t="shared" ref="N3016:N3019" si="3519">IF($F3016=12.5,$H3016*$B$28,0)</f>
        <v>0</v>
      </c>
      <c r="O3016" s="31">
        <f t="shared" ref="O3016:O3019" si="3520">IF($F3016=16,$H3016*$B$29,0)</f>
        <v>0</v>
      </c>
      <c r="P3016" s="31">
        <f t="shared" ref="P3016:P3019" si="3521">IF($F3016=20,$H3016*$B$30,0)</f>
        <v>0</v>
      </c>
      <c r="Q3016" s="49">
        <f t="shared" ref="Q3016:Q3019" si="3522">IF($F3016=25,$H3016*$B$31,0)</f>
        <v>0</v>
      </c>
    </row>
    <row r="3017" spans="4:17" s="62" customFormat="1" x14ac:dyDescent="0.3">
      <c r="D3017" s="235">
        <v>10</v>
      </c>
      <c r="E3017" s="240">
        <f>2*4</f>
        <v>8</v>
      </c>
      <c r="F3017" s="241">
        <v>8</v>
      </c>
      <c r="G3017" s="242">
        <v>0.82</v>
      </c>
      <c r="H3017" s="239">
        <f t="shared" si="3513"/>
        <v>6.56</v>
      </c>
      <c r="I3017" s="131">
        <f t="shared" si="3514"/>
        <v>0</v>
      </c>
      <c r="J3017" s="31">
        <f t="shared" si="3515"/>
        <v>0</v>
      </c>
      <c r="K3017" s="31">
        <f t="shared" si="3516"/>
        <v>0</v>
      </c>
      <c r="L3017" s="31">
        <f t="shared" si="3517"/>
        <v>2.5912000000000002</v>
      </c>
      <c r="M3017" s="31">
        <f t="shared" si="3518"/>
        <v>0</v>
      </c>
      <c r="N3017" s="31">
        <f t="shared" si="3519"/>
        <v>0</v>
      </c>
      <c r="O3017" s="31">
        <f t="shared" si="3520"/>
        <v>0</v>
      </c>
      <c r="P3017" s="31">
        <f t="shared" si="3521"/>
        <v>0</v>
      </c>
      <c r="Q3017" s="49">
        <f t="shared" si="3522"/>
        <v>0</v>
      </c>
    </row>
    <row r="3018" spans="4:17" s="62" customFormat="1" x14ac:dyDescent="0.3">
      <c r="D3018" s="235">
        <v>11</v>
      </c>
      <c r="E3018" s="240">
        <f>2*2</f>
        <v>4</v>
      </c>
      <c r="F3018" s="241">
        <v>8</v>
      </c>
      <c r="G3018" s="242">
        <v>0.69</v>
      </c>
      <c r="H3018" s="239">
        <f t="shared" si="3513"/>
        <v>2.76</v>
      </c>
      <c r="I3018" s="131">
        <f t="shared" si="3514"/>
        <v>0</v>
      </c>
      <c r="J3018" s="31">
        <f t="shared" si="3515"/>
        <v>0</v>
      </c>
      <c r="K3018" s="31">
        <f t="shared" si="3516"/>
        <v>0</v>
      </c>
      <c r="L3018" s="31">
        <f t="shared" si="3517"/>
        <v>1.0902000000000001</v>
      </c>
      <c r="M3018" s="31">
        <f t="shared" si="3518"/>
        <v>0</v>
      </c>
      <c r="N3018" s="31">
        <f t="shared" si="3519"/>
        <v>0</v>
      </c>
      <c r="O3018" s="31">
        <f t="shared" si="3520"/>
        <v>0</v>
      </c>
      <c r="P3018" s="31">
        <f t="shared" si="3521"/>
        <v>0</v>
      </c>
      <c r="Q3018" s="49">
        <f t="shared" si="3522"/>
        <v>0</v>
      </c>
    </row>
    <row r="3019" spans="4:17" s="62" customFormat="1" x14ac:dyDescent="0.3">
      <c r="D3019" s="235">
        <v>34</v>
      </c>
      <c r="E3019" s="240">
        <f>2*2</f>
        <v>4</v>
      </c>
      <c r="F3019" s="241">
        <v>10</v>
      </c>
      <c r="G3019" s="242">
        <v>0.79</v>
      </c>
      <c r="H3019" s="239">
        <f t="shared" si="3513"/>
        <v>3.16</v>
      </c>
      <c r="I3019" s="131">
        <f t="shared" si="3514"/>
        <v>0</v>
      </c>
      <c r="J3019" s="31">
        <f t="shared" si="3515"/>
        <v>0</v>
      </c>
      <c r="K3019" s="31">
        <f t="shared" si="3516"/>
        <v>0</v>
      </c>
      <c r="L3019" s="31">
        <f t="shared" si="3517"/>
        <v>0</v>
      </c>
      <c r="M3019" s="31">
        <f t="shared" si="3518"/>
        <v>1.9497200000000001</v>
      </c>
      <c r="N3019" s="31">
        <f t="shared" si="3519"/>
        <v>0</v>
      </c>
      <c r="O3019" s="31">
        <f t="shared" si="3520"/>
        <v>0</v>
      </c>
      <c r="P3019" s="31">
        <f t="shared" si="3521"/>
        <v>0</v>
      </c>
      <c r="Q3019" s="49">
        <f t="shared" si="3522"/>
        <v>0</v>
      </c>
    </row>
    <row r="3020" spans="4:17" s="62" customFormat="1" ht="15" thickBot="1" x14ac:dyDescent="0.35">
      <c r="D3020" s="307"/>
      <c r="E3020" s="26"/>
      <c r="F3020" s="206"/>
      <c r="G3020" s="207"/>
      <c r="H3020" s="207"/>
      <c r="I3020" s="51"/>
      <c r="J3020" s="308"/>
      <c r="K3020" s="308"/>
      <c r="L3020" s="308"/>
      <c r="M3020" s="308"/>
      <c r="N3020" s="308"/>
      <c r="O3020" s="308"/>
      <c r="P3020" s="308"/>
      <c r="Q3020" s="309"/>
    </row>
    <row r="3021" spans="4:17" s="62" customFormat="1" x14ac:dyDescent="0.3">
      <c r="D3021" s="796" t="s">
        <v>1619</v>
      </c>
      <c r="E3021" s="797"/>
      <c r="F3021" s="797"/>
      <c r="G3021" s="797"/>
      <c r="H3021" s="797"/>
      <c r="I3021" s="47">
        <f t="shared" ref="I3021:Q3021" si="3523">SUM(I3022:I3033)</f>
        <v>0</v>
      </c>
      <c r="J3021" s="47">
        <f t="shared" si="3523"/>
        <v>9.1891799999999986</v>
      </c>
      <c r="K3021" s="47">
        <f t="shared" si="3523"/>
        <v>0</v>
      </c>
      <c r="L3021" s="47">
        <f t="shared" si="3523"/>
        <v>0</v>
      </c>
      <c r="M3021" s="47">
        <f t="shared" si="3523"/>
        <v>30.590859999999999</v>
      </c>
      <c r="N3021" s="47">
        <f t="shared" si="3523"/>
        <v>36.863639999999997</v>
      </c>
      <c r="O3021" s="47">
        <f t="shared" si="3523"/>
        <v>0</v>
      </c>
      <c r="P3021" s="47">
        <f t="shared" si="3523"/>
        <v>0</v>
      </c>
      <c r="Q3021" s="47">
        <f t="shared" si="3523"/>
        <v>0</v>
      </c>
    </row>
    <row r="3022" spans="4:17" s="62" customFormat="1" x14ac:dyDescent="0.3">
      <c r="D3022" s="235">
        <v>1</v>
      </c>
      <c r="E3022" s="237">
        <v>51</v>
      </c>
      <c r="F3022" s="238">
        <v>5</v>
      </c>
      <c r="G3022" s="239">
        <v>1.17</v>
      </c>
      <c r="H3022" s="239">
        <f t="shared" ref="H3022:H3033" si="3524">E3022*G3022</f>
        <v>59.669999999999995</v>
      </c>
      <c r="I3022" s="131">
        <f t="shared" ref="I3022:I3033" si="3525">IF($F3022=4.2,H3022*$B$23,0)</f>
        <v>0</v>
      </c>
      <c r="J3022" s="31">
        <f t="shared" ref="J3022:J3033" si="3526">IF($F3022=5,$H3022*$B$24,0)</f>
        <v>9.1891799999999986</v>
      </c>
      <c r="K3022" s="31">
        <f t="shared" ref="K3022:K3033" si="3527">IF($F3022=6.3,$H3022*$B$25,0)</f>
        <v>0</v>
      </c>
      <c r="L3022" s="31">
        <f t="shared" ref="L3022:L3033" si="3528">IF($F3022=8,$H3022*$B$26,0)</f>
        <v>0</v>
      </c>
      <c r="M3022" s="31">
        <f t="shared" ref="M3022:M3033" si="3529">IF($F3022=10,$H3022*$B$27,0)</f>
        <v>0</v>
      </c>
      <c r="N3022" s="31">
        <f t="shared" ref="N3022:N3033" si="3530">IF($F3022=12.5,$H3022*$B$28,0)</f>
        <v>0</v>
      </c>
      <c r="O3022" s="31">
        <f t="shared" ref="O3022:O3033" si="3531">IF($F3022=16,$H3022*$B$29,0)</f>
        <v>0</v>
      </c>
      <c r="P3022" s="31">
        <f t="shared" ref="P3022:P3033" si="3532">IF($F3022=20,$H3022*$B$30,0)</f>
        <v>0</v>
      </c>
      <c r="Q3022" s="49">
        <f t="shared" ref="Q3022:Q3033" si="3533">IF($F3022=25,$H3022*$B$31,0)</f>
        <v>0</v>
      </c>
    </row>
    <row r="3023" spans="4:17" s="62" customFormat="1" x14ac:dyDescent="0.3">
      <c r="D3023" s="235">
        <v>24</v>
      </c>
      <c r="E3023" s="240">
        <v>3</v>
      </c>
      <c r="F3023" s="241">
        <v>10</v>
      </c>
      <c r="G3023" s="242">
        <v>1.62</v>
      </c>
      <c r="H3023" s="239">
        <f t="shared" si="3524"/>
        <v>4.8600000000000003</v>
      </c>
      <c r="I3023" s="131">
        <f t="shared" si="3525"/>
        <v>0</v>
      </c>
      <c r="J3023" s="31">
        <f t="shared" si="3526"/>
        <v>0</v>
      </c>
      <c r="K3023" s="31">
        <f t="shared" si="3527"/>
        <v>0</v>
      </c>
      <c r="L3023" s="31">
        <f t="shared" si="3528"/>
        <v>0</v>
      </c>
      <c r="M3023" s="31">
        <f t="shared" si="3529"/>
        <v>2.9986200000000003</v>
      </c>
      <c r="N3023" s="31">
        <f t="shared" si="3530"/>
        <v>0</v>
      </c>
      <c r="O3023" s="31">
        <f t="shared" si="3531"/>
        <v>0</v>
      </c>
      <c r="P3023" s="31">
        <f t="shared" si="3532"/>
        <v>0</v>
      </c>
      <c r="Q3023" s="49">
        <f t="shared" si="3533"/>
        <v>0</v>
      </c>
    </row>
    <row r="3024" spans="4:17" s="62" customFormat="1" x14ac:dyDescent="0.3">
      <c r="D3024" s="235">
        <v>26</v>
      </c>
      <c r="E3024" s="240">
        <v>2</v>
      </c>
      <c r="F3024" s="241">
        <v>10</v>
      </c>
      <c r="G3024" s="242">
        <v>10.74</v>
      </c>
      <c r="H3024" s="239">
        <f t="shared" si="3524"/>
        <v>21.48</v>
      </c>
      <c r="I3024" s="131">
        <f t="shared" si="3525"/>
        <v>0</v>
      </c>
      <c r="J3024" s="31">
        <f t="shared" si="3526"/>
        <v>0</v>
      </c>
      <c r="K3024" s="31">
        <f t="shared" si="3527"/>
        <v>0</v>
      </c>
      <c r="L3024" s="31">
        <f t="shared" si="3528"/>
        <v>0</v>
      </c>
      <c r="M3024" s="31">
        <f t="shared" si="3529"/>
        <v>13.253159999999999</v>
      </c>
      <c r="N3024" s="31">
        <f t="shared" si="3530"/>
        <v>0</v>
      </c>
      <c r="O3024" s="31">
        <f t="shared" si="3531"/>
        <v>0</v>
      </c>
      <c r="P3024" s="31">
        <f t="shared" si="3532"/>
        <v>0</v>
      </c>
      <c r="Q3024" s="49">
        <f t="shared" si="3533"/>
        <v>0</v>
      </c>
    </row>
    <row r="3025" spans="4:17" s="62" customFormat="1" x14ac:dyDescent="0.3">
      <c r="D3025" s="235">
        <v>35</v>
      </c>
      <c r="E3025" s="240">
        <v>2</v>
      </c>
      <c r="F3025" s="241">
        <v>10</v>
      </c>
      <c r="G3025" s="242">
        <v>2.8</v>
      </c>
      <c r="H3025" s="239">
        <f t="shared" si="3524"/>
        <v>5.6</v>
      </c>
      <c r="I3025" s="131">
        <f t="shared" si="3525"/>
        <v>0</v>
      </c>
      <c r="J3025" s="31">
        <f t="shared" si="3526"/>
        <v>0</v>
      </c>
      <c r="K3025" s="31">
        <f t="shared" si="3527"/>
        <v>0</v>
      </c>
      <c r="L3025" s="31">
        <f t="shared" si="3528"/>
        <v>0</v>
      </c>
      <c r="M3025" s="31">
        <f t="shared" si="3529"/>
        <v>3.4551999999999996</v>
      </c>
      <c r="N3025" s="31">
        <f t="shared" si="3530"/>
        <v>0</v>
      </c>
      <c r="O3025" s="31">
        <f t="shared" si="3531"/>
        <v>0</v>
      </c>
      <c r="P3025" s="31">
        <f t="shared" si="3532"/>
        <v>0</v>
      </c>
      <c r="Q3025" s="49">
        <f t="shared" si="3533"/>
        <v>0</v>
      </c>
    </row>
    <row r="3026" spans="4:17" s="62" customFormat="1" x14ac:dyDescent="0.3">
      <c r="D3026" s="235">
        <v>36</v>
      </c>
      <c r="E3026" s="240">
        <v>2</v>
      </c>
      <c r="F3026" s="241">
        <v>10</v>
      </c>
      <c r="G3026" s="242">
        <v>3.4</v>
      </c>
      <c r="H3026" s="239">
        <f t="shared" si="3524"/>
        <v>6.8</v>
      </c>
      <c r="I3026" s="131">
        <f t="shared" si="3525"/>
        <v>0</v>
      </c>
      <c r="J3026" s="31">
        <f t="shared" si="3526"/>
        <v>0</v>
      </c>
      <c r="K3026" s="31">
        <f t="shared" si="3527"/>
        <v>0</v>
      </c>
      <c r="L3026" s="31">
        <f t="shared" si="3528"/>
        <v>0</v>
      </c>
      <c r="M3026" s="31">
        <f t="shared" si="3529"/>
        <v>4.1955999999999998</v>
      </c>
      <c r="N3026" s="31">
        <f t="shared" si="3530"/>
        <v>0</v>
      </c>
      <c r="O3026" s="31">
        <f t="shared" si="3531"/>
        <v>0</v>
      </c>
      <c r="P3026" s="31">
        <f t="shared" si="3532"/>
        <v>0</v>
      </c>
      <c r="Q3026" s="49">
        <f t="shared" si="3533"/>
        <v>0</v>
      </c>
    </row>
    <row r="3027" spans="4:17" s="62" customFormat="1" x14ac:dyDescent="0.3">
      <c r="D3027" s="235">
        <v>37</v>
      </c>
      <c r="E3027" s="240">
        <v>1</v>
      </c>
      <c r="F3027" s="241">
        <v>10</v>
      </c>
      <c r="G3027" s="242">
        <v>6.4</v>
      </c>
      <c r="H3027" s="239">
        <f t="shared" si="3524"/>
        <v>6.4</v>
      </c>
      <c r="I3027" s="131">
        <f t="shared" si="3525"/>
        <v>0</v>
      </c>
      <c r="J3027" s="31">
        <f t="shared" si="3526"/>
        <v>0</v>
      </c>
      <c r="K3027" s="31">
        <f t="shared" si="3527"/>
        <v>0</v>
      </c>
      <c r="L3027" s="31">
        <f t="shared" si="3528"/>
        <v>0</v>
      </c>
      <c r="M3027" s="31">
        <f t="shared" si="3529"/>
        <v>3.9488000000000003</v>
      </c>
      <c r="N3027" s="31">
        <f t="shared" si="3530"/>
        <v>0</v>
      </c>
      <c r="O3027" s="31">
        <f t="shared" si="3531"/>
        <v>0</v>
      </c>
      <c r="P3027" s="31">
        <f t="shared" si="3532"/>
        <v>0</v>
      </c>
      <c r="Q3027" s="49">
        <f t="shared" si="3533"/>
        <v>0</v>
      </c>
    </row>
    <row r="3028" spans="4:17" s="62" customFormat="1" x14ac:dyDescent="0.3">
      <c r="D3028" s="235">
        <v>38</v>
      </c>
      <c r="E3028" s="240">
        <v>2</v>
      </c>
      <c r="F3028" s="241">
        <v>10</v>
      </c>
      <c r="G3028" s="242">
        <v>2.2200000000000002</v>
      </c>
      <c r="H3028" s="239">
        <f t="shared" si="3524"/>
        <v>4.4400000000000004</v>
      </c>
      <c r="I3028" s="131">
        <f t="shared" si="3525"/>
        <v>0</v>
      </c>
      <c r="J3028" s="31">
        <f t="shared" si="3526"/>
        <v>0</v>
      </c>
      <c r="K3028" s="31">
        <f t="shared" si="3527"/>
        <v>0</v>
      </c>
      <c r="L3028" s="31">
        <f t="shared" si="3528"/>
        <v>0</v>
      </c>
      <c r="M3028" s="31">
        <f t="shared" si="3529"/>
        <v>2.7394800000000004</v>
      </c>
      <c r="N3028" s="31">
        <f t="shared" si="3530"/>
        <v>0</v>
      </c>
      <c r="O3028" s="31">
        <f t="shared" si="3531"/>
        <v>0</v>
      </c>
      <c r="P3028" s="31">
        <f t="shared" si="3532"/>
        <v>0</v>
      </c>
      <c r="Q3028" s="49">
        <f t="shared" si="3533"/>
        <v>0</v>
      </c>
    </row>
    <row r="3029" spans="4:17" s="62" customFormat="1" x14ac:dyDescent="0.3">
      <c r="D3029" s="235">
        <v>44</v>
      </c>
      <c r="E3029" s="240">
        <v>1</v>
      </c>
      <c r="F3029" s="241">
        <v>12.5</v>
      </c>
      <c r="G3029" s="242">
        <v>3.08</v>
      </c>
      <c r="H3029" s="239">
        <f t="shared" si="3524"/>
        <v>3.08</v>
      </c>
      <c r="I3029" s="131">
        <f t="shared" si="3525"/>
        <v>0</v>
      </c>
      <c r="J3029" s="31">
        <f t="shared" si="3526"/>
        <v>0</v>
      </c>
      <c r="K3029" s="31">
        <f t="shared" si="3527"/>
        <v>0</v>
      </c>
      <c r="L3029" s="31">
        <f t="shared" si="3528"/>
        <v>0</v>
      </c>
      <c r="M3029" s="31">
        <f t="shared" si="3529"/>
        <v>0</v>
      </c>
      <c r="N3029" s="31">
        <f t="shared" si="3530"/>
        <v>2.96604</v>
      </c>
      <c r="O3029" s="31">
        <f t="shared" si="3531"/>
        <v>0</v>
      </c>
      <c r="P3029" s="31">
        <f t="shared" si="3532"/>
        <v>0</v>
      </c>
      <c r="Q3029" s="49">
        <f t="shared" si="3533"/>
        <v>0</v>
      </c>
    </row>
    <row r="3030" spans="4:17" s="62" customFormat="1" x14ac:dyDescent="0.3">
      <c r="D3030" s="235">
        <v>45</v>
      </c>
      <c r="E3030" s="240">
        <v>3</v>
      </c>
      <c r="F3030" s="241">
        <v>12.5</v>
      </c>
      <c r="G3030" s="242">
        <v>10.74</v>
      </c>
      <c r="H3030" s="239">
        <f t="shared" si="3524"/>
        <v>32.22</v>
      </c>
      <c r="I3030" s="131">
        <f t="shared" si="3525"/>
        <v>0</v>
      </c>
      <c r="J3030" s="31">
        <f t="shared" si="3526"/>
        <v>0</v>
      </c>
      <c r="K3030" s="31">
        <f t="shared" si="3527"/>
        <v>0</v>
      </c>
      <c r="L3030" s="31">
        <f t="shared" si="3528"/>
        <v>0</v>
      </c>
      <c r="M3030" s="31">
        <f t="shared" si="3529"/>
        <v>0</v>
      </c>
      <c r="N3030" s="31">
        <f t="shared" si="3530"/>
        <v>31.027859999999997</v>
      </c>
      <c r="O3030" s="31">
        <f t="shared" si="3531"/>
        <v>0</v>
      </c>
      <c r="P3030" s="31">
        <f t="shared" si="3532"/>
        <v>0</v>
      </c>
      <c r="Q3030" s="49">
        <f t="shared" si="3533"/>
        <v>0</v>
      </c>
    </row>
    <row r="3031" spans="4:17" s="62" customFormat="1" x14ac:dyDescent="0.3">
      <c r="D3031" s="235">
        <v>56</v>
      </c>
      <c r="E3031" s="240">
        <v>1</v>
      </c>
      <c r="F3031" s="241">
        <v>12.5</v>
      </c>
      <c r="G3031" s="242">
        <v>2.98</v>
      </c>
      <c r="H3031" s="239">
        <f t="shared" si="3524"/>
        <v>2.98</v>
      </c>
      <c r="I3031" s="131">
        <f t="shared" si="3525"/>
        <v>0</v>
      </c>
      <c r="J3031" s="31">
        <f t="shared" si="3526"/>
        <v>0</v>
      </c>
      <c r="K3031" s="31">
        <f t="shared" si="3527"/>
        <v>0</v>
      </c>
      <c r="L3031" s="31">
        <f t="shared" si="3528"/>
        <v>0</v>
      </c>
      <c r="M3031" s="31">
        <f t="shared" si="3529"/>
        <v>0</v>
      </c>
      <c r="N3031" s="31">
        <f t="shared" si="3530"/>
        <v>2.8697399999999997</v>
      </c>
      <c r="O3031" s="31">
        <f t="shared" si="3531"/>
        <v>0</v>
      </c>
      <c r="P3031" s="31">
        <f t="shared" si="3532"/>
        <v>0</v>
      </c>
      <c r="Q3031" s="49">
        <f t="shared" si="3533"/>
        <v>0</v>
      </c>
    </row>
    <row r="3032" spans="4:17" s="62" customFormat="1" x14ac:dyDescent="0.3">
      <c r="D3032" s="235"/>
      <c r="E3032" s="240"/>
      <c r="F3032" s="241"/>
      <c r="G3032" s="242"/>
      <c r="H3032" s="239">
        <f t="shared" si="3524"/>
        <v>0</v>
      </c>
      <c r="I3032" s="131">
        <f t="shared" si="3525"/>
        <v>0</v>
      </c>
      <c r="J3032" s="31">
        <f t="shared" si="3526"/>
        <v>0</v>
      </c>
      <c r="K3032" s="31">
        <f t="shared" si="3527"/>
        <v>0</v>
      </c>
      <c r="L3032" s="31">
        <f t="shared" si="3528"/>
        <v>0</v>
      </c>
      <c r="M3032" s="31">
        <f t="shared" si="3529"/>
        <v>0</v>
      </c>
      <c r="N3032" s="31">
        <f t="shared" si="3530"/>
        <v>0</v>
      </c>
      <c r="O3032" s="31">
        <f t="shared" si="3531"/>
        <v>0</v>
      </c>
      <c r="P3032" s="31">
        <f t="shared" si="3532"/>
        <v>0</v>
      </c>
      <c r="Q3032" s="49">
        <f t="shared" si="3533"/>
        <v>0</v>
      </c>
    </row>
    <row r="3033" spans="4:17" s="62" customFormat="1" x14ac:dyDescent="0.3">
      <c r="D3033" s="235"/>
      <c r="E3033" s="240"/>
      <c r="F3033" s="241"/>
      <c r="G3033" s="242"/>
      <c r="H3033" s="239">
        <f t="shared" si="3524"/>
        <v>0</v>
      </c>
      <c r="I3033" s="131">
        <f t="shared" si="3525"/>
        <v>0</v>
      </c>
      <c r="J3033" s="31">
        <f t="shared" si="3526"/>
        <v>0</v>
      </c>
      <c r="K3033" s="31">
        <f t="shared" si="3527"/>
        <v>0</v>
      </c>
      <c r="L3033" s="31">
        <f t="shared" si="3528"/>
        <v>0</v>
      </c>
      <c r="M3033" s="31">
        <f t="shared" si="3529"/>
        <v>0</v>
      </c>
      <c r="N3033" s="31">
        <f t="shared" si="3530"/>
        <v>0</v>
      </c>
      <c r="O3033" s="31">
        <f t="shared" si="3531"/>
        <v>0</v>
      </c>
      <c r="P3033" s="31">
        <f t="shared" si="3532"/>
        <v>0</v>
      </c>
      <c r="Q3033" s="49">
        <f t="shared" si="3533"/>
        <v>0</v>
      </c>
    </row>
    <row r="3034" spans="4:17" s="62" customFormat="1" ht="15" thickBot="1" x14ac:dyDescent="0.35">
      <c r="D3034" s="307"/>
      <c r="E3034" s="26"/>
      <c r="F3034" s="206"/>
      <c r="G3034" s="207"/>
      <c r="H3034" s="207"/>
      <c r="I3034" s="51"/>
      <c r="J3034" s="308"/>
      <c r="K3034" s="308"/>
      <c r="L3034" s="308"/>
      <c r="M3034" s="308"/>
      <c r="N3034" s="308"/>
      <c r="O3034" s="308"/>
      <c r="P3034" s="308"/>
      <c r="Q3034" s="309"/>
    </row>
    <row r="3035" spans="4:17" s="62" customFormat="1" x14ac:dyDescent="0.3">
      <c r="D3035" s="796" t="s">
        <v>1620</v>
      </c>
      <c r="E3035" s="797"/>
      <c r="F3035" s="797"/>
      <c r="G3035" s="797"/>
      <c r="H3035" s="797"/>
      <c r="I3035" s="47">
        <f t="shared" ref="I3035:Q3035" si="3534">SUM(I3036:I3039)</f>
        <v>0</v>
      </c>
      <c r="J3035" s="47">
        <f t="shared" si="3534"/>
        <v>1.6216199999999998</v>
      </c>
      <c r="K3035" s="47">
        <f t="shared" si="3534"/>
        <v>0</v>
      </c>
      <c r="L3035" s="47">
        <f t="shared" si="3534"/>
        <v>0</v>
      </c>
      <c r="M3035" s="47">
        <f t="shared" si="3534"/>
        <v>5.8861799999999995</v>
      </c>
      <c r="N3035" s="47">
        <f t="shared" si="3534"/>
        <v>4.4875800000000003</v>
      </c>
      <c r="O3035" s="47">
        <f t="shared" si="3534"/>
        <v>0</v>
      </c>
      <c r="P3035" s="47">
        <f t="shared" si="3534"/>
        <v>0</v>
      </c>
      <c r="Q3035" s="47">
        <f t="shared" si="3534"/>
        <v>0</v>
      </c>
    </row>
    <row r="3036" spans="4:17" s="62" customFormat="1" x14ac:dyDescent="0.3">
      <c r="D3036" s="235">
        <v>1</v>
      </c>
      <c r="E3036" s="237">
        <v>9</v>
      </c>
      <c r="F3036" s="238">
        <v>5</v>
      </c>
      <c r="G3036" s="239">
        <v>1.17</v>
      </c>
      <c r="H3036" s="239">
        <f t="shared" ref="H3036:H3039" si="3535">E3036*G3036</f>
        <v>10.53</v>
      </c>
      <c r="I3036" s="131">
        <f t="shared" ref="I3036:I3039" si="3536">IF($F3036=4.2,H3036*$B$23,0)</f>
        <v>0</v>
      </c>
      <c r="J3036" s="31">
        <f t="shared" ref="J3036:J3039" si="3537">IF($F3036=5,$H3036*$B$24,0)</f>
        <v>1.6216199999999998</v>
      </c>
      <c r="K3036" s="31">
        <f t="shared" ref="K3036:K3039" si="3538">IF($F3036=6.3,$H3036*$B$25,0)</f>
        <v>0</v>
      </c>
      <c r="L3036" s="31">
        <f t="shared" ref="L3036:L3039" si="3539">IF($F3036=8,$H3036*$B$26,0)</f>
        <v>0</v>
      </c>
      <c r="M3036" s="31">
        <f t="shared" ref="M3036:M3039" si="3540">IF($F3036=10,$H3036*$B$27,0)</f>
        <v>0</v>
      </c>
      <c r="N3036" s="31">
        <f t="shared" ref="N3036:N3039" si="3541">IF($F3036=12.5,$H3036*$B$28,0)</f>
        <v>0</v>
      </c>
      <c r="O3036" s="31">
        <f t="shared" ref="O3036:O3039" si="3542">IF($F3036=16,$H3036*$B$29,0)</f>
        <v>0</v>
      </c>
      <c r="P3036" s="31">
        <f t="shared" ref="P3036:P3039" si="3543">IF($F3036=20,$H3036*$B$30,0)</f>
        <v>0</v>
      </c>
      <c r="Q3036" s="49">
        <f t="shared" ref="Q3036:Q3039" si="3544">IF($F3036=25,$H3036*$B$31,0)</f>
        <v>0</v>
      </c>
    </row>
    <row r="3037" spans="4:17" s="62" customFormat="1" x14ac:dyDescent="0.3">
      <c r="D3037" s="235">
        <v>39</v>
      </c>
      <c r="E3037" s="240">
        <v>2</v>
      </c>
      <c r="F3037" s="241">
        <v>10</v>
      </c>
      <c r="G3037" s="242">
        <v>1.91</v>
      </c>
      <c r="H3037" s="239">
        <f t="shared" si="3535"/>
        <v>3.82</v>
      </c>
      <c r="I3037" s="131">
        <f t="shared" si="3536"/>
        <v>0</v>
      </c>
      <c r="J3037" s="31">
        <f t="shared" si="3537"/>
        <v>0</v>
      </c>
      <c r="K3037" s="31">
        <f t="shared" si="3538"/>
        <v>0</v>
      </c>
      <c r="L3037" s="31">
        <f t="shared" si="3539"/>
        <v>0</v>
      </c>
      <c r="M3037" s="31">
        <f t="shared" si="3540"/>
        <v>2.3569399999999998</v>
      </c>
      <c r="N3037" s="31">
        <f t="shared" si="3541"/>
        <v>0</v>
      </c>
      <c r="O3037" s="31">
        <f t="shared" si="3542"/>
        <v>0</v>
      </c>
      <c r="P3037" s="31">
        <f t="shared" si="3543"/>
        <v>0</v>
      </c>
      <c r="Q3037" s="49">
        <f t="shared" si="3544"/>
        <v>0</v>
      </c>
    </row>
    <row r="3038" spans="4:17" s="62" customFormat="1" x14ac:dyDescent="0.3">
      <c r="D3038" s="235">
        <v>40</v>
      </c>
      <c r="E3038" s="240">
        <v>2</v>
      </c>
      <c r="F3038" s="241">
        <v>10</v>
      </c>
      <c r="G3038" s="242">
        <v>2.86</v>
      </c>
      <c r="H3038" s="239">
        <f t="shared" si="3535"/>
        <v>5.72</v>
      </c>
      <c r="I3038" s="131">
        <f t="shared" si="3536"/>
        <v>0</v>
      </c>
      <c r="J3038" s="31">
        <f t="shared" si="3537"/>
        <v>0</v>
      </c>
      <c r="K3038" s="31">
        <f t="shared" si="3538"/>
        <v>0</v>
      </c>
      <c r="L3038" s="31">
        <f t="shared" si="3539"/>
        <v>0</v>
      </c>
      <c r="M3038" s="31">
        <f t="shared" si="3540"/>
        <v>3.5292399999999997</v>
      </c>
      <c r="N3038" s="31">
        <f t="shared" si="3541"/>
        <v>0</v>
      </c>
      <c r="O3038" s="31">
        <f t="shared" si="3542"/>
        <v>0</v>
      </c>
      <c r="P3038" s="31">
        <f t="shared" si="3543"/>
        <v>0</v>
      </c>
      <c r="Q3038" s="49">
        <f t="shared" si="3544"/>
        <v>0</v>
      </c>
    </row>
    <row r="3039" spans="4:17" s="62" customFormat="1" x14ac:dyDescent="0.3">
      <c r="D3039" s="235">
        <v>52</v>
      </c>
      <c r="E3039" s="240">
        <v>2</v>
      </c>
      <c r="F3039" s="241">
        <v>12.5</v>
      </c>
      <c r="G3039" s="242">
        <v>2.33</v>
      </c>
      <c r="H3039" s="239">
        <f t="shared" si="3535"/>
        <v>4.66</v>
      </c>
      <c r="I3039" s="131">
        <f t="shared" si="3536"/>
        <v>0</v>
      </c>
      <c r="J3039" s="31">
        <f t="shared" si="3537"/>
        <v>0</v>
      </c>
      <c r="K3039" s="31">
        <f t="shared" si="3538"/>
        <v>0</v>
      </c>
      <c r="L3039" s="31">
        <f t="shared" si="3539"/>
        <v>0</v>
      </c>
      <c r="M3039" s="31">
        <f t="shared" si="3540"/>
        <v>0</v>
      </c>
      <c r="N3039" s="31">
        <f t="shared" si="3541"/>
        <v>4.4875800000000003</v>
      </c>
      <c r="O3039" s="31">
        <f t="shared" si="3542"/>
        <v>0</v>
      </c>
      <c r="P3039" s="31">
        <f t="shared" si="3543"/>
        <v>0</v>
      </c>
      <c r="Q3039" s="49">
        <f t="shared" si="3544"/>
        <v>0</v>
      </c>
    </row>
    <row r="3040" spans="4:17" s="62" customFormat="1" ht="15" thickBot="1" x14ac:dyDescent="0.35">
      <c r="D3040" s="307"/>
      <c r="E3040" s="26"/>
      <c r="F3040" s="206"/>
      <c r="G3040" s="207"/>
      <c r="H3040" s="207"/>
      <c r="I3040" s="51"/>
      <c r="J3040" s="308"/>
      <c r="K3040" s="308"/>
      <c r="L3040" s="308"/>
      <c r="M3040" s="308"/>
      <c r="N3040" s="308"/>
      <c r="O3040" s="308"/>
      <c r="P3040" s="308"/>
      <c r="Q3040" s="309"/>
    </row>
    <row r="3041" spans="4:17" s="62" customFormat="1" x14ac:dyDescent="0.3">
      <c r="D3041" s="796" t="s">
        <v>1621</v>
      </c>
      <c r="E3041" s="797"/>
      <c r="F3041" s="797"/>
      <c r="G3041" s="797"/>
      <c r="H3041" s="797"/>
      <c r="I3041" s="47">
        <f t="shared" ref="I3041:Q3041" si="3545">SUM(I3042:I3048)</f>
        <v>0</v>
      </c>
      <c r="J3041" s="47">
        <f t="shared" si="3545"/>
        <v>3.4234199999999997</v>
      </c>
      <c r="K3041" s="47">
        <f t="shared" si="3545"/>
        <v>0</v>
      </c>
      <c r="L3041" s="47">
        <f t="shared" si="3545"/>
        <v>0</v>
      </c>
      <c r="M3041" s="47">
        <f t="shared" si="3545"/>
        <v>8.2554599999999994</v>
      </c>
      <c r="N3041" s="47">
        <f t="shared" si="3545"/>
        <v>15.64875</v>
      </c>
      <c r="O3041" s="47">
        <f t="shared" si="3545"/>
        <v>0</v>
      </c>
      <c r="P3041" s="47">
        <f t="shared" si="3545"/>
        <v>0</v>
      </c>
      <c r="Q3041" s="47">
        <f t="shared" si="3545"/>
        <v>0</v>
      </c>
    </row>
    <row r="3042" spans="4:17" s="62" customFormat="1" x14ac:dyDescent="0.3">
      <c r="D3042" s="235">
        <v>1</v>
      </c>
      <c r="E3042" s="237">
        <v>19</v>
      </c>
      <c r="F3042" s="238">
        <v>5</v>
      </c>
      <c r="G3042" s="239">
        <v>1.17</v>
      </c>
      <c r="H3042" s="239">
        <f t="shared" ref="H3042:H3048" si="3546">E3042*G3042</f>
        <v>22.229999999999997</v>
      </c>
      <c r="I3042" s="131">
        <f t="shared" ref="I3042:I3048" si="3547">IF($F3042=4.2,H3042*$B$23,0)</f>
        <v>0</v>
      </c>
      <c r="J3042" s="31">
        <f t="shared" ref="J3042:J3048" si="3548">IF($F3042=5,$H3042*$B$24,0)</f>
        <v>3.4234199999999997</v>
      </c>
      <c r="K3042" s="31">
        <f t="shared" ref="K3042:K3048" si="3549">IF($F3042=6.3,$H3042*$B$25,0)</f>
        <v>0</v>
      </c>
      <c r="L3042" s="31">
        <f t="shared" ref="L3042:L3048" si="3550">IF($F3042=8,$H3042*$B$26,0)</f>
        <v>0</v>
      </c>
      <c r="M3042" s="31">
        <f t="shared" ref="M3042:M3048" si="3551">IF($F3042=10,$H3042*$B$27,0)</f>
        <v>0</v>
      </c>
      <c r="N3042" s="31">
        <f t="shared" ref="N3042:N3048" si="3552">IF($F3042=12.5,$H3042*$B$28,0)</f>
        <v>0</v>
      </c>
      <c r="O3042" s="31">
        <f t="shared" ref="O3042:O3048" si="3553">IF($F3042=16,$H3042*$B$29,0)</f>
        <v>0</v>
      </c>
      <c r="P3042" s="31">
        <f t="shared" ref="P3042:P3048" si="3554">IF($F3042=20,$H3042*$B$30,0)</f>
        <v>0</v>
      </c>
      <c r="Q3042" s="49">
        <f t="shared" ref="Q3042:Q3048" si="3555">IF($F3042=25,$H3042*$B$31,0)</f>
        <v>0</v>
      </c>
    </row>
    <row r="3043" spans="4:17" s="62" customFormat="1" x14ac:dyDescent="0.3">
      <c r="D3043" s="235">
        <v>31</v>
      </c>
      <c r="E3043" s="240">
        <v>1</v>
      </c>
      <c r="F3043" s="241">
        <v>10</v>
      </c>
      <c r="G3043" s="242">
        <v>1.61</v>
      </c>
      <c r="H3043" s="239">
        <f t="shared" si="3546"/>
        <v>1.61</v>
      </c>
      <c r="I3043" s="131">
        <f t="shared" si="3547"/>
        <v>0</v>
      </c>
      <c r="J3043" s="31">
        <f t="shared" si="3548"/>
        <v>0</v>
      </c>
      <c r="K3043" s="31">
        <f t="shared" si="3549"/>
        <v>0</v>
      </c>
      <c r="L3043" s="31">
        <f t="shared" si="3550"/>
        <v>0</v>
      </c>
      <c r="M3043" s="31">
        <f t="shared" si="3551"/>
        <v>0.99337000000000009</v>
      </c>
      <c r="N3043" s="31">
        <f t="shared" si="3552"/>
        <v>0</v>
      </c>
      <c r="O3043" s="31">
        <f t="shared" si="3553"/>
        <v>0</v>
      </c>
      <c r="P3043" s="31">
        <f t="shared" si="3554"/>
        <v>0</v>
      </c>
      <c r="Q3043" s="49">
        <f t="shared" si="3555"/>
        <v>0</v>
      </c>
    </row>
    <row r="3044" spans="4:17" s="62" customFormat="1" x14ac:dyDescent="0.3">
      <c r="D3044" s="235">
        <v>32</v>
      </c>
      <c r="E3044" s="240">
        <v>1</v>
      </c>
      <c r="F3044" s="241">
        <v>10</v>
      </c>
      <c r="G3044" s="242">
        <v>2.21</v>
      </c>
      <c r="H3044" s="239">
        <f t="shared" si="3546"/>
        <v>2.21</v>
      </c>
      <c r="I3044" s="131">
        <f t="shared" si="3547"/>
        <v>0</v>
      </c>
      <c r="J3044" s="31">
        <f t="shared" si="3548"/>
        <v>0</v>
      </c>
      <c r="K3044" s="31">
        <f t="shared" si="3549"/>
        <v>0</v>
      </c>
      <c r="L3044" s="31">
        <f t="shared" si="3550"/>
        <v>0</v>
      </c>
      <c r="M3044" s="31">
        <f t="shared" si="3551"/>
        <v>1.3635699999999999</v>
      </c>
      <c r="N3044" s="31">
        <f t="shared" si="3552"/>
        <v>0</v>
      </c>
      <c r="O3044" s="31">
        <f t="shared" si="3553"/>
        <v>0</v>
      </c>
      <c r="P3044" s="31">
        <f t="shared" si="3554"/>
        <v>0</v>
      </c>
      <c r="Q3044" s="49">
        <f t="shared" si="3555"/>
        <v>0</v>
      </c>
    </row>
    <row r="3045" spans="4:17" s="62" customFormat="1" x14ac:dyDescent="0.3">
      <c r="D3045" s="235">
        <v>41</v>
      </c>
      <c r="E3045" s="240">
        <v>2</v>
      </c>
      <c r="F3045" s="241">
        <v>10</v>
      </c>
      <c r="G3045" s="242">
        <v>4.78</v>
      </c>
      <c r="H3045" s="239">
        <f t="shared" si="3546"/>
        <v>9.56</v>
      </c>
      <c r="I3045" s="131">
        <f t="shared" si="3547"/>
        <v>0</v>
      </c>
      <c r="J3045" s="31">
        <f t="shared" si="3548"/>
        <v>0</v>
      </c>
      <c r="K3045" s="31">
        <f t="shared" si="3549"/>
        <v>0</v>
      </c>
      <c r="L3045" s="31">
        <f t="shared" si="3550"/>
        <v>0</v>
      </c>
      <c r="M3045" s="31">
        <f t="shared" si="3551"/>
        <v>5.8985200000000004</v>
      </c>
      <c r="N3045" s="31">
        <f t="shared" si="3552"/>
        <v>0</v>
      </c>
      <c r="O3045" s="31">
        <f t="shared" si="3553"/>
        <v>0</v>
      </c>
      <c r="P3045" s="31">
        <f t="shared" si="3554"/>
        <v>0</v>
      </c>
      <c r="Q3045" s="49">
        <f t="shared" si="3555"/>
        <v>0</v>
      </c>
    </row>
    <row r="3046" spans="4:17" s="62" customFormat="1" x14ac:dyDescent="0.3">
      <c r="D3046" s="235">
        <v>53</v>
      </c>
      <c r="E3046" s="240">
        <v>1</v>
      </c>
      <c r="F3046" s="241">
        <v>12.5</v>
      </c>
      <c r="G3046" s="242">
        <v>3.03</v>
      </c>
      <c r="H3046" s="239">
        <f t="shared" si="3546"/>
        <v>3.03</v>
      </c>
      <c r="I3046" s="131">
        <f t="shared" si="3547"/>
        <v>0</v>
      </c>
      <c r="J3046" s="31">
        <f t="shared" si="3548"/>
        <v>0</v>
      </c>
      <c r="K3046" s="31">
        <f t="shared" si="3549"/>
        <v>0</v>
      </c>
      <c r="L3046" s="31">
        <f t="shared" si="3550"/>
        <v>0</v>
      </c>
      <c r="M3046" s="31">
        <f t="shared" si="3551"/>
        <v>0</v>
      </c>
      <c r="N3046" s="31">
        <f t="shared" si="3552"/>
        <v>2.9178899999999999</v>
      </c>
      <c r="O3046" s="31">
        <f t="shared" si="3553"/>
        <v>0</v>
      </c>
      <c r="P3046" s="31">
        <f t="shared" si="3554"/>
        <v>0</v>
      </c>
      <c r="Q3046" s="49">
        <f t="shared" si="3555"/>
        <v>0</v>
      </c>
    </row>
    <row r="3047" spans="4:17" s="62" customFormat="1" x14ac:dyDescent="0.3">
      <c r="D3047" s="235">
        <v>54</v>
      </c>
      <c r="E3047" s="240">
        <v>1</v>
      </c>
      <c r="F3047" s="241">
        <v>12.5</v>
      </c>
      <c r="G3047" s="242">
        <v>4.3600000000000003</v>
      </c>
      <c r="H3047" s="239">
        <f t="shared" si="3546"/>
        <v>4.3600000000000003</v>
      </c>
      <c r="I3047" s="131">
        <f t="shared" si="3547"/>
        <v>0</v>
      </c>
      <c r="J3047" s="31">
        <f t="shared" si="3548"/>
        <v>0</v>
      </c>
      <c r="K3047" s="31">
        <f t="shared" si="3549"/>
        <v>0</v>
      </c>
      <c r="L3047" s="31">
        <f t="shared" si="3550"/>
        <v>0</v>
      </c>
      <c r="M3047" s="31">
        <f t="shared" si="3551"/>
        <v>0</v>
      </c>
      <c r="N3047" s="31">
        <f t="shared" si="3552"/>
        <v>4.1986800000000004</v>
      </c>
      <c r="O3047" s="31">
        <f t="shared" si="3553"/>
        <v>0</v>
      </c>
      <c r="P3047" s="31">
        <f t="shared" si="3554"/>
        <v>0</v>
      </c>
      <c r="Q3047" s="49">
        <f t="shared" si="3555"/>
        <v>0</v>
      </c>
    </row>
    <row r="3048" spans="4:17" s="62" customFormat="1" x14ac:dyDescent="0.3">
      <c r="D3048" s="235">
        <v>55</v>
      </c>
      <c r="E3048" s="240">
        <v>2</v>
      </c>
      <c r="F3048" s="241">
        <v>12.5</v>
      </c>
      <c r="G3048" s="242">
        <v>4.43</v>
      </c>
      <c r="H3048" s="239">
        <f t="shared" si="3546"/>
        <v>8.86</v>
      </c>
      <c r="I3048" s="131">
        <f t="shared" si="3547"/>
        <v>0</v>
      </c>
      <c r="J3048" s="31">
        <f t="shared" si="3548"/>
        <v>0</v>
      </c>
      <c r="K3048" s="31">
        <f t="shared" si="3549"/>
        <v>0</v>
      </c>
      <c r="L3048" s="31">
        <f t="shared" si="3550"/>
        <v>0</v>
      </c>
      <c r="M3048" s="31">
        <f t="shared" si="3551"/>
        <v>0</v>
      </c>
      <c r="N3048" s="31">
        <f t="shared" si="3552"/>
        <v>8.5321799999999985</v>
      </c>
      <c r="O3048" s="31">
        <f t="shared" si="3553"/>
        <v>0</v>
      </c>
      <c r="P3048" s="31">
        <f t="shared" si="3554"/>
        <v>0</v>
      </c>
      <c r="Q3048" s="49">
        <f t="shared" si="3555"/>
        <v>0</v>
      </c>
    </row>
    <row r="3049" spans="4:17" s="62" customFormat="1" ht="15" thickBot="1" x14ac:dyDescent="0.35">
      <c r="D3049" s="307"/>
      <c r="E3049" s="26"/>
      <c r="F3049" s="206"/>
      <c r="G3049" s="207"/>
      <c r="H3049" s="207"/>
      <c r="I3049" s="51"/>
      <c r="J3049" s="308"/>
      <c r="K3049" s="308"/>
      <c r="L3049" s="308"/>
      <c r="M3049" s="308"/>
      <c r="N3049" s="308"/>
      <c r="O3049" s="308"/>
      <c r="P3049" s="308"/>
      <c r="Q3049" s="309"/>
    </row>
    <row r="3050" spans="4:17" s="62" customFormat="1" x14ac:dyDescent="0.3">
      <c r="D3050" s="796" t="s">
        <v>1622</v>
      </c>
      <c r="E3050" s="797"/>
      <c r="F3050" s="797"/>
      <c r="G3050" s="797"/>
      <c r="H3050" s="797"/>
      <c r="I3050" s="47">
        <f t="shared" ref="I3050:Q3050" si="3556">SUM(I3051:I3062)</f>
        <v>0</v>
      </c>
      <c r="J3050" s="47">
        <f t="shared" si="3556"/>
        <v>18.355260000000001</v>
      </c>
      <c r="K3050" s="47">
        <f t="shared" si="3556"/>
        <v>0</v>
      </c>
      <c r="L3050" s="47">
        <f t="shared" si="3556"/>
        <v>0</v>
      </c>
      <c r="M3050" s="47">
        <f t="shared" si="3556"/>
        <v>0</v>
      </c>
      <c r="N3050" s="47">
        <f t="shared" si="3556"/>
        <v>53.282789999999991</v>
      </c>
      <c r="O3050" s="47">
        <f t="shared" si="3556"/>
        <v>61.510440000000003</v>
      </c>
      <c r="P3050" s="47">
        <f t="shared" si="3556"/>
        <v>0</v>
      </c>
      <c r="Q3050" s="47">
        <f t="shared" si="3556"/>
        <v>0</v>
      </c>
    </row>
    <row r="3051" spans="4:17" s="62" customFormat="1" x14ac:dyDescent="0.3">
      <c r="D3051" s="235">
        <v>4</v>
      </c>
      <c r="E3051" s="237">
        <v>87</v>
      </c>
      <c r="F3051" s="238">
        <v>5</v>
      </c>
      <c r="G3051" s="239">
        <v>1.37</v>
      </c>
      <c r="H3051" s="239">
        <f t="shared" ref="H3051:H3062" si="3557">E3051*G3051</f>
        <v>119.19000000000001</v>
      </c>
      <c r="I3051" s="131">
        <f t="shared" ref="I3051:I3062" si="3558">IF($F3051=4.2,H3051*$B$23,0)</f>
        <v>0</v>
      </c>
      <c r="J3051" s="31">
        <f t="shared" ref="J3051:J3062" si="3559">IF($F3051=5,$H3051*$B$24,0)</f>
        <v>18.355260000000001</v>
      </c>
      <c r="K3051" s="31">
        <f t="shared" ref="K3051:K3062" si="3560">IF($F3051=6.3,$H3051*$B$25,0)</f>
        <v>0</v>
      </c>
      <c r="L3051" s="31">
        <f t="shared" ref="L3051:L3062" si="3561">IF($F3051=8,$H3051*$B$26,0)</f>
        <v>0</v>
      </c>
      <c r="M3051" s="31">
        <f t="shared" ref="M3051:M3062" si="3562">IF($F3051=10,$H3051*$B$27,0)</f>
        <v>0</v>
      </c>
      <c r="N3051" s="31">
        <f t="shared" ref="N3051:N3062" si="3563">IF($F3051=12.5,$H3051*$B$28,0)</f>
        <v>0</v>
      </c>
      <c r="O3051" s="31">
        <f t="shared" ref="O3051:O3062" si="3564">IF($F3051=16,$H3051*$B$29,0)</f>
        <v>0</v>
      </c>
      <c r="P3051" s="31">
        <f t="shared" ref="P3051:P3062" si="3565">IF($F3051=20,$H3051*$B$30,0)</f>
        <v>0</v>
      </c>
      <c r="Q3051" s="49">
        <f t="shared" ref="Q3051:Q3062" si="3566">IF($F3051=25,$H3051*$B$31,0)</f>
        <v>0</v>
      </c>
    </row>
    <row r="3052" spans="4:17" s="62" customFormat="1" x14ac:dyDescent="0.3">
      <c r="D3052" s="235">
        <v>45</v>
      </c>
      <c r="E3052" s="240">
        <v>3</v>
      </c>
      <c r="F3052" s="241">
        <v>12.5</v>
      </c>
      <c r="G3052" s="242">
        <v>10.74</v>
      </c>
      <c r="H3052" s="239">
        <f t="shared" si="3557"/>
        <v>32.22</v>
      </c>
      <c r="I3052" s="131">
        <f t="shared" si="3558"/>
        <v>0</v>
      </c>
      <c r="J3052" s="31">
        <f t="shared" si="3559"/>
        <v>0</v>
      </c>
      <c r="K3052" s="31">
        <f t="shared" si="3560"/>
        <v>0</v>
      </c>
      <c r="L3052" s="31">
        <f t="shared" si="3561"/>
        <v>0</v>
      </c>
      <c r="M3052" s="31">
        <f t="shared" si="3562"/>
        <v>0</v>
      </c>
      <c r="N3052" s="31">
        <f t="shared" si="3563"/>
        <v>31.027859999999997</v>
      </c>
      <c r="O3052" s="31">
        <f t="shared" si="3564"/>
        <v>0</v>
      </c>
      <c r="P3052" s="31">
        <f t="shared" si="3565"/>
        <v>0</v>
      </c>
      <c r="Q3052" s="49">
        <f t="shared" si="3566"/>
        <v>0</v>
      </c>
    </row>
    <row r="3053" spans="4:17" s="62" customFormat="1" x14ac:dyDescent="0.3">
      <c r="D3053" s="235">
        <v>57</v>
      </c>
      <c r="E3053" s="240">
        <v>3</v>
      </c>
      <c r="F3053" s="241">
        <v>12.5</v>
      </c>
      <c r="G3053" s="242">
        <v>1.77</v>
      </c>
      <c r="H3053" s="239">
        <f t="shared" si="3557"/>
        <v>5.3100000000000005</v>
      </c>
      <c r="I3053" s="131">
        <f t="shared" si="3558"/>
        <v>0</v>
      </c>
      <c r="J3053" s="31">
        <f t="shared" si="3559"/>
        <v>0</v>
      </c>
      <c r="K3053" s="31">
        <f t="shared" si="3560"/>
        <v>0</v>
      </c>
      <c r="L3053" s="31">
        <f t="shared" si="3561"/>
        <v>0</v>
      </c>
      <c r="M3053" s="31">
        <f t="shared" si="3562"/>
        <v>0</v>
      </c>
      <c r="N3053" s="31">
        <f t="shared" si="3563"/>
        <v>5.1135299999999999</v>
      </c>
      <c r="O3053" s="31">
        <f t="shared" si="3564"/>
        <v>0</v>
      </c>
      <c r="P3053" s="31">
        <f t="shared" si="3565"/>
        <v>0</v>
      </c>
      <c r="Q3053" s="49">
        <f t="shared" si="3566"/>
        <v>0</v>
      </c>
    </row>
    <row r="3054" spans="4:17" s="62" customFormat="1" x14ac:dyDescent="0.3">
      <c r="D3054" s="235">
        <v>58</v>
      </c>
      <c r="E3054" s="240">
        <v>2</v>
      </c>
      <c r="F3054" s="241">
        <v>12.5</v>
      </c>
      <c r="G3054" s="242">
        <v>3.1</v>
      </c>
      <c r="H3054" s="239">
        <f t="shared" si="3557"/>
        <v>6.2</v>
      </c>
      <c r="I3054" s="131">
        <f t="shared" si="3558"/>
        <v>0</v>
      </c>
      <c r="J3054" s="31">
        <f t="shared" si="3559"/>
        <v>0</v>
      </c>
      <c r="K3054" s="31">
        <f t="shared" si="3560"/>
        <v>0</v>
      </c>
      <c r="L3054" s="31">
        <f t="shared" si="3561"/>
        <v>0</v>
      </c>
      <c r="M3054" s="31">
        <f t="shared" si="3562"/>
        <v>0</v>
      </c>
      <c r="N3054" s="31">
        <f t="shared" si="3563"/>
        <v>5.9706000000000001</v>
      </c>
      <c r="O3054" s="31">
        <f t="shared" si="3564"/>
        <v>0</v>
      </c>
      <c r="P3054" s="31">
        <f t="shared" si="3565"/>
        <v>0</v>
      </c>
      <c r="Q3054" s="49">
        <f t="shared" si="3566"/>
        <v>0</v>
      </c>
    </row>
    <row r="3055" spans="4:17" s="62" customFormat="1" x14ac:dyDescent="0.3">
      <c r="D3055" s="235">
        <v>59</v>
      </c>
      <c r="E3055" s="240">
        <v>1</v>
      </c>
      <c r="F3055" s="241">
        <v>12.5</v>
      </c>
      <c r="G3055" s="242">
        <v>3.7</v>
      </c>
      <c r="H3055" s="239">
        <f t="shared" si="3557"/>
        <v>3.7</v>
      </c>
      <c r="I3055" s="131">
        <f t="shared" si="3558"/>
        <v>0</v>
      </c>
      <c r="J3055" s="31">
        <f t="shared" si="3559"/>
        <v>0</v>
      </c>
      <c r="K3055" s="31">
        <f t="shared" si="3560"/>
        <v>0</v>
      </c>
      <c r="L3055" s="31">
        <f t="shared" si="3561"/>
        <v>0</v>
      </c>
      <c r="M3055" s="31">
        <f t="shared" si="3562"/>
        <v>0</v>
      </c>
      <c r="N3055" s="31">
        <f t="shared" si="3563"/>
        <v>3.5630999999999999</v>
      </c>
      <c r="O3055" s="31">
        <f t="shared" si="3564"/>
        <v>0</v>
      </c>
      <c r="P3055" s="31">
        <f t="shared" si="3565"/>
        <v>0</v>
      </c>
      <c r="Q3055" s="49">
        <f t="shared" si="3566"/>
        <v>0</v>
      </c>
    </row>
    <row r="3056" spans="4:17" s="62" customFormat="1" x14ac:dyDescent="0.3">
      <c r="D3056" s="235">
        <v>60</v>
      </c>
      <c r="E3056" s="240">
        <v>1</v>
      </c>
      <c r="F3056" s="241">
        <v>12.5</v>
      </c>
      <c r="G3056" s="242">
        <v>7.9</v>
      </c>
      <c r="H3056" s="239">
        <f t="shared" si="3557"/>
        <v>7.9</v>
      </c>
      <c r="I3056" s="131">
        <f t="shared" si="3558"/>
        <v>0</v>
      </c>
      <c r="J3056" s="31">
        <f t="shared" si="3559"/>
        <v>0</v>
      </c>
      <c r="K3056" s="31">
        <f t="shared" si="3560"/>
        <v>0</v>
      </c>
      <c r="L3056" s="31">
        <f t="shared" si="3561"/>
        <v>0</v>
      </c>
      <c r="M3056" s="31">
        <f t="shared" si="3562"/>
        <v>0</v>
      </c>
      <c r="N3056" s="31">
        <f t="shared" si="3563"/>
        <v>7.6077000000000004</v>
      </c>
      <c r="O3056" s="31">
        <f t="shared" si="3564"/>
        <v>0</v>
      </c>
      <c r="P3056" s="31">
        <f t="shared" si="3565"/>
        <v>0</v>
      </c>
      <c r="Q3056" s="49">
        <f t="shared" si="3566"/>
        <v>0</v>
      </c>
    </row>
    <row r="3057" spans="2:20" s="62" customFormat="1" x14ac:dyDescent="0.3">
      <c r="D3057" s="235">
        <v>61</v>
      </c>
      <c r="E3057" s="240">
        <v>1</v>
      </c>
      <c r="F3057" s="241">
        <v>16</v>
      </c>
      <c r="G3057" s="242">
        <v>3.23</v>
      </c>
      <c r="H3057" s="239">
        <f t="shared" si="3557"/>
        <v>3.23</v>
      </c>
      <c r="I3057" s="131">
        <f t="shared" si="3558"/>
        <v>0</v>
      </c>
      <c r="J3057" s="31">
        <f t="shared" si="3559"/>
        <v>0</v>
      </c>
      <c r="K3057" s="31">
        <f t="shared" si="3560"/>
        <v>0</v>
      </c>
      <c r="L3057" s="31">
        <f t="shared" si="3561"/>
        <v>0</v>
      </c>
      <c r="M3057" s="31">
        <f t="shared" si="3562"/>
        <v>0</v>
      </c>
      <c r="N3057" s="31">
        <f t="shared" si="3563"/>
        <v>0</v>
      </c>
      <c r="O3057" s="31">
        <f t="shared" si="3564"/>
        <v>5.09694</v>
      </c>
      <c r="P3057" s="31">
        <f t="shared" si="3565"/>
        <v>0</v>
      </c>
      <c r="Q3057" s="49">
        <f t="shared" si="3566"/>
        <v>0</v>
      </c>
    </row>
    <row r="3058" spans="2:20" s="62" customFormat="1" x14ac:dyDescent="0.3">
      <c r="D3058" s="235">
        <v>62</v>
      </c>
      <c r="E3058" s="240">
        <v>1</v>
      </c>
      <c r="F3058" s="241">
        <v>16</v>
      </c>
      <c r="G3058" s="242">
        <v>3.08</v>
      </c>
      <c r="H3058" s="239">
        <f t="shared" si="3557"/>
        <v>3.08</v>
      </c>
      <c r="I3058" s="131">
        <f t="shared" si="3558"/>
        <v>0</v>
      </c>
      <c r="J3058" s="31">
        <f t="shared" si="3559"/>
        <v>0</v>
      </c>
      <c r="K3058" s="31">
        <f t="shared" si="3560"/>
        <v>0</v>
      </c>
      <c r="L3058" s="31">
        <f t="shared" si="3561"/>
        <v>0</v>
      </c>
      <c r="M3058" s="31">
        <f t="shared" si="3562"/>
        <v>0</v>
      </c>
      <c r="N3058" s="31">
        <f t="shared" si="3563"/>
        <v>0</v>
      </c>
      <c r="O3058" s="31">
        <f t="shared" si="3564"/>
        <v>4.8602400000000001</v>
      </c>
      <c r="P3058" s="31">
        <f t="shared" si="3565"/>
        <v>0</v>
      </c>
      <c r="Q3058" s="49">
        <f t="shared" si="3566"/>
        <v>0</v>
      </c>
    </row>
    <row r="3059" spans="2:20" s="62" customFormat="1" x14ac:dyDescent="0.3">
      <c r="D3059" s="235">
        <v>63</v>
      </c>
      <c r="E3059" s="240">
        <v>3</v>
      </c>
      <c r="F3059" s="241">
        <v>16</v>
      </c>
      <c r="G3059" s="242">
        <v>10.89</v>
      </c>
      <c r="H3059" s="239">
        <f t="shared" si="3557"/>
        <v>32.67</v>
      </c>
      <c r="I3059" s="131">
        <f t="shared" si="3558"/>
        <v>0</v>
      </c>
      <c r="J3059" s="31">
        <f t="shared" si="3559"/>
        <v>0</v>
      </c>
      <c r="K3059" s="31">
        <f t="shared" si="3560"/>
        <v>0</v>
      </c>
      <c r="L3059" s="31">
        <f t="shared" si="3561"/>
        <v>0</v>
      </c>
      <c r="M3059" s="31">
        <f t="shared" si="3562"/>
        <v>0</v>
      </c>
      <c r="N3059" s="31">
        <f t="shared" si="3563"/>
        <v>0</v>
      </c>
      <c r="O3059" s="31">
        <f t="shared" si="3564"/>
        <v>51.553260000000002</v>
      </c>
      <c r="P3059" s="31">
        <f t="shared" si="3565"/>
        <v>0</v>
      </c>
      <c r="Q3059" s="49">
        <f t="shared" si="3566"/>
        <v>0</v>
      </c>
    </row>
    <row r="3060" spans="2:20" s="62" customFormat="1" x14ac:dyDescent="0.3">
      <c r="D3060" s="235"/>
      <c r="E3060" s="240"/>
      <c r="F3060" s="241"/>
      <c r="G3060" s="242"/>
      <c r="H3060" s="239">
        <f t="shared" si="3557"/>
        <v>0</v>
      </c>
      <c r="I3060" s="131">
        <f t="shared" si="3558"/>
        <v>0</v>
      </c>
      <c r="J3060" s="31">
        <f t="shared" si="3559"/>
        <v>0</v>
      </c>
      <c r="K3060" s="31">
        <f t="shared" si="3560"/>
        <v>0</v>
      </c>
      <c r="L3060" s="31">
        <f t="shared" si="3561"/>
        <v>0</v>
      </c>
      <c r="M3060" s="31">
        <f t="shared" si="3562"/>
        <v>0</v>
      </c>
      <c r="N3060" s="31">
        <f t="shared" si="3563"/>
        <v>0</v>
      </c>
      <c r="O3060" s="31">
        <f t="shared" si="3564"/>
        <v>0</v>
      </c>
      <c r="P3060" s="31">
        <f t="shared" si="3565"/>
        <v>0</v>
      </c>
      <c r="Q3060" s="49">
        <f t="shared" si="3566"/>
        <v>0</v>
      </c>
    </row>
    <row r="3061" spans="2:20" s="62" customFormat="1" x14ac:dyDescent="0.3">
      <c r="D3061" s="235"/>
      <c r="E3061" s="240"/>
      <c r="F3061" s="241"/>
      <c r="G3061" s="242"/>
      <c r="H3061" s="239">
        <f t="shared" si="3557"/>
        <v>0</v>
      </c>
      <c r="I3061" s="131">
        <f t="shared" si="3558"/>
        <v>0</v>
      </c>
      <c r="J3061" s="31">
        <f t="shared" si="3559"/>
        <v>0</v>
      </c>
      <c r="K3061" s="31">
        <f t="shared" si="3560"/>
        <v>0</v>
      </c>
      <c r="L3061" s="31">
        <f t="shared" si="3561"/>
        <v>0</v>
      </c>
      <c r="M3061" s="31">
        <f t="shared" si="3562"/>
        <v>0</v>
      </c>
      <c r="N3061" s="31">
        <f t="shared" si="3563"/>
        <v>0</v>
      </c>
      <c r="O3061" s="31">
        <f t="shared" si="3564"/>
        <v>0</v>
      </c>
      <c r="P3061" s="31">
        <f t="shared" si="3565"/>
        <v>0</v>
      </c>
      <c r="Q3061" s="49">
        <f t="shared" si="3566"/>
        <v>0</v>
      </c>
    </row>
    <row r="3062" spans="2:20" s="62" customFormat="1" x14ac:dyDescent="0.3">
      <c r="D3062" s="235"/>
      <c r="E3062" s="240"/>
      <c r="F3062" s="241"/>
      <c r="G3062" s="242"/>
      <c r="H3062" s="239">
        <f t="shared" si="3557"/>
        <v>0</v>
      </c>
      <c r="I3062" s="131">
        <f t="shared" si="3558"/>
        <v>0</v>
      </c>
      <c r="J3062" s="31">
        <f t="shared" si="3559"/>
        <v>0</v>
      </c>
      <c r="K3062" s="31">
        <f t="shared" si="3560"/>
        <v>0</v>
      </c>
      <c r="L3062" s="31">
        <f t="shared" si="3561"/>
        <v>0</v>
      </c>
      <c r="M3062" s="31">
        <f t="shared" si="3562"/>
        <v>0</v>
      </c>
      <c r="N3062" s="31">
        <f t="shared" si="3563"/>
        <v>0</v>
      </c>
      <c r="O3062" s="31">
        <f t="shared" si="3564"/>
        <v>0</v>
      </c>
      <c r="P3062" s="31">
        <f t="shared" si="3565"/>
        <v>0</v>
      </c>
      <c r="Q3062" s="49">
        <f t="shared" si="3566"/>
        <v>0</v>
      </c>
    </row>
    <row r="3063" spans="2:20" s="62" customFormat="1" ht="15" thickBot="1" x14ac:dyDescent="0.35">
      <c r="D3063" s="307"/>
      <c r="E3063" s="26"/>
      <c r="F3063" s="206"/>
      <c r="G3063" s="207"/>
      <c r="H3063" s="207"/>
      <c r="I3063" s="51"/>
      <c r="J3063" s="308"/>
      <c r="K3063" s="308"/>
      <c r="L3063" s="308"/>
      <c r="M3063" s="308"/>
      <c r="N3063" s="308"/>
      <c r="O3063" s="308"/>
      <c r="P3063" s="308"/>
      <c r="Q3063" s="309"/>
    </row>
    <row r="3064" spans="2:20" s="16" customFormat="1" ht="15" customHeight="1" thickBot="1" x14ac:dyDescent="0.3">
      <c r="B3064" s="34"/>
      <c r="D3064" s="792" t="s">
        <v>740</v>
      </c>
      <c r="E3064" s="793"/>
      <c r="F3064" s="793"/>
      <c r="G3064" s="793"/>
      <c r="H3064" s="793"/>
      <c r="I3064" s="793"/>
      <c r="J3064" s="793"/>
      <c r="K3064" s="793"/>
      <c r="L3064" s="793"/>
      <c r="M3064" s="793"/>
      <c r="N3064" s="793"/>
      <c r="O3064" s="793"/>
      <c r="P3064" s="793"/>
      <c r="Q3064" s="794"/>
      <c r="S3064" s="795"/>
      <c r="T3064" s="795"/>
    </row>
    <row r="3065" spans="2:20" s="62" customFormat="1" x14ac:dyDescent="0.3">
      <c r="D3065" s="796" t="s">
        <v>1713</v>
      </c>
      <c r="E3065" s="797"/>
      <c r="F3065" s="797"/>
      <c r="G3065" s="797"/>
      <c r="H3065" s="797"/>
      <c r="I3065" s="47">
        <f t="shared" ref="I3065:Q3065" si="3567">SUM(I3066:I3071)</f>
        <v>0</v>
      </c>
      <c r="J3065" s="47">
        <f t="shared" si="3567"/>
        <v>8.8611600000000017</v>
      </c>
      <c r="K3065" s="47">
        <f t="shared" si="3567"/>
        <v>0</v>
      </c>
      <c r="L3065" s="47">
        <f t="shared" si="3567"/>
        <v>11.518200000000002</v>
      </c>
      <c r="M3065" s="47">
        <f t="shared" si="3567"/>
        <v>19.126999999999999</v>
      </c>
      <c r="N3065" s="47">
        <f t="shared" si="3567"/>
        <v>0</v>
      </c>
      <c r="O3065" s="47">
        <f t="shared" si="3567"/>
        <v>0</v>
      </c>
      <c r="P3065" s="47">
        <f t="shared" si="3567"/>
        <v>0</v>
      </c>
      <c r="Q3065" s="47">
        <f t="shared" si="3567"/>
        <v>0</v>
      </c>
    </row>
    <row r="3066" spans="2:20" s="62" customFormat="1" x14ac:dyDescent="0.3">
      <c r="D3066" s="235">
        <v>7</v>
      </c>
      <c r="E3066" s="237">
        <v>42</v>
      </c>
      <c r="F3066" s="238">
        <v>5</v>
      </c>
      <c r="G3066" s="239">
        <v>1.37</v>
      </c>
      <c r="H3066" s="239">
        <f t="shared" ref="H3066:H3071" si="3568">E3066*G3066</f>
        <v>57.540000000000006</v>
      </c>
      <c r="I3066" s="131">
        <f t="shared" ref="I3066:I3071" si="3569">IF($F3066=4.2,H3066*$B$23,0)</f>
        <v>0</v>
      </c>
      <c r="J3066" s="31">
        <f t="shared" ref="J3066:J3071" si="3570">IF($F3066=5,$H3066*$B$24,0)</f>
        <v>8.8611600000000017</v>
      </c>
      <c r="K3066" s="31">
        <f t="shared" ref="K3066:K3071" si="3571">IF($F3066=6.3,$H3066*$B$25,0)</f>
        <v>0</v>
      </c>
      <c r="L3066" s="31">
        <f t="shared" ref="L3066:L3071" si="3572">IF($F3066=8,$H3066*$B$26,0)</f>
        <v>0</v>
      </c>
      <c r="M3066" s="31">
        <f t="shared" ref="M3066:M3071" si="3573">IF($F3066=10,$H3066*$B$27,0)</f>
        <v>0</v>
      </c>
      <c r="N3066" s="31">
        <f t="shared" ref="N3066:N3071" si="3574">IF($F3066=12.5,$H3066*$B$28,0)</f>
        <v>0</v>
      </c>
      <c r="O3066" s="31">
        <f t="shared" ref="O3066:O3071" si="3575">IF($F3066=16,$H3066*$B$29,0)</f>
        <v>0</v>
      </c>
      <c r="P3066" s="31">
        <f t="shared" ref="P3066:P3071" si="3576">IF($F3066=20,$H3066*$B$30,0)</f>
        <v>0</v>
      </c>
      <c r="Q3066" s="49">
        <f t="shared" ref="Q3066:Q3071" si="3577">IF($F3066=25,$H3066*$B$31,0)</f>
        <v>0</v>
      </c>
    </row>
    <row r="3067" spans="2:20" s="62" customFormat="1" x14ac:dyDescent="0.3">
      <c r="D3067" s="235">
        <v>13</v>
      </c>
      <c r="E3067" s="240">
        <v>2</v>
      </c>
      <c r="F3067" s="241">
        <v>8</v>
      </c>
      <c r="G3067" s="242">
        <v>1.36</v>
      </c>
      <c r="H3067" s="239">
        <f t="shared" si="3568"/>
        <v>2.72</v>
      </c>
      <c r="I3067" s="131">
        <f t="shared" si="3569"/>
        <v>0</v>
      </c>
      <c r="J3067" s="31">
        <f t="shared" si="3570"/>
        <v>0</v>
      </c>
      <c r="K3067" s="31">
        <f t="shared" si="3571"/>
        <v>0</v>
      </c>
      <c r="L3067" s="31">
        <f t="shared" si="3572"/>
        <v>1.0744</v>
      </c>
      <c r="M3067" s="31">
        <f t="shared" si="3573"/>
        <v>0</v>
      </c>
      <c r="N3067" s="31">
        <f t="shared" si="3574"/>
        <v>0</v>
      </c>
      <c r="O3067" s="31">
        <f t="shared" si="3575"/>
        <v>0</v>
      </c>
      <c r="P3067" s="31">
        <f t="shared" si="3576"/>
        <v>0</v>
      </c>
      <c r="Q3067" s="49">
        <f t="shared" si="3577"/>
        <v>0</v>
      </c>
    </row>
    <row r="3068" spans="2:20" s="62" customFormat="1" x14ac:dyDescent="0.3">
      <c r="D3068" s="235">
        <v>14</v>
      </c>
      <c r="E3068" s="240">
        <v>4</v>
      </c>
      <c r="F3068" s="241">
        <v>8</v>
      </c>
      <c r="G3068" s="242">
        <v>6.61</v>
      </c>
      <c r="H3068" s="239">
        <f t="shared" si="3568"/>
        <v>26.44</v>
      </c>
      <c r="I3068" s="131">
        <f t="shared" si="3569"/>
        <v>0</v>
      </c>
      <c r="J3068" s="31">
        <f t="shared" si="3570"/>
        <v>0</v>
      </c>
      <c r="K3068" s="31">
        <f t="shared" si="3571"/>
        <v>0</v>
      </c>
      <c r="L3068" s="31">
        <f t="shared" si="3572"/>
        <v>10.443800000000001</v>
      </c>
      <c r="M3068" s="31">
        <f t="shared" si="3573"/>
        <v>0</v>
      </c>
      <c r="N3068" s="31">
        <f t="shared" si="3574"/>
        <v>0</v>
      </c>
      <c r="O3068" s="31">
        <f t="shared" si="3575"/>
        <v>0</v>
      </c>
      <c r="P3068" s="31">
        <f t="shared" si="3576"/>
        <v>0</v>
      </c>
      <c r="Q3068" s="49">
        <f t="shared" si="3577"/>
        <v>0</v>
      </c>
    </row>
    <row r="3069" spans="2:20" s="62" customFormat="1" x14ac:dyDescent="0.3">
      <c r="D3069" s="235">
        <v>25</v>
      </c>
      <c r="E3069" s="240">
        <v>1</v>
      </c>
      <c r="F3069" s="241">
        <v>10</v>
      </c>
      <c r="G3069" s="242">
        <v>1.43</v>
      </c>
      <c r="H3069" s="239">
        <f t="shared" si="3568"/>
        <v>1.43</v>
      </c>
      <c r="I3069" s="131">
        <f t="shared" si="3569"/>
        <v>0</v>
      </c>
      <c r="J3069" s="31">
        <f t="shared" si="3570"/>
        <v>0</v>
      </c>
      <c r="K3069" s="31">
        <f t="shared" si="3571"/>
        <v>0</v>
      </c>
      <c r="L3069" s="31">
        <f t="shared" si="3572"/>
        <v>0</v>
      </c>
      <c r="M3069" s="31">
        <f t="shared" si="3573"/>
        <v>0.88230999999999993</v>
      </c>
      <c r="N3069" s="31">
        <f t="shared" si="3574"/>
        <v>0</v>
      </c>
      <c r="O3069" s="31">
        <f t="shared" si="3575"/>
        <v>0</v>
      </c>
      <c r="P3069" s="31">
        <f t="shared" si="3576"/>
        <v>0</v>
      </c>
      <c r="Q3069" s="49">
        <f t="shared" si="3577"/>
        <v>0</v>
      </c>
    </row>
    <row r="3070" spans="2:20" s="62" customFormat="1" x14ac:dyDescent="0.3">
      <c r="D3070" s="235">
        <v>26</v>
      </c>
      <c r="E3070" s="240">
        <v>1</v>
      </c>
      <c r="F3070" s="241">
        <v>10</v>
      </c>
      <c r="G3070" s="242">
        <v>4.25</v>
      </c>
      <c r="H3070" s="239">
        <f t="shared" si="3568"/>
        <v>4.25</v>
      </c>
      <c r="I3070" s="131">
        <f t="shared" si="3569"/>
        <v>0</v>
      </c>
      <c r="J3070" s="31">
        <f t="shared" si="3570"/>
        <v>0</v>
      </c>
      <c r="K3070" s="31">
        <f t="shared" si="3571"/>
        <v>0</v>
      </c>
      <c r="L3070" s="31">
        <f t="shared" si="3572"/>
        <v>0</v>
      </c>
      <c r="M3070" s="31">
        <f t="shared" si="3573"/>
        <v>2.6222500000000002</v>
      </c>
      <c r="N3070" s="31">
        <f t="shared" si="3574"/>
        <v>0</v>
      </c>
      <c r="O3070" s="31">
        <f t="shared" si="3575"/>
        <v>0</v>
      </c>
      <c r="P3070" s="31">
        <f t="shared" si="3576"/>
        <v>0</v>
      </c>
      <c r="Q3070" s="49">
        <f t="shared" si="3577"/>
        <v>0</v>
      </c>
    </row>
    <row r="3071" spans="2:20" s="62" customFormat="1" x14ac:dyDescent="0.3">
      <c r="D3071" s="235">
        <v>27</v>
      </c>
      <c r="E3071" s="240">
        <v>4</v>
      </c>
      <c r="F3071" s="241">
        <v>10</v>
      </c>
      <c r="G3071" s="242">
        <v>6.33</v>
      </c>
      <c r="H3071" s="239">
        <f t="shared" si="3568"/>
        <v>25.32</v>
      </c>
      <c r="I3071" s="131">
        <f t="shared" si="3569"/>
        <v>0</v>
      </c>
      <c r="J3071" s="31">
        <f t="shared" si="3570"/>
        <v>0</v>
      </c>
      <c r="K3071" s="31">
        <f t="shared" si="3571"/>
        <v>0</v>
      </c>
      <c r="L3071" s="31">
        <f t="shared" si="3572"/>
        <v>0</v>
      </c>
      <c r="M3071" s="31">
        <f t="shared" si="3573"/>
        <v>15.622439999999999</v>
      </c>
      <c r="N3071" s="31">
        <f t="shared" si="3574"/>
        <v>0</v>
      </c>
      <c r="O3071" s="31">
        <f t="shared" si="3575"/>
        <v>0</v>
      </c>
      <c r="P3071" s="31">
        <f t="shared" si="3576"/>
        <v>0</v>
      </c>
      <c r="Q3071" s="49">
        <f t="shared" si="3577"/>
        <v>0</v>
      </c>
    </row>
    <row r="3072" spans="2:20" s="62" customFormat="1" ht="15" thickBot="1" x14ac:dyDescent="0.35">
      <c r="D3072" s="307"/>
      <c r="E3072" s="26"/>
      <c r="F3072" s="206"/>
      <c r="G3072" s="207"/>
      <c r="H3072" s="207"/>
      <c r="I3072" s="51"/>
      <c r="J3072" s="308"/>
      <c r="K3072" s="308"/>
      <c r="L3072" s="308"/>
      <c r="M3072" s="308"/>
      <c r="N3072" s="308"/>
      <c r="O3072" s="308"/>
      <c r="P3072" s="308"/>
      <c r="Q3072" s="309"/>
    </row>
    <row r="3073" spans="4:17" s="62" customFormat="1" x14ac:dyDescent="0.3">
      <c r="D3073" s="796" t="s">
        <v>1714</v>
      </c>
      <c r="E3073" s="797"/>
      <c r="F3073" s="797"/>
      <c r="G3073" s="797"/>
      <c r="H3073" s="797"/>
      <c r="I3073" s="47">
        <f t="shared" ref="I3073:Q3073" si="3578">SUM(I3074:I3079)</f>
        <v>0</v>
      </c>
      <c r="J3073" s="47">
        <f t="shared" si="3578"/>
        <v>4.4983399999999998</v>
      </c>
      <c r="K3073" s="47">
        <f t="shared" si="3578"/>
        <v>0.79380000000000006</v>
      </c>
      <c r="L3073" s="47">
        <f t="shared" si="3578"/>
        <v>0</v>
      </c>
      <c r="M3073" s="47">
        <f t="shared" si="3578"/>
        <v>10.563040000000001</v>
      </c>
      <c r="N3073" s="47">
        <f t="shared" si="3578"/>
        <v>10.92042</v>
      </c>
      <c r="O3073" s="47">
        <f t="shared" si="3578"/>
        <v>0</v>
      </c>
      <c r="P3073" s="47">
        <f t="shared" si="3578"/>
        <v>0</v>
      </c>
      <c r="Q3073" s="47">
        <f t="shared" si="3578"/>
        <v>0</v>
      </c>
    </row>
    <row r="3074" spans="4:17" s="62" customFormat="1" x14ac:dyDescent="0.3">
      <c r="D3074" s="235">
        <v>8</v>
      </c>
      <c r="E3074" s="237">
        <v>23</v>
      </c>
      <c r="F3074" s="238">
        <v>5</v>
      </c>
      <c r="G3074" s="239">
        <v>1.27</v>
      </c>
      <c r="H3074" s="239">
        <f t="shared" ref="H3074:H3079" si="3579">E3074*G3074</f>
        <v>29.21</v>
      </c>
      <c r="I3074" s="131">
        <f t="shared" ref="I3074:I3079" si="3580">IF($F3074=4.2,H3074*$B$23,0)</f>
        <v>0</v>
      </c>
      <c r="J3074" s="31">
        <f t="shared" ref="J3074:J3079" si="3581">IF($F3074=5,$H3074*$B$24,0)</f>
        <v>4.4983399999999998</v>
      </c>
      <c r="K3074" s="31">
        <f t="shared" ref="K3074:K3079" si="3582">IF($F3074=6.3,$H3074*$B$25,0)</f>
        <v>0</v>
      </c>
      <c r="L3074" s="31">
        <f t="shared" ref="L3074:L3079" si="3583">IF($F3074=8,$H3074*$B$26,0)</f>
        <v>0</v>
      </c>
      <c r="M3074" s="31">
        <f t="shared" ref="M3074:M3079" si="3584">IF($F3074=10,$H3074*$B$27,0)</f>
        <v>0</v>
      </c>
      <c r="N3074" s="31">
        <f t="shared" ref="N3074:N3079" si="3585">IF($F3074=12.5,$H3074*$B$28,0)</f>
        <v>0</v>
      </c>
      <c r="O3074" s="31">
        <f t="shared" ref="O3074:O3079" si="3586">IF($F3074=16,$H3074*$B$29,0)</f>
        <v>0</v>
      </c>
      <c r="P3074" s="31">
        <f t="shared" ref="P3074:P3079" si="3587">IF($F3074=20,$H3074*$B$30,0)</f>
        <v>0</v>
      </c>
      <c r="Q3074" s="49">
        <f t="shared" ref="Q3074:Q3079" si="3588">IF($F3074=25,$H3074*$B$31,0)</f>
        <v>0</v>
      </c>
    </row>
    <row r="3075" spans="4:17" s="62" customFormat="1" x14ac:dyDescent="0.3">
      <c r="D3075" s="235">
        <v>10</v>
      </c>
      <c r="E3075" s="240">
        <v>2</v>
      </c>
      <c r="F3075" s="241">
        <v>6.3</v>
      </c>
      <c r="G3075" s="242">
        <v>0.86</v>
      </c>
      <c r="H3075" s="239">
        <f t="shared" si="3579"/>
        <v>1.72</v>
      </c>
      <c r="I3075" s="131">
        <f t="shared" si="3580"/>
        <v>0</v>
      </c>
      <c r="J3075" s="31">
        <f t="shared" si="3581"/>
        <v>0</v>
      </c>
      <c r="K3075" s="31">
        <f t="shared" si="3582"/>
        <v>0.4214</v>
      </c>
      <c r="L3075" s="31">
        <f t="shared" si="3583"/>
        <v>0</v>
      </c>
      <c r="M3075" s="31">
        <f t="shared" si="3584"/>
        <v>0</v>
      </c>
      <c r="N3075" s="31">
        <f t="shared" si="3585"/>
        <v>0</v>
      </c>
      <c r="O3075" s="31">
        <f t="shared" si="3586"/>
        <v>0</v>
      </c>
      <c r="P3075" s="31">
        <f t="shared" si="3587"/>
        <v>0</v>
      </c>
      <c r="Q3075" s="49">
        <f t="shared" si="3588"/>
        <v>0</v>
      </c>
    </row>
    <row r="3076" spans="4:17" s="62" customFormat="1" x14ac:dyDescent="0.3">
      <c r="D3076" s="235">
        <v>11</v>
      </c>
      <c r="E3076" s="240">
        <v>2</v>
      </c>
      <c r="F3076" s="241">
        <v>6.3</v>
      </c>
      <c r="G3076" s="242">
        <v>0.76</v>
      </c>
      <c r="H3076" s="239">
        <f t="shared" si="3579"/>
        <v>1.52</v>
      </c>
      <c r="I3076" s="131">
        <f t="shared" si="3580"/>
        <v>0</v>
      </c>
      <c r="J3076" s="31">
        <f t="shared" si="3581"/>
        <v>0</v>
      </c>
      <c r="K3076" s="31">
        <f t="shared" si="3582"/>
        <v>0.37240000000000001</v>
      </c>
      <c r="L3076" s="31">
        <f t="shared" si="3583"/>
        <v>0</v>
      </c>
      <c r="M3076" s="31">
        <f t="shared" si="3584"/>
        <v>0</v>
      </c>
      <c r="N3076" s="31">
        <f t="shared" si="3585"/>
        <v>0</v>
      </c>
      <c r="O3076" s="31">
        <f t="shared" si="3586"/>
        <v>0</v>
      </c>
      <c r="P3076" s="31">
        <f t="shared" si="3587"/>
        <v>0</v>
      </c>
      <c r="Q3076" s="49">
        <f t="shared" si="3588"/>
        <v>0</v>
      </c>
    </row>
    <row r="3077" spans="4:17" s="62" customFormat="1" x14ac:dyDescent="0.3">
      <c r="D3077" s="235">
        <v>28</v>
      </c>
      <c r="E3077" s="240">
        <v>4</v>
      </c>
      <c r="F3077" s="241">
        <v>10</v>
      </c>
      <c r="G3077" s="242">
        <v>4.28</v>
      </c>
      <c r="H3077" s="239">
        <f t="shared" si="3579"/>
        <v>17.12</v>
      </c>
      <c r="I3077" s="131">
        <f t="shared" si="3580"/>
        <v>0</v>
      </c>
      <c r="J3077" s="31">
        <f t="shared" si="3581"/>
        <v>0</v>
      </c>
      <c r="K3077" s="31">
        <f t="shared" si="3582"/>
        <v>0</v>
      </c>
      <c r="L3077" s="31">
        <f t="shared" si="3583"/>
        <v>0</v>
      </c>
      <c r="M3077" s="31">
        <f t="shared" si="3584"/>
        <v>10.563040000000001</v>
      </c>
      <c r="N3077" s="31">
        <f t="shared" si="3585"/>
        <v>0</v>
      </c>
      <c r="O3077" s="31">
        <f t="shared" si="3586"/>
        <v>0</v>
      </c>
      <c r="P3077" s="31">
        <f t="shared" si="3587"/>
        <v>0</v>
      </c>
      <c r="Q3077" s="49">
        <f t="shared" si="3588"/>
        <v>0</v>
      </c>
    </row>
    <row r="3078" spans="4:17" s="62" customFormat="1" x14ac:dyDescent="0.3">
      <c r="D3078" s="235">
        <v>56</v>
      </c>
      <c r="E3078" s="240">
        <v>1</v>
      </c>
      <c r="F3078" s="241">
        <v>12.5</v>
      </c>
      <c r="G3078" s="242">
        <v>1.78</v>
      </c>
      <c r="H3078" s="239">
        <f t="shared" si="3579"/>
        <v>1.78</v>
      </c>
      <c r="I3078" s="131">
        <f t="shared" si="3580"/>
        <v>0</v>
      </c>
      <c r="J3078" s="31">
        <f t="shared" si="3581"/>
        <v>0</v>
      </c>
      <c r="K3078" s="31">
        <f t="shared" si="3582"/>
        <v>0</v>
      </c>
      <c r="L3078" s="31">
        <f t="shared" si="3583"/>
        <v>0</v>
      </c>
      <c r="M3078" s="31">
        <f t="shared" si="3584"/>
        <v>0</v>
      </c>
      <c r="N3078" s="31">
        <f t="shared" si="3585"/>
        <v>1.71414</v>
      </c>
      <c r="O3078" s="31">
        <f t="shared" si="3586"/>
        <v>0</v>
      </c>
      <c r="P3078" s="31">
        <f t="shared" si="3587"/>
        <v>0</v>
      </c>
      <c r="Q3078" s="49">
        <f t="shared" si="3588"/>
        <v>0</v>
      </c>
    </row>
    <row r="3079" spans="4:17" s="62" customFormat="1" x14ac:dyDescent="0.3">
      <c r="D3079" s="235">
        <v>57</v>
      </c>
      <c r="E3079" s="240">
        <v>2</v>
      </c>
      <c r="F3079" s="241">
        <v>12.5</v>
      </c>
      <c r="G3079" s="242">
        <v>4.78</v>
      </c>
      <c r="H3079" s="239">
        <f t="shared" si="3579"/>
        <v>9.56</v>
      </c>
      <c r="I3079" s="131">
        <f t="shared" si="3580"/>
        <v>0</v>
      </c>
      <c r="J3079" s="31">
        <f t="shared" si="3581"/>
        <v>0</v>
      </c>
      <c r="K3079" s="31">
        <f t="shared" si="3582"/>
        <v>0</v>
      </c>
      <c r="L3079" s="31">
        <f t="shared" si="3583"/>
        <v>0</v>
      </c>
      <c r="M3079" s="31">
        <f t="shared" si="3584"/>
        <v>0</v>
      </c>
      <c r="N3079" s="31">
        <f t="shared" si="3585"/>
        <v>9.2062799999999996</v>
      </c>
      <c r="O3079" s="31">
        <f t="shared" si="3586"/>
        <v>0</v>
      </c>
      <c r="P3079" s="31">
        <f t="shared" si="3587"/>
        <v>0</v>
      </c>
      <c r="Q3079" s="49">
        <f t="shared" si="3588"/>
        <v>0</v>
      </c>
    </row>
    <row r="3080" spans="4:17" s="62" customFormat="1" ht="15" thickBot="1" x14ac:dyDescent="0.35">
      <c r="D3080" s="307"/>
      <c r="E3080" s="26"/>
      <c r="F3080" s="206"/>
      <c r="G3080" s="207"/>
      <c r="H3080" s="207"/>
      <c r="I3080" s="51"/>
      <c r="J3080" s="308"/>
      <c r="K3080" s="308"/>
      <c r="L3080" s="308"/>
      <c r="M3080" s="308"/>
      <c r="N3080" s="308"/>
      <c r="O3080" s="308"/>
      <c r="P3080" s="308"/>
      <c r="Q3080" s="309"/>
    </row>
    <row r="3081" spans="4:17" s="62" customFormat="1" x14ac:dyDescent="0.3">
      <c r="D3081" s="796" t="s">
        <v>1715</v>
      </c>
      <c r="E3081" s="797"/>
      <c r="F3081" s="797"/>
      <c r="G3081" s="797"/>
      <c r="H3081" s="797"/>
      <c r="I3081" s="47">
        <f t="shared" ref="I3081:Q3081" si="3589">SUM(I3082:I3087)</f>
        <v>0</v>
      </c>
      <c r="J3081" s="47">
        <f t="shared" si="3589"/>
        <v>6.1261200000000002</v>
      </c>
      <c r="K3081" s="47">
        <f t="shared" si="3589"/>
        <v>0.34789999999999999</v>
      </c>
      <c r="L3081" s="47">
        <f t="shared" si="3589"/>
        <v>0</v>
      </c>
      <c r="M3081" s="47">
        <f t="shared" si="3589"/>
        <v>33.836280000000002</v>
      </c>
      <c r="N3081" s="47">
        <f t="shared" si="3589"/>
        <v>0</v>
      </c>
      <c r="O3081" s="47">
        <f t="shared" si="3589"/>
        <v>0</v>
      </c>
      <c r="P3081" s="47">
        <f t="shared" si="3589"/>
        <v>0</v>
      </c>
      <c r="Q3081" s="47">
        <f t="shared" si="3589"/>
        <v>0</v>
      </c>
    </row>
    <row r="3082" spans="4:17" s="62" customFormat="1" x14ac:dyDescent="0.3">
      <c r="D3082" s="235">
        <v>9</v>
      </c>
      <c r="E3082" s="237">
        <f>2*17</f>
        <v>34</v>
      </c>
      <c r="F3082" s="238">
        <v>5</v>
      </c>
      <c r="G3082" s="239">
        <v>1.17</v>
      </c>
      <c r="H3082" s="239">
        <f t="shared" ref="H3082:H3087" si="3590">E3082*G3082</f>
        <v>39.78</v>
      </c>
      <c r="I3082" s="131">
        <f t="shared" ref="I3082:I3087" si="3591">IF($F3082=4.2,H3082*$B$23,0)</f>
        <v>0</v>
      </c>
      <c r="J3082" s="31">
        <f t="shared" ref="J3082:J3087" si="3592">IF($F3082=5,$H3082*$B$24,0)</f>
        <v>6.1261200000000002</v>
      </c>
      <c r="K3082" s="31">
        <f t="shared" ref="K3082:K3087" si="3593">IF($F3082=6.3,$H3082*$B$25,0)</f>
        <v>0</v>
      </c>
      <c r="L3082" s="31">
        <f t="shared" ref="L3082:L3087" si="3594">IF($F3082=8,$H3082*$B$26,0)</f>
        <v>0</v>
      </c>
      <c r="M3082" s="31">
        <f t="shared" ref="M3082:M3087" si="3595">IF($F3082=10,$H3082*$B$27,0)</f>
        <v>0</v>
      </c>
      <c r="N3082" s="31">
        <f t="shared" ref="N3082:N3087" si="3596">IF($F3082=12.5,$H3082*$B$28,0)</f>
        <v>0</v>
      </c>
      <c r="O3082" s="31">
        <f t="shared" ref="O3082:O3087" si="3597">IF($F3082=16,$H3082*$B$29,0)</f>
        <v>0</v>
      </c>
      <c r="P3082" s="31">
        <f t="shared" ref="P3082:P3087" si="3598">IF($F3082=20,$H3082*$B$30,0)</f>
        <v>0</v>
      </c>
      <c r="Q3082" s="49">
        <f t="shared" ref="Q3082:Q3087" si="3599">IF($F3082=25,$H3082*$B$31,0)</f>
        <v>0</v>
      </c>
    </row>
    <row r="3083" spans="4:17" s="62" customFormat="1" x14ac:dyDescent="0.3">
      <c r="D3083" s="235">
        <v>12</v>
      </c>
      <c r="E3083" s="240">
        <f>2*1</f>
        <v>2</v>
      </c>
      <c r="F3083" s="241">
        <v>6.3</v>
      </c>
      <c r="G3083" s="242">
        <v>0.71</v>
      </c>
      <c r="H3083" s="239">
        <f t="shared" si="3590"/>
        <v>1.42</v>
      </c>
      <c r="I3083" s="131">
        <f t="shared" si="3591"/>
        <v>0</v>
      </c>
      <c r="J3083" s="31">
        <f t="shared" si="3592"/>
        <v>0</v>
      </c>
      <c r="K3083" s="31">
        <f t="shared" si="3593"/>
        <v>0.34789999999999999</v>
      </c>
      <c r="L3083" s="31">
        <f t="shared" si="3594"/>
        <v>0</v>
      </c>
      <c r="M3083" s="31">
        <f t="shared" si="3595"/>
        <v>0</v>
      </c>
      <c r="N3083" s="31">
        <f t="shared" si="3596"/>
        <v>0</v>
      </c>
      <c r="O3083" s="31">
        <f t="shared" si="3597"/>
        <v>0</v>
      </c>
      <c r="P3083" s="31">
        <f t="shared" si="3598"/>
        <v>0</v>
      </c>
      <c r="Q3083" s="49">
        <f t="shared" si="3599"/>
        <v>0</v>
      </c>
    </row>
    <row r="3084" spans="4:17" s="62" customFormat="1" x14ac:dyDescent="0.3">
      <c r="D3084" s="235">
        <v>29</v>
      </c>
      <c r="E3084" s="240">
        <f>2*3</f>
        <v>6</v>
      </c>
      <c r="F3084" s="241">
        <v>10</v>
      </c>
      <c r="G3084" s="242">
        <v>3.99</v>
      </c>
      <c r="H3084" s="239">
        <f t="shared" si="3590"/>
        <v>23.94</v>
      </c>
      <c r="I3084" s="131">
        <f t="shared" si="3591"/>
        <v>0</v>
      </c>
      <c r="J3084" s="31">
        <f t="shared" si="3592"/>
        <v>0</v>
      </c>
      <c r="K3084" s="31">
        <f t="shared" si="3593"/>
        <v>0</v>
      </c>
      <c r="L3084" s="31">
        <f t="shared" si="3594"/>
        <v>0</v>
      </c>
      <c r="M3084" s="31">
        <f t="shared" si="3595"/>
        <v>14.77098</v>
      </c>
      <c r="N3084" s="31">
        <f t="shared" si="3596"/>
        <v>0</v>
      </c>
      <c r="O3084" s="31">
        <f t="shared" si="3597"/>
        <v>0</v>
      </c>
      <c r="P3084" s="31">
        <f t="shared" si="3598"/>
        <v>0</v>
      </c>
      <c r="Q3084" s="49">
        <f t="shared" si="3599"/>
        <v>0</v>
      </c>
    </row>
    <row r="3085" spans="4:17" s="62" customFormat="1" x14ac:dyDescent="0.3">
      <c r="D3085" s="235">
        <v>30</v>
      </c>
      <c r="E3085" s="240">
        <f>2*1</f>
        <v>2</v>
      </c>
      <c r="F3085" s="241">
        <v>10</v>
      </c>
      <c r="G3085" s="242">
        <v>1.93</v>
      </c>
      <c r="H3085" s="239">
        <f t="shared" si="3590"/>
        <v>3.86</v>
      </c>
      <c r="I3085" s="131">
        <f t="shared" si="3591"/>
        <v>0</v>
      </c>
      <c r="J3085" s="31">
        <f t="shared" si="3592"/>
        <v>0</v>
      </c>
      <c r="K3085" s="31">
        <f t="shared" si="3593"/>
        <v>0</v>
      </c>
      <c r="L3085" s="31">
        <f t="shared" si="3594"/>
        <v>0</v>
      </c>
      <c r="M3085" s="31">
        <f t="shared" si="3595"/>
        <v>2.3816199999999998</v>
      </c>
      <c r="N3085" s="31">
        <f t="shared" si="3596"/>
        <v>0</v>
      </c>
      <c r="O3085" s="31">
        <f t="shared" si="3597"/>
        <v>0</v>
      </c>
      <c r="P3085" s="31">
        <f t="shared" si="3598"/>
        <v>0</v>
      </c>
      <c r="Q3085" s="49">
        <f t="shared" si="3599"/>
        <v>0</v>
      </c>
    </row>
    <row r="3086" spans="4:17" s="62" customFormat="1" x14ac:dyDescent="0.3">
      <c r="D3086" s="235">
        <v>31</v>
      </c>
      <c r="E3086" s="240">
        <f>2*1</f>
        <v>2</v>
      </c>
      <c r="F3086" s="241">
        <v>10</v>
      </c>
      <c r="G3086" s="242">
        <v>4.4400000000000004</v>
      </c>
      <c r="H3086" s="239">
        <f t="shared" si="3590"/>
        <v>8.8800000000000008</v>
      </c>
      <c r="I3086" s="131">
        <f t="shared" si="3591"/>
        <v>0</v>
      </c>
      <c r="J3086" s="31">
        <f t="shared" si="3592"/>
        <v>0</v>
      </c>
      <c r="K3086" s="31">
        <f t="shared" si="3593"/>
        <v>0</v>
      </c>
      <c r="L3086" s="31">
        <f t="shared" si="3594"/>
        <v>0</v>
      </c>
      <c r="M3086" s="31">
        <f t="shared" si="3595"/>
        <v>5.4789600000000007</v>
      </c>
      <c r="N3086" s="31">
        <f t="shared" si="3596"/>
        <v>0</v>
      </c>
      <c r="O3086" s="31">
        <f t="shared" si="3597"/>
        <v>0</v>
      </c>
      <c r="P3086" s="31">
        <f t="shared" si="3598"/>
        <v>0</v>
      </c>
      <c r="Q3086" s="49">
        <f t="shared" si="3599"/>
        <v>0</v>
      </c>
    </row>
    <row r="3087" spans="4:17" s="62" customFormat="1" x14ac:dyDescent="0.3">
      <c r="D3087" s="235">
        <v>32</v>
      </c>
      <c r="E3087" s="240">
        <f>2*2</f>
        <v>4</v>
      </c>
      <c r="F3087" s="241">
        <v>10</v>
      </c>
      <c r="G3087" s="242">
        <v>4.54</v>
      </c>
      <c r="H3087" s="239">
        <f t="shared" si="3590"/>
        <v>18.16</v>
      </c>
      <c r="I3087" s="131">
        <f t="shared" si="3591"/>
        <v>0</v>
      </c>
      <c r="J3087" s="31">
        <f t="shared" si="3592"/>
        <v>0</v>
      </c>
      <c r="K3087" s="31">
        <f t="shared" si="3593"/>
        <v>0</v>
      </c>
      <c r="L3087" s="31">
        <f t="shared" si="3594"/>
        <v>0</v>
      </c>
      <c r="M3087" s="31">
        <f t="shared" si="3595"/>
        <v>11.20472</v>
      </c>
      <c r="N3087" s="31">
        <f t="shared" si="3596"/>
        <v>0</v>
      </c>
      <c r="O3087" s="31">
        <f t="shared" si="3597"/>
        <v>0</v>
      </c>
      <c r="P3087" s="31">
        <f t="shared" si="3598"/>
        <v>0</v>
      </c>
      <c r="Q3087" s="49">
        <f t="shared" si="3599"/>
        <v>0</v>
      </c>
    </row>
    <row r="3088" spans="4:17" s="62" customFormat="1" ht="15" thickBot="1" x14ac:dyDescent="0.35">
      <c r="D3088" s="307"/>
      <c r="E3088" s="26"/>
      <c r="F3088" s="206"/>
      <c r="G3088" s="207"/>
      <c r="H3088" s="207"/>
      <c r="I3088" s="51"/>
      <c r="J3088" s="308"/>
      <c r="K3088" s="308"/>
      <c r="L3088" s="308"/>
      <c r="M3088" s="308"/>
      <c r="N3088" s="308"/>
      <c r="O3088" s="308"/>
      <c r="P3088" s="308"/>
      <c r="Q3088" s="309"/>
    </row>
    <row r="3089" spans="4:17" s="62" customFormat="1" x14ac:dyDescent="0.3">
      <c r="D3089" s="796" t="s">
        <v>1716</v>
      </c>
      <c r="E3089" s="797"/>
      <c r="F3089" s="797"/>
      <c r="G3089" s="797"/>
      <c r="H3089" s="797"/>
      <c r="I3089" s="47">
        <f t="shared" ref="I3089:Q3089" si="3600">SUM(I3090:I3101)</f>
        <v>0</v>
      </c>
      <c r="J3089" s="47">
        <f t="shared" si="3600"/>
        <v>7.741579999999999</v>
      </c>
      <c r="K3089" s="47">
        <f t="shared" si="3600"/>
        <v>0.34789999999999999</v>
      </c>
      <c r="L3089" s="47">
        <f t="shared" si="3600"/>
        <v>1.7853999999999999</v>
      </c>
      <c r="M3089" s="47">
        <f t="shared" si="3600"/>
        <v>36.785539999999997</v>
      </c>
      <c r="N3089" s="47">
        <f t="shared" si="3600"/>
        <v>0</v>
      </c>
      <c r="O3089" s="47">
        <f t="shared" si="3600"/>
        <v>0</v>
      </c>
      <c r="P3089" s="47">
        <f t="shared" si="3600"/>
        <v>0</v>
      </c>
      <c r="Q3089" s="47">
        <f t="shared" si="3600"/>
        <v>0</v>
      </c>
    </row>
    <row r="3090" spans="4:17" s="62" customFormat="1" x14ac:dyDescent="0.3">
      <c r="D3090" s="235">
        <v>8</v>
      </c>
      <c r="E3090" s="237">
        <v>23</v>
      </c>
      <c r="F3090" s="238">
        <v>5</v>
      </c>
      <c r="G3090" s="239">
        <v>1.27</v>
      </c>
      <c r="H3090" s="239">
        <f t="shared" ref="H3090:H3101" si="3601">E3090*G3090</f>
        <v>29.21</v>
      </c>
      <c r="I3090" s="131">
        <f t="shared" ref="I3090:I3101" si="3602">IF($F3090=4.2,H3090*$B$23,0)</f>
        <v>0</v>
      </c>
      <c r="J3090" s="31">
        <f t="shared" ref="J3090:J3101" si="3603">IF($F3090=5,$H3090*$B$24,0)</f>
        <v>4.4983399999999998</v>
      </c>
      <c r="K3090" s="31">
        <f t="shared" ref="K3090:K3101" si="3604">IF($F3090=6.3,$H3090*$B$25,0)</f>
        <v>0</v>
      </c>
      <c r="L3090" s="31">
        <f t="shared" ref="L3090:L3101" si="3605">IF($F3090=8,$H3090*$B$26,0)</f>
        <v>0</v>
      </c>
      <c r="M3090" s="31">
        <f t="shared" ref="M3090:M3101" si="3606">IF($F3090=10,$H3090*$B$27,0)</f>
        <v>0</v>
      </c>
      <c r="N3090" s="31">
        <f t="shared" ref="N3090:N3101" si="3607">IF($F3090=12.5,$H3090*$B$28,0)</f>
        <v>0</v>
      </c>
      <c r="O3090" s="31">
        <f t="shared" ref="O3090:O3101" si="3608">IF($F3090=16,$H3090*$B$29,0)</f>
        <v>0</v>
      </c>
      <c r="P3090" s="31">
        <f t="shared" ref="P3090:P3101" si="3609">IF($F3090=20,$H3090*$B$30,0)</f>
        <v>0</v>
      </c>
      <c r="Q3090" s="49">
        <f t="shared" ref="Q3090:Q3101" si="3610">IF($F3090=25,$H3090*$B$31,0)</f>
        <v>0</v>
      </c>
    </row>
    <row r="3091" spans="4:17" s="62" customFormat="1" x14ac:dyDescent="0.3">
      <c r="D3091" s="235">
        <v>9</v>
      </c>
      <c r="E3091" s="240">
        <v>18</v>
      </c>
      <c r="F3091" s="241">
        <v>5</v>
      </c>
      <c r="G3091" s="242">
        <v>1.17</v>
      </c>
      <c r="H3091" s="239">
        <f t="shared" si="3601"/>
        <v>21.06</v>
      </c>
      <c r="I3091" s="131">
        <f t="shared" si="3602"/>
        <v>0</v>
      </c>
      <c r="J3091" s="31">
        <f t="shared" si="3603"/>
        <v>3.2432399999999997</v>
      </c>
      <c r="K3091" s="31">
        <f t="shared" si="3604"/>
        <v>0</v>
      </c>
      <c r="L3091" s="31">
        <f t="shared" si="3605"/>
        <v>0</v>
      </c>
      <c r="M3091" s="31">
        <f t="shared" si="3606"/>
        <v>0</v>
      </c>
      <c r="N3091" s="31">
        <f t="shared" si="3607"/>
        <v>0</v>
      </c>
      <c r="O3091" s="31">
        <f t="shared" si="3608"/>
        <v>0</v>
      </c>
      <c r="P3091" s="31">
        <f t="shared" si="3609"/>
        <v>0</v>
      </c>
      <c r="Q3091" s="49">
        <f t="shared" si="3610"/>
        <v>0</v>
      </c>
    </row>
    <row r="3092" spans="4:17" s="62" customFormat="1" x14ac:dyDescent="0.3">
      <c r="D3092" s="235">
        <v>12</v>
      </c>
      <c r="E3092" s="240">
        <v>2</v>
      </c>
      <c r="F3092" s="241">
        <v>6.3</v>
      </c>
      <c r="G3092" s="242">
        <v>0.71</v>
      </c>
      <c r="H3092" s="239">
        <f t="shared" si="3601"/>
        <v>1.42</v>
      </c>
      <c r="I3092" s="131">
        <f t="shared" si="3602"/>
        <v>0</v>
      </c>
      <c r="J3092" s="31">
        <f t="shared" si="3603"/>
        <v>0</v>
      </c>
      <c r="K3092" s="31">
        <f t="shared" si="3604"/>
        <v>0.34789999999999999</v>
      </c>
      <c r="L3092" s="31">
        <f t="shared" si="3605"/>
        <v>0</v>
      </c>
      <c r="M3092" s="31">
        <f t="shared" si="3606"/>
        <v>0</v>
      </c>
      <c r="N3092" s="31">
        <f t="shared" si="3607"/>
        <v>0</v>
      </c>
      <c r="O3092" s="31">
        <f t="shared" si="3608"/>
        <v>0</v>
      </c>
      <c r="P3092" s="31">
        <f t="shared" si="3609"/>
        <v>0</v>
      </c>
      <c r="Q3092" s="49">
        <f t="shared" si="3610"/>
        <v>0</v>
      </c>
    </row>
    <row r="3093" spans="4:17" s="62" customFormat="1" x14ac:dyDescent="0.3">
      <c r="D3093" s="235">
        <v>15</v>
      </c>
      <c r="E3093" s="240">
        <v>4</v>
      </c>
      <c r="F3093" s="241">
        <v>8</v>
      </c>
      <c r="G3093" s="242">
        <v>1.1299999999999999</v>
      </c>
      <c r="H3093" s="239">
        <f t="shared" si="3601"/>
        <v>4.5199999999999996</v>
      </c>
      <c r="I3093" s="131">
        <f t="shared" si="3602"/>
        <v>0</v>
      </c>
      <c r="J3093" s="31">
        <f t="shared" si="3603"/>
        <v>0</v>
      </c>
      <c r="K3093" s="31">
        <f t="shared" si="3604"/>
        <v>0</v>
      </c>
      <c r="L3093" s="31">
        <f t="shared" si="3605"/>
        <v>1.7853999999999999</v>
      </c>
      <c r="M3093" s="31">
        <f t="shared" si="3606"/>
        <v>0</v>
      </c>
      <c r="N3093" s="31">
        <f t="shared" si="3607"/>
        <v>0</v>
      </c>
      <c r="O3093" s="31">
        <f t="shared" si="3608"/>
        <v>0</v>
      </c>
      <c r="P3093" s="31">
        <f t="shared" si="3609"/>
        <v>0</v>
      </c>
      <c r="Q3093" s="49">
        <f t="shared" si="3610"/>
        <v>0</v>
      </c>
    </row>
    <row r="3094" spans="4:17" s="62" customFormat="1" x14ac:dyDescent="0.3">
      <c r="D3094" s="235">
        <v>33</v>
      </c>
      <c r="E3094" s="240">
        <v>3</v>
      </c>
      <c r="F3094" s="241">
        <v>10</v>
      </c>
      <c r="G3094" s="242">
        <v>4.4400000000000004</v>
      </c>
      <c r="H3094" s="239">
        <f t="shared" si="3601"/>
        <v>13.32</v>
      </c>
      <c r="I3094" s="131">
        <f t="shared" si="3602"/>
        <v>0</v>
      </c>
      <c r="J3094" s="31">
        <f t="shared" si="3603"/>
        <v>0</v>
      </c>
      <c r="K3094" s="31">
        <f t="shared" si="3604"/>
        <v>0</v>
      </c>
      <c r="L3094" s="31">
        <f t="shared" si="3605"/>
        <v>0</v>
      </c>
      <c r="M3094" s="31">
        <f t="shared" si="3606"/>
        <v>8.2184399999999993</v>
      </c>
      <c r="N3094" s="31">
        <f t="shared" si="3607"/>
        <v>0</v>
      </c>
      <c r="O3094" s="31">
        <f t="shared" si="3608"/>
        <v>0</v>
      </c>
      <c r="P3094" s="31">
        <f t="shared" si="3609"/>
        <v>0</v>
      </c>
      <c r="Q3094" s="49">
        <f t="shared" si="3610"/>
        <v>0</v>
      </c>
    </row>
    <row r="3095" spans="4:17" s="62" customFormat="1" x14ac:dyDescent="0.3">
      <c r="D3095" s="235">
        <v>34</v>
      </c>
      <c r="E3095" s="240">
        <v>1</v>
      </c>
      <c r="F3095" s="241">
        <v>10</v>
      </c>
      <c r="G3095" s="242">
        <v>2.48</v>
      </c>
      <c r="H3095" s="239">
        <f t="shared" si="3601"/>
        <v>2.48</v>
      </c>
      <c r="I3095" s="131">
        <f t="shared" si="3602"/>
        <v>0</v>
      </c>
      <c r="J3095" s="31">
        <f t="shared" si="3603"/>
        <v>0</v>
      </c>
      <c r="K3095" s="31">
        <f t="shared" si="3604"/>
        <v>0</v>
      </c>
      <c r="L3095" s="31">
        <f t="shared" si="3605"/>
        <v>0</v>
      </c>
      <c r="M3095" s="31">
        <f t="shared" si="3606"/>
        <v>1.53016</v>
      </c>
      <c r="N3095" s="31">
        <f t="shared" si="3607"/>
        <v>0</v>
      </c>
      <c r="O3095" s="31">
        <f t="shared" si="3608"/>
        <v>0</v>
      </c>
      <c r="P3095" s="31">
        <f t="shared" si="3609"/>
        <v>0</v>
      </c>
      <c r="Q3095" s="49">
        <f t="shared" si="3610"/>
        <v>0</v>
      </c>
    </row>
    <row r="3096" spans="4:17" s="62" customFormat="1" x14ac:dyDescent="0.3">
      <c r="D3096" s="235">
        <v>35</v>
      </c>
      <c r="E3096" s="240">
        <v>4</v>
      </c>
      <c r="F3096" s="241">
        <v>10</v>
      </c>
      <c r="G3096" s="242">
        <v>4.22</v>
      </c>
      <c r="H3096" s="239">
        <f t="shared" si="3601"/>
        <v>16.88</v>
      </c>
      <c r="I3096" s="131">
        <f t="shared" si="3602"/>
        <v>0</v>
      </c>
      <c r="J3096" s="31">
        <f t="shared" si="3603"/>
        <v>0</v>
      </c>
      <c r="K3096" s="31">
        <f t="shared" si="3604"/>
        <v>0</v>
      </c>
      <c r="L3096" s="31">
        <f t="shared" si="3605"/>
        <v>0</v>
      </c>
      <c r="M3096" s="31">
        <f t="shared" si="3606"/>
        <v>10.414959999999999</v>
      </c>
      <c r="N3096" s="31">
        <f t="shared" si="3607"/>
        <v>0</v>
      </c>
      <c r="O3096" s="31">
        <f t="shared" si="3608"/>
        <v>0</v>
      </c>
      <c r="P3096" s="31">
        <f t="shared" si="3609"/>
        <v>0</v>
      </c>
      <c r="Q3096" s="49">
        <f t="shared" si="3610"/>
        <v>0</v>
      </c>
    </row>
    <row r="3097" spans="4:17" s="62" customFormat="1" x14ac:dyDescent="0.3">
      <c r="D3097" s="235">
        <v>36</v>
      </c>
      <c r="E3097" s="240">
        <v>1</v>
      </c>
      <c r="F3097" s="241">
        <v>10</v>
      </c>
      <c r="G3097" s="242">
        <v>2.7</v>
      </c>
      <c r="H3097" s="239">
        <f t="shared" si="3601"/>
        <v>2.7</v>
      </c>
      <c r="I3097" s="131">
        <f t="shared" si="3602"/>
        <v>0</v>
      </c>
      <c r="J3097" s="31">
        <f t="shared" si="3603"/>
        <v>0</v>
      </c>
      <c r="K3097" s="31">
        <f t="shared" si="3604"/>
        <v>0</v>
      </c>
      <c r="L3097" s="31">
        <f t="shared" si="3605"/>
        <v>0</v>
      </c>
      <c r="M3097" s="31">
        <f t="shared" si="3606"/>
        <v>1.6659000000000002</v>
      </c>
      <c r="N3097" s="31">
        <f t="shared" si="3607"/>
        <v>0</v>
      </c>
      <c r="O3097" s="31">
        <f t="shared" si="3608"/>
        <v>0</v>
      </c>
      <c r="P3097" s="31">
        <f t="shared" si="3609"/>
        <v>0</v>
      </c>
      <c r="Q3097" s="49">
        <f t="shared" si="3610"/>
        <v>0</v>
      </c>
    </row>
    <row r="3098" spans="4:17" s="62" customFormat="1" x14ac:dyDescent="0.3">
      <c r="D3098" s="235">
        <v>37</v>
      </c>
      <c r="E3098" s="240">
        <v>1</v>
      </c>
      <c r="F3098" s="241">
        <v>10</v>
      </c>
      <c r="G3098" s="242">
        <v>5.91</v>
      </c>
      <c r="H3098" s="239">
        <f t="shared" si="3601"/>
        <v>5.91</v>
      </c>
      <c r="I3098" s="131">
        <f t="shared" si="3602"/>
        <v>0</v>
      </c>
      <c r="J3098" s="31">
        <f t="shared" si="3603"/>
        <v>0</v>
      </c>
      <c r="K3098" s="31">
        <f t="shared" si="3604"/>
        <v>0</v>
      </c>
      <c r="L3098" s="31">
        <f t="shared" si="3605"/>
        <v>0</v>
      </c>
      <c r="M3098" s="31">
        <f t="shared" si="3606"/>
        <v>3.6464699999999999</v>
      </c>
      <c r="N3098" s="31">
        <f t="shared" si="3607"/>
        <v>0</v>
      </c>
      <c r="O3098" s="31">
        <f t="shared" si="3608"/>
        <v>0</v>
      </c>
      <c r="P3098" s="31">
        <f t="shared" si="3609"/>
        <v>0</v>
      </c>
      <c r="Q3098" s="49">
        <f t="shared" si="3610"/>
        <v>0</v>
      </c>
    </row>
    <row r="3099" spans="4:17" s="62" customFormat="1" x14ac:dyDescent="0.3">
      <c r="D3099" s="235">
        <v>38</v>
      </c>
      <c r="E3099" s="240">
        <v>2</v>
      </c>
      <c r="F3099" s="241">
        <v>10</v>
      </c>
      <c r="G3099" s="242">
        <v>6.54</v>
      </c>
      <c r="H3099" s="239">
        <f t="shared" si="3601"/>
        <v>13.08</v>
      </c>
      <c r="I3099" s="131">
        <f t="shared" si="3602"/>
        <v>0</v>
      </c>
      <c r="J3099" s="31">
        <f t="shared" si="3603"/>
        <v>0</v>
      </c>
      <c r="K3099" s="31">
        <f t="shared" si="3604"/>
        <v>0</v>
      </c>
      <c r="L3099" s="31">
        <f t="shared" si="3605"/>
        <v>0</v>
      </c>
      <c r="M3099" s="31">
        <f t="shared" si="3606"/>
        <v>8.0703599999999991</v>
      </c>
      <c r="N3099" s="31">
        <f t="shared" si="3607"/>
        <v>0</v>
      </c>
      <c r="O3099" s="31">
        <f t="shared" si="3608"/>
        <v>0</v>
      </c>
      <c r="P3099" s="31">
        <f t="shared" si="3609"/>
        <v>0</v>
      </c>
      <c r="Q3099" s="49">
        <f t="shared" si="3610"/>
        <v>0</v>
      </c>
    </row>
    <row r="3100" spans="4:17" s="62" customFormat="1" x14ac:dyDescent="0.3">
      <c r="D3100" s="235">
        <v>39</v>
      </c>
      <c r="E3100" s="240">
        <v>1</v>
      </c>
      <c r="F3100" s="241">
        <v>10</v>
      </c>
      <c r="G3100" s="242">
        <v>1.45</v>
      </c>
      <c r="H3100" s="239">
        <f t="shared" si="3601"/>
        <v>1.45</v>
      </c>
      <c r="I3100" s="131">
        <f t="shared" si="3602"/>
        <v>0</v>
      </c>
      <c r="J3100" s="31">
        <f t="shared" si="3603"/>
        <v>0</v>
      </c>
      <c r="K3100" s="31">
        <f t="shared" si="3604"/>
        <v>0</v>
      </c>
      <c r="L3100" s="31">
        <f t="shared" si="3605"/>
        <v>0</v>
      </c>
      <c r="M3100" s="31">
        <f t="shared" si="3606"/>
        <v>0.89464999999999995</v>
      </c>
      <c r="N3100" s="31">
        <f t="shared" si="3607"/>
        <v>0</v>
      </c>
      <c r="O3100" s="31">
        <f t="shared" si="3608"/>
        <v>0</v>
      </c>
      <c r="P3100" s="31">
        <f t="shared" si="3609"/>
        <v>0</v>
      </c>
      <c r="Q3100" s="49">
        <f t="shared" si="3610"/>
        <v>0</v>
      </c>
    </row>
    <row r="3101" spans="4:17" s="62" customFormat="1" x14ac:dyDescent="0.3">
      <c r="D3101" s="235">
        <v>40</v>
      </c>
      <c r="E3101" s="240">
        <v>2</v>
      </c>
      <c r="F3101" s="241">
        <v>10</v>
      </c>
      <c r="G3101" s="242">
        <v>1.9</v>
      </c>
      <c r="H3101" s="239">
        <f t="shared" si="3601"/>
        <v>3.8</v>
      </c>
      <c r="I3101" s="131">
        <f t="shared" si="3602"/>
        <v>0</v>
      </c>
      <c r="J3101" s="31">
        <f t="shared" si="3603"/>
        <v>0</v>
      </c>
      <c r="K3101" s="31">
        <f t="shared" si="3604"/>
        <v>0</v>
      </c>
      <c r="L3101" s="31">
        <f t="shared" si="3605"/>
        <v>0</v>
      </c>
      <c r="M3101" s="31">
        <f t="shared" si="3606"/>
        <v>2.3445999999999998</v>
      </c>
      <c r="N3101" s="31">
        <f t="shared" si="3607"/>
        <v>0</v>
      </c>
      <c r="O3101" s="31">
        <f t="shared" si="3608"/>
        <v>0</v>
      </c>
      <c r="P3101" s="31">
        <f t="shared" si="3609"/>
        <v>0</v>
      </c>
      <c r="Q3101" s="49">
        <f t="shared" si="3610"/>
        <v>0</v>
      </c>
    </row>
    <row r="3102" spans="4:17" s="62" customFormat="1" ht="15" thickBot="1" x14ac:dyDescent="0.35">
      <c r="D3102" s="307"/>
      <c r="E3102" s="26"/>
      <c r="F3102" s="206"/>
      <c r="G3102" s="207"/>
      <c r="H3102" s="207"/>
      <c r="I3102" s="51"/>
      <c r="J3102" s="308"/>
      <c r="K3102" s="308"/>
      <c r="L3102" s="308"/>
      <c r="M3102" s="308"/>
      <c r="N3102" s="308"/>
      <c r="O3102" s="308"/>
      <c r="P3102" s="308"/>
      <c r="Q3102" s="309"/>
    </row>
    <row r="3103" spans="4:17" s="62" customFormat="1" x14ac:dyDescent="0.3">
      <c r="D3103" s="796" t="s">
        <v>1717</v>
      </c>
      <c r="E3103" s="797"/>
      <c r="F3103" s="797"/>
      <c r="G3103" s="797"/>
      <c r="H3103" s="797"/>
      <c r="I3103" s="47">
        <f t="shared" ref="I3103:Q3103" si="3611">SUM(I3104:I3107)</f>
        <v>0</v>
      </c>
      <c r="J3103" s="47">
        <f t="shared" si="3611"/>
        <v>4.4983399999999998</v>
      </c>
      <c r="K3103" s="47">
        <f t="shared" si="3611"/>
        <v>0.5586000000000001</v>
      </c>
      <c r="L3103" s="47">
        <f t="shared" si="3611"/>
        <v>0</v>
      </c>
      <c r="M3103" s="47">
        <f t="shared" si="3611"/>
        <v>10.563040000000001</v>
      </c>
      <c r="N3103" s="47">
        <f t="shared" si="3611"/>
        <v>9.3796199999999992</v>
      </c>
      <c r="O3103" s="47">
        <f t="shared" si="3611"/>
        <v>0</v>
      </c>
      <c r="P3103" s="47">
        <f t="shared" si="3611"/>
        <v>0</v>
      </c>
      <c r="Q3103" s="47">
        <f t="shared" si="3611"/>
        <v>0</v>
      </c>
    </row>
    <row r="3104" spans="4:17" s="62" customFormat="1" x14ac:dyDescent="0.3">
      <c r="D3104" s="235">
        <v>8</v>
      </c>
      <c r="E3104" s="237">
        <v>23</v>
      </c>
      <c r="F3104" s="238">
        <v>5</v>
      </c>
      <c r="G3104" s="239">
        <v>1.27</v>
      </c>
      <c r="H3104" s="239">
        <f t="shared" ref="H3104:H3107" si="3612">E3104*G3104</f>
        <v>29.21</v>
      </c>
      <c r="I3104" s="131">
        <f t="shared" ref="I3104:I3107" si="3613">IF($F3104=4.2,H3104*$B$23,0)</f>
        <v>0</v>
      </c>
      <c r="J3104" s="31">
        <f t="shared" ref="J3104:J3107" si="3614">IF($F3104=5,$H3104*$B$24,0)</f>
        <v>4.4983399999999998</v>
      </c>
      <c r="K3104" s="31">
        <f t="shared" ref="K3104:K3107" si="3615">IF($F3104=6.3,$H3104*$B$25,0)</f>
        <v>0</v>
      </c>
      <c r="L3104" s="31">
        <f t="shared" ref="L3104:L3107" si="3616">IF($F3104=8,$H3104*$B$26,0)</f>
        <v>0</v>
      </c>
      <c r="M3104" s="31">
        <f t="shared" ref="M3104:M3107" si="3617">IF($F3104=10,$H3104*$B$27,0)</f>
        <v>0</v>
      </c>
      <c r="N3104" s="31">
        <f t="shared" ref="N3104:N3107" si="3618">IF($F3104=12.5,$H3104*$B$28,0)</f>
        <v>0</v>
      </c>
      <c r="O3104" s="31">
        <f t="shared" ref="O3104:O3107" si="3619">IF($F3104=16,$H3104*$B$29,0)</f>
        <v>0</v>
      </c>
      <c r="P3104" s="31">
        <f t="shared" ref="P3104:P3107" si="3620">IF($F3104=20,$H3104*$B$30,0)</f>
        <v>0</v>
      </c>
      <c r="Q3104" s="49">
        <f t="shared" ref="Q3104:Q3107" si="3621">IF($F3104=25,$H3104*$B$31,0)</f>
        <v>0</v>
      </c>
    </row>
    <row r="3105" spans="4:17" s="62" customFormat="1" x14ac:dyDescent="0.3">
      <c r="D3105" s="235">
        <v>11</v>
      </c>
      <c r="E3105" s="240">
        <v>3</v>
      </c>
      <c r="F3105" s="241">
        <v>6.3</v>
      </c>
      <c r="G3105" s="242">
        <v>0.76</v>
      </c>
      <c r="H3105" s="239">
        <f t="shared" si="3612"/>
        <v>2.2800000000000002</v>
      </c>
      <c r="I3105" s="131">
        <f t="shared" si="3613"/>
        <v>0</v>
      </c>
      <c r="J3105" s="31">
        <f t="shared" si="3614"/>
        <v>0</v>
      </c>
      <c r="K3105" s="31">
        <f t="shared" si="3615"/>
        <v>0.5586000000000001</v>
      </c>
      <c r="L3105" s="31">
        <f t="shared" si="3616"/>
        <v>0</v>
      </c>
      <c r="M3105" s="31">
        <f t="shared" si="3617"/>
        <v>0</v>
      </c>
      <c r="N3105" s="31">
        <f t="shared" si="3618"/>
        <v>0</v>
      </c>
      <c r="O3105" s="31">
        <f t="shared" si="3619"/>
        <v>0</v>
      </c>
      <c r="P3105" s="31">
        <f t="shared" si="3620"/>
        <v>0</v>
      </c>
      <c r="Q3105" s="49">
        <f t="shared" si="3621"/>
        <v>0</v>
      </c>
    </row>
    <row r="3106" spans="4:17" s="62" customFormat="1" x14ac:dyDescent="0.3">
      <c r="D3106" s="235">
        <v>28</v>
      </c>
      <c r="E3106" s="240">
        <v>4</v>
      </c>
      <c r="F3106" s="241">
        <v>10</v>
      </c>
      <c r="G3106" s="242">
        <v>4.28</v>
      </c>
      <c r="H3106" s="239">
        <f t="shared" si="3612"/>
        <v>17.12</v>
      </c>
      <c r="I3106" s="131">
        <f t="shared" si="3613"/>
        <v>0</v>
      </c>
      <c r="J3106" s="31">
        <f t="shared" si="3614"/>
        <v>0</v>
      </c>
      <c r="K3106" s="31">
        <f t="shared" si="3615"/>
        <v>0</v>
      </c>
      <c r="L3106" s="31">
        <f t="shared" si="3616"/>
        <v>0</v>
      </c>
      <c r="M3106" s="31">
        <f t="shared" si="3617"/>
        <v>10.563040000000001</v>
      </c>
      <c r="N3106" s="31">
        <f t="shared" si="3618"/>
        <v>0</v>
      </c>
      <c r="O3106" s="31">
        <f t="shared" si="3619"/>
        <v>0</v>
      </c>
      <c r="P3106" s="31">
        <f t="shared" si="3620"/>
        <v>0</v>
      </c>
      <c r="Q3106" s="49">
        <f t="shared" si="3621"/>
        <v>0</v>
      </c>
    </row>
    <row r="3107" spans="4:17" s="62" customFormat="1" x14ac:dyDescent="0.3">
      <c r="D3107" s="235">
        <v>58</v>
      </c>
      <c r="E3107" s="240">
        <v>2</v>
      </c>
      <c r="F3107" s="241">
        <v>12.5</v>
      </c>
      <c r="G3107" s="242">
        <v>4.87</v>
      </c>
      <c r="H3107" s="239">
        <f t="shared" si="3612"/>
        <v>9.74</v>
      </c>
      <c r="I3107" s="131">
        <f t="shared" si="3613"/>
        <v>0</v>
      </c>
      <c r="J3107" s="31">
        <f t="shared" si="3614"/>
        <v>0</v>
      </c>
      <c r="K3107" s="31">
        <f t="shared" si="3615"/>
        <v>0</v>
      </c>
      <c r="L3107" s="31">
        <f t="shared" si="3616"/>
        <v>0</v>
      </c>
      <c r="M3107" s="31">
        <f t="shared" si="3617"/>
        <v>0</v>
      </c>
      <c r="N3107" s="31">
        <f t="shared" si="3618"/>
        <v>9.3796199999999992</v>
      </c>
      <c r="O3107" s="31">
        <f t="shared" si="3619"/>
        <v>0</v>
      </c>
      <c r="P3107" s="31">
        <f t="shared" si="3620"/>
        <v>0</v>
      </c>
      <c r="Q3107" s="49">
        <f t="shared" si="3621"/>
        <v>0</v>
      </c>
    </row>
    <row r="3108" spans="4:17" s="62" customFormat="1" ht="15" thickBot="1" x14ac:dyDescent="0.35">
      <c r="D3108" s="307"/>
      <c r="E3108" s="26"/>
      <c r="F3108" s="206"/>
      <c r="G3108" s="207"/>
      <c r="H3108" s="207"/>
      <c r="I3108" s="51"/>
      <c r="J3108" s="308"/>
      <c r="K3108" s="308"/>
      <c r="L3108" s="308"/>
      <c r="M3108" s="308"/>
      <c r="N3108" s="308"/>
      <c r="O3108" s="308"/>
      <c r="P3108" s="308"/>
      <c r="Q3108" s="309"/>
    </row>
    <row r="3109" spans="4:17" s="62" customFormat="1" x14ac:dyDescent="0.3">
      <c r="D3109" s="796" t="s">
        <v>1718</v>
      </c>
      <c r="E3109" s="797"/>
      <c r="F3109" s="797"/>
      <c r="G3109" s="797"/>
      <c r="H3109" s="797"/>
      <c r="I3109" s="47">
        <f t="shared" ref="I3109:Q3109" si="3622">SUM(I3110:I3119)</f>
        <v>0</v>
      </c>
      <c r="J3109" s="47">
        <f t="shared" si="3622"/>
        <v>7.741579999999999</v>
      </c>
      <c r="K3109" s="47">
        <f t="shared" si="3622"/>
        <v>0.34789999999999999</v>
      </c>
      <c r="L3109" s="47">
        <f t="shared" si="3622"/>
        <v>4.5662000000000003</v>
      </c>
      <c r="M3109" s="47">
        <f t="shared" si="3622"/>
        <v>32.707169999999998</v>
      </c>
      <c r="N3109" s="47">
        <f t="shared" si="3622"/>
        <v>0</v>
      </c>
      <c r="O3109" s="47">
        <f t="shared" si="3622"/>
        <v>0</v>
      </c>
      <c r="P3109" s="47">
        <f t="shared" si="3622"/>
        <v>0</v>
      </c>
      <c r="Q3109" s="47">
        <f t="shared" si="3622"/>
        <v>0</v>
      </c>
    </row>
    <row r="3110" spans="4:17" s="62" customFormat="1" x14ac:dyDescent="0.3">
      <c r="D3110" s="235">
        <v>8</v>
      </c>
      <c r="E3110" s="237">
        <v>23</v>
      </c>
      <c r="F3110" s="238">
        <v>5</v>
      </c>
      <c r="G3110" s="239">
        <v>1.27</v>
      </c>
      <c r="H3110" s="239">
        <f t="shared" ref="H3110:H3119" si="3623">E3110*G3110</f>
        <v>29.21</v>
      </c>
      <c r="I3110" s="131">
        <f t="shared" ref="I3110:I3119" si="3624">IF($F3110=4.2,H3110*$B$23,0)</f>
        <v>0</v>
      </c>
      <c r="J3110" s="31">
        <f t="shared" ref="J3110:J3119" si="3625">IF($F3110=5,$H3110*$B$24,0)</f>
        <v>4.4983399999999998</v>
      </c>
      <c r="K3110" s="31">
        <f t="shared" ref="K3110:K3119" si="3626">IF($F3110=6.3,$H3110*$B$25,0)</f>
        <v>0</v>
      </c>
      <c r="L3110" s="31">
        <f t="shared" ref="L3110:L3119" si="3627">IF($F3110=8,$H3110*$B$26,0)</f>
        <v>0</v>
      </c>
      <c r="M3110" s="31">
        <f t="shared" ref="M3110:M3119" si="3628">IF($F3110=10,$H3110*$B$27,0)</f>
        <v>0</v>
      </c>
      <c r="N3110" s="31">
        <f t="shared" ref="N3110:N3119" si="3629">IF($F3110=12.5,$H3110*$B$28,0)</f>
        <v>0</v>
      </c>
      <c r="O3110" s="31">
        <f t="shared" ref="O3110:O3119" si="3630">IF($F3110=16,$H3110*$B$29,0)</f>
        <v>0</v>
      </c>
      <c r="P3110" s="31">
        <f t="shared" ref="P3110:P3119" si="3631">IF($F3110=20,$H3110*$B$30,0)</f>
        <v>0</v>
      </c>
      <c r="Q3110" s="49">
        <f t="shared" ref="Q3110:Q3119" si="3632">IF($F3110=25,$H3110*$B$31,0)</f>
        <v>0</v>
      </c>
    </row>
    <row r="3111" spans="4:17" s="62" customFormat="1" x14ac:dyDescent="0.3">
      <c r="D3111" s="235">
        <v>9</v>
      </c>
      <c r="E3111" s="240">
        <v>18</v>
      </c>
      <c r="F3111" s="241">
        <v>5</v>
      </c>
      <c r="G3111" s="242">
        <v>1.17</v>
      </c>
      <c r="H3111" s="239">
        <f t="shared" si="3623"/>
        <v>21.06</v>
      </c>
      <c r="I3111" s="131">
        <f t="shared" si="3624"/>
        <v>0</v>
      </c>
      <c r="J3111" s="31">
        <f t="shared" si="3625"/>
        <v>3.2432399999999997</v>
      </c>
      <c r="K3111" s="31">
        <f t="shared" si="3626"/>
        <v>0</v>
      </c>
      <c r="L3111" s="31">
        <f t="shared" si="3627"/>
        <v>0</v>
      </c>
      <c r="M3111" s="31">
        <f t="shared" si="3628"/>
        <v>0</v>
      </c>
      <c r="N3111" s="31">
        <f t="shared" si="3629"/>
        <v>0</v>
      </c>
      <c r="O3111" s="31">
        <f t="shared" si="3630"/>
        <v>0</v>
      </c>
      <c r="P3111" s="31">
        <f t="shared" si="3631"/>
        <v>0</v>
      </c>
      <c r="Q3111" s="49">
        <f t="shared" si="3632"/>
        <v>0</v>
      </c>
    </row>
    <row r="3112" spans="4:17" s="62" customFormat="1" x14ac:dyDescent="0.3">
      <c r="D3112" s="235">
        <v>12</v>
      </c>
      <c r="E3112" s="240">
        <v>2</v>
      </c>
      <c r="F3112" s="241">
        <v>6.3</v>
      </c>
      <c r="G3112" s="242">
        <v>0.71</v>
      </c>
      <c r="H3112" s="239">
        <f t="shared" si="3623"/>
        <v>1.42</v>
      </c>
      <c r="I3112" s="131">
        <f t="shared" si="3624"/>
        <v>0</v>
      </c>
      <c r="J3112" s="31">
        <f t="shared" si="3625"/>
        <v>0</v>
      </c>
      <c r="K3112" s="31">
        <f t="shared" si="3626"/>
        <v>0.34789999999999999</v>
      </c>
      <c r="L3112" s="31">
        <f t="shared" si="3627"/>
        <v>0</v>
      </c>
      <c r="M3112" s="31">
        <f t="shared" si="3628"/>
        <v>0</v>
      </c>
      <c r="N3112" s="31">
        <f t="shared" si="3629"/>
        <v>0</v>
      </c>
      <c r="O3112" s="31">
        <f t="shared" si="3630"/>
        <v>0</v>
      </c>
      <c r="P3112" s="31">
        <f t="shared" si="3631"/>
        <v>0</v>
      </c>
      <c r="Q3112" s="49">
        <f t="shared" si="3632"/>
        <v>0</v>
      </c>
    </row>
    <row r="3113" spans="4:17" s="62" customFormat="1" x14ac:dyDescent="0.3">
      <c r="D3113" s="235">
        <v>16</v>
      </c>
      <c r="E3113" s="240">
        <v>4</v>
      </c>
      <c r="F3113" s="241">
        <v>8</v>
      </c>
      <c r="G3113" s="242">
        <v>1.26</v>
      </c>
      <c r="H3113" s="239">
        <f t="shared" si="3623"/>
        <v>5.04</v>
      </c>
      <c r="I3113" s="131">
        <f t="shared" si="3624"/>
        <v>0</v>
      </c>
      <c r="J3113" s="31">
        <f t="shared" si="3625"/>
        <v>0</v>
      </c>
      <c r="K3113" s="31">
        <f t="shared" si="3626"/>
        <v>0</v>
      </c>
      <c r="L3113" s="31">
        <f t="shared" si="3627"/>
        <v>1.9908000000000001</v>
      </c>
      <c r="M3113" s="31">
        <f t="shared" si="3628"/>
        <v>0</v>
      </c>
      <c r="N3113" s="31">
        <f t="shared" si="3629"/>
        <v>0</v>
      </c>
      <c r="O3113" s="31">
        <f t="shared" si="3630"/>
        <v>0</v>
      </c>
      <c r="P3113" s="31">
        <f t="shared" si="3631"/>
        <v>0</v>
      </c>
      <c r="Q3113" s="49">
        <f t="shared" si="3632"/>
        <v>0</v>
      </c>
    </row>
    <row r="3114" spans="4:17" s="62" customFormat="1" x14ac:dyDescent="0.3">
      <c r="D3114" s="235">
        <v>17</v>
      </c>
      <c r="E3114" s="240">
        <v>4</v>
      </c>
      <c r="F3114" s="241">
        <v>8</v>
      </c>
      <c r="G3114" s="242">
        <v>1.63</v>
      </c>
      <c r="H3114" s="239">
        <f t="shared" si="3623"/>
        <v>6.52</v>
      </c>
      <c r="I3114" s="131">
        <f t="shared" si="3624"/>
        <v>0</v>
      </c>
      <c r="J3114" s="31">
        <f t="shared" si="3625"/>
        <v>0</v>
      </c>
      <c r="K3114" s="31">
        <f t="shared" si="3626"/>
        <v>0</v>
      </c>
      <c r="L3114" s="31">
        <f t="shared" si="3627"/>
        <v>2.5754000000000001</v>
      </c>
      <c r="M3114" s="31">
        <f t="shared" si="3628"/>
        <v>0</v>
      </c>
      <c r="N3114" s="31">
        <f t="shared" si="3629"/>
        <v>0</v>
      </c>
      <c r="O3114" s="31">
        <f t="shared" si="3630"/>
        <v>0</v>
      </c>
      <c r="P3114" s="31">
        <f t="shared" si="3631"/>
        <v>0</v>
      </c>
      <c r="Q3114" s="49">
        <f t="shared" si="3632"/>
        <v>0</v>
      </c>
    </row>
    <row r="3115" spans="4:17" s="62" customFormat="1" x14ac:dyDescent="0.3">
      <c r="D3115" s="235">
        <v>33</v>
      </c>
      <c r="E3115" s="240">
        <v>3</v>
      </c>
      <c r="F3115" s="241">
        <v>10</v>
      </c>
      <c r="G3115" s="242">
        <v>4.4400000000000004</v>
      </c>
      <c r="H3115" s="239">
        <f t="shared" si="3623"/>
        <v>13.32</v>
      </c>
      <c r="I3115" s="131">
        <f t="shared" si="3624"/>
        <v>0</v>
      </c>
      <c r="J3115" s="31">
        <f t="shared" si="3625"/>
        <v>0</v>
      </c>
      <c r="K3115" s="31">
        <f t="shared" si="3626"/>
        <v>0</v>
      </c>
      <c r="L3115" s="31">
        <f t="shared" si="3627"/>
        <v>0</v>
      </c>
      <c r="M3115" s="31">
        <f t="shared" si="3628"/>
        <v>8.2184399999999993</v>
      </c>
      <c r="N3115" s="31">
        <f t="shared" si="3629"/>
        <v>0</v>
      </c>
      <c r="O3115" s="31">
        <f t="shared" si="3630"/>
        <v>0</v>
      </c>
      <c r="P3115" s="31">
        <f t="shared" si="3631"/>
        <v>0</v>
      </c>
      <c r="Q3115" s="49">
        <f t="shared" si="3632"/>
        <v>0</v>
      </c>
    </row>
    <row r="3116" spans="4:17" s="62" customFormat="1" x14ac:dyDescent="0.3">
      <c r="D3116" s="235">
        <v>36</v>
      </c>
      <c r="E3116" s="240">
        <v>1</v>
      </c>
      <c r="F3116" s="241">
        <v>10</v>
      </c>
      <c r="G3116" s="242">
        <v>2.7</v>
      </c>
      <c r="H3116" s="239">
        <f t="shared" si="3623"/>
        <v>2.7</v>
      </c>
      <c r="I3116" s="131">
        <f t="shared" si="3624"/>
        <v>0</v>
      </c>
      <c r="J3116" s="31">
        <f t="shared" si="3625"/>
        <v>0</v>
      </c>
      <c r="K3116" s="31">
        <f t="shared" si="3626"/>
        <v>0</v>
      </c>
      <c r="L3116" s="31">
        <f t="shared" si="3627"/>
        <v>0</v>
      </c>
      <c r="M3116" s="31">
        <f t="shared" si="3628"/>
        <v>1.6659000000000002</v>
      </c>
      <c r="N3116" s="31">
        <f t="shared" si="3629"/>
        <v>0</v>
      </c>
      <c r="O3116" s="31">
        <f t="shared" si="3630"/>
        <v>0</v>
      </c>
      <c r="P3116" s="31">
        <f t="shared" si="3631"/>
        <v>0</v>
      </c>
      <c r="Q3116" s="49">
        <f t="shared" si="3632"/>
        <v>0</v>
      </c>
    </row>
    <row r="3117" spans="4:17" s="62" customFormat="1" x14ac:dyDescent="0.3">
      <c r="D3117" s="235">
        <v>37</v>
      </c>
      <c r="E3117" s="240">
        <v>1</v>
      </c>
      <c r="F3117" s="241">
        <v>10</v>
      </c>
      <c r="G3117" s="242">
        <v>5.91</v>
      </c>
      <c r="H3117" s="239">
        <f t="shared" si="3623"/>
        <v>5.91</v>
      </c>
      <c r="I3117" s="131">
        <f t="shared" si="3624"/>
        <v>0</v>
      </c>
      <c r="J3117" s="31">
        <f t="shared" si="3625"/>
        <v>0</v>
      </c>
      <c r="K3117" s="31">
        <f t="shared" si="3626"/>
        <v>0</v>
      </c>
      <c r="L3117" s="31">
        <f t="shared" si="3627"/>
        <v>0</v>
      </c>
      <c r="M3117" s="31">
        <f t="shared" si="3628"/>
        <v>3.6464699999999999</v>
      </c>
      <c r="N3117" s="31">
        <f t="shared" si="3629"/>
        <v>0</v>
      </c>
      <c r="O3117" s="31">
        <f t="shared" si="3630"/>
        <v>0</v>
      </c>
      <c r="P3117" s="31">
        <f t="shared" si="3631"/>
        <v>0</v>
      </c>
      <c r="Q3117" s="49">
        <f t="shared" si="3632"/>
        <v>0</v>
      </c>
    </row>
    <row r="3118" spans="4:17" s="62" customFormat="1" x14ac:dyDescent="0.3">
      <c r="D3118" s="235">
        <v>38</v>
      </c>
      <c r="E3118" s="240">
        <v>2</v>
      </c>
      <c r="F3118" s="241">
        <v>10</v>
      </c>
      <c r="G3118" s="242">
        <v>6.54</v>
      </c>
      <c r="H3118" s="239">
        <f t="shared" si="3623"/>
        <v>13.08</v>
      </c>
      <c r="I3118" s="131">
        <f t="shared" si="3624"/>
        <v>0</v>
      </c>
      <c r="J3118" s="31">
        <f t="shared" si="3625"/>
        <v>0</v>
      </c>
      <c r="K3118" s="31">
        <f t="shared" si="3626"/>
        <v>0</v>
      </c>
      <c r="L3118" s="31">
        <f t="shared" si="3627"/>
        <v>0</v>
      </c>
      <c r="M3118" s="31">
        <f t="shared" si="3628"/>
        <v>8.0703599999999991</v>
      </c>
      <c r="N3118" s="31">
        <f t="shared" si="3629"/>
        <v>0</v>
      </c>
      <c r="O3118" s="31">
        <f t="shared" si="3630"/>
        <v>0</v>
      </c>
      <c r="P3118" s="31">
        <f t="shared" si="3631"/>
        <v>0</v>
      </c>
      <c r="Q3118" s="49">
        <f t="shared" si="3632"/>
        <v>0</v>
      </c>
    </row>
    <row r="3119" spans="4:17" s="62" customFormat="1" x14ac:dyDescent="0.3">
      <c r="D3119" s="235">
        <v>41</v>
      </c>
      <c r="E3119" s="240">
        <v>4</v>
      </c>
      <c r="F3119" s="241">
        <v>10</v>
      </c>
      <c r="G3119" s="242">
        <v>4.5</v>
      </c>
      <c r="H3119" s="239">
        <f t="shared" si="3623"/>
        <v>18</v>
      </c>
      <c r="I3119" s="131">
        <f t="shared" si="3624"/>
        <v>0</v>
      </c>
      <c r="J3119" s="31">
        <f t="shared" si="3625"/>
        <v>0</v>
      </c>
      <c r="K3119" s="31">
        <f t="shared" si="3626"/>
        <v>0</v>
      </c>
      <c r="L3119" s="31">
        <f t="shared" si="3627"/>
        <v>0</v>
      </c>
      <c r="M3119" s="31">
        <f t="shared" si="3628"/>
        <v>11.106</v>
      </c>
      <c r="N3119" s="31">
        <f t="shared" si="3629"/>
        <v>0</v>
      </c>
      <c r="O3119" s="31">
        <f t="shared" si="3630"/>
        <v>0</v>
      </c>
      <c r="P3119" s="31">
        <f t="shared" si="3631"/>
        <v>0</v>
      </c>
      <c r="Q3119" s="49">
        <f t="shared" si="3632"/>
        <v>0</v>
      </c>
    </row>
    <row r="3120" spans="4:17" s="62" customFormat="1" ht="15" thickBot="1" x14ac:dyDescent="0.35">
      <c r="D3120" s="307"/>
      <c r="E3120" s="26"/>
      <c r="F3120" s="206"/>
      <c r="G3120" s="207"/>
      <c r="H3120" s="207"/>
      <c r="I3120" s="51"/>
      <c r="J3120" s="308"/>
      <c r="K3120" s="308"/>
      <c r="L3120" s="308"/>
      <c r="M3120" s="308"/>
      <c r="N3120" s="308"/>
      <c r="O3120" s="308"/>
      <c r="P3120" s="308"/>
      <c r="Q3120" s="309"/>
    </row>
    <row r="3121" spans="4:17" s="62" customFormat="1" x14ac:dyDescent="0.3">
      <c r="D3121" s="796" t="s">
        <v>1719</v>
      </c>
      <c r="E3121" s="797"/>
      <c r="F3121" s="797"/>
      <c r="G3121" s="797"/>
      <c r="H3121" s="797"/>
      <c r="I3121" s="47">
        <f t="shared" ref="I3121:Q3121" si="3633">SUM(I3122:I3127)</f>
        <v>0</v>
      </c>
      <c r="J3121" s="47">
        <f t="shared" si="3633"/>
        <v>6.4541400000000007</v>
      </c>
      <c r="K3121" s="47">
        <f t="shared" si="3633"/>
        <v>0</v>
      </c>
      <c r="L3121" s="47">
        <f t="shared" si="3633"/>
        <v>0</v>
      </c>
      <c r="M3121" s="47">
        <f t="shared" si="3633"/>
        <v>28.252429999999997</v>
      </c>
      <c r="N3121" s="47">
        <f t="shared" si="3633"/>
        <v>0</v>
      </c>
      <c r="O3121" s="47">
        <f t="shared" si="3633"/>
        <v>0</v>
      </c>
      <c r="P3121" s="47">
        <f t="shared" si="3633"/>
        <v>0</v>
      </c>
      <c r="Q3121" s="47">
        <f t="shared" si="3633"/>
        <v>0</v>
      </c>
    </row>
    <row r="3122" spans="4:17" s="62" customFormat="1" x14ac:dyDescent="0.3">
      <c r="D3122" s="235">
        <v>8</v>
      </c>
      <c r="E3122" s="237">
        <v>33</v>
      </c>
      <c r="F3122" s="238">
        <v>5</v>
      </c>
      <c r="G3122" s="239">
        <v>1.27</v>
      </c>
      <c r="H3122" s="239">
        <f t="shared" ref="H3122:H3127" si="3634">E3122*G3122</f>
        <v>41.910000000000004</v>
      </c>
      <c r="I3122" s="131">
        <f t="shared" ref="I3122:I3127" si="3635">IF($F3122=4.2,H3122*$B$23,0)</f>
        <v>0</v>
      </c>
      <c r="J3122" s="31">
        <f t="shared" ref="J3122:J3127" si="3636">IF($F3122=5,$H3122*$B$24,0)</f>
        <v>6.4541400000000007</v>
      </c>
      <c r="K3122" s="31">
        <f t="shared" ref="K3122:K3127" si="3637">IF($F3122=6.3,$H3122*$B$25,0)</f>
        <v>0</v>
      </c>
      <c r="L3122" s="31">
        <f t="shared" ref="L3122:L3127" si="3638">IF($F3122=8,$H3122*$B$26,0)</f>
        <v>0</v>
      </c>
      <c r="M3122" s="31">
        <f t="shared" ref="M3122:M3127" si="3639">IF($F3122=10,$H3122*$B$27,0)</f>
        <v>0</v>
      </c>
      <c r="N3122" s="31">
        <f t="shared" ref="N3122:N3127" si="3640">IF($F3122=12.5,$H3122*$B$28,0)</f>
        <v>0</v>
      </c>
      <c r="O3122" s="31">
        <f t="shared" ref="O3122:O3127" si="3641">IF($F3122=16,$H3122*$B$29,0)</f>
        <v>0</v>
      </c>
      <c r="P3122" s="31">
        <f t="shared" ref="P3122:P3127" si="3642">IF($F3122=20,$H3122*$B$30,0)</f>
        <v>0</v>
      </c>
      <c r="Q3122" s="49">
        <f t="shared" ref="Q3122:Q3127" si="3643">IF($F3122=25,$H3122*$B$31,0)</f>
        <v>0</v>
      </c>
    </row>
    <row r="3123" spans="4:17" s="62" customFormat="1" x14ac:dyDescent="0.3">
      <c r="D3123" s="235">
        <v>27</v>
      </c>
      <c r="E3123" s="240">
        <v>4</v>
      </c>
      <c r="F3123" s="241">
        <v>10</v>
      </c>
      <c r="G3123" s="242">
        <v>6.33</v>
      </c>
      <c r="H3123" s="239">
        <f t="shared" si="3634"/>
        <v>25.32</v>
      </c>
      <c r="I3123" s="131">
        <f t="shared" si="3635"/>
        <v>0</v>
      </c>
      <c r="J3123" s="31">
        <f t="shared" si="3636"/>
        <v>0</v>
      </c>
      <c r="K3123" s="31">
        <f t="shared" si="3637"/>
        <v>0</v>
      </c>
      <c r="L3123" s="31">
        <f t="shared" si="3638"/>
        <v>0</v>
      </c>
      <c r="M3123" s="31">
        <f t="shared" si="3639"/>
        <v>15.622439999999999</v>
      </c>
      <c r="N3123" s="31">
        <f t="shared" si="3640"/>
        <v>0</v>
      </c>
      <c r="O3123" s="31">
        <f t="shared" si="3641"/>
        <v>0</v>
      </c>
      <c r="P3123" s="31">
        <f t="shared" si="3642"/>
        <v>0</v>
      </c>
      <c r="Q3123" s="49">
        <f t="shared" si="3643"/>
        <v>0</v>
      </c>
    </row>
    <row r="3124" spans="4:17" s="62" customFormat="1" x14ac:dyDescent="0.3">
      <c r="D3124" s="235">
        <v>42</v>
      </c>
      <c r="E3124" s="240">
        <v>1</v>
      </c>
      <c r="F3124" s="241">
        <v>10</v>
      </c>
      <c r="G3124" s="242">
        <v>2.94</v>
      </c>
      <c r="H3124" s="239">
        <f t="shared" si="3634"/>
        <v>2.94</v>
      </c>
      <c r="I3124" s="131">
        <f t="shared" si="3635"/>
        <v>0</v>
      </c>
      <c r="J3124" s="31">
        <f t="shared" si="3636"/>
        <v>0</v>
      </c>
      <c r="K3124" s="31">
        <f t="shared" si="3637"/>
        <v>0</v>
      </c>
      <c r="L3124" s="31">
        <f t="shared" si="3638"/>
        <v>0</v>
      </c>
      <c r="M3124" s="31">
        <f t="shared" si="3639"/>
        <v>1.8139799999999999</v>
      </c>
      <c r="N3124" s="31">
        <f t="shared" si="3640"/>
        <v>0</v>
      </c>
      <c r="O3124" s="31">
        <f t="shared" si="3641"/>
        <v>0</v>
      </c>
      <c r="P3124" s="31">
        <f t="shared" si="3642"/>
        <v>0</v>
      </c>
      <c r="Q3124" s="49">
        <f t="shared" si="3643"/>
        <v>0</v>
      </c>
    </row>
    <row r="3125" spans="4:17" s="62" customFormat="1" x14ac:dyDescent="0.3">
      <c r="D3125" s="235">
        <v>43</v>
      </c>
      <c r="E3125" s="240">
        <v>1</v>
      </c>
      <c r="F3125" s="241">
        <v>10</v>
      </c>
      <c r="G3125" s="242">
        <v>2.0699999999999998</v>
      </c>
      <c r="H3125" s="239">
        <f t="shared" si="3634"/>
        <v>2.0699999999999998</v>
      </c>
      <c r="I3125" s="131">
        <f t="shared" si="3635"/>
        <v>0</v>
      </c>
      <c r="J3125" s="31">
        <f t="shared" si="3636"/>
        <v>0</v>
      </c>
      <c r="K3125" s="31">
        <f t="shared" si="3637"/>
        <v>0</v>
      </c>
      <c r="L3125" s="31">
        <f t="shared" si="3638"/>
        <v>0</v>
      </c>
      <c r="M3125" s="31">
        <f t="shared" si="3639"/>
        <v>1.2771899999999998</v>
      </c>
      <c r="N3125" s="31">
        <f t="shared" si="3640"/>
        <v>0</v>
      </c>
      <c r="O3125" s="31">
        <f t="shared" si="3641"/>
        <v>0</v>
      </c>
      <c r="P3125" s="31">
        <f t="shared" si="3642"/>
        <v>0</v>
      </c>
      <c r="Q3125" s="49">
        <f t="shared" si="3643"/>
        <v>0</v>
      </c>
    </row>
    <row r="3126" spans="4:17" s="62" customFormat="1" x14ac:dyDescent="0.3">
      <c r="D3126" s="235">
        <v>44</v>
      </c>
      <c r="E3126" s="240">
        <v>1</v>
      </c>
      <c r="F3126" s="241">
        <v>10</v>
      </c>
      <c r="G3126" s="242">
        <v>2</v>
      </c>
      <c r="H3126" s="239">
        <f t="shared" si="3634"/>
        <v>2</v>
      </c>
      <c r="I3126" s="131">
        <f t="shared" si="3635"/>
        <v>0</v>
      </c>
      <c r="J3126" s="31">
        <f t="shared" si="3636"/>
        <v>0</v>
      </c>
      <c r="K3126" s="31">
        <f t="shared" si="3637"/>
        <v>0</v>
      </c>
      <c r="L3126" s="31">
        <f t="shared" si="3638"/>
        <v>0</v>
      </c>
      <c r="M3126" s="31">
        <f t="shared" si="3639"/>
        <v>1.234</v>
      </c>
      <c r="N3126" s="31">
        <f t="shared" si="3640"/>
        <v>0</v>
      </c>
      <c r="O3126" s="31">
        <f t="shared" si="3641"/>
        <v>0</v>
      </c>
      <c r="P3126" s="31">
        <f t="shared" si="3642"/>
        <v>0</v>
      </c>
      <c r="Q3126" s="49">
        <f t="shared" si="3643"/>
        <v>0</v>
      </c>
    </row>
    <row r="3127" spans="4:17" s="62" customFormat="1" x14ac:dyDescent="0.3">
      <c r="D3127" s="235">
        <v>45</v>
      </c>
      <c r="E3127" s="240">
        <v>2</v>
      </c>
      <c r="F3127" s="241">
        <v>10</v>
      </c>
      <c r="G3127" s="242">
        <v>6.73</v>
      </c>
      <c r="H3127" s="239">
        <f t="shared" si="3634"/>
        <v>13.46</v>
      </c>
      <c r="I3127" s="131">
        <f t="shared" si="3635"/>
        <v>0</v>
      </c>
      <c r="J3127" s="31">
        <f t="shared" si="3636"/>
        <v>0</v>
      </c>
      <c r="K3127" s="31">
        <f t="shared" si="3637"/>
        <v>0</v>
      </c>
      <c r="L3127" s="31">
        <f t="shared" si="3638"/>
        <v>0</v>
      </c>
      <c r="M3127" s="31">
        <f t="shared" si="3639"/>
        <v>8.3048200000000012</v>
      </c>
      <c r="N3127" s="31">
        <f t="shared" si="3640"/>
        <v>0</v>
      </c>
      <c r="O3127" s="31">
        <f t="shared" si="3641"/>
        <v>0</v>
      </c>
      <c r="P3127" s="31">
        <f t="shared" si="3642"/>
        <v>0</v>
      </c>
      <c r="Q3127" s="49">
        <f t="shared" si="3643"/>
        <v>0</v>
      </c>
    </row>
    <row r="3128" spans="4:17" s="62" customFormat="1" ht="15" thickBot="1" x14ac:dyDescent="0.35">
      <c r="D3128" s="307"/>
      <c r="E3128" s="26"/>
      <c r="F3128" s="206"/>
      <c r="G3128" s="207"/>
      <c r="H3128" s="207"/>
      <c r="I3128" s="51"/>
      <c r="J3128" s="308"/>
      <c r="K3128" s="308"/>
      <c r="L3128" s="308"/>
      <c r="M3128" s="308"/>
      <c r="N3128" s="308"/>
      <c r="O3128" s="308"/>
      <c r="P3128" s="308"/>
      <c r="Q3128" s="309"/>
    </row>
    <row r="3129" spans="4:17" s="62" customFormat="1" x14ac:dyDescent="0.3">
      <c r="D3129" s="796" t="s">
        <v>1720</v>
      </c>
      <c r="E3129" s="797"/>
      <c r="F3129" s="797"/>
      <c r="G3129" s="797"/>
      <c r="H3129" s="797"/>
      <c r="I3129" s="47">
        <f t="shared" ref="I3129:Q3129" si="3644">SUM(I3130:I3132)</f>
        <v>0</v>
      </c>
      <c r="J3129" s="47">
        <f t="shared" si="3644"/>
        <v>12.25224</v>
      </c>
      <c r="K3129" s="47">
        <f t="shared" si="3644"/>
        <v>0</v>
      </c>
      <c r="L3129" s="47">
        <f t="shared" si="3644"/>
        <v>0</v>
      </c>
      <c r="M3129" s="47">
        <f t="shared" si="3644"/>
        <v>73.274919999999995</v>
      </c>
      <c r="N3129" s="47">
        <f t="shared" si="3644"/>
        <v>0</v>
      </c>
      <c r="O3129" s="47">
        <f t="shared" si="3644"/>
        <v>0</v>
      </c>
      <c r="P3129" s="47">
        <f t="shared" si="3644"/>
        <v>0</v>
      </c>
      <c r="Q3129" s="47">
        <f t="shared" si="3644"/>
        <v>0</v>
      </c>
    </row>
    <row r="3130" spans="4:17" s="62" customFormat="1" x14ac:dyDescent="0.3">
      <c r="D3130" s="235">
        <v>9</v>
      </c>
      <c r="E3130" s="237">
        <f>2*34</f>
        <v>68</v>
      </c>
      <c r="F3130" s="238">
        <v>5</v>
      </c>
      <c r="G3130" s="239">
        <v>1.17</v>
      </c>
      <c r="H3130" s="239">
        <f t="shared" ref="H3130:H3132" si="3645">E3130*G3130</f>
        <v>79.56</v>
      </c>
      <c r="I3130" s="131">
        <f t="shared" ref="I3130:I3132" si="3646">IF($F3130=4.2,H3130*$B$23,0)</f>
        <v>0</v>
      </c>
      <c r="J3130" s="31">
        <f t="shared" ref="J3130:J3132" si="3647">IF($F3130=5,$H3130*$B$24,0)</f>
        <v>12.25224</v>
      </c>
      <c r="K3130" s="31">
        <f t="shared" ref="K3130:K3132" si="3648">IF($F3130=6.3,$H3130*$B$25,0)</f>
        <v>0</v>
      </c>
      <c r="L3130" s="31">
        <f t="shared" ref="L3130:L3132" si="3649">IF($F3130=8,$H3130*$B$26,0)</f>
        <v>0</v>
      </c>
      <c r="M3130" s="31">
        <f t="shared" ref="M3130:M3132" si="3650">IF($F3130=10,$H3130*$B$27,0)</f>
        <v>0</v>
      </c>
      <c r="N3130" s="31">
        <f t="shared" ref="N3130:N3132" si="3651">IF($F3130=12.5,$H3130*$B$28,0)</f>
        <v>0</v>
      </c>
      <c r="O3130" s="31">
        <f t="shared" ref="O3130:O3132" si="3652">IF($F3130=16,$H3130*$B$29,0)</f>
        <v>0</v>
      </c>
      <c r="P3130" s="31">
        <f t="shared" ref="P3130:P3132" si="3653">IF($F3130=20,$H3130*$B$30,0)</f>
        <v>0</v>
      </c>
      <c r="Q3130" s="49">
        <f t="shared" ref="Q3130:Q3132" si="3654">IF($F3130=25,$H3130*$B$31,0)</f>
        <v>0</v>
      </c>
    </row>
    <row r="3131" spans="4:17" s="62" customFormat="1" x14ac:dyDescent="0.3">
      <c r="D3131" s="235">
        <v>46</v>
      </c>
      <c r="E3131" s="240">
        <f>2*7</f>
        <v>14</v>
      </c>
      <c r="F3131" s="241">
        <v>10</v>
      </c>
      <c r="G3131" s="242">
        <v>8.09</v>
      </c>
      <c r="H3131" s="239">
        <f t="shared" si="3645"/>
        <v>113.25999999999999</v>
      </c>
      <c r="I3131" s="131">
        <f t="shared" si="3646"/>
        <v>0</v>
      </c>
      <c r="J3131" s="31">
        <f t="shared" si="3647"/>
        <v>0</v>
      </c>
      <c r="K3131" s="31">
        <f t="shared" si="3648"/>
        <v>0</v>
      </c>
      <c r="L3131" s="31">
        <f t="shared" si="3649"/>
        <v>0</v>
      </c>
      <c r="M3131" s="31">
        <f t="shared" si="3650"/>
        <v>69.881419999999991</v>
      </c>
      <c r="N3131" s="31">
        <f t="shared" si="3651"/>
        <v>0</v>
      </c>
      <c r="O3131" s="31">
        <f t="shared" si="3652"/>
        <v>0</v>
      </c>
      <c r="P3131" s="31">
        <f t="shared" si="3653"/>
        <v>0</v>
      </c>
      <c r="Q3131" s="49">
        <f t="shared" si="3654"/>
        <v>0</v>
      </c>
    </row>
    <row r="3132" spans="4:17" s="62" customFormat="1" x14ac:dyDescent="0.3">
      <c r="D3132" s="235">
        <v>47</v>
      </c>
      <c r="E3132" s="240">
        <f>2*1</f>
        <v>2</v>
      </c>
      <c r="F3132" s="241">
        <v>10</v>
      </c>
      <c r="G3132" s="242">
        <v>2.75</v>
      </c>
      <c r="H3132" s="239">
        <f t="shared" si="3645"/>
        <v>5.5</v>
      </c>
      <c r="I3132" s="131">
        <f t="shared" si="3646"/>
        <v>0</v>
      </c>
      <c r="J3132" s="31">
        <f t="shared" si="3647"/>
        <v>0</v>
      </c>
      <c r="K3132" s="31">
        <f t="shared" si="3648"/>
        <v>0</v>
      </c>
      <c r="L3132" s="31">
        <f t="shared" si="3649"/>
        <v>0</v>
      </c>
      <c r="M3132" s="31">
        <f t="shared" si="3650"/>
        <v>3.3935</v>
      </c>
      <c r="N3132" s="31">
        <f t="shared" si="3651"/>
        <v>0</v>
      </c>
      <c r="O3132" s="31">
        <f t="shared" si="3652"/>
        <v>0</v>
      </c>
      <c r="P3132" s="31">
        <f t="shared" si="3653"/>
        <v>0</v>
      </c>
      <c r="Q3132" s="49">
        <f t="shared" si="3654"/>
        <v>0</v>
      </c>
    </row>
    <row r="3133" spans="4:17" s="62" customFormat="1" ht="15" thickBot="1" x14ac:dyDescent="0.35">
      <c r="D3133" s="307"/>
      <c r="E3133" s="26"/>
      <c r="F3133" s="206"/>
      <c r="G3133" s="207"/>
      <c r="H3133" s="207"/>
      <c r="I3133" s="51"/>
      <c r="J3133" s="308"/>
      <c r="K3133" s="308"/>
      <c r="L3133" s="308"/>
      <c r="M3133" s="308"/>
      <c r="N3133" s="308"/>
      <c r="O3133" s="308"/>
      <c r="P3133" s="308"/>
      <c r="Q3133" s="309"/>
    </row>
    <row r="3134" spans="4:17" s="62" customFormat="1" x14ac:dyDescent="0.3">
      <c r="D3134" s="796" t="s">
        <v>1721</v>
      </c>
      <c r="E3134" s="797"/>
      <c r="F3134" s="797"/>
      <c r="G3134" s="797"/>
      <c r="H3134" s="797"/>
      <c r="I3134" s="47">
        <f t="shared" ref="I3134:Q3134" si="3655">SUM(I3135:I3143)</f>
        <v>0</v>
      </c>
      <c r="J3134" s="47">
        <f t="shared" si="3655"/>
        <v>4.6846799999999993</v>
      </c>
      <c r="K3134" s="47">
        <f t="shared" si="3655"/>
        <v>0</v>
      </c>
      <c r="L3134" s="47">
        <f t="shared" si="3655"/>
        <v>10.270000000000001</v>
      </c>
      <c r="M3134" s="47">
        <f t="shared" si="3655"/>
        <v>18.08427</v>
      </c>
      <c r="N3134" s="47">
        <f t="shared" si="3655"/>
        <v>0</v>
      </c>
      <c r="O3134" s="47">
        <f t="shared" si="3655"/>
        <v>0</v>
      </c>
      <c r="P3134" s="47">
        <f t="shared" si="3655"/>
        <v>0</v>
      </c>
      <c r="Q3134" s="47">
        <f t="shared" si="3655"/>
        <v>0</v>
      </c>
    </row>
    <row r="3135" spans="4:17" s="62" customFormat="1" x14ac:dyDescent="0.3">
      <c r="D3135" s="235">
        <v>9</v>
      </c>
      <c r="E3135" s="237">
        <v>26</v>
      </c>
      <c r="F3135" s="238">
        <v>5</v>
      </c>
      <c r="G3135" s="239">
        <v>1.17</v>
      </c>
      <c r="H3135" s="239">
        <f t="shared" ref="H3135:H3143" si="3656">E3135*G3135</f>
        <v>30.419999999999998</v>
      </c>
      <c r="I3135" s="131">
        <f t="shared" ref="I3135:I3143" si="3657">IF($F3135=4.2,H3135*$B$23,0)</f>
        <v>0</v>
      </c>
      <c r="J3135" s="31">
        <f t="shared" ref="J3135:J3143" si="3658">IF($F3135=5,$H3135*$B$24,0)</f>
        <v>4.6846799999999993</v>
      </c>
      <c r="K3135" s="31">
        <f t="shared" ref="K3135:K3143" si="3659">IF($F3135=6.3,$H3135*$B$25,0)</f>
        <v>0</v>
      </c>
      <c r="L3135" s="31">
        <f t="shared" ref="L3135:L3143" si="3660">IF($F3135=8,$H3135*$B$26,0)</f>
        <v>0</v>
      </c>
      <c r="M3135" s="31">
        <f t="shared" ref="M3135:M3143" si="3661">IF($F3135=10,$H3135*$B$27,0)</f>
        <v>0</v>
      </c>
      <c r="N3135" s="31">
        <f t="shared" ref="N3135:N3143" si="3662">IF($F3135=12.5,$H3135*$B$28,0)</f>
        <v>0</v>
      </c>
      <c r="O3135" s="31">
        <f t="shared" ref="O3135:O3143" si="3663">IF($F3135=16,$H3135*$B$29,0)</f>
        <v>0</v>
      </c>
      <c r="P3135" s="31">
        <f t="shared" ref="P3135:P3143" si="3664">IF($F3135=20,$H3135*$B$30,0)</f>
        <v>0</v>
      </c>
      <c r="Q3135" s="49">
        <f t="shared" ref="Q3135:Q3143" si="3665">IF($F3135=25,$H3135*$B$31,0)</f>
        <v>0</v>
      </c>
    </row>
    <row r="3136" spans="4:17" s="62" customFormat="1" x14ac:dyDescent="0.3">
      <c r="D3136" s="235">
        <v>18</v>
      </c>
      <c r="E3136" s="240">
        <v>1</v>
      </c>
      <c r="F3136" s="241">
        <v>8</v>
      </c>
      <c r="G3136" s="242">
        <v>2.8</v>
      </c>
      <c r="H3136" s="239">
        <f t="shared" si="3656"/>
        <v>2.8</v>
      </c>
      <c r="I3136" s="131">
        <f t="shared" si="3657"/>
        <v>0</v>
      </c>
      <c r="J3136" s="31">
        <f t="shared" si="3658"/>
        <v>0</v>
      </c>
      <c r="K3136" s="31">
        <f t="shared" si="3659"/>
        <v>0</v>
      </c>
      <c r="L3136" s="31">
        <f t="shared" si="3660"/>
        <v>1.1059999999999999</v>
      </c>
      <c r="M3136" s="31">
        <f t="shared" si="3661"/>
        <v>0</v>
      </c>
      <c r="N3136" s="31">
        <f t="shared" si="3662"/>
        <v>0</v>
      </c>
      <c r="O3136" s="31">
        <f t="shared" si="3663"/>
        <v>0</v>
      </c>
      <c r="P3136" s="31">
        <f t="shared" si="3664"/>
        <v>0</v>
      </c>
      <c r="Q3136" s="49">
        <f t="shared" si="3665"/>
        <v>0</v>
      </c>
    </row>
    <row r="3137" spans="4:17" s="62" customFormat="1" x14ac:dyDescent="0.3">
      <c r="D3137" s="235">
        <v>19</v>
      </c>
      <c r="E3137" s="240">
        <v>1</v>
      </c>
      <c r="F3137" s="241">
        <v>8</v>
      </c>
      <c r="G3137" s="242">
        <v>1.45</v>
      </c>
      <c r="H3137" s="239">
        <f t="shared" si="3656"/>
        <v>1.45</v>
      </c>
      <c r="I3137" s="131">
        <f t="shared" si="3657"/>
        <v>0</v>
      </c>
      <c r="J3137" s="31">
        <f t="shared" si="3658"/>
        <v>0</v>
      </c>
      <c r="K3137" s="31">
        <f t="shared" si="3659"/>
        <v>0</v>
      </c>
      <c r="L3137" s="31">
        <f t="shared" si="3660"/>
        <v>0.57274999999999998</v>
      </c>
      <c r="M3137" s="31">
        <f t="shared" si="3661"/>
        <v>0</v>
      </c>
      <c r="N3137" s="31">
        <f t="shared" si="3662"/>
        <v>0</v>
      </c>
      <c r="O3137" s="31">
        <f t="shared" si="3663"/>
        <v>0</v>
      </c>
      <c r="P3137" s="31">
        <f t="shared" si="3664"/>
        <v>0</v>
      </c>
      <c r="Q3137" s="49">
        <f t="shared" si="3665"/>
        <v>0</v>
      </c>
    </row>
    <row r="3138" spans="4:17" s="62" customFormat="1" x14ac:dyDescent="0.3">
      <c r="D3138" s="235">
        <v>20</v>
      </c>
      <c r="E3138" s="240">
        <v>1</v>
      </c>
      <c r="F3138" s="241">
        <v>8</v>
      </c>
      <c r="G3138" s="242">
        <v>2.4</v>
      </c>
      <c r="H3138" s="239">
        <f t="shared" si="3656"/>
        <v>2.4</v>
      </c>
      <c r="I3138" s="131">
        <f t="shared" si="3657"/>
        <v>0</v>
      </c>
      <c r="J3138" s="31">
        <f t="shared" si="3658"/>
        <v>0</v>
      </c>
      <c r="K3138" s="31">
        <f t="shared" si="3659"/>
        <v>0</v>
      </c>
      <c r="L3138" s="31">
        <f t="shared" si="3660"/>
        <v>0.94799999999999995</v>
      </c>
      <c r="M3138" s="31">
        <f t="shared" si="3661"/>
        <v>0</v>
      </c>
      <c r="N3138" s="31">
        <f t="shared" si="3662"/>
        <v>0</v>
      </c>
      <c r="O3138" s="31">
        <f t="shared" si="3663"/>
        <v>0</v>
      </c>
      <c r="P3138" s="31">
        <f t="shared" si="3664"/>
        <v>0</v>
      </c>
      <c r="Q3138" s="49">
        <f t="shared" si="3665"/>
        <v>0</v>
      </c>
    </row>
    <row r="3139" spans="4:17" s="62" customFormat="1" x14ac:dyDescent="0.3">
      <c r="D3139" s="235">
        <v>21</v>
      </c>
      <c r="E3139" s="240">
        <v>3</v>
      </c>
      <c r="F3139" s="241">
        <v>8</v>
      </c>
      <c r="G3139" s="242">
        <v>6.45</v>
      </c>
      <c r="H3139" s="239">
        <f t="shared" si="3656"/>
        <v>19.350000000000001</v>
      </c>
      <c r="I3139" s="131">
        <f t="shared" si="3657"/>
        <v>0</v>
      </c>
      <c r="J3139" s="31">
        <f t="shared" si="3658"/>
        <v>0</v>
      </c>
      <c r="K3139" s="31">
        <f t="shared" si="3659"/>
        <v>0</v>
      </c>
      <c r="L3139" s="31">
        <f t="shared" si="3660"/>
        <v>7.643250000000001</v>
      </c>
      <c r="M3139" s="31">
        <f t="shared" si="3661"/>
        <v>0</v>
      </c>
      <c r="N3139" s="31">
        <f t="shared" si="3662"/>
        <v>0</v>
      </c>
      <c r="O3139" s="31">
        <f t="shared" si="3663"/>
        <v>0</v>
      </c>
      <c r="P3139" s="31">
        <f t="shared" si="3664"/>
        <v>0</v>
      </c>
      <c r="Q3139" s="49">
        <f t="shared" si="3665"/>
        <v>0</v>
      </c>
    </row>
    <row r="3140" spans="4:17" s="62" customFormat="1" x14ac:dyDescent="0.3">
      <c r="D3140" s="235">
        <v>48</v>
      </c>
      <c r="E3140" s="240">
        <v>2</v>
      </c>
      <c r="F3140" s="241">
        <v>10</v>
      </c>
      <c r="G3140" s="242">
        <v>1.67</v>
      </c>
      <c r="H3140" s="239">
        <f t="shared" si="3656"/>
        <v>3.34</v>
      </c>
      <c r="I3140" s="131">
        <f t="shared" si="3657"/>
        <v>0</v>
      </c>
      <c r="J3140" s="31">
        <f t="shared" si="3658"/>
        <v>0</v>
      </c>
      <c r="K3140" s="31">
        <f t="shared" si="3659"/>
        <v>0</v>
      </c>
      <c r="L3140" s="31">
        <f t="shared" si="3660"/>
        <v>0</v>
      </c>
      <c r="M3140" s="31">
        <f t="shared" si="3661"/>
        <v>2.0607799999999998</v>
      </c>
      <c r="N3140" s="31">
        <f t="shared" si="3662"/>
        <v>0</v>
      </c>
      <c r="O3140" s="31">
        <f t="shared" si="3663"/>
        <v>0</v>
      </c>
      <c r="P3140" s="31">
        <f t="shared" si="3664"/>
        <v>0</v>
      </c>
      <c r="Q3140" s="49">
        <f t="shared" si="3665"/>
        <v>0</v>
      </c>
    </row>
    <row r="3141" spans="4:17" s="62" customFormat="1" x14ac:dyDescent="0.3">
      <c r="D3141" s="235">
        <v>49</v>
      </c>
      <c r="E3141" s="240">
        <v>1</v>
      </c>
      <c r="F3141" s="241">
        <v>10</v>
      </c>
      <c r="G3141" s="242">
        <v>2.93</v>
      </c>
      <c r="H3141" s="239">
        <f t="shared" si="3656"/>
        <v>2.93</v>
      </c>
      <c r="I3141" s="131">
        <f t="shared" si="3657"/>
        <v>0</v>
      </c>
      <c r="J3141" s="31">
        <f t="shared" si="3658"/>
        <v>0</v>
      </c>
      <c r="K3141" s="31">
        <f t="shared" si="3659"/>
        <v>0</v>
      </c>
      <c r="L3141" s="31">
        <f t="shared" si="3660"/>
        <v>0</v>
      </c>
      <c r="M3141" s="31">
        <f t="shared" si="3661"/>
        <v>1.8078100000000001</v>
      </c>
      <c r="N3141" s="31">
        <f t="shared" si="3662"/>
        <v>0</v>
      </c>
      <c r="O3141" s="31">
        <f t="shared" si="3663"/>
        <v>0</v>
      </c>
      <c r="P3141" s="31">
        <f t="shared" si="3664"/>
        <v>0</v>
      </c>
      <c r="Q3141" s="49">
        <f t="shared" si="3665"/>
        <v>0</v>
      </c>
    </row>
    <row r="3142" spans="4:17" s="62" customFormat="1" x14ac:dyDescent="0.3">
      <c r="D3142" s="235">
        <v>50</v>
      </c>
      <c r="E3142" s="240">
        <v>1</v>
      </c>
      <c r="F3142" s="241">
        <v>10</v>
      </c>
      <c r="G3142" s="242">
        <v>4.2</v>
      </c>
      <c r="H3142" s="239">
        <f t="shared" si="3656"/>
        <v>4.2</v>
      </c>
      <c r="I3142" s="131">
        <f t="shared" si="3657"/>
        <v>0</v>
      </c>
      <c r="J3142" s="31">
        <f t="shared" si="3658"/>
        <v>0</v>
      </c>
      <c r="K3142" s="31">
        <f t="shared" si="3659"/>
        <v>0</v>
      </c>
      <c r="L3142" s="31">
        <f t="shared" si="3660"/>
        <v>0</v>
      </c>
      <c r="M3142" s="31">
        <f t="shared" si="3661"/>
        <v>2.5914000000000001</v>
      </c>
      <c r="N3142" s="31">
        <f t="shared" si="3662"/>
        <v>0</v>
      </c>
      <c r="O3142" s="31">
        <f t="shared" si="3663"/>
        <v>0</v>
      </c>
      <c r="P3142" s="31">
        <f t="shared" si="3664"/>
        <v>0</v>
      </c>
      <c r="Q3142" s="49">
        <f t="shared" si="3665"/>
        <v>0</v>
      </c>
    </row>
    <row r="3143" spans="4:17" s="62" customFormat="1" x14ac:dyDescent="0.3">
      <c r="D3143" s="235">
        <v>51</v>
      </c>
      <c r="E3143" s="240">
        <v>3</v>
      </c>
      <c r="F3143" s="241">
        <v>10</v>
      </c>
      <c r="G3143" s="242">
        <v>6.28</v>
      </c>
      <c r="H3143" s="239">
        <f t="shared" si="3656"/>
        <v>18.84</v>
      </c>
      <c r="I3143" s="131">
        <f t="shared" si="3657"/>
        <v>0</v>
      </c>
      <c r="J3143" s="31">
        <f t="shared" si="3658"/>
        <v>0</v>
      </c>
      <c r="K3143" s="31">
        <f t="shared" si="3659"/>
        <v>0</v>
      </c>
      <c r="L3143" s="31">
        <f t="shared" si="3660"/>
        <v>0</v>
      </c>
      <c r="M3143" s="31">
        <f t="shared" si="3661"/>
        <v>11.624280000000001</v>
      </c>
      <c r="N3143" s="31">
        <f t="shared" si="3662"/>
        <v>0</v>
      </c>
      <c r="O3143" s="31">
        <f t="shared" si="3663"/>
        <v>0</v>
      </c>
      <c r="P3143" s="31">
        <f t="shared" si="3664"/>
        <v>0</v>
      </c>
      <c r="Q3143" s="49">
        <f t="shared" si="3665"/>
        <v>0</v>
      </c>
    </row>
    <row r="3144" spans="4:17" s="62" customFormat="1" ht="15" thickBot="1" x14ac:dyDescent="0.35">
      <c r="D3144" s="307"/>
      <c r="E3144" s="26"/>
      <c r="F3144" s="206"/>
      <c r="G3144" s="207"/>
      <c r="H3144" s="207"/>
      <c r="I3144" s="51"/>
      <c r="J3144" s="308"/>
      <c r="K3144" s="308"/>
      <c r="L3144" s="308"/>
      <c r="M3144" s="308"/>
      <c r="N3144" s="308"/>
      <c r="O3144" s="308"/>
      <c r="P3144" s="308"/>
      <c r="Q3144" s="309"/>
    </row>
    <row r="3145" spans="4:17" s="62" customFormat="1" x14ac:dyDescent="0.3">
      <c r="D3145" s="796" t="s">
        <v>1722</v>
      </c>
      <c r="E3145" s="797"/>
      <c r="F3145" s="797"/>
      <c r="G3145" s="797"/>
      <c r="H3145" s="797"/>
      <c r="I3145" s="47">
        <f t="shared" ref="I3145:Q3145" si="3666">SUM(I3146:I3151)</f>
        <v>0</v>
      </c>
      <c r="J3145" s="47">
        <f t="shared" si="3666"/>
        <v>3.7837800000000001</v>
      </c>
      <c r="K3145" s="47">
        <f t="shared" si="3666"/>
        <v>0</v>
      </c>
      <c r="L3145" s="47">
        <f t="shared" si="3666"/>
        <v>7.5168499999999998</v>
      </c>
      <c r="M3145" s="47">
        <f t="shared" si="3666"/>
        <v>12.13022</v>
      </c>
      <c r="N3145" s="47">
        <f t="shared" si="3666"/>
        <v>0</v>
      </c>
      <c r="O3145" s="47">
        <f t="shared" si="3666"/>
        <v>0</v>
      </c>
      <c r="P3145" s="47">
        <f t="shared" si="3666"/>
        <v>0</v>
      </c>
      <c r="Q3145" s="47">
        <f t="shared" si="3666"/>
        <v>0</v>
      </c>
    </row>
    <row r="3146" spans="4:17" s="62" customFormat="1" x14ac:dyDescent="0.3">
      <c r="D3146" s="235">
        <v>9</v>
      </c>
      <c r="E3146" s="237">
        <v>21</v>
      </c>
      <c r="F3146" s="238">
        <v>5</v>
      </c>
      <c r="G3146" s="239">
        <v>1.17</v>
      </c>
      <c r="H3146" s="239">
        <f t="shared" ref="H3146:H3151" si="3667">E3146*G3146</f>
        <v>24.57</v>
      </c>
      <c r="I3146" s="131">
        <f t="shared" ref="I3146:I3151" si="3668">IF($F3146=4.2,H3146*$B$23,0)</f>
        <v>0</v>
      </c>
      <c r="J3146" s="31">
        <f t="shared" ref="J3146:J3151" si="3669">IF($F3146=5,$H3146*$B$24,0)</f>
        <v>3.7837800000000001</v>
      </c>
      <c r="K3146" s="31">
        <f t="shared" ref="K3146:K3151" si="3670">IF($F3146=6.3,$H3146*$B$25,0)</f>
        <v>0</v>
      </c>
      <c r="L3146" s="31">
        <f t="shared" ref="L3146:L3151" si="3671">IF($F3146=8,$H3146*$B$26,0)</f>
        <v>0</v>
      </c>
      <c r="M3146" s="31">
        <f t="shared" ref="M3146:M3151" si="3672">IF($F3146=10,$H3146*$B$27,0)</f>
        <v>0</v>
      </c>
      <c r="N3146" s="31">
        <f t="shared" ref="N3146:N3151" si="3673">IF($F3146=12.5,$H3146*$B$28,0)</f>
        <v>0</v>
      </c>
      <c r="O3146" s="31">
        <f t="shared" ref="O3146:O3151" si="3674">IF($F3146=16,$H3146*$B$29,0)</f>
        <v>0</v>
      </c>
      <c r="P3146" s="31">
        <f t="shared" ref="P3146:P3151" si="3675">IF($F3146=20,$H3146*$B$30,0)</f>
        <v>0</v>
      </c>
      <c r="Q3146" s="49">
        <f t="shared" ref="Q3146:Q3151" si="3676">IF($F3146=25,$H3146*$B$31,0)</f>
        <v>0</v>
      </c>
    </row>
    <row r="3147" spans="4:17" s="62" customFormat="1" x14ac:dyDescent="0.3">
      <c r="D3147" s="235">
        <v>22</v>
      </c>
      <c r="E3147" s="240">
        <v>1</v>
      </c>
      <c r="F3147" s="241">
        <v>8</v>
      </c>
      <c r="G3147" s="242">
        <v>4.6900000000000004</v>
      </c>
      <c r="H3147" s="239">
        <f t="shared" si="3667"/>
        <v>4.6900000000000004</v>
      </c>
      <c r="I3147" s="131">
        <f t="shared" si="3668"/>
        <v>0</v>
      </c>
      <c r="J3147" s="31">
        <f t="shared" si="3669"/>
        <v>0</v>
      </c>
      <c r="K3147" s="31">
        <f t="shared" si="3670"/>
        <v>0</v>
      </c>
      <c r="L3147" s="31">
        <f t="shared" si="3671"/>
        <v>1.8525500000000001</v>
      </c>
      <c r="M3147" s="31">
        <f t="shared" si="3672"/>
        <v>0</v>
      </c>
      <c r="N3147" s="31">
        <f t="shared" si="3673"/>
        <v>0</v>
      </c>
      <c r="O3147" s="31">
        <f t="shared" si="3674"/>
        <v>0</v>
      </c>
      <c r="P3147" s="31">
        <f t="shared" si="3675"/>
        <v>0</v>
      </c>
      <c r="Q3147" s="49">
        <f t="shared" si="3676"/>
        <v>0</v>
      </c>
    </row>
    <row r="3148" spans="4:17" s="62" customFormat="1" x14ac:dyDescent="0.3">
      <c r="D3148" s="235">
        <v>23</v>
      </c>
      <c r="E3148" s="240">
        <v>3</v>
      </c>
      <c r="F3148" s="241">
        <v>8</v>
      </c>
      <c r="G3148" s="242">
        <v>4.78</v>
      </c>
      <c r="H3148" s="239">
        <f t="shared" si="3667"/>
        <v>14.34</v>
      </c>
      <c r="I3148" s="131">
        <f t="shared" si="3668"/>
        <v>0</v>
      </c>
      <c r="J3148" s="31">
        <f t="shared" si="3669"/>
        <v>0</v>
      </c>
      <c r="K3148" s="31">
        <f t="shared" si="3670"/>
        <v>0</v>
      </c>
      <c r="L3148" s="31">
        <f t="shared" si="3671"/>
        <v>5.6642999999999999</v>
      </c>
      <c r="M3148" s="31">
        <f t="shared" si="3672"/>
        <v>0</v>
      </c>
      <c r="N3148" s="31">
        <f t="shared" si="3673"/>
        <v>0</v>
      </c>
      <c r="O3148" s="31">
        <f t="shared" si="3674"/>
        <v>0</v>
      </c>
      <c r="P3148" s="31">
        <f t="shared" si="3675"/>
        <v>0</v>
      </c>
      <c r="Q3148" s="49">
        <f t="shared" si="3676"/>
        <v>0</v>
      </c>
    </row>
    <row r="3149" spans="4:17" s="62" customFormat="1" x14ac:dyDescent="0.3">
      <c r="D3149" s="235">
        <v>52</v>
      </c>
      <c r="E3149" s="240">
        <v>1</v>
      </c>
      <c r="F3149" s="241">
        <v>10</v>
      </c>
      <c r="G3149" s="242">
        <v>2.85</v>
      </c>
      <c r="H3149" s="239">
        <f t="shared" si="3667"/>
        <v>2.85</v>
      </c>
      <c r="I3149" s="131">
        <f t="shared" si="3668"/>
        <v>0</v>
      </c>
      <c r="J3149" s="31">
        <f t="shared" si="3669"/>
        <v>0</v>
      </c>
      <c r="K3149" s="31">
        <f t="shared" si="3670"/>
        <v>0</v>
      </c>
      <c r="L3149" s="31">
        <f t="shared" si="3671"/>
        <v>0</v>
      </c>
      <c r="M3149" s="31">
        <f t="shared" si="3672"/>
        <v>1.7584500000000001</v>
      </c>
      <c r="N3149" s="31">
        <f t="shared" si="3673"/>
        <v>0</v>
      </c>
      <c r="O3149" s="31">
        <f t="shared" si="3674"/>
        <v>0</v>
      </c>
      <c r="P3149" s="31">
        <f t="shared" si="3675"/>
        <v>0</v>
      </c>
      <c r="Q3149" s="49">
        <f t="shared" si="3676"/>
        <v>0</v>
      </c>
    </row>
    <row r="3150" spans="4:17" s="62" customFormat="1" x14ac:dyDescent="0.3">
      <c r="D3150" s="235">
        <v>53</v>
      </c>
      <c r="E3150" s="240">
        <v>1</v>
      </c>
      <c r="F3150" s="241">
        <v>10</v>
      </c>
      <c r="G3150" s="242">
        <v>4.18</v>
      </c>
      <c r="H3150" s="239">
        <f t="shared" si="3667"/>
        <v>4.18</v>
      </c>
      <c r="I3150" s="131">
        <f t="shared" si="3668"/>
        <v>0</v>
      </c>
      <c r="J3150" s="31">
        <f t="shared" si="3669"/>
        <v>0</v>
      </c>
      <c r="K3150" s="31">
        <f t="shared" si="3670"/>
        <v>0</v>
      </c>
      <c r="L3150" s="31">
        <f t="shared" si="3671"/>
        <v>0</v>
      </c>
      <c r="M3150" s="31">
        <f t="shared" si="3672"/>
        <v>2.5790599999999997</v>
      </c>
      <c r="N3150" s="31">
        <f t="shared" si="3673"/>
        <v>0</v>
      </c>
      <c r="O3150" s="31">
        <f t="shared" si="3674"/>
        <v>0</v>
      </c>
      <c r="P3150" s="31">
        <f t="shared" si="3675"/>
        <v>0</v>
      </c>
      <c r="Q3150" s="49">
        <f t="shared" si="3676"/>
        <v>0</v>
      </c>
    </row>
    <row r="3151" spans="4:17" s="62" customFormat="1" x14ac:dyDescent="0.3">
      <c r="D3151" s="235">
        <v>54</v>
      </c>
      <c r="E3151" s="240">
        <v>3</v>
      </c>
      <c r="F3151" s="241">
        <v>10</v>
      </c>
      <c r="G3151" s="242">
        <v>4.21</v>
      </c>
      <c r="H3151" s="239">
        <f t="shared" si="3667"/>
        <v>12.629999999999999</v>
      </c>
      <c r="I3151" s="131">
        <f t="shared" si="3668"/>
        <v>0</v>
      </c>
      <c r="J3151" s="31">
        <f t="shared" si="3669"/>
        <v>0</v>
      </c>
      <c r="K3151" s="31">
        <f t="shared" si="3670"/>
        <v>0</v>
      </c>
      <c r="L3151" s="31">
        <f t="shared" si="3671"/>
        <v>0</v>
      </c>
      <c r="M3151" s="31">
        <f t="shared" si="3672"/>
        <v>7.7927099999999996</v>
      </c>
      <c r="N3151" s="31">
        <f t="shared" si="3673"/>
        <v>0</v>
      </c>
      <c r="O3151" s="31">
        <f t="shared" si="3674"/>
        <v>0</v>
      </c>
      <c r="P3151" s="31">
        <f t="shared" si="3675"/>
        <v>0</v>
      </c>
      <c r="Q3151" s="49">
        <f t="shared" si="3676"/>
        <v>0</v>
      </c>
    </row>
    <row r="3152" spans="4:17" s="62" customFormat="1" ht="15" thickBot="1" x14ac:dyDescent="0.35">
      <c r="D3152" s="307"/>
      <c r="E3152" s="26"/>
      <c r="F3152" s="206"/>
      <c r="G3152" s="207"/>
      <c r="H3152" s="207"/>
      <c r="I3152" s="51"/>
      <c r="J3152" s="308"/>
      <c r="K3152" s="308"/>
      <c r="L3152" s="308"/>
      <c r="M3152" s="308"/>
      <c r="N3152" s="308"/>
      <c r="O3152" s="308"/>
      <c r="P3152" s="308"/>
      <c r="Q3152" s="309"/>
    </row>
    <row r="3153" spans="4:17" s="62" customFormat="1" x14ac:dyDescent="0.3">
      <c r="D3153" s="796" t="s">
        <v>1723</v>
      </c>
      <c r="E3153" s="797"/>
      <c r="F3153" s="797"/>
      <c r="G3153" s="797"/>
      <c r="H3153" s="797"/>
      <c r="I3153" s="47">
        <f t="shared" ref="I3153:Q3153" si="3677">SUM(I3154:I3162)</f>
        <v>0</v>
      </c>
      <c r="J3153" s="47">
        <f t="shared" si="3677"/>
        <v>0</v>
      </c>
      <c r="K3153" s="47">
        <f t="shared" si="3677"/>
        <v>13.523999999999999</v>
      </c>
      <c r="L3153" s="47">
        <f t="shared" si="3677"/>
        <v>0</v>
      </c>
      <c r="M3153" s="47">
        <f t="shared" si="3677"/>
        <v>6.0527700000000006</v>
      </c>
      <c r="N3153" s="47">
        <f t="shared" si="3677"/>
        <v>13.770900000000001</v>
      </c>
      <c r="O3153" s="47">
        <f t="shared" si="3677"/>
        <v>0</v>
      </c>
      <c r="P3153" s="47">
        <f t="shared" si="3677"/>
        <v>103.65</v>
      </c>
      <c r="Q3153" s="47">
        <f t="shared" si="3677"/>
        <v>0</v>
      </c>
    </row>
    <row r="3154" spans="4:17" s="62" customFormat="1" x14ac:dyDescent="0.3">
      <c r="D3154" s="235">
        <v>4</v>
      </c>
      <c r="E3154" s="237">
        <v>40</v>
      </c>
      <c r="F3154" s="238">
        <v>6.3</v>
      </c>
      <c r="G3154" s="239">
        <v>1.38</v>
      </c>
      <c r="H3154" s="239">
        <f t="shared" ref="H3154:H3162" si="3678">E3154*G3154</f>
        <v>55.199999999999996</v>
      </c>
      <c r="I3154" s="131">
        <f t="shared" ref="I3154:I3162" si="3679">IF($F3154=4.2,H3154*$B$23,0)</f>
        <v>0</v>
      </c>
      <c r="J3154" s="31">
        <f t="shared" ref="J3154:J3162" si="3680">IF($F3154=5,$H3154*$B$24,0)</f>
        <v>0</v>
      </c>
      <c r="K3154" s="31">
        <f t="shared" ref="K3154:K3162" si="3681">IF($F3154=6.3,$H3154*$B$25,0)</f>
        <v>13.523999999999999</v>
      </c>
      <c r="L3154" s="31">
        <f t="shared" ref="L3154:L3162" si="3682">IF($F3154=8,$H3154*$B$26,0)</f>
        <v>0</v>
      </c>
      <c r="M3154" s="31">
        <f t="shared" ref="M3154:M3162" si="3683">IF($F3154=10,$H3154*$B$27,0)</f>
        <v>0</v>
      </c>
      <c r="N3154" s="31">
        <f t="shared" ref="N3154:N3162" si="3684">IF($F3154=12.5,$H3154*$B$28,0)</f>
        <v>0</v>
      </c>
      <c r="O3154" s="31">
        <f t="shared" ref="O3154:O3162" si="3685">IF($F3154=16,$H3154*$B$29,0)</f>
        <v>0</v>
      </c>
      <c r="P3154" s="31">
        <f t="shared" ref="P3154:P3162" si="3686">IF($F3154=20,$H3154*$B$30,0)</f>
        <v>0</v>
      </c>
      <c r="Q3154" s="49">
        <f t="shared" ref="Q3154:Q3162" si="3687">IF($F3154=25,$H3154*$B$31,0)</f>
        <v>0</v>
      </c>
    </row>
    <row r="3155" spans="4:17" s="62" customFormat="1" x14ac:dyDescent="0.3">
      <c r="D3155" s="235">
        <v>17</v>
      </c>
      <c r="E3155" s="240">
        <v>3</v>
      </c>
      <c r="F3155" s="241">
        <v>10</v>
      </c>
      <c r="G3155" s="242">
        <v>3.27</v>
      </c>
      <c r="H3155" s="239">
        <f t="shared" si="3678"/>
        <v>9.81</v>
      </c>
      <c r="I3155" s="131">
        <f t="shared" si="3679"/>
        <v>0</v>
      </c>
      <c r="J3155" s="31">
        <f t="shared" si="3680"/>
        <v>0</v>
      </c>
      <c r="K3155" s="31">
        <f t="shared" si="3681"/>
        <v>0</v>
      </c>
      <c r="L3155" s="31">
        <f t="shared" si="3682"/>
        <v>0</v>
      </c>
      <c r="M3155" s="31">
        <f t="shared" si="3683"/>
        <v>6.0527700000000006</v>
      </c>
      <c r="N3155" s="31">
        <f t="shared" si="3684"/>
        <v>0</v>
      </c>
      <c r="O3155" s="31">
        <f t="shared" si="3685"/>
        <v>0</v>
      </c>
      <c r="P3155" s="31">
        <f t="shared" si="3686"/>
        <v>0</v>
      </c>
      <c r="Q3155" s="49">
        <f t="shared" si="3687"/>
        <v>0</v>
      </c>
    </row>
    <row r="3156" spans="4:17" s="62" customFormat="1" x14ac:dyDescent="0.3">
      <c r="D3156" s="235">
        <v>56</v>
      </c>
      <c r="E3156" s="240">
        <v>1</v>
      </c>
      <c r="F3156" s="241">
        <v>12.5</v>
      </c>
      <c r="G3156" s="242">
        <v>2.2000000000000002</v>
      </c>
      <c r="H3156" s="239">
        <f t="shared" si="3678"/>
        <v>2.2000000000000002</v>
      </c>
      <c r="I3156" s="131">
        <f t="shared" si="3679"/>
        <v>0</v>
      </c>
      <c r="J3156" s="31">
        <f t="shared" si="3680"/>
        <v>0</v>
      </c>
      <c r="K3156" s="31">
        <f t="shared" si="3681"/>
        <v>0</v>
      </c>
      <c r="L3156" s="31">
        <f t="shared" si="3682"/>
        <v>0</v>
      </c>
      <c r="M3156" s="31">
        <f t="shared" si="3683"/>
        <v>0</v>
      </c>
      <c r="N3156" s="31">
        <f t="shared" si="3684"/>
        <v>2.1186000000000003</v>
      </c>
      <c r="O3156" s="31">
        <f t="shared" si="3685"/>
        <v>0</v>
      </c>
      <c r="P3156" s="31">
        <f t="shared" si="3686"/>
        <v>0</v>
      </c>
      <c r="Q3156" s="49">
        <f t="shared" si="3687"/>
        <v>0</v>
      </c>
    </row>
    <row r="3157" spans="4:17" s="62" customFormat="1" x14ac:dyDescent="0.3">
      <c r="D3157" s="235">
        <v>57</v>
      </c>
      <c r="E3157" s="240">
        <v>3</v>
      </c>
      <c r="F3157" s="241">
        <v>12.5</v>
      </c>
      <c r="G3157" s="242">
        <v>2.2400000000000002</v>
      </c>
      <c r="H3157" s="239">
        <f t="shared" si="3678"/>
        <v>6.7200000000000006</v>
      </c>
      <c r="I3157" s="131">
        <f t="shared" si="3679"/>
        <v>0</v>
      </c>
      <c r="J3157" s="31">
        <f t="shared" si="3680"/>
        <v>0</v>
      </c>
      <c r="K3157" s="31">
        <f t="shared" si="3681"/>
        <v>0</v>
      </c>
      <c r="L3157" s="31">
        <f t="shared" si="3682"/>
        <v>0</v>
      </c>
      <c r="M3157" s="31">
        <f t="shared" si="3683"/>
        <v>0</v>
      </c>
      <c r="N3157" s="31">
        <f t="shared" si="3684"/>
        <v>6.4713600000000007</v>
      </c>
      <c r="O3157" s="31">
        <f t="shared" si="3685"/>
        <v>0</v>
      </c>
      <c r="P3157" s="31">
        <f t="shared" si="3686"/>
        <v>0</v>
      </c>
      <c r="Q3157" s="49">
        <f t="shared" si="3687"/>
        <v>0</v>
      </c>
    </row>
    <row r="3158" spans="4:17" s="62" customFormat="1" x14ac:dyDescent="0.3">
      <c r="D3158" s="235">
        <v>58</v>
      </c>
      <c r="E3158" s="240">
        <v>2</v>
      </c>
      <c r="F3158" s="241">
        <v>12.5</v>
      </c>
      <c r="G3158" s="242">
        <v>2.69</v>
      </c>
      <c r="H3158" s="239">
        <f t="shared" si="3678"/>
        <v>5.38</v>
      </c>
      <c r="I3158" s="131">
        <f t="shared" si="3679"/>
        <v>0</v>
      </c>
      <c r="J3158" s="31">
        <f t="shared" si="3680"/>
        <v>0</v>
      </c>
      <c r="K3158" s="31">
        <f t="shared" si="3681"/>
        <v>0</v>
      </c>
      <c r="L3158" s="31">
        <f t="shared" si="3682"/>
        <v>0</v>
      </c>
      <c r="M3158" s="31">
        <f t="shared" si="3683"/>
        <v>0</v>
      </c>
      <c r="N3158" s="31">
        <f t="shared" si="3684"/>
        <v>5.1809399999999997</v>
      </c>
      <c r="O3158" s="31">
        <f t="shared" si="3685"/>
        <v>0</v>
      </c>
      <c r="P3158" s="31">
        <f t="shared" si="3686"/>
        <v>0</v>
      </c>
      <c r="Q3158" s="49">
        <f t="shared" si="3687"/>
        <v>0</v>
      </c>
    </row>
    <row r="3159" spans="4:17" s="62" customFormat="1" x14ac:dyDescent="0.3">
      <c r="D3159" s="235">
        <v>70</v>
      </c>
      <c r="E3159" s="240">
        <v>2</v>
      </c>
      <c r="F3159" s="241">
        <v>20</v>
      </c>
      <c r="G3159" s="242">
        <v>4.8</v>
      </c>
      <c r="H3159" s="239">
        <f t="shared" si="3678"/>
        <v>9.6</v>
      </c>
      <c r="I3159" s="131">
        <f t="shared" si="3679"/>
        <v>0</v>
      </c>
      <c r="J3159" s="31">
        <f t="shared" si="3680"/>
        <v>0</v>
      </c>
      <c r="K3159" s="31">
        <f t="shared" si="3681"/>
        <v>0</v>
      </c>
      <c r="L3159" s="31">
        <f t="shared" si="3682"/>
        <v>0</v>
      </c>
      <c r="M3159" s="31">
        <f t="shared" si="3683"/>
        <v>0</v>
      </c>
      <c r="N3159" s="31">
        <f t="shared" si="3684"/>
        <v>0</v>
      </c>
      <c r="O3159" s="31">
        <f t="shared" si="3685"/>
        <v>0</v>
      </c>
      <c r="P3159" s="31">
        <f t="shared" si="3686"/>
        <v>24</v>
      </c>
      <c r="Q3159" s="49">
        <f t="shared" si="3687"/>
        <v>0</v>
      </c>
    </row>
    <row r="3160" spans="4:17" s="62" customFormat="1" x14ac:dyDescent="0.3">
      <c r="D3160" s="235">
        <v>71</v>
      </c>
      <c r="E3160" s="240">
        <v>2</v>
      </c>
      <c r="F3160" s="241">
        <v>20</v>
      </c>
      <c r="G3160" s="242">
        <v>8.57</v>
      </c>
      <c r="H3160" s="239">
        <f t="shared" si="3678"/>
        <v>17.14</v>
      </c>
      <c r="I3160" s="131">
        <f t="shared" si="3679"/>
        <v>0</v>
      </c>
      <c r="J3160" s="31">
        <f t="shared" si="3680"/>
        <v>0</v>
      </c>
      <c r="K3160" s="31">
        <f t="shared" si="3681"/>
        <v>0</v>
      </c>
      <c r="L3160" s="31">
        <f t="shared" si="3682"/>
        <v>0</v>
      </c>
      <c r="M3160" s="31">
        <f t="shared" si="3683"/>
        <v>0</v>
      </c>
      <c r="N3160" s="31">
        <f t="shared" si="3684"/>
        <v>0</v>
      </c>
      <c r="O3160" s="31">
        <f t="shared" si="3685"/>
        <v>0</v>
      </c>
      <c r="P3160" s="31">
        <f t="shared" si="3686"/>
        <v>42.85</v>
      </c>
      <c r="Q3160" s="49">
        <f t="shared" si="3687"/>
        <v>0</v>
      </c>
    </row>
    <row r="3161" spans="4:17" s="62" customFormat="1" x14ac:dyDescent="0.3">
      <c r="D3161" s="235">
        <v>72</v>
      </c>
      <c r="E3161" s="240">
        <v>2</v>
      </c>
      <c r="F3161" s="241">
        <v>20</v>
      </c>
      <c r="G3161" s="242">
        <v>3.38</v>
      </c>
      <c r="H3161" s="239">
        <f t="shared" si="3678"/>
        <v>6.76</v>
      </c>
      <c r="I3161" s="131">
        <f t="shared" si="3679"/>
        <v>0</v>
      </c>
      <c r="J3161" s="31">
        <f t="shared" si="3680"/>
        <v>0</v>
      </c>
      <c r="K3161" s="31">
        <f t="shared" si="3681"/>
        <v>0</v>
      </c>
      <c r="L3161" s="31">
        <f t="shared" si="3682"/>
        <v>0</v>
      </c>
      <c r="M3161" s="31">
        <f t="shared" si="3683"/>
        <v>0</v>
      </c>
      <c r="N3161" s="31">
        <f t="shared" si="3684"/>
        <v>0</v>
      </c>
      <c r="O3161" s="31">
        <f t="shared" si="3685"/>
        <v>0</v>
      </c>
      <c r="P3161" s="31">
        <f t="shared" si="3686"/>
        <v>16.899999999999999</v>
      </c>
      <c r="Q3161" s="49">
        <f t="shared" si="3687"/>
        <v>0</v>
      </c>
    </row>
    <row r="3162" spans="4:17" s="62" customFormat="1" x14ac:dyDescent="0.3">
      <c r="D3162" s="235">
        <v>73</v>
      </c>
      <c r="E3162" s="240">
        <v>2</v>
      </c>
      <c r="F3162" s="241">
        <v>20</v>
      </c>
      <c r="G3162" s="242">
        <v>3.98</v>
      </c>
      <c r="H3162" s="239">
        <f t="shared" si="3678"/>
        <v>7.96</v>
      </c>
      <c r="I3162" s="131">
        <f t="shared" si="3679"/>
        <v>0</v>
      </c>
      <c r="J3162" s="31">
        <f t="shared" si="3680"/>
        <v>0</v>
      </c>
      <c r="K3162" s="31">
        <f t="shared" si="3681"/>
        <v>0</v>
      </c>
      <c r="L3162" s="31">
        <f t="shared" si="3682"/>
        <v>0</v>
      </c>
      <c r="M3162" s="31">
        <f t="shared" si="3683"/>
        <v>0</v>
      </c>
      <c r="N3162" s="31">
        <f t="shared" si="3684"/>
        <v>0</v>
      </c>
      <c r="O3162" s="31">
        <f t="shared" si="3685"/>
        <v>0</v>
      </c>
      <c r="P3162" s="31">
        <f t="shared" si="3686"/>
        <v>19.899999999999999</v>
      </c>
      <c r="Q3162" s="49">
        <f t="shared" si="3687"/>
        <v>0</v>
      </c>
    </row>
    <row r="3163" spans="4:17" s="62" customFormat="1" ht="15" thickBot="1" x14ac:dyDescent="0.35">
      <c r="D3163" s="307"/>
      <c r="E3163" s="26"/>
      <c r="F3163" s="206"/>
      <c r="G3163" s="207"/>
      <c r="H3163" s="207"/>
      <c r="I3163" s="51"/>
      <c r="J3163" s="308"/>
      <c r="K3163" s="308"/>
      <c r="L3163" s="308"/>
      <c r="M3163" s="308"/>
      <c r="N3163" s="308"/>
      <c r="O3163" s="308"/>
      <c r="P3163" s="308"/>
      <c r="Q3163" s="309"/>
    </row>
    <row r="3164" spans="4:17" s="62" customFormat="1" x14ac:dyDescent="0.3">
      <c r="D3164" s="796" t="s">
        <v>1724</v>
      </c>
      <c r="E3164" s="797"/>
      <c r="F3164" s="797"/>
      <c r="G3164" s="797"/>
      <c r="H3164" s="797"/>
      <c r="I3164" s="47">
        <f t="shared" ref="I3164:Q3164" si="3688">SUM(I3165:I3176)</f>
        <v>0</v>
      </c>
      <c r="J3164" s="47">
        <f t="shared" si="3688"/>
        <v>0</v>
      </c>
      <c r="K3164" s="47">
        <f t="shared" si="3688"/>
        <v>13.8621</v>
      </c>
      <c r="L3164" s="47">
        <f t="shared" si="3688"/>
        <v>0</v>
      </c>
      <c r="M3164" s="47">
        <f t="shared" si="3688"/>
        <v>27.203530000000001</v>
      </c>
      <c r="N3164" s="47">
        <f t="shared" si="3688"/>
        <v>0</v>
      </c>
      <c r="O3164" s="47">
        <f t="shared" si="3688"/>
        <v>30.707879999999999</v>
      </c>
      <c r="P3164" s="47">
        <f t="shared" si="3688"/>
        <v>66.349999999999994</v>
      </c>
      <c r="Q3164" s="47">
        <f t="shared" si="3688"/>
        <v>0</v>
      </c>
    </row>
    <row r="3165" spans="4:17" s="62" customFormat="1" x14ac:dyDescent="0.3">
      <c r="D3165" s="235">
        <v>4</v>
      </c>
      <c r="E3165" s="237">
        <v>41</v>
      </c>
      <c r="F3165" s="238">
        <v>6.3</v>
      </c>
      <c r="G3165" s="239">
        <v>1.38</v>
      </c>
      <c r="H3165" s="239">
        <f t="shared" ref="H3165:H3176" si="3689">E3165*G3165</f>
        <v>56.58</v>
      </c>
      <c r="I3165" s="131">
        <f t="shared" ref="I3165:I3176" si="3690">IF($F3165=4.2,H3165*$B$23,0)</f>
        <v>0</v>
      </c>
      <c r="J3165" s="31">
        <f t="shared" ref="J3165:J3176" si="3691">IF($F3165=5,$H3165*$B$24,0)</f>
        <v>0</v>
      </c>
      <c r="K3165" s="31">
        <f t="shared" ref="K3165:K3176" si="3692">IF($F3165=6.3,$H3165*$B$25,0)</f>
        <v>13.8621</v>
      </c>
      <c r="L3165" s="31">
        <f t="shared" ref="L3165:L3176" si="3693">IF($F3165=8,$H3165*$B$26,0)</f>
        <v>0</v>
      </c>
      <c r="M3165" s="31">
        <f t="shared" ref="M3165:M3176" si="3694">IF($F3165=10,$H3165*$B$27,0)</f>
        <v>0</v>
      </c>
      <c r="N3165" s="31">
        <f t="shared" ref="N3165:N3176" si="3695">IF($F3165=12.5,$H3165*$B$28,0)</f>
        <v>0</v>
      </c>
      <c r="O3165" s="31">
        <f t="shared" ref="O3165:O3176" si="3696">IF($F3165=16,$H3165*$B$29,0)</f>
        <v>0</v>
      </c>
      <c r="P3165" s="31">
        <f t="shared" ref="P3165:P3176" si="3697">IF($F3165=20,$H3165*$B$30,0)</f>
        <v>0</v>
      </c>
      <c r="Q3165" s="49">
        <f t="shared" ref="Q3165:Q3176" si="3698">IF($F3165=25,$H3165*$B$31,0)</f>
        <v>0</v>
      </c>
    </row>
    <row r="3166" spans="4:17" s="62" customFormat="1" x14ac:dyDescent="0.3">
      <c r="D3166" s="235">
        <v>18</v>
      </c>
      <c r="E3166" s="240">
        <v>2</v>
      </c>
      <c r="F3166" s="241">
        <v>10</v>
      </c>
      <c r="G3166" s="242">
        <v>1.61</v>
      </c>
      <c r="H3166" s="239">
        <f t="shared" si="3689"/>
        <v>3.22</v>
      </c>
      <c r="I3166" s="131">
        <f t="shared" si="3690"/>
        <v>0</v>
      </c>
      <c r="J3166" s="31">
        <f t="shared" si="3691"/>
        <v>0</v>
      </c>
      <c r="K3166" s="31">
        <f t="shared" si="3692"/>
        <v>0</v>
      </c>
      <c r="L3166" s="31">
        <f t="shared" si="3693"/>
        <v>0</v>
      </c>
      <c r="M3166" s="31">
        <f t="shared" si="3694"/>
        <v>1.9867400000000002</v>
      </c>
      <c r="N3166" s="31">
        <f t="shared" si="3695"/>
        <v>0</v>
      </c>
      <c r="O3166" s="31">
        <f t="shared" si="3696"/>
        <v>0</v>
      </c>
      <c r="P3166" s="31">
        <f t="shared" si="3697"/>
        <v>0</v>
      </c>
      <c r="Q3166" s="49">
        <f t="shared" si="3698"/>
        <v>0</v>
      </c>
    </row>
    <row r="3167" spans="4:17" s="62" customFormat="1" x14ac:dyDescent="0.3">
      <c r="D3167" s="235">
        <v>19</v>
      </c>
      <c r="E3167" s="240">
        <v>3</v>
      </c>
      <c r="F3167" s="241">
        <v>10</v>
      </c>
      <c r="G3167" s="242">
        <v>2.17</v>
      </c>
      <c r="H3167" s="239">
        <f t="shared" si="3689"/>
        <v>6.51</v>
      </c>
      <c r="I3167" s="131">
        <f t="shared" si="3690"/>
        <v>0</v>
      </c>
      <c r="J3167" s="31">
        <f t="shared" si="3691"/>
        <v>0</v>
      </c>
      <c r="K3167" s="31">
        <f t="shared" si="3692"/>
        <v>0</v>
      </c>
      <c r="L3167" s="31">
        <f t="shared" si="3693"/>
        <v>0</v>
      </c>
      <c r="M3167" s="31">
        <f t="shared" si="3694"/>
        <v>4.0166699999999995</v>
      </c>
      <c r="N3167" s="31">
        <f t="shared" si="3695"/>
        <v>0</v>
      </c>
      <c r="O3167" s="31">
        <f t="shared" si="3696"/>
        <v>0</v>
      </c>
      <c r="P3167" s="31">
        <f t="shared" si="3697"/>
        <v>0</v>
      </c>
      <c r="Q3167" s="49">
        <f t="shared" si="3698"/>
        <v>0</v>
      </c>
    </row>
    <row r="3168" spans="4:17" s="62" customFormat="1" x14ac:dyDescent="0.3">
      <c r="D3168" s="235">
        <v>20</v>
      </c>
      <c r="E3168" s="240">
        <v>4</v>
      </c>
      <c r="F3168" s="241">
        <v>10</v>
      </c>
      <c r="G3168" s="242">
        <v>2.21</v>
      </c>
      <c r="H3168" s="239">
        <f t="shared" si="3689"/>
        <v>8.84</v>
      </c>
      <c r="I3168" s="131">
        <f t="shared" si="3690"/>
        <v>0</v>
      </c>
      <c r="J3168" s="31">
        <f t="shared" si="3691"/>
        <v>0</v>
      </c>
      <c r="K3168" s="31">
        <f t="shared" si="3692"/>
        <v>0</v>
      </c>
      <c r="L3168" s="31">
        <f t="shared" si="3693"/>
        <v>0</v>
      </c>
      <c r="M3168" s="31">
        <f t="shared" si="3694"/>
        <v>5.4542799999999998</v>
      </c>
      <c r="N3168" s="31">
        <f t="shared" si="3695"/>
        <v>0</v>
      </c>
      <c r="O3168" s="31">
        <f t="shared" si="3696"/>
        <v>0</v>
      </c>
      <c r="P3168" s="31">
        <f t="shared" si="3697"/>
        <v>0</v>
      </c>
      <c r="Q3168" s="49">
        <f t="shared" si="3698"/>
        <v>0</v>
      </c>
    </row>
    <row r="3169" spans="4:17" s="62" customFormat="1" x14ac:dyDescent="0.3">
      <c r="D3169" s="235">
        <v>21</v>
      </c>
      <c r="E3169" s="240">
        <v>1</v>
      </c>
      <c r="F3169" s="241">
        <v>10</v>
      </c>
      <c r="G3169" s="242">
        <v>2.77</v>
      </c>
      <c r="H3169" s="239">
        <f t="shared" si="3689"/>
        <v>2.77</v>
      </c>
      <c r="I3169" s="131">
        <f t="shared" si="3690"/>
        <v>0</v>
      </c>
      <c r="J3169" s="31">
        <f t="shared" si="3691"/>
        <v>0</v>
      </c>
      <c r="K3169" s="31">
        <f t="shared" si="3692"/>
        <v>0</v>
      </c>
      <c r="L3169" s="31">
        <f t="shared" si="3693"/>
        <v>0</v>
      </c>
      <c r="M3169" s="31">
        <f t="shared" si="3694"/>
        <v>1.70909</v>
      </c>
      <c r="N3169" s="31">
        <f t="shared" si="3695"/>
        <v>0</v>
      </c>
      <c r="O3169" s="31">
        <f t="shared" si="3696"/>
        <v>0</v>
      </c>
      <c r="P3169" s="31">
        <f t="shared" si="3697"/>
        <v>0</v>
      </c>
      <c r="Q3169" s="49">
        <f t="shared" si="3698"/>
        <v>0</v>
      </c>
    </row>
    <row r="3170" spans="4:17" s="62" customFormat="1" x14ac:dyDescent="0.3">
      <c r="D3170" s="235">
        <v>22</v>
      </c>
      <c r="E3170" s="240">
        <v>2</v>
      </c>
      <c r="F3170" s="241">
        <v>10</v>
      </c>
      <c r="G3170" s="242">
        <v>2.81</v>
      </c>
      <c r="H3170" s="239">
        <f t="shared" si="3689"/>
        <v>5.62</v>
      </c>
      <c r="I3170" s="131">
        <f t="shared" si="3690"/>
        <v>0</v>
      </c>
      <c r="J3170" s="31">
        <f t="shared" si="3691"/>
        <v>0</v>
      </c>
      <c r="K3170" s="31">
        <f t="shared" si="3692"/>
        <v>0</v>
      </c>
      <c r="L3170" s="31">
        <f t="shared" si="3693"/>
        <v>0</v>
      </c>
      <c r="M3170" s="31">
        <f t="shared" si="3694"/>
        <v>3.4675400000000001</v>
      </c>
      <c r="N3170" s="31">
        <f t="shared" si="3695"/>
        <v>0</v>
      </c>
      <c r="O3170" s="31">
        <f t="shared" si="3696"/>
        <v>0</v>
      </c>
      <c r="P3170" s="31">
        <f t="shared" si="3697"/>
        <v>0</v>
      </c>
      <c r="Q3170" s="49">
        <f t="shared" si="3698"/>
        <v>0</v>
      </c>
    </row>
    <row r="3171" spans="4:17" s="62" customFormat="1" x14ac:dyDescent="0.3">
      <c r="D3171" s="235">
        <v>23</v>
      </c>
      <c r="E3171" s="240">
        <v>3</v>
      </c>
      <c r="F3171" s="241">
        <v>10</v>
      </c>
      <c r="G3171" s="242">
        <v>5.71</v>
      </c>
      <c r="H3171" s="239">
        <f t="shared" si="3689"/>
        <v>17.13</v>
      </c>
      <c r="I3171" s="131">
        <f t="shared" si="3690"/>
        <v>0</v>
      </c>
      <c r="J3171" s="31">
        <f t="shared" si="3691"/>
        <v>0</v>
      </c>
      <c r="K3171" s="31">
        <f t="shared" si="3692"/>
        <v>0</v>
      </c>
      <c r="L3171" s="31">
        <f t="shared" si="3693"/>
        <v>0</v>
      </c>
      <c r="M3171" s="31">
        <f t="shared" si="3694"/>
        <v>10.56921</v>
      </c>
      <c r="N3171" s="31">
        <f t="shared" si="3695"/>
        <v>0</v>
      </c>
      <c r="O3171" s="31">
        <f t="shared" si="3696"/>
        <v>0</v>
      </c>
      <c r="P3171" s="31">
        <f t="shared" si="3697"/>
        <v>0</v>
      </c>
      <c r="Q3171" s="49">
        <f t="shared" si="3698"/>
        <v>0</v>
      </c>
    </row>
    <row r="3172" spans="4:17" s="62" customFormat="1" x14ac:dyDescent="0.3">
      <c r="D3172" s="235">
        <v>67</v>
      </c>
      <c r="E3172" s="240">
        <v>1</v>
      </c>
      <c r="F3172" s="241">
        <v>16</v>
      </c>
      <c r="G3172" s="242">
        <v>2.81</v>
      </c>
      <c r="H3172" s="239">
        <f t="shared" si="3689"/>
        <v>2.81</v>
      </c>
      <c r="I3172" s="131">
        <f t="shared" si="3690"/>
        <v>0</v>
      </c>
      <c r="J3172" s="31">
        <f t="shared" si="3691"/>
        <v>0</v>
      </c>
      <c r="K3172" s="31">
        <f t="shared" si="3692"/>
        <v>0</v>
      </c>
      <c r="L3172" s="31">
        <f t="shared" si="3693"/>
        <v>0</v>
      </c>
      <c r="M3172" s="31">
        <f t="shared" si="3694"/>
        <v>0</v>
      </c>
      <c r="N3172" s="31">
        <f t="shared" si="3695"/>
        <v>0</v>
      </c>
      <c r="O3172" s="31">
        <f t="shared" si="3696"/>
        <v>4.4341800000000005</v>
      </c>
      <c r="P3172" s="31">
        <f t="shared" si="3697"/>
        <v>0</v>
      </c>
      <c r="Q3172" s="49">
        <f t="shared" si="3698"/>
        <v>0</v>
      </c>
    </row>
    <row r="3173" spans="4:17" s="62" customFormat="1" x14ac:dyDescent="0.3">
      <c r="D3173" s="235">
        <v>68</v>
      </c>
      <c r="E3173" s="240">
        <v>2</v>
      </c>
      <c r="F3173" s="241">
        <v>16</v>
      </c>
      <c r="G3173" s="242">
        <v>2.85</v>
      </c>
      <c r="H3173" s="239">
        <f t="shared" si="3689"/>
        <v>5.7</v>
      </c>
      <c r="I3173" s="131">
        <f t="shared" si="3690"/>
        <v>0</v>
      </c>
      <c r="J3173" s="31">
        <f t="shared" si="3691"/>
        <v>0</v>
      </c>
      <c r="K3173" s="31">
        <f t="shared" si="3692"/>
        <v>0</v>
      </c>
      <c r="L3173" s="31">
        <f t="shared" si="3693"/>
        <v>0</v>
      </c>
      <c r="M3173" s="31">
        <f t="shared" si="3694"/>
        <v>0</v>
      </c>
      <c r="N3173" s="31">
        <f t="shared" si="3695"/>
        <v>0</v>
      </c>
      <c r="O3173" s="31">
        <f t="shared" si="3696"/>
        <v>8.9946000000000002</v>
      </c>
      <c r="P3173" s="31">
        <f t="shared" si="3697"/>
        <v>0</v>
      </c>
      <c r="Q3173" s="49">
        <f t="shared" si="3698"/>
        <v>0</v>
      </c>
    </row>
    <row r="3174" spans="4:17" s="62" customFormat="1" x14ac:dyDescent="0.3">
      <c r="D3174" s="235">
        <v>69</v>
      </c>
      <c r="E3174" s="240">
        <v>3</v>
      </c>
      <c r="F3174" s="241">
        <v>16</v>
      </c>
      <c r="G3174" s="242">
        <v>3.65</v>
      </c>
      <c r="H3174" s="239">
        <f t="shared" si="3689"/>
        <v>10.95</v>
      </c>
      <c r="I3174" s="131">
        <f t="shared" si="3690"/>
        <v>0</v>
      </c>
      <c r="J3174" s="31">
        <f t="shared" si="3691"/>
        <v>0</v>
      </c>
      <c r="K3174" s="31">
        <f t="shared" si="3692"/>
        <v>0</v>
      </c>
      <c r="L3174" s="31">
        <f t="shared" si="3693"/>
        <v>0</v>
      </c>
      <c r="M3174" s="31">
        <f t="shared" si="3694"/>
        <v>0</v>
      </c>
      <c r="N3174" s="31">
        <f t="shared" si="3695"/>
        <v>0</v>
      </c>
      <c r="O3174" s="31">
        <f t="shared" si="3696"/>
        <v>17.2791</v>
      </c>
      <c r="P3174" s="31">
        <f t="shared" si="3697"/>
        <v>0</v>
      </c>
      <c r="Q3174" s="49">
        <f t="shared" si="3698"/>
        <v>0</v>
      </c>
    </row>
    <row r="3175" spans="4:17" s="62" customFormat="1" x14ac:dyDescent="0.3">
      <c r="D3175" s="235">
        <v>74</v>
      </c>
      <c r="E3175" s="240">
        <v>2</v>
      </c>
      <c r="F3175" s="241">
        <v>20</v>
      </c>
      <c r="G3175" s="242">
        <v>4.5999999999999996</v>
      </c>
      <c r="H3175" s="239">
        <f t="shared" si="3689"/>
        <v>9.1999999999999993</v>
      </c>
      <c r="I3175" s="131">
        <f t="shared" si="3690"/>
        <v>0</v>
      </c>
      <c r="J3175" s="31">
        <f t="shared" si="3691"/>
        <v>0</v>
      </c>
      <c r="K3175" s="31">
        <f t="shared" si="3692"/>
        <v>0</v>
      </c>
      <c r="L3175" s="31">
        <f t="shared" si="3693"/>
        <v>0</v>
      </c>
      <c r="M3175" s="31">
        <f t="shared" si="3694"/>
        <v>0</v>
      </c>
      <c r="N3175" s="31">
        <f t="shared" si="3695"/>
        <v>0</v>
      </c>
      <c r="O3175" s="31">
        <f t="shared" si="3696"/>
        <v>0</v>
      </c>
      <c r="P3175" s="31">
        <f t="shared" si="3697"/>
        <v>23</v>
      </c>
      <c r="Q3175" s="49">
        <f t="shared" si="3698"/>
        <v>0</v>
      </c>
    </row>
    <row r="3176" spans="4:17" s="62" customFormat="1" x14ac:dyDescent="0.3">
      <c r="D3176" s="235">
        <v>75</v>
      </c>
      <c r="E3176" s="240">
        <v>2</v>
      </c>
      <c r="F3176" s="241">
        <v>20</v>
      </c>
      <c r="G3176" s="242">
        <v>8.67</v>
      </c>
      <c r="H3176" s="239">
        <f t="shared" si="3689"/>
        <v>17.34</v>
      </c>
      <c r="I3176" s="131">
        <f t="shared" si="3690"/>
        <v>0</v>
      </c>
      <c r="J3176" s="31">
        <f t="shared" si="3691"/>
        <v>0</v>
      </c>
      <c r="K3176" s="31">
        <f t="shared" si="3692"/>
        <v>0</v>
      </c>
      <c r="L3176" s="31">
        <f t="shared" si="3693"/>
        <v>0</v>
      </c>
      <c r="M3176" s="31">
        <f t="shared" si="3694"/>
        <v>0</v>
      </c>
      <c r="N3176" s="31">
        <f t="shared" si="3695"/>
        <v>0</v>
      </c>
      <c r="O3176" s="31">
        <f t="shared" si="3696"/>
        <v>0</v>
      </c>
      <c r="P3176" s="31">
        <f t="shared" si="3697"/>
        <v>43.35</v>
      </c>
      <c r="Q3176" s="49">
        <f t="shared" si="3698"/>
        <v>0</v>
      </c>
    </row>
    <row r="3177" spans="4:17" s="62" customFormat="1" ht="15" thickBot="1" x14ac:dyDescent="0.35">
      <c r="D3177" s="307"/>
      <c r="E3177" s="26"/>
      <c r="F3177" s="206"/>
      <c r="G3177" s="207"/>
      <c r="H3177" s="207"/>
      <c r="I3177" s="51"/>
      <c r="J3177" s="308"/>
      <c r="K3177" s="308"/>
      <c r="L3177" s="308"/>
      <c r="M3177" s="308"/>
      <c r="N3177" s="308"/>
      <c r="O3177" s="308"/>
      <c r="P3177" s="308"/>
      <c r="Q3177" s="309"/>
    </row>
    <row r="3178" spans="4:17" s="62" customFormat="1" x14ac:dyDescent="0.3">
      <c r="D3178" s="796" t="s">
        <v>1725</v>
      </c>
      <c r="E3178" s="797"/>
      <c r="F3178" s="797"/>
      <c r="G3178" s="797"/>
      <c r="H3178" s="797"/>
      <c r="I3178" s="47">
        <f t="shared" ref="I3178:Q3178" si="3699">SUM(I3179:I3191)</f>
        <v>0</v>
      </c>
      <c r="J3178" s="47">
        <f t="shared" si="3699"/>
        <v>0</v>
      </c>
      <c r="K3178" s="47">
        <f t="shared" si="3699"/>
        <v>13.523999999999999</v>
      </c>
      <c r="L3178" s="47">
        <f t="shared" si="3699"/>
        <v>0</v>
      </c>
      <c r="M3178" s="47">
        <f t="shared" si="3699"/>
        <v>52.673289999999994</v>
      </c>
      <c r="N3178" s="47">
        <f t="shared" si="3699"/>
        <v>0</v>
      </c>
      <c r="O3178" s="47">
        <f t="shared" si="3699"/>
        <v>0</v>
      </c>
      <c r="P3178" s="47">
        <f t="shared" si="3699"/>
        <v>65.849999999999994</v>
      </c>
      <c r="Q3178" s="47">
        <f t="shared" si="3699"/>
        <v>0</v>
      </c>
    </row>
    <row r="3179" spans="4:17" s="62" customFormat="1" x14ac:dyDescent="0.3">
      <c r="D3179" s="235">
        <v>4</v>
      </c>
      <c r="E3179" s="237">
        <v>40</v>
      </c>
      <c r="F3179" s="238">
        <v>6.3</v>
      </c>
      <c r="G3179" s="239">
        <v>1.38</v>
      </c>
      <c r="H3179" s="239">
        <f t="shared" ref="H3179:H3191" si="3700">E3179*G3179</f>
        <v>55.199999999999996</v>
      </c>
      <c r="I3179" s="131">
        <f t="shared" ref="I3179:I3191" si="3701">IF($F3179=4.2,H3179*$B$23,0)</f>
        <v>0</v>
      </c>
      <c r="J3179" s="31">
        <f t="shared" ref="J3179:J3191" si="3702">IF($F3179=5,$H3179*$B$24,0)</f>
        <v>0</v>
      </c>
      <c r="K3179" s="31">
        <f t="shared" ref="K3179:K3191" si="3703">IF($F3179=6.3,$H3179*$B$25,0)</f>
        <v>13.523999999999999</v>
      </c>
      <c r="L3179" s="31">
        <f t="shared" ref="L3179:L3191" si="3704">IF($F3179=8,$H3179*$B$26,0)</f>
        <v>0</v>
      </c>
      <c r="M3179" s="31">
        <f t="shared" ref="M3179:M3191" si="3705">IF($F3179=10,$H3179*$B$27,0)</f>
        <v>0</v>
      </c>
      <c r="N3179" s="31">
        <f t="shared" ref="N3179:N3191" si="3706">IF($F3179=12.5,$H3179*$B$28,0)</f>
        <v>0</v>
      </c>
      <c r="O3179" s="31">
        <f t="shared" ref="O3179:O3191" si="3707">IF($F3179=16,$H3179*$B$29,0)</f>
        <v>0</v>
      </c>
      <c r="P3179" s="31">
        <f t="shared" ref="P3179:P3191" si="3708">IF($F3179=20,$H3179*$B$30,0)</f>
        <v>0</v>
      </c>
      <c r="Q3179" s="49">
        <f t="shared" ref="Q3179:Q3191" si="3709">IF($F3179=25,$H3179*$B$31,0)</f>
        <v>0</v>
      </c>
    </row>
    <row r="3180" spans="4:17" s="62" customFormat="1" x14ac:dyDescent="0.3">
      <c r="D3180" s="235">
        <v>18</v>
      </c>
      <c r="E3180" s="240">
        <v>2</v>
      </c>
      <c r="F3180" s="241">
        <v>10</v>
      </c>
      <c r="G3180" s="242">
        <v>1.61</v>
      </c>
      <c r="H3180" s="239">
        <f t="shared" si="3700"/>
        <v>3.22</v>
      </c>
      <c r="I3180" s="131">
        <f t="shared" si="3701"/>
        <v>0</v>
      </c>
      <c r="J3180" s="31">
        <f t="shared" si="3702"/>
        <v>0</v>
      </c>
      <c r="K3180" s="31">
        <f t="shared" si="3703"/>
        <v>0</v>
      </c>
      <c r="L3180" s="31">
        <f t="shared" si="3704"/>
        <v>0</v>
      </c>
      <c r="M3180" s="31">
        <f t="shared" si="3705"/>
        <v>1.9867400000000002</v>
      </c>
      <c r="N3180" s="31">
        <f t="shared" si="3706"/>
        <v>0</v>
      </c>
      <c r="O3180" s="31">
        <f t="shared" si="3707"/>
        <v>0</v>
      </c>
      <c r="P3180" s="31">
        <f t="shared" si="3708"/>
        <v>0</v>
      </c>
      <c r="Q3180" s="49">
        <f t="shared" si="3709"/>
        <v>0</v>
      </c>
    </row>
    <row r="3181" spans="4:17" s="62" customFormat="1" x14ac:dyDescent="0.3">
      <c r="D3181" s="235">
        <v>19</v>
      </c>
      <c r="E3181" s="240">
        <v>3</v>
      </c>
      <c r="F3181" s="241">
        <v>10</v>
      </c>
      <c r="G3181" s="242">
        <v>2.17</v>
      </c>
      <c r="H3181" s="239">
        <f t="shared" si="3700"/>
        <v>6.51</v>
      </c>
      <c r="I3181" s="131">
        <f t="shared" si="3701"/>
        <v>0</v>
      </c>
      <c r="J3181" s="31">
        <f t="shared" si="3702"/>
        <v>0</v>
      </c>
      <c r="K3181" s="31">
        <f t="shared" si="3703"/>
        <v>0</v>
      </c>
      <c r="L3181" s="31">
        <f t="shared" si="3704"/>
        <v>0</v>
      </c>
      <c r="M3181" s="31">
        <f t="shared" si="3705"/>
        <v>4.0166699999999995</v>
      </c>
      <c r="N3181" s="31">
        <f t="shared" si="3706"/>
        <v>0</v>
      </c>
      <c r="O3181" s="31">
        <f t="shared" si="3707"/>
        <v>0</v>
      </c>
      <c r="P3181" s="31">
        <f t="shared" si="3708"/>
        <v>0</v>
      </c>
      <c r="Q3181" s="49">
        <f t="shared" si="3709"/>
        <v>0</v>
      </c>
    </row>
    <row r="3182" spans="4:17" s="62" customFormat="1" x14ac:dyDescent="0.3">
      <c r="D3182" s="235">
        <v>20</v>
      </c>
      <c r="E3182" s="240">
        <v>4</v>
      </c>
      <c r="F3182" s="241">
        <v>10</v>
      </c>
      <c r="G3182" s="242">
        <v>2.21</v>
      </c>
      <c r="H3182" s="239">
        <f t="shared" si="3700"/>
        <v>8.84</v>
      </c>
      <c r="I3182" s="131">
        <f t="shared" si="3701"/>
        <v>0</v>
      </c>
      <c r="J3182" s="31">
        <f t="shared" si="3702"/>
        <v>0</v>
      </c>
      <c r="K3182" s="31">
        <f t="shared" si="3703"/>
        <v>0</v>
      </c>
      <c r="L3182" s="31">
        <f t="shared" si="3704"/>
        <v>0</v>
      </c>
      <c r="M3182" s="31">
        <f t="shared" si="3705"/>
        <v>5.4542799999999998</v>
      </c>
      <c r="N3182" s="31">
        <f t="shared" si="3706"/>
        <v>0</v>
      </c>
      <c r="O3182" s="31">
        <f t="shared" si="3707"/>
        <v>0</v>
      </c>
      <c r="P3182" s="31">
        <f t="shared" si="3708"/>
        <v>0</v>
      </c>
      <c r="Q3182" s="49">
        <f t="shared" si="3709"/>
        <v>0</v>
      </c>
    </row>
    <row r="3183" spans="4:17" s="62" customFormat="1" x14ac:dyDescent="0.3">
      <c r="D3183" s="235">
        <v>21</v>
      </c>
      <c r="E3183" s="240">
        <v>1</v>
      </c>
      <c r="F3183" s="241">
        <v>10</v>
      </c>
      <c r="G3183" s="242">
        <v>2.77</v>
      </c>
      <c r="H3183" s="239">
        <f t="shared" si="3700"/>
        <v>2.77</v>
      </c>
      <c r="I3183" s="131">
        <f t="shared" si="3701"/>
        <v>0</v>
      </c>
      <c r="J3183" s="31">
        <f t="shared" si="3702"/>
        <v>0</v>
      </c>
      <c r="K3183" s="31">
        <f t="shared" si="3703"/>
        <v>0</v>
      </c>
      <c r="L3183" s="31">
        <f t="shared" si="3704"/>
        <v>0</v>
      </c>
      <c r="M3183" s="31">
        <f t="shared" si="3705"/>
        <v>1.70909</v>
      </c>
      <c r="N3183" s="31">
        <f t="shared" si="3706"/>
        <v>0</v>
      </c>
      <c r="O3183" s="31">
        <f t="shared" si="3707"/>
        <v>0</v>
      </c>
      <c r="P3183" s="31">
        <f t="shared" si="3708"/>
        <v>0</v>
      </c>
      <c r="Q3183" s="49">
        <f t="shared" si="3709"/>
        <v>0</v>
      </c>
    </row>
    <row r="3184" spans="4:17" s="62" customFormat="1" x14ac:dyDescent="0.3">
      <c r="D3184" s="235">
        <v>22</v>
      </c>
      <c r="E3184" s="240">
        <v>2</v>
      </c>
      <c r="F3184" s="241">
        <v>10</v>
      </c>
      <c r="G3184" s="242">
        <v>2.81</v>
      </c>
      <c r="H3184" s="239">
        <f t="shared" si="3700"/>
        <v>5.62</v>
      </c>
      <c r="I3184" s="131">
        <f t="shared" si="3701"/>
        <v>0</v>
      </c>
      <c r="J3184" s="31">
        <f t="shared" si="3702"/>
        <v>0</v>
      </c>
      <c r="K3184" s="31">
        <f t="shared" si="3703"/>
        <v>0</v>
      </c>
      <c r="L3184" s="31">
        <f t="shared" si="3704"/>
        <v>0</v>
      </c>
      <c r="M3184" s="31">
        <f t="shared" si="3705"/>
        <v>3.4675400000000001</v>
      </c>
      <c r="N3184" s="31">
        <f t="shared" si="3706"/>
        <v>0</v>
      </c>
      <c r="O3184" s="31">
        <f t="shared" si="3707"/>
        <v>0</v>
      </c>
      <c r="P3184" s="31">
        <f t="shared" si="3708"/>
        <v>0</v>
      </c>
      <c r="Q3184" s="49">
        <f t="shared" si="3709"/>
        <v>0</v>
      </c>
    </row>
    <row r="3185" spans="4:17" s="62" customFormat="1" x14ac:dyDescent="0.3">
      <c r="D3185" s="235">
        <v>24</v>
      </c>
      <c r="E3185" s="240">
        <v>2</v>
      </c>
      <c r="F3185" s="241">
        <v>10</v>
      </c>
      <c r="G3185" s="242">
        <v>2.0299999999999998</v>
      </c>
      <c r="H3185" s="239">
        <f t="shared" si="3700"/>
        <v>4.0599999999999996</v>
      </c>
      <c r="I3185" s="131">
        <f t="shared" si="3701"/>
        <v>0</v>
      </c>
      <c r="J3185" s="31">
        <f t="shared" si="3702"/>
        <v>0</v>
      </c>
      <c r="K3185" s="31">
        <f t="shared" si="3703"/>
        <v>0</v>
      </c>
      <c r="L3185" s="31">
        <f t="shared" si="3704"/>
        <v>0</v>
      </c>
      <c r="M3185" s="31">
        <f t="shared" si="3705"/>
        <v>2.5050199999999996</v>
      </c>
      <c r="N3185" s="31">
        <f t="shared" si="3706"/>
        <v>0</v>
      </c>
      <c r="O3185" s="31">
        <f t="shared" si="3707"/>
        <v>0</v>
      </c>
      <c r="P3185" s="31">
        <f t="shared" si="3708"/>
        <v>0</v>
      </c>
      <c r="Q3185" s="49">
        <f t="shared" si="3709"/>
        <v>0</v>
      </c>
    </row>
    <row r="3186" spans="4:17" s="62" customFormat="1" x14ac:dyDescent="0.3">
      <c r="D3186" s="235">
        <v>25</v>
      </c>
      <c r="E3186" s="240">
        <v>3</v>
      </c>
      <c r="F3186" s="241">
        <v>10</v>
      </c>
      <c r="G3186" s="242">
        <v>2.6</v>
      </c>
      <c r="H3186" s="239">
        <f t="shared" si="3700"/>
        <v>7.8000000000000007</v>
      </c>
      <c r="I3186" s="131">
        <f t="shared" si="3701"/>
        <v>0</v>
      </c>
      <c r="J3186" s="31">
        <f t="shared" si="3702"/>
        <v>0</v>
      </c>
      <c r="K3186" s="31">
        <f t="shared" si="3703"/>
        <v>0</v>
      </c>
      <c r="L3186" s="31">
        <f t="shared" si="3704"/>
        <v>0</v>
      </c>
      <c r="M3186" s="31">
        <f t="shared" si="3705"/>
        <v>4.8126000000000007</v>
      </c>
      <c r="N3186" s="31">
        <f t="shared" si="3706"/>
        <v>0</v>
      </c>
      <c r="O3186" s="31">
        <f t="shared" si="3707"/>
        <v>0</v>
      </c>
      <c r="P3186" s="31">
        <f t="shared" si="3708"/>
        <v>0</v>
      </c>
      <c r="Q3186" s="49">
        <f t="shared" si="3709"/>
        <v>0</v>
      </c>
    </row>
    <row r="3187" spans="4:17" s="62" customFormat="1" x14ac:dyDescent="0.3">
      <c r="D3187" s="235">
        <v>26</v>
      </c>
      <c r="E3187" s="240">
        <v>5</v>
      </c>
      <c r="F3187" s="241">
        <v>10</v>
      </c>
      <c r="G3187" s="242">
        <v>2.63</v>
      </c>
      <c r="H3187" s="239">
        <f t="shared" si="3700"/>
        <v>13.149999999999999</v>
      </c>
      <c r="I3187" s="131">
        <f t="shared" si="3701"/>
        <v>0</v>
      </c>
      <c r="J3187" s="31">
        <f t="shared" si="3702"/>
        <v>0</v>
      </c>
      <c r="K3187" s="31">
        <f t="shared" si="3703"/>
        <v>0</v>
      </c>
      <c r="L3187" s="31">
        <f t="shared" si="3704"/>
        <v>0</v>
      </c>
      <c r="M3187" s="31">
        <f t="shared" si="3705"/>
        <v>8.1135499999999983</v>
      </c>
      <c r="N3187" s="31">
        <f t="shared" si="3706"/>
        <v>0</v>
      </c>
      <c r="O3187" s="31">
        <f t="shared" si="3707"/>
        <v>0</v>
      </c>
      <c r="P3187" s="31">
        <f t="shared" si="3708"/>
        <v>0</v>
      </c>
      <c r="Q3187" s="49">
        <f t="shared" si="3709"/>
        <v>0</v>
      </c>
    </row>
    <row r="3188" spans="4:17" s="62" customFormat="1" x14ac:dyDescent="0.3">
      <c r="D3188" s="235">
        <v>27</v>
      </c>
      <c r="E3188" s="240">
        <v>2</v>
      </c>
      <c r="F3188" s="241">
        <v>10</v>
      </c>
      <c r="G3188" s="242">
        <v>3.23</v>
      </c>
      <c r="H3188" s="239">
        <f t="shared" si="3700"/>
        <v>6.46</v>
      </c>
      <c r="I3188" s="131">
        <f t="shared" si="3701"/>
        <v>0</v>
      </c>
      <c r="J3188" s="31">
        <f t="shared" si="3702"/>
        <v>0</v>
      </c>
      <c r="K3188" s="31">
        <f t="shared" si="3703"/>
        <v>0</v>
      </c>
      <c r="L3188" s="31">
        <f t="shared" si="3704"/>
        <v>0</v>
      </c>
      <c r="M3188" s="31">
        <f t="shared" si="3705"/>
        <v>3.9858199999999999</v>
      </c>
      <c r="N3188" s="31">
        <f t="shared" si="3706"/>
        <v>0</v>
      </c>
      <c r="O3188" s="31">
        <f t="shared" si="3707"/>
        <v>0</v>
      </c>
      <c r="P3188" s="31">
        <f t="shared" si="3708"/>
        <v>0</v>
      </c>
      <c r="Q3188" s="49">
        <f t="shared" si="3709"/>
        <v>0</v>
      </c>
    </row>
    <row r="3189" spans="4:17" s="62" customFormat="1" x14ac:dyDescent="0.3">
      <c r="D3189" s="235">
        <v>28</v>
      </c>
      <c r="E3189" s="240">
        <v>3</v>
      </c>
      <c r="F3189" s="241">
        <v>10</v>
      </c>
      <c r="G3189" s="242">
        <v>8.98</v>
      </c>
      <c r="H3189" s="239">
        <f t="shared" si="3700"/>
        <v>26.94</v>
      </c>
      <c r="I3189" s="131">
        <f t="shared" si="3701"/>
        <v>0</v>
      </c>
      <c r="J3189" s="31">
        <f t="shared" si="3702"/>
        <v>0</v>
      </c>
      <c r="K3189" s="31">
        <f t="shared" si="3703"/>
        <v>0</v>
      </c>
      <c r="L3189" s="31">
        <f t="shared" si="3704"/>
        <v>0</v>
      </c>
      <c r="M3189" s="31">
        <f t="shared" si="3705"/>
        <v>16.621980000000001</v>
      </c>
      <c r="N3189" s="31">
        <f t="shared" si="3706"/>
        <v>0</v>
      </c>
      <c r="O3189" s="31">
        <f t="shared" si="3707"/>
        <v>0</v>
      </c>
      <c r="P3189" s="31">
        <f t="shared" si="3708"/>
        <v>0</v>
      </c>
      <c r="Q3189" s="49">
        <f t="shared" si="3709"/>
        <v>0</v>
      </c>
    </row>
    <row r="3190" spans="4:17" s="62" customFormat="1" x14ac:dyDescent="0.3">
      <c r="D3190" s="235">
        <v>71</v>
      </c>
      <c r="E3190" s="240">
        <v>2</v>
      </c>
      <c r="F3190" s="241">
        <v>20</v>
      </c>
      <c r="G3190" s="242">
        <v>8.57</v>
      </c>
      <c r="H3190" s="239">
        <f t="shared" ref="H3190" si="3710">E3190*G3190</f>
        <v>17.14</v>
      </c>
      <c r="I3190" s="131">
        <f t="shared" ref="I3190" si="3711">IF($F3190=4.2,H3190*$B$23,0)</f>
        <v>0</v>
      </c>
      <c r="J3190" s="31">
        <f t="shared" si="3702"/>
        <v>0</v>
      </c>
      <c r="K3190" s="31">
        <f t="shared" si="3703"/>
        <v>0</v>
      </c>
      <c r="L3190" s="31">
        <f t="shared" si="3704"/>
        <v>0</v>
      </c>
      <c r="M3190" s="31">
        <f t="shared" si="3705"/>
        <v>0</v>
      </c>
      <c r="N3190" s="31">
        <f t="shared" si="3706"/>
        <v>0</v>
      </c>
      <c r="O3190" s="31">
        <f t="shared" si="3707"/>
        <v>0</v>
      </c>
      <c r="P3190" s="31">
        <f t="shared" si="3708"/>
        <v>42.85</v>
      </c>
      <c r="Q3190" s="49">
        <f t="shared" si="3709"/>
        <v>0</v>
      </c>
    </row>
    <row r="3191" spans="4:17" s="62" customFormat="1" x14ac:dyDescent="0.3">
      <c r="D3191" s="235">
        <v>74</v>
      </c>
      <c r="E3191" s="240">
        <v>2</v>
      </c>
      <c r="F3191" s="241">
        <v>20</v>
      </c>
      <c r="G3191" s="242">
        <v>4.5999999999999996</v>
      </c>
      <c r="H3191" s="239">
        <f t="shared" si="3700"/>
        <v>9.1999999999999993</v>
      </c>
      <c r="I3191" s="131">
        <f t="shared" si="3701"/>
        <v>0</v>
      </c>
      <c r="J3191" s="31">
        <f t="shared" si="3702"/>
        <v>0</v>
      </c>
      <c r="K3191" s="31">
        <f t="shared" si="3703"/>
        <v>0</v>
      </c>
      <c r="L3191" s="31">
        <f t="shared" si="3704"/>
        <v>0</v>
      </c>
      <c r="M3191" s="31">
        <f t="shared" si="3705"/>
        <v>0</v>
      </c>
      <c r="N3191" s="31">
        <f t="shared" si="3706"/>
        <v>0</v>
      </c>
      <c r="O3191" s="31">
        <f t="shared" si="3707"/>
        <v>0</v>
      </c>
      <c r="P3191" s="31">
        <f t="shared" si="3708"/>
        <v>23</v>
      </c>
      <c r="Q3191" s="49">
        <f t="shared" si="3709"/>
        <v>0</v>
      </c>
    </row>
    <row r="3192" spans="4:17" s="62" customFormat="1" ht="15" thickBot="1" x14ac:dyDescent="0.35">
      <c r="D3192" s="307"/>
      <c r="E3192" s="26"/>
      <c r="F3192" s="206"/>
      <c r="G3192" s="207"/>
      <c r="H3192" s="207"/>
      <c r="I3192" s="51"/>
      <c r="J3192" s="308"/>
      <c r="K3192" s="308"/>
      <c r="L3192" s="308"/>
      <c r="M3192" s="308"/>
      <c r="N3192" s="308"/>
      <c r="O3192" s="308"/>
      <c r="P3192" s="308"/>
      <c r="Q3192" s="309"/>
    </row>
    <row r="3193" spans="4:17" s="62" customFormat="1" x14ac:dyDescent="0.3">
      <c r="D3193" s="796" t="s">
        <v>1726</v>
      </c>
      <c r="E3193" s="797"/>
      <c r="F3193" s="797"/>
      <c r="G3193" s="797"/>
      <c r="H3193" s="797"/>
      <c r="I3193" s="47">
        <f t="shared" ref="I3193:Q3193" si="3712">SUM(I3194:I3203)</f>
        <v>0</v>
      </c>
      <c r="J3193" s="47">
        <f t="shared" si="3712"/>
        <v>0</v>
      </c>
      <c r="K3193" s="47">
        <f t="shared" si="3712"/>
        <v>13.8621</v>
      </c>
      <c r="L3193" s="47">
        <f t="shared" si="3712"/>
        <v>0</v>
      </c>
      <c r="M3193" s="47">
        <f t="shared" si="3712"/>
        <v>0</v>
      </c>
      <c r="N3193" s="47">
        <f t="shared" si="3712"/>
        <v>52.252380000000002</v>
      </c>
      <c r="O3193" s="47">
        <f t="shared" si="3712"/>
        <v>0</v>
      </c>
      <c r="P3193" s="47">
        <f t="shared" si="3712"/>
        <v>67.599999999999994</v>
      </c>
      <c r="Q3193" s="47">
        <f t="shared" si="3712"/>
        <v>0</v>
      </c>
    </row>
    <row r="3194" spans="4:17" s="62" customFormat="1" x14ac:dyDescent="0.3">
      <c r="D3194" s="235">
        <v>4</v>
      </c>
      <c r="E3194" s="237">
        <v>41</v>
      </c>
      <c r="F3194" s="238">
        <v>6.3</v>
      </c>
      <c r="G3194" s="239">
        <v>1.38</v>
      </c>
      <c r="H3194" s="239">
        <f t="shared" ref="H3194:H3203" si="3713">E3194*G3194</f>
        <v>56.58</v>
      </c>
      <c r="I3194" s="131">
        <f t="shared" ref="I3194:I3203" si="3714">IF($F3194=4.2,H3194*$B$23,0)</f>
        <v>0</v>
      </c>
      <c r="J3194" s="31">
        <f t="shared" ref="J3194:J3203" si="3715">IF($F3194=5,$H3194*$B$24,0)</f>
        <v>0</v>
      </c>
      <c r="K3194" s="31">
        <f t="shared" ref="K3194:K3203" si="3716">IF($F3194=6.3,$H3194*$B$25,0)</f>
        <v>13.8621</v>
      </c>
      <c r="L3194" s="31">
        <f t="shared" ref="L3194:L3203" si="3717">IF($F3194=8,$H3194*$B$26,0)</f>
        <v>0</v>
      </c>
      <c r="M3194" s="31">
        <f t="shared" ref="M3194:M3203" si="3718">IF($F3194=10,$H3194*$B$27,0)</f>
        <v>0</v>
      </c>
      <c r="N3194" s="31">
        <f t="shared" ref="N3194:N3203" si="3719">IF($F3194=12.5,$H3194*$B$28,0)</f>
        <v>0</v>
      </c>
      <c r="O3194" s="31">
        <f t="shared" ref="O3194:O3203" si="3720">IF($F3194=16,$H3194*$B$29,0)</f>
        <v>0</v>
      </c>
      <c r="P3194" s="31">
        <f t="shared" ref="P3194:P3203" si="3721">IF($F3194=20,$H3194*$B$30,0)</f>
        <v>0</v>
      </c>
      <c r="Q3194" s="49">
        <f t="shared" ref="Q3194:Q3203" si="3722">IF($F3194=25,$H3194*$B$31,0)</f>
        <v>0</v>
      </c>
    </row>
    <row r="3195" spans="4:17" s="62" customFormat="1" x14ac:dyDescent="0.3">
      <c r="D3195" s="235">
        <v>59</v>
      </c>
      <c r="E3195" s="240">
        <v>1</v>
      </c>
      <c r="F3195" s="241">
        <v>12.5</v>
      </c>
      <c r="G3195" s="242">
        <v>2</v>
      </c>
      <c r="H3195" s="239">
        <f t="shared" si="3713"/>
        <v>2</v>
      </c>
      <c r="I3195" s="131">
        <f t="shared" si="3714"/>
        <v>0</v>
      </c>
      <c r="J3195" s="31">
        <f t="shared" si="3715"/>
        <v>0</v>
      </c>
      <c r="K3195" s="31">
        <f t="shared" si="3716"/>
        <v>0</v>
      </c>
      <c r="L3195" s="31">
        <f t="shared" si="3717"/>
        <v>0</v>
      </c>
      <c r="M3195" s="31">
        <f t="shared" si="3718"/>
        <v>0</v>
      </c>
      <c r="N3195" s="31">
        <f t="shared" si="3719"/>
        <v>1.9259999999999999</v>
      </c>
      <c r="O3195" s="31">
        <f t="shared" si="3720"/>
        <v>0</v>
      </c>
      <c r="P3195" s="31">
        <f t="shared" si="3721"/>
        <v>0</v>
      </c>
      <c r="Q3195" s="49">
        <f t="shared" si="3722"/>
        <v>0</v>
      </c>
    </row>
    <row r="3196" spans="4:17" s="62" customFormat="1" x14ac:dyDescent="0.3">
      <c r="D3196" s="235">
        <v>60</v>
      </c>
      <c r="E3196" s="240">
        <v>1</v>
      </c>
      <c r="F3196" s="241">
        <v>12.5</v>
      </c>
      <c r="G3196" s="242">
        <v>2.04</v>
      </c>
      <c r="H3196" s="239">
        <f t="shared" si="3713"/>
        <v>2.04</v>
      </c>
      <c r="I3196" s="131">
        <f t="shared" si="3714"/>
        <v>0</v>
      </c>
      <c r="J3196" s="31">
        <f t="shared" si="3715"/>
        <v>0</v>
      </c>
      <c r="K3196" s="31">
        <f t="shared" si="3716"/>
        <v>0</v>
      </c>
      <c r="L3196" s="31">
        <f t="shared" si="3717"/>
        <v>0</v>
      </c>
      <c r="M3196" s="31">
        <f t="shared" si="3718"/>
        <v>0</v>
      </c>
      <c r="N3196" s="31">
        <f t="shared" si="3719"/>
        <v>1.96452</v>
      </c>
      <c r="O3196" s="31">
        <f t="shared" si="3720"/>
        <v>0</v>
      </c>
      <c r="P3196" s="31">
        <f t="shared" si="3721"/>
        <v>0</v>
      </c>
      <c r="Q3196" s="49">
        <f t="shared" si="3722"/>
        <v>0</v>
      </c>
    </row>
    <row r="3197" spans="4:17" s="62" customFormat="1" x14ac:dyDescent="0.3">
      <c r="D3197" s="235">
        <v>61</v>
      </c>
      <c r="E3197" s="240">
        <v>2</v>
      </c>
      <c r="F3197" s="241">
        <v>12.5</v>
      </c>
      <c r="G3197" s="242">
        <v>2.64</v>
      </c>
      <c r="H3197" s="239">
        <f t="shared" si="3713"/>
        <v>5.28</v>
      </c>
      <c r="I3197" s="131">
        <f t="shared" si="3714"/>
        <v>0</v>
      </c>
      <c r="J3197" s="31">
        <f t="shared" si="3715"/>
        <v>0</v>
      </c>
      <c r="K3197" s="31">
        <f t="shared" si="3716"/>
        <v>0</v>
      </c>
      <c r="L3197" s="31">
        <f t="shared" si="3717"/>
        <v>0</v>
      </c>
      <c r="M3197" s="31">
        <f t="shared" si="3718"/>
        <v>0</v>
      </c>
      <c r="N3197" s="31">
        <f t="shared" si="3719"/>
        <v>5.0846400000000003</v>
      </c>
      <c r="O3197" s="31">
        <f t="shared" si="3720"/>
        <v>0</v>
      </c>
      <c r="P3197" s="31">
        <f t="shared" si="3721"/>
        <v>0</v>
      </c>
      <c r="Q3197" s="49">
        <f t="shared" si="3722"/>
        <v>0</v>
      </c>
    </row>
    <row r="3198" spans="4:17" s="62" customFormat="1" x14ac:dyDescent="0.3">
      <c r="D3198" s="235">
        <v>62</v>
      </c>
      <c r="E3198" s="240">
        <v>1</v>
      </c>
      <c r="F3198" s="241">
        <v>12.5</v>
      </c>
      <c r="G3198" s="242">
        <v>2.16</v>
      </c>
      <c r="H3198" s="239">
        <f t="shared" si="3713"/>
        <v>2.16</v>
      </c>
      <c r="I3198" s="131">
        <f t="shared" si="3714"/>
        <v>0</v>
      </c>
      <c r="J3198" s="31">
        <f t="shared" si="3715"/>
        <v>0</v>
      </c>
      <c r="K3198" s="31">
        <f t="shared" si="3716"/>
        <v>0</v>
      </c>
      <c r="L3198" s="31">
        <f t="shared" si="3717"/>
        <v>0</v>
      </c>
      <c r="M3198" s="31">
        <f t="shared" si="3718"/>
        <v>0</v>
      </c>
      <c r="N3198" s="31">
        <f t="shared" si="3719"/>
        <v>2.0800800000000002</v>
      </c>
      <c r="O3198" s="31">
        <f t="shared" si="3720"/>
        <v>0</v>
      </c>
      <c r="P3198" s="31">
        <f t="shared" si="3721"/>
        <v>0</v>
      </c>
      <c r="Q3198" s="49">
        <f t="shared" si="3722"/>
        <v>0</v>
      </c>
    </row>
    <row r="3199" spans="4:17" s="62" customFormat="1" x14ac:dyDescent="0.3">
      <c r="D3199" s="235">
        <v>63</v>
      </c>
      <c r="E3199" s="240">
        <v>5</v>
      </c>
      <c r="F3199" s="241">
        <v>12.5</v>
      </c>
      <c r="G3199" s="242">
        <v>2.81</v>
      </c>
      <c r="H3199" s="239">
        <f t="shared" si="3713"/>
        <v>14.05</v>
      </c>
      <c r="I3199" s="131">
        <f t="shared" si="3714"/>
        <v>0</v>
      </c>
      <c r="J3199" s="31">
        <f t="shared" si="3715"/>
        <v>0</v>
      </c>
      <c r="K3199" s="31">
        <f t="shared" si="3716"/>
        <v>0</v>
      </c>
      <c r="L3199" s="31">
        <f t="shared" si="3717"/>
        <v>0</v>
      </c>
      <c r="M3199" s="31">
        <f t="shared" si="3718"/>
        <v>0</v>
      </c>
      <c r="N3199" s="31">
        <f t="shared" si="3719"/>
        <v>13.530150000000001</v>
      </c>
      <c r="O3199" s="31">
        <f t="shared" si="3720"/>
        <v>0</v>
      </c>
      <c r="P3199" s="31">
        <f t="shared" si="3721"/>
        <v>0</v>
      </c>
      <c r="Q3199" s="49">
        <f t="shared" si="3722"/>
        <v>0</v>
      </c>
    </row>
    <row r="3200" spans="4:17" s="62" customFormat="1" x14ac:dyDescent="0.3">
      <c r="D3200" s="235">
        <v>64</v>
      </c>
      <c r="E3200" s="240">
        <v>3</v>
      </c>
      <c r="F3200" s="241">
        <v>12.5</v>
      </c>
      <c r="G3200" s="242">
        <v>3.41</v>
      </c>
      <c r="H3200" s="239">
        <f t="shared" si="3713"/>
        <v>10.23</v>
      </c>
      <c r="I3200" s="131">
        <f t="shared" si="3714"/>
        <v>0</v>
      </c>
      <c r="J3200" s="31">
        <f t="shared" si="3715"/>
        <v>0</v>
      </c>
      <c r="K3200" s="31">
        <f t="shared" si="3716"/>
        <v>0</v>
      </c>
      <c r="L3200" s="31">
        <f t="shared" si="3717"/>
        <v>0</v>
      </c>
      <c r="M3200" s="31">
        <f t="shared" si="3718"/>
        <v>0</v>
      </c>
      <c r="N3200" s="31">
        <f t="shared" si="3719"/>
        <v>9.8514900000000001</v>
      </c>
      <c r="O3200" s="31">
        <f t="shared" si="3720"/>
        <v>0</v>
      </c>
      <c r="P3200" s="31">
        <f t="shared" si="3721"/>
        <v>0</v>
      </c>
      <c r="Q3200" s="49">
        <f t="shared" si="3722"/>
        <v>0</v>
      </c>
    </row>
    <row r="3201" spans="4:17" s="62" customFormat="1" x14ac:dyDescent="0.3">
      <c r="D3201" s="235">
        <v>65</v>
      </c>
      <c r="E3201" s="240">
        <v>2</v>
      </c>
      <c r="F3201" s="241">
        <v>12.5</v>
      </c>
      <c r="G3201" s="242">
        <v>9.25</v>
      </c>
      <c r="H3201" s="239">
        <f t="shared" si="3713"/>
        <v>18.5</v>
      </c>
      <c r="I3201" s="131">
        <f t="shared" si="3714"/>
        <v>0</v>
      </c>
      <c r="J3201" s="31">
        <f t="shared" si="3715"/>
        <v>0</v>
      </c>
      <c r="K3201" s="31">
        <f t="shared" si="3716"/>
        <v>0</v>
      </c>
      <c r="L3201" s="31">
        <f t="shared" si="3717"/>
        <v>0</v>
      </c>
      <c r="M3201" s="31">
        <f t="shared" si="3718"/>
        <v>0</v>
      </c>
      <c r="N3201" s="31">
        <f t="shared" si="3719"/>
        <v>17.8155</v>
      </c>
      <c r="O3201" s="31">
        <f t="shared" si="3720"/>
        <v>0</v>
      </c>
      <c r="P3201" s="31">
        <f t="shared" si="3721"/>
        <v>0</v>
      </c>
      <c r="Q3201" s="49">
        <f t="shared" si="3722"/>
        <v>0</v>
      </c>
    </row>
    <row r="3202" spans="4:17" s="62" customFormat="1" x14ac:dyDescent="0.3">
      <c r="D3202" s="235">
        <v>75</v>
      </c>
      <c r="E3202" s="240">
        <v>2</v>
      </c>
      <c r="F3202" s="241">
        <v>20</v>
      </c>
      <c r="G3202" s="242">
        <v>8.67</v>
      </c>
      <c r="H3202" s="239">
        <f t="shared" si="3713"/>
        <v>17.34</v>
      </c>
      <c r="I3202" s="131">
        <f t="shared" si="3714"/>
        <v>0</v>
      </c>
      <c r="J3202" s="31">
        <f t="shared" si="3715"/>
        <v>0</v>
      </c>
      <c r="K3202" s="31">
        <f t="shared" si="3716"/>
        <v>0</v>
      </c>
      <c r="L3202" s="31">
        <f t="shared" si="3717"/>
        <v>0</v>
      </c>
      <c r="M3202" s="31">
        <f t="shared" si="3718"/>
        <v>0</v>
      </c>
      <c r="N3202" s="31">
        <f t="shared" si="3719"/>
        <v>0</v>
      </c>
      <c r="O3202" s="31">
        <f t="shared" si="3720"/>
        <v>0</v>
      </c>
      <c r="P3202" s="31">
        <f t="shared" si="3721"/>
        <v>43.35</v>
      </c>
      <c r="Q3202" s="49">
        <f t="shared" si="3722"/>
        <v>0</v>
      </c>
    </row>
    <row r="3203" spans="4:17" s="62" customFormat="1" x14ac:dyDescent="0.3">
      <c r="D3203" s="235">
        <v>76</v>
      </c>
      <c r="E3203" s="240">
        <v>2</v>
      </c>
      <c r="F3203" s="241">
        <v>20</v>
      </c>
      <c r="G3203" s="242">
        <v>4.8499999999999996</v>
      </c>
      <c r="H3203" s="239">
        <f t="shared" si="3713"/>
        <v>9.6999999999999993</v>
      </c>
      <c r="I3203" s="131">
        <f t="shared" si="3714"/>
        <v>0</v>
      </c>
      <c r="J3203" s="31">
        <f t="shared" si="3715"/>
        <v>0</v>
      </c>
      <c r="K3203" s="31">
        <f t="shared" si="3716"/>
        <v>0</v>
      </c>
      <c r="L3203" s="31">
        <f t="shared" si="3717"/>
        <v>0</v>
      </c>
      <c r="M3203" s="31">
        <f t="shared" si="3718"/>
        <v>0</v>
      </c>
      <c r="N3203" s="31">
        <f t="shared" si="3719"/>
        <v>0</v>
      </c>
      <c r="O3203" s="31">
        <f t="shared" si="3720"/>
        <v>0</v>
      </c>
      <c r="P3203" s="31">
        <f t="shared" si="3721"/>
        <v>24.25</v>
      </c>
      <c r="Q3203" s="49">
        <f t="shared" si="3722"/>
        <v>0</v>
      </c>
    </row>
    <row r="3204" spans="4:17" s="62" customFormat="1" ht="15" thickBot="1" x14ac:dyDescent="0.35">
      <c r="D3204" s="307"/>
      <c r="E3204" s="26"/>
      <c r="F3204" s="206"/>
      <c r="G3204" s="207"/>
      <c r="H3204" s="207"/>
      <c r="I3204" s="51"/>
      <c r="J3204" s="308"/>
      <c r="K3204" s="308"/>
      <c r="L3204" s="308"/>
      <c r="M3204" s="308"/>
      <c r="N3204" s="308"/>
      <c r="O3204" s="308"/>
      <c r="P3204" s="308"/>
      <c r="Q3204" s="309"/>
    </row>
    <row r="3205" spans="4:17" s="62" customFormat="1" x14ac:dyDescent="0.3">
      <c r="D3205" s="796" t="s">
        <v>1727</v>
      </c>
      <c r="E3205" s="797"/>
      <c r="F3205" s="797"/>
      <c r="G3205" s="797"/>
      <c r="H3205" s="797"/>
      <c r="I3205" s="47">
        <f t="shared" ref="I3205:Q3205" si="3723">SUM(I3206:I3214)</f>
        <v>0</v>
      </c>
      <c r="J3205" s="47">
        <f t="shared" si="3723"/>
        <v>4.6846799999999993</v>
      </c>
      <c r="K3205" s="47">
        <f t="shared" si="3723"/>
        <v>0</v>
      </c>
      <c r="L3205" s="47">
        <f t="shared" si="3723"/>
        <v>10.270000000000001</v>
      </c>
      <c r="M3205" s="47">
        <f t="shared" si="3723"/>
        <v>18.08427</v>
      </c>
      <c r="N3205" s="47">
        <f t="shared" si="3723"/>
        <v>0</v>
      </c>
      <c r="O3205" s="47">
        <f t="shared" si="3723"/>
        <v>0</v>
      </c>
      <c r="P3205" s="47">
        <f t="shared" si="3723"/>
        <v>0</v>
      </c>
      <c r="Q3205" s="47">
        <f t="shared" si="3723"/>
        <v>0</v>
      </c>
    </row>
    <row r="3206" spans="4:17" s="62" customFormat="1" x14ac:dyDescent="0.3">
      <c r="D3206" s="235">
        <v>1</v>
      </c>
      <c r="E3206" s="237">
        <v>26</v>
      </c>
      <c r="F3206" s="238">
        <v>5</v>
      </c>
      <c r="G3206" s="239">
        <v>1.17</v>
      </c>
      <c r="H3206" s="239">
        <f t="shared" ref="H3206:H3214" si="3724">E3206*G3206</f>
        <v>30.419999999999998</v>
      </c>
      <c r="I3206" s="131">
        <f t="shared" ref="I3206:I3214" si="3725">IF($F3206=4.2,H3206*$B$23,0)</f>
        <v>0</v>
      </c>
      <c r="J3206" s="31">
        <f t="shared" ref="J3206:J3214" si="3726">IF($F3206=5,$H3206*$B$24,0)</f>
        <v>4.6846799999999993</v>
      </c>
      <c r="K3206" s="31">
        <f t="shared" ref="K3206:K3214" si="3727">IF($F3206=6.3,$H3206*$B$25,0)</f>
        <v>0</v>
      </c>
      <c r="L3206" s="31">
        <f t="shared" ref="L3206:L3214" si="3728">IF($F3206=8,$H3206*$B$26,0)</f>
        <v>0</v>
      </c>
      <c r="M3206" s="31">
        <f t="shared" ref="M3206:M3214" si="3729">IF($F3206=10,$H3206*$B$27,0)</f>
        <v>0</v>
      </c>
      <c r="N3206" s="31">
        <f t="shared" ref="N3206:N3214" si="3730">IF($F3206=12.5,$H3206*$B$28,0)</f>
        <v>0</v>
      </c>
      <c r="O3206" s="31">
        <f t="shared" ref="O3206:O3214" si="3731">IF($F3206=16,$H3206*$B$29,0)</f>
        <v>0</v>
      </c>
      <c r="P3206" s="31">
        <f t="shared" ref="P3206:P3214" si="3732">IF($F3206=20,$H3206*$B$30,0)</f>
        <v>0</v>
      </c>
      <c r="Q3206" s="49">
        <f t="shared" ref="Q3206:Q3214" si="3733">IF($F3206=25,$H3206*$B$31,0)</f>
        <v>0</v>
      </c>
    </row>
    <row r="3207" spans="4:17" s="62" customFormat="1" x14ac:dyDescent="0.3">
      <c r="D3207" s="235">
        <v>6</v>
      </c>
      <c r="E3207" s="240">
        <v>1</v>
      </c>
      <c r="F3207" s="241">
        <v>8</v>
      </c>
      <c r="G3207" s="242">
        <v>2.79</v>
      </c>
      <c r="H3207" s="239">
        <f t="shared" si="3724"/>
        <v>2.79</v>
      </c>
      <c r="I3207" s="131">
        <f t="shared" si="3725"/>
        <v>0</v>
      </c>
      <c r="J3207" s="31">
        <f t="shared" si="3726"/>
        <v>0</v>
      </c>
      <c r="K3207" s="31">
        <f t="shared" si="3727"/>
        <v>0</v>
      </c>
      <c r="L3207" s="31">
        <f t="shared" si="3728"/>
        <v>1.10205</v>
      </c>
      <c r="M3207" s="31">
        <f t="shared" si="3729"/>
        <v>0</v>
      </c>
      <c r="N3207" s="31">
        <f t="shared" si="3730"/>
        <v>0</v>
      </c>
      <c r="O3207" s="31">
        <f t="shared" si="3731"/>
        <v>0</v>
      </c>
      <c r="P3207" s="31">
        <f t="shared" si="3732"/>
        <v>0</v>
      </c>
      <c r="Q3207" s="49">
        <f t="shared" si="3733"/>
        <v>0</v>
      </c>
    </row>
    <row r="3208" spans="4:17" s="62" customFormat="1" x14ac:dyDescent="0.3">
      <c r="D3208" s="235">
        <v>7</v>
      </c>
      <c r="E3208" s="240">
        <v>1</v>
      </c>
      <c r="F3208" s="241">
        <v>8</v>
      </c>
      <c r="G3208" s="242">
        <v>1.46</v>
      </c>
      <c r="H3208" s="239">
        <f t="shared" si="3724"/>
        <v>1.46</v>
      </c>
      <c r="I3208" s="131">
        <f t="shared" si="3725"/>
        <v>0</v>
      </c>
      <c r="J3208" s="31">
        <f t="shared" si="3726"/>
        <v>0</v>
      </c>
      <c r="K3208" s="31">
        <f t="shared" si="3727"/>
        <v>0</v>
      </c>
      <c r="L3208" s="31">
        <f t="shared" si="3728"/>
        <v>0.57669999999999999</v>
      </c>
      <c r="M3208" s="31">
        <f t="shared" si="3729"/>
        <v>0</v>
      </c>
      <c r="N3208" s="31">
        <f t="shared" si="3730"/>
        <v>0</v>
      </c>
      <c r="O3208" s="31">
        <f t="shared" si="3731"/>
        <v>0</v>
      </c>
      <c r="P3208" s="31">
        <f t="shared" si="3732"/>
        <v>0</v>
      </c>
      <c r="Q3208" s="49">
        <f t="shared" si="3733"/>
        <v>0</v>
      </c>
    </row>
    <row r="3209" spans="4:17" s="62" customFormat="1" x14ac:dyDescent="0.3">
      <c r="D3209" s="235">
        <v>8</v>
      </c>
      <c r="E3209" s="240">
        <v>1</v>
      </c>
      <c r="F3209" s="241">
        <v>8</v>
      </c>
      <c r="G3209" s="242">
        <v>2.4</v>
      </c>
      <c r="H3209" s="239">
        <f t="shared" si="3724"/>
        <v>2.4</v>
      </c>
      <c r="I3209" s="131">
        <f t="shared" si="3725"/>
        <v>0</v>
      </c>
      <c r="J3209" s="31">
        <f t="shared" si="3726"/>
        <v>0</v>
      </c>
      <c r="K3209" s="31">
        <f t="shared" si="3727"/>
        <v>0</v>
      </c>
      <c r="L3209" s="31">
        <f t="shared" si="3728"/>
        <v>0.94799999999999995</v>
      </c>
      <c r="M3209" s="31">
        <f t="shared" si="3729"/>
        <v>0</v>
      </c>
      <c r="N3209" s="31">
        <f t="shared" si="3730"/>
        <v>0</v>
      </c>
      <c r="O3209" s="31">
        <f t="shared" si="3731"/>
        <v>0</v>
      </c>
      <c r="P3209" s="31">
        <f t="shared" si="3732"/>
        <v>0</v>
      </c>
      <c r="Q3209" s="49">
        <f t="shared" si="3733"/>
        <v>0</v>
      </c>
    </row>
    <row r="3210" spans="4:17" s="62" customFormat="1" x14ac:dyDescent="0.3">
      <c r="D3210" s="235">
        <v>9</v>
      </c>
      <c r="E3210" s="240">
        <v>3</v>
      </c>
      <c r="F3210" s="241">
        <v>8</v>
      </c>
      <c r="G3210" s="242">
        <v>6.45</v>
      </c>
      <c r="H3210" s="239">
        <f t="shared" si="3724"/>
        <v>19.350000000000001</v>
      </c>
      <c r="I3210" s="131">
        <f t="shared" si="3725"/>
        <v>0</v>
      </c>
      <c r="J3210" s="31">
        <f t="shared" si="3726"/>
        <v>0</v>
      </c>
      <c r="K3210" s="31">
        <f t="shared" si="3727"/>
        <v>0</v>
      </c>
      <c r="L3210" s="31">
        <f t="shared" si="3728"/>
        <v>7.643250000000001</v>
      </c>
      <c r="M3210" s="31">
        <f t="shared" si="3729"/>
        <v>0</v>
      </c>
      <c r="N3210" s="31">
        <f t="shared" si="3730"/>
        <v>0</v>
      </c>
      <c r="O3210" s="31">
        <f t="shared" si="3731"/>
        <v>0</v>
      </c>
      <c r="P3210" s="31">
        <f t="shared" si="3732"/>
        <v>0</v>
      </c>
      <c r="Q3210" s="49">
        <f t="shared" si="3733"/>
        <v>0</v>
      </c>
    </row>
    <row r="3211" spans="4:17" s="62" customFormat="1" x14ac:dyDescent="0.3">
      <c r="D3211" s="235">
        <v>29</v>
      </c>
      <c r="E3211" s="240">
        <v>2</v>
      </c>
      <c r="F3211" s="241">
        <v>10</v>
      </c>
      <c r="G3211" s="242">
        <v>1.67</v>
      </c>
      <c r="H3211" s="239">
        <f t="shared" si="3724"/>
        <v>3.34</v>
      </c>
      <c r="I3211" s="131">
        <f t="shared" si="3725"/>
        <v>0</v>
      </c>
      <c r="J3211" s="31">
        <f t="shared" si="3726"/>
        <v>0</v>
      </c>
      <c r="K3211" s="31">
        <f t="shared" si="3727"/>
        <v>0</v>
      </c>
      <c r="L3211" s="31">
        <f t="shared" si="3728"/>
        <v>0</v>
      </c>
      <c r="M3211" s="31">
        <f t="shared" si="3729"/>
        <v>2.0607799999999998</v>
      </c>
      <c r="N3211" s="31">
        <f t="shared" si="3730"/>
        <v>0</v>
      </c>
      <c r="O3211" s="31">
        <f t="shared" si="3731"/>
        <v>0</v>
      </c>
      <c r="P3211" s="31">
        <f t="shared" si="3732"/>
        <v>0</v>
      </c>
      <c r="Q3211" s="49">
        <f t="shared" si="3733"/>
        <v>0</v>
      </c>
    </row>
    <row r="3212" spans="4:17" s="62" customFormat="1" x14ac:dyDescent="0.3">
      <c r="D3212" s="235">
        <v>30</v>
      </c>
      <c r="E3212" s="240">
        <v>1</v>
      </c>
      <c r="F3212" s="241">
        <v>10</v>
      </c>
      <c r="G3212" s="242">
        <v>2.93</v>
      </c>
      <c r="H3212" s="239">
        <f t="shared" si="3724"/>
        <v>2.93</v>
      </c>
      <c r="I3212" s="131">
        <f t="shared" si="3725"/>
        <v>0</v>
      </c>
      <c r="J3212" s="31">
        <f t="shared" si="3726"/>
        <v>0</v>
      </c>
      <c r="K3212" s="31">
        <f t="shared" si="3727"/>
        <v>0</v>
      </c>
      <c r="L3212" s="31">
        <f t="shared" si="3728"/>
        <v>0</v>
      </c>
      <c r="M3212" s="31">
        <f t="shared" si="3729"/>
        <v>1.8078100000000001</v>
      </c>
      <c r="N3212" s="31">
        <f t="shared" si="3730"/>
        <v>0</v>
      </c>
      <c r="O3212" s="31">
        <f t="shared" si="3731"/>
        <v>0</v>
      </c>
      <c r="P3212" s="31">
        <f t="shared" si="3732"/>
        <v>0</v>
      </c>
      <c r="Q3212" s="49">
        <f t="shared" si="3733"/>
        <v>0</v>
      </c>
    </row>
    <row r="3213" spans="4:17" s="62" customFormat="1" x14ac:dyDescent="0.3">
      <c r="D3213" s="235">
        <v>31</v>
      </c>
      <c r="E3213" s="240">
        <v>1</v>
      </c>
      <c r="F3213" s="241">
        <v>10</v>
      </c>
      <c r="G3213" s="242">
        <v>4.2</v>
      </c>
      <c r="H3213" s="239">
        <f t="shared" si="3724"/>
        <v>4.2</v>
      </c>
      <c r="I3213" s="131">
        <f t="shared" si="3725"/>
        <v>0</v>
      </c>
      <c r="J3213" s="31">
        <f t="shared" si="3726"/>
        <v>0</v>
      </c>
      <c r="K3213" s="31">
        <f t="shared" si="3727"/>
        <v>0</v>
      </c>
      <c r="L3213" s="31">
        <f t="shared" si="3728"/>
        <v>0</v>
      </c>
      <c r="M3213" s="31">
        <f t="shared" si="3729"/>
        <v>2.5914000000000001</v>
      </c>
      <c r="N3213" s="31">
        <f t="shared" si="3730"/>
        <v>0</v>
      </c>
      <c r="O3213" s="31">
        <f t="shared" si="3731"/>
        <v>0</v>
      </c>
      <c r="P3213" s="31">
        <f t="shared" si="3732"/>
        <v>0</v>
      </c>
      <c r="Q3213" s="49">
        <f t="shared" si="3733"/>
        <v>0</v>
      </c>
    </row>
    <row r="3214" spans="4:17" s="62" customFormat="1" x14ac:dyDescent="0.3">
      <c r="D3214" s="235">
        <v>32</v>
      </c>
      <c r="E3214" s="240">
        <v>3</v>
      </c>
      <c r="F3214" s="241">
        <v>10</v>
      </c>
      <c r="G3214" s="242">
        <v>6.28</v>
      </c>
      <c r="H3214" s="239">
        <f t="shared" si="3724"/>
        <v>18.84</v>
      </c>
      <c r="I3214" s="131">
        <f t="shared" si="3725"/>
        <v>0</v>
      </c>
      <c r="J3214" s="31">
        <f t="shared" si="3726"/>
        <v>0</v>
      </c>
      <c r="K3214" s="31">
        <f t="shared" si="3727"/>
        <v>0</v>
      </c>
      <c r="L3214" s="31">
        <f t="shared" si="3728"/>
        <v>0</v>
      </c>
      <c r="M3214" s="31">
        <f t="shared" si="3729"/>
        <v>11.624280000000001</v>
      </c>
      <c r="N3214" s="31">
        <f t="shared" si="3730"/>
        <v>0</v>
      </c>
      <c r="O3214" s="31">
        <f t="shared" si="3731"/>
        <v>0</v>
      </c>
      <c r="P3214" s="31">
        <f t="shared" si="3732"/>
        <v>0</v>
      </c>
      <c r="Q3214" s="49">
        <f t="shared" si="3733"/>
        <v>0</v>
      </c>
    </row>
    <row r="3215" spans="4:17" s="62" customFormat="1" ht="15" thickBot="1" x14ac:dyDescent="0.35">
      <c r="D3215" s="307"/>
      <c r="E3215" s="26"/>
      <c r="F3215" s="206"/>
      <c r="G3215" s="207"/>
      <c r="H3215" s="207"/>
      <c r="I3215" s="51"/>
      <c r="J3215" s="308"/>
      <c r="K3215" s="308"/>
      <c r="L3215" s="308"/>
      <c r="M3215" s="308"/>
      <c r="N3215" s="308"/>
      <c r="O3215" s="308"/>
      <c r="P3215" s="308"/>
      <c r="Q3215" s="309"/>
    </row>
    <row r="3216" spans="4:17" s="62" customFormat="1" x14ac:dyDescent="0.3">
      <c r="D3216" s="796" t="s">
        <v>1728</v>
      </c>
      <c r="E3216" s="797"/>
      <c r="F3216" s="797"/>
      <c r="G3216" s="797"/>
      <c r="H3216" s="797"/>
      <c r="I3216" s="47">
        <f t="shared" ref="I3216:Q3216" si="3734">SUM(I3217:I3225)</f>
        <v>0</v>
      </c>
      <c r="J3216" s="47">
        <f t="shared" si="3734"/>
        <v>6.6497200000000003</v>
      </c>
      <c r="K3216" s="47">
        <f t="shared" si="3734"/>
        <v>0.37240000000000001</v>
      </c>
      <c r="L3216" s="47">
        <f t="shared" si="3734"/>
        <v>0</v>
      </c>
      <c r="M3216" s="47">
        <f t="shared" si="3734"/>
        <v>28.209240000000001</v>
      </c>
      <c r="N3216" s="47">
        <f t="shared" si="3734"/>
        <v>0</v>
      </c>
      <c r="O3216" s="47">
        <f t="shared" si="3734"/>
        <v>0</v>
      </c>
      <c r="P3216" s="47">
        <f t="shared" si="3734"/>
        <v>0</v>
      </c>
      <c r="Q3216" s="47">
        <f t="shared" si="3734"/>
        <v>0</v>
      </c>
    </row>
    <row r="3217" spans="4:17" s="62" customFormat="1" x14ac:dyDescent="0.3">
      <c r="D3217" s="235">
        <v>2</v>
      </c>
      <c r="E3217" s="237">
        <v>34</v>
      </c>
      <c r="F3217" s="238">
        <v>5</v>
      </c>
      <c r="G3217" s="239">
        <v>1.27</v>
      </c>
      <c r="H3217" s="239">
        <f t="shared" ref="H3217:H3225" si="3735">E3217*G3217</f>
        <v>43.18</v>
      </c>
      <c r="I3217" s="131">
        <f t="shared" ref="I3217:I3225" si="3736">IF($F3217=4.2,H3217*$B$23,0)</f>
        <v>0</v>
      </c>
      <c r="J3217" s="31">
        <f t="shared" ref="J3217:J3225" si="3737">IF($F3217=5,$H3217*$B$24,0)</f>
        <v>6.6497200000000003</v>
      </c>
      <c r="K3217" s="31">
        <f t="shared" ref="K3217:K3225" si="3738">IF($F3217=6.3,$H3217*$B$25,0)</f>
        <v>0</v>
      </c>
      <c r="L3217" s="31">
        <f t="shared" ref="L3217:L3225" si="3739">IF($F3217=8,$H3217*$B$26,0)</f>
        <v>0</v>
      </c>
      <c r="M3217" s="31">
        <f t="shared" ref="M3217:M3225" si="3740">IF($F3217=10,$H3217*$B$27,0)</f>
        <v>0</v>
      </c>
      <c r="N3217" s="31">
        <f t="shared" ref="N3217:N3225" si="3741">IF($F3217=12.5,$H3217*$B$28,0)</f>
        <v>0</v>
      </c>
      <c r="O3217" s="31">
        <f t="shared" ref="O3217:O3225" si="3742">IF($F3217=16,$H3217*$B$29,0)</f>
        <v>0</v>
      </c>
      <c r="P3217" s="31">
        <f t="shared" ref="P3217:P3225" si="3743">IF($F3217=20,$H3217*$B$30,0)</f>
        <v>0</v>
      </c>
      <c r="Q3217" s="49">
        <f t="shared" ref="Q3217:Q3225" si="3744">IF($F3217=25,$H3217*$B$31,0)</f>
        <v>0</v>
      </c>
    </row>
    <row r="3218" spans="4:17" s="62" customFormat="1" x14ac:dyDescent="0.3">
      <c r="D3218" s="235">
        <v>5</v>
      </c>
      <c r="E3218" s="240">
        <v>2</v>
      </c>
      <c r="F3218" s="241">
        <v>6.3</v>
      </c>
      <c r="G3218" s="242">
        <v>0.76</v>
      </c>
      <c r="H3218" s="239">
        <f t="shared" si="3735"/>
        <v>1.52</v>
      </c>
      <c r="I3218" s="131">
        <f t="shared" si="3736"/>
        <v>0</v>
      </c>
      <c r="J3218" s="31">
        <f t="shared" si="3737"/>
        <v>0</v>
      </c>
      <c r="K3218" s="31">
        <f t="shared" si="3738"/>
        <v>0.37240000000000001</v>
      </c>
      <c r="L3218" s="31">
        <f t="shared" si="3739"/>
        <v>0</v>
      </c>
      <c r="M3218" s="31">
        <f t="shared" si="3740"/>
        <v>0</v>
      </c>
      <c r="N3218" s="31">
        <f t="shared" si="3741"/>
        <v>0</v>
      </c>
      <c r="O3218" s="31">
        <f t="shared" si="3742"/>
        <v>0</v>
      </c>
      <c r="P3218" s="31">
        <f t="shared" si="3743"/>
        <v>0</v>
      </c>
      <c r="Q3218" s="49">
        <f t="shared" si="3744"/>
        <v>0</v>
      </c>
    </row>
    <row r="3219" spans="4:17" s="62" customFormat="1" x14ac:dyDescent="0.3">
      <c r="D3219" s="235">
        <v>31</v>
      </c>
      <c r="E3219" s="240">
        <v>2</v>
      </c>
      <c r="F3219" s="241">
        <v>10</v>
      </c>
      <c r="G3219" s="242">
        <v>4.2</v>
      </c>
      <c r="H3219" s="239">
        <f t="shared" si="3735"/>
        <v>8.4</v>
      </c>
      <c r="I3219" s="131">
        <f t="shared" si="3736"/>
        <v>0</v>
      </c>
      <c r="J3219" s="31">
        <f t="shared" si="3737"/>
        <v>0</v>
      </c>
      <c r="K3219" s="31">
        <f t="shared" si="3738"/>
        <v>0</v>
      </c>
      <c r="L3219" s="31">
        <f t="shared" si="3739"/>
        <v>0</v>
      </c>
      <c r="M3219" s="31">
        <f t="shared" si="3740"/>
        <v>5.1828000000000003</v>
      </c>
      <c r="N3219" s="31">
        <f t="shared" si="3741"/>
        <v>0</v>
      </c>
      <c r="O3219" s="31">
        <f t="shared" si="3742"/>
        <v>0</v>
      </c>
      <c r="P3219" s="31">
        <f t="shared" si="3743"/>
        <v>0</v>
      </c>
      <c r="Q3219" s="49">
        <f t="shared" si="3744"/>
        <v>0</v>
      </c>
    </row>
    <row r="3220" spans="4:17" s="62" customFormat="1" x14ac:dyDescent="0.3">
      <c r="D3220" s="235">
        <v>33</v>
      </c>
      <c r="E3220" s="240">
        <v>1</v>
      </c>
      <c r="F3220" s="241">
        <v>10</v>
      </c>
      <c r="G3220" s="242">
        <v>3.12</v>
      </c>
      <c r="H3220" s="239">
        <f t="shared" si="3735"/>
        <v>3.12</v>
      </c>
      <c r="I3220" s="131">
        <f t="shared" si="3736"/>
        <v>0</v>
      </c>
      <c r="J3220" s="31">
        <f t="shared" si="3737"/>
        <v>0</v>
      </c>
      <c r="K3220" s="31">
        <f t="shared" si="3738"/>
        <v>0</v>
      </c>
      <c r="L3220" s="31">
        <f t="shared" si="3739"/>
        <v>0</v>
      </c>
      <c r="M3220" s="31">
        <f t="shared" si="3740"/>
        <v>1.9250400000000001</v>
      </c>
      <c r="N3220" s="31">
        <f t="shared" si="3741"/>
        <v>0</v>
      </c>
      <c r="O3220" s="31">
        <f t="shared" si="3742"/>
        <v>0</v>
      </c>
      <c r="P3220" s="31">
        <f t="shared" si="3743"/>
        <v>0</v>
      </c>
      <c r="Q3220" s="49">
        <f t="shared" si="3744"/>
        <v>0</v>
      </c>
    </row>
    <row r="3221" spans="4:17" s="62" customFormat="1" x14ac:dyDescent="0.3">
      <c r="D3221" s="235">
        <v>34</v>
      </c>
      <c r="E3221" s="240">
        <v>1</v>
      </c>
      <c r="F3221" s="241">
        <v>10</v>
      </c>
      <c r="G3221" s="242">
        <v>1.6</v>
      </c>
      <c r="H3221" s="239">
        <f t="shared" si="3735"/>
        <v>1.6</v>
      </c>
      <c r="I3221" s="131">
        <f t="shared" si="3736"/>
        <v>0</v>
      </c>
      <c r="J3221" s="31">
        <f t="shared" si="3737"/>
        <v>0</v>
      </c>
      <c r="K3221" s="31">
        <f t="shared" si="3738"/>
        <v>0</v>
      </c>
      <c r="L3221" s="31">
        <f t="shared" si="3739"/>
        <v>0</v>
      </c>
      <c r="M3221" s="31">
        <f t="shared" si="3740"/>
        <v>0.98720000000000008</v>
      </c>
      <c r="N3221" s="31">
        <f t="shared" si="3741"/>
        <v>0</v>
      </c>
      <c r="O3221" s="31">
        <f t="shared" si="3742"/>
        <v>0</v>
      </c>
      <c r="P3221" s="31">
        <f t="shared" si="3743"/>
        <v>0</v>
      </c>
      <c r="Q3221" s="49">
        <f t="shared" si="3744"/>
        <v>0</v>
      </c>
    </row>
    <row r="3222" spans="4:17" s="62" customFormat="1" x14ac:dyDescent="0.3">
      <c r="D3222" s="235">
        <v>35</v>
      </c>
      <c r="E3222" s="240">
        <v>3</v>
      </c>
      <c r="F3222" s="241">
        <v>10</v>
      </c>
      <c r="G3222" s="242">
        <v>1.62</v>
      </c>
      <c r="H3222" s="239">
        <f t="shared" si="3735"/>
        <v>4.8600000000000003</v>
      </c>
      <c r="I3222" s="131">
        <f t="shared" si="3736"/>
        <v>0</v>
      </c>
      <c r="J3222" s="31">
        <f t="shared" si="3737"/>
        <v>0</v>
      </c>
      <c r="K3222" s="31">
        <f t="shared" si="3738"/>
        <v>0</v>
      </c>
      <c r="L3222" s="31">
        <f t="shared" si="3739"/>
        <v>0</v>
      </c>
      <c r="M3222" s="31">
        <f t="shared" si="3740"/>
        <v>2.9986200000000003</v>
      </c>
      <c r="N3222" s="31">
        <f t="shared" si="3741"/>
        <v>0</v>
      </c>
      <c r="O3222" s="31">
        <f t="shared" si="3742"/>
        <v>0</v>
      </c>
      <c r="P3222" s="31">
        <f t="shared" si="3743"/>
        <v>0</v>
      </c>
      <c r="Q3222" s="49">
        <f t="shared" si="3744"/>
        <v>0</v>
      </c>
    </row>
    <row r="3223" spans="4:17" s="62" customFormat="1" x14ac:dyDescent="0.3">
      <c r="D3223" s="235">
        <v>36</v>
      </c>
      <c r="E3223" s="240">
        <v>2</v>
      </c>
      <c r="F3223" s="241">
        <v>10</v>
      </c>
      <c r="G3223" s="242">
        <v>6.19</v>
      </c>
      <c r="H3223" s="239">
        <f t="shared" si="3735"/>
        <v>12.38</v>
      </c>
      <c r="I3223" s="131">
        <f t="shared" si="3736"/>
        <v>0</v>
      </c>
      <c r="J3223" s="31">
        <f t="shared" si="3737"/>
        <v>0</v>
      </c>
      <c r="K3223" s="31">
        <f t="shared" si="3738"/>
        <v>0</v>
      </c>
      <c r="L3223" s="31">
        <f t="shared" si="3739"/>
        <v>0</v>
      </c>
      <c r="M3223" s="31">
        <f t="shared" si="3740"/>
        <v>7.6384600000000002</v>
      </c>
      <c r="N3223" s="31">
        <f t="shared" si="3741"/>
        <v>0</v>
      </c>
      <c r="O3223" s="31">
        <f t="shared" si="3742"/>
        <v>0</v>
      </c>
      <c r="P3223" s="31">
        <f t="shared" si="3743"/>
        <v>0</v>
      </c>
      <c r="Q3223" s="49">
        <f t="shared" si="3744"/>
        <v>0</v>
      </c>
    </row>
    <row r="3224" spans="4:17" s="62" customFormat="1" x14ac:dyDescent="0.3">
      <c r="D3224" s="235">
        <v>37</v>
      </c>
      <c r="E3224" s="240">
        <v>1</v>
      </c>
      <c r="F3224" s="241">
        <v>10</v>
      </c>
      <c r="G3224" s="242">
        <v>2</v>
      </c>
      <c r="H3224" s="239">
        <f t="shared" si="3735"/>
        <v>2</v>
      </c>
      <c r="I3224" s="131">
        <f t="shared" si="3736"/>
        <v>0</v>
      </c>
      <c r="J3224" s="31">
        <f t="shared" si="3737"/>
        <v>0</v>
      </c>
      <c r="K3224" s="31">
        <f t="shared" si="3738"/>
        <v>0</v>
      </c>
      <c r="L3224" s="31">
        <f t="shared" si="3739"/>
        <v>0</v>
      </c>
      <c r="M3224" s="31">
        <f t="shared" si="3740"/>
        <v>1.234</v>
      </c>
      <c r="N3224" s="31">
        <f t="shared" si="3741"/>
        <v>0</v>
      </c>
      <c r="O3224" s="31">
        <f t="shared" si="3742"/>
        <v>0</v>
      </c>
      <c r="P3224" s="31">
        <f t="shared" si="3743"/>
        <v>0</v>
      </c>
      <c r="Q3224" s="49">
        <f t="shared" si="3744"/>
        <v>0</v>
      </c>
    </row>
    <row r="3225" spans="4:17" s="62" customFormat="1" x14ac:dyDescent="0.3">
      <c r="D3225" s="235">
        <v>38</v>
      </c>
      <c r="E3225" s="240">
        <v>2</v>
      </c>
      <c r="F3225" s="241">
        <v>10</v>
      </c>
      <c r="G3225" s="242">
        <v>6.68</v>
      </c>
      <c r="H3225" s="239">
        <f t="shared" si="3735"/>
        <v>13.36</v>
      </c>
      <c r="I3225" s="131">
        <f t="shared" si="3736"/>
        <v>0</v>
      </c>
      <c r="J3225" s="31">
        <f t="shared" si="3737"/>
        <v>0</v>
      </c>
      <c r="K3225" s="31">
        <f t="shared" si="3738"/>
        <v>0</v>
      </c>
      <c r="L3225" s="31">
        <f t="shared" si="3739"/>
        <v>0</v>
      </c>
      <c r="M3225" s="31">
        <f t="shared" si="3740"/>
        <v>8.2431199999999993</v>
      </c>
      <c r="N3225" s="31">
        <f t="shared" si="3741"/>
        <v>0</v>
      </c>
      <c r="O3225" s="31">
        <f t="shared" si="3742"/>
        <v>0</v>
      </c>
      <c r="P3225" s="31">
        <f t="shared" si="3743"/>
        <v>0</v>
      </c>
      <c r="Q3225" s="49">
        <f t="shared" si="3744"/>
        <v>0</v>
      </c>
    </row>
    <row r="3226" spans="4:17" s="62" customFormat="1" ht="15" thickBot="1" x14ac:dyDescent="0.35">
      <c r="D3226" s="307"/>
      <c r="E3226" s="26"/>
      <c r="F3226" s="206"/>
      <c r="G3226" s="207"/>
      <c r="H3226" s="207"/>
      <c r="I3226" s="51"/>
      <c r="J3226" s="308"/>
      <c r="K3226" s="308"/>
      <c r="L3226" s="308"/>
      <c r="M3226" s="308"/>
      <c r="N3226" s="308"/>
      <c r="O3226" s="308"/>
      <c r="P3226" s="308"/>
      <c r="Q3226" s="309"/>
    </row>
    <row r="3227" spans="4:17" s="62" customFormat="1" x14ac:dyDescent="0.3">
      <c r="D3227" s="796" t="s">
        <v>1729</v>
      </c>
      <c r="E3227" s="797"/>
      <c r="F3227" s="797"/>
      <c r="G3227" s="797"/>
      <c r="H3227" s="797"/>
      <c r="I3227" s="47">
        <f t="shared" ref="I3227:Q3227" si="3745">SUM(I3228:I3235)</f>
        <v>0</v>
      </c>
      <c r="J3227" s="47">
        <f t="shared" si="3745"/>
        <v>8.8010999999999999</v>
      </c>
      <c r="K3227" s="47">
        <f t="shared" si="3745"/>
        <v>0.1862</v>
      </c>
      <c r="L3227" s="47">
        <f t="shared" si="3745"/>
        <v>0</v>
      </c>
      <c r="M3227" s="47">
        <f t="shared" si="3745"/>
        <v>42.498960000000004</v>
      </c>
      <c r="N3227" s="47">
        <f t="shared" si="3745"/>
        <v>0</v>
      </c>
      <c r="O3227" s="47">
        <f t="shared" si="3745"/>
        <v>0</v>
      </c>
      <c r="P3227" s="47">
        <f t="shared" si="3745"/>
        <v>0</v>
      </c>
      <c r="Q3227" s="47">
        <f t="shared" si="3745"/>
        <v>0</v>
      </c>
    </row>
    <row r="3228" spans="4:17" s="62" customFormat="1" x14ac:dyDescent="0.3">
      <c r="D3228" s="235">
        <v>2</v>
      </c>
      <c r="E3228" s="237">
        <v>45</v>
      </c>
      <c r="F3228" s="238">
        <v>5</v>
      </c>
      <c r="G3228" s="239">
        <v>1.27</v>
      </c>
      <c r="H3228" s="239">
        <f t="shared" ref="H3228:H3235" si="3746">E3228*G3228</f>
        <v>57.15</v>
      </c>
      <c r="I3228" s="131">
        <f t="shared" ref="I3228:I3235" si="3747">IF($F3228=4.2,H3228*$B$23,0)</f>
        <v>0</v>
      </c>
      <c r="J3228" s="31">
        <f t="shared" ref="J3228:J3235" si="3748">IF($F3228=5,$H3228*$B$24,0)</f>
        <v>8.8010999999999999</v>
      </c>
      <c r="K3228" s="31">
        <f t="shared" ref="K3228:K3235" si="3749">IF($F3228=6.3,$H3228*$B$25,0)</f>
        <v>0</v>
      </c>
      <c r="L3228" s="31">
        <f t="shared" ref="L3228:L3235" si="3750">IF($F3228=8,$H3228*$B$26,0)</f>
        <v>0</v>
      </c>
      <c r="M3228" s="31">
        <f t="shared" ref="M3228:M3235" si="3751">IF($F3228=10,$H3228*$B$27,0)</f>
        <v>0</v>
      </c>
      <c r="N3228" s="31">
        <f t="shared" ref="N3228:N3235" si="3752">IF($F3228=12.5,$H3228*$B$28,0)</f>
        <v>0</v>
      </c>
      <c r="O3228" s="31">
        <f t="shared" ref="O3228:O3235" si="3753">IF($F3228=16,$H3228*$B$29,0)</f>
        <v>0</v>
      </c>
      <c r="P3228" s="31">
        <f t="shared" ref="P3228:P3235" si="3754">IF($F3228=20,$H3228*$B$30,0)</f>
        <v>0</v>
      </c>
      <c r="Q3228" s="49">
        <f t="shared" ref="Q3228:Q3235" si="3755">IF($F3228=25,$H3228*$B$31,0)</f>
        <v>0</v>
      </c>
    </row>
    <row r="3229" spans="4:17" s="62" customFormat="1" x14ac:dyDescent="0.3">
      <c r="D3229" s="235">
        <v>5</v>
      </c>
      <c r="E3229" s="240">
        <v>1</v>
      </c>
      <c r="F3229" s="241">
        <v>6.3</v>
      </c>
      <c r="G3229" s="242">
        <v>0.76</v>
      </c>
      <c r="H3229" s="239">
        <f t="shared" si="3746"/>
        <v>0.76</v>
      </c>
      <c r="I3229" s="131">
        <f t="shared" si="3747"/>
        <v>0</v>
      </c>
      <c r="J3229" s="31">
        <f t="shared" si="3748"/>
        <v>0</v>
      </c>
      <c r="K3229" s="31">
        <f t="shared" si="3749"/>
        <v>0.1862</v>
      </c>
      <c r="L3229" s="31">
        <f t="shared" si="3750"/>
        <v>0</v>
      </c>
      <c r="M3229" s="31">
        <f t="shared" si="3751"/>
        <v>0</v>
      </c>
      <c r="N3229" s="31">
        <f t="shared" si="3752"/>
        <v>0</v>
      </c>
      <c r="O3229" s="31">
        <f t="shared" si="3753"/>
        <v>0</v>
      </c>
      <c r="P3229" s="31">
        <f t="shared" si="3754"/>
        <v>0</v>
      </c>
      <c r="Q3229" s="49">
        <f t="shared" si="3755"/>
        <v>0</v>
      </c>
    </row>
    <row r="3230" spans="4:17" s="62" customFormat="1" x14ac:dyDescent="0.3">
      <c r="D3230" s="235">
        <v>39</v>
      </c>
      <c r="E3230" s="240">
        <v>1</v>
      </c>
      <c r="F3230" s="241">
        <v>10</v>
      </c>
      <c r="G3230" s="242">
        <v>3</v>
      </c>
      <c r="H3230" s="239">
        <f t="shared" si="3746"/>
        <v>3</v>
      </c>
      <c r="I3230" s="131">
        <f t="shared" si="3747"/>
        <v>0</v>
      </c>
      <c r="J3230" s="31">
        <f t="shared" si="3748"/>
        <v>0</v>
      </c>
      <c r="K3230" s="31">
        <f t="shared" si="3749"/>
        <v>0</v>
      </c>
      <c r="L3230" s="31">
        <f t="shared" si="3750"/>
        <v>0</v>
      </c>
      <c r="M3230" s="31">
        <f t="shared" si="3751"/>
        <v>1.851</v>
      </c>
      <c r="N3230" s="31">
        <f t="shared" si="3752"/>
        <v>0</v>
      </c>
      <c r="O3230" s="31">
        <f t="shared" si="3753"/>
        <v>0</v>
      </c>
      <c r="P3230" s="31">
        <f t="shared" si="3754"/>
        <v>0</v>
      </c>
      <c r="Q3230" s="49">
        <f t="shared" si="3755"/>
        <v>0</v>
      </c>
    </row>
    <row r="3231" spans="4:17" s="62" customFormat="1" x14ac:dyDescent="0.3">
      <c r="D3231" s="235">
        <v>40</v>
      </c>
      <c r="E3231" s="240">
        <v>1</v>
      </c>
      <c r="F3231" s="241">
        <v>10</v>
      </c>
      <c r="G3231" s="242">
        <v>2.4</v>
      </c>
      <c r="H3231" s="239">
        <f t="shared" si="3746"/>
        <v>2.4</v>
      </c>
      <c r="I3231" s="131">
        <f t="shared" si="3747"/>
        <v>0</v>
      </c>
      <c r="J3231" s="31">
        <f t="shared" si="3748"/>
        <v>0</v>
      </c>
      <c r="K3231" s="31">
        <f t="shared" si="3749"/>
        <v>0</v>
      </c>
      <c r="L3231" s="31">
        <f t="shared" si="3750"/>
        <v>0</v>
      </c>
      <c r="M3231" s="31">
        <f t="shared" si="3751"/>
        <v>1.4807999999999999</v>
      </c>
      <c r="N3231" s="31">
        <f t="shared" si="3752"/>
        <v>0</v>
      </c>
      <c r="O3231" s="31">
        <f t="shared" si="3753"/>
        <v>0</v>
      </c>
      <c r="P3231" s="31">
        <f t="shared" si="3754"/>
        <v>0</v>
      </c>
      <c r="Q3231" s="49">
        <f t="shared" si="3755"/>
        <v>0</v>
      </c>
    </row>
    <row r="3232" spans="4:17" s="62" customFormat="1" x14ac:dyDescent="0.3">
      <c r="D3232" s="235">
        <v>41</v>
      </c>
      <c r="E3232" s="240">
        <v>4</v>
      </c>
      <c r="F3232" s="241">
        <v>10</v>
      </c>
      <c r="G3232" s="242">
        <v>8.4700000000000006</v>
      </c>
      <c r="H3232" s="239">
        <f t="shared" si="3746"/>
        <v>33.880000000000003</v>
      </c>
      <c r="I3232" s="131">
        <f t="shared" si="3747"/>
        <v>0</v>
      </c>
      <c r="J3232" s="31">
        <f t="shared" si="3748"/>
        <v>0</v>
      </c>
      <c r="K3232" s="31">
        <f t="shared" si="3749"/>
        <v>0</v>
      </c>
      <c r="L3232" s="31">
        <f t="shared" si="3750"/>
        <v>0</v>
      </c>
      <c r="M3232" s="31">
        <f t="shared" si="3751"/>
        <v>20.903960000000001</v>
      </c>
      <c r="N3232" s="31">
        <f t="shared" si="3752"/>
        <v>0</v>
      </c>
      <c r="O3232" s="31">
        <f t="shared" si="3753"/>
        <v>0</v>
      </c>
      <c r="P3232" s="31">
        <f t="shared" si="3754"/>
        <v>0</v>
      </c>
      <c r="Q3232" s="49">
        <f t="shared" si="3755"/>
        <v>0</v>
      </c>
    </row>
    <row r="3233" spans="4:17" s="62" customFormat="1" x14ac:dyDescent="0.3">
      <c r="D3233" s="235">
        <v>42</v>
      </c>
      <c r="E3233" s="240">
        <v>1</v>
      </c>
      <c r="F3233" s="241">
        <v>10</v>
      </c>
      <c r="G3233" s="242">
        <v>5.78</v>
      </c>
      <c r="H3233" s="239">
        <f t="shared" si="3746"/>
        <v>5.78</v>
      </c>
      <c r="I3233" s="131">
        <f t="shared" si="3747"/>
        <v>0</v>
      </c>
      <c r="J3233" s="31">
        <f t="shared" si="3748"/>
        <v>0</v>
      </c>
      <c r="K3233" s="31">
        <f t="shared" si="3749"/>
        <v>0</v>
      </c>
      <c r="L3233" s="31">
        <f t="shared" si="3750"/>
        <v>0</v>
      </c>
      <c r="M3233" s="31">
        <f t="shared" si="3751"/>
        <v>3.5662600000000002</v>
      </c>
      <c r="N3233" s="31">
        <f t="shared" si="3752"/>
        <v>0</v>
      </c>
      <c r="O3233" s="31">
        <f t="shared" si="3753"/>
        <v>0</v>
      </c>
      <c r="P3233" s="31">
        <f t="shared" si="3754"/>
        <v>0</v>
      </c>
      <c r="Q3233" s="49">
        <f t="shared" si="3755"/>
        <v>0</v>
      </c>
    </row>
    <row r="3234" spans="4:17" s="62" customFormat="1" x14ac:dyDescent="0.3">
      <c r="D3234" s="235">
        <v>43</v>
      </c>
      <c r="E3234" s="240">
        <v>1</v>
      </c>
      <c r="F3234" s="241">
        <v>10</v>
      </c>
      <c r="G3234" s="242">
        <v>5.98</v>
      </c>
      <c r="H3234" s="239">
        <f t="shared" si="3746"/>
        <v>5.98</v>
      </c>
      <c r="I3234" s="131">
        <f t="shared" si="3747"/>
        <v>0</v>
      </c>
      <c r="J3234" s="31">
        <f t="shared" si="3748"/>
        <v>0</v>
      </c>
      <c r="K3234" s="31">
        <f t="shared" si="3749"/>
        <v>0</v>
      </c>
      <c r="L3234" s="31">
        <f t="shared" si="3750"/>
        <v>0</v>
      </c>
      <c r="M3234" s="31">
        <f t="shared" si="3751"/>
        <v>3.6896600000000004</v>
      </c>
      <c r="N3234" s="31">
        <f t="shared" si="3752"/>
        <v>0</v>
      </c>
      <c r="O3234" s="31">
        <f t="shared" si="3753"/>
        <v>0</v>
      </c>
      <c r="P3234" s="31">
        <f t="shared" si="3754"/>
        <v>0</v>
      </c>
      <c r="Q3234" s="49">
        <f t="shared" si="3755"/>
        <v>0</v>
      </c>
    </row>
    <row r="3235" spans="4:17" s="62" customFormat="1" x14ac:dyDescent="0.3">
      <c r="D3235" s="235">
        <v>44</v>
      </c>
      <c r="E3235" s="240">
        <v>2</v>
      </c>
      <c r="F3235" s="241">
        <v>10</v>
      </c>
      <c r="G3235" s="242">
        <v>8.92</v>
      </c>
      <c r="H3235" s="239">
        <f t="shared" si="3746"/>
        <v>17.84</v>
      </c>
      <c r="I3235" s="131">
        <f t="shared" si="3747"/>
        <v>0</v>
      </c>
      <c r="J3235" s="31">
        <f t="shared" si="3748"/>
        <v>0</v>
      </c>
      <c r="K3235" s="31">
        <f t="shared" si="3749"/>
        <v>0</v>
      </c>
      <c r="L3235" s="31">
        <f t="shared" si="3750"/>
        <v>0</v>
      </c>
      <c r="M3235" s="31">
        <f t="shared" si="3751"/>
        <v>11.00728</v>
      </c>
      <c r="N3235" s="31">
        <f t="shared" si="3752"/>
        <v>0</v>
      </c>
      <c r="O3235" s="31">
        <f t="shared" si="3753"/>
        <v>0</v>
      </c>
      <c r="P3235" s="31">
        <f t="shared" si="3754"/>
        <v>0</v>
      </c>
      <c r="Q3235" s="49">
        <f t="shared" si="3755"/>
        <v>0</v>
      </c>
    </row>
    <row r="3236" spans="4:17" s="62" customFormat="1" ht="15" thickBot="1" x14ac:dyDescent="0.35">
      <c r="D3236" s="307"/>
      <c r="E3236" s="26"/>
      <c r="F3236" s="206"/>
      <c r="G3236" s="207"/>
      <c r="H3236" s="207"/>
      <c r="I3236" s="51"/>
      <c r="J3236" s="308"/>
      <c r="K3236" s="308"/>
      <c r="L3236" s="308"/>
      <c r="M3236" s="308"/>
      <c r="N3236" s="308"/>
      <c r="O3236" s="308"/>
      <c r="P3236" s="308"/>
      <c r="Q3236" s="309"/>
    </row>
    <row r="3237" spans="4:17" s="62" customFormat="1" x14ac:dyDescent="0.3">
      <c r="D3237" s="796" t="s">
        <v>1730</v>
      </c>
      <c r="E3237" s="797"/>
      <c r="F3237" s="797"/>
      <c r="G3237" s="797"/>
      <c r="H3237" s="797"/>
      <c r="I3237" s="47">
        <f t="shared" ref="I3237:Q3237" si="3756">SUM(I3238:I3244)</f>
        <v>0</v>
      </c>
      <c r="J3237" s="47">
        <f t="shared" si="3756"/>
        <v>8.8010999999999999</v>
      </c>
      <c r="K3237" s="47">
        <f t="shared" si="3756"/>
        <v>0.1862</v>
      </c>
      <c r="L3237" s="47">
        <f t="shared" si="3756"/>
        <v>0</v>
      </c>
      <c r="M3237" s="47">
        <f t="shared" si="3756"/>
        <v>38.568669999999997</v>
      </c>
      <c r="N3237" s="47">
        <f t="shared" si="3756"/>
        <v>0</v>
      </c>
      <c r="O3237" s="47">
        <f t="shared" si="3756"/>
        <v>0</v>
      </c>
      <c r="P3237" s="47">
        <f t="shared" si="3756"/>
        <v>0</v>
      </c>
      <c r="Q3237" s="47">
        <f t="shared" si="3756"/>
        <v>0</v>
      </c>
    </row>
    <row r="3238" spans="4:17" s="62" customFormat="1" x14ac:dyDescent="0.3">
      <c r="D3238" s="235">
        <v>2</v>
      </c>
      <c r="E3238" s="237">
        <v>45</v>
      </c>
      <c r="F3238" s="238">
        <v>5</v>
      </c>
      <c r="G3238" s="239">
        <v>1.27</v>
      </c>
      <c r="H3238" s="239">
        <f t="shared" ref="H3238:H3244" si="3757">E3238*G3238</f>
        <v>57.15</v>
      </c>
      <c r="I3238" s="131">
        <f t="shared" ref="I3238:I3244" si="3758">IF($F3238=4.2,H3238*$B$23,0)</f>
        <v>0</v>
      </c>
      <c r="J3238" s="31">
        <f t="shared" ref="J3238:J3244" si="3759">IF($F3238=5,$H3238*$B$24,0)</f>
        <v>8.8010999999999999</v>
      </c>
      <c r="K3238" s="31">
        <f t="shared" ref="K3238:K3244" si="3760">IF($F3238=6.3,$H3238*$B$25,0)</f>
        <v>0</v>
      </c>
      <c r="L3238" s="31">
        <f t="shared" ref="L3238:L3244" si="3761">IF($F3238=8,$H3238*$B$26,0)</f>
        <v>0</v>
      </c>
      <c r="M3238" s="31">
        <f t="shared" ref="M3238:M3244" si="3762">IF($F3238=10,$H3238*$B$27,0)</f>
        <v>0</v>
      </c>
      <c r="N3238" s="31">
        <f t="shared" ref="N3238:N3244" si="3763">IF($F3238=12.5,$H3238*$B$28,0)</f>
        <v>0</v>
      </c>
      <c r="O3238" s="31">
        <f t="shared" ref="O3238:O3244" si="3764">IF($F3238=16,$H3238*$B$29,0)</f>
        <v>0</v>
      </c>
      <c r="P3238" s="31">
        <f t="shared" ref="P3238:P3244" si="3765">IF($F3238=20,$H3238*$B$30,0)</f>
        <v>0</v>
      </c>
      <c r="Q3238" s="49">
        <f t="shared" ref="Q3238:Q3244" si="3766">IF($F3238=25,$H3238*$B$31,0)</f>
        <v>0</v>
      </c>
    </row>
    <row r="3239" spans="4:17" s="62" customFormat="1" x14ac:dyDescent="0.3">
      <c r="D3239" s="235">
        <v>5</v>
      </c>
      <c r="E3239" s="240">
        <v>1</v>
      </c>
      <c r="F3239" s="241">
        <v>6.3</v>
      </c>
      <c r="G3239" s="242">
        <v>0.76</v>
      </c>
      <c r="H3239" s="239">
        <f t="shared" si="3757"/>
        <v>0.76</v>
      </c>
      <c r="I3239" s="131">
        <f t="shared" si="3758"/>
        <v>0</v>
      </c>
      <c r="J3239" s="31">
        <f t="shared" si="3759"/>
        <v>0</v>
      </c>
      <c r="K3239" s="31">
        <f t="shared" si="3760"/>
        <v>0.1862</v>
      </c>
      <c r="L3239" s="31">
        <f t="shared" si="3761"/>
        <v>0</v>
      </c>
      <c r="M3239" s="31">
        <f t="shared" si="3762"/>
        <v>0</v>
      </c>
      <c r="N3239" s="31">
        <f t="shared" si="3763"/>
        <v>0</v>
      </c>
      <c r="O3239" s="31">
        <f t="shared" si="3764"/>
        <v>0</v>
      </c>
      <c r="P3239" s="31">
        <f t="shared" si="3765"/>
        <v>0</v>
      </c>
      <c r="Q3239" s="49">
        <f t="shared" si="3766"/>
        <v>0</v>
      </c>
    </row>
    <row r="3240" spans="4:17" s="62" customFormat="1" x14ac:dyDescent="0.3">
      <c r="D3240" s="235">
        <v>45</v>
      </c>
      <c r="E3240" s="240">
        <v>1</v>
      </c>
      <c r="F3240" s="241">
        <v>10</v>
      </c>
      <c r="G3240" s="242">
        <v>3.01</v>
      </c>
      <c r="H3240" s="239">
        <f t="shared" si="3757"/>
        <v>3.01</v>
      </c>
      <c r="I3240" s="131">
        <f t="shared" si="3758"/>
        <v>0</v>
      </c>
      <c r="J3240" s="31">
        <f t="shared" si="3759"/>
        <v>0</v>
      </c>
      <c r="K3240" s="31">
        <f t="shared" si="3760"/>
        <v>0</v>
      </c>
      <c r="L3240" s="31">
        <f t="shared" si="3761"/>
        <v>0</v>
      </c>
      <c r="M3240" s="31">
        <f t="shared" si="3762"/>
        <v>1.8571699999999998</v>
      </c>
      <c r="N3240" s="31">
        <f t="shared" si="3763"/>
        <v>0</v>
      </c>
      <c r="O3240" s="31">
        <f t="shared" si="3764"/>
        <v>0</v>
      </c>
      <c r="P3240" s="31">
        <f t="shared" si="3765"/>
        <v>0</v>
      </c>
      <c r="Q3240" s="49">
        <f t="shared" si="3766"/>
        <v>0</v>
      </c>
    </row>
    <row r="3241" spans="4:17" s="62" customFormat="1" x14ac:dyDescent="0.3">
      <c r="D3241" s="235">
        <v>46</v>
      </c>
      <c r="E3241" s="240">
        <v>1</v>
      </c>
      <c r="F3241" s="241">
        <v>10</v>
      </c>
      <c r="G3241" s="242">
        <v>2.35</v>
      </c>
      <c r="H3241" s="239">
        <f t="shared" si="3757"/>
        <v>2.35</v>
      </c>
      <c r="I3241" s="131">
        <f t="shared" si="3758"/>
        <v>0</v>
      </c>
      <c r="J3241" s="31">
        <f t="shared" si="3759"/>
        <v>0</v>
      </c>
      <c r="K3241" s="31">
        <f t="shared" si="3760"/>
        <v>0</v>
      </c>
      <c r="L3241" s="31">
        <f t="shared" si="3761"/>
        <v>0</v>
      </c>
      <c r="M3241" s="31">
        <f t="shared" si="3762"/>
        <v>1.4499500000000001</v>
      </c>
      <c r="N3241" s="31">
        <f t="shared" si="3763"/>
        <v>0</v>
      </c>
      <c r="O3241" s="31">
        <f t="shared" si="3764"/>
        <v>0</v>
      </c>
      <c r="P3241" s="31">
        <f t="shared" si="3765"/>
        <v>0</v>
      </c>
      <c r="Q3241" s="49">
        <f t="shared" si="3766"/>
        <v>0</v>
      </c>
    </row>
    <row r="3242" spans="4:17" s="62" customFormat="1" x14ac:dyDescent="0.3">
      <c r="D3242" s="235">
        <v>47</v>
      </c>
      <c r="E3242" s="240">
        <v>4</v>
      </c>
      <c r="F3242" s="241">
        <v>10</v>
      </c>
      <c r="G3242" s="242">
        <v>8.3699999999999992</v>
      </c>
      <c r="H3242" s="239">
        <f t="shared" si="3757"/>
        <v>33.479999999999997</v>
      </c>
      <c r="I3242" s="131">
        <f t="shared" si="3758"/>
        <v>0</v>
      </c>
      <c r="J3242" s="31">
        <f t="shared" si="3759"/>
        <v>0</v>
      </c>
      <c r="K3242" s="31">
        <f t="shared" si="3760"/>
        <v>0</v>
      </c>
      <c r="L3242" s="31">
        <f t="shared" si="3761"/>
        <v>0</v>
      </c>
      <c r="M3242" s="31">
        <f t="shared" si="3762"/>
        <v>20.657159999999998</v>
      </c>
      <c r="N3242" s="31">
        <f t="shared" si="3763"/>
        <v>0</v>
      </c>
      <c r="O3242" s="31">
        <f t="shared" si="3764"/>
        <v>0</v>
      </c>
      <c r="P3242" s="31">
        <f t="shared" si="3765"/>
        <v>0</v>
      </c>
      <c r="Q3242" s="49">
        <f t="shared" si="3766"/>
        <v>0</v>
      </c>
    </row>
    <row r="3243" spans="4:17" s="62" customFormat="1" x14ac:dyDescent="0.3">
      <c r="D3243" s="235">
        <v>48</v>
      </c>
      <c r="E3243" s="240">
        <v>1</v>
      </c>
      <c r="F3243" s="241">
        <v>10</v>
      </c>
      <c r="G3243" s="242">
        <v>5.93</v>
      </c>
      <c r="H3243" s="239">
        <f t="shared" si="3757"/>
        <v>5.93</v>
      </c>
      <c r="I3243" s="131">
        <f t="shared" si="3758"/>
        <v>0</v>
      </c>
      <c r="J3243" s="31">
        <f t="shared" si="3759"/>
        <v>0</v>
      </c>
      <c r="K3243" s="31">
        <f t="shared" si="3760"/>
        <v>0</v>
      </c>
      <c r="L3243" s="31">
        <f t="shared" si="3761"/>
        <v>0</v>
      </c>
      <c r="M3243" s="31">
        <f t="shared" si="3762"/>
        <v>3.6588099999999999</v>
      </c>
      <c r="N3243" s="31">
        <f t="shared" si="3763"/>
        <v>0</v>
      </c>
      <c r="O3243" s="31">
        <f t="shared" si="3764"/>
        <v>0</v>
      </c>
      <c r="P3243" s="31">
        <f t="shared" si="3765"/>
        <v>0</v>
      </c>
      <c r="Q3243" s="49">
        <f t="shared" si="3766"/>
        <v>0</v>
      </c>
    </row>
    <row r="3244" spans="4:17" s="62" customFormat="1" x14ac:dyDescent="0.3">
      <c r="D3244" s="235">
        <v>49</v>
      </c>
      <c r="E3244" s="240">
        <v>2</v>
      </c>
      <c r="F3244" s="241">
        <v>10</v>
      </c>
      <c r="G3244" s="242">
        <v>8.8699999999999992</v>
      </c>
      <c r="H3244" s="239">
        <f t="shared" si="3757"/>
        <v>17.739999999999998</v>
      </c>
      <c r="I3244" s="131">
        <f t="shared" si="3758"/>
        <v>0</v>
      </c>
      <c r="J3244" s="31">
        <f t="shared" si="3759"/>
        <v>0</v>
      </c>
      <c r="K3244" s="31">
        <f t="shared" si="3760"/>
        <v>0</v>
      </c>
      <c r="L3244" s="31">
        <f t="shared" si="3761"/>
        <v>0</v>
      </c>
      <c r="M3244" s="31">
        <f t="shared" si="3762"/>
        <v>10.94558</v>
      </c>
      <c r="N3244" s="31">
        <f t="shared" si="3763"/>
        <v>0</v>
      </c>
      <c r="O3244" s="31">
        <f t="shared" si="3764"/>
        <v>0</v>
      </c>
      <c r="P3244" s="31">
        <f t="shared" si="3765"/>
        <v>0</v>
      </c>
      <c r="Q3244" s="49">
        <f t="shared" si="3766"/>
        <v>0</v>
      </c>
    </row>
    <row r="3245" spans="4:17" s="62" customFormat="1" ht="15" thickBot="1" x14ac:dyDescent="0.35">
      <c r="D3245" s="307"/>
      <c r="E3245" s="26"/>
      <c r="F3245" s="206"/>
      <c r="G3245" s="207"/>
      <c r="H3245" s="207"/>
      <c r="I3245" s="51"/>
      <c r="J3245" s="308"/>
      <c r="K3245" s="308"/>
      <c r="L3245" s="308"/>
      <c r="M3245" s="308"/>
      <c r="N3245" s="308"/>
      <c r="O3245" s="308"/>
      <c r="P3245" s="308"/>
      <c r="Q3245" s="309"/>
    </row>
    <row r="3246" spans="4:17" s="62" customFormat="1" x14ac:dyDescent="0.3">
      <c r="D3246" s="796" t="s">
        <v>1731</v>
      </c>
      <c r="E3246" s="797"/>
      <c r="F3246" s="797"/>
      <c r="G3246" s="797"/>
      <c r="H3246" s="797"/>
      <c r="I3246" s="47">
        <f t="shared" ref="I3246:Q3246" si="3767">SUM(I3247:I3254)</f>
        <v>0</v>
      </c>
      <c r="J3246" s="47">
        <f t="shared" si="3767"/>
        <v>8.8010999999999999</v>
      </c>
      <c r="K3246" s="47">
        <f t="shared" si="3767"/>
        <v>0.1862</v>
      </c>
      <c r="L3246" s="47">
        <f t="shared" si="3767"/>
        <v>0</v>
      </c>
      <c r="M3246" s="47">
        <f t="shared" si="3767"/>
        <v>42.492789999999999</v>
      </c>
      <c r="N3246" s="47">
        <f t="shared" si="3767"/>
        <v>0</v>
      </c>
      <c r="O3246" s="47">
        <f t="shared" si="3767"/>
        <v>0</v>
      </c>
      <c r="P3246" s="47">
        <f t="shared" si="3767"/>
        <v>0</v>
      </c>
      <c r="Q3246" s="47">
        <f t="shared" si="3767"/>
        <v>0</v>
      </c>
    </row>
    <row r="3247" spans="4:17" s="62" customFormat="1" x14ac:dyDescent="0.3">
      <c r="D3247" s="235">
        <v>2</v>
      </c>
      <c r="E3247" s="237">
        <v>45</v>
      </c>
      <c r="F3247" s="238">
        <v>5</v>
      </c>
      <c r="G3247" s="239">
        <v>1.27</v>
      </c>
      <c r="H3247" s="239">
        <f t="shared" ref="H3247:H3254" si="3768">E3247*G3247</f>
        <v>57.15</v>
      </c>
      <c r="I3247" s="131">
        <f t="shared" ref="I3247:I3254" si="3769">IF($F3247=4.2,H3247*$B$23,0)</f>
        <v>0</v>
      </c>
      <c r="J3247" s="31">
        <f t="shared" ref="J3247:J3254" si="3770">IF($F3247=5,$H3247*$B$24,0)</f>
        <v>8.8010999999999999</v>
      </c>
      <c r="K3247" s="31">
        <f t="shared" ref="K3247:K3254" si="3771">IF($F3247=6.3,$H3247*$B$25,0)</f>
        <v>0</v>
      </c>
      <c r="L3247" s="31">
        <f t="shared" ref="L3247:L3254" si="3772">IF($F3247=8,$H3247*$B$26,0)</f>
        <v>0</v>
      </c>
      <c r="M3247" s="31">
        <f t="shared" ref="M3247:M3254" si="3773">IF($F3247=10,$H3247*$B$27,0)</f>
        <v>0</v>
      </c>
      <c r="N3247" s="31">
        <f t="shared" ref="N3247:N3254" si="3774">IF($F3247=12.5,$H3247*$B$28,0)</f>
        <v>0</v>
      </c>
      <c r="O3247" s="31">
        <f t="shared" ref="O3247:O3254" si="3775">IF($F3247=16,$H3247*$B$29,0)</f>
        <v>0</v>
      </c>
      <c r="P3247" s="31">
        <f t="shared" ref="P3247:P3254" si="3776">IF($F3247=20,$H3247*$B$30,0)</f>
        <v>0</v>
      </c>
      <c r="Q3247" s="49">
        <f t="shared" ref="Q3247:Q3254" si="3777">IF($F3247=25,$H3247*$B$31,0)</f>
        <v>0</v>
      </c>
    </row>
    <row r="3248" spans="4:17" s="62" customFormat="1" x14ac:dyDescent="0.3">
      <c r="D3248" s="235">
        <v>5</v>
      </c>
      <c r="E3248" s="240">
        <v>1</v>
      </c>
      <c r="F3248" s="241">
        <v>6.3</v>
      </c>
      <c r="G3248" s="242">
        <v>0.76</v>
      </c>
      <c r="H3248" s="239">
        <f t="shared" si="3768"/>
        <v>0.76</v>
      </c>
      <c r="I3248" s="131">
        <f t="shared" si="3769"/>
        <v>0</v>
      </c>
      <c r="J3248" s="31">
        <f t="shared" si="3770"/>
        <v>0</v>
      </c>
      <c r="K3248" s="31">
        <f t="shared" si="3771"/>
        <v>0.1862</v>
      </c>
      <c r="L3248" s="31">
        <f t="shared" si="3772"/>
        <v>0</v>
      </c>
      <c r="M3248" s="31">
        <f t="shared" si="3773"/>
        <v>0</v>
      </c>
      <c r="N3248" s="31">
        <f t="shared" si="3774"/>
        <v>0</v>
      </c>
      <c r="O3248" s="31">
        <f t="shared" si="3775"/>
        <v>0</v>
      </c>
      <c r="P3248" s="31">
        <f t="shared" si="3776"/>
        <v>0</v>
      </c>
      <c r="Q3248" s="49">
        <f t="shared" si="3777"/>
        <v>0</v>
      </c>
    </row>
    <row r="3249" spans="4:17" s="62" customFormat="1" x14ac:dyDescent="0.3">
      <c r="D3249" s="235">
        <v>40</v>
      </c>
      <c r="E3249" s="240">
        <v>1</v>
      </c>
      <c r="F3249" s="241">
        <v>10</v>
      </c>
      <c r="G3249" s="242">
        <v>2.4</v>
      </c>
      <c r="H3249" s="239">
        <f t="shared" si="3768"/>
        <v>2.4</v>
      </c>
      <c r="I3249" s="131">
        <f t="shared" si="3769"/>
        <v>0</v>
      </c>
      <c r="J3249" s="31">
        <f t="shared" si="3770"/>
        <v>0</v>
      </c>
      <c r="K3249" s="31">
        <f t="shared" si="3771"/>
        <v>0</v>
      </c>
      <c r="L3249" s="31">
        <f t="shared" si="3772"/>
        <v>0</v>
      </c>
      <c r="M3249" s="31">
        <f t="shared" si="3773"/>
        <v>1.4807999999999999</v>
      </c>
      <c r="N3249" s="31">
        <f t="shared" si="3774"/>
        <v>0</v>
      </c>
      <c r="O3249" s="31">
        <f t="shared" si="3775"/>
        <v>0</v>
      </c>
      <c r="P3249" s="31">
        <f t="shared" si="3776"/>
        <v>0</v>
      </c>
      <c r="Q3249" s="49">
        <f t="shared" si="3777"/>
        <v>0</v>
      </c>
    </row>
    <row r="3250" spans="4:17" s="62" customFormat="1" x14ac:dyDescent="0.3">
      <c r="D3250" s="235">
        <v>41</v>
      </c>
      <c r="E3250" s="240">
        <v>4</v>
      </c>
      <c r="F3250" s="241">
        <v>10</v>
      </c>
      <c r="G3250" s="242">
        <v>8.4700000000000006</v>
      </c>
      <c r="H3250" s="239">
        <f t="shared" si="3768"/>
        <v>33.880000000000003</v>
      </c>
      <c r="I3250" s="131">
        <f t="shared" si="3769"/>
        <v>0</v>
      </c>
      <c r="J3250" s="31">
        <f t="shared" si="3770"/>
        <v>0</v>
      </c>
      <c r="K3250" s="31">
        <f t="shared" si="3771"/>
        <v>0</v>
      </c>
      <c r="L3250" s="31">
        <f t="shared" si="3772"/>
        <v>0</v>
      </c>
      <c r="M3250" s="31">
        <f t="shared" si="3773"/>
        <v>20.903960000000001</v>
      </c>
      <c r="N3250" s="31">
        <f t="shared" si="3774"/>
        <v>0</v>
      </c>
      <c r="O3250" s="31">
        <f t="shared" si="3775"/>
        <v>0</v>
      </c>
      <c r="P3250" s="31">
        <f t="shared" si="3776"/>
        <v>0</v>
      </c>
      <c r="Q3250" s="49">
        <f t="shared" si="3777"/>
        <v>0</v>
      </c>
    </row>
    <row r="3251" spans="4:17" s="62" customFormat="1" x14ac:dyDescent="0.3">
      <c r="D3251" s="235">
        <v>42</v>
      </c>
      <c r="E3251" s="240">
        <v>1</v>
      </c>
      <c r="F3251" s="241">
        <v>10</v>
      </c>
      <c r="G3251" s="242">
        <v>5.78</v>
      </c>
      <c r="H3251" s="239">
        <f t="shared" si="3768"/>
        <v>5.78</v>
      </c>
      <c r="I3251" s="131">
        <f t="shared" si="3769"/>
        <v>0</v>
      </c>
      <c r="J3251" s="31">
        <f t="shared" si="3770"/>
        <v>0</v>
      </c>
      <c r="K3251" s="31">
        <f t="shared" si="3771"/>
        <v>0</v>
      </c>
      <c r="L3251" s="31">
        <f t="shared" si="3772"/>
        <v>0</v>
      </c>
      <c r="M3251" s="31">
        <f t="shared" si="3773"/>
        <v>3.5662600000000002</v>
      </c>
      <c r="N3251" s="31">
        <f t="shared" si="3774"/>
        <v>0</v>
      </c>
      <c r="O3251" s="31">
        <f t="shared" si="3775"/>
        <v>0</v>
      </c>
      <c r="P3251" s="31">
        <f t="shared" si="3776"/>
        <v>0</v>
      </c>
      <c r="Q3251" s="49">
        <f t="shared" si="3777"/>
        <v>0</v>
      </c>
    </row>
    <row r="3252" spans="4:17" s="62" customFormat="1" x14ac:dyDescent="0.3">
      <c r="D3252" s="235">
        <v>43</v>
      </c>
      <c r="E3252" s="240">
        <v>1</v>
      </c>
      <c r="F3252" s="241">
        <v>10</v>
      </c>
      <c r="G3252" s="242">
        <v>5.98</v>
      </c>
      <c r="H3252" s="239">
        <f t="shared" si="3768"/>
        <v>5.98</v>
      </c>
      <c r="I3252" s="131">
        <f t="shared" si="3769"/>
        <v>0</v>
      </c>
      <c r="J3252" s="31">
        <f t="shared" si="3770"/>
        <v>0</v>
      </c>
      <c r="K3252" s="31">
        <f t="shared" si="3771"/>
        <v>0</v>
      </c>
      <c r="L3252" s="31">
        <f t="shared" si="3772"/>
        <v>0</v>
      </c>
      <c r="M3252" s="31">
        <f t="shared" si="3773"/>
        <v>3.6896600000000004</v>
      </c>
      <c r="N3252" s="31">
        <f t="shared" si="3774"/>
        <v>0</v>
      </c>
      <c r="O3252" s="31">
        <f t="shared" si="3775"/>
        <v>0</v>
      </c>
      <c r="P3252" s="31">
        <f t="shared" si="3776"/>
        <v>0</v>
      </c>
      <c r="Q3252" s="49">
        <f t="shared" si="3777"/>
        <v>0</v>
      </c>
    </row>
    <row r="3253" spans="4:17" s="62" customFormat="1" x14ac:dyDescent="0.3">
      <c r="D3253" s="235">
        <v>44</v>
      </c>
      <c r="E3253" s="240">
        <v>2</v>
      </c>
      <c r="F3253" s="241">
        <v>10</v>
      </c>
      <c r="G3253" s="242">
        <v>8.92</v>
      </c>
      <c r="H3253" s="239">
        <f t="shared" si="3768"/>
        <v>17.84</v>
      </c>
      <c r="I3253" s="131">
        <f t="shared" si="3769"/>
        <v>0</v>
      </c>
      <c r="J3253" s="31">
        <f t="shared" si="3770"/>
        <v>0</v>
      </c>
      <c r="K3253" s="31">
        <f t="shared" si="3771"/>
        <v>0</v>
      </c>
      <c r="L3253" s="31">
        <f t="shared" si="3772"/>
        <v>0</v>
      </c>
      <c r="M3253" s="31">
        <f t="shared" si="3773"/>
        <v>11.00728</v>
      </c>
      <c r="N3253" s="31">
        <f t="shared" si="3774"/>
        <v>0</v>
      </c>
      <c r="O3253" s="31">
        <f t="shared" si="3775"/>
        <v>0</v>
      </c>
      <c r="P3253" s="31">
        <f t="shared" si="3776"/>
        <v>0</v>
      </c>
      <c r="Q3253" s="49">
        <f t="shared" si="3777"/>
        <v>0</v>
      </c>
    </row>
    <row r="3254" spans="4:17" s="62" customFormat="1" x14ac:dyDescent="0.3">
      <c r="D3254" s="235">
        <v>50</v>
      </c>
      <c r="E3254" s="240">
        <v>1</v>
      </c>
      <c r="F3254" s="241">
        <v>10</v>
      </c>
      <c r="G3254" s="242">
        <v>2.99</v>
      </c>
      <c r="H3254" s="239">
        <f t="shared" si="3768"/>
        <v>2.99</v>
      </c>
      <c r="I3254" s="131">
        <f t="shared" si="3769"/>
        <v>0</v>
      </c>
      <c r="J3254" s="31">
        <f t="shared" si="3770"/>
        <v>0</v>
      </c>
      <c r="K3254" s="31">
        <f t="shared" si="3771"/>
        <v>0</v>
      </c>
      <c r="L3254" s="31">
        <f t="shared" si="3772"/>
        <v>0</v>
      </c>
      <c r="M3254" s="31">
        <f t="shared" si="3773"/>
        <v>1.8448300000000002</v>
      </c>
      <c r="N3254" s="31">
        <f t="shared" si="3774"/>
        <v>0</v>
      </c>
      <c r="O3254" s="31">
        <f t="shared" si="3775"/>
        <v>0</v>
      </c>
      <c r="P3254" s="31">
        <f t="shared" si="3776"/>
        <v>0</v>
      </c>
      <c r="Q3254" s="49">
        <f t="shared" si="3777"/>
        <v>0</v>
      </c>
    </row>
    <row r="3255" spans="4:17" s="62" customFormat="1" ht="15" thickBot="1" x14ac:dyDescent="0.35">
      <c r="D3255" s="307"/>
      <c r="E3255" s="26"/>
      <c r="F3255" s="206"/>
      <c r="G3255" s="207"/>
      <c r="H3255" s="207"/>
      <c r="I3255" s="51"/>
      <c r="J3255" s="308"/>
      <c r="K3255" s="308"/>
      <c r="L3255" s="308"/>
      <c r="M3255" s="308"/>
      <c r="N3255" s="308"/>
      <c r="O3255" s="308"/>
      <c r="P3255" s="308"/>
      <c r="Q3255" s="309"/>
    </row>
    <row r="3256" spans="4:17" s="62" customFormat="1" x14ac:dyDescent="0.3">
      <c r="D3256" s="796" t="s">
        <v>1732</v>
      </c>
      <c r="E3256" s="797"/>
      <c r="F3256" s="797"/>
      <c r="G3256" s="797"/>
      <c r="H3256" s="797"/>
      <c r="I3256" s="47">
        <f t="shared" ref="I3256:Q3256" si="3778">SUM(I3257:I3263)</f>
        <v>0</v>
      </c>
      <c r="J3256" s="47">
        <f t="shared" si="3778"/>
        <v>8.8010999999999999</v>
      </c>
      <c r="K3256" s="47">
        <f t="shared" si="3778"/>
        <v>0</v>
      </c>
      <c r="L3256" s="47">
        <f t="shared" si="3778"/>
        <v>16.913899999999998</v>
      </c>
      <c r="M3256" s="47">
        <f t="shared" si="3778"/>
        <v>23.958110000000001</v>
      </c>
      <c r="N3256" s="47">
        <f t="shared" si="3778"/>
        <v>0</v>
      </c>
      <c r="O3256" s="47">
        <f t="shared" si="3778"/>
        <v>0</v>
      </c>
      <c r="P3256" s="47">
        <f t="shared" si="3778"/>
        <v>0</v>
      </c>
      <c r="Q3256" s="47">
        <f t="shared" si="3778"/>
        <v>0</v>
      </c>
    </row>
    <row r="3257" spans="4:17" s="62" customFormat="1" x14ac:dyDescent="0.3">
      <c r="D3257" s="235">
        <v>2</v>
      </c>
      <c r="E3257" s="237">
        <v>45</v>
      </c>
      <c r="F3257" s="238">
        <v>5</v>
      </c>
      <c r="G3257" s="239">
        <v>1.27</v>
      </c>
      <c r="H3257" s="239">
        <f t="shared" ref="H3257:H3263" si="3779">E3257*G3257</f>
        <v>57.15</v>
      </c>
      <c r="I3257" s="131">
        <f t="shared" ref="I3257:I3263" si="3780">IF($F3257=4.2,H3257*$B$23,0)</f>
        <v>0</v>
      </c>
      <c r="J3257" s="31">
        <f t="shared" ref="J3257:J3263" si="3781">IF($F3257=5,$H3257*$B$24,0)</f>
        <v>8.8010999999999999</v>
      </c>
      <c r="K3257" s="31">
        <f t="shared" ref="K3257:K3263" si="3782">IF($F3257=6.3,$H3257*$B$25,0)</f>
        <v>0</v>
      </c>
      <c r="L3257" s="31">
        <f t="shared" ref="L3257:L3263" si="3783">IF($F3257=8,$H3257*$B$26,0)</f>
        <v>0</v>
      </c>
      <c r="M3257" s="31">
        <f t="shared" ref="M3257:M3263" si="3784">IF($F3257=10,$H3257*$B$27,0)</f>
        <v>0</v>
      </c>
      <c r="N3257" s="31">
        <f t="shared" ref="N3257:N3263" si="3785">IF($F3257=12.5,$H3257*$B$28,0)</f>
        <v>0</v>
      </c>
      <c r="O3257" s="31">
        <f t="shared" ref="O3257:O3263" si="3786">IF($F3257=16,$H3257*$B$29,0)</f>
        <v>0</v>
      </c>
      <c r="P3257" s="31">
        <f t="shared" ref="P3257:P3263" si="3787">IF($F3257=20,$H3257*$B$30,0)</f>
        <v>0</v>
      </c>
      <c r="Q3257" s="49">
        <f t="shared" ref="Q3257:Q3263" si="3788">IF($F3257=25,$H3257*$B$31,0)</f>
        <v>0</v>
      </c>
    </row>
    <row r="3258" spans="4:17" s="62" customFormat="1" x14ac:dyDescent="0.3">
      <c r="D3258" s="235">
        <v>10</v>
      </c>
      <c r="E3258" s="240">
        <v>1</v>
      </c>
      <c r="F3258" s="241">
        <v>8</v>
      </c>
      <c r="G3258" s="242">
        <v>2.35</v>
      </c>
      <c r="H3258" s="239">
        <f t="shared" si="3779"/>
        <v>2.35</v>
      </c>
      <c r="I3258" s="131">
        <f t="shared" si="3780"/>
        <v>0</v>
      </c>
      <c r="J3258" s="31">
        <f t="shared" si="3781"/>
        <v>0</v>
      </c>
      <c r="K3258" s="31">
        <f t="shared" si="3782"/>
        <v>0</v>
      </c>
      <c r="L3258" s="31">
        <f t="shared" si="3783"/>
        <v>0.92825000000000013</v>
      </c>
      <c r="M3258" s="31">
        <f t="shared" si="3784"/>
        <v>0</v>
      </c>
      <c r="N3258" s="31">
        <f t="shared" si="3785"/>
        <v>0</v>
      </c>
      <c r="O3258" s="31">
        <f t="shared" si="3786"/>
        <v>0</v>
      </c>
      <c r="P3258" s="31">
        <f t="shared" si="3787"/>
        <v>0</v>
      </c>
      <c r="Q3258" s="49">
        <f t="shared" si="3788"/>
        <v>0</v>
      </c>
    </row>
    <row r="3259" spans="4:17" s="62" customFormat="1" x14ac:dyDescent="0.3">
      <c r="D3259" s="235">
        <v>11</v>
      </c>
      <c r="E3259" s="240">
        <v>1</v>
      </c>
      <c r="F3259" s="241">
        <v>8</v>
      </c>
      <c r="G3259" s="242">
        <v>5.75</v>
      </c>
      <c r="H3259" s="239">
        <f t="shared" si="3779"/>
        <v>5.75</v>
      </c>
      <c r="I3259" s="131">
        <f t="shared" si="3780"/>
        <v>0</v>
      </c>
      <c r="J3259" s="31">
        <f t="shared" si="3781"/>
        <v>0</v>
      </c>
      <c r="K3259" s="31">
        <f t="shared" si="3782"/>
        <v>0</v>
      </c>
      <c r="L3259" s="31">
        <f t="shared" si="3783"/>
        <v>2.2712500000000002</v>
      </c>
      <c r="M3259" s="31">
        <f t="shared" si="3784"/>
        <v>0</v>
      </c>
      <c r="N3259" s="31">
        <f t="shared" si="3785"/>
        <v>0</v>
      </c>
      <c r="O3259" s="31">
        <f t="shared" si="3786"/>
        <v>0</v>
      </c>
      <c r="P3259" s="31">
        <f t="shared" si="3787"/>
        <v>0</v>
      </c>
      <c r="Q3259" s="49">
        <f t="shared" si="3788"/>
        <v>0</v>
      </c>
    </row>
    <row r="3260" spans="4:17" s="62" customFormat="1" x14ac:dyDescent="0.3">
      <c r="D3260" s="235">
        <v>12</v>
      </c>
      <c r="E3260" s="240">
        <v>4</v>
      </c>
      <c r="F3260" s="241">
        <v>8</v>
      </c>
      <c r="G3260" s="242">
        <v>8.68</v>
      </c>
      <c r="H3260" s="239">
        <f t="shared" si="3779"/>
        <v>34.72</v>
      </c>
      <c r="I3260" s="131">
        <f t="shared" si="3780"/>
        <v>0</v>
      </c>
      <c r="J3260" s="31">
        <f t="shared" si="3781"/>
        <v>0</v>
      </c>
      <c r="K3260" s="31">
        <f t="shared" si="3782"/>
        <v>0</v>
      </c>
      <c r="L3260" s="31">
        <f t="shared" si="3783"/>
        <v>13.714399999999999</v>
      </c>
      <c r="M3260" s="31">
        <f t="shared" si="3784"/>
        <v>0</v>
      </c>
      <c r="N3260" s="31">
        <f t="shared" si="3785"/>
        <v>0</v>
      </c>
      <c r="O3260" s="31">
        <f t="shared" si="3786"/>
        <v>0</v>
      </c>
      <c r="P3260" s="31">
        <f t="shared" si="3787"/>
        <v>0</v>
      </c>
      <c r="Q3260" s="49">
        <f t="shared" si="3788"/>
        <v>0</v>
      </c>
    </row>
    <row r="3261" spans="4:17" s="62" customFormat="1" x14ac:dyDescent="0.3">
      <c r="D3261" s="235">
        <v>41</v>
      </c>
      <c r="E3261" s="240">
        <v>4</v>
      </c>
      <c r="F3261" s="241">
        <v>10</v>
      </c>
      <c r="G3261" s="242">
        <v>8.4700000000000006</v>
      </c>
      <c r="H3261" s="239">
        <f t="shared" si="3779"/>
        <v>33.880000000000003</v>
      </c>
      <c r="I3261" s="131">
        <f t="shared" si="3780"/>
        <v>0</v>
      </c>
      <c r="J3261" s="31">
        <f t="shared" si="3781"/>
        <v>0</v>
      </c>
      <c r="K3261" s="31">
        <f t="shared" si="3782"/>
        <v>0</v>
      </c>
      <c r="L3261" s="31">
        <f t="shared" si="3783"/>
        <v>0</v>
      </c>
      <c r="M3261" s="31">
        <f t="shared" si="3784"/>
        <v>20.903960000000001</v>
      </c>
      <c r="N3261" s="31">
        <f t="shared" si="3785"/>
        <v>0</v>
      </c>
      <c r="O3261" s="31">
        <f t="shared" si="3786"/>
        <v>0</v>
      </c>
      <c r="P3261" s="31">
        <f t="shared" si="3787"/>
        <v>0</v>
      </c>
      <c r="Q3261" s="49">
        <f t="shared" si="3788"/>
        <v>0</v>
      </c>
    </row>
    <row r="3262" spans="4:17" s="62" customFormat="1" x14ac:dyDescent="0.3">
      <c r="D3262" s="235">
        <v>46</v>
      </c>
      <c r="E3262" s="240">
        <v>1</v>
      </c>
      <c r="F3262" s="241">
        <v>10</v>
      </c>
      <c r="G3262" s="242">
        <v>2.35</v>
      </c>
      <c r="H3262" s="239">
        <f t="shared" si="3779"/>
        <v>2.35</v>
      </c>
      <c r="I3262" s="131">
        <f t="shared" si="3780"/>
        <v>0</v>
      </c>
      <c r="J3262" s="31">
        <f t="shared" si="3781"/>
        <v>0</v>
      </c>
      <c r="K3262" s="31">
        <f t="shared" si="3782"/>
        <v>0</v>
      </c>
      <c r="L3262" s="31">
        <f t="shared" si="3783"/>
        <v>0</v>
      </c>
      <c r="M3262" s="31">
        <f t="shared" si="3784"/>
        <v>1.4499500000000001</v>
      </c>
      <c r="N3262" s="31">
        <f t="shared" si="3785"/>
        <v>0</v>
      </c>
      <c r="O3262" s="31">
        <f t="shared" si="3786"/>
        <v>0</v>
      </c>
      <c r="P3262" s="31">
        <f t="shared" si="3787"/>
        <v>0</v>
      </c>
      <c r="Q3262" s="49">
        <f t="shared" si="3788"/>
        <v>0</v>
      </c>
    </row>
    <row r="3263" spans="4:17" s="62" customFormat="1" x14ac:dyDescent="0.3">
      <c r="D3263" s="235">
        <v>51</v>
      </c>
      <c r="E3263" s="240">
        <v>1</v>
      </c>
      <c r="F3263" s="241">
        <v>10</v>
      </c>
      <c r="G3263" s="242">
        <v>2.6</v>
      </c>
      <c r="H3263" s="239">
        <f t="shared" si="3779"/>
        <v>2.6</v>
      </c>
      <c r="I3263" s="131">
        <f t="shared" si="3780"/>
        <v>0</v>
      </c>
      <c r="J3263" s="31">
        <f t="shared" si="3781"/>
        <v>0</v>
      </c>
      <c r="K3263" s="31">
        <f t="shared" si="3782"/>
        <v>0</v>
      </c>
      <c r="L3263" s="31">
        <f t="shared" si="3783"/>
        <v>0</v>
      </c>
      <c r="M3263" s="31">
        <f t="shared" si="3784"/>
        <v>1.6042000000000001</v>
      </c>
      <c r="N3263" s="31">
        <f t="shared" si="3785"/>
        <v>0</v>
      </c>
      <c r="O3263" s="31">
        <f t="shared" si="3786"/>
        <v>0</v>
      </c>
      <c r="P3263" s="31">
        <f t="shared" si="3787"/>
        <v>0</v>
      </c>
      <c r="Q3263" s="49">
        <f t="shared" si="3788"/>
        <v>0</v>
      </c>
    </row>
    <row r="3264" spans="4:17" s="62" customFormat="1" ht="15" thickBot="1" x14ac:dyDescent="0.35">
      <c r="D3264" s="307"/>
      <c r="E3264" s="26"/>
      <c r="F3264" s="206"/>
      <c r="G3264" s="207"/>
      <c r="H3264" s="207"/>
      <c r="I3264" s="51"/>
      <c r="J3264" s="308"/>
      <c r="K3264" s="308"/>
      <c r="L3264" s="308"/>
      <c r="M3264" s="308"/>
      <c r="N3264" s="308"/>
      <c r="O3264" s="308"/>
      <c r="P3264" s="308"/>
      <c r="Q3264" s="309"/>
    </row>
    <row r="3265" spans="4:17" s="62" customFormat="1" x14ac:dyDescent="0.3">
      <c r="D3265" s="796" t="s">
        <v>1733</v>
      </c>
      <c r="E3265" s="797"/>
      <c r="F3265" s="797"/>
      <c r="G3265" s="797"/>
      <c r="H3265" s="797"/>
      <c r="I3265" s="47">
        <f t="shared" ref="I3265:Q3265" si="3789">SUM(I3266:I3271)</f>
        <v>0</v>
      </c>
      <c r="J3265" s="47">
        <f t="shared" si="3789"/>
        <v>7.5675600000000003</v>
      </c>
      <c r="K3265" s="47">
        <f t="shared" si="3789"/>
        <v>0</v>
      </c>
      <c r="L3265" s="47">
        <f t="shared" si="3789"/>
        <v>13.319400000000002</v>
      </c>
      <c r="M3265" s="47">
        <f t="shared" si="3789"/>
        <v>17.6462</v>
      </c>
      <c r="N3265" s="47">
        <f t="shared" si="3789"/>
        <v>0</v>
      </c>
      <c r="O3265" s="47">
        <f t="shared" si="3789"/>
        <v>0</v>
      </c>
      <c r="P3265" s="47">
        <f t="shared" si="3789"/>
        <v>0</v>
      </c>
      <c r="Q3265" s="47">
        <f t="shared" si="3789"/>
        <v>0</v>
      </c>
    </row>
    <row r="3266" spans="4:17" s="62" customFormat="1" x14ac:dyDescent="0.3">
      <c r="D3266" s="235">
        <v>1</v>
      </c>
      <c r="E3266" s="237">
        <v>42</v>
      </c>
      <c r="F3266" s="238">
        <v>5</v>
      </c>
      <c r="G3266" s="239">
        <v>1.17</v>
      </c>
      <c r="H3266" s="239">
        <f t="shared" ref="H3266:H3271" si="3790">E3266*G3266</f>
        <v>49.14</v>
      </c>
      <c r="I3266" s="131">
        <f t="shared" ref="I3266:I3271" si="3791">IF($F3266=4.2,H3266*$B$23,0)</f>
        <v>0</v>
      </c>
      <c r="J3266" s="31">
        <f t="shared" ref="J3266:J3271" si="3792">IF($F3266=5,$H3266*$B$24,0)</f>
        <v>7.5675600000000003</v>
      </c>
      <c r="K3266" s="31">
        <f t="shared" ref="K3266:K3271" si="3793">IF($F3266=6.3,$H3266*$B$25,0)</f>
        <v>0</v>
      </c>
      <c r="L3266" s="31">
        <f t="shared" ref="L3266:L3271" si="3794">IF($F3266=8,$H3266*$B$26,0)</f>
        <v>0</v>
      </c>
      <c r="M3266" s="31">
        <f t="shared" ref="M3266:M3271" si="3795">IF($F3266=10,$H3266*$B$27,0)</f>
        <v>0</v>
      </c>
      <c r="N3266" s="31">
        <f t="shared" ref="N3266:N3271" si="3796">IF($F3266=12.5,$H3266*$B$28,0)</f>
        <v>0</v>
      </c>
      <c r="O3266" s="31">
        <f t="shared" ref="O3266:O3271" si="3797">IF($F3266=16,$H3266*$B$29,0)</f>
        <v>0</v>
      </c>
      <c r="P3266" s="31">
        <f t="shared" ref="P3266:P3271" si="3798">IF($F3266=20,$H3266*$B$30,0)</f>
        <v>0</v>
      </c>
      <c r="Q3266" s="49">
        <f t="shared" ref="Q3266:Q3271" si="3799">IF($F3266=25,$H3266*$B$31,0)</f>
        <v>0</v>
      </c>
    </row>
    <row r="3267" spans="4:17" s="62" customFormat="1" x14ac:dyDescent="0.3">
      <c r="D3267" s="235">
        <v>13</v>
      </c>
      <c r="E3267" s="240">
        <v>1</v>
      </c>
      <c r="F3267" s="241">
        <v>8</v>
      </c>
      <c r="G3267" s="242">
        <v>1.95</v>
      </c>
      <c r="H3267" s="239">
        <f t="shared" si="3790"/>
        <v>1.95</v>
      </c>
      <c r="I3267" s="131">
        <f t="shared" si="3791"/>
        <v>0</v>
      </c>
      <c r="J3267" s="31">
        <f t="shared" si="3792"/>
        <v>0</v>
      </c>
      <c r="K3267" s="31">
        <f t="shared" si="3793"/>
        <v>0</v>
      </c>
      <c r="L3267" s="31">
        <f t="shared" si="3794"/>
        <v>0.77024999999999999</v>
      </c>
      <c r="M3267" s="31">
        <f t="shared" si="3795"/>
        <v>0</v>
      </c>
      <c r="N3267" s="31">
        <f t="shared" si="3796"/>
        <v>0</v>
      </c>
      <c r="O3267" s="31">
        <f t="shared" si="3797"/>
        <v>0</v>
      </c>
      <c r="P3267" s="31">
        <f t="shared" si="3798"/>
        <v>0</v>
      </c>
      <c r="Q3267" s="49">
        <f t="shared" si="3799"/>
        <v>0</v>
      </c>
    </row>
    <row r="3268" spans="4:17" s="62" customFormat="1" x14ac:dyDescent="0.3">
      <c r="D3268" s="235">
        <v>14</v>
      </c>
      <c r="E3268" s="240">
        <v>3</v>
      </c>
      <c r="F3268" s="241">
        <v>8</v>
      </c>
      <c r="G3268" s="242">
        <v>10.59</v>
      </c>
      <c r="H3268" s="239">
        <f t="shared" si="3790"/>
        <v>31.77</v>
      </c>
      <c r="I3268" s="131">
        <f t="shared" si="3791"/>
        <v>0</v>
      </c>
      <c r="J3268" s="31">
        <f t="shared" si="3792"/>
        <v>0</v>
      </c>
      <c r="K3268" s="31">
        <f t="shared" si="3793"/>
        <v>0</v>
      </c>
      <c r="L3268" s="31">
        <f t="shared" si="3794"/>
        <v>12.549150000000001</v>
      </c>
      <c r="M3268" s="31">
        <f t="shared" si="3795"/>
        <v>0</v>
      </c>
      <c r="N3268" s="31">
        <f t="shared" si="3796"/>
        <v>0</v>
      </c>
      <c r="O3268" s="31">
        <f t="shared" si="3797"/>
        <v>0</v>
      </c>
      <c r="P3268" s="31">
        <f t="shared" si="3798"/>
        <v>0</v>
      </c>
      <c r="Q3268" s="49">
        <f t="shared" si="3799"/>
        <v>0</v>
      </c>
    </row>
    <row r="3269" spans="4:17" s="62" customFormat="1" x14ac:dyDescent="0.3">
      <c r="D3269" s="235">
        <v>46</v>
      </c>
      <c r="E3269" s="240">
        <v>1</v>
      </c>
      <c r="F3269" s="241">
        <v>10</v>
      </c>
      <c r="G3269" s="242">
        <v>2.35</v>
      </c>
      <c r="H3269" s="239">
        <f t="shared" si="3790"/>
        <v>2.35</v>
      </c>
      <c r="I3269" s="131">
        <f t="shared" si="3791"/>
        <v>0</v>
      </c>
      <c r="J3269" s="31">
        <f t="shared" si="3792"/>
        <v>0</v>
      </c>
      <c r="K3269" s="31">
        <f t="shared" si="3793"/>
        <v>0</v>
      </c>
      <c r="L3269" s="31">
        <f t="shared" si="3794"/>
        <v>0</v>
      </c>
      <c r="M3269" s="31">
        <f t="shared" si="3795"/>
        <v>1.4499500000000001</v>
      </c>
      <c r="N3269" s="31">
        <f t="shared" si="3796"/>
        <v>0</v>
      </c>
      <c r="O3269" s="31">
        <f t="shared" si="3797"/>
        <v>0</v>
      </c>
      <c r="P3269" s="31">
        <f t="shared" si="3798"/>
        <v>0</v>
      </c>
      <c r="Q3269" s="49">
        <f t="shared" si="3799"/>
        <v>0</v>
      </c>
    </row>
    <row r="3270" spans="4:17" s="62" customFormat="1" x14ac:dyDescent="0.3">
      <c r="D3270" s="235">
        <v>52</v>
      </c>
      <c r="E3270" s="240">
        <v>1</v>
      </c>
      <c r="F3270" s="241">
        <v>10</v>
      </c>
      <c r="G3270" s="242">
        <v>6.07</v>
      </c>
      <c r="H3270" s="239">
        <f t="shared" si="3790"/>
        <v>6.07</v>
      </c>
      <c r="I3270" s="131">
        <f t="shared" si="3791"/>
        <v>0</v>
      </c>
      <c r="J3270" s="31">
        <f t="shared" si="3792"/>
        <v>0</v>
      </c>
      <c r="K3270" s="31">
        <f t="shared" si="3793"/>
        <v>0</v>
      </c>
      <c r="L3270" s="31">
        <f t="shared" si="3794"/>
        <v>0</v>
      </c>
      <c r="M3270" s="31">
        <f t="shared" si="3795"/>
        <v>3.74519</v>
      </c>
      <c r="N3270" s="31">
        <f t="shared" si="3796"/>
        <v>0</v>
      </c>
      <c r="O3270" s="31">
        <f t="shared" si="3797"/>
        <v>0</v>
      </c>
      <c r="P3270" s="31">
        <f t="shared" si="3798"/>
        <v>0</v>
      </c>
      <c r="Q3270" s="49">
        <f t="shared" si="3799"/>
        <v>0</v>
      </c>
    </row>
    <row r="3271" spans="4:17" s="62" customFormat="1" x14ac:dyDescent="0.3">
      <c r="D3271" s="235">
        <v>53</v>
      </c>
      <c r="E3271" s="240">
        <v>2</v>
      </c>
      <c r="F3271" s="241">
        <v>10</v>
      </c>
      <c r="G3271" s="242">
        <v>10.09</v>
      </c>
      <c r="H3271" s="239">
        <f t="shared" si="3790"/>
        <v>20.18</v>
      </c>
      <c r="I3271" s="131">
        <f t="shared" si="3791"/>
        <v>0</v>
      </c>
      <c r="J3271" s="31">
        <f t="shared" si="3792"/>
        <v>0</v>
      </c>
      <c r="K3271" s="31">
        <f t="shared" si="3793"/>
        <v>0</v>
      </c>
      <c r="L3271" s="31">
        <f t="shared" si="3794"/>
        <v>0</v>
      </c>
      <c r="M3271" s="31">
        <f t="shared" si="3795"/>
        <v>12.45106</v>
      </c>
      <c r="N3271" s="31">
        <f t="shared" si="3796"/>
        <v>0</v>
      </c>
      <c r="O3271" s="31">
        <f t="shared" si="3797"/>
        <v>0</v>
      </c>
      <c r="P3271" s="31">
        <f t="shared" si="3798"/>
        <v>0</v>
      </c>
      <c r="Q3271" s="49">
        <f t="shared" si="3799"/>
        <v>0</v>
      </c>
    </row>
    <row r="3272" spans="4:17" s="62" customFormat="1" ht="15" thickBot="1" x14ac:dyDescent="0.35">
      <c r="D3272" s="307"/>
      <c r="E3272" s="26"/>
      <c r="F3272" s="206"/>
      <c r="G3272" s="207"/>
      <c r="H3272" s="207"/>
      <c r="I3272" s="51"/>
      <c r="J3272" s="308"/>
      <c r="K3272" s="308"/>
      <c r="L3272" s="308"/>
      <c r="M3272" s="308"/>
      <c r="N3272" s="308"/>
      <c r="O3272" s="308"/>
      <c r="P3272" s="308"/>
      <c r="Q3272" s="309"/>
    </row>
    <row r="3273" spans="4:17" s="62" customFormat="1" x14ac:dyDescent="0.3">
      <c r="D3273" s="796" t="s">
        <v>1734</v>
      </c>
      <c r="E3273" s="797"/>
      <c r="F3273" s="797"/>
      <c r="G3273" s="797"/>
      <c r="H3273" s="797"/>
      <c r="I3273" s="47">
        <f t="shared" ref="I3273:Q3273" si="3800">SUM(I3274:I3279)</f>
        <v>0</v>
      </c>
      <c r="J3273" s="47">
        <f t="shared" si="3800"/>
        <v>4.8648599999999993</v>
      </c>
      <c r="K3273" s="47">
        <f t="shared" si="3800"/>
        <v>0</v>
      </c>
      <c r="L3273" s="47">
        <f t="shared" si="3800"/>
        <v>9.2667000000000002</v>
      </c>
      <c r="M3273" s="47">
        <f t="shared" si="3800"/>
        <v>9.6992399999999996</v>
      </c>
      <c r="N3273" s="47">
        <f t="shared" si="3800"/>
        <v>0</v>
      </c>
      <c r="O3273" s="47">
        <f t="shared" si="3800"/>
        <v>0</v>
      </c>
      <c r="P3273" s="47">
        <f t="shared" si="3800"/>
        <v>0</v>
      </c>
      <c r="Q3273" s="47">
        <f t="shared" si="3800"/>
        <v>0</v>
      </c>
    </row>
    <row r="3274" spans="4:17" s="62" customFormat="1" x14ac:dyDescent="0.3">
      <c r="D3274" s="235">
        <v>1</v>
      </c>
      <c r="E3274" s="237">
        <v>27</v>
      </c>
      <c r="F3274" s="238">
        <v>5</v>
      </c>
      <c r="G3274" s="239">
        <v>1.17</v>
      </c>
      <c r="H3274" s="239">
        <f t="shared" ref="H3274:H3279" si="3801">E3274*G3274</f>
        <v>31.589999999999996</v>
      </c>
      <c r="I3274" s="131">
        <f t="shared" ref="I3274:I3279" si="3802">IF($F3274=4.2,H3274*$B$23,0)</f>
        <v>0</v>
      </c>
      <c r="J3274" s="31">
        <f t="shared" ref="J3274:J3279" si="3803">IF($F3274=5,$H3274*$B$24,0)</f>
        <v>4.8648599999999993</v>
      </c>
      <c r="K3274" s="31">
        <f t="shared" ref="K3274:K3279" si="3804">IF($F3274=6.3,$H3274*$B$25,0)</f>
        <v>0</v>
      </c>
      <c r="L3274" s="31">
        <f t="shared" ref="L3274:L3279" si="3805">IF($F3274=8,$H3274*$B$26,0)</f>
        <v>0</v>
      </c>
      <c r="M3274" s="31">
        <f t="shared" ref="M3274:M3279" si="3806">IF($F3274=10,$H3274*$B$27,0)</f>
        <v>0</v>
      </c>
      <c r="N3274" s="31">
        <f t="shared" ref="N3274:N3279" si="3807">IF($F3274=12.5,$H3274*$B$28,0)</f>
        <v>0</v>
      </c>
      <c r="O3274" s="31">
        <f t="shared" ref="O3274:O3279" si="3808">IF($F3274=16,$H3274*$B$29,0)</f>
        <v>0</v>
      </c>
      <c r="P3274" s="31">
        <f t="shared" ref="P3274:P3279" si="3809">IF($F3274=20,$H3274*$B$30,0)</f>
        <v>0</v>
      </c>
      <c r="Q3274" s="49">
        <f t="shared" ref="Q3274:Q3279" si="3810">IF($F3274=25,$H3274*$B$31,0)</f>
        <v>0</v>
      </c>
    </row>
    <row r="3275" spans="4:17" s="62" customFormat="1" x14ac:dyDescent="0.3">
      <c r="D3275" s="235">
        <v>15</v>
      </c>
      <c r="E3275" s="240">
        <v>1</v>
      </c>
      <c r="F3275" s="241">
        <v>8</v>
      </c>
      <c r="G3275" s="242">
        <v>3.09</v>
      </c>
      <c r="H3275" s="239">
        <f t="shared" si="3801"/>
        <v>3.09</v>
      </c>
      <c r="I3275" s="131">
        <f t="shared" si="3802"/>
        <v>0</v>
      </c>
      <c r="J3275" s="31">
        <f t="shared" si="3803"/>
        <v>0</v>
      </c>
      <c r="K3275" s="31">
        <f t="shared" si="3804"/>
        <v>0</v>
      </c>
      <c r="L3275" s="31">
        <f t="shared" si="3805"/>
        <v>1.22055</v>
      </c>
      <c r="M3275" s="31">
        <f t="shared" si="3806"/>
        <v>0</v>
      </c>
      <c r="N3275" s="31">
        <f t="shared" si="3807"/>
        <v>0</v>
      </c>
      <c r="O3275" s="31">
        <f t="shared" si="3808"/>
        <v>0</v>
      </c>
      <c r="P3275" s="31">
        <f t="shared" si="3809"/>
        <v>0</v>
      </c>
      <c r="Q3275" s="49">
        <f t="shared" si="3810"/>
        <v>0</v>
      </c>
    </row>
    <row r="3276" spans="4:17" s="62" customFormat="1" x14ac:dyDescent="0.3">
      <c r="D3276" s="235">
        <v>16</v>
      </c>
      <c r="E3276" s="240">
        <v>3</v>
      </c>
      <c r="F3276" s="241">
        <v>8</v>
      </c>
      <c r="G3276" s="242">
        <v>6.79</v>
      </c>
      <c r="H3276" s="239">
        <f t="shared" si="3801"/>
        <v>20.37</v>
      </c>
      <c r="I3276" s="131">
        <f t="shared" si="3802"/>
        <v>0</v>
      </c>
      <c r="J3276" s="31">
        <f t="shared" si="3803"/>
        <v>0</v>
      </c>
      <c r="K3276" s="31">
        <f t="shared" si="3804"/>
        <v>0</v>
      </c>
      <c r="L3276" s="31">
        <f t="shared" si="3805"/>
        <v>8.0461500000000008</v>
      </c>
      <c r="M3276" s="31">
        <f t="shared" si="3806"/>
        <v>0</v>
      </c>
      <c r="N3276" s="31">
        <f t="shared" si="3807"/>
        <v>0</v>
      </c>
      <c r="O3276" s="31">
        <f t="shared" si="3808"/>
        <v>0</v>
      </c>
      <c r="P3276" s="31">
        <f t="shared" si="3809"/>
        <v>0</v>
      </c>
      <c r="Q3276" s="49">
        <f t="shared" si="3810"/>
        <v>0</v>
      </c>
    </row>
    <row r="3277" spans="4:17" s="62" customFormat="1" x14ac:dyDescent="0.3">
      <c r="D3277" s="235">
        <v>46</v>
      </c>
      <c r="E3277" s="240">
        <v>1</v>
      </c>
      <c r="F3277" s="241">
        <v>10</v>
      </c>
      <c r="G3277" s="242">
        <v>2.35</v>
      </c>
      <c r="H3277" s="239">
        <f t="shared" si="3801"/>
        <v>2.35</v>
      </c>
      <c r="I3277" s="131">
        <f t="shared" si="3802"/>
        <v>0</v>
      </c>
      <c r="J3277" s="31">
        <f t="shared" si="3803"/>
        <v>0</v>
      </c>
      <c r="K3277" s="31">
        <f t="shared" si="3804"/>
        <v>0</v>
      </c>
      <c r="L3277" s="31">
        <f t="shared" si="3805"/>
        <v>0</v>
      </c>
      <c r="M3277" s="31">
        <f t="shared" si="3806"/>
        <v>1.4499500000000001</v>
      </c>
      <c r="N3277" s="31">
        <f t="shared" si="3807"/>
        <v>0</v>
      </c>
      <c r="O3277" s="31">
        <f t="shared" si="3808"/>
        <v>0</v>
      </c>
      <c r="P3277" s="31">
        <f t="shared" si="3809"/>
        <v>0</v>
      </c>
      <c r="Q3277" s="49">
        <f t="shared" si="3810"/>
        <v>0</v>
      </c>
    </row>
    <row r="3278" spans="4:17" s="62" customFormat="1" x14ac:dyDescent="0.3">
      <c r="D3278" s="235">
        <v>54</v>
      </c>
      <c r="E3278" s="240">
        <v>1</v>
      </c>
      <c r="F3278" s="241">
        <v>10</v>
      </c>
      <c r="G3278" s="242">
        <v>0.83</v>
      </c>
      <c r="H3278" s="239">
        <f t="shared" si="3801"/>
        <v>0.83</v>
      </c>
      <c r="I3278" s="131">
        <f t="shared" si="3802"/>
        <v>0</v>
      </c>
      <c r="J3278" s="31">
        <f t="shared" si="3803"/>
        <v>0</v>
      </c>
      <c r="K3278" s="31">
        <f t="shared" si="3804"/>
        <v>0</v>
      </c>
      <c r="L3278" s="31">
        <f t="shared" si="3805"/>
        <v>0</v>
      </c>
      <c r="M3278" s="31">
        <f t="shared" si="3806"/>
        <v>0.51210999999999995</v>
      </c>
      <c r="N3278" s="31">
        <f t="shared" si="3807"/>
        <v>0</v>
      </c>
      <c r="O3278" s="31">
        <f t="shared" si="3808"/>
        <v>0</v>
      </c>
      <c r="P3278" s="31">
        <f t="shared" si="3809"/>
        <v>0</v>
      </c>
      <c r="Q3278" s="49">
        <f t="shared" si="3810"/>
        <v>0</v>
      </c>
    </row>
    <row r="3279" spans="4:17" s="62" customFormat="1" x14ac:dyDescent="0.3">
      <c r="D3279" s="235">
        <v>55</v>
      </c>
      <c r="E3279" s="240">
        <v>2</v>
      </c>
      <c r="F3279" s="241">
        <v>10</v>
      </c>
      <c r="G3279" s="242">
        <v>6.27</v>
      </c>
      <c r="H3279" s="239">
        <f t="shared" si="3801"/>
        <v>12.54</v>
      </c>
      <c r="I3279" s="131">
        <f t="shared" si="3802"/>
        <v>0</v>
      </c>
      <c r="J3279" s="31">
        <f t="shared" si="3803"/>
        <v>0</v>
      </c>
      <c r="K3279" s="31">
        <f t="shared" si="3804"/>
        <v>0</v>
      </c>
      <c r="L3279" s="31">
        <f t="shared" si="3805"/>
        <v>0</v>
      </c>
      <c r="M3279" s="31">
        <f t="shared" si="3806"/>
        <v>7.7371799999999995</v>
      </c>
      <c r="N3279" s="31">
        <f t="shared" si="3807"/>
        <v>0</v>
      </c>
      <c r="O3279" s="31">
        <f t="shared" si="3808"/>
        <v>0</v>
      </c>
      <c r="P3279" s="31">
        <f t="shared" si="3809"/>
        <v>0</v>
      </c>
      <c r="Q3279" s="49">
        <f t="shared" si="3810"/>
        <v>0</v>
      </c>
    </row>
    <row r="3280" spans="4:17" s="62" customFormat="1" ht="15" thickBot="1" x14ac:dyDescent="0.35">
      <c r="D3280" s="307"/>
      <c r="E3280" s="26"/>
      <c r="F3280" s="206"/>
      <c r="G3280" s="207"/>
      <c r="H3280" s="207"/>
      <c r="I3280" s="51"/>
      <c r="J3280" s="308"/>
      <c r="K3280" s="308"/>
      <c r="L3280" s="308"/>
      <c r="M3280" s="308"/>
      <c r="N3280" s="308"/>
      <c r="O3280" s="308"/>
      <c r="P3280" s="308"/>
      <c r="Q3280" s="309"/>
    </row>
    <row r="3281" spans="4:17" s="62" customFormat="1" x14ac:dyDescent="0.3">
      <c r="D3281" s="796" t="s">
        <v>1736</v>
      </c>
      <c r="E3281" s="797"/>
      <c r="F3281" s="797"/>
      <c r="G3281" s="797"/>
      <c r="H3281" s="797"/>
      <c r="I3281" s="47">
        <f t="shared" ref="I3281:Q3281" si="3811">SUM(I3282:I3287)</f>
        <v>0</v>
      </c>
      <c r="J3281" s="47">
        <f t="shared" si="3811"/>
        <v>7.5675600000000003</v>
      </c>
      <c r="K3281" s="47">
        <f t="shared" si="3811"/>
        <v>0</v>
      </c>
      <c r="L3281" s="47">
        <f t="shared" si="3811"/>
        <v>13.319400000000002</v>
      </c>
      <c r="M3281" s="47">
        <f t="shared" si="3811"/>
        <v>17.615349999999999</v>
      </c>
      <c r="N3281" s="47">
        <f t="shared" si="3811"/>
        <v>0</v>
      </c>
      <c r="O3281" s="47">
        <f t="shared" si="3811"/>
        <v>0</v>
      </c>
      <c r="P3281" s="47">
        <f t="shared" si="3811"/>
        <v>0</v>
      </c>
      <c r="Q3281" s="47">
        <f t="shared" si="3811"/>
        <v>0</v>
      </c>
    </row>
    <row r="3282" spans="4:17" s="62" customFormat="1" x14ac:dyDescent="0.3">
      <c r="D3282" s="235">
        <v>1</v>
      </c>
      <c r="E3282" s="237">
        <v>42</v>
      </c>
      <c r="F3282" s="238">
        <v>5</v>
      </c>
      <c r="G3282" s="239">
        <v>1.17</v>
      </c>
      <c r="H3282" s="239">
        <f t="shared" ref="H3282:H3287" si="3812">E3282*G3282</f>
        <v>49.14</v>
      </c>
      <c r="I3282" s="131">
        <f t="shared" ref="I3282:I3287" si="3813">IF($F3282=4.2,H3282*$B$23,0)</f>
        <v>0</v>
      </c>
      <c r="J3282" s="31">
        <f t="shared" ref="J3282:J3287" si="3814">IF($F3282=5,$H3282*$B$24,0)</f>
        <v>7.5675600000000003</v>
      </c>
      <c r="K3282" s="31">
        <f t="shared" ref="K3282:K3287" si="3815">IF($F3282=6.3,$H3282*$B$25,0)</f>
        <v>0</v>
      </c>
      <c r="L3282" s="31">
        <f t="shared" ref="L3282:L3287" si="3816">IF($F3282=8,$H3282*$B$26,0)</f>
        <v>0</v>
      </c>
      <c r="M3282" s="31">
        <f t="shared" ref="M3282:M3287" si="3817">IF($F3282=10,$H3282*$B$27,0)</f>
        <v>0</v>
      </c>
      <c r="N3282" s="31">
        <f t="shared" ref="N3282:N3287" si="3818">IF($F3282=12.5,$H3282*$B$28,0)</f>
        <v>0</v>
      </c>
      <c r="O3282" s="31">
        <f t="shared" ref="O3282:O3287" si="3819">IF($F3282=16,$H3282*$B$29,0)</f>
        <v>0</v>
      </c>
      <c r="P3282" s="31">
        <f t="shared" ref="P3282:P3287" si="3820">IF($F3282=20,$H3282*$B$30,0)</f>
        <v>0</v>
      </c>
      <c r="Q3282" s="49">
        <f t="shared" ref="Q3282:Q3287" si="3821">IF($F3282=25,$H3282*$B$31,0)</f>
        <v>0</v>
      </c>
    </row>
    <row r="3283" spans="4:17" s="62" customFormat="1" x14ac:dyDescent="0.3">
      <c r="D3283" s="235">
        <v>6</v>
      </c>
      <c r="E3283" s="240">
        <v>1</v>
      </c>
      <c r="F3283" s="241">
        <v>8</v>
      </c>
      <c r="G3283" s="242">
        <v>1.95</v>
      </c>
      <c r="H3283" s="239">
        <f t="shared" si="3812"/>
        <v>1.95</v>
      </c>
      <c r="I3283" s="131">
        <f t="shared" si="3813"/>
        <v>0</v>
      </c>
      <c r="J3283" s="31">
        <f t="shared" si="3814"/>
        <v>0</v>
      </c>
      <c r="K3283" s="31">
        <f t="shared" si="3815"/>
        <v>0</v>
      </c>
      <c r="L3283" s="31">
        <f t="shared" si="3816"/>
        <v>0.77024999999999999</v>
      </c>
      <c r="M3283" s="31">
        <f t="shared" si="3817"/>
        <v>0</v>
      </c>
      <c r="N3283" s="31">
        <f t="shared" si="3818"/>
        <v>0</v>
      </c>
      <c r="O3283" s="31">
        <f t="shared" si="3819"/>
        <v>0</v>
      </c>
      <c r="P3283" s="31">
        <f t="shared" si="3820"/>
        <v>0</v>
      </c>
      <c r="Q3283" s="49">
        <f t="shared" si="3821"/>
        <v>0</v>
      </c>
    </row>
    <row r="3284" spans="4:17" s="62" customFormat="1" x14ac:dyDescent="0.3">
      <c r="D3284" s="235">
        <v>7</v>
      </c>
      <c r="E3284" s="240">
        <v>3</v>
      </c>
      <c r="F3284" s="241">
        <v>8</v>
      </c>
      <c r="G3284" s="242">
        <v>10.59</v>
      </c>
      <c r="H3284" s="239">
        <f t="shared" si="3812"/>
        <v>31.77</v>
      </c>
      <c r="I3284" s="131">
        <f t="shared" si="3813"/>
        <v>0</v>
      </c>
      <c r="J3284" s="31">
        <f t="shared" si="3814"/>
        <v>0</v>
      </c>
      <c r="K3284" s="31">
        <f t="shared" si="3815"/>
        <v>0</v>
      </c>
      <c r="L3284" s="31">
        <f t="shared" si="3816"/>
        <v>12.549150000000001</v>
      </c>
      <c r="M3284" s="31">
        <f t="shared" si="3817"/>
        <v>0</v>
      </c>
      <c r="N3284" s="31">
        <f t="shared" si="3818"/>
        <v>0</v>
      </c>
      <c r="O3284" s="31">
        <f t="shared" si="3819"/>
        <v>0</v>
      </c>
      <c r="P3284" s="31">
        <f t="shared" si="3820"/>
        <v>0</v>
      </c>
      <c r="Q3284" s="49">
        <f t="shared" si="3821"/>
        <v>0</v>
      </c>
    </row>
    <row r="3285" spans="4:17" s="62" customFormat="1" x14ac:dyDescent="0.3">
      <c r="D3285" s="235">
        <v>28</v>
      </c>
      <c r="E3285" s="240">
        <v>1</v>
      </c>
      <c r="F3285" s="241">
        <v>10</v>
      </c>
      <c r="G3285" s="242">
        <v>2.2999999999999998</v>
      </c>
      <c r="H3285" s="239">
        <f t="shared" si="3812"/>
        <v>2.2999999999999998</v>
      </c>
      <c r="I3285" s="131">
        <f t="shared" si="3813"/>
        <v>0</v>
      </c>
      <c r="J3285" s="31">
        <f t="shared" si="3814"/>
        <v>0</v>
      </c>
      <c r="K3285" s="31">
        <f t="shared" si="3815"/>
        <v>0</v>
      </c>
      <c r="L3285" s="31">
        <f t="shared" si="3816"/>
        <v>0</v>
      </c>
      <c r="M3285" s="31">
        <f t="shared" si="3817"/>
        <v>1.4190999999999998</v>
      </c>
      <c r="N3285" s="31">
        <f t="shared" si="3818"/>
        <v>0</v>
      </c>
      <c r="O3285" s="31">
        <f t="shared" si="3819"/>
        <v>0</v>
      </c>
      <c r="P3285" s="31">
        <f t="shared" si="3820"/>
        <v>0</v>
      </c>
      <c r="Q3285" s="49">
        <f t="shared" si="3821"/>
        <v>0</v>
      </c>
    </row>
    <row r="3286" spans="4:17" s="62" customFormat="1" x14ac:dyDescent="0.3">
      <c r="D3286" s="235">
        <v>29</v>
      </c>
      <c r="E3286" s="240">
        <v>1</v>
      </c>
      <c r="F3286" s="241">
        <v>10</v>
      </c>
      <c r="G3286" s="242">
        <v>6.07</v>
      </c>
      <c r="H3286" s="239">
        <f t="shared" si="3812"/>
        <v>6.07</v>
      </c>
      <c r="I3286" s="131">
        <f t="shared" si="3813"/>
        <v>0</v>
      </c>
      <c r="J3286" s="31">
        <f t="shared" si="3814"/>
        <v>0</v>
      </c>
      <c r="K3286" s="31">
        <f t="shared" si="3815"/>
        <v>0</v>
      </c>
      <c r="L3286" s="31">
        <f t="shared" si="3816"/>
        <v>0</v>
      </c>
      <c r="M3286" s="31">
        <f t="shared" si="3817"/>
        <v>3.74519</v>
      </c>
      <c r="N3286" s="31">
        <f t="shared" si="3818"/>
        <v>0</v>
      </c>
      <c r="O3286" s="31">
        <f t="shared" si="3819"/>
        <v>0</v>
      </c>
      <c r="P3286" s="31">
        <f t="shared" si="3820"/>
        <v>0</v>
      </c>
      <c r="Q3286" s="49">
        <f t="shared" si="3821"/>
        <v>0</v>
      </c>
    </row>
    <row r="3287" spans="4:17" s="62" customFormat="1" x14ac:dyDescent="0.3">
      <c r="D3287" s="235">
        <v>30</v>
      </c>
      <c r="E3287" s="240">
        <v>2</v>
      </c>
      <c r="F3287" s="241">
        <v>10</v>
      </c>
      <c r="G3287" s="242">
        <v>10.09</v>
      </c>
      <c r="H3287" s="239">
        <f t="shared" si="3812"/>
        <v>20.18</v>
      </c>
      <c r="I3287" s="131">
        <f t="shared" si="3813"/>
        <v>0</v>
      </c>
      <c r="J3287" s="31">
        <f t="shared" si="3814"/>
        <v>0</v>
      </c>
      <c r="K3287" s="31">
        <f t="shared" si="3815"/>
        <v>0</v>
      </c>
      <c r="L3287" s="31">
        <f t="shared" si="3816"/>
        <v>0</v>
      </c>
      <c r="M3287" s="31">
        <f t="shared" si="3817"/>
        <v>12.45106</v>
      </c>
      <c r="N3287" s="31">
        <f t="shared" si="3818"/>
        <v>0</v>
      </c>
      <c r="O3287" s="31">
        <f t="shared" si="3819"/>
        <v>0</v>
      </c>
      <c r="P3287" s="31">
        <f t="shared" si="3820"/>
        <v>0</v>
      </c>
      <c r="Q3287" s="49">
        <f t="shared" si="3821"/>
        <v>0</v>
      </c>
    </row>
    <row r="3288" spans="4:17" s="62" customFormat="1" ht="15" thickBot="1" x14ac:dyDescent="0.35">
      <c r="D3288" s="307"/>
      <c r="E3288" s="26"/>
      <c r="F3288" s="206"/>
      <c r="G3288" s="207"/>
      <c r="H3288" s="207"/>
      <c r="I3288" s="51"/>
      <c r="J3288" s="308"/>
      <c r="K3288" s="308"/>
      <c r="L3288" s="308"/>
      <c r="M3288" s="308"/>
      <c r="N3288" s="308"/>
      <c r="O3288" s="308"/>
      <c r="P3288" s="308"/>
      <c r="Q3288" s="309"/>
    </row>
    <row r="3289" spans="4:17" s="62" customFormat="1" x14ac:dyDescent="0.3">
      <c r="D3289" s="796" t="s">
        <v>1738</v>
      </c>
      <c r="E3289" s="797"/>
      <c r="F3289" s="797"/>
      <c r="G3289" s="797"/>
      <c r="H3289" s="797"/>
      <c r="I3289" s="47">
        <f t="shared" ref="I3289:Q3289" si="3822">SUM(I3290:I3295)</f>
        <v>0</v>
      </c>
      <c r="J3289" s="47">
        <f t="shared" si="3822"/>
        <v>4.8648599999999993</v>
      </c>
      <c r="K3289" s="47">
        <f t="shared" si="3822"/>
        <v>0</v>
      </c>
      <c r="L3289" s="47">
        <f t="shared" si="3822"/>
        <v>9.2508999999999997</v>
      </c>
      <c r="M3289" s="47">
        <f t="shared" si="3822"/>
        <v>9.8843399999999999</v>
      </c>
      <c r="N3289" s="47">
        <f t="shared" si="3822"/>
        <v>0</v>
      </c>
      <c r="O3289" s="47">
        <f t="shared" si="3822"/>
        <v>0</v>
      </c>
      <c r="P3289" s="47">
        <f t="shared" si="3822"/>
        <v>0</v>
      </c>
      <c r="Q3289" s="47">
        <f t="shared" si="3822"/>
        <v>0</v>
      </c>
    </row>
    <row r="3290" spans="4:17" s="62" customFormat="1" x14ac:dyDescent="0.3">
      <c r="D3290" s="235">
        <v>1</v>
      </c>
      <c r="E3290" s="237">
        <v>27</v>
      </c>
      <c r="F3290" s="238">
        <v>5</v>
      </c>
      <c r="G3290" s="239">
        <v>1.17</v>
      </c>
      <c r="H3290" s="239">
        <f t="shared" ref="H3290:H3295" si="3823">E3290*G3290</f>
        <v>31.589999999999996</v>
      </c>
      <c r="I3290" s="131">
        <f t="shared" ref="I3290:I3295" si="3824">IF($F3290=4.2,H3290*$B$23,0)</f>
        <v>0</v>
      </c>
      <c r="J3290" s="31">
        <f t="shared" ref="J3290:J3295" si="3825">IF($F3290=5,$H3290*$B$24,0)</f>
        <v>4.8648599999999993</v>
      </c>
      <c r="K3290" s="31">
        <f t="shared" ref="K3290:K3295" si="3826">IF($F3290=6.3,$H3290*$B$25,0)</f>
        <v>0</v>
      </c>
      <c r="L3290" s="31">
        <f t="shared" ref="L3290:L3295" si="3827">IF($F3290=8,$H3290*$B$26,0)</f>
        <v>0</v>
      </c>
      <c r="M3290" s="31">
        <f t="shared" ref="M3290:M3295" si="3828">IF($F3290=10,$H3290*$B$27,0)</f>
        <v>0</v>
      </c>
      <c r="N3290" s="31">
        <f t="shared" ref="N3290:N3295" si="3829">IF($F3290=12.5,$H3290*$B$28,0)</f>
        <v>0</v>
      </c>
      <c r="O3290" s="31">
        <f t="shared" ref="O3290:O3295" si="3830">IF($F3290=16,$H3290*$B$29,0)</f>
        <v>0</v>
      </c>
      <c r="P3290" s="31">
        <f t="shared" ref="P3290:P3295" si="3831">IF($F3290=20,$H3290*$B$30,0)</f>
        <v>0</v>
      </c>
      <c r="Q3290" s="49">
        <f t="shared" ref="Q3290:Q3295" si="3832">IF($F3290=25,$H3290*$B$31,0)</f>
        <v>0</v>
      </c>
    </row>
    <row r="3291" spans="4:17" s="62" customFormat="1" x14ac:dyDescent="0.3">
      <c r="D3291" s="235">
        <v>8</v>
      </c>
      <c r="E3291" s="240">
        <v>1</v>
      </c>
      <c r="F3291" s="241">
        <v>8</v>
      </c>
      <c r="G3291" s="242">
        <v>3.29</v>
      </c>
      <c r="H3291" s="239">
        <f t="shared" si="3823"/>
        <v>3.29</v>
      </c>
      <c r="I3291" s="131">
        <f t="shared" si="3824"/>
        <v>0</v>
      </c>
      <c r="J3291" s="31">
        <f t="shared" si="3825"/>
        <v>0</v>
      </c>
      <c r="K3291" s="31">
        <f t="shared" si="3826"/>
        <v>0</v>
      </c>
      <c r="L3291" s="31">
        <f t="shared" si="3827"/>
        <v>1.29955</v>
      </c>
      <c r="M3291" s="31">
        <f t="shared" si="3828"/>
        <v>0</v>
      </c>
      <c r="N3291" s="31">
        <f t="shared" si="3829"/>
        <v>0</v>
      </c>
      <c r="O3291" s="31">
        <f t="shared" si="3830"/>
        <v>0</v>
      </c>
      <c r="P3291" s="31">
        <f t="shared" si="3831"/>
        <v>0</v>
      </c>
      <c r="Q3291" s="49">
        <f t="shared" si="3832"/>
        <v>0</v>
      </c>
    </row>
    <row r="3292" spans="4:17" s="62" customFormat="1" x14ac:dyDescent="0.3">
      <c r="D3292" s="235">
        <v>9</v>
      </c>
      <c r="E3292" s="240">
        <v>3</v>
      </c>
      <c r="F3292" s="241">
        <v>8</v>
      </c>
      <c r="G3292" s="242">
        <v>6.71</v>
      </c>
      <c r="H3292" s="239">
        <f t="shared" si="3823"/>
        <v>20.13</v>
      </c>
      <c r="I3292" s="131">
        <f t="shared" si="3824"/>
        <v>0</v>
      </c>
      <c r="J3292" s="31">
        <f t="shared" si="3825"/>
        <v>0</v>
      </c>
      <c r="K3292" s="31">
        <f t="shared" si="3826"/>
        <v>0</v>
      </c>
      <c r="L3292" s="31">
        <f t="shared" si="3827"/>
        <v>7.9513499999999997</v>
      </c>
      <c r="M3292" s="31">
        <f t="shared" si="3828"/>
        <v>0</v>
      </c>
      <c r="N3292" s="31">
        <f t="shared" si="3829"/>
        <v>0</v>
      </c>
      <c r="O3292" s="31">
        <f t="shared" si="3830"/>
        <v>0</v>
      </c>
      <c r="P3292" s="31">
        <f t="shared" si="3831"/>
        <v>0</v>
      </c>
      <c r="Q3292" s="49">
        <f t="shared" si="3832"/>
        <v>0</v>
      </c>
    </row>
    <row r="3293" spans="4:17" s="62" customFormat="1" x14ac:dyDescent="0.3">
      <c r="D3293" s="235">
        <v>31</v>
      </c>
      <c r="E3293" s="240">
        <v>1</v>
      </c>
      <c r="F3293" s="241">
        <v>10</v>
      </c>
      <c r="G3293" s="242">
        <v>0.83</v>
      </c>
      <c r="H3293" s="239">
        <f t="shared" si="3823"/>
        <v>0.83</v>
      </c>
      <c r="I3293" s="131">
        <f t="shared" si="3824"/>
        <v>0</v>
      </c>
      <c r="J3293" s="31">
        <f t="shared" si="3825"/>
        <v>0</v>
      </c>
      <c r="K3293" s="31">
        <f t="shared" si="3826"/>
        <v>0</v>
      </c>
      <c r="L3293" s="31">
        <f t="shared" si="3827"/>
        <v>0</v>
      </c>
      <c r="M3293" s="31">
        <f t="shared" si="3828"/>
        <v>0.51210999999999995</v>
      </c>
      <c r="N3293" s="31">
        <f t="shared" si="3829"/>
        <v>0</v>
      </c>
      <c r="O3293" s="31">
        <f t="shared" si="3830"/>
        <v>0</v>
      </c>
      <c r="P3293" s="31">
        <f t="shared" si="3831"/>
        <v>0</v>
      </c>
      <c r="Q3293" s="49">
        <f t="shared" si="3832"/>
        <v>0</v>
      </c>
    </row>
    <row r="3294" spans="4:17" s="62" customFormat="1" x14ac:dyDescent="0.3">
      <c r="D3294" s="235">
        <v>32</v>
      </c>
      <c r="E3294" s="240">
        <v>1</v>
      </c>
      <c r="F3294" s="241">
        <v>10</v>
      </c>
      <c r="G3294" s="242">
        <v>2.4500000000000002</v>
      </c>
      <c r="H3294" s="239">
        <f t="shared" si="3823"/>
        <v>2.4500000000000002</v>
      </c>
      <c r="I3294" s="131">
        <f t="shared" si="3824"/>
        <v>0</v>
      </c>
      <c r="J3294" s="31">
        <f t="shared" si="3825"/>
        <v>0</v>
      </c>
      <c r="K3294" s="31">
        <f t="shared" si="3826"/>
        <v>0</v>
      </c>
      <c r="L3294" s="31">
        <f t="shared" si="3827"/>
        <v>0</v>
      </c>
      <c r="M3294" s="31">
        <f t="shared" si="3828"/>
        <v>1.5116500000000002</v>
      </c>
      <c r="N3294" s="31">
        <f t="shared" si="3829"/>
        <v>0</v>
      </c>
      <c r="O3294" s="31">
        <f t="shared" si="3830"/>
        <v>0</v>
      </c>
      <c r="P3294" s="31">
        <f t="shared" si="3831"/>
        <v>0</v>
      </c>
      <c r="Q3294" s="49">
        <f t="shared" si="3832"/>
        <v>0</v>
      </c>
    </row>
    <row r="3295" spans="4:17" s="62" customFormat="1" x14ac:dyDescent="0.3">
      <c r="D3295" s="235">
        <v>33</v>
      </c>
      <c r="E3295" s="240">
        <v>2</v>
      </c>
      <c r="F3295" s="241">
        <v>10</v>
      </c>
      <c r="G3295" s="242">
        <v>6.37</v>
      </c>
      <c r="H3295" s="239">
        <f t="shared" si="3823"/>
        <v>12.74</v>
      </c>
      <c r="I3295" s="131">
        <f t="shared" si="3824"/>
        <v>0</v>
      </c>
      <c r="J3295" s="31">
        <f t="shared" si="3825"/>
        <v>0</v>
      </c>
      <c r="K3295" s="31">
        <f t="shared" si="3826"/>
        <v>0</v>
      </c>
      <c r="L3295" s="31">
        <f t="shared" si="3827"/>
        <v>0</v>
      </c>
      <c r="M3295" s="31">
        <f t="shared" si="3828"/>
        <v>7.8605799999999997</v>
      </c>
      <c r="N3295" s="31">
        <f t="shared" si="3829"/>
        <v>0</v>
      </c>
      <c r="O3295" s="31">
        <f t="shared" si="3830"/>
        <v>0</v>
      </c>
      <c r="P3295" s="31">
        <f t="shared" si="3831"/>
        <v>0</v>
      </c>
      <c r="Q3295" s="49">
        <f t="shared" si="3832"/>
        <v>0</v>
      </c>
    </row>
    <row r="3296" spans="4:17" s="62" customFormat="1" ht="15" thickBot="1" x14ac:dyDescent="0.35">
      <c r="D3296" s="307"/>
      <c r="E3296" s="26"/>
      <c r="F3296" s="206"/>
      <c r="G3296" s="207"/>
      <c r="H3296" s="207"/>
      <c r="I3296" s="51"/>
      <c r="J3296" s="308"/>
      <c r="K3296" s="308"/>
      <c r="L3296" s="308"/>
      <c r="M3296" s="308"/>
      <c r="N3296" s="308"/>
      <c r="O3296" s="308"/>
      <c r="P3296" s="308"/>
      <c r="Q3296" s="309"/>
    </row>
    <row r="3297" spans="4:17" s="62" customFormat="1" x14ac:dyDescent="0.3">
      <c r="D3297" s="796" t="s">
        <v>1739</v>
      </c>
      <c r="E3297" s="797"/>
      <c r="F3297" s="797"/>
      <c r="G3297" s="797"/>
      <c r="H3297" s="797"/>
      <c r="I3297" s="47">
        <f t="shared" ref="I3297:Q3297" si="3833">SUM(I3298:I3302)</f>
        <v>0</v>
      </c>
      <c r="J3297" s="47">
        <f t="shared" si="3833"/>
        <v>1.6216199999999998</v>
      </c>
      <c r="K3297" s="47">
        <f t="shared" si="3833"/>
        <v>0</v>
      </c>
      <c r="L3297" s="47">
        <f t="shared" si="3833"/>
        <v>0</v>
      </c>
      <c r="M3297" s="47">
        <f t="shared" si="3833"/>
        <v>4.8619599999999998</v>
      </c>
      <c r="N3297" s="47">
        <f t="shared" si="3833"/>
        <v>6.8854499999999996</v>
      </c>
      <c r="O3297" s="47">
        <f t="shared" si="3833"/>
        <v>0</v>
      </c>
      <c r="P3297" s="47">
        <f t="shared" si="3833"/>
        <v>0</v>
      </c>
      <c r="Q3297" s="47">
        <f t="shared" si="3833"/>
        <v>0</v>
      </c>
    </row>
    <row r="3298" spans="4:17" s="62" customFormat="1" x14ac:dyDescent="0.3">
      <c r="D3298" s="235">
        <v>1</v>
      </c>
      <c r="E3298" s="237">
        <v>9</v>
      </c>
      <c r="F3298" s="238">
        <v>5</v>
      </c>
      <c r="G3298" s="239">
        <v>1.17</v>
      </c>
      <c r="H3298" s="239">
        <f t="shared" ref="H3298:H3302" si="3834">E3298*G3298</f>
        <v>10.53</v>
      </c>
      <c r="I3298" s="131">
        <f t="shared" ref="I3298:I3302" si="3835">IF($F3298=4.2,H3298*$B$23,0)</f>
        <v>0</v>
      </c>
      <c r="J3298" s="31">
        <f t="shared" ref="J3298:J3302" si="3836">IF($F3298=5,$H3298*$B$24,0)</f>
        <v>1.6216199999999998</v>
      </c>
      <c r="K3298" s="31">
        <f t="shared" ref="K3298:K3302" si="3837">IF($F3298=6.3,$H3298*$B$25,0)</f>
        <v>0</v>
      </c>
      <c r="L3298" s="31">
        <f t="shared" ref="L3298:L3302" si="3838">IF($F3298=8,$H3298*$B$26,0)</f>
        <v>0</v>
      </c>
      <c r="M3298" s="31">
        <f t="shared" ref="M3298:M3302" si="3839">IF($F3298=10,$H3298*$B$27,0)</f>
        <v>0</v>
      </c>
      <c r="N3298" s="31">
        <f t="shared" ref="N3298:N3302" si="3840">IF($F3298=12.5,$H3298*$B$28,0)</f>
        <v>0</v>
      </c>
      <c r="O3298" s="31">
        <f t="shared" ref="O3298:O3302" si="3841">IF($F3298=16,$H3298*$B$29,0)</f>
        <v>0</v>
      </c>
      <c r="P3298" s="31">
        <f t="shared" ref="P3298:P3302" si="3842">IF($F3298=20,$H3298*$B$30,0)</f>
        <v>0</v>
      </c>
      <c r="Q3298" s="49">
        <f t="shared" ref="Q3298:Q3302" si="3843">IF($F3298=25,$H3298*$B$31,0)</f>
        <v>0</v>
      </c>
    </row>
    <row r="3299" spans="4:17" s="62" customFormat="1" x14ac:dyDescent="0.3">
      <c r="D3299" s="235">
        <v>34</v>
      </c>
      <c r="E3299" s="240">
        <v>1</v>
      </c>
      <c r="F3299" s="241">
        <v>10</v>
      </c>
      <c r="G3299" s="242">
        <v>1.84</v>
      </c>
      <c r="H3299" s="239">
        <f t="shared" si="3834"/>
        <v>1.84</v>
      </c>
      <c r="I3299" s="131">
        <f t="shared" si="3835"/>
        <v>0</v>
      </c>
      <c r="J3299" s="31">
        <f t="shared" si="3836"/>
        <v>0</v>
      </c>
      <c r="K3299" s="31">
        <f t="shared" si="3837"/>
        <v>0</v>
      </c>
      <c r="L3299" s="31">
        <f t="shared" si="3838"/>
        <v>0</v>
      </c>
      <c r="M3299" s="31">
        <f t="shared" si="3839"/>
        <v>1.1352800000000001</v>
      </c>
      <c r="N3299" s="31">
        <f t="shared" si="3840"/>
        <v>0</v>
      </c>
      <c r="O3299" s="31">
        <f t="shared" si="3841"/>
        <v>0</v>
      </c>
      <c r="P3299" s="31">
        <f t="shared" si="3842"/>
        <v>0</v>
      </c>
      <c r="Q3299" s="49">
        <f t="shared" si="3843"/>
        <v>0</v>
      </c>
    </row>
    <row r="3300" spans="4:17" s="62" customFormat="1" x14ac:dyDescent="0.3">
      <c r="D3300" s="235">
        <v>35</v>
      </c>
      <c r="E3300" s="240">
        <v>2</v>
      </c>
      <c r="F3300" s="241">
        <v>10</v>
      </c>
      <c r="G3300" s="242">
        <v>3.02</v>
      </c>
      <c r="H3300" s="239">
        <f t="shared" si="3834"/>
        <v>6.04</v>
      </c>
      <c r="I3300" s="131">
        <f t="shared" si="3835"/>
        <v>0</v>
      </c>
      <c r="J3300" s="31">
        <f t="shared" si="3836"/>
        <v>0</v>
      </c>
      <c r="K3300" s="31">
        <f t="shared" si="3837"/>
        <v>0</v>
      </c>
      <c r="L3300" s="31">
        <f t="shared" si="3838"/>
        <v>0</v>
      </c>
      <c r="M3300" s="31">
        <f t="shared" si="3839"/>
        <v>3.72668</v>
      </c>
      <c r="N3300" s="31">
        <f t="shared" si="3840"/>
        <v>0</v>
      </c>
      <c r="O3300" s="31">
        <f t="shared" si="3841"/>
        <v>0</v>
      </c>
      <c r="P3300" s="31">
        <f t="shared" si="3842"/>
        <v>0</v>
      </c>
      <c r="Q3300" s="49">
        <f t="shared" si="3843"/>
        <v>0</v>
      </c>
    </row>
    <row r="3301" spans="4:17" s="62" customFormat="1" x14ac:dyDescent="0.3">
      <c r="D3301" s="235">
        <v>58</v>
      </c>
      <c r="E3301" s="240">
        <v>1</v>
      </c>
      <c r="F3301" s="241">
        <v>12.5</v>
      </c>
      <c r="G3301" s="242">
        <v>1.97</v>
      </c>
      <c r="H3301" s="239">
        <f t="shared" si="3834"/>
        <v>1.97</v>
      </c>
      <c r="I3301" s="131">
        <f t="shared" si="3835"/>
        <v>0</v>
      </c>
      <c r="J3301" s="31">
        <f t="shared" si="3836"/>
        <v>0</v>
      </c>
      <c r="K3301" s="31">
        <f t="shared" si="3837"/>
        <v>0</v>
      </c>
      <c r="L3301" s="31">
        <f t="shared" si="3838"/>
        <v>0</v>
      </c>
      <c r="M3301" s="31">
        <f t="shared" si="3839"/>
        <v>0</v>
      </c>
      <c r="N3301" s="31">
        <f t="shared" si="3840"/>
        <v>1.8971099999999999</v>
      </c>
      <c r="O3301" s="31">
        <f t="shared" si="3841"/>
        <v>0</v>
      </c>
      <c r="P3301" s="31">
        <f t="shared" si="3842"/>
        <v>0</v>
      </c>
      <c r="Q3301" s="49">
        <f t="shared" si="3843"/>
        <v>0</v>
      </c>
    </row>
    <row r="3302" spans="4:17" s="62" customFormat="1" x14ac:dyDescent="0.3">
      <c r="D3302" s="235">
        <v>59</v>
      </c>
      <c r="E3302" s="240">
        <v>2</v>
      </c>
      <c r="F3302" s="241">
        <v>12.5</v>
      </c>
      <c r="G3302" s="242">
        <v>2.59</v>
      </c>
      <c r="H3302" s="239">
        <f t="shared" si="3834"/>
        <v>5.18</v>
      </c>
      <c r="I3302" s="131">
        <f t="shared" si="3835"/>
        <v>0</v>
      </c>
      <c r="J3302" s="31">
        <f t="shared" si="3836"/>
        <v>0</v>
      </c>
      <c r="K3302" s="31">
        <f t="shared" si="3837"/>
        <v>0</v>
      </c>
      <c r="L3302" s="31">
        <f t="shared" si="3838"/>
        <v>0</v>
      </c>
      <c r="M3302" s="31">
        <f t="shared" si="3839"/>
        <v>0</v>
      </c>
      <c r="N3302" s="31">
        <f t="shared" si="3840"/>
        <v>4.98834</v>
      </c>
      <c r="O3302" s="31">
        <f t="shared" si="3841"/>
        <v>0</v>
      </c>
      <c r="P3302" s="31">
        <f t="shared" si="3842"/>
        <v>0</v>
      </c>
      <c r="Q3302" s="49">
        <f t="shared" si="3843"/>
        <v>0</v>
      </c>
    </row>
    <row r="3303" spans="4:17" s="62" customFormat="1" ht="15" thickBot="1" x14ac:dyDescent="0.35">
      <c r="D3303" s="307"/>
      <c r="E3303" s="26"/>
      <c r="F3303" s="206"/>
      <c r="G3303" s="207"/>
      <c r="H3303" s="207"/>
      <c r="I3303" s="51"/>
      <c r="J3303" s="308"/>
      <c r="K3303" s="308"/>
      <c r="L3303" s="308"/>
      <c r="M3303" s="308"/>
      <c r="N3303" s="308"/>
      <c r="O3303" s="308"/>
      <c r="P3303" s="308"/>
      <c r="Q3303" s="309"/>
    </row>
    <row r="3304" spans="4:17" s="62" customFormat="1" x14ac:dyDescent="0.3">
      <c r="D3304" s="796" t="s">
        <v>1741</v>
      </c>
      <c r="E3304" s="797"/>
      <c r="F3304" s="797"/>
      <c r="G3304" s="797"/>
      <c r="H3304" s="797"/>
      <c r="I3304" s="47">
        <f t="shared" ref="I3304:Q3304" si="3844">SUM(I3305:I3309)</f>
        <v>0</v>
      </c>
      <c r="J3304" s="47">
        <f t="shared" si="3844"/>
        <v>4.3243199999999993</v>
      </c>
      <c r="K3304" s="47">
        <f t="shared" si="3844"/>
        <v>0</v>
      </c>
      <c r="L3304" s="47">
        <f t="shared" si="3844"/>
        <v>0</v>
      </c>
      <c r="M3304" s="47">
        <f t="shared" si="3844"/>
        <v>12.531269999999999</v>
      </c>
      <c r="N3304" s="47">
        <f t="shared" si="3844"/>
        <v>14.70501</v>
      </c>
      <c r="O3304" s="47">
        <f t="shared" si="3844"/>
        <v>0</v>
      </c>
      <c r="P3304" s="47">
        <f t="shared" si="3844"/>
        <v>0</v>
      </c>
      <c r="Q3304" s="47">
        <f t="shared" si="3844"/>
        <v>0</v>
      </c>
    </row>
    <row r="3305" spans="4:17" s="62" customFormat="1" x14ac:dyDescent="0.3">
      <c r="D3305" s="235">
        <v>1</v>
      </c>
      <c r="E3305" s="237">
        <v>24</v>
      </c>
      <c r="F3305" s="238">
        <v>5</v>
      </c>
      <c r="G3305" s="239">
        <v>1.17</v>
      </c>
      <c r="H3305" s="239">
        <f t="shared" ref="H3305:H3309" si="3845">E3305*G3305</f>
        <v>28.08</v>
      </c>
      <c r="I3305" s="131">
        <f t="shared" ref="I3305:I3309" si="3846">IF($F3305=4.2,H3305*$B$23,0)</f>
        <v>0</v>
      </c>
      <c r="J3305" s="31">
        <f t="shared" ref="J3305:J3309" si="3847">IF($F3305=5,$H3305*$B$24,0)</f>
        <v>4.3243199999999993</v>
      </c>
      <c r="K3305" s="31">
        <f t="shared" ref="K3305:K3309" si="3848">IF($F3305=6.3,$H3305*$B$25,0)</f>
        <v>0</v>
      </c>
      <c r="L3305" s="31">
        <f t="shared" ref="L3305:L3309" si="3849">IF($F3305=8,$H3305*$B$26,0)</f>
        <v>0</v>
      </c>
      <c r="M3305" s="31">
        <f t="shared" ref="M3305:M3309" si="3850">IF($F3305=10,$H3305*$B$27,0)</f>
        <v>0</v>
      </c>
      <c r="N3305" s="31">
        <f t="shared" ref="N3305:N3309" si="3851">IF($F3305=12.5,$H3305*$B$28,0)</f>
        <v>0</v>
      </c>
      <c r="O3305" s="31">
        <f t="shared" ref="O3305:O3309" si="3852">IF($F3305=16,$H3305*$B$29,0)</f>
        <v>0</v>
      </c>
      <c r="P3305" s="31">
        <f t="shared" ref="P3305:P3309" si="3853">IF($F3305=20,$H3305*$B$30,0)</f>
        <v>0</v>
      </c>
      <c r="Q3305" s="49">
        <f t="shared" ref="Q3305:Q3309" si="3854">IF($F3305=25,$H3305*$B$31,0)</f>
        <v>0</v>
      </c>
    </row>
    <row r="3306" spans="4:17" s="62" customFormat="1" x14ac:dyDescent="0.3">
      <c r="D3306" s="235">
        <v>36</v>
      </c>
      <c r="E3306" s="240">
        <v>2</v>
      </c>
      <c r="F3306" s="241">
        <v>10</v>
      </c>
      <c r="G3306" s="242">
        <v>1.67</v>
      </c>
      <c r="H3306" s="239">
        <f t="shared" si="3845"/>
        <v>3.34</v>
      </c>
      <c r="I3306" s="131">
        <f t="shared" si="3846"/>
        <v>0</v>
      </c>
      <c r="J3306" s="31">
        <f t="shared" si="3847"/>
        <v>0</v>
      </c>
      <c r="K3306" s="31">
        <f t="shared" si="3848"/>
        <v>0</v>
      </c>
      <c r="L3306" s="31">
        <f t="shared" si="3849"/>
        <v>0</v>
      </c>
      <c r="M3306" s="31">
        <f t="shared" si="3850"/>
        <v>2.0607799999999998</v>
      </c>
      <c r="N3306" s="31">
        <f t="shared" si="3851"/>
        <v>0</v>
      </c>
      <c r="O3306" s="31">
        <f t="shared" si="3852"/>
        <v>0</v>
      </c>
      <c r="P3306" s="31">
        <f t="shared" si="3853"/>
        <v>0</v>
      </c>
      <c r="Q3306" s="49">
        <f t="shared" si="3854"/>
        <v>0</v>
      </c>
    </row>
    <row r="3307" spans="4:17" s="62" customFormat="1" x14ac:dyDescent="0.3">
      <c r="D3307" s="235">
        <v>37</v>
      </c>
      <c r="E3307" s="240">
        <v>1</v>
      </c>
      <c r="F3307" s="241">
        <v>10</v>
      </c>
      <c r="G3307" s="242">
        <v>5.61</v>
      </c>
      <c r="H3307" s="239">
        <f t="shared" si="3845"/>
        <v>5.61</v>
      </c>
      <c r="I3307" s="131">
        <f t="shared" si="3846"/>
        <v>0</v>
      </c>
      <c r="J3307" s="31">
        <f t="shared" si="3847"/>
        <v>0</v>
      </c>
      <c r="K3307" s="31">
        <f t="shared" si="3848"/>
        <v>0</v>
      </c>
      <c r="L3307" s="31">
        <f t="shared" si="3849"/>
        <v>0</v>
      </c>
      <c r="M3307" s="31">
        <f t="shared" si="3850"/>
        <v>3.4613700000000001</v>
      </c>
      <c r="N3307" s="31">
        <f t="shared" si="3851"/>
        <v>0</v>
      </c>
      <c r="O3307" s="31">
        <f t="shared" si="3852"/>
        <v>0</v>
      </c>
      <c r="P3307" s="31">
        <f t="shared" si="3853"/>
        <v>0</v>
      </c>
      <c r="Q3307" s="49">
        <f t="shared" si="3854"/>
        <v>0</v>
      </c>
    </row>
    <row r="3308" spans="4:17" s="62" customFormat="1" x14ac:dyDescent="0.3">
      <c r="D3308" s="235">
        <v>38</v>
      </c>
      <c r="E3308" s="240">
        <v>2</v>
      </c>
      <c r="F3308" s="241">
        <v>10</v>
      </c>
      <c r="G3308" s="242">
        <v>5.68</v>
      </c>
      <c r="H3308" s="239">
        <f t="shared" si="3845"/>
        <v>11.36</v>
      </c>
      <c r="I3308" s="131">
        <f t="shared" si="3846"/>
        <v>0</v>
      </c>
      <c r="J3308" s="31">
        <f t="shared" si="3847"/>
        <v>0</v>
      </c>
      <c r="K3308" s="31">
        <f t="shared" si="3848"/>
        <v>0</v>
      </c>
      <c r="L3308" s="31">
        <f t="shared" si="3849"/>
        <v>0</v>
      </c>
      <c r="M3308" s="31">
        <f t="shared" si="3850"/>
        <v>7.0091199999999994</v>
      </c>
      <c r="N3308" s="31">
        <f t="shared" si="3851"/>
        <v>0</v>
      </c>
      <c r="O3308" s="31">
        <f t="shared" si="3852"/>
        <v>0</v>
      </c>
      <c r="P3308" s="31">
        <f t="shared" si="3853"/>
        <v>0</v>
      </c>
      <c r="Q3308" s="49">
        <f t="shared" si="3854"/>
        <v>0</v>
      </c>
    </row>
    <row r="3309" spans="4:17" s="62" customFormat="1" x14ac:dyDescent="0.3">
      <c r="D3309" s="235">
        <v>60</v>
      </c>
      <c r="E3309" s="240">
        <v>3</v>
      </c>
      <c r="F3309" s="241">
        <v>12.5</v>
      </c>
      <c r="G3309" s="242">
        <v>5.09</v>
      </c>
      <c r="H3309" s="239">
        <f t="shared" si="3845"/>
        <v>15.27</v>
      </c>
      <c r="I3309" s="131">
        <f t="shared" si="3846"/>
        <v>0</v>
      </c>
      <c r="J3309" s="31">
        <f t="shared" si="3847"/>
        <v>0</v>
      </c>
      <c r="K3309" s="31">
        <f t="shared" si="3848"/>
        <v>0</v>
      </c>
      <c r="L3309" s="31">
        <f t="shared" si="3849"/>
        <v>0</v>
      </c>
      <c r="M3309" s="31">
        <f t="shared" si="3850"/>
        <v>0</v>
      </c>
      <c r="N3309" s="31">
        <f t="shared" si="3851"/>
        <v>14.70501</v>
      </c>
      <c r="O3309" s="31">
        <f t="shared" si="3852"/>
        <v>0</v>
      </c>
      <c r="P3309" s="31">
        <f t="shared" si="3853"/>
        <v>0</v>
      </c>
      <c r="Q3309" s="49">
        <f t="shared" si="3854"/>
        <v>0</v>
      </c>
    </row>
    <row r="3310" spans="4:17" s="62" customFormat="1" ht="15" thickBot="1" x14ac:dyDescent="0.35">
      <c r="D3310" s="307"/>
      <c r="E3310" s="26"/>
      <c r="F3310" s="206"/>
      <c r="G3310" s="207"/>
      <c r="H3310" s="207"/>
      <c r="I3310" s="51"/>
      <c r="J3310" s="308"/>
      <c r="K3310" s="308"/>
      <c r="L3310" s="308"/>
      <c r="M3310" s="308"/>
      <c r="N3310" s="308"/>
      <c r="O3310" s="308"/>
      <c r="P3310" s="308"/>
      <c r="Q3310" s="309"/>
    </row>
    <row r="3311" spans="4:17" s="62" customFormat="1" x14ac:dyDescent="0.3">
      <c r="D3311" s="796" t="s">
        <v>1742</v>
      </c>
      <c r="E3311" s="797"/>
      <c r="F3311" s="797"/>
      <c r="G3311" s="797"/>
      <c r="H3311" s="797"/>
      <c r="I3311" s="47">
        <f t="shared" ref="I3311:Q3311" si="3855">SUM(I3312:I3316)</f>
        <v>0</v>
      </c>
      <c r="J3311" s="47">
        <f t="shared" si="3855"/>
        <v>1.6216199999999998</v>
      </c>
      <c r="K3311" s="47">
        <f t="shared" si="3855"/>
        <v>0</v>
      </c>
      <c r="L3311" s="47">
        <f t="shared" si="3855"/>
        <v>0</v>
      </c>
      <c r="M3311" s="47">
        <f t="shared" si="3855"/>
        <v>5.3432200000000005</v>
      </c>
      <c r="N3311" s="47">
        <f t="shared" si="3855"/>
        <v>7.9736400000000005</v>
      </c>
      <c r="O3311" s="47">
        <f t="shared" si="3855"/>
        <v>0</v>
      </c>
      <c r="P3311" s="47">
        <f t="shared" si="3855"/>
        <v>0</v>
      </c>
      <c r="Q3311" s="47">
        <f t="shared" si="3855"/>
        <v>0</v>
      </c>
    </row>
    <row r="3312" spans="4:17" s="62" customFormat="1" x14ac:dyDescent="0.3">
      <c r="D3312" s="235">
        <v>1</v>
      </c>
      <c r="E3312" s="237">
        <v>9</v>
      </c>
      <c r="F3312" s="238">
        <v>5</v>
      </c>
      <c r="G3312" s="239">
        <v>1.17</v>
      </c>
      <c r="H3312" s="239">
        <f t="shared" ref="H3312:H3316" si="3856">E3312*G3312</f>
        <v>10.53</v>
      </c>
      <c r="I3312" s="131">
        <f t="shared" ref="I3312:I3316" si="3857">IF($F3312=4.2,H3312*$B$23,0)</f>
        <v>0</v>
      </c>
      <c r="J3312" s="31">
        <f t="shared" ref="J3312:J3316" si="3858">IF($F3312=5,$H3312*$B$24,0)</f>
        <v>1.6216199999999998</v>
      </c>
      <c r="K3312" s="31">
        <f t="shared" ref="K3312:K3316" si="3859">IF($F3312=6.3,$H3312*$B$25,0)</f>
        <v>0</v>
      </c>
      <c r="L3312" s="31">
        <f t="shared" ref="L3312:L3316" si="3860">IF($F3312=8,$H3312*$B$26,0)</f>
        <v>0</v>
      </c>
      <c r="M3312" s="31">
        <f t="shared" ref="M3312:M3316" si="3861">IF($F3312=10,$H3312*$B$27,0)</f>
        <v>0</v>
      </c>
      <c r="N3312" s="31">
        <f t="shared" ref="N3312:N3316" si="3862">IF($F3312=12.5,$H3312*$B$28,0)</f>
        <v>0</v>
      </c>
      <c r="O3312" s="31">
        <f t="shared" ref="O3312:O3316" si="3863">IF($F3312=16,$H3312*$B$29,0)</f>
        <v>0</v>
      </c>
      <c r="P3312" s="31">
        <f t="shared" ref="P3312:P3316" si="3864">IF($F3312=20,$H3312*$B$30,0)</f>
        <v>0</v>
      </c>
      <c r="Q3312" s="49">
        <f t="shared" ref="Q3312:Q3316" si="3865">IF($F3312=25,$H3312*$B$31,0)</f>
        <v>0</v>
      </c>
    </row>
    <row r="3313" spans="4:17" s="62" customFormat="1" x14ac:dyDescent="0.3">
      <c r="D3313" s="235">
        <v>39</v>
      </c>
      <c r="E3313" s="240">
        <v>1</v>
      </c>
      <c r="F3313" s="241">
        <v>10</v>
      </c>
      <c r="G3313" s="242">
        <v>1.5</v>
      </c>
      <c r="H3313" s="239">
        <f t="shared" si="3856"/>
        <v>1.5</v>
      </c>
      <c r="I3313" s="131">
        <f t="shared" si="3857"/>
        <v>0</v>
      </c>
      <c r="J3313" s="31">
        <f t="shared" si="3858"/>
        <v>0</v>
      </c>
      <c r="K3313" s="31">
        <f t="shared" si="3859"/>
        <v>0</v>
      </c>
      <c r="L3313" s="31">
        <f t="shared" si="3860"/>
        <v>0</v>
      </c>
      <c r="M3313" s="31">
        <f t="shared" si="3861"/>
        <v>0.92549999999999999</v>
      </c>
      <c r="N3313" s="31">
        <f t="shared" si="3862"/>
        <v>0</v>
      </c>
      <c r="O3313" s="31">
        <f t="shared" si="3863"/>
        <v>0</v>
      </c>
      <c r="P3313" s="31">
        <f t="shared" si="3864"/>
        <v>0</v>
      </c>
      <c r="Q3313" s="49">
        <f t="shared" si="3865"/>
        <v>0</v>
      </c>
    </row>
    <row r="3314" spans="4:17" s="62" customFormat="1" x14ac:dyDescent="0.3">
      <c r="D3314" s="235">
        <v>40</v>
      </c>
      <c r="E3314" s="240">
        <v>2</v>
      </c>
      <c r="F3314" s="241">
        <v>10</v>
      </c>
      <c r="G3314" s="242">
        <v>3.58</v>
      </c>
      <c r="H3314" s="239">
        <f t="shared" si="3856"/>
        <v>7.16</v>
      </c>
      <c r="I3314" s="131">
        <f t="shared" si="3857"/>
        <v>0</v>
      </c>
      <c r="J3314" s="31">
        <f t="shared" si="3858"/>
        <v>0</v>
      </c>
      <c r="K3314" s="31">
        <f t="shared" si="3859"/>
        <v>0</v>
      </c>
      <c r="L3314" s="31">
        <f t="shared" si="3860"/>
        <v>0</v>
      </c>
      <c r="M3314" s="31">
        <f t="shared" si="3861"/>
        <v>4.4177200000000001</v>
      </c>
      <c r="N3314" s="31">
        <f t="shared" si="3862"/>
        <v>0</v>
      </c>
      <c r="O3314" s="31">
        <f t="shared" si="3863"/>
        <v>0</v>
      </c>
      <c r="P3314" s="31">
        <f t="shared" si="3864"/>
        <v>0</v>
      </c>
      <c r="Q3314" s="49">
        <f t="shared" si="3865"/>
        <v>0</v>
      </c>
    </row>
    <row r="3315" spans="4:17" s="62" customFormat="1" x14ac:dyDescent="0.3">
      <c r="D3315" s="235">
        <v>61</v>
      </c>
      <c r="E3315" s="240">
        <v>1</v>
      </c>
      <c r="F3315" s="241">
        <v>12.5</v>
      </c>
      <c r="G3315" s="242">
        <v>2</v>
      </c>
      <c r="H3315" s="239">
        <f t="shared" si="3856"/>
        <v>2</v>
      </c>
      <c r="I3315" s="131">
        <f t="shared" si="3857"/>
        <v>0</v>
      </c>
      <c r="J3315" s="31">
        <f t="shared" si="3858"/>
        <v>0</v>
      </c>
      <c r="K3315" s="31">
        <f t="shared" si="3859"/>
        <v>0</v>
      </c>
      <c r="L3315" s="31">
        <f t="shared" si="3860"/>
        <v>0</v>
      </c>
      <c r="M3315" s="31">
        <f t="shared" si="3861"/>
        <v>0</v>
      </c>
      <c r="N3315" s="31">
        <f t="shared" si="3862"/>
        <v>1.9259999999999999</v>
      </c>
      <c r="O3315" s="31">
        <f t="shared" si="3863"/>
        <v>0</v>
      </c>
      <c r="P3315" s="31">
        <f t="shared" si="3864"/>
        <v>0</v>
      </c>
      <c r="Q3315" s="49">
        <f t="shared" si="3865"/>
        <v>0</v>
      </c>
    </row>
    <row r="3316" spans="4:17" s="62" customFormat="1" x14ac:dyDescent="0.3">
      <c r="D3316" s="235">
        <v>62</v>
      </c>
      <c r="E3316" s="240">
        <v>2</v>
      </c>
      <c r="F3316" s="241">
        <v>12.5</v>
      </c>
      <c r="G3316" s="242">
        <v>3.14</v>
      </c>
      <c r="H3316" s="239">
        <f t="shared" si="3856"/>
        <v>6.28</v>
      </c>
      <c r="I3316" s="131">
        <f t="shared" si="3857"/>
        <v>0</v>
      </c>
      <c r="J3316" s="31">
        <f t="shared" si="3858"/>
        <v>0</v>
      </c>
      <c r="K3316" s="31">
        <f t="shared" si="3859"/>
        <v>0</v>
      </c>
      <c r="L3316" s="31">
        <f t="shared" si="3860"/>
        <v>0</v>
      </c>
      <c r="M3316" s="31">
        <f t="shared" si="3861"/>
        <v>0</v>
      </c>
      <c r="N3316" s="31">
        <f t="shared" si="3862"/>
        <v>6.0476400000000003</v>
      </c>
      <c r="O3316" s="31">
        <f t="shared" si="3863"/>
        <v>0</v>
      </c>
      <c r="P3316" s="31">
        <f t="shared" si="3864"/>
        <v>0</v>
      </c>
      <c r="Q3316" s="49">
        <f t="shared" si="3865"/>
        <v>0</v>
      </c>
    </row>
    <row r="3317" spans="4:17" s="62" customFormat="1" ht="15" thickBot="1" x14ac:dyDescent="0.35">
      <c r="D3317" s="307"/>
      <c r="E3317" s="26"/>
      <c r="F3317" s="206"/>
      <c r="G3317" s="207"/>
      <c r="H3317" s="207"/>
      <c r="I3317" s="51"/>
      <c r="J3317" s="308"/>
      <c r="K3317" s="308"/>
      <c r="L3317" s="308"/>
      <c r="M3317" s="308"/>
      <c r="N3317" s="308"/>
      <c r="O3317" s="308"/>
      <c r="P3317" s="308"/>
      <c r="Q3317" s="309"/>
    </row>
    <row r="3318" spans="4:17" s="62" customFormat="1" x14ac:dyDescent="0.3">
      <c r="D3318" s="796" t="s">
        <v>1743</v>
      </c>
      <c r="E3318" s="797"/>
      <c r="F3318" s="797"/>
      <c r="G3318" s="797"/>
      <c r="H3318" s="797"/>
      <c r="I3318" s="47">
        <f t="shared" ref="I3318:Q3318" si="3866">SUM(I3319:I3321)</f>
        <v>0</v>
      </c>
      <c r="J3318" s="47">
        <f t="shared" si="3866"/>
        <v>3.4234199999999997</v>
      </c>
      <c r="K3318" s="47">
        <f t="shared" si="3866"/>
        <v>0</v>
      </c>
      <c r="L3318" s="47">
        <f t="shared" si="3866"/>
        <v>6.1620000000000008</v>
      </c>
      <c r="M3318" s="47">
        <f t="shared" si="3866"/>
        <v>9.1439400000000006</v>
      </c>
      <c r="N3318" s="47">
        <f t="shared" si="3866"/>
        <v>0</v>
      </c>
      <c r="O3318" s="47">
        <f t="shared" si="3866"/>
        <v>0</v>
      </c>
      <c r="P3318" s="47">
        <f t="shared" si="3866"/>
        <v>0</v>
      </c>
      <c r="Q3318" s="47">
        <f t="shared" si="3866"/>
        <v>0</v>
      </c>
    </row>
    <row r="3319" spans="4:17" s="62" customFormat="1" x14ac:dyDescent="0.3">
      <c r="D3319" s="235">
        <v>1</v>
      </c>
      <c r="E3319" s="237">
        <v>19</v>
      </c>
      <c r="F3319" s="238">
        <v>5</v>
      </c>
      <c r="G3319" s="239">
        <v>1.17</v>
      </c>
      <c r="H3319" s="239">
        <f t="shared" ref="H3319:H3321" si="3867">E3319*G3319</f>
        <v>22.229999999999997</v>
      </c>
      <c r="I3319" s="131">
        <f t="shared" ref="I3319:I3321" si="3868">IF($F3319=4.2,H3319*$B$23,0)</f>
        <v>0</v>
      </c>
      <c r="J3319" s="31">
        <f t="shared" ref="J3319:J3321" si="3869">IF($F3319=5,$H3319*$B$24,0)</f>
        <v>3.4234199999999997</v>
      </c>
      <c r="K3319" s="31">
        <f t="shared" ref="K3319:K3321" si="3870">IF($F3319=6.3,$H3319*$B$25,0)</f>
        <v>0</v>
      </c>
      <c r="L3319" s="31">
        <f t="shared" ref="L3319:L3321" si="3871">IF($F3319=8,$H3319*$B$26,0)</f>
        <v>0</v>
      </c>
      <c r="M3319" s="31">
        <f t="shared" ref="M3319:M3321" si="3872">IF($F3319=10,$H3319*$B$27,0)</f>
        <v>0</v>
      </c>
      <c r="N3319" s="31">
        <f t="shared" ref="N3319:N3321" si="3873">IF($F3319=12.5,$H3319*$B$28,0)</f>
        <v>0</v>
      </c>
      <c r="O3319" s="31">
        <f t="shared" ref="O3319:O3321" si="3874">IF($F3319=16,$H3319*$B$29,0)</f>
        <v>0</v>
      </c>
      <c r="P3319" s="31">
        <f t="shared" ref="P3319:P3321" si="3875">IF($F3319=20,$H3319*$B$30,0)</f>
        <v>0</v>
      </c>
      <c r="Q3319" s="49">
        <f t="shared" ref="Q3319:Q3321" si="3876">IF($F3319=25,$H3319*$B$31,0)</f>
        <v>0</v>
      </c>
    </row>
    <row r="3320" spans="4:17" s="62" customFormat="1" x14ac:dyDescent="0.3">
      <c r="D3320" s="235">
        <v>10</v>
      </c>
      <c r="E3320" s="240">
        <v>3</v>
      </c>
      <c r="F3320" s="241">
        <v>8</v>
      </c>
      <c r="G3320" s="242">
        <v>5.2</v>
      </c>
      <c r="H3320" s="239">
        <f t="shared" si="3867"/>
        <v>15.600000000000001</v>
      </c>
      <c r="I3320" s="131">
        <f t="shared" si="3868"/>
        <v>0</v>
      </c>
      <c r="J3320" s="31">
        <f t="shared" si="3869"/>
        <v>0</v>
      </c>
      <c r="K3320" s="31">
        <f t="shared" si="3870"/>
        <v>0</v>
      </c>
      <c r="L3320" s="31">
        <f t="shared" si="3871"/>
        <v>6.1620000000000008</v>
      </c>
      <c r="M3320" s="31">
        <f t="shared" si="3872"/>
        <v>0</v>
      </c>
      <c r="N3320" s="31">
        <f t="shared" si="3873"/>
        <v>0</v>
      </c>
      <c r="O3320" s="31">
        <f t="shared" si="3874"/>
        <v>0</v>
      </c>
      <c r="P3320" s="31">
        <f t="shared" si="3875"/>
        <v>0</v>
      </c>
      <c r="Q3320" s="49">
        <f t="shared" si="3876"/>
        <v>0</v>
      </c>
    </row>
    <row r="3321" spans="4:17" s="62" customFormat="1" x14ac:dyDescent="0.3">
      <c r="D3321" s="235">
        <v>41</v>
      </c>
      <c r="E3321" s="240">
        <v>3</v>
      </c>
      <c r="F3321" s="241">
        <v>10</v>
      </c>
      <c r="G3321" s="242">
        <v>4.9400000000000004</v>
      </c>
      <c r="H3321" s="239">
        <f t="shared" si="3867"/>
        <v>14.82</v>
      </c>
      <c r="I3321" s="131">
        <f t="shared" si="3868"/>
        <v>0</v>
      </c>
      <c r="J3321" s="31">
        <f t="shared" si="3869"/>
        <v>0</v>
      </c>
      <c r="K3321" s="31">
        <f t="shared" si="3870"/>
        <v>0</v>
      </c>
      <c r="L3321" s="31">
        <f t="shared" si="3871"/>
        <v>0</v>
      </c>
      <c r="M3321" s="31">
        <f t="shared" si="3872"/>
        <v>9.1439400000000006</v>
      </c>
      <c r="N3321" s="31">
        <f t="shared" si="3873"/>
        <v>0</v>
      </c>
      <c r="O3321" s="31">
        <f t="shared" si="3874"/>
        <v>0</v>
      </c>
      <c r="P3321" s="31">
        <f t="shared" si="3875"/>
        <v>0</v>
      </c>
      <c r="Q3321" s="49">
        <f t="shared" si="3876"/>
        <v>0</v>
      </c>
    </row>
    <row r="3322" spans="4:17" s="62" customFormat="1" ht="15" thickBot="1" x14ac:dyDescent="0.35">
      <c r="D3322" s="307"/>
      <c r="E3322" s="26"/>
      <c r="F3322" s="206"/>
      <c r="G3322" s="207"/>
      <c r="H3322" s="207"/>
      <c r="I3322" s="51"/>
      <c r="J3322" s="308"/>
      <c r="K3322" s="308"/>
      <c r="L3322" s="308"/>
      <c r="M3322" s="308"/>
      <c r="N3322" s="308"/>
      <c r="O3322" s="308"/>
      <c r="P3322" s="308"/>
      <c r="Q3322" s="309"/>
    </row>
    <row r="3323" spans="4:17" s="62" customFormat="1" x14ac:dyDescent="0.3">
      <c r="D3323" s="796" t="s">
        <v>1744</v>
      </c>
      <c r="E3323" s="797"/>
      <c r="F3323" s="797"/>
      <c r="G3323" s="797"/>
      <c r="H3323" s="797"/>
      <c r="I3323" s="47">
        <f t="shared" ref="I3323:Q3323" si="3877">SUM(I3324:I3334)</f>
        <v>0</v>
      </c>
      <c r="J3323" s="47">
        <f t="shared" si="3877"/>
        <v>4.6846799999999993</v>
      </c>
      <c r="K3323" s="47">
        <f t="shared" si="3877"/>
        <v>0</v>
      </c>
      <c r="L3323" s="47">
        <f t="shared" si="3877"/>
        <v>16.59395</v>
      </c>
      <c r="M3323" s="47">
        <f t="shared" si="3877"/>
        <v>9.8966799999999999</v>
      </c>
      <c r="N3323" s="47">
        <f t="shared" si="3877"/>
        <v>0</v>
      </c>
      <c r="O3323" s="47">
        <f t="shared" si="3877"/>
        <v>0</v>
      </c>
      <c r="P3323" s="47">
        <f t="shared" si="3877"/>
        <v>0</v>
      </c>
      <c r="Q3323" s="47">
        <f t="shared" si="3877"/>
        <v>0</v>
      </c>
    </row>
    <row r="3324" spans="4:17" s="62" customFormat="1" x14ac:dyDescent="0.3">
      <c r="D3324" s="235">
        <v>1</v>
      </c>
      <c r="E3324" s="237">
        <v>26</v>
      </c>
      <c r="F3324" s="238">
        <v>5</v>
      </c>
      <c r="G3324" s="239">
        <v>1.17</v>
      </c>
      <c r="H3324" s="239">
        <f t="shared" ref="H3324:H3334" si="3878">E3324*G3324</f>
        <v>30.419999999999998</v>
      </c>
      <c r="I3324" s="131">
        <f t="shared" ref="I3324:I3334" si="3879">IF($F3324=4.2,H3324*$B$23,0)</f>
        <v>0</v>
      </c>
      <c r="J3324" s="31">
        <f t="shared" ref="J3324:J3334" si="3880">IF($F3324=5,$H3324*$B$24,0)</f>
        <v>4.6846799999999993</v>
      </c>
      <c r="K3324" s="31">
        <f t="shared" ref="K3324:K3334" si="3881">IF($F3324=6.3,$H3324*$B$25,0)</f>
        <v>0</v>
      </c>
      <c r="L3324" s="31">
        <f t="shared" ref="L3324:L3334" si="3882">IF($F3324=8,$H3324*$B$26,0)</f>
        <v>0</v>
      </c>
      <c r="M3324" s="31">
        <f t="shared" ref="M3324:M3334" si="3883">IF($F3324=10,$H3324*$B$27,0)</f>
        <v>0</v>
      </c>
      <c r="N3324" s="31">
        <f t="shared" ref="N3324:N3334" si="3884">IF($F3324=12.5,$H3324*$B$28,0)</f>
        <v>0</v>
      </c>
      <c r="O3324" s="31">
        <f t="shared" ref="O3324:O3334" si="3885">IF($F3324=16,$H3324*$B$29,0)</f>
        <v>0</v>
      </c>
      <c r="P3324" s="31">
        <f t="shared" ref="P3324:P3334" si="3886">IF($F3324=20,$H3324*$B$30,0)</f>
        <v>0</v>
      </c>
      <c r="Q3324" s="49">
        <f t="shared" ref="Q3324:Q3334" si="3887">IF($F3324=25,$H3324*$B$31,0)</f>
        <v>0</v>
      </c>
    </row>
    <row r="3325" spans="4:17" s="62" customFormat="1" x14ac:dyDescent="0.3">
      <c r="D3325" s="235">
        <v>11</v>
      </c>
      <c r="E3325" s="240">
        <v>3</v>
      </c>
      <c r="F3325" s="241">
        <v>8</v>
      </c>
      <c r="G3325" s="242">
        <v>1.18</v>
      </c>
      <c r="H3325" s="239">
        <f t="shared" si="3878"/>
        <v>3.54</v>
      </c>
      <c r="I3325" s="131">
        <f t="shared" si="3879"/>
        <v>0</v>
      </c>
      <c r="J3325" s="31">
        <f t="shared" si="3880"/>
        <v>0</v>
      </c>
      <c r="K3325" s="31">
        <f t="shared" si="3881"/>
        <v>0</v>
      </c>
      <c r="L3325" s="31">
        <f t="shared" si="3882"/>
        <v>1.3983000000000001</v>
      </c>
      <c r="M3325" s="31">
        <f t="shared" si="3883"/>
        <v>0</v>
      </c>
      <c r="N3325" s="31">
        <f t="shared" si="3884"/>
        <v>0</v>
      </c>
      <c r="O3325" s="31">
        <f t="shared" si="3885"/>
        <v>0</v>
      </c>
      <c r="P3325" s="31">
        <f t="shared" si="3886"/>
        <v>0</v>
      </c>
      <c r="Q3325" s="49">
        <f t="shared" si="3887"/>
        <v>0</v>
      </c>
    </row>
    <row r="3326" spans="4:17" s="62" customFormat="1" x14ac:dyDescent="0.3">
      <c r="D3326" s="235">
        <v>12</v>
      </c>
      <c r="E3326" s="240">
        <v>4</v>
      </c>
      <c r="F3326" s="241">
        <v>8</v>
      </c>
      <c r="G3326" s="242">
        <v>0.82</v>
      </c>
      <c r="H3326" s="239">
        <f t="shared" si="3878"/>
        <v>3.28</v>
      </c>
      <c r="I3326" s="131">
        <f t="shared" si="3879"/>
        <v>0</v>
      </c>
      <c r="J3326" s="31">
        <f t="shared" si="3880"/>
        <v>0</v>
      </c>
      <c r="K3326" s="31">
        <f t="shared" si="3881"/>
        <v>0</v>
      </c>
      <c r="L3326" s="31">
        <f t="shared" si="3882"/>
        <v>1.2956000000000001</v>
      </c>
      <c r="M3326" s="31">
        <f t="shared" si="3883"/>
        <v>0</v>
      </c>
      <c r="N3326" s="31">
        <f t="shared" si="3884"/>
        <v>0</v>
      </c>
      <c r="O3326" s="31">
        <f t="shared" si="3885"/>
        <v>0</v>
      </c>
      <c r="P3326" s="31">
        <f t="shared" si="3886"/>
        <v>0</v>
      </c>
      <c r="Q3326" s="49">
        <f t="shared" si="3887"/>
        <v>0</v>
      </c>
    </row>
    <row r="3327" spans="4:17" s="62" customFormat="1" x14ac:dyDescent="0.3">
      <c r="D3327" s="235">
        <v>13</v>
      </c>
      <c r="E3327" s="240">
        <v>1</v>
      </c>
      <c r="F3327" s="241">
        <v>8</v>
      </c>
      <c r="G3327" s="242">
        <v>2.29</v>
      </c>
      <c r="H3327" s="239">
        <f t="shared" si="3878"/>
        <v>2.29</v>
      </c>
      <c r="I3327" s="131">
        <f t="shared" si="3879"/>
        <v>0</v>
      </c>
      <c r="J3327" s="31">
        <f t="shared" si="3880"/>
        <v>0</v>
      </c>
      <c r="K3327" s="31">
        <f t="shared" si="3881"/>
        <v>0</v>
      </c>
      <c r="L3327" s="31">
        <f t="shared" si="3882"/>
        <v>0.90455000000000008</v>
      </c>
      <c r="M3327" s="31">
        <f t="shared" si="3883"/>
        <v>0</v>
      </c>
      <c r="N3327" s="31">
        <f t="shared" si="3884"/>
        <v>0</v>
      </c>
      <c r="O3327" s="31">
        <f t="shared" si="3885"/>
        <v>0</v>
      </c>
      <c r="P3327" s="31">
        <f t="shared" si="3886"/>
        <v>0</v>
      </c>
      <c r="Q3327" s="49">
        <f t="shared" si="3887"/>
        <v>0</v>
      </c>
    </row>
    <row r="3328" spans="4:17" s="62" customFormat="1" x14ac:dyDescent="0.3">
      <c r="D3328" s="235">
        <v>14</v>
      </c>
      <c r="E3328" s="240">
        <v>3</v>
      </c>
      <c r="F3328" s="241">
        <v>8</v>
      </c>
      <c r="G3328" s="242">
        <v>2.35</v>
      </c>
      <c r="H3328" s="239">
        <f t="shared" si="3878"/>
        <v>7.0500000000000007</v>
      </c>
      <c r="I3328" s="131">
        <f t="shared" si="3879"/>
        <v>0</v>
      </c>
      <c r="J3328" s="31">
        <f t="shared" si="3880"/>
        <v>0</v>
      </c>
      <c r="K3328" s="31">
        <f t="shared" si="3881"/>
        <v>0</v>
      </c>
      <c r="L3328" s="31">
        <f t="shared" si="3882"/>
        <v>2.7847500000000003</v>
      </c>
      <c r="M3328" s="31">
        <f t="shared" si="3883"/>
        <v>0</v>
      </c>
      <c r="N3328" s="31">
        <f t="shared" si="3884"/>
        <v>0</v>
      </c>
      <c r="O3328" s="31">
        <f t="shared" si="3885"/>
        <v>0</v>
      </c>
      <c r="P3328" s="31">
        <f t="shared" si="3886"/>
        <v>0</v>
      </c>
      <c r="Q3328" s="49">
        <f t="shared" si="3887"/>
        <v>0</v>
      </c>
    </row>
    <row r="3329" spans="4:17" s="62" customFormat="1" x14ac:dyDescent="0.3">
      <c r="D3329" s="235">
        <v>15</v>
      </c>
      <c r="E3329" s="240">
        <v>2</v>
      </c>
      <c r="F3329" s="241">
        <v>8</v>
      </c>
      <c r="G3329" s="242">
        <v>2.41</v>
      </c>
      <c r="H3329" s="239">
        <f t="shared" si="3878"/>
        <v>4.82</v>
      </c>
      <c r="I3329" s="131">
        <f t="shared" si="3879"/>
        <v>0</v>
      </c>
      <c r="J3329" s="31">
        <f t="shared" si="3880"/>
        <v>0</v>
      </c>
      <c r="K3329" s="31">
        <f t="shared" si="3881"/>
        <v>0</v>
      </c>
      <c r="L3329" s="31">
        <f t="shared" si="3882"/>
        <v>1.9039000000000001</v>
      </c>
      <c r="M3329" s="31">
        <f t="shared" si="3883"/>
        <v>0</v>
      </c>
      <c r="N3329" s="31">
        <f t="shared" si="3884"/>
        <v>0</v>
      </c>
      <c r="O3329" s="31">
        <f t="shared" si="3885"/>
        <v>0</v>
      </c>
      <c r="P3329" s="31">
        <f t="shared" si="3886"/>
        <v>0</v>
      </c>
      <c r="Q3329" s="49">
        <f t="shared" si="3887"/>
        <v>0</v>
      </c>
    </row>
    <row r="3330" spans="4:17" s="62" customFormat="1" x14ac:dyDescent="0.3">
      <c r="D3330" s="235">
        <v>16</v>
      </c>
      <c r="E3330" s="240">
        <v>1</v>
      </c>
      <c r="F3330" s="241">
        <v>8</v>
      </c>
      <c r="G3330" s="242">
        <v>3.06</v>
      </c>
      <c r="H3330" s="239">
        <f t="shared" si="3878"/>
        <v>3.06</v>
      </c>
      <c r="I3330" s="131">
        <f t="shared" si="3879"/>
        <v>0</v>
      </c>
      <c r="J3330" s="31">
        <f t="shared" si="3880"/>
        <v>0</v>
      </c>
      <c r="K3330" s="31">
        <f t="shared" si="3881"/>
        <v>0</v>
      </c>
      <c r="L3330" s="31">
        <f t="shared" si="3882"/>
        <v>1.2087000000000001</v>
      </c>
      <c r="M3330" s="31">
        <f t="shared" si="3883"/>
        <v>0</v>
      </c>
      <c r="N3330" s="31">
        <f t="shared" si="3884"/>
        <v>0</v>
      </c>
      <c r="O3330" s="31">
        <f t="shared" si="3885"/>
        <v>0</v>
      </c>
      <c r="P3330" s="31">
        <f t="shared" si="3886"/>
        <v>0</v>
      </c>
      <c r="Q3330" s="49">
        <f t="shared" si="3887"/>
        <v>0</v>
      </c>
    </row>
    <row r="3331" spans="4:17" s="62" customFormat="1" x14ac:dyDescent="0.3">
      <c r="D3331" s="235">
        <v>17</v>
      </c>
      <c r="E3331" s="240">
        <v>3</v>
      </c>
      <c r="F3331" s="241">
        <v>8</v>
      </c>
      <c r="G3331" s="242">
        <v>5.99</v>
      </c>
      <c r="H3331" s="239">
        <f t="shared" si="3878"/>
        <v>17.97</v>
      </c>
      <c r="I3331" s="131">
        <f t="shared" si="3879"/>
        <v>0</v>
      </c>
      <c r="J3331" s="31">
        <f t="shared" si="3880"/>
        <v>0</v>
      </c>
      <c r="K3331" s="31">
        <f t="shared" si="3881"/>
        <v>0</v>
      </c>
      <c r="L3331" s="31">
        <f t="shared" si="3882"/>
        <v>7.0981499999999995</v>
      </c>
      <c r="M3331" s="31">
        <f t="shared" si="3883"/>
        <v>0</v>
      </c>
      <c r="N3331" s="31">
        <f t="shared" si="3884"/>
        <v>0</v>
      </c>
      <c r="O3331" s="31">
        <f t="shared" si="3885"/>
        <v>0</v>
      </c>
      <c r="P3331" s="31">
        <f t="shared" si="3886"/>
        <v>0</v>
      </c>
      <c r="Q3331" s="49">
        <f t="shared" si="3887"/>
        <v>0</v>
      </c>
    </row>
    <row r="3332" spans="4:17" s="62" customFormat="1" x14ac:dyDescent="0.3">
      <c r="D3332" s="235">
        <v>42</v>
      </c>
      <c r="E3332" s="240">
        <v>1</v>
      </c>
      <c r="F3332" s="241">
        <v>10</v>
      </c>
      <c r="G3332" s="242">
        <v>4.17</v>
      </c>
      <c r="H3332" s="239">
        <f t="shared" si="3878"/>
        <v>4.17</v>
      </c>
      <c r="I3332" s="131">
        <f t="shared" si="3879"/>
        <v>0</v>
      </c>
      <c r="J3332" s="31">
        <f t="shared" si="3880"/>
        <v>0</v>
      </c>
      <c r="K3332" s="31">
        <f t="shared" si="3881"/>
        <v>0</v>
      </c>
      <c r="L3332" s="31">
        <f t="shared" si="3882"/>
        <v>0</v>
      </c>
      <c r="M3332" s="31">
        <f t="shared" si="3883"/>
        <v>2.5728900000000001</v>
      </c>
      <c r="N3332" s="31">
        <f t="shared" si="3884"/>
        <v>0</v>
      </c>
      <c r="O3332" s="31">
        <f t="shared" si="3885"/>
        <v>0</v>
      </c>
      <c r="P3332" s="31">
        <f t="shared" si="3886"/>
        <v>0</v>
      </c>
      <c r="Q3332" s="49">
        <f t="shared" si="3887"/>
        <v>0</v>
      </c>
    </row>
    <row r="3333" spans="4:17" s="62" customFormat="1" x14ac:dyDescent="0.3">
      <c r="D3333" s="235">
        <v>43</v>
      </c>
      <c r="E3333" s="240">
        <v>1</v>
      </c>
      <c r="F3333" s="241">
        <v>10</v>
      </c>
      <c r="G3333" s="242">
        <v>0.75</v>
      </c>
      <c r="H3333" s="239">
        <f t="shared" si="3878"/>
        <v>0.75</v>
      </c>
      <c r="I3333" s="131">
        <f t="shared" si="3879"/>
        <v>0</v>
      </c>
      <c r="J3333" s="31">
        <f t="shared" si="3880"/>
        <v>0</v>
      </c>
      <c r="K3333" s="31">
        <f t="shared" si="3881"/>
        <v>0</v>
      </c>
      <c r="L3333" s="31">
        <f t="shared" si="3882"/>
        <v>0</v>
      </c>
      <c r="M3333" s="31">
        <f t="shared" si="3883"/>
        <v>0.46274999999999999</v>
      </c>
      <c r="N3333" s="31">
        <f t="shared" si="3884"/>
        <v>0</v>
      </c>
      <c r="O3333" s="31">
        <f t="shared" si="3885"/>
        <v>0</v>
      </c>
      <c r="P3333" s="31">
        <f t="shared" si="3886"/>
        <v>0</v>
      </c>
      <c r="Q3333" s="49">
        <f t="shared" si="3887"/>
        <v>0</v>
      </c>
    </row>
    <row r="3334" spans="4:17" s="62" customFormat="1" x14ac:dyDescent="0.3">
      <c r="D3334" s="235">
        <v>44</v>
      </c>
      <c r="E3334" s="240">
        <v>2</v>
      </c>
      <c r="F3334" s="241">
        <v>10</v>
      </c>
      <c r="G3334" s="242">
        <v>5.56</v>
      </c>
      <c r="H3334" s="239">
        <f t="shared" si="3878"/>
        <v>11.12</v>
      </c>
      <c r="I3334" s="131">
        <f t="shared" si="3879"/>
        <v>0</v>
      </c>
      <c r="J3334" s="31">
        <f t="shared" si="3880"/>
        <v>0</v>
      </c>
      <c r="K3334" s="31">
        <f t="shared" si="3881"/>
        <v>0</v>
      </c>
      <c r="L3334" s="31">
        <f t="shared" si="3882"/>
        <v>0</v>
      </c>
      <c r="M3334" s="31">
        <f t="shared" si="3883"/>
        <v>6.8610399999999991</v>
      </c>
      <c r="N3334" s="31">
        <f t="shared" si="3884"/>
        <v>0</v>
      </c>
      <c r="O3334" s="31">
        <f t="shared" si="3885"/>
        <v>0</v>
      </c>
      <c r="P3334" s="31">
        <f t="shared" si="3886"/>
        <v>0</v>
      </c>
      <c r="Q3334" s="49">
        <f t="shared" si="3887"/>
        <v>0</v>
      </c>
    </row>
    <row r="3335" spans="4:17" s="62" customFormat="1" ht="15" thickBot="1" x14ac:dyDescent="0.35">
      <c r="D3335" s="307"/>
      <c r="E3335" s="26"/>
      <c r="F3335" s="206"/>
      <c r="G3335" s="207"/>
      <c r="H3335" s="207"/>
      <c r="I3335" s="51"/>
      <c r="J3335" s="308"/>
      <c r="K3335" s="308"/>
      <c r="L3335" s="308"/>
      <c r="M3335" s="308"/>
      <c r="N3335" s="308"/>
      <c r="O3335" s="308"/>
      <c r="P3335" s="308"/>
      <c r="Q3335" s="309"/>
    </row>
    <row r="3336" spans="4:17" s="62" customFormat="1" x14ac:dyDescent="0.3">
      <c r="D3336" s="796" t="s">
        <v>1745</v>
      </c>
      <c r="E3336" s="797"/>
      <c r="F3336" s="797"/>
      <c r="G3336" s="797"/>
      <c r="H3336" s="797"/>
      <c r="I3336" s="47">
        <f t="shared" ref="I3336:Q3336" si="3888">SUM(I3337:I3351)</f>
        <v>0</v>
      </c>
      <c r="J3336" s="47">
        <f t="shared" si="3888"/>
        <v>11.351339999999999</v>
      </c>
      <c r="K3336" s="47">
        <f t="shared" si="3888"/>
        <v>0</v>
      </c>
      <c r="L3336" s="47">
        <f t="shared" si="3888"/>
        <v>27.993650000000002</v>
      </c>
      <c r="M3336" s="47">
        <f t="shared" si="3888"/>
        <v>0</v>
      </c>
      <c r="N3336" s="47">
        <f t="shared" si="3888"/>
        <v>38.154060000000001</v>
      </c>
      <c r="O3336" s="47">
        <f t="shared" si="3888"/>
        <v>0</v>
      </c>
      <c r="P3336" s="47">
        <f t="shared" si="3888"/>
        <v>0</v>
      </c>
      <c r="Q3336" s="47">
        <f t="shared" si="3888"/>
        <v>0</v>
      </c>
    </row>
    <row r="3337" spans="4:17" s="62" customFormat="1" x14ac:dyDescent="0.3">
      <c r="D3337" s="235">
        <v>1</v>
      </c>
      <c r="E3337" s="237">
        <v>63</v>
      </c>
      <c r="F3337" s="238">
        <v>5</v>
      </c>
      <c r="G3337" s="239">
        <v>1.17</v>
      </c>
      <c r="H3337" s="239">
        <f t="shared" ref="H3337:H3351" si="3889">E3337*G3337</f>
        <v>73.709999999999994</v>
      </c>
      <c r="I3337" s="131">
        <f t="shared" ref="I3337:I3351" si="3890">IF($F3337=4.2,H3337*$B$23,0)</f>
        <v>0</v>
      </c>
      <c r="J3337" s="31">
        <f t="shared" ref="J3337:J3351" si="3891">IF($F3337=5,$H3337*$B$24,0)</f>
        <v>11.351339999999999</v>
      </c>
      <c r="K3337" s="31">
        <f t="shared" ref="K3337:K3351" si="3892">IF($F3337=6.3,$H3337*$B$25,0)</f>
        <v>0</v>
      </c>
      <c r="L3337" s="31">
        <f t="shared" ref="L3337:L3351" si="3893">IF($F3337=8,$H3337*$B$26,0)</f>
        <v>0</v>
      </c>
      <c r="M3337" s="31">
        <f t="shared" ref="M3337:M3351" si="3894">IF($F3337=10,$H3337*$B$27,0)</f>
        <v>0</v>
      </c>
      <c r="N3337" s="31">
        <f t="shared" ref="N3337:N3351" si="3895">IF($F3337=12.5,$H3337*$B$28,0)</f>
        <v>0</v>
      </c>
      <c r="O3337" s="31">
        <f t="shared" ref="O3337:O3351" si="3896">IF($F3337=16,$H3337*$B$29,0)</f>
        <v>0</v>
      </c>
      <c r="P3337" s="31">
        <f t="shared" ref="P3337:P3351" si="3897">IF($F3337=20,$H3337*$B$30,0)</f>
        <v>0</v>
      </c>
      <c r="Q3337" s="49">
        <f t="shared" ref="Q3337:Q3351" si="3898">IF($F3337=25,$H3337*$B$31,0)</f>
        <v>0</v>
      </c>
    </row>
    <row r="3338" spans="4:17" s="62" customFormat="1" x14ac:dyDescent="0.3">
      <c r="D3338" s="235">
        <v>18</v>
      </c>
      <c r="E3338" s="240">
        <v>4</v>
      </c>
      <c r="F3338" s="241">
        <v>8</v>
      </c>
      <c r="G3338" s="242">
        <v>4.8600000000000003</v>
      </c>
      <c r="H3338" s="239">
        <f t="shared" si="3889"/>
        <v>19.440000000000001</v>
      </c>
      <c r="I3338" s="131">
        <f t="shared" si="3890"/>
        <v>0</v>
      </c>
      <c r="J3338" s="31">
        <f t="shared" si="3891"/>
        <v>0</v>
      </c>
      <c r="K3338" s="31">
        <f t="shared" si="3892"/>
        <v>0</v>
      </c>
      <c r="L3338" s="31">
        <f t="shared" si="3893"/>
        <v>7.6788000000000007</v>
      </c>
      <c r="M3338" s="31">
        <f t="shared" si="3894"/>
        <v>0</v>
      </c>
      <c r="N3338" s="31">
        <f t="shared" si="3895"/>
        <v>0</v>
      </c>
      <c r="O3338" s="31">
        <f t="shared" si="3896"/>
        <v>0</v>
      </c>
      <c r="P3338" s="31">
        <f t="shared" si="3897"/>
        <v>0</v>
      </c>
      <c r="Q3338" s="49">
        <f t="shared" si="3898"/>
        <v>0</v>
      </c>
    </row>
    <row r="3339" spans="4:17" s="62" customFormat="1" x14ac:dyDescent="0.3">
      <c r="D3339" s="235">
        <v>19</v>
      </c>
      <c r="E3339" s="240">
        <v>2</v>
      </c>
      <c r="F3339" s="241">
        <v>8</v>
      </c>
      <c r="G3339" s="242">
        <v>2.2799999999999998</v>
      </c>
      <c r="H3339" s="239">
        <f t="shared" si="3889"/>
        <v>4.5599999999999996</v>
      </c>
      <c r="I3339" s="131">
        <f t="shared" si="3890"/>
        <v>0</v>
      </c>
      <c r="J3339" s="31">
        <f t="shared" si="3891"/>
        <v>0</v>
      </c>
      <c r="K3339" s="31">
        <f t="shared" si="3892"/>
        <v>0</v>
      </c>
      <c r="L3339" s="31">
        <f t="shared" si="3893"/>
        <v>1.8011999999999999</v>
      </c>
      <c r="M3339" s="31">
        <f t="shared" si="3894"/>
        <v>0</v>
      </c>
      <c r="N3339" s="31">
        <f t="shared" si="3895"/>
        <v>0</v>
      </c>
      <c r="O3339" s="31">
        <f t="shared" si="3896"/>
        <v>0</v>
      </c>
      <c r="P3339" s="31">
        <f t="shared" si="3897"/>
        <v>0</v>
      </c>
      <c r="Q3339" s="49">
        <f t="shared" si="3898"/>
        <v>0</v>
      </c>
    </row>
    <row r="3340" spans="4:17" s="62" customFormat="1" x14ac:dyDescent="0.3">
      <c r="D3340" s="235">
        <v>20</v>
      </c>
      <c r="E3340" s="240">
        <v>1</v>
      </c>
      <c r="F3340" s="241">
        <v>8</v>
      </c>
      <c r="G3340" s="242">
        <v>2.29</v>
      </c>
      <c r="H3340" s="239">
        <f t="shared" si="3889"/>
        <v>2.29</v>
      </c>
      <c r="I3340" s="131">
        <f t="shared" si="3890"/>
        <v>0</v>
      </c>
      <c r="J3340" s="31">
        <f t="shared" si="3891"/>
        <v>0</v>
      </c>
      <c r="K3340" s="31">
        <f t="shared" si="3892"/>
        <v>0</v>
      </c>
      <c r="L3340" s="31">
        <f t="shared" si="3893"/>
        <v>0.90455000000000008</v>
      </c>
      <c r="M3340" s="31">
        <f t="shared" si="3894"/>
        <v>0</v>
      </c>
      <c r="N3340" s="31">
        <f t="shared" si="3895"/>
        <v>0</v>
      </c>
      <c r="O3340" s="31">
        <f t="shared" si="3896"/>
        <v>0</v>
      </c>
      <c r="P3340" s="31">
        <f t="shared" si="3897"/>
        <v>0</v>
      </c>
      <c r="Q3340" s="49">
        <f t="shared" si="3898"/>
        <v>0</v>
      </c>
    </row>
    <row r="3341" spans="4:17" s="62" customFormat="1" x14ac:dyDescent="0.3">
      <c r="D3341" s="235">
        <v>21</v>
      </c>
      <c r="E3341" s="240">
        <v>2</v>
      </c>
      <c r="F3341" s="241">
        <v>8</v>
      </c>
      <c r="G3341" s="242">
        <v>1.06</v>
      </c>
      <c r="H3341" s="239">
        <f t="shared" si="3889"/>
        <v>2.12</v>
      </c>
      <c r="I3341" s="131">
        <f t="shared" si="3890"/>
        <v>0</v>
      </c>
      <c r="J3341" s="31">
        <f t="shared" si="3891"/>
        <v>0</v>
      </c>
      <c r="K3341" s="31">
        <f t="shared" si="3892"/>
        <v>0</v>
      </c>
      <c r="L3341" s="31">
        <f t="shared" si="3893"/>
        <v>0.83740000000000003</v>
      </c>
      <c r="M3341" s="31">
        <f t="shared" si="3894"/>
        <v>0</v>
      </c>
      <c r="N3341" s="31">
        <f t="shared" si="3895"/>
        <v>0</v>
      </c>
      <c r="O3341" s="31">
        <f t="shared" si="3896"/>
        <v>0</v>
      </c>
      <c r="P3341" s="31">
        <f t="shared" si="3897"/>
        <v>0</v>
      </c>
      <c r="Q3341" s="49">
        <f t="shared" si="3898"/>
        <v>0</v>
      </c>
    </row>
    <row r="3342" spans="4:17" s="62" customFormat="1" x14ac:dyDescent="0.3">
      <c r="D3342" s="235">
        <v>22</v>
      </c>
      <c r="E3342" s="240">
        <v>2</v>
      </c>
      <c r="F3342" s="241">
        <v>8</v>
      </c>
      <c r="G3342" s="242">
        <v>2.56</v>
      </c>
      <c r="H3342" s="239">
        <f t="shared" si="3889"/>
        <v>5.12</v>
      </c>
      <c r="I3342" s="131">
        <f t="shared" si="3890"/>
        <v>0</v>
      </c>
      <c r="J3342" s="31">
        <f t="shared" si="3891"/>
        <v>0</v>
      </c>
      <c r="K3342" s="31">
        <f t="shared" si="3892"/>
        <v>0</v>
      </c>
      <c r="L3342" s="31">
        <f t="shared" si="3893"/>
        <v>2.0224000000000002</v>
      </c>
      <c r="M3342" s="31">
        <f t="shared" si="3894"/>
        <v>0</v>
      </c>
      <c r="N3342" s="31">
        <f t="shared" si="3895"/>
        <v>0</v>
      </c>
      <c r="O3342" s="31">
        <f t="shared" si="3896"/>
        <v>0</v>
      </c>
      <c r="P3342" s="31">
        <f t="shared" si="3897"/>
        <v>0</v>
      </c>
      <c r="Q3342" s="49">
        <f t="shared" si="3898"/>
        <v>0</v>
      </c>
    </row>
    <row r="3343" spans="4:17" s="62" customFormat="1" x14ac:dyDescent="0.3">
      <c r="D3343" s="235">
        <v>23</v>
      </c>
      <c r="E3343" s="240">
        <v>1</v>
      </c>
      <c r="F3343" s="241">
        <v>8</v>
      </c>
      <c r="G3343" s="242">
        <v>5.12</v>
      </c>
      <c r="H3343" s="239">
        <f t="shared" ref="H3343:H3346" si="3899">E3343*G3343</f>
        <v>5.12</v>
      </c>
      <c r="I3343" s="131">
        <f t="shared" ref="I3343:I3346" si="3900">IF($F3343=4.2,H3343*$B$23,0)</f>
        <v>0</v>
      </c>
      <c r="J3343" s="31">
        <f t="shared" si="3891"/>
        <v>0</v>
      </c>
      <c r="K3343" s="31">
        <f t="shared" si="3892"/>
        <v>0</v>
      </c>
      <c r="L3343" s="31">
        <f t="shared" si="3893"/>
        <v>2.0224000000000002</v>
      </c>
      <c r="M3343" s="31">
        <f t="shared" si="3894"/>
        <v>0</v>
      </c>
      <c r="N3343" s="31">
        <f t="shared" si="3895"/>
        <v>0</v>
      </c>
      <c r="O3343" s="31">
        <f t="shared" si="3896"/>
        <v>0</v>
      </c>
      <c r="P3343" s="31">
        <f t="shared" si="3897"/>
        <v>0</v>
      </c>
      <c r="Q3343" s="49">
        <f t="shared" si="3898"/>
        <v>0</v>
      </c>
    </row>
    <row r="3344" spans="4:17" s="62" customFormat="1" x14ac:dyDescent="0.3">
      <c r="D3344" s="235">
        <v>24</v>
      </c>
      <c r="E3344" s="240">
        <v>3</v>
      </c>
      <c r="F3344" s="241">
        <v>8</v>
      </c>
      <c r="G3344" s="242">
        <v>10.74</v>
      </c>
      <c r="H3344" s="239">
        <f t="shared" si="3899"/>
        <v>32.22</v>
      </c>
      <c r="I3344" s="131">
        <f t="shared" si="3900"/>
        <v>0</v>
      </c>
      <c r="J3344" s="31">
        <f t="shared" si="3891"/>
        <v>0</v>
      </c>
      <c r="K3344" s="31">
        <f t="shared" si="3892"/>
        <v>0</v>
      </c>
      <c r="L3344" s="31">
        <f t="shared" si="3893"/>
        <v>12.726900000000001</v>
      </c>
      <c r="M3344" s="31">
        <f t="shared" si="3894"/>
        <v>0</v>
      </c>
      <c r="N3344" s="31">
        <f t="shared" si="3895"/>
        <v>0</v>
      </c>
      <c r="O3344" s="31">
        <f t="shared" si="3896"/>
        <v>0</v>
      </c>
      <c r="P3344" s="31">
        <f t="shared" si="3897"/>
        <v>0</v>
      </c>
      <c r="Q3344" s="49">
        <f t="shared" si="3898"/>
        <v>0</v>
      </c>
    </row>
    <row r="3345" spans="4:17" s="62" customFormat="1" x14ac:dyDescent="0.3">
      <c r="D3345" s="235">
        <v>63</v>
      </c>
      <c r="E3345" s="240">
        <v>1</v>
      </c>
      <c r="F3345" s="241">
        <v>12.5</v>
      </c>
      <c r="G3345" s="242">
        <v>2.23</v>
      </c>
      <c r="H3345" s="239">
        <f t="shared" si="3899"/>
        <v>2.23</v>
      </c>
      <c r="I3345" s="131">
        <f t="shared" si="3900"/>
        <v>0</v>
      </c>
      <c r="J3345" s="31">
        <f t="shared" si="3891"/>
        <v>0</v>
      </c>
      <c r="K3345" s="31">
        <f t="shared" si="3892"/>
        <v>0</v>
      </c>
      <c r="L3345" s="31">
        <f t="shared" si="3893"/>
        <v>0</v>
      </c>
      <c r="M3345" s="31">
        <f t="shared" si="3894"/>
        <v>0</v>
      </c>
      <c r="N3345" s="31">
        <f t="shared" si="3895"/>
        <v>2.1474899999999999</v>
      </c>
      <c r="O3345" s="31">
        <f t="shared" si="3896"/>
        <v>0</v>
      </c>
      <c r="P3345" s="31">
        <f t="shared" si="3897"/>
        <v>0</v>
      </c>
      <c r="Q3345" s="49">
        <f t="shared" si="3898"/>
        <v>0</v>
      </c>
    </row>
    <row r="3346" spans="4:17" s="62" customFormat="1" x14ac:dyDescent="0.3">
      <c r="D3346" s="235">
        <v>64</v>
      </c>
      <c r="E3346" s="240">
        <v>1</v>
      </c>
      <c r="F3346" s="241">
        <v>12.5</v>
      </c>
      <c r="G3346" s="242">
        <v>1.47</v>
      </c>
      <c r="H3346" s="239">
        <f t="shared" si="3899"/>
        <v>1.47</v>
      </c>
      <c r="I3346" s="131">
        <f t="shared" si="3900"/>
        <v>0</v>
      </c>
      <c r="J3346" s="31">
        <f t="shared" si="3891"/>
        <v>0</v>
      </c>
      <c r="K3346" s="31">
        <f t="shared" si="3892"/>
        <v>0</v>
      </c>
      <c r="L3346" s="31">
        <f t="shared" si="3893"/>
        <v>0</v>
      </c>
      <c r="M3346" s="31">
        <f t="shared" si="3894"/>
        <v>0</v>
      </c>
      <c r="N3346" s="31">
        <f t="shared" si="3895"/>
        <v>1.41561</v>
      </c>
      <c r="O3346" s="31">
        <f t="shared" si="3896"/>
        <v>0</v>
      </c>
      <c r="P3346" s="31">
        <f t="shared" si="3897"/>
        <v>0</v>
      </c>
      <c r="Q3346" s="49">
        <f t="shared" si="3898"/>
        <v>0</v>
      </c>
    </row>
    <row r="3347" spans="4:17" s="62" customFormat="1" x14ac:dyDescent="0.3">
      <c r="D3347" s="235">
        <v>65</v>
      </c>
      <c r="E3347" s="240">
        <v>1</v>
      </c>
      <c r="F3347" s="241">
        <v>12.5</v>
      </c>
      <c r="G3347" s="242">
        <v>4.2</v>
      </c>
      <c r="H3347" s="239">
        <f t="shared" si="3889"/>
        <v>4.2</v>
      </c>
      <c r="I3347" s="131">
        <f t="shared" si="3890"/>
        <v>0</v>
      </c>
      <c r="J3347" s="31">
        <f t="shared" si="3891"/>
        <v>0</v>
      </c>
      <c r="K3347" s="31">
        <f t="shared" si="3892"/>
        <v>0</v>
      </c>
      <c r="L3347" s="31">
        <f t="shared" si="3893"/>
        <v>0</v>
      </c>
      <c r="M3347" s="31">
        <f t="shared" si="3894"/>
        <v>0</v>
      </c>
      <c r="N3347" s="31">
        <f t="shared" si="3895"/>
        <v>4.0446</v>
      </c>
      <c r="O3347" s="31">
        <f t="shared" si="3896"/>
        <v>0</v>
      </c>
      <c r="P3347" s="31">
        <f t="shared" si="3897"/>
        <v>0</v>
      </c>
      <c r="Q3347" s="49">
        <f t="shared" si="3898"/>
        <v>0</v>
      </c>
    </row>
    <row r="3348" spans="4:17" s="62" customFormat="1" x14ac:dyDescent="0.3">
      <c r="D3348" s="235">
        <v>66</v>
      </c>
      <c r="E3348" s="240">
        <v>1</v>
      </c>
      <c r="F3348" s="241">
        <v>12.5</v>
      </c>
      <c r="G3348" s="242">
        <v>2.4700000000000002</v>
      </c>
      <c r="H3348" s="239">
        <f t="shared" si="3889"/>
        <v>2.4700000000000002</v>
      </c>
      <c r="I3348" s="131">
        <f t="shared" si="3890"/>
        <v>0</v>
      </c>
      <c r="J3348" s="31">
        <f t="shared" si="3891"/>
        <v>0</v>
      </c>
      <c r="K3348" s="31">
        <f t="shared" si="3892"/>
        <v>0</v>
      </c>
      <c r="L3348" s="31">
        <f t="shared" si="3893"/>
        <v>0</v>
      </c>
      <c r="M3348" s="31">
        <f t="shared" si="3894"/>
        <v>0</v>
      </c>
      <c r="N3348" s="31">
        <f t="shared" si="3895"/>
        <v>2.3786100000000001</v>
      </c>
      <c r="O3348" s="31">
        <f t="shared" si="3896"/>
        <v>0</v>
      </c>
      <c r="P3348" s="31">
        <f t="shared" si="3897"/>
        <v>0</v>
      </c>
      <c r="Q3348" s="49">
        <f t="shared" si="3898"/>
        <v>0</v>
      </c>
    </row>
    <row r="3349" spans="4:17" s="62" customFormat="1" x14ac:dyDescent="0.3">
      <c r="D3349" s="235">
        <v>67</v>
      </c>
      <c r="E3349" s="240">
        <v>1</v>
      </c>
      <c r="F3349" s="241">
        <v>12.5</v>
      </c>
      <c r="G3349" s="242">
        <v>1.95</v>
      </c>
      <c r="H3349" s="239">
        <f t="shared" si="3889"/>
        <v>1.95</v>
      </c>
      <c r="I3349" s="131">
        <f t="shared" si="3890"/>
        <v>0</v>
      </c>
      <c r="J3349" s="31">
        <f t="shared" si="3891"/>
        <v>0</v>
      </c>
      <c r="K3349" s="31">
        <f t="shared" si="3892"/>
        <v>0</v>
      </c>
      <c r="L3349" s="31">
        <f t="shared" si="3893"/>
        <v>0</v>
      </c>
      <c r="M3349" s="31">
        <f t="shared" si="3894"/>
        <v>0</v>
      </c>
      <c r="N3349" s="31">
        <f t="shared" si="3895"/>
        <v>1.8778499999999998</v>
      </c>
      <c r="O3349" s="31">
        <f t="shared" si="3896"/>
        <v>0</v>
      </c>
      <c r="P3349" s="31">
        <f t="shared" si="3897"/>
        <v>0</v>
      </c>
      <c r="Q3349" s="49">
        <f t="shared" si="3898"/>
        <v>0</v>
      </c>
    </row>
    <row r="3350" spans="4:17" s="62" customFormat="1" x14ac:dyDescent="0.3">
      <c r="D3350" s="235">
        <v>68</v>
      </c>
      <c r="E3350" s="240">
        <v>1</v>
      </c>
      <c r="F3350" s="241">
        <v>12.5</v>
      </c>
      <c r="G3350" s="242">
        <v>5.82</v>
      </c>
      <c r="H3350" s="239">
        <f t="shared" si="3889"/>
        <v>5.82</v>
      </c>
      <c r="I3350" s="131">
        <f t="shared" si="3890"/>
        <v>0</v>
      </c>
      <c r="J3350" s="31">
        <f t="shared" si="3891"/>
        <v>0</v>
      </c>
      <c r="K3350" s="31">
        <f t="shared" si="3892"/>
        <v>0</v>
      </c>
      <c r="L3350" s="31">
        <f t="shared" si="3893"/>
        <v>0</v>
      </c>
      <c r="M3350" s="31">
        <f t="shared" si="3894"/>
        <v>0</v>
      </c>
      <c r="N3350" s="31">
        <f t="shared" si="3895"/>
        <v>5.60466</v>
      </c>
      <c r="O3350" s="31">
        <f t="shared" si="3896"/>
        <v>0</v>
      </c>
      <c r="P3350" s="31">
        <f t="shared" si="3897"/>
        <v>0</v>
      </c>
      <c r="Q3350" s="49">
        <f t="shared" si="3898"/>
        <v>0</v>
      </c>
    </row>
    <row r="3351" spans="4:17" s="62" customFormat="1" x14ac:dyDescent="0.3">
      <c r="D3351" s="235">
        <v>69</v>
      </c>
      <c r="E3351" s="240">
        <v>2</v>
      </c>
      <c r="F3351" s="241">
        <v>12.5</v>
      </c>
      <c r="G3351" s="242">
        <v>10.74</v>
      </c>
      <c r="H3351" s="239">
        <f t="shared" si="3889"/>
        <v>21.48</v>
      </c>
      <c r="I3351" s="131">
        <f t="shared" si="3890"/>
        <v>0</v>
      </c>
      <c r="J3351" s="31">
        <f t="shared" si="3891"/>
        <v>0</v>
      </c>
      <c r="K3351" s="31">
        <f t="shared" si="3892"/>
        <v>0</v>
      </c>
      <c r="L3351" s="31">
        <f t="shared" si="3893"/>
        <v>0</v>
      </c>
      <c r="M3351" s="31">
        <f t="shared" si="3894"/>
        <v>0</v>
      </c>
      <c r="N3351" s="31">
        <f t="shared" si="3895"/>
        <v>20.68524</v>
      </c>
      <c r="O3351" s="31">
        <f t="shared" si="3896"/>
        <v>0</v>
      </c>
      <c r="P3351" s="31">
        <f t="shared" si="3897"/>
        <v>0</v>
      </c>
      <c r="Q3351" s="49">
        <f t="shared" si="3898"/>
        <v>0</v>
      </c>
    </row>
    <row r="3352" spans="4:17" s="62" customFormat="1" ht="15" thickBot="1" x14ac:dyDescent="0.35">
      <c r="D3352" s="307"/>
      <c r="E3352" s="26"/>
      <c r="F3352" s="206"/>
      <c r="G3352" s="207"/>
      <c r="H3352" s="207"/>
      <c r="I3352" s="51"/>
      <c r="J3352" s="308"/>
      <c r="K3352" s="308"/>
      <c r="L3352" s="308"/>
      <c r="M3352" s="308"/>
      <c r="N3352" s="308"/>
      <c r="O3352" s="308"/>
      <c r="P3352" s="308"/>
      <c r="Q3352" s="309"/>
    </row>
    <row r="3353" spans="4:17" s="62" customFormat="1" x14ac:dyDescent="0.3">
      <c r="D3353" s="796" t="s">
        <v>1746</v>
      </c>
      <c r="E3353" s="797"/>
      <c r="F3353" s="797"/>
      <c r="G3353" s="797"/>
      <c r="H3353" s="797"/>
      <c r="I3353" s="47">
        <f t="shared" ref="I3353:Q3353" si="3901">SUM(I3354:I3357)</f>
        <v>0</v>
      </c>
      <c r="J3353" s="47">
        <f t="shared" si="3901"/>
        <v>5.0450399999999993</v>
      </c>
      <c r="K3353" s="47">
        <f t="shared" si="3901"/>
        <v>0.69579999999999997</v>
      </c>
      <c r="L3353" s="47">
        <f t="shared" si="3901"/>
        <v>10.759800000000002</v>
      </c>
      <c r="M3353" s="47">
        <f t="shared" si="3901"/>
        <v>10.809839999999999</v>
      </c>
      <c r="N3353" s="47">
        <f t="shared" si="3901"/>
        <v>0</v>
      </c>
      <c r="O3353" s="47">
        <f t="shared" si="3901"/>
        <v>0</v>
      </c>
      <c r="P3353" s="47">
        <f t="shared" si="3901"/>
        <v>0</v>
      </c>
      <c r="Q3353" s="47">
        <f t="shared" si="3901"/>
        <v>0</v>
      </c>
    </row>
    <row r="3354" spans="4:17" s="62" customFormat="1" x14ac:dyDescent="0.3">
      <c r="D3354" s="235">
        <v>1</v>
      </c>
      <c r="E3354" s="237">
        <f>4*7</f>
        <v>28</v>
      </c>
      <c r="F3354" s="238">
        <v>5</v>
      </c>
      <c r="G3354" s="239">
        <v>1.17</v>
      </c>
      <c r="H3354" s="239">
        <f t="shared" ref="H3354:H3357" si="3902">E3354*G3354</f>
        <v>32.76</v>
      </c>
      <c r="I3354" s="131">
        <f t="shared" ref="I3354:I3357" si="3903">IF($F3354=4.2,H3354*$B$23,0)</f>
        <v>0</v>
      </c>
      <c r="J3354" s="31">
        <f t="shared" ref="J3354:J3357" si="3904">IF($F3354=5,$H3354*$B$24,0)</f>
        <v>5.0450399999999993</v>
      </c>
      <c r="K3354" s="31">
        <f t="shared" ref="K3354:K3357" si="3905">IF($F3354=6.3,$H3354*$B$25,0)</f>
        <v>0</v>
      </c>
      <c r="L3354" s="31">
        <f t="shared" ref="L3354:L3357" si="3906">IF($F3354=8,$H3354*$B$26,0)</f>
        <v>0</v>
      </c>
      <c r="M3354" s="31">
        <f t="shared" ref="M3354:M3357" si="3907">IF($F3354=10,$H3354*$B$27,0)</f>
        <v>0</v>
      </c>
      <c r="N3354" s="31">
        <f t="shared" ref="N3354:N3357" si="3908">IF($F3354=12.5,$H3354*$B$28,0)</f>
        <v>0</v>
      </c>
      <c r="O3354" s="31">
        <f t="shared" ref="O3354:O3357" si="3909">IF($F3354=16,$H3354*$B$29,0)</f>
        <v>0</v>
      </c>
      <c r="P3354" s="31">
        <f t="shared" ref="P3354:P3357" si="3910">IF($F3354=20,$H3354*$B$30,0)</f>
        <v>0</v>
      </c>
      <c r="Q3354" s="49">
        <f t="shared" ref="Q3354:Q3357" si="3911">IF($F3354=25,$H3354*$B$31,0)</f>
        <v>0</v>
      </c>
    </row>
    <row r="3355" spans="4:17" s="62" customFormat="1" x14ac:dyDescent="0.3">
      <c r="D3355" s="235">
        <v>5</v>
      </c>
      <c r="E3355" s="240">
        <f>4*1</f>
        <v>4</v>
      </c>
      <c r="F3355" s="241">
        <v>6.3</v>
      </c>
      <c r="G3355" s="242">
        <v>0.71</v>
      </c>
      <c r="H3355" s="239">
        <f t="shared" si="3902"/>
        <v>2.84</v>
      </c>
      <c r="I3355" s="131">
        <f t="shared" si="3903"/>
        <v>0</v>
      </c>
      <c r="J3355" s="31">
        <f t="shared" si="3904"/>
        <v>0</v>
      </c>
      <c r="K3355" s="31">
        <f t="shared" si="3905"/>
        <v>0.69579999999999997</v>
      </c>
      <c r="L3355" s="31">
        <f t="shared" si="3906"/>
        <v>0</v>
      </c>
      <c r="M3355" s="31">
        <f t="shared" si="3907"/>
        <v>0</v>
      </c>
      <c r="N3355" s="31">
        <f t="shared" si="3908"/>
        <v>0</v>
      </c>
      <c r="O3355" s="31">
        <f t="shared" si="3909"/>
        <v>0</v>
      </c>
      <c r="P3355" s="31">
        <f t="shared" si="3910"/>
        <v>0</v>
      </c>
      <c r="Q3355" s="49">
        <f t="shared" si="3911"/>
        <v>0</v>
      </c>
    </row>
    <row r="3356" spans="4:17" s="62" customFormat="1" x14ac:dyDescent="0.3">
      <c r="D3356" s="235">
        <v>25</v>
      </c>
      <c r="E3356" s="240">
        <f>4*3</f>
        <v>12</v>
      </c>
      <c r="F3356" s="241">
        <v>8</v>
      </c>
      <c r="G3356" s="242">
        <v>2.27</v>
      </c>
      <c r="H3356" s="239">
        <f t="shared" si="3902"/>
        <v>27.240000000000002</v>
      </c>
      <c r="I3356" s="131">
        <f t="shared" si="3903"/>
        <v>0</v>
      </c>
      <c r="J3356" s="31">
        <f t="shared" si="3904"/>
        <v>0</v>
      </c>
      <c r="K3356" s="31">
        <f t="shared" si="3905"/>
        <v>0</v>
      </c>
      <c r="L3356" s="31">
        <f t="shared" si="3906"/>
        <v>10.759800000000002</v>
      </c>
      <c r="M3356" s="31">
        <f t="shared" si="3907"/>
        <v>0</v>
      </c>
      <c r="N3356" s="31">
        <f t="shared" si="3908"/>
        <v>0</v>
      </c>
      <c r="O3356" s="31">
        <f t="shared" si="3909"/>
        <v>0</v>
      </c>
      <c r="P3356" s="31">
        <f t="shared" si="3910"/>
        <v>0</v>
      </c>
      <c r="Q3356" s="49">
        <f t="shared" si="3911"/>
        <v>0</v>
      </c>
    </row>
    <row r="3357" spans="4:17" s="62" customFormat="1" x14ac:dyDescent="0.3">
      <c r="D3357" s="235">
        <v>45</v>
      </c>
      <c r="E3357" s="240">
        <f>4*2</f>
        <v>8</v>
      </c>
      <c r="F3357" s="241">
        <v>10</v>
      </c>
      <c r="G3357" s="242">
        <v>2.19</v>
      </c>
      <c r="H3357" s="239">
        <f t="shared" si="3902"/>
        <v>17.52</v>
      </c>
      <c r="I3357" s="131">
        <f t="shared" si="3903"/>
        <v>0</v>
      </c>
      <c r="J3357" s="31">
        <f t="shared" si="3904"/>
        <v>0</v>
      </c>
      <c r="K3357" s="31">
        <f t="shared" si="3905"/>
        <v>0</v>
      </c>
      <c r="L3357" s="31">
        <f t="shared" si="3906"/>
        <v>0</v>
      </c>
      <c r="M3357" s="31">
        <f t="shared" si="3907"/>
        <v>10.809839999999999</v>
      </c>
      <c r="N3357" s="31">
        <f t="shared" si="3908"/>
        <v>0</v>
      </c>
      <c r="O3357" s="31">
        <f t="shared" si="3909"/>
        <v>0</v>
      </c>
      <c r="P3357" s="31">
        <f t="shared" si="3910"/>
        <v>0</v>
      </c>
      <c r="Q3357" s="49">
        <f t="shared" si="3911"/>
        <v>0</v>
      </c>
    </row>
    <row r="3358" spans="4:17" s="62" customFormat="1" ht="15" thickBot="1" x14ac:dyDescent="0.35">
      <c r="D3358" s="307"/>
      <c r="E3358" s="26"/>
      <c r="F3358" s="206"/>
      <c r="G3358" s="207"/>
      <c r="H3358" s="207"/>
      <c r="I3358" s="51"/>
      <c r="J3358" s="308"/>
      <c r="K3358" s="308"/>
      <c r="L3358" s="308"/>
      <c r="M3358" s="308"/>
      <c r="N3358" s="308"/>
      <c r="O3358" s="308"/>
      <c r="P3358" s="308"/>
      <c r="Q3358" s="309"/>
    </row>
    <row r="3359" spans="4:17" s="62" customFormat="1" x14ac:dyDescent="0.3">
      <c r="D3359" s="796" t="s">
        <v>1747</v>
      </c>
      <c r="E3359" s="797"/>
      <c r="F3359" s="797"/>
      <c r="G3359" s="797"/>
      <c r="H3359" s="797"/>
      <c r="I3359" s="47">
        <f t="shared" ref="I3359:Q3359" si="3912">SUM(I3360:I3363)</f>
        <v>0</v>
      </c>
      <c r="J3359" s="47">
        <f t="shared" si="3912"/>
        <v>0.54053999999999991</v>
      </c>
      <c r="K3359" s="47">
        <f t="shared" si="3912"/>
        <v>0</v>
      </c>
      <c r="L3359" s="47">
        <f t="shared" si="3912"/>
        <v>1.8407</v>
      </c>
      <c r="M3359" s="47">
        <f t="shared" si="3912"/>
        <v>0.97486000000000006</v>
      </c>
      <c r="N3359" s="47">
        <f t="shared" si="3912"/>
        <v>0</v>
      </c>
      <c r="O3359" s="47">
        <f t="shared" si="3912"/>
        <v>0</v>
      </c>
      <c r="P3359" s="47">
        <f t="shared" si="3912"/>
        <v>0</v>
      </c>
      <c r="Q3359" s="47">
        <f t="shared" si="3912"/>
        <v>0</v>
      </c>
    </row>
    <row r="3360" spans="4:17" s="62" customFormat="1" x14ac:dyDescent="0.3">
      <c r="D3360" s="235">
        <v>1</v>
      </c>
      <c r="E3360" s="237">
        <v>3</v>
      </c>
      <c r="F3360" s="238">
        <v>5</v>
      </c>
      <c r="G3360" s="239">
        <v>1.17</v>
      </c>
      <c r="H3360" s="239">
        <f t="shared" ref="H3360:H3363" si="3913">E3360*G3360</f>
        <v>3.51</v>
      </c>
      <c r="I3360" s="131">
        <f t="shared" ref="I3360:I3363" si="3914">IF($F3360=4.2,H3360*$B$23,0)</f>
        <v>0</v>
      </c>
      <c r="J3360" s="31">
        <f t="shared" ref="J3360:J3363" si="3915">IF($F3360=5,$H3360*$B$24,0)</f>
        <v>0.54053999999999991</v>
      </c>
      <c r="K3360" s="31">
        <f t="shared" ref="K3360:K3363" si="3916">IF($F3360=6.3,$H3360*$B$25,0)</f>
        <v>0</v>
      </c>
      <c r="L3360" s="31">
        <f t="shared" ref="L3360:L3363" si="3917">IF($F3360=8,$H3360*$B$26,0)</f>
        <v>0</v>
      </c>
      <c r="M3360" s="31">
        <f t="shared" ref="M3360:M3363" si="3918">IF($F3360=10,$H3360*$B$27,0)</f>
        <v>0</v>
      </c>
      <c r="N3360" s="31">
        <f t="shared" ref="N3360:N3363" si="3919">IF($F3360=12.5,$H3360*$B$28,0)</f>
        <v>0</v>
      </c>
      <c r="O3360" s="31">
        <f t="shared" ref="O3360:O3363" si="3920">IF($F3360=16,$H3360*$B$29,0)</f>
        <v>0</v>
      </c>
      <c r="P3360" s="31">
        <f t="shared" ref="P3360:P3363" si="3921">IF($F3360=20,$H3360*$B$30,0)</f>
        <v>0</v>
      </c>
      <c r="Q3360" s="49">
        <f t="shared" ref="Q3360:Q3363" si="3922">IF($F3360=25,$H3360*$B$31,0)</f>
        <v>0</v>
      </c>
    </row>
    <row r="3361" spans="4:17" s="62" customFormat="1" x14ac:dyDescent="0.3">
      <c r="D3361" s="235">
        <v>26</v>
      </c>
      <c r="E3361" s="240">
        <v>4</v>
      </c>
      <c r="F3361" s="241">
        <v>8</v>
      </c>
      <c r="G3361" s="242">
        <v>0.82</v>
      </c>
      <c r="H3361" s="239">
        <f t="shared" si="3913"/>
        <v>3.28</v>
      </c>
      <c r="I3361" s="131">
        <f t="shared" si="3914"/>
        <v>0</v>
      </c>
      <c r="J3361" s="31">
        <f t="shared" si="3915"/>
        <v>0</v>
      </c>
      <c r="K3361" s="31">
        <f t="shared" si="3916"/>
        <v>0</v>
      </c>
      <c r="L3361" s="31">
        <f t="shared" si="3917"/>
        <v>1.2956000000000001</v>
      </c>
      <c r="M3361" s="31">
        <f t="shared" si="3918"/>
        <v>0</v>
      </c>
      <c r="N3361" s="31">
        <f t="shared" si="3919"/>
        <v>0</v>
      </c>
      <c r="O3361" s="31">
        <f t="shared" si="3920"/>
        <v>0</v>
      </c>
      <c r="P3361" s="31">
        <f t="shared" si="3921"/>
        <v>0</v>
      </c>
      <c r="Q3361" s="49">
        <f t="shared" si="3922"/>
        <v>0</v>
      </c>
    </row>
    <row r="3362" spans="4:17" s="62" customFormat="1" x14ac:dyDescent="0.3">
      <c r="D3362" s="235">
        <v>27</v>
      </c>
      <c r="E3362" s="240">
        <v>2</v>
      </c>
      <c r="F3362" s="241">
        <v>8</v>
      </c>
      <c r="G3362" s="242">
        <v>0.69</v>
      </c>
      <c r="H3362" s="239">
        <f t="shared" si="3913"/>
        <v>1.38</v>
      </c>
      <c r="I3362" s="131">
        <f t="shared" si="3914"/>
        <v>0</v>
      </c>
      <c r="J3362" s="31">
        <f t="shared" si="3915"/>
        <v>0</v>
      </c>
      <c r="K3362" s="31">
        <f t="shared" si="3916"/>
        <v>0</v>
      </c>
      <c r="L3362" s="31">
        <f t="shared" si="3917"/>
        <v>0.54510000000000003</v>
      </c>
      <c r="M3362" s="31">
        <f t="shared" si="3918"/>
        <v>0</v>
      </c>
      <c r="N3362" s="31">
        <f t="shared" si="3919"/>
        <v>0</v>
      </c>
      <c r="O3362" s="31">
        <f t="shared" si="3920"/>
        <v>0</v>
      </c>
      <c r="P3362" s="31">
        <f t="shared" si="3921"/>
        <v>0</v>
      </c>
      <c r="Q3362" s="49">
        <f t="shared" si="3922"/>
        <v>0</v>
      </c>
    </row>
    <row r="3363" spans="4:17" s="62" customFormat="1" x14ac:dyDescent="0.3">
      <c r="D3363" s="235">
        <v>46</v>
      </c>
      <c r="E3363" s="240">
        <v>2</v>
      </c>
      <c r="F3363" s="241">
        <v>10</v>
      </c>
      <c r="G3363" s="242">
        <v>0.79</v>
      </c>
      <c r="H3363" s="239">
        <f t="shared" si="3913"/>
        <v>1.58</v>
      </c>
      <c r="I3363" s="131">
        <f t="shared" si="3914"/>
        <v>0</v>
      </c>
      <c r="J3363" s="31">
        <f t="shared" si="3915"/>
        <v>0</v>
      </c>
      <c r="K3363" s="31">
        <f t="shared" si="3916"/>
        <v>0</v>
      </c>
      <c r="L3363" s="31">
        <f t="shared" si="3917"/>
        <v>0</v>
      </c>
      <c r="M3363" s="31">
        <f t="shared" si="3918"/>
        <v>0.97486000000000006</v>
      </c>
      <c r="N3363" s="31">
        <f t="shared" si="3919"/>
        <v>0</v>
      </c>
      <c r="O3363" s="31">
        <f t="shared" si="3920"/>
        <v>0</v>
      </c>
      <c r="P3363" s="31">
        <f t="shared" si="3921"/>
        <v>0</v>
      </c>
      <c r="Q3363" s="49">
        <f t="shared" si="3922"/>
        <v>0</v>
      </c>
    </row>
    <row r="3364" spans="4:17" s="62" customFormat="1" ht="15" thickBot="1" x14ac:dyDescent="0.35">
      <c r="D3364" s="307"/>
      <c r="E3364" s="26"/>
      <c r="F3364" s="206"/>
      <c r="G3364" s="207"/>
      <c r="H3364" s="207"/>
      <c r="I3364" s="51"/>
      <c r="J3364" s="308"/>
      <c r="K3364" s="308"/>
      <c r="L3364" s="308"/>
      <c r="M3364" s="308"/>
      <c r="N3364" s="308"/>
      <c r="O3364" s="308"/>
      <c r="P3364" s="308"/>
      <c r="Q3364" s="309"/>
    </row>
    <row r="3365" spans="4:17" s="62" customFormat="1" x14ac:dyDescent="0.3">
      <c r="D3365" s="796" t="s">
        <v>1748</v>
      </c>
      <c r="E3365" s="797"/>
      <c r="F3365" s="797"/>
      <c r="G3365" s="797"/>
      <c r="H3365" s="797"/>
      <c r="I3365" s="47">
        <f t="shared" ref="I3365:Q3365" si="3923">SUM(I3366:I3370)</f>
        <v>0</v>
      </c>
      <c r="J3365" s="47">
        <f t="shared" si="3923"/>
        <v>3.2432399999999997</v>
      </c>
      <c r="K3365" s="47">
        <f t="shared" si="3923"/>
        <v>0</v>
      </c>
      <c r="L3365" s="47">
        <f t="shared" si="3923"/>
        <v>0</v>
      </c>
      <c r="M3365" s="47">
        <f t="shared" si="3923"/>
        <v>0</v>
      </c>
      <c r="N3365" s="47">
        <f t="shared" si="3923"/>
        <v>24.35427</v>
      </c>
      <c r="O3365" s="47">
        <f t="shared" si="3923"/>
        <v>0</v>
      </c>
      <c r="P3365" s="47">
        <f t="shared" si="3923"/>
        <v>0</v>
      </c>
      <c r="Q3365" s="47">
        <f t="shared" si="3923"/>
        <v>0</v>
      </c>
    </row>
    <row r="3366" spans="4:17" s="62" customFormat="1" x14ac:dyDescent="0.3">
      <c r="D3366" s="235">
        <v>1</v>
      </c>
      <c r="E3366" s="237">
        <v>18</v>
      </c>
      <c r="F3366" s="238">
        <v>5</v>
      </c>
      <c r="G3366" s="239">
        <v>1.17</v>
      </c>
      <c r="H3366" s="239">
        <f t="shared" ref="H3366:H3370" si="3924">E3366*G3366</f>
        <v>21.06</v>
      </c>
      <c r="I3366" s="131">
        <f t="shared" ref="I3366:I3370" si="3925">IF($F3366=4.2,H3366*$B$23,0)</f>
        <v>0</v>
      </c>
      <c r="J3366" s="31">
        <f t="shared" ref="J3366:J3370" si="3926">IF($F3366=5,$H3366*$B$24,0)</f>
        <v>3.2432399999999997</v>
      </c>
      <c r="K3366" s="31">
        <f t="shared" ref="K3366:K3370" si="3927">IF($F3366=6.3,$H3366*$B$25,0)</f>
        <v>0</v>
      </c>
      <c r="L3366" s="31">
        <f t="shared" ref="L3366:L3370" si="3928">IF($F3366=8,$H3366*$B$26,0)</f>
        <v>0</v>
      </c>
      <c r="M3366" s="31">
        <f t="shared" ref="M3366:M3370" si="3929">IF($F3366=10,$H3366*$B$27,0)</f>
        <v>0</v>
      </c>
      <c r="N3366" s="31">
        <f t="shared" ref="N3366:N3370" si="3930">IF($F3366=12.5,$H3366*$B$28,0)</f>
        <v>0</v>
      </c>
      <c r="O3366" s="31">
        <f t="shared" ref="O3366:O3370" si="3931">IF($F3366=16,$H3366*$B$29,0)</f>
        <v>0</v>
      </c>
      <c r="P3366" s="31">
        <f t="shared" ref="P3366:P3370" si="3932">IF($F3366=20,$H3366*$B$30,0)</f>
        <v>0</v>
      </c>
      <c r="Q3366" s="49">
        <f t="shared" ref="Q3366:Q3370" si="3933">IF($F3366=25,$H3366*$B$31,0)</f>
        <v>0</v>
      </c>
    </row>
    <row r="3367" spans="4:17" s="62" customFormat="1" x14ac:dyDescent="0.3">
      <c r="D3367" s="235">
        <v>70</v>
      </c>
      <c r="E3367" s="240">
        <v>1</v>
      </c>
      <c r="F3367" s="241">
        <v>12.5</v>
      </c>
      <c r="G3367" s="242">
        <v>4.3099999999999996</v>
      </c>
      <c r="H3367" s="239">
        <f t="shared" si="3924"/>
        <v>4.3099999999999996</v>
      </c>
      <c r="I3367" s="131">
        <f t="shared" si="3925"/>
        <v>0</v>
      </c>
      <c r="J3367" s="31">
        <f t="shared" si="3926"/>
        <v>0</v>
      </c>
      <c r="K3367" s="31">
        <f t="shared" si="3927"/>
        <v>0</v>
      </c>
      <c r="L3367" s="31">
        <f t="shared" si="3928"/>
        <v>0</v>
      </c>
      <c r="M3367" s="31">
        <f t="shared" si="3929"/>
        <v>0</v>
      </c>
      <c r="N3367" s="31">
        <f t="shared" si="3930"/>
        <v>4.1505299999999998</v>
      </c>
      <c r="O3367" s="31">
        <f t="shared" si="3931"/>
        <v>0</v>
      </c>
      <c r="P3367" s="31">
        <f t="shared" si="3932"/>
        <v>0</v>
      </c>
      <c r="Q3367" s="49">
        <f t="shared" si="3933"/>
        <v>0</v>
      </c>
    </row>
    <row r="3368" spans="4:17" s="62" customFormat="1" x14ac:dyDescent="0.3">
      <c r="D3368" s="235">
        <v>71</v>
      </c>
      <c r="E3368" s="240">
        <v>2</v>
      </c>
      <c r="F3368" s="241">
        <v>12.5</v>
      </c>
      <c r="G3368" s="242">
        <v>4.38</v>
      </c>
      <c r="H3368" s="239">
        <f t="shared" si="3924"/>
        <v>8.76</v>
      </c>
      <c r="I3368" s="131">
        <f t="shared" si="3925"/>
        <v>0</v>
      </c>
      <c r="J3368" s="31">
        <f t="shared" si="3926"/>
        <v>0</v>
      </c>
      <c r="K3368" s="31">
        <f t="shared" si="3927"/>
        <v>0</v>
      </c>
      <c r="L3368" s="31">
        <f t="shared" si="3928"/>
        <v>0</v>
      </c>
      <c r="M3368" s="31">
        <f t="shared" si="3929"/>
        <v>0</v>
      </c>
      <c r="N3368" s="31">
        <f t="shared" si="3930"/>
        <v>8.4358799999999992</v>
      </c>
      <c r="O3368" s="31">
        <f t="shared" si="3931"/>
        <v>0</v>
      </c>
      <c r="P3368" s="31">
        <f t="shared" si="3932"/>
        <v>0</v>
      </c>
      <c r="Q3368" s="49">
        <f t="shared" si="3933"/>
        <v>0</v>
      </c>
    </row>
    <row r="3369" spans="4:17" s="62" customFormat="1" x14ac:dyDescent="0.3">
      <c r="D3369" s="235">
        <v>72</v>
      </c>
      <c r="E3369" s="240">
        <v>1</v>
      </c>
      <c r="F3369" s="241">
        <v>12.5</v>
      </c>
      <c r="G3369" s="242">
        <v>2.44</v>
      </c>
      <c r="H3369" s="239">
        <f t="shared" si="3924"/>
        <v>2.44</v>
      </c>
      <c r="I3369" s="131">
        <f t="shared" si="3925"/>
        <v>0</v>
      </c>
      <c r="J3369" s="31">
        <f t="shared" si="3926"/>
        <v>0</v>
      </c>
      <c r="K3369" s="31">
        <f t="shared" si="3927"/>
        <v>0</v>
      </c>
      <c r="L3369" s="31">
        <f t="shared" si="3928"/>
        <v>0</v>
      </c>
      <c r="M3369" s="31">
        <f t="shared" si="3929"/>
        <v>0</v>
      </c>
      <c r="N3369" s="31">
        <f t="shared" si="3930"/>
        <v>2.34972</v>
      </c>
      <c r="O3369" s="31">
        <f t="shared" si="3931"/>
        <v>0</v>
      </c>
      <c r="P3369" s="31">
        <f t="shared" si="3932"/>
        <v>0</v>
      </c>
      <c r="Q3369" s="49">
        <f t="shared" si="3933"/>
        <v>0</v>
      </c>
    </row>
    <row r="3370" spans="4:17" s="62" customFormat="1" x14ac:dyDescent="0.3">
      <c r="D3370" s="235">
        <v>73</v>
      </c>
      <c r="E3370" s="240">
        <v>2</v>
      </c>
      <c r="F3370" s="241">
        <v>12.5</v>
      </c>
      <c r="G3370" s="242">
        <v>4.8899999999999997</v>
      </c>
      <c r="H3370" s="239">
        <f t="shared" si="3924"/>
        <v>9.7799999999999994</v>
      </c>
      <c r="I3370" s="131">
        <f t="shared" si="3925"/>
        <v>0</v>
      </c>
      <c r="J3370" s="31">
        <f t="shared" si="3926"/>
        <v>0</v>
      </c>
      <c r="K3370" s="31">
        <f t="shared" si="3927"/>
        <v>0</v>
      </c>
      <c r="L3370" s="31">
        <f t="shared" si="3928"/>
        <v>0</v>
      </c>
      <c r="M3370" s="31">
        <f t="shared" si="3929"/>
        <v>0</v>
      </c>
      <c r="N3370" s="31">
        <f t="shared" si="3930"/>
        <v>9.4181399999999993</v>
      </c>
      <c r="O3370" s="31">
        <f t="shared" si="3931"/>
        <v>0</v>
      </c>
      <c r="P3370" s="31">
        <f t="shared" si="3932"/>
        <v>0</v>
      </c>
      <c r="Q3370" s="49">
        <f t="shared" si="3933"/>
        <v>0</v>
      </c>
    </row>
    <row r="3371" spans="4:17" s="62" customFormat="1" ht="15" thickBot="1" x14ac:dyDescent="0.35">
      <c r="D3371" s="307"/>
      <c r="E3371" s="26"/>
      <c r="F3371" s="206"/>
      <c r="G3371" s="207"/>
      <c r="H3371" s="207"/>
      <c r="I3371" s="51"/>
      <c r="J3371" s="308"/>
      <c r="K3371" s="308"/>
      <c r="L3371" s="308"/>
      <c r="M3371" s="308"/>
      <c r="N3371" s="308"/>
      <c r="O3371" s="308"/>
      <c r="P3371" s="308"/>
      <c r="Q3371" s="309"/>
    </row>
    <row r="3372" spans="4:17" s="62" customFormat="1" x14ac:dyDescent="0.3">
      <c r="D3372" s="796" t="s">
        <v>1749</v>
      </c>
      <c r="E3372" s="797"/>
      <c r="F3372" s="797"/>
      <c r="G3372" s="797"/>
      <c r="H3372" s="797"/>
      <c r="I3372" s="47">
        <f t="shared" ref="I3372:Q3372" si="3934">SUM(I3373:I3377)</f>
        <v>0</v>
      </c>
      <c r="J3372" s="47">
        <f t="shared" si="3934"/>
        <v>1.6216199999999998</v>
      </c>
      <c r="K3372" s="47">
        <f t="shared" si="3934"/>
        <v>0</v>
      </c>
      <c r="L3372" s="47">
        <f t="shared" si="3934"/>
        <v>0</v>
      </c>
      <c r="M3372" s="47">
        <f t="shared" si="3934"/>
        <v>0</v>
      </c>
      <c r="N3372" s="47">
        <f t="shared" si="3934"/>
        <v>12.673079999999999</v>
      </c>
      <c r="O3372" s="47">
        <f t="shared" si="3934"/>
        <v>0</v>
      </c>
      <c r="P3372" s="47">
        <f t="shared" si="3934"/>
        <v>0</v>
      </c>
      <c r="Q3372" s="47">
        <f t="shared" si="3934"/>
        <v>0</v>
      </c>
    </row>
    <row r="3373" spans="4:17" s="62" customFormat="1" x14ac:dyDescent="0.3">
      <c r="D3373" s="235">
        <v>1</v>
      </c>
      <c r="E3373" s="237">
        <v>9</v>
      </c>
      <c r="F3373" s="238">
        <v>5</v>
      </c>
      <c r="G3373" s="239">
        <v>1.17</v>
      </c>
      <c r="H3373" s="239">
        <f t="shared" ref="H3373:H3377" si="3935">E3373*G3373</f>
        <v>10.53</v>
      </c>
      <c r="I3373" s="131">
        <f t="shared" ref="I3373:I3377" si="3936">IF($F3373=4.2,H3373*$B$23,0)</f>
        <v>0</v>
      </c>
      <c r="J3373" s="31">
        <f t="shared" ref="J3373:J3377" si="3937">IF($F3373=5,$H3373*$B$24,0)</f>
        <v>1.6216199999999998</v>
      </c>
      <c r="K3373" s="31">
        <f t="shared" ref="K3373:K3377" si="3938">IF($F3373=6.3,$H3373*$B$25,0)</f>
        <v>0</v>
      </c>
      <c r="L3373" s="31">
        <f t="shared" ref="L3373:L3377" si="3939">IF($F3373=8,$H3373*$B$26,0)</f>
        <v>0</v>
      </c>
      <c r="M3373" s="31">
        <f t="shared" ref="M3373:M3377" si="3940">IF($F3373=10,$H3373*$B$27,0)</f>
        <v>0</v>
      </c>
      <c r="N3373" s="31">
        <f t="shared" ref="N3373:N3377" si="3941">IF($F3373=12.5,$H3373*$B$28,0)</f>
        <v>0</v>
      </c>
      <c r="O3373" s="31">
        <f t="shared" ref="O3373:O3377" si="3942">IF($F3373=16,$H3373*$B$29,0)</f>
        <v>0</v>
      </c>
      <c r="P3373" s="31">
        <f t="shared" ref="P3373:P3377" si="3943">IF($F3373=20,$H3373*$B$30,0)</f>
        <v>0</v>
      </c>
      <c r="Q3373" s="49">
        <f t="shared" ref="Q3373:Q3377" si="3944">IF($F3373=25,$H3373*$B$31,0)</f>
        <v>0</v>
      </c>
    </row>
    <row r="3374" spans="4:17" s="62" customFormat="1" x14ac:dyDescent="0.3">
      <c r="D3374" s="235">
        <v>74</v>
      </c>
      <c r="E3374" s="240">
        <v>1</v>
      </c>
      <c r="F3374" s="241">
        <v>12.5</v>
      </c>
      <c r="G3374" s="242">
        <v>0.71</v>
      </c>
      <c r="H3374" s="239">
        <f t="shared" si="3935"/>
        <v>0.71</v>
      </c>
      <c r="I3374" s="131">
        <f t="shared" si="3936"/>
        <v>0</v>
      </c>
      <c r="J3374" s="31">
        <f t="shared" si="3937"/>
        <v>0</v>
      </c>
      <c r="K3374" s="31">
        <f t="shared" si="3938"/>
        <v>0</v>
      </c>
      <c r="L3374" s="31">
        <f t="shared" si="3939"/>
        <v>0</v>
      </c>
      <c r="M3374" s="31">
        <f t="shared" si="3940"/>
        <v>0</v>
      </c>
      <c r="N3374" s="31">
        <f t="shared" si="3941"/>
        <v>0.68372999999999995</v>
      </c>
      <c r="O3374" s="31">
        <f t="shared" si="3942"/>
        <v>0</v>
      </c>
      <c r="P3374" s="31">
        <f t="shared" si="3943"/>
        <v>0</v>
      </c>
      <c r="Q3374" s="49">
        <f t="shared" si="3944"/>
        <v>0</v>
      </c>
    </row>
    <row r="3375" spans="4:17" s="62" customFormat="1" x14ac:dyDescent="0.3">
      <c r="D3375" s="235">
        <v>75</v>
      </c>
      <c r="E3375" s="240">
        <v>2</v>
      </c>
      <c r="F3375" s="241">
        <v>12.5</v>
      </c>
      <c r="G3375" s="242">
        <v>2.33</v>
      </c>
      <c r="H3375" s="239">
        <f t="shared" si="3935"/>
        <v>4.66</v>
      </c>
      <c r="I3375" s="131">
        <f t="shared" si="3936"/>
        <v>0</v>
      </c>
      <c r="J3375" s="31">
        <f t="shared" si="3937"/>
        <v>0</v>
      </c>
      <c r="K3375" s="31">
        <f t="shared" si="3938"/>
        <v>0</v>
      </c>
      <c r="L3375" s="31">
        <f t="shared" si="3939"/>
        <v>0</v>
      </c>
      <c r="M3375" s="31">
        <f t="shared" si="3940"/>
        <v>0</v>
      </c>
      <c r="N3375" s="31">
        <f t="shared" si="3941"/>
        <v>4.4875800000000003</v>
      </c>
      <c r="O3375" s="31">
        <f t="shared" si="3942"/>
        <v>0</v>
      </c>
      <c r="P3375" s="31">
        <f t="shared" si="3943"/>
        <v>0</v>
      </c>
      <c r="Q3375" s="49">
        <f t="shared" si="3944"/>
        <v>0</v>
      </c>
    </row>
    <row r="3376" spans="4:17" s="62" customFormat="1" x14ac:dyDescent="0.3">
      <c r="D3376" s="235">
        <v>76</v>
      </c>
      <c r="E3376" s="240">
        <v>1</v>
      </c>
      <c r="F3376" s="241">
        <v>12.5</v>
      </c>
      <c r="G3376" s="242">
        <v>1.93</v>
      </c>
      <c r="H3376" s="239">
        <f t="shared" si="3935"/>
        <v>1.93</v>
      </c>
      <c r="I3376" s="131">
        <f t="shared" si="3936"/>
        <v>0</v>
      </c>
      <c r="J3376" s="31">
        <f t="shared" si="3937"/>
        <v>0</v>
      </c>
      <c r="K3376" s="31">
        <f t="shared" si="3938"/>
        <v>0</v>
      </c>
      <c r="L3376" s="31">
        <f t="shared" si="3939"/>
        <v>0</v>
      </c>
      <c r="M3376" s="31">
        <f t="shared" si="3940"/>
        <v>0</v>
      </c>
      <c r="N3376" s="31">
        <f t="shared" si="3941"/>
        <v>1.85859</v>
      </c>
      <c r="O3376" s="31">
        <f t="shared" si="3942"/>
        <v>0</v>
      </c>
      <c r="P3376" s="31">
        <f t="shared" si="3943"/>
        <v>0</v>
      </c>
      <c r="Q3376" s="49">
        <f t="shared" si="3944"/>
        <v>0</v>
      </c>
    </row>
    <row r="3377" spans="4:17" s="62" customFormat="1" x14ac:dyDescent="0.3">
      <c r="D3377" s="235">
        <v>77</v>
      </c>
      <c r="E3377" s="240">
        <v>2</v>
      </c>
      <c r="F3377" s="241">
        <v>12.5</v>
      </c>
      <c r="G3377" s="242">
        <v>2.93</v>
      </c>
      <c r="H3377" s="239">
        <f t="shared" si="3935"/>
        <v>5.86</v>
      </c>
      <c r="I3377" s="131">
        <f t="shared" si="3936"/>
        <v>0</v>
      </c>
      <c r="J3377" s="31">
        <f t="shared" si="3937"/>
        <v>0</v>
      </c>
      <c r="K3377" s="31">
        <f t="shared" si="3938"/>
        <v>0</v>
      </c>
      <c r="L3377" s="31">
        <f t="shared" si="3939"/>
        <v>0</v>
      </c>
      <c r="M3377" s="31">
        <f t="shared" si="3940"/>
        <v>0</v>
      </c>
      <c r="N3377" s="31">
        <f t="shared" si="3941"/>
        <v>5.6431800000000001</v>
      </c>
      <c r="O3377" s="31">
        <f t="shared" si="3942"/>
        <v>0</v>
      </c>
      <c r="P3377" s="31">
        <f t="shared" si="3943"/>
        <v>0</v>
      </c>
      <c r="Q3377" s="49">
        <f t="shared" si="3944"/>
        <v>0</v>
      </c>
    </row>
    <row r="3378" spans="4:17" s="62" customFormat="1" ht="15" thickBot="1" x14ac:dyDescent="0.35">
      <c r="D3378" s="307"/>
      <c r="E3378" s="26"/>
      <c r="F3378" s="206"/>
      <c r="G3378" s="207"/>
      <c r="H3378" s="207"/>
      <c r="I3378" s="51"/>
      <c r="J3378" s="308"/>
      <c r="K3378" s="308"/>
      <c r="L3378" s="308"/>
      <c r="M3378" s="308"/>
      <c r="N3378" s="308"/>
      <c r="O3378" s="308"/>
      <c r="P3378" s="308"/>
      <c r="Q3378" s="309"/>
    </row>
    <row r="3379" spans="4:17" s="62" customFormat="1" x14ac:dyDescent="0.3">
      <c r="D3379" s="796" t="s">
        <v>1751</v>
      </c>
      <c r="E3379" s="797"/>
      <c r="F3379" s="797"/>
      <c r="G3379" s="797"/>
      <c r="H3379" s="797"/>
      <c r="I3379" s="47">
        <f t="shared" ref="I3379:Q3379" si="3945">SUM(I3380:I3385)</f>
        <v>0</v>
      </c>
      <c r="J3379" s="47">
        <f t="shared" si="3945"/>
        <v>3.2432399999999997</v>
      </c>
      <c r="K3379" s="47">
        <f t="shared" si="3945"/>
        <v>0</v>
      </c>
      <c r="L3379" s="47">
        <f t="shared" si="3945"/>
        <v>0</v>
      </c>
      <c r="M3379" s="47">
        <f t="shared" si="3945"/>
        <v>8.2924799999999994</v>
      </c>
      <c r="N3379" s="47">
        <f t="shared" si="3945"/>
        <v>12.73086</v>
      </c>
      <c r="O3379" s="47">
        <f t="shared" si="3945"/>
        <v>0</v>
      </c>
      <c r="P3379" s="47">
        <f t="shared" si="3945"/>
        <v>0</v>
      </c>
      <c r="Q3379" s="47">
        <f t="shared" si="3945"/>
        <v>0</v>
      </c>
    </row>
    <row r="3380" spans="4:17" s="62" customFormat="1" x14ac:dyDescent="0.3">
      <c r="D3380" s="235">
        <v>1</v>
      </c>
      <c r="E3380" s="237">
        <v>18</v>
      </c>
      <c r="F3380" s="238">
        <v>5</v>
      </c>
      <c r="G3380" s="239">
        <v>1.17</v>
      </c>
      <c r="H3380" s="239">
        <f t="shared" ref="H3380:H3385" si="3946">E3380*G3380</f>
        <v>21.06</v>
      </c>
      <c r="I3380" s="131">
        <f t="shared" ref="I3380:I3385" si="3947">IF($F3380=4.2,H3380*$B$23,0)</f>
        <v>0</v>
      </c>
      <c r="J3380" s="31">
        <f t="shared" ref="J3380:J3385" si="3948">IF($F3380=5,$H3380*$B$24,0)</f>
        <v>3.2432399999999997</v>
      </c>
      <c r="K3380" s="31">
        <f t="shared" ref="K3380:K3385" si="3949">IF($F3380=6.3,$H3380*$B$25,0)</f>
        <v>0</v>
      </c>
      <c r="L3380" s="31">
        <f t="shared" ref="L3380:L3385" si="3950">IF($F3380=8,$H3380*$B$26,0)</f>
        <v>0</v>
      </c>
      <c r="M3380" s="31">
        <f t="shared" ref="M3380:M3385" si="3951">IF($F3380=10,$H3380*$B$27,0)</f>
        <v>0</v>
      </c>
      <c r="N3380" s="31">
        <f t="shared" ref="N3380:N3385" si="3952">IF($F3380=12.5,$H3380*$B$28,0)</f>
        <v>0</v>
      </c>
      <c r="O3380" s="31">
        <f t="shared" ref="O3380:O3385" si="3953">IF($F3380=16,$H3380*$B$29,0)</f>
        <v>0</v>
      </c>
      <c r="P3380" s="31">
        <f t="shared" ref="P3380:P3385" si="3954">IF($F3380=20,$H3380*$B$30,0)</f>
        <v>0</v>
      </c>
      <c r="Q3380" s="49">
        <f t="shared" ref="Q3380:Q3385" si="3955">IF($F3380=25,$H3380*$B$31,0)</f>
        <v>0</v>
      </c>
    </row>
    <row r="3381" spans="4:17" s="62" customFormat="1" x14ac:dyDescent="0.3">
      <c r="D3381" s="235">
        <v>47</v>
      </c>
      <c r="E3381" s="240">
        <v>1</v>
      </c>
      <c r="F3381" s="241">
        <v>10</v>
      </c>
      <c r="G3381" s="242">
        <v>1.66</v>
      </c>
      <c r="H3381" s="239">
        <f t="shared" si="3946"/>
        <v>1.66</v>
      </c>
      <c r="I3381" s="131">
        <f t="shared" si="3947"/>
        <v>0</v>
      </c>
      <c r="J3381" s="31">
        <f t="shared" si="3948"/>
        <v>0</v>
      </c>
      <c r="K3381" s="31">
        <f t="shared" si="3949"/>
        <v>0</v>
      </c>
      <c r="L3381" s="31">
        <f t="shared" si="3950"/>
        <v>0</v>
      </c>
      <c r="M3381" s="31">
        <f t="shared" si="3951"/>
        <v>1.0242199999999999</v>
      </c>
      <c r="N3381" s="31">
        <f t="shared" si="3952"/>
        <v>0</v>
      </c>
      <c r="O3381" s="31">
        <f t="shared" si="3953"/>
        <v>0</v>
      </c>
      <c r="P3381" s="31">
        <f t="shared" si="3954"/>
        <v>0</v>
      </c>
      <c r="Q3381" s="49">
        <f t="shared" si="3955"/>
        <v>0</v>
      </c>
    </row>
    <row r="3382" spans="4:17" s="62" customFormat="1" x14ac:dyDescent="0.3">
      <c r="D3382" s="235">
        <v>48</v>
      </c>
      <c r="E3382" s="240">
        <v>1</v>
      </c>
      <c r="F3382" s="241">
        <v>10</v>
      </c>
      <c r="G3382" s="242">
        <v>2.2599999999999998</v>
      </c>
      <c r="H3382" s="239">
        <f t="shared" si="3946"/>
        <v>2.2599999999999998</v>
      </c>
      <c r="I3382" s="131">
        <f t="shared" si="3947"/>
        <v>0</v>
      </c>
      <c r="J3382" s="31">
        <f t="shared" si="3948"/>
        <v>0</v>
      </c>
      <c r="K3382" s="31">
        <f t="shared" si="3949"/>
        <v>0</v>
      </c>
      <c r="L3382" s="31">
        <f t="shared" si="3950"/>
        <v>0</v>
      </c>
      <c r="M3382" s="31">
        <f t="shared" si="3951"/>
        <v>1.3944199999999998</v>
      </c>
      <c r="N3382" s="31">
        <f t="shared" si="3952"/>
        <v>0</v>
      </c>
      <c r="O3382" s="31">
        <f t="shared" si="3953"/>
        <v>0</v>
      </c>
      <c r="P3382" s="31">
        <f t="shared" si="3954"/>
        <v>0</v>
      </c>
      <c r="Q3382" s="49">
        <f t="shared" si="3955"/>
        <v>0</v>
      </c>
    </row>
    <row r="3383" spans="4:17" s="62" customFormat="1" x14ac:dyDescent="0.3">
      <c r="D3383" s="235">
        <v>49</v>
      </c>
      <c r="E3383" s="240">
        <v>2</v>
      </c>
      <c r="F3383" s="241">
        <v>10</v>
      </c>
      <c r="G3383" s="242">
        <v>4.76</v>
      </c>
      <c r="H3383" s="239">
        <f t="shared" si="3946"/>
        <v>9.52</v>
      </c>
      <c r="I3383" s="131">
        <f t="shared" si="3947"/>
        <v>0</v>
      </c>
      <c r="J3383" s="31">
        <f t="shared" si="3948"/>
        <v>0</v>
      </c>
      <c r="K3383" s="31">
        <f t="shared" si="3949"/>
        <v>0</v>
      </c>
      <c r="L3383" s="31">
        <f t="shared" si="3950"/>
        <v>0</v>
      </c>
      <c r="M3383" s="31">
        <f t="shared" si="3951"/>
        <v>5.8738399999999995</v>
      </c>
      <c r="N3383" s="31">
        <f t="shared" si="3952"/>
        <v>0</v>
      </c>
      <c r="O3383" s="31">
        <f t="shared" si="3953"/>
        <v>0</v>
      </c>
      <c r="P3383" s="31">
        <f t="shared" si="3954"/>
        <v>0</v>
      </c>
      <c r="Q3383" s="49">
        <f t="shared" si="3955"/>
        <v>0</v>
      </c>
    </row>
    <row r="3384" spans="4:17" s="62" customFormat="1" x14ac:dyDescent="0.3">
      <c r="D3384" s="235">
        <v>78</v>
      </c>
      <c r="E3384" s="240">
        <v>1</v>
      </c>
      <c r="F3384" s="241">
        <v>12.5</v>
      </c>
      <c r="G3384" s="242">
        <v>4.3600000000000003</v>
      </c>
      <c r="H3384" s="239">
        <f t="shared" si="3946"/>
        <v>4.3600000000000003</v>
      </c>
      <c r="I3384" s="131">
        <f t="shared" si="3947"/>
        <v>0</v>
      </c>
      <c r="J3384" s="31">
        <f t="shared" si="3948"/>
        <v>0</v>
      </c>
      <c r="K3384" s="31">
        <f t="shared" si="3949"/>
        <v>0</v>
      </c>
      <c r="L3384" s="31">
        <f t="shared" si="3950"/>
        <v>0</v>
      </c>
      <c r="M3384" s="31">
        <f t="shared" si="3951"/>
        <v>0</v>
      </c>
      <c r="N3384" s="31">
        <f t="shared" si="3952"/>
        <v>4.1986800000000004</v>
      </c>
      <c r="O3384" s="31">
        <f t="shared" si="3953"/>
        <v>0</v>
      </c>
      <c r="P3384" s="31">
        <f t="shared" si="3954"/>
        <v>0</v>
      </c>
      <c r="Q3384" s="49">
        <f t="shared" si="3955"/>
        <v>0</v>
      </c>
    </row>
    <row r="3385" spans="4:17" s="62" customFormat="1" x14ac:dyDescent="0.3">
      <c r="D3385" s="235">
        <v>79</v>
      </c>
      <c r="E3385" s="240">
        <v>2</v>
      </c>
      <c r="F3385" s="241">
        <v>12.5</v>
      </c>
      <c r="G3385" s="242">
        <v>4.43</v>
      </c>
      <c r="H3385" s="239">
        <f t="shared" si="3946"/>
        <v>8.86</v>
      </c>
      <c r="I3385" s="131">
        <f t="shared" si="3947"/>
        <v>0</v>
      </c>
      <c r="J3385" s="31">
        <f t="shared" si="3948"/>
        <v>0</v>
      </c>
      <c r="K3385" s="31">
        <f t="shared" si="3949"/>
        <v>0</v>
      </c>
      <c r="L3385" s="31">
        <f t="shared" si="3950"/>
        <v>0</v>
      </c>
      <c r="M3385" s="31">
        <f t="shared" si="3951"/>
        <v>0</v>
      </c>
      <c r="N3385" s="31">
        <f t="shared" si="3952"/>
        <v>8.5321799999999985</v>
      </c>
      <c r="O3385" s="31">
        <f t="shared" si="3953"/>
        <v>0</v>
      </c>
      <c r="P3385" s="31">
        <f t="shared" si="3954"/>
        <v>0</v>
      </c>
      <c r="Q3385" s="49">
        <f t="shared" si="3955"/>
        <v>0</v>
      </c>
    </row>
    <row r="3386" spans="4:17" s="62" customFormat="1" ht="15" thickBot="1" x14ac:dyDescent="0.35">
      <c r="D3386" s="307"/>
      <c r="E3386" s="26"/>
      <c r="F3386" s="206"/>
      <c r="G3386" s="207"/>
      <c r="H3386" s="207"/>
      <c r="I3386" s="51"/>
      <c r="J3386" s="308"/>
      <c r="K3386" s="308"/>
      <c r="L3386" s="308"/>
      <c r="M3386" s="308"/>
      <c r="N3386" s="308"/>
      <c r="O3386" s="308"/>
      <c r="P3386" s="308"/>
      <c r="Q3386" s="309"/>
    </row>
    <row r="3387" spans="4:17" s="62" customFormat="1" x14ac:dyDescent="0.3">
      <c r="D3387" s="796" t="s">
        <v>1752</v>
      </c>
      <c r="E3387" s="797"/>
      <c r="F3387" s="797"/>
      <c r="G3387" s="797"/>
      <c r="H3387" s="797"/>
      <c r="I3387" s="47">
        <f t="shared" ref="I3387:Q3387" si="3956">SUM(I3388:I3391)</f>
        <v>0</v>
      </c>
      <c r="J3387" s="47">
        <f t="shared" si="3956"/>
        <v>1.6216199999999998</v>
      </c>
      <c r="K3387" s="47">
        <f t="shared" si="3956"/>
        <v>0</v>
      </c>
      <c r="L3387" s="47">
        <f t="shared" si="3956"/>
        <v>6.3397500000000004</v>
      </c>
      <c r="M3387" s="47">
        <f t="shared" si="3956"/>
        <v>2.9245800000000002</v>
      </c>
      <c r="N3387" s="47">
        <f t="shared" si="3956"/>
        <v>0</v>
      </c>
      <c r="O3387" s="47">
        <f t="shared" si="3956"/>
        <v>0</v>
      </c>
      <c r="P3387" s="47">
        <f t="shared" si="3956"/>
        <v>0</v>
      </c>
      <c r="Q3387" s="47">
        <f t="shared" si="3956"/>
        <v>0</v>
      </c>
    </row>
    <row r="3388" spans="4:17" s="62" customFormat="1" x14ac:dyDescent="0.3">
      <c r="D3388" s="235">
        <v>1</v>
      </c>
      <c r="E3388" s="237">
        <f>3*3</f>
        <v>9</v>
      </c>
      <c r="F3388" s="238">
        <v>5</v>
      </c>
      <c r="G3388" s="239">
        <v>1.17</v>
      </c>
      <c r="H3388" s="239">
        <f t="shared" ref="H3388:H3391" si="3957">E3388*G3388</f>
        <v>10.53</v>
      </c>
      <c r="I3388" s="131">
        <f t="shared" ref="I3388:I3391" si="3958">IF($F3388=4.2,H3388*$B$23,0)</f>
        <v>0</v>
      </c>
      <c r="J3388" s="31">
        <f t="shared" ref="J3388:J3391" si="3959">IF($F3388=5,$H3388*$B$24,0)</f>
        <v>1.6216199999999998</v>
      </c>
      <c r="K3388" s="31">
        <f t="shared" ref="K3388:K3391" si="3960">IF($F3388=6.3,$H3388*$B$25,0)</f>
        <v>0</v>
      </c>
      <c r="L3388" s="31">
        <f t="shared" ref="L3388:L3391" si="3961">IF($F3388=8,$H3388*$B$26,0)</f>
        <v>0</v>
      </c>
      <c r="M3388" s="31">
        <f t="shared" ref="M3388:M3391" si="3962">IF($F3388=10,$H3388*$B$27,0)</f>
        <v>0</v>
      </c>
      <c r="N3388" s="31">
        <f t="shared" ref="N3388:N3391" si="3963">IF($F3388=12.5,$H3388*$B$28,0)</f>
        <v>0</v>
      </c>
      <c r="O3388" s="31">
        <f t="shared" ref="O3388:O3391" si="3964">IF($F3388=16,$H3388*$B$29,0)</f>
        <v>0</v>
      </c>
      <c r="P3388" s="31">
        <f t="shared" ref="P3388:P3391" si="3965">IF($F3388=20,$H3388*$B$30,0)</f>
        <v>0</v>
      </c>
      <c r="Q3388" s="49">
        <f t="shared" ref="Q3388:Q3391" si="3966">IF($F3388=25,$H3388*$B$31,0)</f>
        <v>0</v>
      </c>
    </row>
    <row r="3389" spans="4:17" s="62" customFormat="1" x14ac:dyDescent="0.3">
      <c r="D3389" s="235">
        <v>26</v>
      </c>
      <c r="E3389" s="240">
        <f>3*4</f>
        <v>12</v>
      </c>
      <c r="F3389" s="241">
        <v>8</v>
      </c>
      <c r="G3389" s="242">
        <v>0.82</v>
      </c>
      <c r="H3389" s="239">
        <f t="shared" si="3957"/>
        <v>9.84</v>
      </c>
      <c r="I3389" s="131">
        <f t="shared" si="3958"/>
        <v>0</v>
      </c>
      <c r="J3389" s="31">
        <f t="shared" si="3959"/>
        <v>0</v>
      </c>
      <c r="K3389" s="31">
        <f t="shared" si="3960"/>
        <v>0</v>
      </c>
      <c r="L3389" s="31">
        <f t="shared" si="3961"/>
        <v>3.8868</v>
      </c>
      <c r="M3389" s="31">
        <f t="shared" si="3962"/>
        <v>0</v>
      </c>
      <c r="N3389" s="31">
        <f t="shared" si="3963"/>
        <v>0</v>
      </c>
      <c r="O3389" s="31">
        <f t="shared" si="3964"/>
        <v>0</v>
      </c>
      <c r="P3389" s="31">
        <f t="shared" si="3965"/>
        <v>0</v>
      </c>
      <c r="Q3389" s="49">
        <f t="shared" si="3966"/>
        <v>0</v>
      </c>
    </row>
    <row r="3390" spans="4:17" s="62" customFormat="1" x14ac:dyDescent="0.3">
      <c r="D3390" s="235">
        <v>27</v>
      </c>
      <c r="E3390" s="240">
        <f>3*3</f>
        <v>9</v>
      </c>
      <c r="F3390" s="241">
        <v>8</v>
      </c>
      <c r="G3390" s="242">
        <v>0.69</v>
      </c>
      <c r="H3390" s="239">
        <f t="shared" si="3957"/>
        <v>6.2099999999999991</v>
      </c>
      <c r="I3390" s="131">
        <f t="shared" si="3958"/>
        <v>0</v>
      </c>
      <c r="J3390" s="31">
        <f t="shared" si="3959"/>
        <v>0</v>
      </c>
      <c r="K3390" s="31">
        <f t="shared" si="3960"/>
        <v>0</v>
      </c>
      <c r="L3390" s="31">
        <f t="shared" si="3961"/>
        <v>2.45295</v>
      </c>
      <c r="M3390" s="31">
        <f t="shared" si="3962"/>
        <v>0</v>
      </c>
      <c r="N3390" s="31">
        <f t="shared" si="3963"/>
        <v>0</v>
      </c>
      <c r="O3390" s="31">
        <f t="shared" si="3964"/>
        <v>0</v>
      </c>
      <c r="P3390" s="31">
        <f t="shared" si="3965"/>
        <v>0</v>
      </c>
      <c r="Q3390" s="49">
        <f t="shared" si="3966"/>
        <v>0</v>
      </c>
    </row>
    <row r="3391" spans="4:17" s="62" customFormat="1" x14ac:dyDescent="0.3">
      <c r="D3391" s="235">
        <v>46</v>
      </c>
      <c r="E3391" s="240">
        <f>3*2</f>
        <v>6</v>
      </c>
      <c r="F3391" s="241">
        <v>10</v>
      </c>
      <c r="G3391" s="242">
        <v>0.79</v>
      </c>
      <c r="H3391" s="239">
        <f t="shared" si="3957"/>
        <v>4.74</v>
      </c>
      <c r="I3391" s="131">
        <f t="shared" si="3958"/>
        <v>0</v>
      </c>
      <c r="J3391" s="31">
        <f t="shared" si="3959"/>
        <v>0</v>
      </c>
      <c r="K3391" s="31">
        <f t="shared" si="3960"/>
        <v>0</v>
      </c>
      <c r="L3391" s="31">
        <f t="shared" si="3961"/>
        <v>0</v>
      </c>
      <c r="M3391" s="31">
        <f t="shared" si="3962"/>
        <v>2.9245800000000002</v>
      </c>
      <c r="N3391" s="31">
        <f t="shared" si="3963"/>
        <v>0</v>
      </c>
      <c r="O3391" s="31">
        <f t="shared" si="3964"/>
        <v>0</v>
      </c>
      <c r="P3391" s="31">
        <f t="shared" si="3965"/>
        <v>0</v>
      </c>
      <c r="Q3391" s="49">
        <f t="shared" si="3966"/>
        <v>0</v>
      </c>
    </row>
    <row r="3392" spans="4:17" s="62" customFormat="1" ht="15" thickBot="1" x14ac:dyDescent="0.35">
      <c r="D3392" s="307"/>
      <c r="E3392" s="26"/>
      <c r="F3392" s="206"/>
      <c r="G3392" s="207"/>
      <c r="H3392" s="207"/>
      <c r="I3392" s="51"/>
      <c r="J3392" s="308"/>
      <c r="K3392" s="308"/>
      <c r="L3392" s="308"/>
      <c r="M3392" s="308"/>
      <c r="N3392" s="308"/>
      <c r="O3392" s="308"/>
      <c r="P3392" s="308"/>
      <c r="Q3392" s="309"/>
    </row>
    <row r="3393" spans="4:17" s="62" customFormat="1" x14ac:dyDescent="0.3">
      <c r="D3393" s="796" t="s">
        <v>1753</v>
      </c>
      <c r="E3393" s="797"/>
      <c r="F3393" s="797"/>
      <c r="G3393" s="797"/>
      <c r="H3393" s="797"/>
      <c r="I3393" s="47">
        <f t="shared" ref="I3393:Q3393" si="3967">SUM(I3394:I3403)</f>
        <v>0</v>
      </c>
      <c r="J3393" s="47">
        <f t="shared" si="3967"/>
        <v>9.1891799999999986</v>
      </c>
      <c r="K3393" s="47">
        <f t="shared" si="3967"/>
        <v>0</v>
      </c>
      <c r="L3393" s="47">
        <f t="shared" si="3967"/>
        <v>0</v>
      </c>
      <c r="M3393" s="47">
        <f t="shared" si="3967"/>
        <v>30.590859999999999</v>
      </c>
      <c r="N3393" s="47">
        <f t="shared" si="3967"/>
        <v>36.863639999999997</v>
      </c>
      <c r="O3393" s="47">
        <f t="shared" si="3967"/>
        <v>0</v>
      </c>
      <c r="P3393" s="47">
        <f t="shared" si="3967"/>
        <v>0</v>
      </c>
      <c r="Q3393" s="47">
        <f t="shared" si="3967"/>
        <v>0</v>
      </c>
    </row>
    <row r="3394" spans="4:17" s="62" customFormat="1" x14ac:dyDescent="0.3">
      <c r="D3394" s="235">
        <v>1</v>
      </c>
      <c r="E3394" s="237">
        <v>51</v>
      </c>
      <c r="F3394" s="238">
        <v>5</v>
      </c>
      <c r="G3394" s="239">
        <v>1.17</v>
      </c>
      <c r="H3394" s="239">
        <f t="shared" ref="H3394:H3403" si="3968">E3394*G3394</f>
        <v>59.669999999999995</v>
      </c>
      <c r="I3394" s="131">
        <f t="shared" ref="I3394:I3403" si="3969">IF($F3394=4.2,H3394*$B$23,0)</f>
        <v>0</v>
      </c>
      <c r="J3394" s="31">
        <f t="shared" ref="J3394:J3403" si="3970">IF($F3394=5,$H3394*$B$24,0)</f>
        <v>9.1891799999999986</v>
      </c>
      <c r="K3394" s="31">
        <f t="shared" ref="K3394:K3403" si="3971">IF($F3394=6.3,$H3394*$B$25,0)</f>
        <v>0</v>
      </c>
      <c r="L3394" s="31">
        <f t="shared" ref="L3394:L3403" si="3972">IF($F3394=8,$H3394*$B$26,0)</f>
        <v>0</v>
      </c>
      <c r="M3394" s="31">
        <f t="shared" ref="M3394:M3403" si="3973">IF($F3394=10,$H3394*$B$27,0)</f>
        <v>0</v>
      </c>
      <c r="N3394" s="31">
        <f t="shared" ref="N3394:N3403" si="3974">IF($F3394=12.5,$H3394*$B$28,0)</f>
        <v>0</v>
      </c>
      <c r="O3394" s="31">
        <f t="shared" ref="O3394:O3403" si="3975">IF($F3394=16,$H3394*$B$29,0)</f>
        <v>0</v>
      </c>
      <c r="P3394" s="31">
        <f t="shared" ref="P3394:P3403" si="3976">IF($F3394=20,$H3394*$B$30,0)</f>
        <v>0</v>
      </c>
      <c r="Q3394" s="49">
        <f t="shared" ref="Q3394:Q3403" si="3977">IF($F3394=25,$H3394*$B$31,0)</f>
        <v>0</v>
      </c>
    </row>
    <row r="3395" spans="4:17" s="62" customFormat="1" x14ac:dyDescent="0.3">
      <c r="D3395" s="235">
        <v>50</v>
      </c>
      <c r="E3395" s="240">
        <v>2</v>
      </c>
      <c r="F3395" s="241">
        <v>10</v>
      </c>
      <c r="G3395" s="242">
        <v>2.8</v>
      </c>
      <c r="H3395" s="239">
        <f t="shared" si="3968"/>
        <v>5.6</v>
      </c>
      <c r="I3395" s="131">
        <f t="shared" si="3969"/>
        <v>0</v>
      </c>
      <c r="J3395" s="31">
        <f t="shared" si="3970"/>
        <v>0</v>
      </c>
      <c r="K3395" s="31">
        <f t="shared" si="3971"/>
        <v>0</v>
      </c>
      <c r="L3395" s="31">
        <f t="shared" si="3972"/>
        <v>0</v>
      </c>
      <c r="M3395" s="31">
        <f t="shared" si="3973"/>
        <v>3.4551999999999996</v>
      </c>
      <c r="N3395" s="31">
        <f t="shared" si="3974"/>
        <v>0</v>
      </c>
      <c r="O3395" s="31">
        <f t="shared" si="3975"/>
        <v>0</v>
      </c>
      <c r="P3395" s="31">
        <f t="shared" si="3976"/>
        <v>0</v>
      </c>
      <c r="Q3395" s="49">
        <f t="shared" si="3977"/>
        <v>0</v>
      </c>
    </row>
    <row r="3396" spans="4:17" s="62" customFormat="1" x14ac:dyDescent="0.3">
      <c r="D3396" s="235">
        <v>51</v>
      </c>
      <c r="E3396" s="240">
        <v>2</v>
      </c>
      <c r="F3396" s="241">
        <v>10</v>
      </c>
      <c r="G3396" s="242">
        <v>3.4</v>
      </c>
      <c r="H3396" s="239">
        <f t="shared" si="3968"/>
        <v>6.8</v>
      </c>
      <c r="I3396" s="131">
        <f t="shared" si="3969"/>
        <v>0</v>
      </c>
      <c r="J3396" s="31">
        <f t="shared" si="3970"/>
        <v>0</v>
      </c>
      <c r="K3396" s="31">
        <f t="shared" si="3971"/>
        <v>0</v>
      </c>
      <c r="L3396" s="31">
        <f t="shared" si="3972"/>
        <v>0</v>
      </c>
      <c r="M3396" s="31">
        <f t="shared" si="3973"/>
        <v>4.1955999999999998</v>
      </c>
      <c r="N3396" s="31">
        <f t="shared" si="3974"/>
        <v>0</v>
      </c>
      <c r="O3396" s="31">
        <f t="shared" si="3975"/>
        <v>0</v>
      </c>
      <c r="P3396" s="31">
        <f t="shared" si="3976"/>
        <v>0</v>
      </c>
      <c r="Q3396" s="49">
        <f t="shared" si="3977"/>
        <v>0</v>
      </c>
    </row>
    <row r="3397" spans="4:17" s="62" customFormat="1" x14ac:dyDescent="0.3">
      <c r="D3397" s="235">
        <v>52</v>
      </c>
      <c r="E3397" s="240">
        <v>1</v>
      </c>
      <c r="F3397" s="241">
        <v>10</v>
      </c>
      <c r="G3397" s="242">
        <v>6.4</v>
      </c>
      <c r="H3397" s="239">
        <f t="shared" si="3968"/>
        <v>6.4</v>
      </c>
      <c r="I3397" s="131">
        <f t="shared" si="3969"/>
        <v>0</v>
      </c>
      <c r="J3397" s="31">
        <f t="shared" si="3970"/>
        <v>0</v>
      </c>
      <c r="K3397" s="31">
        <f t="shared" si="3971"/>
        <v>0</v>
      </c>
      <c r="L3397" s="31">
        <f t="shared" si="3972"/>
        <v>0</v>
      </c>
      <c r="M3397" s="31">
        <f t="shared" si="3973"/>
        <v>3.9488000000000003</v>
      </c>
      <c r="N3397" s="31">
        <f t="shared" si="3974"/>
        <v>0</v>
      </c>
      <c r="O3397" s="31">
        <f t="shared" si="3975"/>
        <v>0</v>
      </c>
      <c r="P3397" s="31">
        <f t="shared" si="3976"/>
        <v>0</v>
      </c>
      <c r="Q3397" s="49">
        <f t="shared" si="3977"/>
        <v>0</v>
      </c>
    </row>
    <row r="3398" spans="4:17" s="62" customFormat="1" x14ac:dyDescent="0.3">
      <c r="D3398" s="235">
        <v>53</v>
      </c>
      <c r="E3398" s="240">
        <v>3</v>
      </c>
      <c r="F3398" s="241">
        <v>10</v>
      </c>
      <c r="G3398" s="242">
        <v>1.62</v>
      </c>
      <c r="H3398" s="239">
        <f t="shared" si="3968"/>
        <v>4.8600000000000003</v>
      </c>
      <c r="I3398" s="131">
        <f t="shared" si="3969"/>
        <v>0</v>
      </c>
      <c r="J3398" s="31">
        <f t="shared" si="3970"/>
        <v>0</v>
      </c>
      <c r="K3398" s="31">
        <f t="shared" si="3971"/>
        <v>0</v>
      </c>
      <c r="L3398" s="31">
        <f t="shared" si="3972"/>
        <v>0</v>
      </c>
      <c r="M3398" s="31">
        <f t="shared" si="3973"/>
        <v>2.9986200000000003</v>
      </c>
      <c r="N3398" s="31">
        <f t="shared" si="3974"/>
        <v>0</v>
      </c>
      <c r="O3398" s="31">
        <f t="shared" si="3975"/>
        <v>0</v>
      </c>
      <c r="P3398" s="31">
        <f t="shared" si="3976"/>
        <v>0</v>
      </c>
      <c r="Q3398" s="49">
        <f t="shared" si="3977"/>
        <v>0</v>
      </c>
    </row>
    <row r="3399" spans="4:17" s="62" customFormat="1" x14ac:dyDescent="0.3">
      <c r="D3399" s="235">
        <v>54</v>
      </c>
      <c r="E3399" s="240">
        <v>2</v>
      </c>
      <c r="F3399" s="241">
        <v>10</v>
      </c>
      <c r="G3399" s="242">
        <v>2.2200000000000002</v>
      </c>
      <c r="H3399" s="239">
        <f t="shared" si="3968"/>
        <v>4.4400000000000004</v>
      </c>
      <c r="I3399" s="131">
        <f t="shared" si="3969"/>
        <v>0</v>
      </c>
      <c r="J3399" s="31">
        <f t="shared" si="3970"/>
        <v>0</v>
      </c>
      <c r="K3399" s="31">
        <f t="shared" si="3971"/>
        <v>0</v>
      </c>
      <c r="L3399" s="31">
        <f t="shared" si="3972"/>
        <v>0</v>
      </c>
      <c r="M3399" s="31">
        <f t="shared" si="3973"/>
        <v>2.7394800000000004</v>
      </c>
      <c r="N3399" s="31">
        <f t="shared" si="3974"/>
        <v>0</v>
      </c>
      <c r="O3399" s="31">
        <f t="shared" si="3975"/>
        <v>0</v>
      </c>
      <c r="P3399" s="31">
        <f t="shared" si="3976"/>
        <v>0</v>
      </c>
      <c r="Q3399" s="49">
        <f t="shared" si="3977"/>
        <v>0</v>
      </c>
    </row>
    <row r="3400" spans="4:17" s="62" customFormat="1" x14ac:dyDescent="0.3">
      <c r="D3400" s="235">
        <v>55</v>
      </c>
      <c r="E3400" s="240">
        <v>2</v>
      </c>
      <c r="F3400" s="241">
        <v>10</v>
      </c>
      <c r="G3400" s="242">
        <v>10.74</v>
      </c>
      <c r="H3400" s="239">
        <f t="shared" si="3968"/>
        <v>21.48</v>
      </c>
      <c r="I3400" s="131">
        <f t="shared" si="3969"/>
        <v>0</v>
      </c>
      <c r="J3400" s="31">
        <f t="shared" si="3970"/>
        <v>0</v>
      </c>
      <c r="K3400" s="31">
        <f t="shared" si="3971"/>
        <v>0</v>
      </c>
      <c r="L3400" s="31">
        <f t="shared" si="3972"/>
        <v>0</v>
      </c>
      <c r="M3400" s="31">
        <f t="shared" si="3973"/>
        <v>13.253159999999999</v>
      </c>
      <c r="N3400" s="31">
        <f t="shared" si="3974"/>
        <v>0</v>
      </c>
      <c r="O3400" s="31">
        <f t="shared" si="3975"/>
        <v>0</v>
      </c>
      <c r="P3400" s="31">
        <f t="shared" si="3976"/>
        <v>0</v>
      </c>
      <c r="Q3400" s="49">
        <f t="shared" si="3977"/>
        <v>0</v>
      </c>
    </row>
    <row r="3401" spans="4:17" s="62" customFormat="1" x14ac:dyDescent="0.3">
      <c r="D3401" s="235">
        <v>69</v>
      </c>
      <c r="E3401" s="240">
        <v>3</v>
      </c>
      <c r="F3401" s="241">
        <v>12.5</v>
      </c>
      <c r="G3401" s="242">
        <v>10.74</v>
      </c>
      <c r="H3401" s="239">
        <f t="shared" si="3968"/>
        <v>32.22</v>
      </c>
      <c r="I3401" s="131">
        <f t="shared" si="3969"/>
        <v>0</v>
      </c>
      <c r="J3401" s="31">
        <f t="shared" si="3970"/>
        <v>0</v>
      </c>
      <c r="K3401" s="31">
        <f t="shared" si="3971"/>
        <v>0</v>
      </c>
      <c r="L3401" s="31">
        <f t="shared" si="3972"/>
        <v>0</v>
      </c>
      <c r="M3401" s="31">
        <f t="shared" si="3973"/>
        <v>0</v>
      </c>
      <c r="N3401" s="31">
        <f t="shared" si="3974"/>
        <v>31.027859999999997</v>
      </c>
      <c r="O3401" s="31">
        <f t="shared" si="3975"/>
        <v>0</v>
      </c>
      <c r="P3401" s="31">
        <f t="shared" si="3976"/>
        <v>0</v>
      </c>
      <c r="Q3401" s="49">
        <f t="shared" si="3977"/>
        <v>0</v>
      </c>
    </row>
    <row r="3402" spans="4:17" s="62" customFormat="1" x14ac:dyDescent="0.3">
      <c r="D3402" s="235">
        <v>80</v>
      </c>
      <c r="E3402" s="240">
        <v>1</v>
      </c>
      <c r="F3402" s="241">
        <v>12.5</v>
      </c>
      <c r="G3402" s="242">
        <v>2.98</v>
      </c>
      <c r="H3402" s="239">
        <f t="shared" si="3968"/>
        <v>2.98</v>
      </c>
      <c r="I3402" s="131">
        <f t="shared" si="3969"/>
        <v>0</v>
      </c>
      <c r="J3402" s="31">
        <f t="shared" si="3970"/>
        <v>0</v>
      </c>
      <c r="K3402" s="31">
        <f t="shared" si="3971"/>
        <v>0</v>
      </c>
      <c r="L3402" s="31">
        <f t="shared" si="3972"/>
        <v>0</v>
      </c>
      <c r="M3402" s="31">
        <f t="shared" si="3973"/>
        <v>0</v>
      </c>
      <c r="N3402" s="31">
        <f t="shared" si="3974"/>
        <v>2.8697399999999997</v>
      </c>
      <c r="O3402" s="31">
        <f t="shared" si="3975"/>
        <v>0</v>
      </c>
      <c r="P3402" s="31">
        <f t="shared" si="3976"/>
        <v>0</v>
      </c>
      <c r="Q3402" s="49">
        <f t="shared" si="3977"/>
        <v>0</v>
      </c>
    </row>
    <row r="3403" spans="4:17" s="62" customFormat="1" x14ac:dyDescent="0.3">
      <c r="D3403" s="235">
        <v>81</v>
      </c>
      <c r="E3403" s="240">
        <v>1</v>
      </c>
      <c r="F3403" s="241">
        <v>12.5</v>
      </c>
      <c r="G3403" s="242">
        <v>3.08</v>
      </c>
      <c r="H3403" s="239">
        <f t="shared" si="3968"/>
        <v>3.08</v>
      </c>
      <c r="I3403" s="131">
        <f t="shared" si="3969"/>
        <v>0</v>
      </c>
      <c r="J3403" s="31">
        <f t="shared" si="3970"/>
        <v>0</v>
      </c>
      <c r="K3403" s="31">
        <f t="shared" si="3971"/>
        <v>0</v>
      </c>
      <c r="L3403" s="31">
        <f t="shared" si="3972"/>
        <v>0</v>
      </c>
      <c r="M3403" s="31">
        <f t="shared" si="3973"/>
        <v>0</v>
      </c>
      <c r="N3403" s="31">
        <f t="shared" si="3974"/>
        <v>2.96604</v>
      </c>
      <c r="O3403" s="31">
        <f t="shared" si="3975"/>
        <v>0</v>
      </c>
      <c r="P3403" s="31">
        <f t="shared" si="3976"/>
        <v>0</v>
      </c>
      <c r="Q3403" s="49">
        <f t="shared" si="3977"/>
        <v>0</v>
      </c>
    </row>
    <row r="3404" spans="4:17" s="62" customFormat="1" ht="15" thickBot="1" x14ac:dyDescent="0.35">
      <c r="D3404" s="307"/>
      <c r="E3404" s="26"/>
      <c r="F3404" s="206"/>
      <c r="G3404" s="207"/>
      <c r="H3404" s="207"/>
      <c r="I3404" s="51"/>
      <c r="J3404" s="308"/>
      <c r="K3404" s="308"/>
      <c r="L3404" s="308"/>
      <c r="M3404" s="308"/>
      <c r="N3404" s="308"/>
      <c r="O3404" s="308"/>
      <c r="P3404" s="308"/>
      <c r="Q3404" s="309"/>
    </row>
    <row r="3405" spans="4:17" s="62" customFormat="1" x14ac:dyDescent="0.3">
      <c r="D3405" s="796" t="s">
        <v>1754</v>
      </c>
      <c r="E3405" s="797"/>
      <c r="F3405" s="797"/>
      <c r="G3405" s="797"/>
      <c r="H3405" s="797"/>
      <c r="I3405" s="47">
        <f t="shared" ref="I3405:Q3405" si="3978">SUM(I3406:I3410)</f>
        <v>0</v>
      </c>
      <c r="J3405" s="47">
        <f t="shared" si="3978"/>
        <v>3.2432399999999997</v>
      </c>
      <c r="K3405" s="47">
        <f t="shared" si="3978"/>
        <v>0</v>
      </c>
      <c r="L3405" s="47">
        <f t="shared" si="3978"/>
        <v>0</v>
      </c>
      <c r="M3405" s="47">
        <f t="shared" si="3978"/>
        <v>0</v>
      </c>
      <c r="N3405" s="47">
        <f t="shared" si="3978"/>
        <v>24.35427</v>
      </c>
      <c r="O3405" s="47">
        <f t="shared" si="3978"/>
        <v>0</v>
      </c>
      <c r="P3405" s="47">
        <f t="shared" si="3978"/>
        <v>0</v>
      </c>
      <c r="Q3405" s="47">
        <f t="shared" si="3978"/>
        <v>0</v>
      </c>
    </row>
    <row r="3406" spans="4:17" s="62" customFormat="1" x14ac:dyDescent="0.3">
      <c r="D3406" s="235">
        <v>1</v>
      </c>
      <c r="E3406" s="237">
        <v>18</v>
      </c>
      <c r="F3406" s="238">
        <v>5</v>
      </c>
      <c r="G3406" s="239">
        <v>1.17</v>
      </c>
      <c r="H3406" s="239">
        <f t="shared" ref="H3406:H3410" si="3979">E3406*G3406</f>
        <v>21.06</v>
      </c>
      <c r="I3406" s="131">
        <f t="shared" ref="I3406:I3410" si="3980">IF($F3406=4.2,H3406*$B$23,0)</f>
        <v>0</v>
      </c>
      <c r="J3406" s="31">
        <f t="shared" ref="J3406:J3410" si="3981">IF($F3406=5,$H3406*$B$24,0)</f>
        <v>3.2432399999999997</v>
      </c>
      <c r="K3406" s="31">
        <f t="shared" ref="K3406:K3410" si="3982">IF($F3406=6.3,$H3406*$B$25,0)</f>
        <v>0</v>
      </c>
      <c r="L3406" s="31">
        <f t="shared" ref="L3406:L3410" si="3983">IF($F3406=8,$H3406*$B$26,0)</f>
        <v>0</v>
      </c>
      <c r="M3406" s="31">
        <f t="shared" ref="M3406:M3410" si="3984">IF($F3406=10,$H3406*$B$27,0)</f>
        <v>0</v>
      </c>
      <c r="N3406" s="31">
        <f t="shared" ref="N3406:N3410" si="3985">IF($F3406=12.5,$H3406*$B$28,0)</f>
        <v>0</v>
      </c>
      <c r="O3406" s="31">
        <f t="shared" ref="O3406:O3410" si="3986">IF($F3406=16,$H3406*$B$29,0)</f>
        <v>0</v>
      </c>
      <c r="P3406" s="31">
        <f t="shared" ref="P3406:P3410" si="3987">IF($F3406=20,$H3406*$B$30,0)</f>
        <v>0</v>
      </c>
      <c r="Q3406" s="49">
        <f t="shared" ref="Q3406:Q3410" si="3988">IF($F3406=25,$H3406*$B$31,0)</f>
        <v>0</v>
      </c>
    </row>
    <row r="3407" spans="4:17" s="62" customFormat="1" x14ac:dyDescent="0.3">
      <c r="D3407" s="235">
        <v>70</v>
      </c>
      <c r="E3407" s="240">
        <v>1</v>
      </c>
      <c r="F3407" s="241">
        <v>12.5</v>
      </c>
      <c r="G3407" s="242">
        <v>4.3099999999999996</v>
      </c>
      <c r="H3407" s="239">
        <f t="shared" si="3979"/>
        <v>4.3099999999999996</v>
      </c>
      <c r="I3407" s="131">
        <f t="shared" si="3980"/>
        <v>0</v>
      </c>
      <c r="J3407" s="31">
        <f t="shared" si="3981"/>
        <v>0</v>
      </c>
      <c r="K3407" s="31">
        <f t="shared" si="3982"/>
        <v>0</v>
      </c>
      <c r="L3407" s="31">
        <f t="shared" si="3983"/>
        <v>0</v>
      </c>
      <c r="M3407" s="31">
        <f t="shared" si="3984"/>
        <v>0</v>
      </c>
      <c r="N3407" s="31">
        <f t="shared" si="3985"/>
        <v>4.1505299999999998</v>
      </c>
      <c r="O3407" s="31">
        <f t="shared" si="3986"/>
        <v>0</v>
      </c>
      <c r="P3407" s="31">
        <f t="shared" si="3987"/>
        <v>0</v>
      </c>
      <c r="Q3407" s="49">
        <f t="shared" si="3988"/>
        <v>0</v>
      </c>
    </row>
    <row r="3408" spans="4:17" s="62" customFormat="1" x14ac:dyDescent="0.3">
      <c r="D3408" s="235">
        <v>71</v>
      </c>
      <c r="E3408" s="240">
        <v>2</v>
      </c>
      <c r="F3408" s="241">
        <v>12.5</v>
      </c>
      <c r="G3408" s="242">
        <v>4.38</v>
      </c>
      <c r="H3408" s="239">
        <f t="shared" si="3979"/>
        <v>8.76</v>
      </c>
      <c r="I3408" s="131">
        <f t="shared" si="3980"/>
        <v>0</v>
      </c>
      <c r="J3408" s="31">
        <f t="shared" si="3981"/>
        <v>0</v>
      </c>
      <c r="K3408" s="31">
        <f t="shared" si="3982"/>
        <v>0</v>
      </c>
      <c r="L3408" s="31">
        <f t="shared" si="3983"/>
        <v>0</v>
      </c>
      <c r="M3408" s="31">
        <f t="shared" si="3984"/>
        <v>0</v>
      </c>
      <c r="N3408" s="31">
        <f t="shared" si="3985"/>
        <v>8.4358799999999992</v>
      </c>
      <c r="O3408" s="31">
        <f t="shared" si="3986"/>
        <v>0</v>
      </c>
      <c r="P3408" s="31">
        <f t="shared" si="3987"/>
        <v>0</v>
      </c>
      <c r="Q3408" s="49">
        <f t="shared" si="3988"/>
        <v>0</v>
      </c>
    </row>
    <row r="3409" spans="4:17" s="62" customFormat="1" x14ac:dyDescent="0.3">
      <c r="D3409" s="235">
        <v>82</v>
      </c>
      <c r="E3409" s="240">
        <v>1</v>
      </c>
      <c r="F3409" s="241">
        <v>12.5</v>
      </c>
      <c r="G3409" s="242">
        <v>2.44</v>
      </c>
      <c r="H3409" s="239">
        <f t="shared" si="3979"/>
        <v>2.44</v>
      </c>
      <c r="I3409" s="131">
        <f t="shared" si="3980"/>
        <v>0</v>
      </c>
      <c r="J3409" s="31">
        <f t="shared" si="3981"/>
        <v>0</v>
      </c>
      <c r="K3409" s="31">
        <f t="shared" si="3982"/>
        <v>0</v>
      </c>
      <c r="L3409" s="31">
        <f t="shared" si="3983"/>
        <v>0</v>
      </c>
      <c r="M3409" s="31">
        <f t="shared" si="3984"/>
        <v>0</v>
      </c>
      <c r="N3409" s="31">
        <f t="shared" si="3985"/>
        <v>2.34972</v>
      </c>
      <c r="O3409" s="31">
        <f t="shared" si="3986"/>
        <v>0</v>
      </c>
      <c r="P3409" s="31">
        <f t="shared" si="3987"/>
        <v>0</v>
      </c>
      <c r="Q3409" s="49">
        <f t="shared" si="3988"/>
        <v>0</v>
      </c>
    </row>
    <row r="3410" spans="4:17" s="62" customFormat="1" x14ac:dyDescent="0.3">
      <c r="D3410" s="235">
        <v>83</v>
      </c>
      <c r="E3410" s="240">
        <v>2</v>
      </c>
      <c r="F3410" s="241">
        <v>12.5</v>
      </c>
      <c r="G3410" s="242">
        <v>4.8899999999999997</v>
      </c>
      <c r="H3410" s="239">
        <f t="shared" si="3979"/>
        <v>9.7799999999999994</v>
      </c>
      <c r="I3410" s="131">
        <f t="shared" si="3980"/>
        <v>0</v>
      </c>
      <c r="J3410" s="31">
        <f t="shared" si="3981"/>
        <v>0</v>
      </c>
      <c r="K3410" s="31">
        <f t="shared" si="3982"/>
        <v>0</v>
      </c>
      <c r="L3410" s="31">
        <f t="shared" si="3983"/>
        <v>0</v>
      </c>
      <c r="M3410" s="31">
        <f t="shared" si="3984"/>
        <v>0</v>
      </c>
      <c r="N3410" s="31">
        <f t="shared" si="3985"/>
        <v>9.4181399999999993</v>
      </c>
      <c r="O3410" s="31">
        <f t="shared" si="3986"/>
        <v>0</v>
      </c>
      <c r="P3410" s="31">
        <f t="shared" si="3987"/>
        <v>0</v>
      </c>
      <c r="Q3410" s="49">
        <f t="shared" si="3988"/>
        <v>0</v>
      </c>
    </row>
    <row r="3411" spans="4:17" s="62" customFormat="1" ht="15" thickBot="1" x14ac:dyDescent="0.35">
      <c r="D3411" s="307"/>
      <c r="E3411" s="26"/>
      <c r="F3411" s="206"/>
      <c r="G3411" s="207"/>
      <c r="H3411" s="207"/>
      <c r="I3411" s="51"/>
      <c r="J3411" s="308"/>
      <c r="K3411" s="308"/>
      <c r="L3411" s="308"/>
      <c r="M3411" s="308"/>
      <c r="N3411" s="308"/>
      <c r="O3411" s="308"/>
      <c r="P3411" s="308"/>
      <c r="Q3411" s="309"/>
    </row>
    <row r="3412" spans="4:17" s="62" customFormat="1" x14ac:dyDescent="0.3">
      <c r="D3412" s="796" t="s">
        <v>1755</v>
      </c>
      <c r="E3412" s="797"/>
      <c r="F3412" s="797"/>
      <c r="G3412" s="797"/>
      <c r="H3412" s="797"/>
      <c r="I3412" s="47">
        <f t="shared" ref="I3412:Q3412" si="3989">SUM(I3413:I3417)</f>
        <v>0</v>
      </c>
      <c r="J3412" s="47">
        <f t="shared" si="3989"/>
        <v>1.6216199999999998</v>
      </c>
      <c r="K3412" s="47">
        <f t="shared" si="3989"/>
        <v>0</v>
      </c>
      <c r="L3412" s="47">
        <f t="shared" si="3989"/>
        <v>0</v>
      </c>
      <c r="M3412" s="47">
        <f t="shared" si="3989"/>
        <v>0</v>
      </c>
      <c r="N3412" s="47">
        <f t="shared" si="3989"/>
        <v>12.68271</v>
      </c>
      <c r="O3412" s="47">
        <f t="shared" si="3989"/>
        <v>0</v>
      </c>
      <c r="P3412" s="47">
        <f t="shared" si="3989"/>
        <v>0</v>
      </c>
      <c r="Q3412" s="47">
        <f t="shared" si="3989"/>
        <v>0</v>
      </c>
    </row>
    <row r="3413" spans="4:17" s="62" customFormat="1" x14ac:dyDescent="0.3">
      <c r="D3413" s="235">
        <v>1</v>
      </c>
      <c r="E3413" s="237">
        <v>9</v>
      </c>
      <c r="F3413" s="238">
        <v>5</v>
      </c>
      <c r="G3413" s="239">
        <v>1.17</v>
      </c>
      <c r="H3413" s="239">
        <f t="shared" ref="H3413:H3417" si="3990">E3413*G3413</f>
        <v>10.53</v>
      </c>
      <c r="I3413" s="131">
        <f t="shared" ref="I3413:I3417" si="3991">IF($F3413=4.2,H3413*$B$23,0)</f>
        <v>0</v>
      </c>
      <c r="J3413" s="31">
        <f t="shared" ref="J3413:J3417" si="3992">IF($F3413=5,$H3413*$B$24,0)</f>
        <v>1.6216199999999998</v>
      </c>
      <c r="K3413" s="31">
        <f t="shared" ref="K3413:K3417" si="3993">IF($F3413=6.3,$H3413*$B$25,0)</f>
        <v>0</v>
      </c>
      <c r="L3413" s="31">
        <f t="shared" ref="L3413:L3417" si="3994">IF($F3413=8,$H3413*$B$26,0)</f>
        <v>0</v>
      </c>
      <c r="M3413" s="31">
        <f t="shared" ref="M3413:M3417" si="3995">IF($F3413=10,$H3413*$B$27,0)</f>
        <v>0</v>
      </c>
      <c r="N3413" s="31">
        <f t="shared" ref="N3413:N3417" si="3996">IF($F3413=12.5,$H3413*$B$28,0)</f>
        <v>0</v>
      </c>
      <c r="O3413" s="31">
        <f t="shared" ref="O3413:O3417" si="3997">IF($F3413=16,$H3413*$B$29,0)</f>
        <v>0</v>
      </c>
      <c r="P3413" s="31">
        <f t="shared" ref="P3413:P3417" si="3998">IF($F3413=20,$H3413*$B$30,0)</f>
        <v>0</v>
      </c>
      <c r="Q3413" s="49">
        <f t="shared" ref="Q3413:Q3417" si="3999">IF($F3413=25,$H3413*$B$31,0)</f>
        <v>0</v>
      </c>
    </row>
    <row r="3414" spans="4:17" s="62" customFormat="1" x14ac:dyDescent="0.3">
      <c r="D3414" s="235">
        <v>74</v>
      </c>
      <c r="E3414" s="240">
        <v>1</v>
      </c>
      <c r="F3414" s="241">
        <v>12.5</v>
      </c>
      <c r="G3414" s="242">
        <v>0.72</v>
      </c>
      <c r="H3414" s="239">
        <f t="shared" si="3990"/>
        <v>0.72</v>
      </c>
      <c r="I3414" s="131">
        <f t="shared" si="3991"/>
        <v>0</v>
      </c>
      <c r="J3414" s="31">
        <f t="shared" si="3992"/>
        <v>0</v>
      </c>
      <c r="K3414" s="31">
        <f t="shared" si="3993"/>
        <v>0</v>
      </c>
      <c r="L3414" s="31">
        <f t="shared" si="3994"/>
        <v>0</v>
      </c>
      <c r="M3414" s="31">
        <f t="shared" si="3995"/>
        <v>0</v>
      </c>
      <c r="N3414" s="31">
        <f t="shared" si="3996"/>
        <v>0.69335999999999998</v>
      </c>
      <c r="O3414" s="31">
        <f t="shared" si="3997"/>
        <v>0</v>
      </c>
      <c r="P3414" s="31">
        <f t="shared" si="3998"/>
        <v>0</v>
      </c>
      <c r="Q3414" s="49">
        <f t="shared" si="3999"/>
        <v>0</v>
      </c>
    </row>
    <row r="3415" spans="4:17" s="62" customFormat="1" x14ac:dyDescent="0.3">
      <c r="D3415" s="235">
        <v>75</v>
      </c>
      <c r="E3415" s="240">
        <v>2</v>
      </c>
      <c r="F3415" s="241">
        <v>12.5</v>
      </c>
      <c r="G3415" s="242">
        <v>2.33</v>
      </c>
      <c r="H3415" s="239">
        <f t="shared" si="3990"/>
        <v>4.66</v>
      </c>
      <c r="I3415" s="131">
        <f t="shared" si="3991"/>
        <v>0</v>
      </c>
      <c r="J3415" s="31">
        <f t="shared" si="3992"/>
        <v>0</v>
      </c>
      <c r="K3415" s="31">
        <f t="shared" si="3993"/>
        <v>0</v>
      </c>
      <c r="L3415" s="31">
        <f t="shared" si="3994"/>
        <v>0</v>
      </c>
      <c r="M3415" s="31">
        <f t="shared" si="3995"/>
        <v>0</v>
      </c>
      <c r="N3415" s="31">
        <f t="shared" si="3996"/>
        <v>4.4875800000000003</v>
      </c>
      <c r="O3415" s="31">
        <f t="shared" si="3997"/>
        <v>0</v>
      </c>
      <c r="P3415" s="31">
        <f t="shared" si="3998"/>
        <v>0</v>
      </c>
      <c r="Q3415" s="49">
        <f t="shared" si="3999"/>
        <v>0</v>
      </c>
    </row>
    <row r="3416" spans="4:17" s="62" customFormat="1" x14ac:dyDescent="0.3">
      <c r="D3416" s="235">
        <v>84</v>
      </c>
      <c r="E3416" s="240">
        <v>1</v>
      </c>
      <c r="F3416" s="241">
        <v>12.5</v>
      </c>
      <c r="G3416" s="242">
        <v>1.93</v>
      </c>
      <c r="H3416" s="239">
        <f t="shared" si="3990"/>
        <v>1.93</v>
      </c>
      <c r="I3416" s="131">
        <f t="shared" si="3991"/>
        <v>0</v>
      </c>
      <c r="J3416" s="31">
        <f t="shared" si="3992"/>
        <v>0</v>
      </c>
      <c r="K3416" s="31">
        <f t="shared" si="3993"/>
        <v>0</v>
      </c>
      <c r="L3416" s="31">
        <f t="shared" si="3994"/>
        <v>0</v>
      </c>
      <c r="M3416" s="31">
        <f t="shared" si="3995"/>
        <v>0</v>
      </c>
      <c r="N3416" s="31">
        <f t="shared" si="3996"/>
        <v>1.85859</v>
      </c>
      <c r="O3416" s="31">
        <f t="shared" si="3997"/>
        <v>0</v>
      </c>
      <c r="P3416" s="31">
        <f t="shared" si="3998"/>
        <v>0</v>
      </c>
      <c r="Q3416" s="49">
        <f t="shared" si="3999"/>
        <v>0</v>
      </c>
    </row>
    <row r="3417" spans="4:17" s="62" customFormat="1" x14ac:dyDescent="0.3">
      <c r="D3417" s="235">
        <v>85</v>
      </c>
      <c r="E3417" s="240">
        <v>2</v>
      </c>
      <c r="F3417" s="241">
        <v>12.5</v>
      </c>
      <c r="G3417" s="242">
        <v>2.93</v>
      </c>
      <c r="H3417" s="239">
        <f t="shared" si="3990"/>
        <v>5.86</v>
      </c>
      <c r="I3417" s="131">
        <f t="shared" si="3991"/>
        <v>0</v>
      </c>
      <c r="J3417" s="31">
        <f t="shared" si="3992"/>
        <v>0</v>
      </c>
      <c r="K3417" s="31">
        <f t="shared" si="3993"/>
        <v>0</v>
      </c>
      <c r="L3417" s="31">
        <f t="shared" si="3994"/>
        <v>0</v>
      </c>
      <c r="M3417" s="31">
        <f t="shared" si="3995"/>
        <v>0</v>
      </c>
      <c r="N3417" s="31">
        <f t="shared" si="3996"/>
        <v>5.6431800000000001</v>
      </c>
      <c r="O3417" s="31">
        <f t="shared" si="3997"/>
        <v>0</v>
      </c>
      <c r="P3417" s="31">
        <f t="shared" si="3998"/>
        <v>0</v>
      </c>
      <c r="Q3417" s="49">
        <f t="shared" si="3999"/>
        <v>0</v>
      </c>
    </row>
    <row r="3418" spans="4:17" s="62" customFormat="1" ht="15" thickBot="1" x14ac:dyDescent="0.35">
      <c r="D3418" s="307"/>
      <c r="E3418" s="26"/>
      <c r="F3418" s="206"/>
      <c r="G3418" s="207"/>
      <c r="H3418" s="207"/>
      <c r="I3418" s="51"/>
      <c r="J3418" s="308"/>
      <c r="K3418" s="308"/>
      <c r="L3418" s="308"/>
      <c r="M3418" s="308"/>
      <c r="N3418" s="308"/>
      <c r="O3418" s="308"/>
      <c r="P3418" s="308"/>
      <c r="Q3418" s="309"/>
    </row>
    <row r="3419" spans="4:17" s="62" customFormat="1" x14ac:dyDescent="0.3">
      <c r="D3419" s="796" t="s">
        <v>1756</v>
      </c>
      <c r="E3419" s="797"/>
      <c r="F3419" s="797"/>
      <c r="G3419" s="797"/>
      <c r="H3419" s="797"/>
      <c r="I3419" s="47">
        <f t="shared" ref="I3419:Q3419" si="4000">SUM(I3420:I3425)</f>
        <v>0</v>
      </c>
      <c r="J3419" s="47">
        <f t="shared" si="4000"/>
        <v>3.2432399999999997</v>
      </c>
      <c r="K3419" s="47">
        <f t="shared" si="4000"/>
        <v>0</v>
      </c>
      <c r="L3419" s="47">
        <f t="shared" si="4000"/>
        <v>0</v>
      </c>
      <c r="M3419" s="47">
        <f t="shared" si="4000"/>
        <v>8.3048199999999994</v>
      </c>
      <c r="N3419" s="47">
        <f t="shared" si="4000"/>
        <v>12.73086</v>
      </c>
      <c r="O3419" s="47">
        <f t="shared" si="4000"/>
        <v>0</v>
      </c>
      <c r="P3419" s="47">
        <f t="shared" si="4000"/>
        <v>0</v>
      </c>
      <c r="Q3419" s="47">
        <f t="shared" si="4000"/>
        <v>0</v>
      </c>
    </row>
    <row r="3420" spans="4:17" s="62" customFormat="1" x14ac:dyDescent="0.3">
      <c r="D3420" s="235">
        <v>1</v>
      </c>
      <c r="E3420" s="237">
        <v>18</v>
      </c>
      <c r="F3420" s="238">
        <v>5</v>
      </c>
      <c r="G3420" s="239">
        <v>1.17</v>
      </c>
      <c r="H3420" s="239">
        <f t="shared" ref="H3420:H3425" si="4001">E3420*G3420</f>
        <v>21.06</v>
      </c>
      <c r="I3420" s="131">
        <f t="shared" ref="I3420:I3425" si="4002">IF($F3420=4.2,H3420*$B$23,0)</f>
        <v>0</v>
      </c>
      <c r="J3420" s="31">
        <f t="shared" ref="J3420:J3425" si="4003">IF($F3420=5,$H3420*$B$24,0)</f>
        <v>3.2432399999999997</v>
      </c>
      <c r="K3420" s="31">
        <f t="shared" ref="K3420:K3425" si="4004">IF($F3420=6.3,$H3420*$B$25,0)</f>
        <v>0</v>
      </c>
      <c r="L3420" s="31">
        <f t="shared" ref="L3420:L3425" si="4005">IF($F3420=8,$H3420*$B$26,0)</f>
        <v>0</v>
      </c>
      <c r="M3420" s="31">
        <f t="shared" ref="M3420:M3425" si="4006">IF($F3420=10,$H3420*$B$27,0)</f>
        <v>0</v>
      </c>
      <c r="N3420" s="31">
        <f t="shared" ref="N3420:N3425" si="4007">IF($F3420=12.5,$H3420*$B$28,0)</f>
        <v>0</v>
      </c>
      <c r="O3420" s="31">
        <f t="shared" ref="O3420:O3425" si="4008">IF($F3420=16,$H3420*$B$29,0)</f>
        <v>0</v>
      </c>
      <c r="P3420" s="31">
        <f t="shared" ref="P3420:P3425" si="4009">IF($F3420=20,$H3420*$B$30,0)</f>
        <v>0</v>
      </c>
      <c r="Q3420" s="49">
        <f t="shared" ref="Q3420:Q3425" si="4010">IF($F3420=25,$H3420*$B$31,0)</f>
        <v>0</v>
      </c>
    </row>
    <row r="3421" spans="4:17" s="62" customFormat="1" x14ac:dyDescent="0.3">
      <c r="D3421" s="235">
        <v>47</v>
      </c>
      <c r="E3421" s="240">
        <v>1</v>
      </c>
      <c r="F3421" s="241">
        <v>10</v>
      </c>
      <c r="G3421" s="242">
        <v>1.66</v>
      </c>
      <c r="H3421" s="239">
        <f t="shared" si="4001"/>
        <v>1.66</v>
      </c>
      <c r="I3421" s="131">
        <f t="shared" si="4002"/>
        <v>0</v>
      </c>
      <c r="J3421" s="31">
        <f t="shared" si="4003"/>
        <v>0</v>
      </c>
      <c r="K3421" s="31">
        <f t="shared" si="4004"/>
        <v>0</v>
      </c>
      <c r="L3421" s="31">
        <f t="shared" si="4005"/>
        <v>0</v>
      </c>
      <c r="M3421" s="31">
        <f t="shared" si="4006"/>
        <v>1.0242199999999999</v>
      </c>
      <c r="N3421" s="31">
        <f t="shared" si="4007"/>
        <v>0</v>
      </c>
      <c r="O3421" s="31">
        <f t="shared" si="4008"/>
        <v>0</v>
      </c>
      <c r="P3421" s="31">
        <f t="shared" si="4009"/>
        <v>0</v>
      </c>
      <c r="Q3421" s="49">
        <f t="shared" si="4010"/>
        <v>0</v>
      </c>
    </row>
    <row r="3422" spans="4:17" s="62" customFormat="1" x14ac:dyDescent="0.3">
      <c r="D3422" s="235">
        <v>48</v>
      </c>
      <c r="E3422" s="240">
        <v>1</v>
      </c>
      <c r="F3422" s="241">
        <v>10</v>
      </c>
      <c r="G3422" s="242">
        <v>2.2599999999999998</v>
      </c>
      <c r="H3422" s="239">
        <f t="shared" si="4001"/>
        <v>2.2599999999999998</v>
      </c>
      <c r="I3422" s="131">
        <f t="shared" si="4002"/>
        <v>0</v>
      </c>
      <c r="J3422" s="31">
        <f t="shared" si="4003"/>
        <v>0</v>
      </c>
      <c r="K3422" s="31">
        <f t="shared" si="4004"/>
        <v>0</v>
      </c>
      <c r="L3422" s="31">
        <f t="shared" si="4005"/>
        <v>0</v>
      </c>
      <c r="M3422" s="31">
        <f t="shared" si="4006"/>
        <v>1.3944199999999998</v>
      </c>
      <c r="N3422" s="31">
        <f t="shared" si="4007"/>
        <v>0</v>
      </c>
      <c r="O3422" s="31">
        <f t="shared" si="4008"/>
        <v>0</v>
      </c>
      <c r="P3422" s="31">
        <f t="shared" si="4009"/>
        <v>0</v>
      </c>
      <c r="Q3422" s="49">
        <f t="shared" si="4010"/>
        <v>0</v>
      </c>
    </row>
    <row r="3423" spans="4:17" s="62" customFormat="1" x14ac:dyDescent="0.3">
      <c r="D3423" s="235">
        <v>56</v>
      </c>
      <c r="E3423" s="240">
        <v>2</v>
      </c>
      <c r="F3423" s="241">
        <v>10</v>
      </c>
      <c r="G3423" s="242">
        <v>4.7699999999999996</v>
      </c>
      <c r="H3423" s="239">
        <f t="shared" si="4001"/>
        <v>9.5399999999999991</v>
      </c>
      <c r="I3423" s="131">
        <f t="shared" si="4002"/>
        <v>0</v>
      </c>
      <c r="J3423" s="31">
        <f t="shared" si="4003"/>
        <v>0</v>
      </c>
      <c r="K3423" s="31">
        <f t="shared" si="4004"/>
        <v>0</v>
      </c>
      <c r="L3423" s="31">
        <f t="shared" si="4005"/>
        <v>0</v>
      </c>
      <c r="M3423" s="31">
        <f t="shared" si="4006"/>
        <v>5.8861799999999995</v>
      </c>
      <c r="N3423" s="31">
        <f t="shared" si="4007"/>
        <v>0</v>
      </c>
      <c r="O3423" s="31">
        <f t="shared" si="4008"/>
        <v>0</v>
      </c>
      <c r="P3423" s="31">
        <f t="shared" si="4009"/>
        <v>0</v>
      </c>
      <c r="Q3423" s="49">
        <f t="shared" si="4010"/>
        <v>0</v>
      </c>
    </row>
    <row r="3424" spans="4:17" s="62" customFormat="1" x14ac:dyDescent="0.3">
      <c r="D3424" s="235">
        <v>78</v>
      </c>
      <c r="E3424" s="240">
        <v>1</v>
      </c>
      <c r="F3424" s="241">
        <v>12.5</v>
      </c>
      <c r="G3424" s="242">
        <v>4.3600000000000003</v>
      </c>
      <c r="H3424" s="239">
        <f t="shared" si="4001"/>
        <v>4.3600000000000003</v>
      </c>
      <c r="I3424" s="131">
        <f t="shared" si="4002"/>
        <v>0</v>
      </c>
      <c r="J3424" s="31">
        <f t="shared" si="4003"/>
        <v>0</v>
      </c>
      <c r="K3424" s="31">
        <f t="shared" si="4004"/>
        <v>0</v>
      </c>
      <c r="L3424" s="31">
        <f t="shared" si="4005"/>
        <v>0</v>
      </c>
      <c r="M3424" s="31">
        <f t="shared" si="4006"/>
        <v>0</v>
      </c>
      <c r="N3424" s="31">
        <f t="shared" si="4007"/>
        <v>4.1986800000000004</v>
      </c>
      <c r="O3424" s="31">
        <f t="shared" si="4008"/>
        <v>0</v>
      </c>
      <c r="P3424" s="31">
        <f t="shared" si="4009"/>
        <v>0</v>
      </c>
      <c r="Q3424" s="49">
        <f t="shared" si="4010"/>
        <v>0</v>
      </c>
    </row>
    <row r="3425" spans="4:17" s="62" customFormat="1" x14ac:dyDescent="0.3">
      <c r="D3425" s="235">
        <v>79</v>
      </c>
      <c r="E3425" s="240">
        <v>2</v>
      </c>
      <c r="F3425" s="241">
        <v>12.5</v>
      </c>
      <c r="G3425" s="242">
        <v>4.43</v>
      </c>
      <c r="H3425" s="239">
        <f t="shared" si="4001"/>
        <v>8.86</v>
      </c>
      <c r="I3425" s="131">
        <f t="shared" si="4002"/>
        <v>0</v>
      </c>
      <c r="J3425" s="31">
        <f t="shared" si="4003"/>
        <v>0</v>
      </c>
      <c r="K3425" s="31">
        <f t="shared" si="4004"/>
        <v>0</v>
      </c>
      <c r="L3425" s="31">
        <f t="shared" si="4005"/>
        <v>0</v>
      </c>
      <c r="M3425" s="31">
        <f t="shared" si="4006"/>
        <v>0</v>
      </c>
      <c r="N3425" s="31">
        <f t="shared" si="4007"/>
        <v>8.5321799999999985</v>
      </c>
      <c r="O3425" s="31">
        <f t="shared" si="4008"/>
        <v>0</v>
      </c>
      <c r="P3425" s="31">
        <f t="shared" si="4009"/>
        <v>0</v>
      </c>
      <c r="Q3425" s="49">
        <f t="shared" si="4010"/>
        <v>0</v>
      </c>
    </row>
    <row r="3426" spans="4:17" s="62" customFormat="1" ht="15" thickBot="1" x14ac:dyDescent="0.35">
      <c r="D3426" s="307"/>
      <c r="E3426" s="26"/>
      <c r="F3426" s="206"/>
      <c r="G3426" s="207"/>
      <c r="H3426" s="207"/>
      <c r="I3426" s="51"/>
      <c r="J3426" s="308"/>
      <c r="K3426" s="308"/>
      <c r="L3426" s="308"/>
      <c r="M3426" s="308"/>
      <c r="N3426" s="308"/>
      <c r="O3426" s="308"/>
      <c r="P3426" s="308"/>
      <c r="Q3426" s="309"/>
    </row>
    <row r="3427" spans="4:17" s="62" customFormat="1" x14ac:dyDescent="0.3">
      <c r="D3427" s="796" t="s">
        <v>1757</v>
      </c>
      <c r="E3427" s="797"/>
      <c r="F3427" s="797"/>
      <c r="G3427" s="797"/>
      <c r="H3427" s="797"/>
      <c r="I3427" s="47">
        <f t="shared" ref="I3427:Q3427" si="4011">SUM(I3428:I3439)</f>
        <v>0</v>
      </c>
      <c r="J3427" s="47">
        <f t="shared" si="4011"/>
        <v>13.50272</v>
      </c>
      <c r="K3427" s="47">
        <f t="shared" si="4011"/>
        <v>0</v>
      </c>
      <c r="L3427" s="47">
        <f t="shared" si="4011"/>
        <v>0</v>
      </c>
      <c r="M3427" s="47">
        <f t="shared" si="4011"/>
        <v>0</v>
      </c>
      <c r="N3427" s="47">
        <f t="shared" si="4011"/>
        <v>72.205739999999992</v>
      </c>
      <c r="O3427" s="47">
        <f t="shared" si="4011"/>
        <v>0</v>
      </c>
      <c r="P3427" s="47">
        <f t="shared" si="4011"/>
        <v>0</v>
      </c>
      <c r="Q3427" s="47">
        <f t="shared" si="4011"/>
        <v>0</v>
      </c>
    </row>
    <row r="3428" spans="4:17" s="62" customFormat="1" x14ac:dyDescent="0.3">
      <c r="D3428" s="235">
        <v>4</v>
      </c>
      <c r="E3428" s="237">
        <v>64</v>
      </c>
      <c r="F3428" s="238">
        <v>5</v>
      </c>
      <c r="G3428" s="239">
        <v>1.37</v>
      </c>
      <c r="H3428" s="239">
        <f t="shared" ref="H3428:H3439" si="4012">E3428*G3428</f>
        <v>87.68</v>
      </c>
      <c r="I3428" s="131">
        <f t="shared" ref="I3428:I3439" si="4013">IF($F3428=4.2,H3428*$B$23,0)</f>
        <v>0</v>
      </c>
      <c r="J3428" s="31">
        <f t="shared" ref="J3428:J3439" si="4014">IF($F3428=5,$H3428*$B$24,0)</f>
        <v>13.50272</v>
      </c>
      <c r="K3428" s="31">
        <f t="shared" ref="K3428:K3439" si="4015">IF($F3428=6.3,$H3428*$B$25,0)</f>
        <v>0</v>
      </c>
      <c r="L3428" s="31">
        <f t="shared" ref="L3428:L3439" si="4016">IF($F3428=8,$H3428*$B$26,0)</f>
        <v>0</v>
      </c>
      <c r="M3428" s="31">
        <f t="shared" ref="M3428:M3439" si="4017">IF($F3428=10,$H3428*$B$27,0)</f>
        <v>0</v>
      </c>
      <c r="N3428" s="31">
        <f t="shared" ref="N3428:N3439" si="4018">IF($F3428=12.5,$H3428*$B$28,0)</f>
        <v>0</v>
      </c>
      <c r="O3428" s="31">
        <f t="shared" ref="O3428:O3439" si="4019">IF($F3428=16,$H3428*$B$29,0)</f>
        <v>0</v>
      </c>
      <c r="P3428" s="31">
        <f t="shared" ref="P3428:P3439" si="4020">IF($F3428=20,$H3428*$B$30,0)</f>
        <v>0</v>
      </c>
      <c r="Q3428" s="49">
        <f t="shared" ref="Q3428:Q3439" si="4021">IF($F3428=25,$H3428*$B$31,0)</f>
        <v>0</v>
      </c>
    </row>
    <row r="3429" spans="4:17" s="62" customFormat="1" x14ac:dyDescent="0.3">
      <c r="D3429" s="235">
        <v>69</v>
      </c>
      <c r="E3429" s="240">
        <v>4</v>
      </c>
      <c r="F3429" s="241">
        <v>12.5</v>
      </c>
      <c r="G3429" s="242">
        <v>10.74</v>
      </c>
      <c r="H3429" s="239">
        <f t="shared" si="4012"/>
        <v>42.96</v>
      </c>
      <c r="I3429" s="131">
        <f t="shared" si="4013"/>
        <v>0</v>
      </c>
      <c r="J3429" s="31">
        <f t="shared" si="4014"/>
        <v>0</v>
      </c>
      <c r="K3429" s="31">
        <f t="shared" si="4015"/>
        <v>0</v>
      </c>
      <c r="L3429" s="31">
        <f t="shared" si="4016"/>
        <v>0</v>
      </c>
      <c r="M3429" s="31">
        <f t="shared" si="4017"/>
        <v>0</v>
      </c>
      <c r="N3429" s="31">
        <f t="shared" si="4018"/>
        <v>41.370480000000001</v>
      </c>
      <c r="O3429" s="31">
        <f t="shared" si="4019"/>
        <v>0</v>
      </c>
      <c r="P3429" s="31">
        <f t="shared" si="4020"/>
        <v>0</v>
      </c>
      <c r="Q3429" s="49">
        <f t="shared" si="4021"/>
        <v>0</v>
      </c>
    </row>
    <row r="3430" spans="4:17" s="62" customFormat="1" x14ac:dyDescent="0.3">
      <c r="D3430" s="235">
        <v>86</v>
      </c>
      <c r="E3430" s="240">
        <v>2</v>
      </c>
      <c r="F3430" s="241">
        <v>12.5</v>
      </c>
      <c r="G3430" s="242">
        <v>6.11</v>
      </c>
      <c r="H3430" s="239">
        <f t="shared" si="4012"/>
        <v>12.22</v>
      </c>
      <c r="I3430" s="131">
        <f t="shared" si="4013"/>
        <v>0</v>
      </c>
      <c r="J3430" s="31">
        <f t="shared" si="4014"/>
        <v>0</v>
      </c>
      <c r="K3430" s="31">
        <f t="shared" si="4015"/>
        <v>0</v>
      </c>
      <c r="L3430" s="31">
        <f t="shared" si="4016"/>
        <v>0</v>
      </c>
      <c r="M3430" s="31">
        <f t="shared" si="4017"/>
        <v>0</v>
      </c>
      <c r="N3430" s="31">
        <f t="shared" si="4018"/>
        <v>11.767860000000001</v>
      </c>
      <c r="O3430" s="31">
        <f t="shared" si="4019"/>
        <v>0</v>
      </c>
      <c r="P3430" s="31">
        <f t="shared" si="4020"/>
        <v>0</v>
      </c>
      <c r="Q3430" s="49">
        <f t="shared" si="4021"/>
        <v>0</v>
      </c>
    </row>
    <row r="3431" spans="4:17" s="62" customFormat="1" x14ac:dyDescent="0.3">
      <c r="D3431" s="235">
        <v>87</v>
      </c>
      <c r="E3431" s="240">
        <v>2</v>
      </c>
      <c r="F3431" s="241">
        <v>12.5</v>
      </c>
      <c r="G3431" s="242">
        <v>2.93</v>
      </c>
      <c r="H3431" s="239">
        <f t="shared" si="4012"/>
        <v>5.86</v>
      </c>
      <c r="I3431" s="131">
        <f t="shared" si="4013"/>
        <v>0</v>
      </c>
      <c r="J3431" s="31">
        <f t="shared" si="4014"/>
        <v>0</v>
      </c>
      <c r="K3431" s="31">
        <f t="shared" si="4015"/>
        <v>0</v>
      </c>
      <c r="L3431" s="31">
        <f t="shared" si="4016"/>
        <v>0</v>
      </c>
      <c r="M3431" s="31">
        <f t="shared" si="4017"/>
        <v>0</v>
      </c>
      <c r="N3431" s="31">
        <f t="shared" si="4018"/>
        <v>5.6431800000000001</v>
      </c>
      <c r="O3431" s="31">
        <f t="shared" si="4019"/>
        <v>0</v>
      </c>
      <c r="P3431" s="31">
        <f t="shared" si="4020"/>
        <v>0</v>
      </c>
      <c r="Q3431" s="49">
        <f t="shared" si="4021"/>
        <v>0</v>
      </c>
    </row>
    <row r="3432" spans="4:17" s="62" customFormat="1" x14ac:dyDescent="0.3">
      <c r="D3432" s="235">
        <v>88</v>
      </c>
      <c r="E3432" s="240">
        <v>2</v>
      </c>
      <c r="F3432" s="241">
        <v>12.5</v>
      </c>
      <c r="G3432" s="242">
        <v>1.82</v>
      </c>
      <c r="H3432" s="239">
        <f t="shared" si="4012"/>
        <v>3.64</v>
      </c>
      <c r="I3432" s="131">
        <f t="shared" si="4013"/>
        <v>0</v>
      </c>
      <c r="J3432" s="31">
        <f t="shared" si="4014"/>
        <v>0</v>
      </c>
      <c r="K3432" s="31">
        <f t="shared" si="4015"/>
        <v>0</v>
      </c>
      <c r="L3432" s="31">
        <f t="shared" si="4016"/>
        <v>0</v>
      </c>
      <c r="M3432" s="31">
        <f t="shared" si="4017"/>
        <v>0</v>
      </c>
      <c r="N3432" s="31">
        <f t="shared" si="4018"/>
        <v>3.5053200000000002</v>
      </c>
      <c r="O3432" s="31">
        <f t="shared" si="4019"/>
        <v>0</v>
      </c>
      <c r="P3432" s="31">
        <f t="shared" si="4020"/>
        <v>0</v>
      </c>
      <c r="Q3432" s="49">
        <f t="shared" si="4021"/>
        <v>0</v>
      </c>
    </row>
    <row r="3433" spans="4:17" s="62" customFormat="1" x14ac:dyDescent="0.3">
      <c r="D3433" s="235">
        <v>89</v>
      </c>
      <c r="E3433" s="240">
        <v>1</v>
      </c>
      <c r="F3433" s="241">
        <v>12.5</v>
      </c>
      <c r="G3433" s="242">
        <v>3</v>
      </c>
      <c r="H3433" s="239">
        <f t="shared" si="4012"/>
        <v>3</v>
      </c>
      <c r="I3433" s="131">
        <f t="shared" si="4013"/>
        <v>0</v>
      </c>
      <c r="J3433" s="31">
        <f t="shared" si="4014"/>
        <v>0</v>
      </c>
      <c r="K3433" s="31">
        <f t="shared" si="4015"/>
        <v>0</v>
      </c>
      <c r="L3433" s="31">
        <f t="shared" si="4016"/>
        <v>0</v>
      </c>
      <c r="M3433" s="31">
        <f t="shared" si="4017"/>
        <v>0</v>
      </c>
      <c r="N3433" s="31">
        <f t="shared" si="4018"/>
        <v>2.8889999999999998</v>
      </c>
      <c r="O3433" s="31">
        <f t="shared" si="4019"/>
        <v>0</v>
      </c>
      <c r="P3433" s="31">
        <f t="shared" si="4020"/>
        <v>0</v>
      </c>
      <c r="Q3433" s="49">
        <f t="shared" si="4021"/>
        <v>0</v>
      </c>
    </row>
    <row r="3434" spans="4:17" s="62" customFormat="1" x14ac:dyDescent="0.3">
      <c r="D3434" s="235">
        <v>90</v>
      </c>
      <c r="E3434" s="240">
        <v>1</v>
      </c>
      <c r="F3434" s="241">
        <v>12.5</v>
      </c>
      <c r="G3434" s="242">
        <v>7.3</v>
      </c>
      <c r="H3434" s="239">
        <f t="shared" si="4012"/>
        <v>7.3</v>
      </c>
      <c r="I3434" s="131">
        <f t="shared" si="4013"/>
        <v>0</v>
      </c>
      <c r="J3434" s="31">
        <f t="shared" si="4014"/>
        <v>0</v>
      </c>
      <c r="K3434" s="31">
        <f t="shared" si="4015"/>
        <v>0</v>
      </c>
      <c r="L3434" s="31">
        <f t="shared" si="4016"/>
        <v>0</v>
      </c>
      <c r="M3434" s="31">
        <f t="shared" si="4017"/>
        <v>0</v>
      </c>
      <c r="N3434" s="31">
        <f t="shared" si="4018"/>
        <v>7.0298999999999996</v>
      </c>
      <c r="O3434" s="31">
        <f t="shared" si="4019"/>
        <v>0</v>
      </c>
      <c r="P3434" s="31">
        <f t="shared" si="4020"/>
        <v>0</v>
      </c>
      <c r="Q3434" s="49">
        <f t="shared" si="4021"/>
        <v>0</v>
      </c>
    </row>
    <row r="3435" spans="4:17" s="62" customFormat="1" x14ac:dyDescent="0.3">
      <c r="D3435" s="235"/>
      <c r="E3435" s="240"/>
      <c r="F3435" s="241"/>
      <c r="G3435" s="242"/>
      <c r="H3435" s="239">
        <f t="shared" si="4012"/>
        <v>0</v>
      </c>
      <c r="I3435" s="131">
        <f t="shared" si="4013"/>
        <v>0</v>
      </c>
      <c r="J3435" s="31">
        <f t="shared" si="4014"/>
        <v>0</v>
      </c>
      <c r="K3435" s="31">
        <f t="shared" si="4015"/>
        <v>0</v>
      </c>
      <c r="L3435" s="31">
        <f t="shared" si="4016"/>
        <v>0</v>
      </c>
      <c r="M3435" s="31">
        <f t="shared" si="4017"/>
        <v>0</v>
      </c>
      <c r="N3435" s="31">
        <f t="shared" si="4018"/>
        <v>0</v>
      </c>
      <c r="O3435" s="31">
        <f t="shared" si="4019"/>
        <v>0</v>
      </c>
      <c r="P3435" s="31">
        <f t="shared" si="4020"/>
        <v>0</v>
      </c>
      <c r="Q3435" s="49">
        <f t="shared" si="4021"/>
        <v>0</v>
      </c>
    </row>
    <row r="3436" spans="4:17" s="62" customFormat="1" x14ac:dyDescent="0.3">
      <c r="D3436" s="235"/>
      <c r="E3436" s="240"/>
      <c r="F3436" s="241"/>
      <c r="G3436" s="242"/>
      <c r="H3436" s="239">
        <f t="shared" si="4012"/>
        <v>0</v>
      </c>
      <c r="I3436" s="131">
        <f t="shared" si="4013"/>
        <v>0</v>
      </c>
      <c r="J3436" s="31">
        <f t="shared" si="4014"/>
        <v>0</v>
      </c>
      <c r="K3436" s="31">
        <f t="shared" si="4015"/>
        <v>0</v>
      </c>
      <c r="L3436" s="31">
        <f t="shared" si="4016"/>
        <v>0</v>
      </c>
      <c r="M3436" s="31">
        <f t="shared" si="4017"/>
        <v>0</v>
      </c>
      <c r="N3436" s="31">
        <f t="shared" si="4018"/>
        <v>0</v>
      </c>
      <c r="O3436" s="31">
        <f t="shared" si="4019"/>
        <v>0</v>
      </c>
      <c r="P3436" s="31">
        <f t="shared" si="4020"/>
        <v>0</v>
      </c>
      <c r="Q3436" s="49">
        <f t="shared" si="4021"/>
        <v>0</v>
      </c>
    </row>
    <row r="3437" spans="4:17" s="62" customFormat="1" x14ac:dyDescent="0.3">
      <c r="D3437" s="235"/>
      <c r="E3437" s="240"/>
      <c r="F3437" s="241"/>
      <c r="G3437" s="242"/>
      <c r="H3437" s="239">
        <f t="shared" si="4012"/>
        <v>0</v>
      </c>
      <c r="I3437" s="131">
        <f t="shared" si="4013"/>
        <v>0</v>
      </c>
      <c r="J3437" s="31">
        <f t="shared" si="4014"/>
        <v>0</v>
      </c>
      <c r="K3437" s="31">
        <f t="shared" si="4015"/>
        <v>0</v>
      </c>
      <c r="L3437" s="31">
        <f t="shared" si="4016"/>
        <v>0</v>
      </c>
      <c r="M3437" s="31">
        <f t="shared" si="4017"/>
        <v>0</v>
      </c>
      <c r="N3437" s="31">
        <f t="shared" si="4018"/>
        <v>0</v>
      </c>
      <c r="O3437" s="31">
        <f t="shared" si="4019"/>
        <v>0</v>
      </c>
      <c r="P3437" s="31">
        <f t="shared" si="4020"/>
        <v>0</v>
      </c>
      <c r="Q3437" s="49">
        <f t="shared" si="4021"/>
        <v>0</v>
      </c>
    </row>
    <row r="3438" spans="4:17" s="62" customFormat="1" x14ac:dyDescent="0.3">
      <c r="D3438" s="235"/>
      <c r="E3438" s="240"/>
      <c r="F3438" s="241"/>
      <c r="G3438" s="242"/>
      <c r="H3438" s="239">
        <f t="shared" si="4012"/>
        <v>0</v>
      </c>
      <c r="I3438" s="131">
        <f t="shared" si="4013"/>
        <v>0</v>
      </c>
      <c r="J3438" s="31">
        <f t="shared" si="4014"/>
        <v>0</v>
      </c>
      <c r="K3438" s="31">
        <f t="shared" si="4015"/>
        <v>0</v>
      </c>
      <c r="L3438" s="31">
        <f t="shared" si="4016"/>
        <v>0</v>
      </c>
      <c r="M3438" s="31">
        <f t="shared" si="4017"/>
        <v>0</v>
      </c>
      <c r="N3438" s="31">
        <f t="shared" si="4018"/>
        <v>0</v>
      </c>
      <c r="O3438" s="31">
        <f t="shared" si="4019"/>
        <v>0</v>
      </c>
      <c r="P3438" s="31">
        <f t="shared" si="4020"/>
        <v>0</v>
      </c>
      <c r="Q3438" s="49">
        <f t="shared" si="4021"/>
        <v>0</v>
      </c>
    </row>
    <row r="3439" spans="4:17" s="62" customFormat="1" x14ac:dyDescent="0.3">
      <c r="D3439" s="235"/>
      <c r="E3439" s="240"/>
      <c r="F3439" s="241"/>
      <c r="G3439" s="242"/>
      <c r="H3439" s="239">
        <f t="shared" si="4012"/>
        <v>0</v>
      </c>
      <c r="I3439" s="131">
        <f t="shared" si="4013"/>
        <v>0</v>
      </c>
      <c r="J3439" s="31">
        <f t="shared" si="4014"/>
        <v>0</v>
      </c>
      <c r="K3439" s="31">
        <f t="shared" si="4015"/>
        <v>0</v>
      </c>
      <c r="L3439" s="31">
        <f t="shared" si="4016"/>
        <v>0</v>
      </c>
      <c r="M3439" s="31">
        <f t="shared" si="4017"/>
        <v>0</v>
      </c>
      <c r="N3439" s="31">
        <f t="shared" si="4018"/>
        <v>0</v>
      </c>
      <c r="O3439" s="31">
        <f t="shared" si="4019"/>
        <v>0</v>
      </c>
      <c r="P3439" s="31">
        <f t="shared" si="4020"/>
        <v>0</v>
      </c>
      <c r="Q3439" s="49">
        <f t="shared" si="4021"/>
        <v>0</v>
      </c>
    </row>
    <row r="3440" spans="4:17" s="62" customFormat="1" ht="15" thickBot="1" x14ac:dyDescent="0.35">
      <c r="D3440" s="307"/>
      <c r="E3440" s="26"/>
      <c r="F3440" s="206"/>
      <c r="G3440" s="207"/>
      <c r="H3440" s="207"/>
      <c r="I3440" s="51"/>
      <c r="J3440" s="308"/>
      <c r="K3440" s="308"/>
      <c r="L3440" s="308"/>
      <c r="M3440" s="308"/>
      <c r="N3440" s="308"/>
      <c r="O3440" s="308"/>
      <c r="P3440" s="308"/>
      <c r="Q3440" s="309"/>
    </row>
    <row r="3441" spans="2:20" s="16" customFormat="1" ht="15" customHeight="1" thickBot="1" x14ac:dyDescent="0.3">
      <c r="B3441" s="34"/>
      <c r="D3441" s="792" t="s">
        <v>930</v>
      </c>
      <c r="E3441" s="793"/>
      <c r="F3441" s="793"/>
      <c r="G3441" s="793"/>
      <c r="H3441" s="793"/>
      <c r="I3441" s="793"/>
      <c r="J3441" s="793"/>
      <c r="K3441" s="793"/>
      <c r="L3441" s="793"/>
      <c r="M3441" s="793"/>
      <c r="N3441" s="793"/>
      <c r="O3441" s="793"/>
      <c r="P3441" s="793"/>
      <c r="Q3441" s="794"/>
      <c r="S3441" s="795"/>
      <c r="T3441" s="795"/>
    </row>
    <row r="3442" spans="2:20" s="62" customFormat="1" x14ac:dyDescent="0.3">
      <c r="D3442" s="796" t="s">
        <v>1817</v>
      </c>
      <c r="E3442" s="797"/>
      <c r="F3442" s="797"/>
      <c r="G3442" s="797"/>
      <c r="H3442" s="797"/>
      <c r="I3442" s="47">
        <f t="shared" ref="I3442:Q3442" si="4022">SUM(I3443:I3448)</f>
        <v>0</v>
      </c>
      <c r="J3442" s="47">
        <f t="shared" si="4022"/>
        <v>11.343639999999999</v>
      </c>
      <c r="K3442" s="47">
        <f t="shared" si="4022"/>
        <v>0</v>
      </c>
      <c r="L3442" s="47">
        <f t="shared" si="4022"/>
        <v>7.1574</v>
      </c>
      <c r="M3442" s="47">
        <f t="shared" si="4022"/>
        <v>0</v>
      </c>
      <c r="N3442" s="47">
        <f t="shared" si="4022"/>
        <v>43.652789999999996</v>
      </c>
      <c r="O3442" s="47">
        <f t="shared" si="4022"/>
        <v>0</v>
      </c>
      <c r="P3442" s="47">
        <f t="shared" si="4022"/>
        <v>0</v>
      </c>
      <c r="Q3442" s="47">
        <f t="shared" si="4022"/>
        <v>0</v>
      </c>
    </row>
    <row r="3443" spans="2:20" s="62" customFormat="1" x14ac:dyDescent="0.3">
      <c r="D3443" s="235">
        <v>1</v>
      </c>
      <c r="E3443" s="237">
        <v>58</v>
      </c>
      <c r="F3443" s="238">
        <v>5</v>
      </c>
      <c r="G3443" s="239">
        <v>1.27</v>
      </c>
      <c r="H3443" s="239">
        <f t="shared" ref="H3443:H3448" si="4023">E3443*G3443</f>
        <v>73.66</v>
      </c>
      <c r="I3443" s="131">
        <f t="shared" ref="I3443:I3448" si="4024">IF($F3443=4.2,H3443*$B$23,0)</f>
        <v>0</v>
      </c>
      <c r="J3443" s="31">
        <f t="shared" ref="J3443:J3448" si="4025">IF($F3443=5,$H3443*$B$24,0)</f>
        <v>11.343639999999999</v>
      </c>
      <c r="K3443" s="31">
        <f t="shared" ref="K3443:K3448" si="4026">IF($F3443=6.3,$H3443*$B$25,0)</f>
        <v>0</v>
      </c>
      <c r="L3443" s="31">
        <f t="shared" ref="L3443:L3448" si="4027">IF($F3443=8,$H3443*$B$26,0)</f>
        <v>0</v>
      </c>
      <c r="M3443" s="31">
        <f t="shared" ref="M3443:M3448" si="4028">IF($F3443=10,$H3443*$B$27,0)</f>
        <v>0</v>
      </c>
      <c r="N3443" s="31">
        <f t="shared" ref="N3443:N3448" si="4029">IF($F3443=12.5,$H3443*$B$28,0)</f>
        <v>0</v>
      </c>
      <c r="O3443" s="31">
        <f t="shared" ref="O3443:O3448" si="4030">IF($F3443=16,$H3443*$B$29,0)</f>
        <v>0</v>
      </c>
      <c r="P3443" s="31">
        <f t="shared" ref="P3443:P3448" si="4031">IF($F3443=20,$H3443*$B$30,0)</f>
        <v>0</v>
      </c>
      <c r="Q3443" s="49">
        <f t="shared" ref="Q3443:Q3448" si="4032">IF($F3443=25,$H3443*$B$31,0)</f>
        <v>0</v>
      </c>
    </row>
    <row r="3444" spans="2:20" s="62" customFormat="1" x14ac:dyDescent="0.3">
      <c r="D3444" s="235">
        <v>3</v>
      </c>
      <c r="E3444" s="240">
        <v>4</v>
      </c>
      <c r="F3444" s="241">
        <v>8</v>
      </c>
      <c r="G3444" s="242">
        <v>2.23</v>
      </c>
      <c r="H3444" s="239">
        <f t="shared" si="4023"/>
        <v>8.92</v>
      </c>
      <c r="I3444" s="131">
        <f t="shared" si="4024"/>
        <v>0</v>
      </c>
      <c r="J3444" s="31">
        <f t="shared" si="4025"/>
        <v>0</v>
      </c>
      <c r="K3444" s="31">
        <f t="shared" si="4026"/>
        <v>0</v>
      </c>
      <c r="L3444" s="31">
        <f t="shared" si="4027"/>
        <v>3.5234000000000001</v>
      </c>
      <c r="M3444" s="31">
        <f t="shared" si="4028"/>
        <v>0</v>
      </c>
      <c r="N3444" s="31">
        <f t="shared" si="4029"/>
        <v>0</v>
      </c>
      <c r="O3444" s="31">
        <f t="shared" si="4030"/>
        <v>0</v>
      </c>
      <c r="P3444" s="31">
        <f t="shared" si="4031"/>
        <v>0</v>
      </c>
      <c r="Q3444" s="49">
        <f t="shared" si="4032"/>
        <v>0</v>
      </c>
    </row>
    <row r="3445" spans="2:20" s="62" customFormat="1" x14ac:dyDescent="0.3">
      <c r="D3445" s="235">
        <v>4</v>
      </c>
      <c r="E3445" s="240">
        <v>4</v>
      </c>
      <c r="F3445" s="241">
        <v>8</v>
      </c>
      <c r="G3445" s="242">
        <v>2.2999999999999998</v>
      </c>
      <c r="H3445" s="239">
        <f t="shared" si="4023"/>
        <v>9.1999999999999993</v>
      </c>
      <c r="I3445" s="131">
        <f t="shared" si="4024"/>
        <v>0</v>
      </c>
      <c r="J3445" s="31">
        <f t="shared" si="4025"/>
        <v>0</v>
      </c>
      <c r="K3445" s="31">
        <f t="shared" si="4026"/>
        <v>0</v>
      </c>
      <c r="L3445" s="31">
        <f t="shared" si="4027"/>
        <v>3.6339999999999999</v>
      </c>
      <c r="M3445" s="31">
        <f t="shared" si="4028"/>
        <v>0</v>
      </c>
      <c r="N3445" s="31">
        <f t="shared" si="4029"/>
        <v>0</v>
      </c>
      <c r="O3445" s="31">
        <f t="shared" si="4030"/>
        <v>0</v>
      </c>
      <c r="P3445" s="31">
        <f t="shared" si="4031"/>
        <v>0</v>
      </c>
      <c r="Q3445" s="49">
        <f t="shared" si="4032"/>
        <v>0</v>
      </c>
    </row>
    <row r="3446" spans="2:20" s="62" customFormat="1" x14ac:dyDescent="0.3">
      <c r="D3446" s="235">
        <v>44</v>
      </c>
      <c r="E3446" s="240">
        <v>2</v>
      </c>
      <c r="F3446" s="241">
        <v>12.5</v>
      </c>
      <c r="G3446" s="242">
        <v>10.09</v>
      </c>
      <c r="H3446" s="239">
        <f t="shared" si="4023"/>
        <v>20.18</v>
      </c>
      <c r="I3446" s="131">
        <f t="shared" si="4024"/>
        <v>0</v>
      </c>
      <c r="J3446" s="31">
        <f t="shared" si="4025"/>
        <v>0</v>
      </c>
      <c r="K3446" s="31">
        <f t="shared" si="4026"/>
        <v>0</v>
      </c>
      <c r="L3446" s="31">
        <f t="shared" si="4027"/>
        <v>0</v>
      </c>
      <c r="M3446" s="31">
        <f t="shared" si="4028"/>
        <v>0</v>
      </c>
      <c r="N3446" s="31">
        <f t="shared" si="4029"/>
        <v>19.433339999999998</v>
      </c>
      <c r="O3446" s="31">
        <f t="shared" si="4030"/>
        <v>0</v>
      </c>
      <c r="P3446" s="31">
        <f t="shared" si="4031"/>
        <v>0</v>
      </c>
      <c r="Q3446" s="49">
        <f t="shared" si="4032"/>
        <v>0</v>
      </c>
    </row>
    <row r="3447" spans="2:20" s="62" customFormat="1" x14ac:dyDescent="0.3">
      <c r="D3447" s="235">
        <v>45</v>
      </c>
      <c r="E3447" s="240">
        <v>1</v>
      </c>
      <c r="F3447" s="241">
        <v>12.5</v>
      </c>
      <c r="G3447" s="242">
        <v>3.63</v>
      </c>
      <c r="H3447" s="239">
        <f t="shared" si="4023"/>
        <v>3.63</v>
      </c>
      <c r="I3447" s="131">
        <f t="shared" si="4024"/>
        <v>0</v>
      </c>
      <c r="J3447" s="31">
        <f t="shared" si="4025"/>
        <v>0</v>
      </c>
      <c r="K3447" s="31">
        <f t="shared" si="4026"/>
        <v>0</v>
      </c>
      <c r="L3447" s="31">
        <f t="shared" si="4027"/>
        <v>0</v>
      </c>
      <c r="M3447" s="31">
        <f t="shared" si="4028"/>
        <v>0</v>
      </c>
      <c r="N3447" s="31">
        <f t="shared" si="4029"/>
        <v>3.4956899999999997</v>
      </c>
      <c r="O3447" s="31">
        <f t="shared" si="4030"/>
        <v>0</v>
      </c>
      <c r="P3447" s="31">
        <f t="shared" si="4031"/>
        <v>0</v>
      </c>
      <c r="Q3447" s="49">
        <f t="shared" si="4032"/>
        <v>0</v>
      </c>
    </row>
    <row r="3448" spans="2:20" s="62" customFormat="1" x14ac:dyDescent="0.3">
      <c r="D3448" s="235">
        <v>46</v>
      </c>
      <c r="E3448" s="240">
        <v>2</v>
      </c>
      <c r="F3448" s="241">
        <v>12.5</v>
      </c>
      <c r="G3448" s="242">
        <v>10.76</v>
      </c>
      <c r="H3448" s="239">
        <f t="shared" si="4023"/>
        <v>21.52</v>
      </c>
      <c r="I3448" s="131">
        <f t="shared" si="4024"/>
        <v>0</v>
      </c>
      <c r="J3448" s="31">
        <f t="shared" si="4025"/>
        <v>0</v>
      </c>
      <c r="K3448" s="31">
        <f t="shared" si="4026"/>
        <v>0</v>
      </c>
      <c r="L3448" s="31">
        <f t="shared" si="4027"/>
        <v>0</v>
      </c>
      <c r="M3448" s="31">
        <f t="shared" si="4028"/>
        <v>0</v>
      </c>
      <c r="N3448" s="31">
        <f t="shared" si="4029"/>
        <v>20.723759999999999</v>
      </c>
      <c r="O3448" s="31">
        <f t="shared" si="4030"/>
        <v>0</v>
      </c>
      <c r="P3448" s="31">
        <f t="shared" si="4031"/>
        <v>0</v>
      </c>
      <c r="Q3448" s="49">
        <f t="shared" si="4032"/>
        <v>0</v>
      </c>
    </row>
    <row r="3449" spans="2:20" s="62" customFormat="1" ht="15" thickBot="1" x14ac:dyDescent="0.35">
      <c r="D3449" s="307"/>
      <c r="E3449" s="26"/>
      <c r="F3449" s="206"/>
      <c r="G3449" s="207"/>
      <c r="H3449" s="207"/>
      <c r="I3449" s="51"/>
      <c r="J3449" s="308"/>
      <c r="K3449" s="308"/>
      <c r="L3449" s="308"/>
      <c r="M3449" s="308"/>
      <c r="N3449" s="308"/>
      <c r="O3449" s="308"/>
      <c r="P3449" s="308"/>
      <c r="Q3449" s="309"/>
    </row>
    <row r="3450" spans="2:20" s="62" customFormat="1" x14ac:dyDescent="0.3">
      <c r="D3450" s="796" t="s">
        <v>1818</v>
      </c>
      <c r="E3450" s="797"/>
      <c r="F3450" s="797"/>
      <c r="G3450" s="797"/>
      <c r="H3450" s="797"/>
      <c r="I3450" s="47">
        <f t="shared" ref="I3450:Q3450" si="4033">SUM(I3451:I3454)</f>
        <v>0</v>
      </c>
      <c r="J3450" s="47">
        <f t="shared" si="4033"/>
        <v>7.3196200000000005</v>
      </c>
      <c r="K3450" s="47">
        <f t="shared" si="4033"/>
        <v>0</v>
      </c>
      <c r="L3450" s="47">
        <f t="shared" si="4033"/>
        <v>17.767099999999999</v>
      </c>
      <c r="M3450" s="47">
        <f t="shared" si="4033"/>
        <v>12.45106</v>
      </c>
      <c r="N3450" s="47">
        <f t="shared" si="4033"/>
        <v>0</v>
      </c>
      <c r="O3450" s="47">
        <f t="shared" si="4033"/>
        <v>0</v>
      </c>
      <c r="P3450" s="47">
        <f t="shared" si="4033"/>
        <v>0</v>
      </c>
      <c r="Q3450" s="47">
        <f t="shared" si="4033"/>
        <v>0</v>
      </c>
    </row>
    <row r="3451" spans="2:20" s="62" customFormat="1" x14ac:dyDescent="0.3">
      <c r="D3451" s="235">
        <v>2</v>
      </c>
      <c r="E3451" s="237">
        <v>49</v>
      </c>
      <c r="F3451" s="238">
        <v>5</v>
      </c>
      <c r="G3451" s="239">
        <v>0.97</v>
      </c>
      <c r="H3451" s="239">
        <f t="shared" ref="H3451:H3454" si="4034">E3451*G3451</f>
        <v>47.53</v>
      </c>
      <c r="I3451" s="131">
        <f t="shared" ref="I3451:I3454" si="4035">IF($F3451=4.2,H3451*$B$23,0)</f>
        <v>0</v>
      </c>
      <c r="J3451" s="31">
        <f t="shared" ref="J3451:J3454" si="4036">IF($F3451=5,$H3451*$B$24,0)</f>
        <v>7.3196200000000005</v>
      </c>
      <c r="K3451" s="31">
        <f t="shared" ref="K3451:K3454" si="4037">IF($F3451=6.3,$H3451*$B$25,0)</f>
        <v>0</v>
      </c>
      <c r="L3451" s="31">
        <f t="shared" ref="L3451:L3454" si="4038">IF($F3451=8,$H3451*$B$26,0)</f>
        <v>0</v>
      </c>
      <c r="M3451" s="31">
        <f t="shared" ref="M3451:M3454" si="4039">IF($F3451=10,$H3451*$B$27,0)</f>
        <v>0</v>
      </c>
      <c r="N3451" s="31">
        <f t="shared" ref="N3451:N3454" si="4040">IF($F3451=12.5,$H3451*$B$28,0)</f>
        <v>0</v>
      </c>
      <c r="O3451" s="31">
        <f t="shared" ref="O3451:O3454" si="4041">IF($F3451=16,$H3451*$B$29,0)</f>
        <v>0</v>
      </c>
      <c r="P3451" s="31">
        <f t="shared" ref="P3451:P3454" si="4042">IF($F3451=20,$H3451*$B$30,0)</f>
        <v>0</v>
      </c>
      <c r="Q3451" s="49">
        <f t="shared" ref="Q3451:Q3454" si="4043">IF($F3451=25,$H3451*$B$31,0)</f>
        <v>0</v>
      </c>
    </row>
    <row r="3452" spans="2:20" s="62" customFormat="1" x14ac:dyDescent="0.3">
      <c r="D3452" s="235">
        <v>5</v>
      </c>
      <c r="E3452" s="240">
        <v>4</v>
      </c>
      <c r="F3452" s="241">
        <v>8</v>
      </c>
      <c r="G3452" s="242">
        <v>6.12</v>
      </c>
      <c r="H3452" s="239">
        <f t="shared" si="4034"/>
        <v>24.48</v>
      </c>
      <c r="I3452" s="131">
        <f t="shared" si="4035"/>
        <v>0</v>
      </c>
      <c r="J3452" s="31">
        <f t="shared" si="4036"/>
        <v>0</v>
      </c>
      <c r="K3452" s="31">
        <f t="shared" si="4037"/>
        <v>0</v>
      </c>
      <c r="L3452" s="31">
        <f t="shared" si="4038"/>
        <v>9.6696000000000009</v>
      </c>
      <c r="M3452" s="31">
        <f t="shared" si="4039"/>
        <v>0</v>
      </c>
      <c r="N3452" s="31">
        <f t="shared" si="4040"/>
        <v>0</v>
      </c>
      <c r="O3452" s="31">
        <f t="shared" si="4041"/>
        <v>0</v>
      </c>
      <c r="P3452" s="31">
        <f t="shared" si="4042"/>
        <v>0</v>
      </c>
      <c r="Q3452" s="49">
        <f t="shared" si="4043"/>
        <v>0</v>
      </c>
    </row>
    <row r="3453" spans="2:20" s="62" customFormat="1" x14ac:dyDescent="0.3">
      <c r="D3453" s="235">
        <v>6</v>
      </c>
      <c r="E3453" s="240">
        <v>2</v>
      </c>
      <c r="F3453" s="241">
        <v>8</v>
      </c>
      <c r="G3453" s="242">
        <v>10.25</v>
      </c>
      <c r="H3453" s="239">
        <f t="shared" si="4034"/>
        <v>20.5</v>
      </c>
      <c r="I3453" s="131">
        <f t="shared" si="4035"/>
        <v>0</v>
      </c>
      <c r="J3453" s="31">
        <f t="shared" si="4036"/>
        <v>0</v>
      </c>
      <c r="K3453" s="31">
        <f t="shared" si="4037"/>
        <v>0</v>
      </c>
      <c r="L3453" s="31">
        <f t="shared" si="4038"/>
        <v>8.0975000000000001</v>
      </c>
      <c r="M3453" s="31">
        <f t="shared" si="4039"/>
        <v>0</v>
      </c>
      <c r="N3453" s="31">
        <f t="shared" si="4040"/>
        <v>0</v>
      </c>
      <c r="O3453" s="31">
        <f t="shared" si="4041"/>
        <v>0</v>
      </c>
      <c r="P3453" s="31">
        <f t="shared" si="4042"/>
        <v>0</v>
      </c>
      <c r="Q3453" s="49">
        <f t="shared" si="4043"/>
        <v>0</v>
      </c>
    </row>
    <row r="3454" spans="2:20" s="62" customFormat="1" x14ac:dyDescent="0.3">
      <c r="D3454" s="235">
        <v>13</v>
      </c>
      <c r="E3454" s="240">
        <v>2</v>
      </c>
      <c r="F3454" s="241">
        <v>10</v>
      </c>
      <c r="G3454" s="242">
        <v>10.09</v>
      </c>
      <c r="H3454" s="239">
        <f t="shared" si="4034"/>
        <v>20.18</v>
      </c>
      <c r="I3454" s="131">
        <f t="shared" si="4035"/>
        <v>0</v>
      </c>
      <c r="J3454" s="31">
        <f t="shared" si="4036"/>
        <v>0</v>
      </c>
      <c r="K3454" s="31">
        <f t="shared" si="4037"/>
        <v>0</v>
      </c>
      <c r="L3454" s="31">
        <f t="shared" si="4038"/>
        <v>0</v>
      </c>
      <c r="M3454" s="31">
        <f t="shared" si="4039"/>
        <v>12.45106</v>
      </c>
      <c r="N3454" s="31">
        <f t="shared" si="4040"/>
        <v>0</v>
      </c>
      <c r="O3454" s="31">
        <f t="shared" si="4041"/>
        <v>0</v>
      </c>
      <c r="P3454" s="31">
        <f t="shared" si="4042"/>
        <v>0</v>
      </c>
      <c r="Q3454" s="49">
        <f t="shared" si="4043"/>
        <v>0</v>
      </c>
    </row>
    <row r="3455" spans="2:20" s="62" customFormat="1" ht="15" thickBot="1" x14ac:dyDescent="0.35">
      <c r="D3455" s="307"/>
      <c r="E3455" s="26"/>
      <c r="F3455" s="206"/>
      <c r="G3455" s="207"/>
      <c r="H3455" s="207"/>
      <c r="I3455" s="51"/>
      <c r="J3455" s="308"/>
      <c r="K3455" s="308"/>
      <c r="L3455" s="308"/>
      <c r="M3455" s="308"/>
      <c r="N3455" s="308"/>
      <c r="O3455" s="308"/>
      <c r="P3455" s="308"/>
      <c r="Q3455" s="309"/>
    </row>
    <row r="3456" spans="2:20" s="62" customFormat="1" x14ac:dyDescent="0.3">
      <c r="D3456" s="796" t="s">
        <v>1819</v>
      </c>
      <c r="E3456" s="797"/>
      <c r="F3456" s="797"/>
      <c r="G3456" s="797"/>
      <c r="H3456" s="797"/>
      <c r="I3456" s="47">
        <f t="shared" ref="I3456:Q3456" si="4044">SUM(I3457:I3462)</f>
        <v>0</v>
      </c>
      <c r="J3456" s="47">
        <f t="shared" si="4044"/>
        <v>5.0789199999999992</v>
      </c>
      <c r="K3456" s="47">
        <f t="shared" si="4044"/>
        <v>0</v>
      </c>
      <c r="L3456" s="47">
        <f t="shared" si="4044"/>
        <v>0</v>
      </c>
      <c r="M3456" s="47">
        <f t="shared" si="4044"/>
        <v>10.785160000000001</v>
      </c>
      <c r="N3456" s="47">
        <f t="shared" si="4044"/>
        <v>16.563600000000001</v>
      </c>
      <c r="O3456" s="47">
        <f t="shared" si="4044"/>
        <v>0</v>
      </c>
      <c r="P3456" s="47">
        <f t="shared" si="4044"/>
        <v>0</v>
      </c>
      <c r="Q3456" s="47">
        <f t="shared" si="4044"/>
        <v>0</v>
      </c>
    </row>
    <row r="3457" spans="4:17" s="62" customFormat="1" x14ac:dyDescent="0.3">
      <c r="D3457" s="235">
        <v>2</v>
      </c>
      <c r="E3457" s="237">
        <v>34</v>
      </c>
      <c r="F3457" s="238">
        <v>5</v>
      </c>
      <c r="G3457" s="239">
        <v>0.97</v>
      </c>
      <c r="H3457" s="239">
        <f t="shared" ref="H3457:H3462" si="4045">E3457*G3457</f>
        <v>32.979999999999997</v>
      </c>
      <c r="I3457" s="131">
        <f t="shared" ref="I3457:I3462" si="4046">IF($F3457=4.2,H3457*$B$23,0)</f>
        <v>0</v>
      </c>
      <c r="J3457" s="31">
        <f t="shared" ref="J3457:J3462" si="4047">IF($F3457=5,$H3457*$B$24,0)</f>
        <v>5.0789199999999992</v>
      </c>
      <c r="K3457" s="31">
        <f t="shared" ref="K3457:K3462" si="4048">IF($F3457=6.3,$H3457*$B$25,0)</f>
        <v>0</v>
      </c>
      <c r="L3457" s="31">
        <f t="shared" ref="L3457:L3462" si="4049">IF($F3457=8,$H3457*$B$26,0)</f>
        <v>0</v>
      </c>
      <c r="M3457" s="31">
        <f t="shared" ref="M3457:M3462" si="4050">IF($F3457=10,$H3457*$B$27,0)</f>
        <v>0</v>
      </c>
      <c r="N3457" s="31">
        <f t="shared" ref="N3457:N3462" si="4051">IF($F3457=12.5,$H3457*$B$28,0)</f>
        <v>0</v>
      </c>
      <c r="O3457" s="31">
        <f t="shared" ref="O3457:O3462" si="4052">IF($F3457=16,$H3457*$B$29,0)</f>
        <v>0</v>
      </c>
      <c r="P3457" s="31">
        <f t="shared" ref="P3457:P3462" si="4053">IF($F3457=20,$H3457*$B$30,0)</f>
        <v>0</v>
      </c>
      <c r="Q3457" s="49">
        <f t="shared" ref="Q3457:Q3462" si="4054">IF($F3457=25,$H3457*$B$31,0)</f>
        <v>0</v>
      </c>
    </row>
    <row r="3458" spans="4:17" s="62" customFormat="1" x14ac:dyDescent="0.3">
      <c r="D3458" s="235">
        <v>14</v>
      </c>
      <c r="E3458" s="240">
        <v>1</v>
      </c>
      <c r="F3458" s="241">
        <v>10</v>
      </c>
      <c r="G3458" s="242">
        <v>2.1</v>
      </c>
      <c r="H3458" s="239">
        <f t="shared" si="4045"/>
        <v>2.1</v>
      </c>
      <c r="I3458" s="131">
        <f t="shared" si="4046"/>
        <v>0</v>
      </c>
      <c r="J3458" s="31">
        <f t="shared" si="4047"/>
        <v>0</v>
      </c>
      <c r="K3458" s="31">
        <f t="shared" si="4048"/>
        <v>0</v>
      </c>
      <c r="L3458" s="31">
        <f t="shared" si="4049"/>
        <v>0</v>
      </c>
      <c r="M3458" s="31">
        <f t="shared" si="4050"/>
        <v>1.2957000000000001</v>
      </c>
      <c r="N3458" s="31">
        <f t="shared" si="4051"/>
        <v>0</v>
      </c>
      <c r="O3458" s="31">
        <f t="shared" si="4052"/>
        <v>0</v>
      </c>
      <c r="P3458" s="31">
        <f t="shared" si="4053"/>
        <v>0</v>
      </c>
      <c r="Q3458" s="49">
        <f t="shared" si="4054"/>
        <v>0</v>
      </c>
    </row>
    <row r="3459" spans="4:17" s="62" customFormat="1" x14ac:dyDescent="0.3">
      <c r="D3459" s="235">
        <v>15</v>
      </c>
      <c r="E3459" s="240">
        <v>2</v>
      </c>
      <c r="F3459" s="241">
        <v>10</v>
      </c>
      <c r="G3459" s="242">
        <v>7.69</v>
      </c>
      <c r="H3459" s="239">
        <f t="shared" si="4045"/>
        <v>15.38</v>
      </c>
      <c r="I3459" s="131">
        <f t="shared" si="4046"/>
        <v>0</v>
      </c>
      <c r="J3459" s="31">
        <f t="shared" si="4047"/>
        <v>0</v>
      </c>
      <c r="K3459" s="31">
        <f t="shared" si="4048"/>
        <v>0</v>
      </c>
      <c r="L3459" s="31">
        <f t="shared" si="4049"/>
        <v>0</v>
      </c>
      <c r="M3459" s="31">
        <f t="shared" si="4050"/>
        <v>9.4894600000000011</v>
      </c>
      <c r="N3459" s="31">
        <f t="shared" si="4051"/>
        <v>0</v>
      </c>
      <c r="O3459" s="31">
        <f t="shared" si="4052"/>
        <v>0</v>
      </c>
      <c r="P3459" s="31">
        <f t="shared" si="4053"/>
        <v>0</v>
      </c>
      <c r="Q3459" s="49">
        <f t="shared" si="4054"/>
        <v>0</v>
      </c>
    </row>
    <row r="3460" spans="4:17" s="62" customFormat="1" x14ac:dyDescent="0.3">
      <c r="D3460" s="235">
        <v>47</v>
      </c>
      <c r="E3460" s="240">
        <v>1</v>
      </c>
      <c r="F3460" s="241">
        <v>12.5</v>
      </c>
      <c r="G3460" s="242">
        <v>0.74</v>
      </c>
      <c r="H3460" s="239">
        <f t="shared" si="4045"/>
        <v>0.74</v>
      </c>
      <c r="I3460" s="131">
        <f t="shared" si="4046"/>
        <v>0</v>
      </c>
      <c r="J3460" s="31">
        <f t="shared" si="4047"/>
        <v>0</v>
      </c>
      <c r="K3460" s="31">
        <f t="shared" si="4048"/>
        <v>0</v>
      </c>
      <c r="L3460" s="31">
        <f t="shared" si="4049"/>
        <v>0</v>
      </c>
      <c r="M3460" s="31">
        <f t="shared" si="4050"/>
        <v>0</v>
      </c>
      <c r="N3460" s="31">
        <f t="shared" si="4051"/>
        <v>0.71261999999999992</v>
      </c>
      <c r="O3460" s="31">
        <f t="shared" si="4052"/>
        <v>0</v>
      </c>
      <c r="P3460" s="31">
        <f t="shared" si="4053"/>
        <v>0</v>
      </c>
      <c r="Q3460" s="49">
        <f t="shared" si="4054"/>
        <v>0</v>
      </c>
    </row>
    <row r="3461" spans="4:17" s="62" customFormat="1" x14ac:dyDescent="0.3">
      <c r="D3461" s="235">
        <v>48</v>
      </c>
      <c r="E3461" s="240">
        <v>1</v>
      </c>
      <c r="F3461" s="241">
        <v>12.5</v>
      </c>
      <c r="G3461" s="242">
        <v>1.98</v>
      </c>
      <c r="H3461" s="239">
        <f t="shared" si="4045"/>
        <v>1.98</v>
      </c>
      <c r="I3461" s="131">
        <f t="shared" si="4046"/>
        <v>0</v>
      </c>
      <c r="J3461" s="31">
        <f t="shared" si="4047"/>
        <v>0</v>
      </c>
      <c r="K3461" s="31">
        <f t="shared" si="4048"/>
        <v>0</v>
      </c>
      <c r="L3461" s="31">
        <f t="shared" si="4049"/>
        <v>0</v>
      </c>
      <c r="M3461" s="31">
        <f t="shared" si="4050"/>
        <v>0</v>
      </c>
      <c r="N3461" s="31">
        <f t="shared" si="4051"/>
        <v>1.9067399999999999</v>
      </c>
      <c r="O3461" s="31">
        <f t="shared" si="4052"/>
        <v>0</v>
      </c>
      <c r="P3461" s="31">
        <f t="shared" si="4053"/>
        <v>0</v>
      </c>
      <c r="Q3461" s="49">
        <f t="shared" si="4054"/>
        <v>0</v>
      </c>
    </row>
    <row r="3462" spans="4:17" s="62" customFormat="1" x14ac:dyDescent="0.3">
      <c r="D3462" s="235">
        <v>49</v>
      </c>
      <c r="E3462" s="240">
        <v>2</v>
      </c>
      <c r="F3462" s="241">
        <v>12.5</v>
      </c>
      <c r="G3462" s="242">
        <v>7.24</v>
      </c>
      <c r="H3462" s="239">
        <f t="shared" si="4045"/>
        <v>14.48</v>
      </c>
      <c r="I3462" s="131">
        <f t="shared" si="4046"/>
        <v>0</v>
      </c>
      <c r="J3462" s="31">
        <f t="shared" si="4047"/>
        <v>0</v>
      </c>
      <c r="K3462" s="31">
        <f t="shared" si="4048"/>
        <v>0</v>
      </c>
      <c r="L3462" s="31">
        <f t="shared" si="4049"/>
        <v>0</v>
      </c>
      <c r="M3462" s="31">
        <f t="shared" si="4050"/>
        <v>0</v>
      </c>
      <c r="N3462" s="31">
        <f t="shared" si="4051"/>
        <v>13.944240000000001</v>
      </c>
      <c r="O3462" s="31">
        <f t="shared" si="4052"/>
        <v>0</v>
      </c>
      <c r="P3462" s="31">
        <f t="shared" si="4053"/>
        <v>0</v>
      </c>
      <c r="Q3462" s="49">
        <f t="shared" si="4054"/>
        <v>0</v>
      </c>
    </row>
    <row r="3463" spans="4:17" s="62" customFormat="1" ht="15" thickBot="1" x14ac:dyDescent="0.35">
      <c r="D3463" s="307"/>
      <c r="E3463" s="26"/>
      <c r="F3463" s="206"/>
      <c r="G3463" s="207"/>
      <c r="H3463" s="207"/>
      <c r="I3463" s="51"/>
      <c r="J3463" s="308"/>
      <c r="K3463" s="308"/>
      <c r="L3463" s="308"/>
      <c r="M3463" s="308"/>
      <c r="N3463" s="308"/>
      <c r="O3463" s="308"/>
      <c r="P3463" s="308"/>
      <c r="Q3463" s="309"/>
    </row>
    <row r="3464" spans="4:17" s="62" customFormat="1" x14ac:dyDescent="0.3">
      <c r="D3464" s="796" t="s">
        <v>1820</v>
      </c>
      <c r="E3464" s="797"/>
      <c r="F3464" s="797"/>
      <c r="G3464" s="797"/>
      <c r="H3464" s="797"/>
      <c r="I3464" s="47">
        <f t="shared" ref="I3464:Q3464" si="4055">SUM(I3465:I3473)</f>
        <v>0</v>
      </c>
      <c r="J3464" s="47">
        <f t="shared" si="4055"/>
        <v>6.7220999999999993</v>
      </c>
      <c r="K3464" s="47">
        <f t="shared" si="4055"/>
        <v>0</v>
      </c>
      <c r="L3464" s="47">
        <f t="shared" si="4055"/>
        <v>24.0792</v>
      </c>
      <c r="M3464" s="47">
        <f t="shared" si="4055"/>
        <v>15.95562</v>
      </c>
      <c r="N3464" s="47">
        <f t="shared" si="4055"/>
        <v>0</v>
      </c>
      <c r="O3464" s="47">
        <f t="shared" si="4055"/>
        <v>0</v>
      </c>
      <c r="P3464" s="47">
        <f t="shared" si="4055"/>
        <v>0</v>
      </c>
      <c r="Q3464" s="47">
        <f t="shared" si="4055"/>
        <v>0</v>
      </c>
    </row>
    <row r="3465" spans="4:17" s="62" customFormat="1" x14ac:dyDescent="0.3">
      <c r="D3465" s="235">
        <v>2</v>
      </c>
      <c r="E3465" s="237">
        <v>45</v>
      </c>
      <c r="F3465" s="238">
        <v>5</v>
      </c>
      <c r="G3465" s="239">
        <v>0.97</v>
      </c>
      <c r="H3465" s="239">
        <f t="shared" ref="H3465:H3473" si="4056">E3465*G3465</f>
        <v>43.65</v>
      </c>
      <c r="I3465" s="131">
        <f t="shared" ref="I3465:I3473" si="4057">IF($F3465=4.2,H3465*$B$23,0)</f>
        <v>0</v>
      </c>
      <c r="J3465" s="31">
        <f t="shared" ref="J3465:J3473" si="4058">IF($F3465=5,$H3465*$B$24,0)</f>
        <v>6.7220999999999993</v>
      </c>
      <c r="K3465" s="31">
        <f t="shared" ref="K3465:K3473" si="4059">IF($F3465=6.3,$H3465*$B$25,0)</f>
        <v>0</v>
      </c>
      <c r="L3465" s="31">
        <f t="shared" ref="L3465:L3473" si="4060">IF($F3465=8,$H3465*$B$26,0)</f>
        <v>0</v>
      </c>
      <c r="M3465" s="31">
        <f t="shared" ref="M3465:M3473" si="4061">IF($F3465=10,$H3465*$B$27,0)</f>
        <v>0</v>
      </c>
      <c r="N3465" s="31">
        <f t="shared" ref="N3465:N3473" si="4062">IF($F3465=12.5,$H3465*$B$28,0)</f>
        <v>0</v>
      </c>
      <c r="O3465" s="31">
        <f t="shared" ref="O3465:O3473" si="4063">IF($F3465=16,$H3465*$B$29,0)</f>
        <v>0</v>
      </c>
      <c r="P3465" s="31">
        <f t="shared" ref="P3465:P3473" si="4064">IF($F3465=20,$H3465*$B$30,0)</f>
        <v>0</v>
      </c>
      <c r="Q3465" s="49">
        <f t="shared" ref="Q3465:Q3473" si="4065">IF($F3465=25,$H3465*$B$31,0)</f>
        <v>0</v>
      </c>
    </row>
    <row r="3466" spans="4:17" s="62" customFormat="1" x14ac:dyDescent="0.3">
      <c r="D3466" s="235">
        <v>7</v>
      </c>
      <c r="E3466" s="240">
        <v>4</v>
      </c>
      <c r="F3466" s="241">
        <v>8</v>
      </c>
      <c r="G3466" s="242">
        <v>8.1300000000000008</v>
      </c>
      <c r="H3466" s="239">
        <f t="shared" si="4056"/>
        <v>32.520000000000003</v>
      </c>
      <c r="I3466" s="131">
        <f t="shared" si="4057"/>
        <v>0</v>
      </c>
      <c r="J3466" s="31">
        <f t="shared" si="4058"/>
        <v>0</v>
      </c>
      <c r="K3466" s="31">
        <f t="shared" si="4059"/>
        <v>0</v>
      </c>
      <c r="L3466" s="31">
        <f t="shared" si="4060"/>
        <v>12.845400000000001</v>
      </c>
      <c r="M3466" s="31">
        <f t="shared" si="4061"/>
        <v>0</v>
      </c>
      <c r="N3466" s="31">
        <f t="shared" si="4062"/>
        <v>0</v>
      </c>
      <c r="O3466" s="31">
        <f t="shared" si="4063"/>
        <v>0</v>
      </c>
      <c r="P3466" s="31">
        <f t="shared" si="4064"/>
        <v>0</v>
      </c>
      <c r="Q3466" s="49">
        <f t="shared" si="4065"/>
        <v>0</v>
      </c>
    </row>
    <row r="3467" spans="4:17" s="62" customFormat="1" x14ac:dyDescent="0.3">
      <c r="D3467" s="235">
        <v>8</v>
      </c>
      <c r="E3467" s="240">
        <v>2</v>
      </c>
      <c r="F3467" s="241">
        <v>8</v>
      </c>
      <c r="G3467" s="242">
        <v>2</v>
      </c>
      <c r="H3467" s="239">
        <f t="shared" si="4056"/>
        <v>4</v>
      </c>
      <c r="I3467" s="131">
        <f t="shared" si="4057"/>
        <v>0</v>
      </c>
      <c r="J3467" s="31">
        <f t="shared" si="4058"/>
        <v>0</v>
      </c>
      <c r="K3467" s="31">
        <f t="shared" si="4059"/>
        <v>0</v>
      </c>
      <c r="L3467" s="31">
        <f t="shared" si="4060"/>
        <v>1.58</v>
      </c>
      <c r="M3467" s="31">
        <f t="shared" si="4061"/>
        <v>0</v>
      </c>
      <c r="N3467" s="31">
        <f t="shared" si="4062"/>
        <v>0</v>
      </c>
      <c r="O3467" s="31">
        <f t="shared" si="4063"/>
        <v>0</v>
      </c>
      <c r="P3467" s="31">
        <f t="shared" si="4064"/>
        <v>0</v>
      </c>
      <c r="Q3467" s="49">
        <f t="shared" si="4065"/>
        <v>0</v>
      </c>
    </row>
    <row r="3468" spans="4:17" s="62" customFormat="1" x14ac:dyDescent="0.3">
      <c r="D3468" s="235">
        <v>9</v>
      </c>
      <c r="E3468" s="240">
        <v>2</v>
      </c>
      <c r="F3468" s="241">
        <v>8</v>
      </c>
      <c r="G3468" s="242">
        <v>1.8</v>
      </c>
      <c r="H3468" s="239">
        <f t="shared" si="4056"/>
        <v>3.6</v>
      </c>
      <c r="I3468" s="131">
        <f t="shared" si="4057"/>
        <v>0</v>
      </c>
      <c r="J3468" s="31">
        <f t="shared" si="4058"/>
        <v>0</v>
      </c>
      <c r="K3468" s="31">
        <f t="shared" si="4059"/>
        <v>0</v>
      </c>
      <c r="L3468" s="31">
        <f t="shared" si="4060"/>
        <v>1.4220000000000002</v>
      </c>
      <c r="M3468" s="31">
        <f t="shared" si="4061"/>
        <v>0</v>
      </c>
      <c r="N3468" s="31">
        <f t="shared" si="4062"/>
        <v>0</v>
      </c>
      <c r="O3468" s="31">
        <f t="shared" si="4063"/>
        <v>0</v>
      </c>
      <c r="P3468" s="31">
        <f t="shared" si="4064"/>
        <v>0</v>
      </c>
      <c r="Q3468" s="49">
        <f t="shared" si="4065"/>
        <v>0</v>
      </c>
    </row>
    <row r="3469" spans="4:17" s="62" customFormat="1" x14ac:dyDescent="0.3">
      <c r="D3469" s="235">
        <v>10</v>
      </c>
      <c r="E3469" s="240">
        <v>2</v>
      </c>
      <c r="F3469" s="241">
        <v>8</v>
      </c>
      <c r="G3469" s="242">
        <v>10.42</v>
      </c>
      <c r="H3469" s="239">
        <f t="shared" si="4056"/>
        <v>20.84</v>
      </c>
      <c r="I3469" s="131">
        <f t="shared" si="4057"/>
        <v>0</v>
      </c>
      <c r="J3469" s="31">
        <f t="shared" si="4058"/>
        <v>0</v>
      </c>
      <c r="K3469" s="31">
        <f t="shared" si="4059"/>
        <v>0</v>
      </c>
      <c r="L3469" s="31">
        <f t="shared" si="4060"/>
        <v>8.2317999999999998</v>
      </c>
      <c r="M3469" s="31">
        <f t="shared" si="4061"/>
        <v>0</v>
      </c>
      <c r="N3469" s="31">
        <f t="shared" si="4062"/>
        <v>0</v>
      </c>
      <c r="O3469" s="31">
        <f t="shared" si="4063"/>
        <v>0</v>
      </c>
      <c r="P3469" s="31">
        <f t="shared" si="4064"/>
        <v>0</v>
      </c>
      <c r="Q3469" s="49">
        <f t="shared" si="4065"/>
        <v>0</v>
      </c>
    </row>
    <row r="3470" spans="4:17" s="62" customFormat="1" x14ac:dyDescent="0.3">
      <c r="D3470" s="235">
        <v>13</v>
      </c>
      <c r="E3470" s="240">
        <v>2</v>
      </c>
      <c r="F3470" s="241">
        <v>10</v>
      </c>
      <c r="G3470" s="242">
        <v>10.09</v>
      </c>
      <c r="H3470" s="239">
        <f t="shared" si="4056"/>
        <v>20.18</v>
      </c>
      <c r="I3470" s="131">
        <f t="shared" si="4057"/>
        <v>0</v>
      </c>
      <c r="J3470" s="31">
        <f t="shared" si="4058"/>
        <v>0</v>
      </c>
      <c r="K3470" s="31">
        <f t="shared" si="4059"/>
        <v>0</v>
      </c>
      <c r="L3470" s="31">
        <f t="shared" si="4060"/>
        <v>0</v>
      </c>
      <c r="M3470" s="31">
        <f t="shared" si="4061"/>
        <v>12.45106</v>
      </c>
      <c r="N3470" s="31">
        <f t="shared" si="4062"/>
        <v>0</v>
      </c>
      <c r="O3470" s="31">
        <f t="shared" si="4063"/>
        <v>0</v>
      </c>
      <c r="P3470" s="31">
        <f t="shared" si="4064"/>
        <v>0</v>
      </c>
      <c r="Q3470" s="49">
        <f t="shared" si="4065"/>
        <v>0</v>
      </c>
    </row>
    <row r="3471" spans="4:17" s="62" customFormat="1" x14ac:dyDescent="0.3">
      <c r="D3471" s="235">
        <v>16</v>
      </c>
      <c r="E3471" s="240">
        <v>1</v>
      </c>
      <c r="F3471" s="241">
        <v>10</v>
      </c>
      <c r="G3471" s="242">
        <v>1.78</v>
      </c>
      <c r="H3471" s="239">
        <f t="shared" si="4056"/>
        <v>1.78</v>
      </c>
      <c r="I3471" s="131">
        <f t="shared" si="4057"/>
        <v>0</v>
      </c>
      <c r="J3471" s="31">
        <f t="shared" si="4058"/>
        <v>0</v>
      </c>
      <c r="K3471" s="31">
        <f t="shared" si="4059"/>
        <v>0</v>
      </c>
      <c r="L3471" s="31">
        <f t="shared" si="4060"/>
        <v>0</v>
      </c>
      <c r="M3471" s="31">
        <f t="shared" si="4061"/>
        <v>1.09826</v>
      </c>
      <c r="N3471" s="31">
        <f t="shared" si="4062"/>
        <v>0</v>
      </c>
      <c r="O3471" s="31">
        <f t="shared" si="4063"/>
        <v>0</v>
      </c>
      <c r="P3471" s="31">
        <f t="shared" si="4064"/>
        <v>0</v>
      </c>
      <c r="Q3471" s="49">
        <f t="shared" si="4065"/>
        <v>0</v>
      </c>
    </row>
    <row r="3472" spans="4:17" s="62" customFormat="1" x14ac:dyDescent="0.3">
      <c r="D3472" s="235">
        <v>17</v>
      </c>
      <c r="E3472" s="240">
        <v>1</v>
      </c>
      <c r="F3472" s="241">
        <v>10</v>
      </c>
      <c r="G3472" s="242">
        <v>2.23</v>
      </c>
      <c r="H3472" s="239">
        <f t="shared" si="4056"/>
        <v>2.23</v>
      </c>
      <c r="I3472" s="131">
        <f t="shared" si="4057"/>
        <v>0</v>
      </c>
      <c r="J3472" s="31">
        <f t="shared" si="4058"/>
        <v>0</v>
      </c>
      <c r="K3472" s="31">
        <f t="shared" si="4059"/>
        <v>0</v>
      </c>
      <c r="L3472" s="31">
        <f t="shared" si="4060"/>
        <v>0</v>
      </c>
      <c r="M3472" s="31">
        <f t="shared" si="4061"/>
        <v>1.37591</v>
      </c>
      <c r="N3472" s="31">
        <f t="shared" si="4062"/>
        <v>0</v>
      </c>
      <c r="O3472" s="31">
        <f t="shared" si="4063"/>
        <v>0</v>
      </c>
      <c r="P3472" s="31">
        <f t="shared" si="4064"/>
        <v>0</v>
      </c>
      <c r="Q3472" s="49">
        <f t="shared" si="4065"/>
        <v>0</v>
      </c>
    </row>
    <row r="3473" spans="4:17" s="62" customFormat="1" x14ac:dyDescent="0.3">
      <c r="D3473" s="235">
        <v>18</v>
      </c>
      <c r="E3473" s="240">
        <v>1</v>
      </c>
      <c r="F3473" s="241">
        <v>10</v>
      </c>
      <c r="G3473" s="242">
        <v>1.67</v>
      </c>
      <c r="H3473" s="239">
        <f t="shared" si="4056"/>
        <v>1.67</v>
      </c>
      <c r="I3473" s="131">
        <f t="shared" si="4057"/>
        <v>0</v>
      </c>
      <c r="J3473" s="31">
        <f t="shared" si="4058"/>
        <v>0</v>
      </c>
      <c r="K3473" s="31">
        <f t="shared" si="4059"/>
        <v>0</v>
      </c>
      <c r="L3473" s="31">
        <f t="shared" si="4060"/>
        <v>0</v>
      </c>
      <c r="M3473" s="31">
        <f t="shared" si="4061"/>
        <v>1.0303899999999999</v>
      </c>
      <c r="N3473" s="31">
        <f t="shared" si="4062"/>
        <v>0</v>
      </c>
      <c r="O3473" s="31">
        <f t="shared" si="4063"/>
        <v>0</v>
      </c>
      <c r="P3473" s="31">
        <f t="shared" si="4064"/>
        <v>0</v>
      </c>
      <c r="Q3473" s="49">
        <f t="shared" si="4065"/>
        <v>0</v>
      </c>
    </row>
    <row r="3474" spans="4:17" s="62" customFormat="1" ht="15" thickBot="1" x14ac:dyDescent="0.35">
      <c r="D3474" s="307"/>
      <c r="E3474" s="26"/>
      <c r="F3474" s="206"/>
      <c r="G3474" s="207"/>
      <c r="H3474" s="207"/>
      <c r="I3474" s="51"/>
      <c r="J3474" s="308"/>
      <c r="K3474" s="308"/>
      <c r="L3474" s="308"/>
      <c r="M3474" s="308"/>
      <c r="N3474" s="308"/>
      <c r="O3474" s="308"/>
      <c r="P3474" s="308"/>
      <c r="Q3474" s="309"/>
    </row>
    <row r="3475" spans="4:17" s="62" customFormat="1" x14ac:dyDescent="0.3">
      <c r="D3475" s="796" t="s">
        <v>1821</v>
      </c>
      <c r="E3475" s="797"/>
      <c r="F3475" s="797"/>
      <c r="G3475" s="797"/>
      <c r="H3475" s="797"/>
      <c r="I3475" s="47">
        <f t="shared" ref="I3475:Q3475" si="4066">SUM(I3476:I3491)</f>
        <v>0</v>
      </c>
      <c r="J3475" s="47">
        <f t="shared" si="4066"/>
        <v>10.170160000000001</v>
      </c>
      <c r="K3475" s="47">
        <f t="shared" si="4066"/>
        <v>0</v>
      </c>
      <c r="L3475" s="47">
        <f t="shared" si="4066"/>
        <v>3.4483500000000005</v>
      </c>
      <c r="M3475" s="47">
        <f t="shared" si="4066"/>
        <v>65.550080000000008</v>
      </c>
      <c r="N3475" s="47">
        <f t="shared" si="4066"/>
        <v>0</v>
      </c>
      <c r="O3475" s="47">
        <f t="shared" si="4066"/>
        <v>0</v>
      </c>
      <c r="P3475" s="47">
        <f t="shared" si="4066"/>
        <v>0</v>
      </c>
      <c r="Q3475" s="47">
        <f t="shared" si="4066"/>
        <v>0</v>
      </c>
    </row>
    <row r="3476" spans="4:17" s="62" customFormat="1" x14ac:dyDescent="0.3">
      <c r="D3476" s="235">
        <v>1</v>
      </c>
      <c r="E3476" s="237">
        <v>52</v>
      </c>
      <c r="F3476" s="238">
        <v>5</v>
      </c>
      <c r="G3476" s="239">
        <v>1.27</v>
      </c>
      <c r="H3476" s="239">
        <f t="shared" ref="H3476:H3491" si="4067">E3476*G3476</f>
        <v>66.040000000000006</v>
      </c>
      <c r="I3476" s="131">
        <f t="shared" ref="I3476:I3491" si="4068">IF($F3476=4.2,H3476*$B$23,0)</f>
        <v>0</v>
      </c>
      <c r="J3476" s="31">
        <f t="shared" ref="J3476:J3491" si="4069">IF($F3476=5,$H3476*$B$24,0)</f>
        <v>10.170160000000001</v>
      </c>
      <c r="K3476" s="31">
        <f t="shared" ref="K3476:K3491" si="4070">IF($F3476=6.3,$H3476*$B$25,0)</f>
        <v>0</v>
      </c>
      <c r="L3476" s="31">
        <f t="shared" ref="L3476:L3491" si="4071">IF($F3476=8,$H3476*$B$26,0)</f>
        <v>0</v>
      </c>
      <c r="M3476" s="31">
        <f t="shared" ref="M3476:M3491" si="4072">IF($F3476=10,$H3476*$B$27,0)</f>
        <v>0</v>
      </c>
      <c r="N3476" s="31">
        <f t="shared" ref="N3476:N3491" si="4073">IF($F3476=12.5,$H3476*$B$28,0)</f>
        <v>0</v>
      </c>
      <c r="O3476" s="31">
        <f t="shared" ref="O3476:O3491" si="4074">IF($F3476=16,$H3476*$B$29,0)</f>
        <v>0</v>
      </c>
      <c r="P3476" s="31">
        <f t="shared" ref="P3476:P3491" si="4075">IF($F3476=20,$H3476*$B$30,0)</f>
        <v>0</v>
      </c>
      <c r="Q3476" s="49">
        <f t="shared" ref="Q3476:Q3491" si="4076">IF($F3476=25,$H3476*$B$31,0)</f>
        <v>0</v>
      </c>
    </row>
    <row r="3477" spans="4:17" s="62" customFormat="1" x14ac:dyDescent="0.3">
      <c r="D3477" s="235">
        <v>11</v>
      </c>
      <c r="E3477" s="240">
        <v>3</v>
      </c>
      <c r="F3477" s="241">
        <v>8</v>
      </c>
      <c r="G3477" s="242">
        <v>2.91</v>
      </c>
      <c r="H3477" s="239">
        <f t="shared" si="4067"/>
        <v>8.73</v>
      </c>
      <c r="I3477" s="131">
        <f t="shared" si="4068"/>
        <v>0</v>
      </c>
      <c r="J3477" s="31">
        <f t="shared" si="4069"/>
        <v>0</v>
      </c>
      <c r="K3477" s="31">
        <f t="shared" si="4070"/>
        <v>0</v>
      </c>
      <c r="L3477" s="31">
        <f t="shared" si="4071"/>
        <v>3.4483500000000005</v>
      </c>
      <c r="M3477" s="31">
        <f t="shared" si="4072"/>
        <v>0</v>
      </c>
      <c r="N3477" s="31">
        <f t="shared" si="4073"/>
        <v>0</v>
      </c>
      <c r="O3477" s="31">
        <f t="shared" si="4074"/>
        <v>0</v>
      </c>
      <c r="P3477" s="31">
        <f t="shared" si="4075"/>
        <v>0</v>
      </c>
      <c r="Q3477" s="49">
        <f t="shared" si="4076"/>
        <v>0</v>
      </c>
    </row>
    <row r="3478" spans="4:17" s="62" customFormat="1" x14ac:dyDescent="0.3">
      <c r="D3478" s="235">
        <v>19</v>
      </c>
      <c r="E3478" s="240">
        <v>3</v>
      </c>
      <c r="F3478" s="241">
        <v>10</v>
      </c>
      <c r="G3478" s="242">
        <v>1.08</v>
      </c>
      <c r="H3478" s="239">
        <f t="shared" si="4067"/>
        <v>3.24</v>
      </c>
      <c r="I3478" s="131">
        <f t="shared" si="4068"/>
        <v>0</v>
      </c>
      <c r="J3478" s="31">
        <f t="shared" si="4069"/>
        <v>0</v>
      </c>
      <c r="K3478" s="31">
        <f t="shared" si="4070"/>
        <v>0</v>
      </c>
      <c r="L3478" s="31">
        <f t="shared" si="4071"/>
        <v>0</v>
      </c>
      <c r="M3478" s="31">
        <f t="shared" si="4072"/>
        <v>1.9990800000000002</v>
      </c>
      <c r="N3478" s="31">
        <f t="shared" si="4073"/>
        <v>0</v>
      </c>
      <c r="O3478" s="31">
        <f t="shared" si="4074"/>
        <v>0</v>
      </c>
      <c r="P3478" s="31">
        <f t="shared" si="4075"/>
        <v>0</v>
      </c>
      <c r="Q3478" s="49">
        <f t="shared" si="4076"/>
        <v>0</v>
      </c>
    </row>
    <row r="3479" spans="4:17" s="62" customFormat="1" x14ac:dyDescent="0.3">
      <c r="D3479" s="235">
        <v>20</v>
      </c>
      <c r="E3479" s="240">
        <v>1</v>
      </c>
      <c r="F3479" s="241">
        <v>10</v>
      </c>
      <c r="G3479" s="242">
        <v>2.5099999999999998</v>
      </c>
      <c r="H3479" s="239">
        <f t="shared" si="4067"/>
        <v>2.5099999999999998</v>
      </c>
      <c r="I3479" s="131">
        <f t="shared" si="4068"/>
        <v>0</v>
      </c>
      <c r="J3479" s="31">
        <f t="shared" si="4069"/>
        <v>0</v>
      </c>
      <c r="K3479" s="31">
        <f t="shared" si="4070"/>
        <v>0</v>
      </c>
      <c r="L3479" s="31">
        <f t="shared" si="4071"/>
        <v>0</v>
      </c>
      <c r="M3479" s="31">
        <f t="shared" si="4072"/>
        <v>1.5486699999999998</v>
      </c>
      <c r="N3479" s="31">
        <f t="shared" si="4073"/>
        <v>0</v>
      </c>
      <c r="O3479" s="31">
        <f t="shared" si="4074"/>
        <v>0</v>
      </c>
      <c r="P3479" s="31">
        <f t="shared" si="4075"/>
        <v>0</v>
      </c>
      <c r="Q3479" s="49">
        <f t="shared" si="4076"/>
        <v>0</v>
      </c>
    </row>
    <row r="3480" spans="4:17" s="62" customFormat="1" x14ac:dyDescent="0.3">
      <c r="D3480" s="235">
        <v>21</v>
      </c>
      <c r="E3480" s="240">
        <v>2</v>
      </c>
      <c r="F3480" s="241">
        <v>10</v>
      </c>
      <c r="G3480" s="242">
        <v>2.15</v>
      </c>
      <c r="H3480" s="239">
        <f t="shared" ref="H3480:H3485" si="4077">E3480*G3480</f>
        <v>4.3</v>
      </c>
      <c r="I3480" s="131">
        <f t="shared" ref="I3480:I3485" si="4078">IF($F3480=4.2,H3480*$B$23,0)</f>
        <v>0</v>
      </c>
      <c r="J3480" s="31">
        <f t="shared" si="4069"/>
        <v>0</v>
      </c>
      <c r="K3480" s="31">
        <f t="shared" si="4070"/>
        <v>0</v>
      </c>
      <c r="L3480" s="31">
        <f t="shared" si="4071"/>
        <v>0</v>
      </c>
      <c r="M3480" s="31">
        <f t="shared" si="4072"/>
        <v>2.6530999999999998</v>
      </c>
      <c r="N3480" s="31">
        <f t="shared" si="4073"/>
        <v>0</v>
      </c>
      <c r="O3480" s="31">
        <f t="shared" si="4074"/>
        <v>0</v>
      </c>
      <c r="P3480" s="31">
        <f t="shared" si="4075"/>
        <v>0</v>
      </c>
      <c r="Q3480" s="49">
        <f t="shared" si="4076"/>
        <v>0</v>
      </c>
    </row>
    <row r="3481" spans="4:17" s="62" customFormat="1" x14ac:dyDescent="0.3">
      <c r="D3481" s="235">
        <v>22</v>
      </c>
      <c r="E3481" s="240">
        <v>1</v>
      </c>
      <c r="F3481" s="241">
        <v>10</v>
      </c>
      <c r="G3481" s="242">
        <v>1.68</v>
      </c>
      <c r="H3481" s="239">
        <f t="shared" si="4077"/>
        <v>1.68</v>
      </c>
      <c r="I3481" s="131">
        <f t="shared" si="4078"/>
        <v>0</v>
      </c>
      <c r="J3481" s="31">
        <f t="shared" si="4069"/>
        <v>0</v>
      </c>
      <c r="K3481" s="31">
        <f t="shared" si="4070"/>
        <v>0</v>
      </c>
      <c r="L3481" s="31">
        <f t="shared" si="4071"/>
        <v>0</v>
      </c>
      <c r="M3481" s="31">
        <f t="shared" si="4072"/>
        <v>1.0365599999999999</v>
      </c>
      <c r="N3481" s="31">
        <f t="shared" si="4073"/>
        <v>0</v>
      </c>
      <c r="O3481" s="31">
        <f t="shared" si="4074"/>
        <v>0</v>
      </c>
      <c r="P3481" s="31">
        <f t="shared" si="4075"/>
        <v>0</v>
      </c>
      <c r="Q3481" s="49">
        <f t="shared" si="4076"/>
        <v>0</v>
      </c>
    </row>
    <row r="3482" spans="4:17" s="62" customFormat="1" x14ac:dyDescent="0.3">
      <c r="D3482" s="235">
        <v>23</v>
      </c>
      <c r="E3482" s="240">
        <v>1</v>
      </c>
      <c r="F3482" s="241">
        <v>10</v>
      </c>
      <c r="G3482" s="242">
        <v>2.38</v>
      </c>
      <c r="H3482" s="239">
        <f t="shared" si="4077"/>
        <v>2.38</v>
      </c>
      <c r="I3482" s="131">
        <f t="shared" si="4078"/>
        <v>0</v>
      </c>
      <c r="J3482" s="31">
        <f t="shared" si="4069"/>
        <v>0</v>
      </c>
      <c r="K3482" s="31">
        <f t="shared" si="4070"/>
        <v>0</v>
      </c>
      <c r="L3482" s="31">
        <f t="shared" si="4071"/>
        <v>0</v>
      </c>
      <c r="M3482" s="31">
        <f t="shared" si="4072"/>
        <v>1.4684599999999999</v>
      </c>
      <c r="N3482" s="31">
        <f t="shared" si="4073"/>
        <v>0</v>
      </c>
      <c r="O3482" s="31">
        <f t="shared" si="4074"/>
        <v>0</v>
      </c>
      <c r="P3482" s="31">
        <f t="shared" si="4075"/>
        <v>0</v>
      </c>
      <c r="Q3482" s="49">
        <f t="shared" si="4076"/>
        <v>0</v>
      </c>
    </row>
    <row r="3483" spans="4:17" s="62" customFormat="1" x14ac:dyDescent="0.3">
      <c r="D3483" s="235">
        <v>24</v>
      </c>
      <c r="E3483" s="240">
        <v>2</v>
      </c>
      <c r="F3483" s="241">
        <v>10</v>
      </c>
      <c r="G3483" s="242">
        <v>2.6</v>
      </c>
      <c r="H3483" s="239">
        <f t="shared" si="4077"/>
        <v>5.2</v>
      </c>
      <c r="I3483" s="131">
        <f t="shared" si="4078"/>
        <v>0</v>
      </c>
      <c r="J3483" s="31">
        <f t="shared" si="4069"/>
        <v>0</v>
      </c>
      <c r="K3483" s="31">
        <f t="shared" si="4070"/>
        <v>0</v>
      </c>
      <c r="L3483" s="31">
        <f t="shared" si="4071"/>
        <v>0</v>
      </c>
      <c r="M3483" s="31">
        <f t="shared" si="4072"/>
        <v>3.2084000000000001</v>
      </c>
      <c r="N3483" s="31">
        <f t="shared" si="4073"/>
        <v>0</v>
      </c>
      <c r="O3483" s="31">
        <f t="shared" si="4074"/>
        <v>0</v>
      </c>
      <c r="P3483" s="31">
        <f t="shared" si="4075"/>
        <v>0</v>
      </c>
      <c r="Q3483" s="49">
        <f t="shared" si="4076"/>
        <v>0</v>
      </c>
    </row>
    <row r="3484" spans="4:17" s="62" customFormat="1" x14ac:dyDescent="0.3">
      <c r="D3484" s="235">
        <v>25</v>
      </c>
      <c r="E3484" s="240">
        <v>3</v>
      </c>
      <c r="F3484" s="241">
        <v>10</v>
      </c>
      <c r="G3484" s="242">
        <v>4.34</v>
      </c>
      <c r="H3484" s="239">
        <f t="shared" si="4077"/>
        <v>13.02</v>
      </c>
      <c r="I3484" s="131">
        <f t="shared" si="4078"/>
        <v>0</v>
      </c>
      <c r="J3484" s="31">
        <f t="shared" si="4069"/>
        <v>0</v>
      </c>
      <c r="K3484" s="31">
        <f t="shared" si="4070"/>
        <v>0</v>
      </c>
      <c r="L3484" s="31">
        <f t="shared" si="4071"/>
        <v>0</v>
      </c>
      <c r="M3484" s="31">
        <f t="shared" si="4072"/>
        <v>8.033339999999999</v>
      </c>
      <c r="N3484" s="31">
        <f t="shared" si="4073"/>
        <v>0</v>
      </c>
      <c r="O3484" s="31">
        <f t="shared" si="4074"/>
        <v>0</v>
      </c>
      <c r="P3484" s="31">
        <f t="shared" si="4075"/>
        <v>0</v>
      </c>
      <c r="Q3484" s="49">
        <f t="shared" si="4076"/>
        <v>0</v>
      </c>
    </row>
    <row r="3485" spans="4:17" s="62" customFormat="1" x14ac:dyDescent="0.3">
      <c r="D3485" s="235">
        <v>26</v>
      </c>
      <c r="E3485" s="240">
        <v>2</v>
      </c>
      <c r="F3485" s="241">
        <v>10</v>
      </c>
      <c r="G3485" s="242">
        <v>4.37</v>
      </c>
      <c r="H3485" s="239">
        <f t="shared" si="4077"/>
        <v>8.74</v>
      </c>
      <c r="I3485" s="131">
        <f t="shared" si="4078"/>
        <v>0</v>
      </c>
      <c r="J3485" s="31">
        <f t="shared" si="4069"/>
        <v>0</v>
      </c>
      <c r="K3485" s="31">
        <f t="shared" si="4070"/>
        <v>0</v>
      </c>
      <c r="L3485" s="31">
        <f t="shared" si="4071"/>
        <v>0</v>
      </c>
      <c r="M3485" s="31">
        <f t="shared" si="4072"/>
        <v>5.3925799999999997</v>
      </c>
      <c r="N3485" s="31">
        <f t="shared" si="4073"/>
        <v>0</v>
      </c>
      <c r="O3485" s="31">
        <f t="shared" si="4074"/>
        <v>0</v>
      </c>
      <c r="P3485" s="31">
        <f t="shared" si="4075"/>
        <v>0</v>
      </c>
      <c r="Q3485" s="49">
        <f t="shared" si="4076"/>
        <v>0</v>
      </c>
    </row>
    <row r="3486" spans="4:17" s="62" customFormat="1" x14ac:dyDescent="0.3">
      <c r="D3486" s="235">
        <v>27</v>
      </c>
      <c r="E3486" s="240">
        <v>2</v>
      </c>
      <c r="F3486" s="241">
        <v>10</v>
      </c>
      <c r="G3486" s="242">
        <v>10.28</v>
      </c>
      <c r="H3486" s="239">
        <f t="shared" si="4067"/>
        <v>20.56</v>
      </c>
      <c r="I3486" s="131">
        <f t="shared" si="4068"/>
        <v>0</v>
      </c>
      <c r="J3486" s="31">
        <f t="shared" si="4069"/>
        <v>0</v>
      </c>
      <c r="K3486" s="31">
        <f t="shared" si="4070"/>
        <v>0</v>
      </c>
      <c r="L3486" s="31">
        <f t="shared" si="4071"/>
        <v>0</v>
      </c>
      <c r="M3486" s="31">
        <f t="shared" si="4072"/>
        <v>12.685519999999999</v>
      </c>
      <c r="N3486" s="31">
        <f t="shared" si="4073"/>
        <v>0</v>
      </c>
      <c r="O3486" s="31">
        <f t="shared" si="4074"/>
        <v>0</v>
      </c>
      <c r="P3486" s="31">
        <f t="shared" si="4075"/>
        <v>0</v>
      </c>
      <c r="Q3486" s="49">
        <f t="shared" si="4076"/>
        <v>0</v>
      </c>
    </row>
    <row r="3487" spans="4:17" s="62" customFormat="1" x14ac:dyDescent="0.3">
      <c r="D3487" s="235">
        <v>28</v>
      </c>
      <c r="E3487" s="240">
        <v>1</v>
      </c>
      <c r="F3487" s="241">
        <v>10</v>
      </c>
      <c r="G3487" s="242">
        <v>2.7</v>
      </c>
      <c r="H3487" s="239">
        <f t="shared" si="4067"/>
        <v>2.7</v>
      </c>
      <c r="I3487" s="131">
        <f t="shared" si="4068"/>
        <v>0</v>
      </c>
      <c r="J3487" s="31">
        <f t="shared" si="4069"/>
        <v>0</v>
      </c>
      <c r="K3487" s="31">
        <f t="shared" si="4070"/>
        <v>0</v>
      </c>
      <c r="L3487" s="31">
        <f t="shared" si="4071"/>
        <v>0</v>
      </c>
      <c r="M3487" s="31">
        <f t="shared" si="4072"/>
        <v>1.6659000000000002</v>
      </c>
      <c r="N3487" s="31">
        <f t="shared" si="4073"/>
        <v>0</v>
      </c>
      <c r="O3487" s="31">
        <f t="shared" si="4074"/>
        <v>0</v>
      </c>
      <c r="P3487" s="31">
        <f t="shared" si="4075"/>
        <v>0</v>
      </c>
      <c r="Q3487" s="49">
        <f t="shared" si="4076"/>
        <v>0</v>
      </c>
    </row>
    <row r="3488" spans="4:17" s="62" customFormat="1" x14ac:dyDescent="0.3">
      <c r="D3488" s="235">
        <v>29</v>
      </c>
      <c r="E3488" s="240">
        <v>1</v>
      </c>
      <c r="F3488" s="241">
        <v>10</v>
      </c>
      <c r="G3488" s="242">
        <v>5.77</v>
      </c>
      <c r="H3488" s="239">
        <f t="shared" si="4067"/>
        <v>5.77</v>
      </c>
      <c r="I3488" s="131">
        <f t="shared" si="4068"/>
        <v>0</v>
      </c>
      <c r="J3488" s="31">
        <f t="shared" si="4069"/>
        <v>0</v>
      </c>
      <c r="K3488" s="31">
        <f t="shared" si="4070"/>
        <v>0</v>
      </c>
      <c r="L3488" s="31">
        <f t="shared" si="4071"/>
        <v>0</v>
      </c>
      <c r="M3488" s="31">
        <f t="shared" si="4072"/>
        <v>3.5600899999999998</v>
      </c>
      <c r="N3488" s="31">
        <f t="shared" si="4073"/>
        <v>0</v>
      </c>
      <c r="O3488" s="31">
        <f t="shared" si="4074"/>
        <v>0</v>
      </c>
      <c r="P3488" s="31">
        <f t="shared" si="4075"/>
        <v>0</v>
      </c>
      <c r="Q3488" s="49">
        <f t="shared" si="4076"/>
        <v>0</v>
      </c>
    </row>
    <row r="3489" spans="4:17" s="62" customFormat="1" x14ac:dyDescent="0.3">
      <c r="D3489" s="235">
        <v>30</v>
      </c>
      <c r="E3489" s="240">
        <v>1</v>
      </c>
      <c r="F3489" s="241">
        <v>10</v>
      </c>
      <c r="G3489" s="242">
        <v>5.8</v>
      </c>
      <c r="H3489" s="239">
        <f t="shared" si="4067"/>
        <v>5.8</v>
      </c>
      <c r="I3489" s="131">
        <f t="shared" si="4068"/>
        <v>0</v>
      </c>
      <c r="J3489" s="31">
        <f t="shared" si="4069"/>
        <v>0</v>
      </c>
      <c r="K3489" s="31">
        <f t="shared" si="4070"/>
        <v>0</v>
      </c>
      <c r="L3489" s="31">
        <f t="shared" si="4071"/>
        <v>0</v>
      </c>
      <c r="M3489" s="31">
        <f t="shared" si="4072"/>
        <v>3.5785999999999998</v>
      </c>
      <c r="N3489" s="31">
        <f t="shared" si="4073"/>
        <v>0</v>
      </c>
      <c r="O3489" s="31">
        <f t="shared" si="4074"/>
        <v>0</v>
      </c>
      <c r="P3489" s="31">
        <f t="shared" si="4075"/>
        <v>0</v>
      </c>
      <c r="Q3489" s="49">
        <f t="shared" si="4076"/>
        <v>0</v>
      </c>
    </row>
    <row r="3490" spans="4:17" s="62" customFormat="1" x14ac:dyDescent="0.3">
      <c r="D3490" s="235">
        <v>31</v>
      </c>
      <c r="E3490" s="240">
        <v>1</v>
      </c>
      <c r="F3490" s="241">
        <v>10</v>
      </c>
      <c r="G3490" s="242">
        <v>8.9600000000000009</v>
      </c>
      <c r="H3490" s="239">
        <f t="shared" si="4067"/>
        <v>8.9600000000000009</v>
      </c>
      <c r="I3490" s="131">
        <f t="shared" si="4068"/>
        <v>0</v>
      </c>
      <c r="J3490" s="31">
        <f t="shared" si="4069"/>
        <v>0</v>
      </c>
      <c r="K3490" s="31">
        <f t="shared" si="4070"/>
        <v>0</v>
      </c>
      <c r="L3490" s="31">
        <f t="shared" si="4071"/>
        <v>0</v>
      </c>
      <c r="M3490" s="31">
        <f t="shared" si="4072"/>
        <v>5.5283200000000008</v>
      </c>
      <c r="N3490" s="31">
        <f t="shared" si="4073"/>
        <v>0</v>
      </c>
      <c r="O3490" s="31">
        <f t="shared" si="4074"/>
        <v>0</v>
      </c>
      <c r="P3490" s="31">
        <f t="shared" si="4075"/>
        <v>0</v>
      </c>
      <c r="Q3490" s="49">
        <f t="shared" si="4076"/>
        <v>0</v>
      </c>
    </row>
    <row r="3491" spans="4:17" s="62" customFormat="1" x14ac:dyDescent="0.3">
      <c r="D3491" s="235">
        <v>32</v>
      </c>
      <c r="E3491" s="240">
        <v>2</v>
      </c>
      <c r="F3491" s="241">
        <v>10</v>
      </c>
      <c r="G3491" s="242">
        <v>10.69</v>
      </c>
      <c r="H3491" s="239">
        <f t="shared" si="4067"/>
        <v>21.38</v>
      </c>
      <c r="I3491" s="131">
        <f t="shared" si="4068"/>
        <v>0</v>
      </c>
      <c r="J3491" s="31">
        <f t="shared" si="4069"/>
        <v>0</v>
      </c>
      <c r="K3491" s="31">
        <f t="shared" si="4070"/>
        <v>0</v>
      </c>
      <c r="L3491" s="31">
        <f t="shared" si="4071"/>
        <v>0</v>
      </c>
      <c r="M3491" s="31">
        <f t="shared" si="4072"/>
        <v>13.191459999999999</v>
      </c>
      <c r="N3491" s="31">
        <f t="shared" si="4073"/>
        <v>0</v>
      </c>
      <c r="O3491" s="31">
        <f t="shared" si="4074"/>
        <v>0</v>
      </c>
      <c r="P3491" s="31">
        <f t="shared" si="4075"/>
        <v>0</v>
      </c>
      <c r="Q3491" s="49">
        <f t="shared" si="4076"/>
        <v>0</v>
      </c>
    </row>
    <row r="3492" spans="4:17" s="62" customFormat="1" ht="15" thickBot="1" x14ac:dyDescent="0.35">
      <c r="D3492" s="307"/>
      <c r="E3492" s="26"/>
      <c r="F3492" s="206"/>
      <c r="G3492" s="207"/>
      <c r="H3492" s="207"/>
      <c r="I3492" s="51"/>
      <c r="J3492" s="308"/>
      <c r="K3492" s="308"/>
      <c r="L3492" s="308"/>
      <c r="M3492" s="308"/>
      <c r="N3492" s="308"/>
      <c r="O3492" s="308"/>
      <c r="P3492" s="308"/>
      <c r="Q3492" s="309"/>
    </row>
    <row r="3493" spans="4:17" s="62" customFormat="1" x14ac:dyDescent="0.3">
      <c r="D3493" s="796" t="s">
        <v>1822</v>
      </c>
      <c r="E3493" s="797"/>
      <c r="F3493" s="797"/>
      <c r="G3493" s="797"/>
      <c r="H3493" s="797"/>
      <c r="I3493" s="47">
        <f t="shared" ref="I3493:Q3493" si="4079">SUM(I3494:I3504)</f>
        <v>0</v>
      </c>
      <c r="J3493" s="47">
        <f t="shared" si="4079"/>
        <v>12.51712</v>
      </c>
      <c r="K3493" s="47">
        <f t="shared" si="4079"/>
        <v>0</v>
      </c>
      <c r="L3493" s="47">
        <f t="shared" si="4079"/>
        <v>0</v>
      </c>
      <c r="M3493" s="47">
        <f t="shared" si="4079"/>
        <v>31.76933</v>
      </c>
      <c r="N3493" s="47">
        <f t="shared" si="4079"/>
        <v>33.444989999999997</v>
      </c>
      <c r="O3493" s="47">
        <f t="shared" si="4079"/>
        <v>0</v>
      </c>
      <c r="P3493" s="47">
        <f t="shared" si="4079"/>
        <v>0</v>
      </c>
      <c r="Q3493" s="47">
        <f t="shared" si="4079"/>
        <v>0</v>
      </c>
    </row>
    <row r="3494" spans="4:17" s="62" customFormat="1" x14ac:dyDescent="0.3">
      <c r="D3494" s="235">
        <v>1</v>
      </c>
      <c r="E3494" s="237">
        <v>64</v>
      </c>
      <c r="F3494" s="238">
        <v>5</v>
      </c>
      <c r="G3494" s="239">
        <v>1.27</v>
      </c>
      <c r="H3494" s="239">
        <f t="shared" ref="H3494:H3504" si="4080">E3494*G3494</f>
        <v>81.28</v>
      </c>
      <c r="I3494" s="131">
        <f t="shared" ref="I3494:I3504" si="4081">IF($F3494=4.2,H3494*$B$23,0)</f>
        <v>0</v>
      </c>
      <c r="J3494" s="31">
        <f t="shared" ref="J3494:J3504" si="4082">IF($F3494=5,$H3494*$B$24,0)</f>
        <v>12.51712</v>
      </c>
      <c r="K3494" s="31">
        <f t="shared" ref="K3494:K3504" si="4083">IF($F3494=6.3,$H3494*$B$25,0)</f>
        <v>0</v>
      </c>
      <c r="L3494" s="31">
        <f t="shared" ref="L3494:L3504" si="4084">IF($F3494=8,$H3494*$B$26,0)</f>
        <v>0</v>
      </c>
      <c r="M3494" s="31">
        <f t="shared" ref="M3494:M3504" si="4085">IF($F3494=10,$H3494*$B$27,0)</f>
        <v>0</v>
      </c>
      <c r="N3494" s="31">
        <f t="shared" ref="N3494:N3504" si="4086">IF($F3494=12.5,$H3494*$B$28,0)</f>
        <v>0</v>
      </c>
      <c r="O3494" s="31">
        <f t="shared" ref="O3494:O3504" si="4087">IF($F3494=16,$H3494*$B$29,0)</f>
        <v>0</v>
      </c>
      <c r="P3494" s="31">
        <f t="shared" ref="P3494:P3504" si="4088">IF($F3494=20,$H3494*$B$30,0)</f>
        <v>0</v>
      </c>
      <c r="Q3494" s="49">
        <f t="shared" ref="Q3494:Q3504" si="4089">IF($F3494=25,$H3494*$B$31,0)</f>
        <v>0</v>
      </c>
    </row>
    <row r="3495" spans="4:17" s="62" customFormat="1" x14ac:dyDescent="0.3">
      <c r="D3495" s="235">
        <v>28</v>
      </c>
      <c r="E3495" s="240">
        <v>1</v>
      </c>
      <c r="F3495" s="241">
        <v>10</v>
      </c>
      <c r="G3495" s="242">
        <v>2.7</v>
      </c>
      <c r="H3495" s="239">
        <f t="shared" si="4080"/>
        <v>2.7</v>
      </c>
      <c r="I3495" s="131">
        <f t="shared" si="4081"/>
        <v>0</v>
      </c>
      <c r="J3495" s="31">
        <f t="shared" si="4082"/>
        <v>0</v>
      </c>
      <c r="K3495" s="31">
        <f t="shared" si="4083"/>
        <v>0</v>
      </c>
      <c r="L3495" s="31">
        <f t="shared" si="4084"/>
        <v>0</v>
      </c>
      <c r="M3495" s="31">
        <f t="shared" si="4085"/>
        <v>1.6659000000000002</v>
      </c>
      <c r="N3495" s="31">
        <f t="shared" si="4086"/>
        <v>0</v>
      </c>
      <c r="O3495" s="31">
        <f t="shared" si="4087"/>
        <v>0</v>
      </c>
      <c r="P3495" s="31">
        <f t="shared" si="4088"/>
        <v>0</v>
      </c>
      <c r="Q3495" s="49">
        <f t="shared" si="4089"/>
        <v>0</v>
      </c>
    </row>
    <row r="3496" spans="4:17" s="62" customFormat="1" x14ac:dyDescent="0.3">
      <c r="D3496" s="235">
        <v>33</v>
      </c>
      <c r="E3496" s="240">
        <v>1</v>
      </c>
      <c r="F3496" s="241">
        <v>10</v>
      </c>
      <c r="G3496" s="242">
        <v>10.73</v>
      </c>
      <c r="H3496" s="239">
        <f t="shared" si="4080"/>
        <v>10.73</v>
      </c>
      <c r="I3496" s="131">
        <f t="shared" si="4081"/>
        <v>0</v>
      </c>
      <c r="J3496" s="31">
        <f t="shared" si="4082"/>
        <v>0</v>
      </c>
      <c r="K3496" s="31">
        <f t="shared" si="4083"/>
        <v>0</v>
      </c>
      <c r="L3496" s="31">
        <f t="shared" si="4084"/>
        <v>0</v>
      </c>
      <c r="M3496" s="31">
        <f t="shared" si="4085"/>
        <v>6.6204100000000006</v>
      </c>
      <c r="N3496" s="31">
        <f t="shared" si="4086"/>
        <v>0</v>
      </c>
      <c r="O3496" s="31">
        <f t="shared" si="4087"/>
        <v>0</v>
      </c>
      <c r="P3496" s="31">
        <f t="shared" si="4088"/>
        <v>0</v>
      </c>
      <c r="Q3496" s="49">
        <f t="shared" si="4089"/>
        <v>0</v>
      </c>
    </row>
    <row r="3497" spans="4:17" s="62" customFormat="1" x14ac:dyDescent="0.3">
      <c r="D3497" s="235">
        <v>34</v>
      </c>
      <c r="E3497" s="240">
        <v>1</v>
      </c>
      <c r="F3497" s="241">
        <v>10</v>
      </c>
      <c r="G3497" s="242">
        <v>11.28</v>
      </c>
      <c r="H3497" s="239">
        <f t="shared" si="4080"/>
        <v>11.28</v>
      </c>
      <c r="I3497" s="131">
        <f t="shared" si="4081"/>
        <v>0</v>
      </c>
      <c r="J3497" s="31">
        <f t="shared" si="4082"/>
        <v>0</v>
      </c>
      <c r="K3497" s="31">
        <f t="shared" si="4083"/>
        <v>0</v>
      </c>
      <c r="L3497" s="31">
        <f t="shared" si="4084"/>
        <v>0</v>
      </c>
      <c r="M3497" s="31">
        <f t="shared" si="4085"/>
        <v>6.9597599999999993</v>
      </c>
      <c r="N3497" s="31">
        <f t="shared" si="4086"/>
        <v>0</v>
      </c>
      <c r="O3497" s="31">
        <f t="shared" si="4087"/>
        <v>0</v>
      </c>
      <c r="P3497" s="31">
        <f t="shared" si="4088"/>
        <v>0</v>
      </c>
      <c r="Q3497" s="49">
        <f t="shared" si="4089"/>
        <v>0</v>
      </c>
    </row>
    <row r="3498" spans="4:17" s="62" customFormat="1" x14ac:dyDescent="0.3">
      <c r="D3498" s="235">
        <v>35</v>
      </c>
      <c r="E3498" s="240">
        <v>2</v>
      </c>
      <c r="F3498" s="241">
        <v>10</v>
      </c>
      <c r="G3498" s="242">
        <v>11.13</v>
      </c>
      <c r="H3498" s="239">
        <f t="shared" si="4080"/>
        <v>22.26</v>
      </c>
      <c r="I3498" s="131">
        <f t="shared" si="4081"/>
        <v>0</v>
      </c>
      <c r="J3498" s="31">
        <f t="shared" si="4082"/>
        <v>0</v>
      </c>
      <c r="K3498" s="31">
        <f t="shared" si="4083"/>
        <v>0</v>
      </c>
      <c r="L3498" s="31">
        <f t="shared" si="4084"/>
        <v>0</v>
      </c>
      <c r="M3498" s="31">
        <f t="shared" si="4085"/>
        <v>13.73442</v>
      </c>
      <c r="N3498" s="31">
        <f t="shared" si="4086"/>
        <v>0</v>
      </c>
      <c r="O3498" s="31">
        <f t="shared" si="4087"/>
        <v>0</v>
      </c>
      <c r="P3498" s="31">
        <f t="shared" si="4088"/>
        <v>0</v>
      </c>
      <c r="Q3498" s="49">
        <f t="shared" si="4089"/>
        <v>0</v>
      </c>
    </row>
    <row r="3499" spans="4:17" s="62" customFormat="1" x14ac:dyDescent="0.3">
      <c r="D3499" s="235">
        <v>36</v>
      </c>
      <c r="E3499" s="240">
        <v>2</v>
      </c>
      <c r="F3499" s="241">
        <v>10</v>
      </c>
      <c r="G3499" s="242">
        <v>2.2599999999999998</v>
      </c>
      <c r="H3499" s="239">
        <f t="shared" si="4080"/>
        <v>4.5199999999999996</v>
      </c>
      <c r="I3499" s="131">
        <f t="shared" si="4081"/>
        <v>0</v>
      </c>
      <c r="J3499" s="31">
        <f t="shared" si="4082"/>
        <v>0</v>
      </c>
      <c r="K3499" s="31">
        <f t="shared" si="4083"/>
        <v>0</v>
      </c>
      <c r="L3499" s="31">
        <f t="shared" si="4084"/>
        <v>0</v>
      </c>
      <c r="M3499" s="31">
        <f t="shared" si="4085"/>
        <v>2.7888399999999995</v>
      </c>
      <c r="N3499" s="31">
        <f t="shared" si="4086"/>
        <v>0</v>
      </c>
      <c r="O3499" s="31">
        <f t="shared" si="4087"/>
        <v>0</v>
      </c>
      <c r="P3499" s="31">
        <f t="shared" si="4088"/>
        <v>0</v>
      </c>
      <c r="Q3499" s="49">
        <f t="shared" si="4089"/>
        <v>0</v>
      </c>
    </row>
    <row r="3500" spans="4:17" s="62" customFormat="1" x14ac:dyDescent="0.3">
      <c r="D3500" s="235">
        <v>50</v>
      </c>
      <c r="E3500" s="240">
        <v>1</v>
      </c>
      <c r="F3500" s="241">
        <v>12.5</v>
      </c>
      <c r="G3500" s="242">
        <v>2.2000000000000002</v>
      </c>
      <c r="H3500" s="239">
        <f t="shared" si="4080"/>
        <v>2.2000000000000002</v>
      </c>
      <c r="I3500" s="131">
        <f t="shared" si="4081"/>
        <v>0</v>
      </c>
      <c r="J3500" s="31">
        <f t="shared" si="4082"/>
        <v>0</v>
      </c>
      <c r="K3500" s="31">
        <f t="shared" si="4083"/>
        <v>0</v>
      </c>
      <c r="L3500" s="31">
        <f t="shared" si="4084"/>
        <v>0</v>
      </c>
      <c r="M3500" s="31">
        <f t="shared" si="4085"/>
        <v>0</v>
      </c>
      <c r="N3500" s="31">
        <f t="shared" si="4086"/>
        <v>2.1186000000000003</v>
      </c>
      <c r="O3500" s="31">
        <f t="shared" si="4087"/>
        <v>0</v>
      </c>
      <c r="P3500" s="31">
        <f t="shared" si="4088"/>
        <v>0</v>
      </c>
      <c r="Q3500" s="49">
        <f t="shared" si="4089"/>
        <v>0</v>
      </c>
    </row>
    <row r="3501" spans="4:17" s="62" customFormat="1" x14ac:dyDescent="0.3">
      <c r="D3501" s="235">
        <v>51</v>
      </c>
      <c r="E3501" s="240">
        <v>1</v>
      </c>
      <c r="F3501" s="241">
        <v>12.5</v>
      </c>
      <c r="G3501" s="242">
        <v>3.27</v>
      </c>
      <c r="H3501" s="239">
        <f t="shared" si="4080"/>
        <v>3.27</v>
      </c>
      <c r="I3501" s="131">
        <f t="shared" si="4081"/>
        <v>0</v>
      </c>
      <c r="J3501" s="31">
        <f t="shared" si="4082"/>
        <v>0</v>
      </c>
      <c r="K3501" s="31">
        <f t="shared" si="4083"/>
        <v>0</v>
      </c>
      <c r="L3501" s="31">
        <f t="shared" si="4084"/>
        <v>0</v>
      </c>
      <c r="M3501" s="31">
        <f t="shared" si="4085"/>
        <v>0</v>
      </c>
      <c r="N3501" s="31">
        <f t="shared" si="4086"/>
        <v>3.1490100000000001</v>
      </c>
      <c r="O3501" s="31">
        <f t="shared" si="4087"/>
        <v>0</v>
      </c>
      <c r="P3501" s="31">
        <f t="shared" si="4088"/>
        <v>0</v>
      </c>
      <c r="Q3501" s="49">
        <f t="shared" si="4089"/>
        <v>0</v>
      </c>
    </row>
    <row r="3502" spans="4:17" s="62" customFormat="1" x14ac:dyDescent="0.3">
      <c r="D3502" s="235">
        <v>52</v>
      </c>
      <c r="E3502" s="240">
        <v>1</v>
      </c>
      <c r="F3502" s="241">
        <v>12.5</v>
      </c>
      <c r="G3502" s="242">
        <v>3.2</v>
      </c>
      <c r="H3502" s="239">
        <f t="shared" si="4080"/>
        <v>3.2</v>
      </c>
      <c r="I3502" s="131">
        <f t="shared" si="4081"/>
        <v>0</v>
      </c>
      <c r="J3502" s="31">
        <f t="shared" si="4082"/>
        <v>0</v>
      </c>
      <c r="K3502" s="31">
        <f t="shared" si="4083"/>
        <v>0</v>
      </c>
      <c r="L3502" s="31">
        <f t="shared" si="4084"/>
        <v>0</v>
      </c>
      <c r="M3502" s="31">
        <f t="shared" si="4085"/>
        <v>0</v>
      </c>
      <c r="N3502" s="31">
        <f t="shared" si="4086"/>
        <v>3.0815999999999999</v>
      </c>
      <c r="O3502" s="31">
        <f t="shared" si="4087"/>
        <v>0</v>
      </c>
      <c r="P3502" s="31">
        <f t="shared" si="4088"/>
        <v>0</v>
      </c>
      <c r="Q3502" s="49">
        <f t="shared" si="4089"/>
        <v>0</v>
      </c>
    </row>
    <row r="3503" spans="4:17" s="62" customFormat="1" x14ac:dyDescent="0.3">
      <c r="D3503" s="235">
        <v>53</v>
      </c>
      <c r="E3503" s="240">
        <v>2</v>
      </c>
      <c r="F3503" s="241">
        <v>12.5</v>
      </c>
      <c r="G3503" s="242">
        <v>11.56</v>
      </c>
      <c r="H3503" s="239">
        <f t="shared" si="4080"/>
        <v>23.12</v>
      </c>
      <c r="I3503" s="131">
        <f t="shared" si="4081"/>
        <v>0</v>
      </c>
      <c r="J3503" s="31">
        <f t="shared" si="4082"/>
        <v>0</v>
      </c>
      <c r="K3503" s="31">
        <f t="shared" si="4083"/>
        <v>0</v>
      </c>
      <c r="L3503" s="31">
        <f t="shared" si="4084"/>
        <v>0</v>
      </c>
      <c r="M3503" s="31">
        <f t="shared" si="4085"/>
        <v>0</v>
      </c>
      <c r="N3503" s="31">
        <f t="shared" si="4086"/>
        <v>22.264559999999999</v>
      </c>
      <c r="O3503" s="31">
        <f t="shared" si="4087"/>
        <v>0</v>
      </c>
      <c r="P3503" s="31">
        <f t="shared" si="4088"/>
        <v>0</v>
      </c>
      <c r="Q3503" s="49">
        <f t="shared" si="4089"/>
        <v>0</v>
      </c>
    </row>
    <row r="3504" spans="4:17" s="62" customFormat="1" x14ac:dyDescent="0.3">
      <c r="D3504" s="235">
        <v>54</v>
      </c>
      <c r="E3504" s="240">
        <v>3</v>
      </c>
      <c r="F3504" s="241">
        <v>12.5</v>
      </c>
      <c r="G3504" s="242">
        <v>0.98</v>
      </c>
      <c r="H3504" s="239">
        <f t="shared" si="4080"/>
        <v>2.94</v>
      </c>
      <c r="I3504" s="131">
        <f t="shared" si="4081"/>
        <v>0</v>
      </c>
      <c r="J3504" s="31">
        <f t="shared" si="4082"/>
        <v>0</v>
      </c>
      <c r="K3504" s="31">
        <f t="shared" si="4083"/>
        <v>0</v>
      </c>
      <c r="L3504" s="31">
        <f t="shared" si="4084"/>
        <v>0</v>
      </c>
      <c r="M3504" s="31">
        <f t="shared" si="4085"/>
        <v>0</v>
      </c>
      <c r="N3504" s="31">
        <f t="shared" si="4086"/>
        <v>2.8312200000000001</v>
      </c>
      <c r="O3504" s="31">
        <f t="shared" si="4087"/>
        <v>0</v>
      </c>
      <c r="P3504" s="31">
        <f t="shared" si="4088"/>
        <v>0</v>
      </c>
      <c r="Q3504" s="49">
        <f t="shared" si="4089"/>
        <v>0</v>
      </c>
    </row>
    <row r="3505" spans="4:17" s="62" customFormat="1" ht="15" thickBot="1" x14ac:dyDescent="0.35">
      <c r="D3505" s="307"/>
      <c r="E3505" s="26"/>
      <c r="F3505" s="206"/>
      <c r="G3505" s="207"/>
      <c r="H3505" s="207"/>
      <c r="I3505" s="51"/>
      <c r="J3505" s="308"/>
      <c r="K3505" s="308"/>
      <c r="L3505" s="308"/>
      <c r="M3505" s="308"/>
      <c r="N3505" s="308"/>
      <c r="O3505" s="308"/>
      <c r="P3505" s="308"/>
      <c r="Q3505" s="309"/>
    </row>
    <row r="3506" spans="4:17" s="62" customFormat="1" x14ac:dyDescent="0.3">
      <c r="D3506" s="796" t="s">
        <v>1823</v>
      </c>
      <c r="E3506" s="797"/>
      <c r="F3506" s="797"/>
      <c r="G3506" s="797"/>
      <c r="H3506" s="797"/>
      <c r="I3506" s="47">
        <f t="shared" ref="I3506:Q3506" si="4090">SUM(I3507:I3509)</f>
        <v>0</v>
      </c>
      <c r="J3506" s="47">
        <f t="shared" si="4090"/>
        <v>1.3444199999999999</v>
      </c>
      <c r="K3506" s="47">
        <f t="shared" si="4090"/>
        <v>0</v>
      </c>
      <c r="L3506" s="47">
        <f t="shared" si="4090"/>
        <v>1.9908000000000001</v>
      </c>
      <c r="M3506" s="47">
        <f t="shared" si="4090"/>
        <v>2.8505400000000001</v>
      </c>
      <c r="N3506" s="47">
        <f t="shared" si="4090"/>
        <v>0</v>
      </c>
      <c r="O3506" s="47">
        <f t="shared" si="4090"/>
        <v>0</v>
      </c>
      <c r="P3506" s="47">
        <f t="shared" si="4090"/>
        <v>0</v>
      </c>
      <c r="Q3506" s="47">
        <f t="shared" si="4090"/>
        <v>0</v>
      </c>
    </row>
    <row r="3507" spans="4:17" s="62" customFormat="1" x14ac:dyDescent="0.3">
      <c r="D3507" s="235">
        <v>2</v>
      </c>
      <c r="E3507" s="237">
        <v>9</v>
      </c>
      <c r="F3507" s="238">
        <v>5</v>
      </c>
      <c r="G3507" s="239">
        <v>0.97</v>
      </c>
      <c r="H3507" s="239">
        <f t="shared" ref="H3507:H3509" si="4091">E3507*G3507</f>
        <v>8.73</v>
      </c>
      <c r="I3507" s="131">
        <f t="shared" ref="I3507:I3509" si="4092">IF($F3507=4.2,H3507*$B$23,0)</f>
        <v>0</v>
      </c>
      <c r="J3507" s="31">
        <f t="shared" ref="J3507:J3509" si="4093">IF($F3507=5,$H3507*$B$24,0)</f>
        <v>1.3444199999999999</v>
      </c>
      <c r="K3507" s="31">
        <f t="shared" ref="K3507:K3509" si="4094">IF($F3507=6.3,$H3507*$B$25,0)</f>
        <v>0</v>
      </c>
      <c r="L3507" s="31">
        <f t="shared" ref="L3507:L3509" si="4095">IF($F3507=8,$H3507*$B$26,0)</f>
        <v>0</v>
      </c>
      <c r="M3507" s="31">
        <f t="shared" ref="M3507:M3509" si="4096">IF($F3507=10,$H3507*$B$27,0)</f>
        <v>0</v>
      </c>
      <c r="N3507" s="31">
        <f t="shared" ref="N3507:N3509" si="4097">IF($F3507=12.5,$H3507*$B$28,0)</f>
        <v>0</v>
      </c>
      <c r="O3507" s="31">
        <f t="shared" ref="O3507:O3509" si="4098">IF($F3507=16,$H3507*$B$29,0)</f>
        <v>0</v>
      </c>
      <c r="P3507" s="31">
        <f t="shared" ref="P3507:P3509" si="4099">IF($F3507=20,$H3507*$B$30,0)</f>
        <v>0</v>
      </c>
      <c r="Q3507" s="49">
        <f t="shared" ref="Q3507:Q3509" si="4100">IF($F3507=25,$H3507*$B$31,0)</f>
        <v>0</v>
      </c>
    </row>
    <row r="3508" spans="4:17" s="62" customFormat="1" x14ac:dyDescent="0.3">
      <c r="D3508" s="235">
        <v>12</v>
      </c>
      <c r="E3508" s="240">
        <v>2</v>
      </c>
      <c r="F3508" s="241">
        <v>8</v>
      </c>
      <c r="G3508" s="242">
        <v>2.52</v>
      </c>
      <c r="H3508" s="239">
        <f t="shared" si="4091"/>
        <v>5.04</v>
      </c>
      <c r="I3508" s="131">
        <f t="shared" si="4092"/>
        <v>0</v>
      </c>
      <c r="J3508" s="31">
        <f t="shared" si="4093"/>
        <v>0</v>
      </c>
      <c r="K3508" s="31">
        <f t="shared" si="4094"/>
        <v>0</v>
      </c>
      <c r="L3508" s="31">
        <f t="shared" si="4095"/>
        <v>1.9908000000000001</v>
      </c>
      <c r="M3508" s="31">
        <f t="shared" si="4096"/>
        <v>0</v>
      </c>
      <c r="N3508" s="31">
        <f t="shared" si="4097"/>
        <v>0</v>
      </c>
      <c r="O3508" s="31">
        <f t="shared" si="4098"/>
        <v>0</v>
      </c>
      <c r="P3508" s="31">
        <f t="shared" si="4099"/>
        <v>0</v>
      </c>
      <c r="Q3508" s="49">
        <f t="shared" si="4100"/>
        <v>0</v>
      </c>
    </row>
    <row r="3509" spans="4:17" s="62" customFormat="1" x14ac:dyDescent="0.3">
      <c r="D3509" s="235">
        <v>37</v>
      </c>
      <c r="E3509" s="240">
        <v>2</v>
      </c>
      <c r="F3509" s="241">
        <v>10</v>
      </c>
      <c r="G3509" s="242">
        <v>2.31</v>
      </c>
      <c r="H3509" s="239">
        <f t="shared" si="4091"/>
        <v>4.62</v>
      </c>
      <c r="I3509" s="131">
        <f t="shared" si="4092"/>
        <v>0</v>
      </c>
      <c r="J3509" s="31">
        <f t="shared" si="4093"/>
        <v>0</v>
      </c>
      <c r="K3509" s="31">
        <f t="shared" si="4094"/>
        <v>0</v>
      </c>
      <c r="L3509" s="31">
        <f t="shared" si="4095"/>
        <v>0</v>
      </c>
      <c r="M3509" s="31">
        <f t="shared" si="4096"/>
        <v>2.8505400000000001</v>
      </c>
      <c r="N3509" s="31">
        <f t="shared" si="4097"/>
        <v>0</v>
      </c>
      <c r="O3509" s="31">
        <f t="shared" si="4098"/>
        <v>0</v>
      </c>
      <c r="P3509" s="31">
        <f t="shared" si="4099"/>
        <v>0</v>
      </c>
      <c r="Q3509" s="49">
        <f t="shared" si="4100"/>
        <v>0</v>
      </c>
    </row>
    <row r="3510" spans="4:17" s="62" customFormat="1" ht="15" thickBot="1" x14ac:dyDescent="0.35">
      <c r="D3510" s="307"/>
      <c r="E3510" s="26"/>
      <c r="F3510" s="206"/>
      <c r="G3510" s="207"/>
      <c r="H3510" s="207"/>
      <c r="I3510" s="51"/>
      <c r="J3510" s="308"/>
      <c r="K3510" s="308"/>
      <c r="L3510" s="308"/>
      <c r="M3510" s="308"/>
      <c r="N3510" s="308"/>
      <c r="O3510" s="308"/>
      <c r="P3510" s="308"/>
      <c r="Q3510" s="309"/>
    </row>
    <row r="3511" spans="4:17" s="62" customFormat="1" x14ac:dyDescent="0.3">
      <c r="D3511" s="796" t="s">
        <v>1824</v>
      </c>
      <c r="E3511" s="797"/>
      <c r="F3511" s="797"/>
      <c r="G3511" s="797"/>
      <c r="H3511" s="797"/>
      <c r="I3511" s="47">
        <f t="shared" ref="I3511:Q3511" si="4101">SUM(I3512:I3516)</f>
        <v>0</v>
      </c>
      <c r="J3511" s="47">
        <f t="shared" si="4101"/>
        <v>6.5727199999999995</v>
      </c>
      <c r="K3511" s="47">
        <f t="shared" si="4101"/>
        <v>0</v>
      </c>
      <c r="L3511" s="47">
        <f t="shared" si="4101"/>
        <v>0</v>
      </c>
      <c r="M3511" s="47">
        <f t="shared" si="4101"/>
        <v>0</v>
      </c>
      <c r="N3511" s="47">
        <f t="shared" si="4101"/>
        <v>0</v>
      </c>
      <c r="O3511" s="47">
        <f t="shared" si="4101"/>
        <v>51.616380000000007</v>
      </c>
      <c r="P3511" s="47">
        <f t="shared" si="4101"/>
        <v>0</v>
      </c>
      <c r="Q3511" s="47">
        <f t="shared" si="4101"/>
        <v>0</v>
      </c>
    </row>
    <row r="3512" spans="4:17" s="62" customFormat="1" x14ac:dyDescent="0.3">
      <c r="D3512" s="235">
        <v>2</v>
      </c>
      <c r="E3512" s="237">
        <v>44</v>
      </c>
      <c r="F3512" s="238">
        <v>5</v>
      </c>
      <c r="G3512" s="239">
        <v>0.97</v>
      </c>
      <c r="H3512" s="239">
        <f t="shared" ref="H3512:H3516" si="4102">E3512*G3512</f>
        <v>42.68</v>
      </c>
      <c r="I3512" s="131">
        <f t="shared" ref="I3512:I3516" si="4103">IF($F3512=4.2,H3512*$B$23,0)</f>
        <v>0</v>
      </c>
      <c r="J3512" s="31">
        <f t="shared" ref="J3512:J3516" si="4104">IF($F3512=5,$H3512*$B$24,0)</f>
        <v>6.5727199999999995</v>
      </c>
      <c r="K3512" s="31">
        <f t="shared" ref="K3512:K3516" si="4105">IF($F3512=6.3,$H3512*$B$25,0)</f>
        <v>0</v>
      </c>
      <c r="L3512" s="31">
        <f t="shared" ref="L3512:L3516" si="4106">IF($F3512=8,$H3512*$B$26,0)</f>
        <v>0</v>
      </c>
      <c r="M3512" s="31">
        <f t="shared" ref="M3512:M3516" si="4107">IF($F3512=10,$H3512*$B$27,0)</f>
        <v>0</v>
      </c>
      <c r="N3512" s="31">
        <f t="shared" ref="N3512:N3516" si="4108">IF($F3512=12.5,$H3512*$B$28,0)</f>
        <v>0</v>
      </c>
      <c r="O3512" s="31">
        <f t="shared" ref="O3512:O3516" si="4109">IF($F3512=16,$H3512*$B$29,0)</f>
        <v>0</v>
      </c>
      <c r="P3512" s="31">
        <f t="shared" ref="P3512:P3516" si="4110">IF($F3512=20,$H3512*$B$30,0)</f>
        <v>0</v>
      </c>
      <c r="Q3512" s="49">
        <f t="shared" ref="Q3512:Q3516" si="4111">IF($F3512=25,$H3512*$B$31,0)</f>
        <v>0</v>
      </c>
    </row>
    <row r="3513" spans="4:17" s="62" customFormat="1" x14ac:dyDescent="0.3">
      <c r="D3513" s="235">
        <v>72</v>
      </c>
      <c r="E3513" s="240">
        <v>2</v>
      </c>
      <c r="F3513" s="241">
        <v>16</v>
      </c>
      <c r="G3513" s="242">
        <v>3.19</v>
      </c>
      <c r="H3513" s="239">
        <f t="shared" si="4102"/>
        <v>6.38</v>
      </c>
      <c r="I3513" s="131">
        <f t="shared" si="4103"/>
        <v>0</v>
      </c>
      <c r="J3513" s="31">
        <f t="shared" si="4104"/>
        <v>0</v>
      </c>
      <c r="K3513" s="31">
        <f t="shared" si="4105"/>
        <v>0</v>
      </c>
      <c r="L3513" s="31">
        <f t="shared" si="4106"/>
        <v>0</v>
      </c>
      <c r="M3513" s="31">
        <f t="shared" si="4107"/>
        <v>0</v>
      </c>
      <c r="N3513" s="31">
        <f t="shared" si="4108"/>
        <v>0</v>
      </c>
      <c r="O3513" s="31">
        <f t="shared" si="4109"/>
        <v>10.067640000000001</v>
      </c>
      <c r="P3513" s="31">
        <f t="shared" si="4110"/>
        <v>0</v>
      </c>
      <c r="Q3513" s="49">
        <f t="shared" si="4111"/>
        <v>0</v>
      </c>
    </row>
    <row r="3514" spans="4:17" s="62" customFormat="1" x14ac:dyDescent="0.3">
      <c r="D3514" s="235">
        <v>73</v>
      </c>
      <c r="E3514" s="240">
        <v>2</v>
      </c>
      <c r="F3514" s="241">
        <v>16</v>
      </c>
      <c r="G3514" s="242">
        <v>5.63</v>
      </c>
      <c r="H3514" s="239">
        <f t="shared" si="4102"/>
        <v>11.26</v>
      </c>
      <c r="I3514" s="131">
        <f t="shared" si="4103"/>
        <v>0</v>
      </c>
      <c r="J3514" s="31">
        <f t="shared" si="4104"/>
        <v>0</v>
      </c>
      <c r="K3514" s="31">
        <f t="shared" si="4105"/>
        <v>0</v>
      </c>
      <c r="L3514" s="31">
        <f t="shared" si="4106"/>
        <v>0</v>
      </c>
      <c r="M3514" s="31">
        <f t="shared" si="4107"/>
        <v>0</v>
      </c>
      <c r="N3514" s="31">
        <f t="shared" si="4108"/>
        <v>0</v>
      </c>
      <c r="O3514" s="31">
        <f t="shared" si="4109"/>
        <v>17.768280000000001</v>
      </c>
      <c r="P3514" s="31">
        <f t="shared" si="4110"/>
        <v>0</v>
      </c>
      <c r="Q3514" s="49">
        <f t="shared" si="4111"/>
        <v>0</v>
      </c>
    </row>
    <row r="3515" spans="4:17" s="62" customFormat="1" x14ac:dyDescent="0.3">
      <c r="D3515" s="235">
        <v>74</v>
      </c>
      <c r="E3515" s="240">
        <v>1</v>
      </c>
      <c r="F3515" s="241">
        <v>16</v>
      </c>
      <c r="G3515" s="242">
        <v>2.15</v>
      </c>
      <c r="H3515" s="239">
        <f t="shared" si="4102"/>
        <v>2.15</v>
      </c>
      <c r="I3515" s="131">
        <f t="shared" si="4103"/>
        <v>0</v>
      </c>
      <c r="J3515" s="31">
        <f t="shared" si="4104"/>
        <v>0</v>
      </c>
      <c r="K3515" s="31">
        <f t="shared" si="4105"/>
        <v>0</v>
      </c>
      <c r="L3515" s="31">
        <f t="shared" si="4106"/>
        <v>0</v>
      </c>
      <c r="M3515" s="31">
        <f t="shared" si="4107"/>
        <v>0</v>
      </c>
      <c r="N3515" s="31">
        <f t="shared" si="4108"/>
        <v>0</v>
      </c>
      <c r="O3515" s="31">
        <f t="shared" si="4109"/>
        <v>3.3927</v>
      </c>
      <c r="P3515" s="31">
        <f t="shared" si="4110"/>
        <v>0</v>
      </c>
      <c r="Q3515" s="49">
        <f t="shared" si="4111"/>
        <v>0</v>
      </c>
    </row>
    <row r="3516" spans="4:17" s="62" customFormat="1" x14ac:dyDescent="0.3">
      <c r="D3516" s="235">
        <v>75</v>
      </c>
      <c r="E3516" s="240">
        <v>2</v>
      </c>
      <c r="F3516" s="241">
        <v>16</v>
      </c>
      <c r="G3516" s="242">
        <v>6.46</v>
      </c>
      <c r="H3516" s="239">
        <f t="shared" si="4102"/>
        <v>12.92</v>
      </c>
      <c r="I3516" s="131">
        <f t="shared" si="4103"/>
        <v>0</v>
      </c>
      <c r="J3516" s="31">
        <f t="shared" si="4104"/>
        <v>0</v>
      </c>
      <c r="K3516" s="31">
        <f t="shared" si="4105"/>
        <v>0</v>
      </c>
      <c r="L3516" s="31">
        <f t="shared" si="4106"/>
        <v>0</v>
      </c>
      <c r="M3516" s="31">
        <f t="shared" si="4107"/>
        <v>0</v>
      </c>
      <c r="N3516" s="31">
        <f t="shared" si="4108"/>
        <v>0</v>
      </c>
      <c r="O3516" s="31">
        <f t="shared" si="4109"/>
        <v>20.38776</v>
      </c>
      <c r="P3516" s="31">
        <f t="shared" si="4110"/>
        <v>0</v>
      </c>
      <c r="Q3516" s="49">
        <f t="shared" si="4111"/>
        <v>0</v>
      </c>
    </row>
    <row r="3517" spans="4:17" s="62" customFormat="1" ht="15" thickBot="1" x14ac:dyDescent="0.35">
      <c r="D3517" s="307"/>
      <c r="E3517" s="26"/>
      <c r="F3517" s="206"/>
      <c r="G3517" s="207"/>
      <c r="H3517" s="207"/>
      <c r="I3517" s="51"/>
      <c r="J3517" s="308"/>
      <c r="K3517" s="308"/>
      <c r="L3517" s="308"/>
      <c r="M3517" s="308"/>
      <c r="N3517" s="308"/>
      <c r="O3517" s="308"/>
      <c r="P3517" s="308"/>
      <c r="Q3517" s="309"/>
    </row>
    <row r="3518" spans="4:17" s="62" customFormat="1" x14ac:dyDescent="0.3">
      <c r="D3518" s="796" t="s">
        <v>1825</v>
      </c>
      <c r="E3518" s="797"/>
      <c r="F3518" s="797"/>
      <c r="G3518" s="797"/>
      <c r="H3518" s="797"/>
      <c r="I3518" s="47">
        <f t="shared" ref="I3518:Q3518" si="4112">SUM(I3519:I3522)</f>
        <v>0</v>
      </c>
      <c r="J3518" s="47">
        <f t="shared" si="4112"/>
        <v>5.2282999999999991</v>
      </c>
      <c r="K3518" s="47">
        <f t="shared" si="4112"/>
        <v>0</v>
      </c>
      <c r="L3518" s="47">
        <f t="shared" si="4112"/>
        <v>0</v>
      </c>
      <c r="M3518" s="47">
        <f t="shared" si="4112"/>
        <v>0</v>
      </c>
      <c r="N3518" s="47">
        <f t="shared" si="4112"/>
        <v>18.133289999999999</v>
      </c>
      <c r="O3518" s="47">
        <f t="shared" si="4112"/>
        <v>17.137080000000001</v>
      </c>
      <c r="P3518" s="47">
        <f t="shared" si="4112"/>
        <v>0</v>
      </c>
      <c r="Q3518" s="47">
        <f t="shared" si="4112"/>
        <v>0</v>
      </c>
    </row>
    <row r="3519" spans="4:17" s="62" customFormat="1" x14ac:dyDescent="0.3">
      <c r="D3519" s="235">
        <v>2</v>
      </c>
      <c r="E3519" s="237">
        <v>35</v>
      </c>
      <c r="F3519" s="238">
        <v>5</v>
      </c>
      <c r="G3519" s="239">
        <v>0.97</v>
      </c>
      <c r="H3519" s="239">
        <f t="shared" ref="H3519:H3522" si="4113">E3519*G3519</f>
        <v>33.949999999999996</v>
      </c>
      <c r="I3519" s="131">
        <f t="shared" ref="I3519:I3522" si="4114">IF($F3519=4.2,H3519*$B$23,0)</f>
        <v>0</v>
      </c>
      <c r="J3519" s="31">
        <f t="shared" ref="J3519:J3522" si="4115">IF($F3519=5,$H3519*$B$24,0)</f>
        <v>5.2282999999999991</v>
      </c>
      <c r="K3519" s="31">
        <f t="shared" ref="K3519:K3522" si="4116">IF($F3519=6.3,$H3519*$B$25,0)</f>
        <v>0</v>
      </c>
      <c r="L3519" s="31">
        <f t="shared" ref="L3519:L3522" si="4117">IF($F3519=8,$H3519*$B$26,0)</f>
        <v>0</v>
      </c>
      <c r="M3519" s="31">
        <f t="shared" ref="M3519:M3522" si="4118">IF($F3519=10,$H3519*$B$27,0)</f>
        <v>0</v>
      </c>
      <c r="N3519" s="31">
        <f t="shared" ref="N3519:N3522" si="4119">IF($F3519=12.5,$H3519*$B$28,0)</f>
        <v>0</v>
      </c>
      <c r="O3519" s="31">
        <f t="shared" ref="O3519:O3522" si="4120">IF($F3519=16,$H3519*$B$29,0)</f>
        <v>0</v>
      </c>
      <c r="P3519" s="31">
        <f t="shared" ref="P3519:P3522" si="4121">IF($F3519=20,$H3519*$B$30,0)</f>
        <v>0</v>
      </c>
      <c r="Q3519" s="49">
        <f t="shared" ref="Q3519:Q3522" si="4122">IF($F3519=25,$H3519*$B$31,0)</f>
        <v>0</v>
      </c>
    </row>
    <row r="3520" spans="4:17" s="62" customFormat="1" x14ac:dyDescent="0.3">
      <c r="D3520" s="235">
        <v>55</v>
      </c>
      <c r="E3520" s="240">
        <v>3</v>
      </c>
      <c r="F3520" s="241">
        <v>12.5</v>
      </c>
      <c r="G3520" s="242">
        <v>3.05</v>
      </c>
      <c r="H3520" s="239">
        <f t="shared" si="4113"/>
        <v>9.1499999999999986</v>
      </c>
      <c r="I3520" s="131">
        <f t="shared" si="4114"/>
        <v>0</v>
      </c>
      <c r="J3520" s="31">
        <f t="shared" si="4115"/>
        <v>0</v>
      </c>
      <c r="K3520" s="31">
        <f t="shared" si="4116"/>
        <v>0</v>
      </c>
      <c r="L3520" s="31">
        <f t="shared" si="4117"/>
        <v>0</v>
      </c>
      <c r="M3520" s="31">
        <f t="shared" si="4118"/>
        <v>0</v>
      </c>
      <c r="N3520" s="31">
        <f t="shared" si="4119"/>
        <v>8.8114499999999989</v>
      </c>
      <c r="O3520" s="31">
        <f t="shared" si="4120"/>
        <v>0</v>
      </c>
      <c r="P3520" s="31">
        <f t="shared" si="4121"/>
        <v>0</v>
      </c>
      <c r="Q3520" s="49">
        <f t="shared" si="4122"/>
        <v>0</v>
      </c>
    </row>
    <row r="3521" spans="4:17" s="62" customFormat="1" x14ac:dyDescent="0.3">
      <c r="D3521" s="235">
        <v>56</v>
      </c>
      <c r="E3521" s="240">
        <v>2</v>
      </c>
      <c r="F3521" s="241">
        <v>12.5</v>
      </c>
      <c r="G3521" s="242">
        <v>4.84</v>
      </c>
      <c r="H3521" s="239">
        <f t="shared" si="4113"/>
        <v>9.68</v>
      </c>
      <c r="I3521" s="131">
        <f t="shared" si="4114"/>
        <v>0</v>
      </c>
      <c r="J3521" s="31">
        <f t="shared" si="4115"/>
        <v>0</v>
      </c>
      <c r="K3521" s="31">
        <f t="shared" si="4116"/>
        <v>0</v>
      </c>
      <c r="L3521" s="31">
        <f t="shared" si="4117"/>
        <v>0</v>
      </c>
      <c r="M3521" s="31">
        <f t="shared" si="4118"/>
        <v>0</v>
      </c>
      <c r="N3521" s="31">
        <f t="shared" si="4119"/>
        <v>9.3218399999999999</v>
      </c>
      <c r="O3521" s="31">
        <f t="shared" si="4120"/>
        <v>0</v>
      </c>
      <c r="P3521" s="31">
        <f t="shared" si="4121"/>
        <v>0</v>
      </c>
      <c r="Q3521" s="49">
        <f t="shared" si="4122"/>
        <v>0</v>
      </c>
    </row>
    <row r="3522" spans="4:17" s="62" customFormat="1" x14ac:dyDescent="0.3">
      <c r="D3522" s="235">
        <v>76</v>
      </c>
      <c r="E3522" s="240">
        <v>2</v>
      </c>
      <c r="F3522" s="241">
        <v>16</v>
      </c>
      <c r="G3522" s="242">
        <v>5.43</v>
      </c>
      <c r="H3522" s="239">
        <f t="shared" si="4113"/>
        <v>10.86</v>
      </c>
      <c r="I3522" s="131">
        <f t="shared" si="4114"/>
        <v>0</v>
      </c>
      <c r="J3522" s="31">
        <f t="shared" si="4115"/>
        <v>0</v>
      </c>
      <c r="K3522" s="31">
        <f t="shared" si="4116"/>
        <v>0</v>
      </c>
      <c r="L3522" s="31">
        <f t="shared" si="4117"/>
        <v>0</v>
      </c>
      <c r="M3522" s="31">
        <f t="shared" si="4118"/>
        <v>0</v>
      </c>
      <c r="N3522" s="31">
        <f t="shared" si="4119"/>
        <v>0</v>
      </c>
      <c r="O3522" s="31">
        <f t="shared" si="4120"/>
        <v>17.137080000000001</v>
      </c>
      <c r="P3522" s="31">
        <f t="shared" si="4121"/>
        <v>0</v>
      </c>
      <c r="Q3522" s="49">
        <f t="shared" si="4122"/>
        <v>0</v>
      </c>
    </row>
    <row r="3523" spans="4:17" s="62" customFormat="1" ht="15" thickBot="1" x14ac:dyDescent="0.35">
      <c r="D3523" s="307"/>
      <c r="E3523" s="26"/>
      <c r="F3523" s="206"/>
      <c r="G3523" s="207"/>
      <c r="H3523" s="207"/>
      <c r="I3523" s="51"/>
      <c r="J3523" s="308"/>
      <c r="K3523" s="308"/>
      <c r="L3523" s="308"/>
      <c r="M3523" s="308"/>
      <c r="N3523" s="308"/>
      <c r="O3523" s="308"/>
      <c r="P3523" s="308"/>
      <c r="Q3523" s="309"/>
    </row>
    <row r="3524" spans="4:17" s="62" customFormat="1" x14ac:dyDescent="0.3">
      <c r="D3524" s="796" t="s">
        <v>1826</v>
      </c>
      <c r="E3524" s="797"/>
      <c r="F3524" s="797"/>
      <c r="G3524" s="797"/>
      <c r="H3524" s="797"/>
      <c r="I3524" s="47">
        <f t="shared" ref="I3524:Q3524" si="4123">SUM(I3525:I3528)</f>
        <v>0</v>
      </c>
      <c r="J3524" s="47">
        <f t="shared" si="4123"/>
        <v>2.6888399999999999</v>
      </c>
      <c r="K3524" s="47">
        <f t="shared" si="4123"/>
        <v>0</v>
      </c>
      <c r="L3524" s="47">
        <f t="shared" si="4123"/>
        <v>0</v>
      </c>
      <c r="M3524" s="47">
        <f t="shared" si="4123"/>
        <v>8.5454499999999989</v>
      </c>
      <c r="N3524" s="47">
        <f t="shared" si="4123"/>
        <v>8.3973600000000008</v>
      </c>
      <c r="O3524" s="47">
        <f t="shared" si="4123"/>
        <v>0</v>
      </c>
      <c r="P3524" s="47">
        <f t="shared" si="4123"/>
        <v>0</v>
      </c>
      <c r="Q3524" s="47">
        <f t="shared" si="4123"/>
        <v>0</v>
      </c>
    </row>
    <row r="3525" spans="4:17" s="62" customFormat="1" x14ac:dyDescent="0.3">
      <c r="D3525" s="235">
        <v>2</v>
      </c>
      <c r="E3525" s="237">
        <v>18</v>
      </c>
      <c r="F3525" s="238">
        <v>5</v>
      </c>
      <c r="G3525" s="239">
        <v>0.97</v>
      </c>
      <c r="H3525" s="239">
        <f t="shared" ref="H3525:H3528" si="4124">E3525*G3525</f>
        <v>17.46</v>
      </c>
      <c r="I3525" s="131">
        <f t="shared" ref="I3525:I3528" si="4125">IF($F3525=4.2,H3525*$B$23,0)</f>
        <v>0</v>
      </c>
      <c r="J3525" s="31">
        <f t="shared" ref="J3525:J3528" si="4126">IF($F3525=5,$H3525*$B$24,0)</f>
        <v>2.6888399999999999</v>
      </c>
      <c r="K3525" s="31">
        <f t="shared" ref="K3525:K3528" si="4127">IF($F3525=6.3,$H3525*$B$25,0)</f>
        <v>0</v>
      </c>
      <c r="L3525" s="31">
        <f t="shared" ref="L3525:L3528" si="4128">IF($F3525=8,$H3525*$B$26,0)</f>
        <v>0</v>
      </c>
      <c r="M3525" s="31">
        <f t="shared" ref="M3525:M3528" si="4129">IF($F3525=10,$H3525*$B$27,0)</f>
        <v>0</v>
      </c>
      <c r="N3525" s="31">
        <f t="shared" ref="N3525:N3528" si="4130">IF($F3525=12.5,$H3525*$B$28,0)</f>
        <v>0</v>
      </c>
      <c r="O3525" s="31">
        <f t="shared" ref="O3525:O3528" si="4131">IF($F3525=16,$H3525*$B$29,0)</f>
        <v>0</v>
      </c>
      <c r="P3525" s="31">
        <f t="shared" ref="P3525:P3528" si="4132">IF($F3525=20,$H3525*$B$30,0)</f>
        <v>0</v>
      </c>
      <c r="Q3525" s="49">
        <f t="shared" ref="Q3525:Q3528" si="4133">IF($F3525=25,$H3525*$B$31,0)</f>
        <v>0</v>
      </c>
    </row>
    <row r="3526" spans="4:17" s="62" customFormat="1" x14ac:dyDescent="0.3">
      <c r="D3526" s="235">
        <v>38</v>
      </c>
      <c r="E3526" s="240">
        <v>1</v>
      </c>
      <c r="F3526" s="241">
        <v>10</v>
      </c>
      <c r="G3526" s="242">
        <v>4.57</v>
      </c>
      <c r="H3526" s="239">
        <f t="shared" si="4124"/>
        <v>4.57</v>
      </c>
      <c r="I3526" s="131">
        <f t="shared" si="4125"/>
        <v>0</v>
      </c>
      <c r="J3526" s="31">
        <f t="shared" si="4126"/>
        <v>0</v>
      </c>
      <c r="K3526" s="31">
        <f t="shared" si="4127"/>
        <v>0</v>
      </c>
      <c r="L3526" s="31">
        <f t="shared" si="4128"/>
        <v>0</v>
      </c>
      <c r="M3526" s="31">
        <f t="shared" si="4129"/>
        <v>2.81969</v>
      </c>
      <c r="N3526" s="31">
        <f t="shared" si="4130"/>
        <v>0</v>
      </c>
      <c r="O3526" s="31">
        <f t="shared" si="4131"/>
        <v>0</v>
      </c>
      <c r="P3526" s="31">
        <f t="shared" si="4132"/>
        <v>0</v>
      </c>
      <c r="Q3526" s="49">
        <f t="shared" si="4133"/>
        <v>0</v>
      </c>
    </row>
    <row r="3527" spans="4:17" s="62" customFormat="1" x14ac:dyDescent="0.3">
      <c r="D3527" s="235">
        <v>39</v>
      </c>
      <c r="E3527" s="240">
        <v>2</v>
      </c>
      <c r="F3527" s="241">
        <v>10</v>
      </c>
      <c r="G3527" s="242">
        <v>4.6399999999999997</v>
      </c>
      <c r="H3527" s="239">
        <f t="shared" si="4124"/>
        <v>9.2799999999999994</v>
      </c>
      <c r="I3527" s="131">
        <f t="shared" si="4125"/>
        <v>0</v>
      </c>
      <c r="J3527" s="31">
        <f t="shared" si="4126"/>
        <v>0</v>
      </c>
      <c r="K3527" s="31">
        <f t="shared" si="4127"/>
        <v>0</v>
      </c>
      <c r="L3527" s="31">
        <f t="shared" si="4128"/>
        <v>0</v>
      </c>
      <c r="M3527" s="31">
        <f t="shared" si="4129"/>
        <v>5.7257599999999993</v>
      </c>
      <c r="N3527" s="31">
        <f t="shared" si="4130"/>
        <v>0</v>
      </c>
      <c r="O3527" s="31">
        <f t="shared" si="4131"/>
        <v>0</v>
      </c>
      <c r="P3527" s="31">
        <f t="shared" si="4132"/>
        <v>0</v>
      </c>
      <c r="Q3527" s="49">
        <f t="shared" si="4133"/>
        <v>0</v>
      </c>
    </row>
    <row r="3528" spans="4:17" s="62" customFormat="1" x14ac:dyDescent="0.3">
      <c r="D3528" s="235">
        <v>57</v>
      </c>
      <c r="E3528" s="240">
        <v>2</v>
      </c>
      <c r="F3528" s="241">
        <v>12.5</v>
      </c>
      <c r="G3528" s="242">
        <v>4.3600000000000003</v>
      </c>
      <c r="H3528" s="239">
        <f t="shared" si="4124"/>
        <v>8.7200000000000006</v>
      </c>
      <c r="I3528" s="131">
        <f t="shared" si="4125"/>
        <v>0</v>
      </c>
      <c r="J3528" s="31">
        <f t="shared" si="4126"/>
        <v>0</v>
      </c>
      <c r="K3528" s="31">
        <f t="shared" si="4127"/>
        <v>0</v>
      </c>
      <c r="L3528" s="31">
        <f t="shared" si="4128"/>
        <v>0</v>
      </c>
      <c r="M3528" s="31">
        <f t="shared" si="4129"/>
        <v>0</v>
      </c>
      <c r="N3528" s="31">
        <f t="shared" si="4130"/>
        <v>8.3973600000000008</v>
      </c>
      <c r="O3528" s="31">
        <f t="shared" si="4131"/>
        <v>0</v>
      </c>
      <c r="P3528" s="31">
        <f t="shared" si="4132"/>
        <v>0</v>
      </c>
      <c r="Q3528" s="49">
        <f t="shared" si="4133"/>
        <v>0</v>
      </c>
    </row>
    <row r="3529" spans="4:17" s="62" customFormat="1" ht="15" thickBot="1" x14ac:dyDescent="0.35">
      <c r="D3529" s="307"/>
      <c r="E3529" s="26"/>
      <c r="F3529" s="206"/>
      <c r="G3529" s="207"/>
      <c r="H3529" s="207"/>
      <c r="I3529" s="51"/>
      <c r="J3529" s="308"/>
      <c r="K3529" s="308"/>
      <c r="L3529" s="308"/>
      <c r="M3529" s="308"/>
      <c r="N3529" s="308"/>
      <c r="O3529" s="308"/>
      <c r="P3529" s="308"/>
      <c r="Q3529" s="309"/>
    </row>
    <row r="3530" spans="4:17" s="62" customFormat="1" x14ac:dyDescent="0.3">
      <c r="D3530" s="796" t="s">
        <v>1827</v>
      </c>
      <c r="E3530" s="797"/>
      <c r="F3530" s="797"/>
      <c r="G3530" s="797"/>
      <c r="H3530" s="797"/>
      <c r="I3530" s="47">
        <f t="shared" ref="I3530:Q3530" si="4134">SUM(I3531:I3540)</f>
        <v>0</v>
      </c>
      <c r="J3530" s="47">
        <f t="shared" si="4134"/>
        <v>7.020859999999999</v>
      </c>
      <c r="K3530" s="47">
        <f t="shared" si="4134"/>
        <v>0</v>
      </c>
      <c r="L3530" s="47">
        <f t="shared" si="4134"/>
        <v>0</v>
      </c>
      <c r="M3530" s="47">
        <f t="shared" si="4134"/>
        <v>3.2824400000000002</v>
      </c>
      <c r="N3530" s="47">
        <f t="shared" si="4134"/>
        <v>16.67916</v>
      </c>
      <c r="O3530" s="47">
        <f t="shared" si="4134"/>
        <v>29.12988</v>
      </c>
      <c r="P3530" s="47">
        <f t="shared" si="4134"/>
        <v>0</v>
      </c>
      <c r="Q3530" s="47">
        <f t="shared" si="4134"/>
        <v>0</v>
      </c>
    </row>
    <row r="3531" spans="4:17" s="62" customFormat="1" x14ac:dyDescent="0.3">
      <c r="D3531" s="235">
        <v>2</v>
      </c>
      <c r="E3531" s="237">
        <v>47</v>
      </c>
      <c r="F3531" s="238">
        <v>5</v>
      </c>
      <c r="G3531" s="239">
        <v>0.97</v>
      </c>
      <c r="H3531" s="239">
        <f t="shared" ref="H3531:H3540" si="4135">E3531*G3531</f>
        <v>45.589999999999996</v>
      </c>
      <c r="I3531" s="131">
        <f t="shared" ref="I3531:I3540" si="4136">IF($F3531=4.2,H3531*$B$23,0)</f>
        <v>0</v>
      </c>
      <c r="J3531" s="31">
        <f t="shared" ref="J3531:J3540" si="4137">IF($F3531=5,$H3531*$B$24,0)</f>
        <v>7.020859999999999</v>
      </c>
      <c r="K3531" s="31">
        <f t="shared" ref="K3531:K3540" si="4138">IF($F3531=6.3,$H3531*$B$25,0)</f>
        <v>0</v>
      </c>
      <c r="L3531" s="31">
        <f t="shared" ref="L3531:L3540" si="4139">IF($F3531=8,$H3531*$B$26,0)</f>
        <v>0</v>
      </c>
      <c r="M3531" s="31">
        <f t="shared" ref="M3531:M3540" si="4140">IF($F3531=10,$H3531*$B$27,0)</f>
        <v>0</v>
      </c>
      <c r="N3531" s="31">
        <f t="shared" ref="N3531:N3540" si="4141">IF($F3531=12.5,$H3531*$B$28,0)</f>
        <v>0</v>
      </c>
      <c r="O3531" s="31">
        <f t="shared" ref="O3531:O3540" si="4142">IF($F3531=16,$H3531*$B$29,0)</f>
        <v>0</v>
      </c>
      <c r="P3531" s="31">
        <f t="shared" ref="P3531:P3540" si="4143">IF($F3531=20,$H3531*$B$30,0)</f>
        <v>0</v>
      </c>
      <c r="Q3531" s="49">
        <f t="shared" ref="Q3531:Q3540" si="4144">IF($F3531=25,$H3531*$B$31,0)</f>
        <v>0</v>
      </c>
    </row>
    <row r="3532" spans="4:17" s="62" customFormat="1" x14ac:dyDescent="0.3">
      <c r="D3532" s="235">
        <v>40</v>
      </c>
      <c r="E3532" s="240">
        <v>2</v>
      </c>
      <c r="F3532" s="241">
        <v>10</v>
      </c>
      <c r="G3532" s="242">
        <v>2.66</v>
      </c>
      <c r="H3532" s="239">
        <f t="shared" si="4135"/>
        <v>5.32</v>
      </c>
      <c r="I3532" s="131">
        <f t="shared" si="4136"/>
        <v>0</v>
      </c>
      <c r="J3532" s="31">
        <f t="shared" si="4137"/>
        <v>0</v>
      </c>
      <c r="K3532" s="31">
        <f t="shared" si="4138"/>
        <v>0</v>
      </c>
      <c r="L3532" s="31">
        <f t="shared" si="4139"/>
        <v>0</v>
      </c>
      <c r="M3532" s="31">
        <f t="shared" si="4140"/>
        <v>3.2824400000000002</v>
      </c>
      <c r="N3532" s="31">
        <f t="shared" si="4141"/>
        <v>0</v>
      </c>
      <c r="O3532" s="31">
        <f t="shared" si="4142"/>
        <v>0</v>
      </c>
      <c r="P3532" s="31">
        <f t="shared" si="4143"/>
        <v>0</v>
      </c>
      <c r="Q3532" s="49">
        <f t="shared" si="4144"/>
        <v>0</v>
      </c>
    </row>
    <row r="3533" spans="4:17" s="62" customFormat="1" x14ac:dyDescent="0.3">
      <c r="D3533" s="235">
        <v>58</v>
      </c>
      <c r="E3533" s="240">
        <v>1</v>
      </c>
      <c r="F3533" s="241">
        <v>12.5</v>
      </c>
      <c r="G3533" s="242">
        <v>1.41</v>
      </c>
      <c r="H3533" s="239">
        <f t="shared" si="4135"/>
        <v>1.41</v>
      </c>
      <c r="I3533" s="131">
        <f t="shared" si="4136"/>
        <v>0</v>
      </c>
      <c r="J3533" s="31">
        <f t="shared" si="4137"/>
        <v>0</v>
      </c>
      <c r="K3533" s="31">
        <f t="shared" si="4138"/>
        <v>0</v>
      </c>
      <c r="L3533" s="31">
        <f t="shared" si="4139"/>
        <v>0</v>
      </c>
      <c r="M3533" s="31">
        <f t="shared" si="4140"/>
        <v>0</v>
      </c>
      <c r="N3533" s="31">
        <f t="shared" si="4141"/>
        <v>1.3578299999999999</v>
      </c>
      <c r="O3533" s="31">
        <f t="shared" si="4142"/>
        <v>0</v>
      </c>
      <c r="P3533" s="31">
        <f t="shared" si="4143"/>
        <v>0</v>
      </c>
      <c r="Q3533" s="49">
        <f t="shared" si="4144"/>
        <v>0</v>
      </c>
    </row>
    <row r="3534" spans="4:17" s="62" customFormat="1" x14ac:dyDescent="0.3">
      <c r="D3534" s="235">
        <v>59</v>
      </c>
      <c r="E3534" s="240">
        <v>2</v>
      </c>
      <c r="F3534" s="241">
        <v>12.5</v>
      </c>
      <c r="G3534" s="242">
        <v>1.97</v>
      </c>
      <c r="H3534" s="239">
        <f t="shared" si="4135"/>
        <v>3.94</v>
      </c>
      <c r="I3534" s="131">
        <f t="shared" si="4136"/>
        <v>0</v>
      </c>
      <c r="J3534" s="31">
        <f t="shared" si="4137"/>
        <v>0</v>
      </c>
      <c r="K3534" s="31">
        <f t="shared" si="4138"/>
        <v>0</v>
      </c>
      <c r="L3534" s="31">
        <f t="shared" si="4139"/>
        <v>0</v>
      </c>
      <c r="M3534" s="31">
        <f t="shared" si="4140"/>
        <v>0</v>
      </c>
      <c r="N3534" s="31">
        <f t="shared" si="4141"/>
        <v>3.7942199999999997</v>
      </c>
      <c r="O3534" s="31">
        <f t="shared" si="4142"/>
        <v>0</v>
      </c>
      <c r="P3534" s="31">
        <f t="shared" si="4143"/>
        <v>0</v>
      </c>
      <c r="Q3534" s="49">
        <f t="shared" si="4144"/>
        <v>0</v>
      </c>
    </row>
    <row r="3535" spans="4:17" s="62" customFormat="1" x14ac:dyDescent="0.3">
      <c r="D3535" s="235">
        <v>60</v>
      </c>
      <c r="E3535" s="240">
        <v>2</v>
      </c>
      <c r="F3535" s="241">
        <v>12.5</v>
      </c>
      <c r="G3535" s="242">
        <v>2.0099999999999998</v>
      </c>
      <c r="H3535" s="239">
        <f t="shared" si="4135"/>
        <v>4.0199999999999996</v>
      </c>
      <c r="I3535" s="131">
        <f t="shared" si="4136"/>
        <v>0</v>
      </c>
      <c r="J3535" s="31">
        <f t="shared" si="4137"/>
        <v>0</v>
      </c>
      <c r="K3535" s="31">
        <f t="shared" si="4138"/>
        <v>0</v>
      </c>
      <c r="L3535" s="31">
        <f t="shared" si="4139"/>
        <v>0</v>
      </c>
      <c r="M3535" s="31">
        <f t="shared" si="4140"/>
        <v>0</v>
      </c>
      <c r="N3535" s="31">
        <f t="shared" si="4141"/>
        <v>3.8712599999999995</v>
      </c>
      <c r="O3535" s="31">
        <f t="shared" si="4142"/>
        <v>0</v>
      </c>
      <c r="P3535" s="31">
        <f t="shared" si="4143"/>
        <v>0</v>
      </c>
      <c r="Q3535" s="49">
        <f t="shared" si="4144"/>
        <v>0</v>
      </c>
    </row>
    <row r="3536" spans="4:17" s="62" customFormat="1" x14ac:dyDescent="0.3">
      <c r="D3536" s="235">
        <v>61</v>
      </c>
      <c r="E3536" s="240">
        <v>1</v>
      </c>
      <c r="F3536" s="241">
        <v>12.5</v>
      </c>
      <c r="G3536" s="242">
        <v>1.51</v>
      </c>
      <c r="H3536" s="239">
        <f t="shared" si="4135"/>
        <v>1.51</v>
      </c>
      <c r="I3536" s="131">
        <f t="shared" si="4136"/>
        <v>0</v>
      </c>
      <c r="J3536" s="31">
        <f t="shared" si="4137"/>
        <v>0</v>
      </c>
      <c r="K3536" s="31">
        <f t="shared" si="4138"/>
        <v>0</v>
      </c>
      <c r="L3536" s="31">
        <f t="shared" si="4139"/>
        <v>0</v>
      </c>
      <c r="M3536" s="31">
        <f t="shared" si="4140"/>
        <v>0</v>
      </c>
      <c r="N3536" s="31">
        <f t="shared" si="4141"/>
        <v>1.4541299999999999</v>
      </c>
      <c r="O3536" s="31">
        <f t="shared" si="4142"/>
        <v>0</v>
      </c>
      <c r="P3536" s="31">
        <f t="shared" si="4143"/>
        <v>0</v>
      </c>
      <c r="Q3536" s="49">
        <f t="shared" si="4144"/>
        <v>0</v>
      </c>
    </row>
    <row r="3537" spans="4:17" s="62" customFormat="1" x14ac:dyDescent="0.3">
      <c r="D3537" s="235">
        <v>62</v>
      </c>
      <c r="E3537" s="240">
        <v>1</v>
      </c>
      <c r="F3537" s="241">
        <v>12.5</v>
      </c>
      <c r="G3537" s="242">
        <v>2.12</v>
      </c>
      <c r="H3537" s="239">
        <f t="shared" si="4135"/>
        <v>2.12</v>
      </c>
      <c r="I3537" s="131">
        <f t="shared" si="4136"/>
        <v>0</v>
      </c>
      <c r="J3537" s="31">
        <f t="shared" si="4137"/>
        <v>0</v>
      </c>
      <c r="K3537" s="31">
        <f t="shared" si="4138"/>
        <v>0</v>
      </c>
      <c r="L3537" s="31">
        <f t="shared" si="4139"/>
        <v>0</v>
      </c>
      <c r="M3537" s="31">
        <f t="shared" si="4140"/>
        <v>0</v>
      </c>
      <c r="N3537" s="31">
        <f t="shared" si="4141"/>
        <v>2.04156</v>
      </c>
      <c r="O3537" s="31">
        <f t="shared" si="4142"/>
        <v>0</v>
      </c>
      <c r="P3537" s="31">
        <f t="shared" si="4143"/>
        <v>0</v>
      </c>
      <c r="Q3537" s="49">
        <f t="shared" si="4144"/>
        <v>0</v>
      </c>
    </row>
    <row r="3538" spans="4:17" s="62" customFormat="1" x14ac:dyDescent="0.3">
      <c r="D3538" s="235">
        <v>63</v>
      </c>
      <c r="E3538" s="240">
        <v>2</v>
      </c>
      <c r="F3538" s="241">
        <v>12.5</v>
      </c>
      <c r="G3538" s="242">
        <v>2.16</v>
      </c>
      <c r="H3538" s="239">
        <f t="shared" si="4135"/>
        <v>4.32</v>
      </c>
      <c r="I3538" s="131">
        <f t="shared" si="4136"/>
        <v>0</v>
      </c>
      <c r="J3538" s="31">
        <f t="shared" si="4137"/>
        <v>0</v>
      </c>
      <c r="K3538" s="31">
        <f t="shared" si="4138"/>
        <v>0</v>
      </c>
      <c r="L3538" s="31">
        <f t="shared" si="4139"/>
        <v>0</v>
      </c>
      <c r="M3538" s="31">
        <f t="shared" si="4140"/>
        <v>0</v>
      </c>
      <c r="N3538" s="31">
        <f t="shared" si="4141"/>
        <v>4.1601600000000003</v>
      </c>
      <c r="O3538" s="31">
        <f t="shared" si="4142"/>
        <v>0</v>
      </c>
      <c r="P3538" s="31">
        <f t="shared" si="4143"/>
        <v>0</v>
      </c>
      <c r="Q3538" s="49">
        <f t="shared" si="4144"/>
        <v>0</v>
      </c>
    </row>
    <row r="3539" spans="4:17" s="62" customFormat="1" x14ac:dyDescent="0.3">
      <c r="D3539" s="235">
        <v>77</v>
      </c>
      <c r="E3539" s="240">
        <v>2</v>
      </c>
      <c r="F3539" s="241">
        <v>16</v>
      </c>
      <c r="G3539" s="242">
        <v>3.39</v>
      </c>
      <c r="H3539" s="239">
        <f t="shared" si="4135"/>
        <v>6.78</v>
      </c>
      <c r="I3539" s="131">
        <f t="shared" si="4136"/>
        <v>0</v>
      </c>
      <c r="J3539" s="31">
        <f t="shared" si="4137"/>
        <v>0</v>
      </c>
      <c r="K3539" s="31">
        <f t="shared" si="4138"/>
        <v>0</v>
      </c>
      <c r="L3539" s="31">
        <f t="shared" si="4139"/>
        <v>0</v>
      </c>
      <c r="M3539" s="31">
        <f t="shared" si="4140"/>
        <v>0</v>
      </c>
      <c r="N3539" s="31">
        <f t="shared" si="4141"/>
        <v>0</v>
      </c>
      <c r="O3539" s="31">
        <f t="shared" si="4142"/>
        <v>10.698840000000001</v>
      </c>
      <c r="P3539" s="31">
        <f t="shared" si="4143"/>
        <v>0</v>
      </c>
      <c r="Q3539" s="49">
        <f t="shared" si="4144"/>
        <v>0</v>
      </c>
    </row>
    <row r="3540" spans="4:17" s="62" customFormat="1" x14ac:dyDescent="0.3">
      <c r="D3540" s="235">
        <v>78</v>
      </c>
      <c r="E3540" s="240">
        <v>2</v>
      </c>
      <c r="F3540" s="241">
        <v>16</v>
      </c>
      <c r="G3540" s="242">
        <v>5.84</v>
      </c>
      <c r="H3540" s="239">
        <f t="shared" si="4135"/>
        <v>11.68</v>
      </c>
      <c r="I3540" s="131">
        <f t="shared" si="4136"/>
        <v>0</v>
      </c>
      <c r="J3540" s="31">
        <f t="shared" si="4137"/>
        <v>0</v>
      </c>
      <c r="K3540" s="31">
        <f t="shared" si="4138"/>
        <v>0</v>
      </c>
      <c r="L3540" s="31">
        <f t="shared" si="4139"/>
        <v>0</v>
      </c>
      <c r="M3540" s="31">
        <f t="shared" si="4140"/>
        <v>0</v>
      </c>
      <c r="N3540" s="31">
        <f t="shared" si="4141"/>
        <v>0</v>
      </c>
      <c r="O3540" s="31">
        <f t="shared" si="4142"/>
        <v>18.431039999999999</v>
      </c>
      <c r="P3540" s="31">
        <f t="shared" si="4143"/>
        <v>0</v>
      </c>
      <c r="Q3540" s="49">
        <f t="shared" si="4144"/>
        <v>0</v>
      </c>
    </row>
    <row r="3541" spans="4:17" s="62" customFormat="1" ht="15" thickBot="1" x14ac:dyDescent="0.35">
      <c r="D3541" s="307"/>
      <c r="E3541" s="26"/>
      <c r="F3541" s="206"/>
      <c r="G3541" s="207"/>
      <c r="H3541" s="207"/>
      <c r="I3541" s="51"/>
      <c r="J3541" s="308"/>
      <c r="K3541" s="308"/>
      <c r="L3541" s="308"/>
      <c r="M3541" s="308"/>
      <c r="N3541" s="308"/>
      <c r="O3541" s="308"/>
      <c r="P3541" s="308"/>
      <c r="Q3541" s="309"/>
    </row>
    <row r="3542" spans="4:17" s="62" customFormat="1" x14ac:dyDescent="0.3">
      <c r="D3542" s="796" t="s">
        <v>1828</v>
      </c>
      <c r="E3542" s="797"/>
      <c r="F3542" s="797"/>
      <c r="G3542" s="797"/>
      <c r="H3542" s="797"/>
      <c r="I3542" s="47">
        <f t="shared" ref="I3542:Q3542" si="4145">SUM(I3543:I3549)</f>
        <v>0</v>
      </c>
      <c r="J3542" s="47">
        <f t="shared" si="4145"/>
        <v>5.6764399999999995</v>
      </c>
      <c r="K3542" s="47">
        <f t="shared" si="4145"/>
        <v>0</v>
      </c>
      <c r="L3542" s="47">
        <f t="shared" si="4145"/>
        <v>0</v>
      </c>
      <c r="M3542" s="47">
        <f t="shared" si="4145"/>
        <v>0</v>
      </c>
      <c r="N3542" s="47">
        <f t="shared" si="4145"/>
        <v>51.549389999999995</v>
      </c>
      <c r="O3542" s="47">
        <f t="shared" si="4145"/>
        <v>0</v>
      </c>
      <c r="P3542" s="47">
        <f t="shared" si="4145"/>
        <v>0</v>
      </c>
      <c r="Q3542" s="47">
        <f t="shared" si="4145"/>
        <v>0</v>
      </c>
    </row>
    <row r="3543" spans="4:17" s="62" customFormat="1" x14ac:dyDescent="0.3">
      <c r="D3543" s="235">
        <v>2</v>
      </c>
      <c r="E3543" s="237">
        <v>38</v>
      </c>
      <c r="F3543" s="238">
        <v>5</v>
      </c>
      <c r="G3543" s="239">
        <v>0.97</v>
      </c>
      <c r="H3543" s="239">
        <f t="shared" ref="H3543:H3549" si="4146">E3543*G3543</f>
        <v>36.86</v>
      </c>
      <c r="I3543" s="131">
        <f t="shared" ref="I3543:I3549" si="4147">IF($F3543=4.2,H3543*$B$23,0)</f>
        <v>0</v>
      </c>
      <c r="J3543" s="31">
        <f t="shared" ref="J3543:J3549" si="4148">IF($F3543=5,$H3543*$B$24,0)</f>
        <v>5.6764399999999995</v>
      </c>
      <c r="K3543" s="31">
        <f t="shared" ref="K3543:K3549" si="4149">IF($F3543=6.3,$H3543*$B$25,0)</f>
        <v>0</v>
      </c>
      <c r="L3543" s="31">
        <f t="shared" ref="L3543:L3549" si="4150">IF($F3543=8,$H3543*$B$26,0)</f>
        <v>0</v>
      </c>
      <c r="M3543" s="31">
        <f t="shared" ref="M3543:M3549" si="4151">IF($F3543=10,$H3543*$B$27,0)</f>
        <v>0</v>
      </c>
      <c r="N3543" s="31">
        <f t="shared" ref="N3543:N3549" si="4152">IF($F3543=12.5,$H3543*$B$28,0)</f>
        <v>0</v>
      </c>
      <c r="O3543" s="31">
        <f t="shared" ref="O3543:O3549" si="4153">IF($F3543=16,$H3543*$B$29,0)</f>
        <v>0</v>
      </c>
      <c r="P3543" s="31">
        <f t="shared" ref="P3543:P3549" si="4154">IF($F3543=20,$H3543*$B$30,0)</f>
        <v>0</v>
      </c>
      <c r="Q3543" s="49">
        <f t="shared" ref="Q3543:Q3549" si="4155">IF($F3543=25,$H3543*$B$31,0)</f>
        <v>0</v>
      </c>
    </row>
    <row r="3544" spans="4:17" s="62" customFormat="1" x14ac:dyDescent="0.3">
      <c r="D3544" s="235">
        <v>64</v>
      </c>
      <c r="E3544" s="240">
        <v>1</v>
      </c>
      <c r="F3544" s="241">
        <v>12.5</v>
      </c>
      <c r="G3544" s="242">
        <v>1.57</v>
      </c>
      <c r="H3544" s="239">
        <f t="shared" si="4146"/>
        <v>1.57</v>
      </c>
      <c r="I3544" s="131">
        <f t="shared" si="4147"/>
        <v>0</v>
      </c>
      <c r="J3544" s="31">
        <f t="shared" si="4148"/>
        <v>0</v>
      </c>
      <c r="K3544" s="31">
        <f t="shared" si="4149"/>
        <v>0</v>
      </c>
      <c r="L3544" s="31">
        <f t="shared" si="4150"/>
        <v>0</v>
      </c>
      <c r="M3544" s="31">
        <f t="shared" si="4151"/>
        <v>0</v>
      </c>
      <c r="N3544" s="31">
        <f t="shared" si="4152"/>
        <v>1.5119100000000001</v>
      </c>
      <c r="O3544" s="31">
        <f t="shared" si="4153"/>
        <v>0</v>
      </c>
      <c r="P3544" s="31">
        <f t="shared" si="4154"/>
        <v>0</v>
      </c>
      <c r="Q3544" s="49">
        <f t="shared" si="4155"/>
        <v>0</v>
      </c>
    </row>
    <row r="3545" spans="4:17" s="62" customFormat="1" x14ac:dyDescent="0.3">
      <c r="D3545" s="235">
        <v>65</v>
      </c>
      <c r="E3545" s="240">
        <v>3</v>
      </c>
      <c r="F3545" s="241">
        <v>12.5</v>
      </c>
      <c r="G3545" s="242">
        <v>2.12</v>
      </c>
      <c r="H3545" s="239">
        <f t="shared" si="4146"/>
        <v>6.36</v>
      </c>
      <c r="I3545" s="131">
        <f t="shared" si="4147"/>
        <v>0</v>
      </c>
      <c r="J3545" s="31">
        <f t="shared" si="4148"/>
        <v>0</v>
      </c>
      <c r="K3545" s="31">
        <f t="shared" si="4149"/>
        <v>0</v>
      </c>
      <c r="L3545" s="31">
        <f t="shared" si="4150"/>
        <v>0</v>
      </c>
      <c r="M3545" s="31">
        <f t="shared" si="4151"/>
        <v>0</v>
      </c>
      <c r="N3545" s="31">
        <f t="shared" si="4152"/>
        <v>6.1246799999999997</v>
      </c>
      <c r="O3545" s="31">
        <f t="shared" si="4153"/>
        <v>0</v>
      </c>
      <c r="P3545" s="31">
        <f t="shared" si="4154"/>
        <v>0</v>
      </c>
      <c r="Q3545" s="49">
        <f t="shared" si="4155"/>
        <v>0</v>
      </c>
    </row>
    <row r="3546" spans="4:17" s="62" customFormat="1" x14ac:dyDescent="0.3">
      <c r="D3546" s="235">
        <v>66</v>
      </c>
      <c r="E3546" s="240">
        <v>4</v>
      </c>
      <c r="F3546" s="241">
        <v>12.5</v>
      </c>
      <c r="G3546" s="242">
        <v>3.38</v>
      </c>
      <c r="H3546" s="239">
        <f t="shared" si="4146"/>
        <v>13.52</v>
      </c>
      <c r="I3546" s="131">
        <f t="shared" si="4147"/>
        <v>0</v>
      </c>
      <c r="J3546" s="31">
        <f t="shared" si="4148"/>
        <v>0</v>
      </c>
      <c r="K3546" s="31">
        <f t="shared" si="4149"/>
        <v>0</v>
      </c>
      <c r="L3546" s="31">
        <f t="shared" si="4150"/>
        <v>0</v>
      </c>
      <c r="M3546" s="31">
        <f t="shared" si="4151"/>
        <v>0</v>
      </c>
      <c r="N3546" s="31">
        <f t="shared" si="4152"/>
        <v>13.01976</v>
      </c>
      <c r="O3546" s="31">
        <f t="shared" si="4153"/>
        <v>0</v>
      </c>
      <c r="P3546" s="31">
        <f t="shared" si="4154"/>
        <v>0</v>
      </c>
      <c r="Q3546" s="49">
        <f t="shared" si="4155"/>
        <v>0</v>
      </c>
    </row>
    <row r="3547" spans="4:17" s="62" customFormat="1" x14ac:dyDescent="0.3">
      <c r="D3547" s="235">
        <v>67</v>
      </c>
      <c r="E3547" s="240">
        <v>2</v>
      </c>
      <c r="F3547" s="241">
        <v>12.5</v>
      </c>
      <c r="G3547" s="242">
        <v>6.86</v>
      </c>
      <c r="H3547" s="239">
        <f t="shared" si="4146"/>
        <v>13.72</v>
      </c>
      <c r="I3547" s="131">
        <f t="shared" si="4147"/>
        <v>0</v>
      </c>
      <c r="J3547" s="31">
        <f t="shared" si="4148"/>
        <v>0</v>
      </c>
      <c r="K3547" s="31">
        <f t="shared" si="4149"/>
        <v>0</v>
      </c>
      <c r="L3547" s="31">
        <f t="shared" si="4150"/>
        <v>0</v>
      </c>
      <c r="M3547" s="31">
        <f t="shared" si="4151"/>
        <v>0</v>
      </c>
      <c r="N3547" s="31">
        <f t="shared" si="4152"/>
        <v>13.21236</v>
      </c>
      <c r="O3547" s="31">
        <f t="shared" si="4153"/>
        <v>0</v>
      </c>
      <c r="P3547" s="31">
        <f t="shared" si="4154"/>
        <v>0</v>
      </c>
      <c r="Q3547" s="49">
        <f t="shared" si="4155"/>
        <v>0</v>
      </c>
    </row>
    <row r="3548" spans="4:17" s="62" customFormat="1" x14ac:dyDescent="0.3">
      <c r="D3548" s="235">
        <v>68</v>
      </c>
      <c r="E3548" s="240">
        <v>2</v>
      </c>
      <c r="F3548" s="241">
        <v>12.5</v>
      </c>
      <c r="G3548" s="242">
        <v>1.74</v>
      </c>
      <c r="H3548" s="239">
        <f t="shared" si="4146"/>
        <v>3.48</v>
      </c>
      <c r="I3548" s="131">
        <f t="shared" si="4147"/>
        <v>0</v>
      </c>
      <c r="J3548" s="31">
        <f t="shared" si="4148"/>
        <v>0</v>
      </c>
      <c r="K3548" s="31">
        <f t="shared" si="4149"/>
        <v>0</v>
      </c>
      <c r="L3548" s="31">
        <f t="shared" si="4150"/>
        <v>0</v>
      </c>
      <c r="M3548" s="31">
        <f t="shared" si="4151"/>
        <v>0</v>
      </c>
      <c r="N3548" s="31">
        <f t="shared" si="4152"/>
        <v>3.3512399999999998</v>
      </c>
      <c r="O3548" s="31">
        <f t="shared" si="4153"/>
        <v>0</v>
      </c>
      <c r="P3548" s="31">
        <f t="shared" si="4154"/>
        <v>0</v>
      </c>
      <c r="Q3548" s="49">
        <f t="shared" si="4155"/>
        <v>0</v>
      </c>
    </row>
    <row r="3549" spans="4:17" s="62" customFormat="1" x14ac:dyDescent="0.3">
      <c r="D3549" s="235">
        <v>69</v>
      </c>
      <c r="E3549" s="240">
        <v>2</v>
      </c>
      <c r="F3549" s="241">
        <v>12.5</v>
      </c>
      <c r="G3549" s="242">
        <v>7.44</v>
      </c>
      <c r="H3549" s="239">
        <f t="shared" si="4146"/>
        <v>14.88</v>
      </c>
      <c r="I3549" s="131">
        <f t="shared" si="4147"/>
        <v>0</v>
      </c>
      <c r="J3549" s="31">
        <f t="shared" si="4148"/>
        <v>0</v>
      </c>
      <c r="K3549" s="31">
        <f t="shared" si="4149"/>
        <v>0</v>
      </c>
      <c r="L3549" s="31">
        <f t="shared" si="4150"/>
        <v>0</v>
      </c>
      <c r="M3549" s="31">
        <f t="shared" si="4151"/>
        <v>0</v>
      </c>
      <c r="N3549" s="31">
        <f t="shared" si="4152"/>
        <v>14.32944</v>
      </c>
      <c r="O3549" s="31">
        <f t="shared" si="4153"/>
        <v>0</v>
      </c>
      <c r="P3549" s="31">
        <f t="shared" si="4154"/>
        <v>0</v>
      </c>
      <c r="Q3549" s="49">
        <f t="shared" si="4155"/>
        <v>0</v>
      </c>
    </row>
    <row r="3550" spans="4:17" s="62" customFormat="1" ht="15" thickBot="1" x14ac:dyDescent="0.35">
      <c r="D3550" s="307"/>
      <c r="E3550" s="26"/>
      <c r="F3550" s="206"/>
      <c r="G3550" s="207"/>
      <c r="H3550" s="207"/>
      <c r="I3550" s="51"/>
      <c r="J3550" s="308"/>
      <c r="K3550" s="308"/>
      <c r="L3550" s="308"/>
      <c r="M3550" s="308"/>
      <c r="N3550" s="308"/>
      <c r="O3550" s="308"/>
      <c r="P3550" s="308"/>
      <c r="Q3550" s="309"/>
    </row>
    <row r="3551" spans="4:17" s="62" customFormat="1" x14ac:dyDescent="0.3">
      <c r="D3551" s="796" t="s">
        <v>1829</v>
      </c>
      <c r="E3551" s="797"/>
      <c r="F3551" s="797"/>
      <c r="G3551" s="797"/>
      <c r="H3551" s="797"/>
      <c r="I3551" s="47">
        <f t="shared" ref="I3551:Q3551" si="4156">SUM(I3552:I3558)</f>
        <v>0</v>
      </c>
      <c r="J3551" s="47">
        <f t="shared" si="4156"/>
        <v>7.7677599999999991</v>
      </c>
      <c r="K3551" s="47">
        <f t="shared" si="4156"/>
        <v>0</v>
      </c>
      <c r="L3551" s="47">
        <f t="shared" si="4156"/>
        <v>0</v>
      </c>
      <c r="M3551" s="47">
        <f t="shared" si="4156"/>
        <v>8.9711800000000004</v>
      </c>
      <c r="N3551" s="47">
        <f t="shared" si="4156"/>
        <v>26.078040000000001</v>
      </c>
      <c r="O3551" s="47">
        <f t="shared" si="4156"/>
        <v>0</v>
      </c>
      <c r="P3551" s="47">
        <f t="shared" si="4156"/>
        <v>13.200000000000001</v>
      </c>
      <c r="Q3551" s="47">
        <f t="shared" si="4156"/>
        <v>0</v>
      </c>
    </row>
    <row r="3552" spans="4:17" s="62" customFormat="1" x14ac:dyDescent="0.3">
      <c r="D3552" s="235">
        <v>2</v>
      </c>
      <c r="E3552" s="237">
        <v>52</v>
      </c>
      <c r="F3552" s="238">
        <v>5</v>
      </c>
      <c r="G3552" s="239">
        <v>0.97</v>
      </c>
      <c r="H3552" s="239">
        <f t="shared" ref="H3552:H3558" si="4157">E3552*G3552</f>
        <v>50.44</v>
      </c>
      <c r="I3552" s="131">
        <f t="shared" ref="I3552:I3558" si="4158">IF($F3552=4.2,H3552*$B$23,0)</f>
        <v>0</v>
      </c>
      <c r="J3552" s="31">
        <f t="shared" ref="J3552:J3558" si="4159">IF($F3552=5,$H3552*$B$24,0)</f>
        <v>7.7677599999999991</v>
      </c>
      <c r="K3552" s="31">
        <f t="shared" ref="K3552:K3558" si="4160">IF($F3552=6.3,$H3552*$B$25,0)</f>
        <v>0</v>
      </c>
      <c r="L3552" s="31">
        <f t="shared" ref="L3552:L3558" si="4161">IF($F3552=8,$H3552*$B$26,0)</f>
        <v>0</v>
      </c>
      <c r="M3552" s="31">
        <f t="shared" ref="M3552:M3558" si="4162">IF($F3552=10,$H3552*$B$27,0)</f>
        <v>0</v>
      </c>
      <c r="N3552" s="31">
        <f t="shared" ref="N3552:N3558" si="4163">IF($F3552=12.5,$H3552*$B$28,0)</f>
        <v>0</v>
      </c>
      <c r="O3552" s="31">
        <f t="shared" ref="O3552:O3558" si="4164">IF($F3552=16,$H3552*$B$29,0)</f>
        <v>0</v>
      </c>
      <c r="P3552" s="31">
        <f t="shared" ref="P3552:P3558" si="4165">IF($F3552=20,$H3552*$B$30,0)</f>
        <v>0</v>
      </c>
      <c r="Q3552" s="49">
        <f t="shared" ref="Q3552:Q3558" si="4166">IF($F3552=25,$H3552*$B$31,0)</f>
        <v>0</v>
      </c>
    </row>
    <row r="3553" spans="4:17" s="62" customFormat="1" x14ac:dyDescent="0.3">
      <c r="D3553" s="235">
        <v>41</v>
      </c>
      <c r="E3553" s="240">
        <v>2</v>
      </c>
      <c r="F3553" s="241">
        <v>10</v>
      </c>
      <c r="G3553" s="242">
        <v>1.7</v>
      </c>
      <c r="H3553" s="239">
        <f t="shared" si="4157"/>
        <v>3.4</v>
      </c>
      <c r="I3553" s="131">
        <f t="shared" si="4158"/>
        <v>0</v>
      </c>
      <c r="J3553" s="31">
        <f t="shared" si="4159"/>
        <v>0</v>
      </c>
      <c r="K3553" s="31">
        <f t="shared" si="4160"/>
        <v>0</v>
      </c>
      <c r="L3553" s="31">
        <f t="shared" si="4161"/>
        <v>0</v>
      </c>
      <c r="M3553" s="31">
        <f t="shared" si="4162"/>
        <v>2.0977999999999999</v>
      </c>
      <c r="N3553" s="31">
        <f t="shared" si="4163"/>
        <v>0</v>
      </c>
      <c r="O3553" s="31">
        <f t="shared" si="4164"/>
        <v>0</v>
      </c>
      <c r="P3553" s="31">
        <f t="shared" si="4165"/>
        <v>0</v>
      </c>
      <c r="Q3553" s="49">
        <f t="shared" si="4166"/>
        <v>0</v>
      </c>
    </row>
    <row r="3554" spans="4:17" s="62" customFormat="1" x14ac:dyDescent="0.3">
      <c r="D3554" s="235">
        <v>42</v>
      </c>
      <c r="E3554" s="240">
        <v>2</v>
      </c>
      <c r="F3554" s="241">
        <v>10</v>
      </c>
      <c r="G3554" s="242">
        <v>1.73</v>
      </c>
      <c r="H3554" s="239">
        <f t="shared" si="4157"/>
        <v>3.46</v>
      </c>
      <c r="I3554" s="131">
        <f t="shared" si="4158"/>
        <v>0</v>
      </c>
      <c r="J3554" s="31">
        <f t="shared" si="4159"/>
        <v>0</v>
      </c>
      <c r="K3554" s="31">
        <f t="shared" si="4160"/>
        <v>0</v>
      </c>
      <c r="L3554" s="31">
        <f t="shared" si="4161"/>
        <v>0</v>
      </c>
      <c r="M3554" s="31">
        <f t="shared" si="4162"/>
        <v>2.1348199999999999</v>
      </c>
      <c r="N3554" s="31">
        <f t="shared" si="4163"/>
        <v>0</v>
      </c>
      <c r="O3554" s="31">
        <f t="shared" si="4164"/>
        <v>0</v>
      </c>
      <c r="P3554" s="31">
        <f t="shared" si="4165"/>
        <v>0</v>
      </c>
      <c r="Q3554" s="49">
        <f t="shared" si="4166"/>
        <v>0</v>
      </c>
    </row>
    <row r="3555" spans="4:17" s="62" customFormat="1" x14ac:dyDescent="0.3">
      <c r="D3555" s="235">
        <v>43</v>
      </c>
      <c r="E3555" s="240">
        <v>2</v>
      </c>
      <c r="F3555" s="241">
        <v>10</v>
      </c>
      <c r="G3555" s="242">
        <v>3.84</v>
      </c>
      <c r="H3555" s="239">
        <f t="shared" si="4157"/>
        <v>7.68</v>
      </c>
      <c r="I3555" s="131">
        <f t="shared" si="4158"/>
        <v>0</v>
      </c>
      <c r="J3555" s="31">
        <f t="shared" si="4159"/>
        <v>0</v>
      </c>
      <c r="K3555" s="31">
        <f t="shared" si="4160"/>
        <v>0</v>
      </c>
      <c r="L3555" s="31">
        <f t="shared" si="4161"/>
        <v>0</v>
      </c>
      <c r="M3555" s="31">
        <f t="shared" si="4162"/>
        <v>4.7385599999999997</v>
      </c>
      <c r="N3555" s="31">
        <f t="shared" si="4163"/>
        <v>0</v>
      </c>
      <c r="O3555" s="31">
        <f t="shared" si="4164"/>
        <v>0</v>
      </c>
      <c r="P3555" s="31">
        <f t="shared" si="4165"/>
        <v>0</v>
      </c>
      <c r="Q3555" s="49">
        <f t="shared" si="4166"/>
        <v>0</v>
      </c>
    </row>
    <row r="3556" spans="4:17" s="62" customFormat="1" x14ac:dyDescent="0.3">
      <c r="D3556" s="235">
        <v>70</v>
      </c>
      <c r="E3556" s="240">
        <v>4</v>
      </c>
      <c r="F3556" s="241">
        <v>12.5</v>
      </c>
      <c r="G3556" s="242">
        <v>3.91</v>
      </c>
      <c r="H3556" s="239">
        <f t="shared" si="4157"/>
        <v>15.64</v>
      </c>
      <c r="I3556" s="131">
        <f t="shared" si="4158"/>
        <v>0</v>
      </c>
      <c r="J3556" s="31">
        <f t="shared" si="4159"/>
        <v>0</v>
      </c>
      <c r="K3556" s="31">
        <f t="shared" si="4160"/>
        <v>0</v>
      </c>
      <c r="L3556" s="31">
        <f t="shared" si="4161"/>
        <v>0</v>
      </c>
      <c r="M3556" s="31">
        <f t="shared" si="4162"/>
        <v>0</v>
      </c>
      <c r="N3556" s="31">
        <f t="shared" si="4163"/>
        <v>15.06132</v>
      </c>
      <c r="O3556" s="31">
        <f t="shared" si="4164"/>
        <v>0</v>
      </c>
      <c r="P3556" s="31">
        <f t="shared" si="4165"/>
        <v>0</v>
      </c>
      <c r="Q3556" s="49">
        <f t="shared" si="4166"/>
        <v>0</v>
      </c>
    </row>
    <row r="3557" spans="4:17" s="62" customFormat="1" x14ac:dyDescent="0.3">
      <c r="D3557" s="235">
        <v>71</v>
      </c>
      <c r="E3557" s="240">
        <v>2</v>
      </c>
      <c r="F3557" s="241">
        <v>12.5</v>
      </c>
      <c r="G3557" s="242">
        <v>5.72</v>
      </c>
      <c r="H3557" s="239">
        <f t="shared" si="4157"/>
        <v>11.44</v>
      </c>
      <c r="I3557" s="131">
        <f t="shared" si="4158"/>
        <v>0</v>
      </c>
      <c r="J3557" s="31">
        <f t="shared" si="4159"/>
        <v>0</v>
      </c>
      <c r="K3557" s="31">
        <f t="shared" si="4160"/>
        <v>0</v>
      </c>
      <c r="L3557" s="31">
        <f t="shared" si="4161"/>
        <v>0</v>
      </c>
      <c r="M3557" s="31">
        <f t="shared" si="4162"/>
        <v>0</v>
      </c>
      <c r="N3557" s="31">
        <f t="shared" si="4163"/>
        <v>11.016719999999999</v>
      </c>
      <c r="O3557" s="31">
        <f t="shared" si="4164"/>
        <v>0</v>
      </c>
      <c r="P3557" s="31">
        <f t="shared" si="4165"/>
        <v>0</v>
      </c>
      <c r="Q3557" s="49">
        <f t="shared" si="4166"/>
        <v>0</v>
      </c>
    </row>
    <row r="3558" spans="4:17" s="62" customFormat="1" x14ac:dyDescent="0.3">
      <c r="D3558" s="235">
        <v>79</v>
      </c>
      <c r="E3558" s="240">
        <v>2</v>
      </c>
      <c r="F3558" s="241">
        <v>20</v>
      </c>
      <c r="G3558" s="242">
        <v>2.64</v>
      </c>
      <c r="H3558" s="239">
        <f t="shared" si="4157"/>
        <v>5.28</v>
      </c>
      <c r="I3558" s="131">
        <f t="shared" si="4158"/>
        <v>0</v>
      </c>
      <c r="J3558" s="31">
        <f t="shared" si="4159"/>
        <v>0</v>
      </c>
      <c r="K3558" s="31">
        <f t="shared" si="4160"/>
        <v>0</v>
      </c>
      <c r="L3558" s="31">
        <f t="shared" si="4161"/>
        <v>0</v>
      </c>
      <c r="M3558" s="31">
        <f t="shared" si="4162"/>
        <v>0</v>
      </c>
      <c r="N3558" s="31">
        <f t="shared" si="4163"/>
        <v>0</v>
      </c>
      <c r="O3558" s="31">
        <f t="shared" si="4164"/>
        <v>0</v>
      </c>
      <c r="P3558" s="31">
        <f t="shared" si="4165"/>
        <v>13.200000000000001</v>
      </c>
      <c r="Q3558" s="49">
        <f t="shared" si="4166"/>
        <v>0</v>
      </c>
    </row>
    <row r="3559" spans="4:17" s="62" customFormat="1" ht="15" thickBot="1" x14ac:dyDescent="0.35">
      <c r="D3559" s="307"/>
      <c r="E3559" s="26"/>
      <c r="F3559" s="206"/>
      <c r="G3559" s="207"/>
      <c r="H3559" s="207"/>
      <c r="I3559" s="51"/>
      <c r="J3559" s="308"/>
      <c r="K3559" s="308"/>
      <c r="L3559" s="308"/>
      <c r="M3559" s="308"/>
      <c r="N3559" s="308"/>
      <c r="O3559" s="308"/>
      <c r="P3559" s="308"/>
      <c r="Q3559" s="309"/>
    </row>
    <row r="3560" spans="4:17" s="62" customFormat="1" x14ac:dyDescent="0.3">
      <c r="D3560" s="796" t="s">
        <v>1830</v>
      </c>
      <c r="E3560" s="797"/>
      <c r="F3560" s="797"/>
      <c r="G3560" s="797"/>
      <c r="H3560" s="797"/>
      <c r="I3560" s="47">
        <f t="shared" ref="I3560:Q3560" si="4167">SUM(I3561:I3573)</f>
        <v>0</v>
      </c>
      <c r="J3560" s="47">
        <f t="shared" si="4167"/>
        <v>17.015459999999997</v>
      </c>
      <c r="K3560" s="47">
        <f t="shared" si="4167"/>
        <v>0</v>
      </c>
      <c r="L3560" s="47">
        <f t="shared" si="4167"/>
        <v>0</v>
      </c>
      <c r="M3560" s="47">
        <f t="shared" si="4167"/>
        <v>42.955539999999999</v>
      </c>
      <c r="N3560" s="47">
        <f t="shared" si="4167"/>
        <v>0</v>
      </c>
      <c r="O3560" s="47">
        <f t="shared" si="4167"/>
        <v>74.670959999999994</v>
      </c>
      <c r="P3560" s="47">
        <f t="shared" si="4167"/>
        <v>0</v>
      </c>
      <c r="Q3560" s="47">
        <f t="shared" si="4167"/>
        <v>0</v>
      </c>
    </row>
    <row r="3561" spans="4:17" s="62" customFormat="1" x14ac:dyDescent="0.3">
      <c r="D3561" s="235">
        <v>1</v>
      </c>
      <c r="E3561" s="237">
        <v>87</v>
      </c>
      <c r="F3561" s="238">
        <v>5</v>
      </c>
      <c r="G3561" s="239">
        <v>1.27</v>
      </c>
      <c r="H3561" s="239">
        <f t="shared" ref="H3561:H3573" si="4168">E3561*G3561</f>
        <v>110.49</v>
      </c>
      <c r="I3561" s="131">
        <f t="shared" ref="I3561:I3573" si="4169">IF($F3561=4.2,H3561*$B$23,0)</f>
        <v>0</v>
      </c>
      <c r="J3561" s="31">
        <f t="shared" ref="J3561:J3573" si="4170">IF($F3561=5,$H3561*$B$24,0)</f>
        <v>17.015459999999997</v>
      </c>
      <c r="K3561" s="31">
        <f t="shared" ref="K3561:K3573" si="4171">IF($F3561=6.3,$H3561*$B$25,0)</f>
        <v>0</v>
      </c>
      <c r="L3561" s="31">
        <f t="shared" ref="L3561:L3573" si="4172">IF($F3561=8,$H3561*$B$26,0)</f>
        <v>0</v>
      </c>
      <c r="M3561" s="31">
        <f t="shared" ref="M3561:M3573" si="4173">IF($F3561=10,$H3561*$B$27,0)</f>
        <v>0</v>
      </c>
      <c r="N3561" s="31">
        <f t="shared" ref="N3561:N3573" si="4174">IF($F3561=12.5,$H3561*$B$28,0)</f>
        <v>0</v>
      </c>
      <c r="O3561" s="31">
        <f t="shared" ref="O3561:O3573" si="4175">IF($F3561=16,$H3561*$B$29,0)</f>
        <v>0</v>
      </c>
      <c r="P3561" s="31">
        <f t="shared" ref="P3561:P3573" si="4176">IF($F3561=20,$H3561*$B$30,0)</f>
        <v>0</v>
      </c>
      <c r="Q3561" s="49">
        <f t="shared" ref="Q3561:Q3573" si="4177">IF($F3561=25,$H3561*$B$31,0)</f>
        <v>0</v>
      </c>
    </row>
    <row r="3562" spans="4:17" s="62" customFormat="1" x14ac:dyDescent="0.3">
      <c r="D3562" s="235">
        <v>2</v>
      </c>
      <c r="E3562" s="240">
        <v>1</v>
      </c>
      <c r="F3562" s="241">
        <v>10</v>
      </c>
      <c r="G3562" s="242">
        <v>2.41</v>
      </c>
      <c r="H3562" s="239">
        <f t="shared" si="4168"/>
        <v>2.41</v>
      </c>
      <c r="I3562" s="131">
        <f t="shared" si="4169"/>
        <v>0</v>
      </c>
      <c r="J3562" s="31">
        <f t="shared" si="4170"/>
        <v>0</v>
      </c>
      <c r="K3562" s="31">
        <f t="shared" si="4171"/>
        <v>0</v>
      </c>
      <c r="L3562" s="31">
        <f t="shared" si="4172"/>
        <v>0</v>
      </c>
      <c r="M3562" s="31">
        <f t="shared" si="4173"/>
        <v>1.4869700000000001</v>
      </c>
      <c r="N3562" s="31">
        <f t="shared" si="4174"/>
        <v>0</v>
      </c>
      <c r="O3562" s="31">
        <f t="shared" si="4175"/>
        <v>0</v>
      </c>
      <c r="P3562" s="31">
        <f t="shared" si="4176"/>
        <v>0</v>
      </c>
      <c r="Q3562" s="49">
        <f t="shared" si="4177"/>
        <v>0</v>
      </c>
    </row>
    <row r="3563" spans="4:17" s="62" customFormat="1" x14ac:dyDescent="0.3">
      <c r="D3563" s="235">
        <v>3</v>
      </c>
      <c r="E3563" s="240">
        <v>1</v>
      </c>
      <c r="F3563" s="241">
        <v>10</v>
      </c>
      <c r="G3563" s="242">
        <v>2</v>
      </c>
      <c r="H3563" s="239">
        <f t="shared" si="4168"/>
        <v>2</v>
      </c>
      <c r="I3563" s="131">
        <f t="shared" si="4169"/>
        <v>0</v>
      </c>
      <c r="J3563" s="31">
        <f t="shared" si="4170"/>
        <v>0</v>
      </c>
      <c r="K3563" s="31">
        <f t="shared" si="4171"/>
        <v>0</v>
      </c>
      <c r="L3563" s="31">
        <f t="shared" si="4172"/>
        <v>0</v>
      </c>
      <c r="M3563" s="31">
        <f t="shared" si="4173"/>
        <v>1.234</v>
      </c>
      <c r="N3563" s="31">
        <f t="shared" si="4174"/>
        <v>0</v>
      </c>
      <c r="O3563" s="31">
        <f t="shared" si="4175"/>
        <v>0</v>
      </c>
      <c r="P3563" s="31">
        <f t="shared" si="4176"/>
        <v>0</v>
      </c>
      <c r="Q3563" s="49">
        <f t="shared" si="4177"/>
        <v>0</v>
      </c>
    </row>
    <row r="3564" spans="4:17" s="62" customFormat="1" x14ac:dyDescent="0.3">
      <c r="D3564" s="235">
        <v>4</v>
      </c>
      <c r="E3564" s="240">
        <v>1</v>
      </c>
      <c r="F3564" s="241">
        <v>10</v>
      </c>
      <c r="G3564" s="242">
        <v>1.85</v>
      </c>
      <c r="H3564" s="239">
        <f t="shared" si="4168"/>
        <v>1.85</v>
      </c>
      <c r="I3564" s="131">
        <f t="shared" si="4169"/>
        <v>0</v>
      </c>
      <c r="J3564" s="31">
        <f t="shared" si="4170"/>
        <v>0</v>
      </c>
      <c r="K3564" s="31">
        <f t="shared" si="4171"/>
        <v>0</v>
      </c>
      <c r="L3564" s="31">
        <f t="shared" si="4172"/>
        <v>0</v>
      </c>
      <c r="M3564" s="31">
        <f t="shared" si="4173"/>
        <v>1.1414500000000001</v>
      </c>
      <c r="N3564" s="31">
        <f t="shared" si="4174"/>
        <v>0</v>
      </c>
      <c r="O3564" s="31">
        <f t="shared" si="4175"/>
        <v>0</v>
      </c>
      <c r="P3564" s="31">
        <f t="shared" si="4176"/>
        <v>0</v>
      </c>
      <c r="Q3564" s="49">
        <f t="shared" si="4177"/>
        <v>0</v>
      </c>
    </row>
    <row r="3565" spans="4:17" s="62" customFormat="1" x14ac:dyDescent="0.3">
      <c r="D3565" s="235">
        <v>5</v>
      </c>
      <c r="E3565" s="240">
        <v>6</v>
      </c>
      <c r="F3565" s="241">
        <v>10</v>
      </c>
      <c r="G3565" s="242">
        <v>2.35</v>
      </c>
      <c r="H3565" s="239">
        <f t="shared" si="4168"/>
        <v>14.100000000000001</v>
      </c>
      <c r="I3565" s="131">
        <f t="shared" si="4169"/>
        <v>0</v>
      </c>
      <c r="J3565" s="31">
        <f t="shared" si="4170"/>
        <v>0</v>
      </c>
      <c r="K3565" s="31">
        <f t="shared" si="4171"/>
        <v>0</v>
      </c>
      <c r="L3565" s="31">
        <f t="shared" si="4172"/>
        <v>0</v>
      </c>
      <c r="M3565" s="31">
        <f t="shared" si="4173"/>
        <v>8.6997</v>
      </c>
      <c r="N3565" s="31">
        <f t="shared" si="4174"/>
        <v>0</v>
      </c>
      <c r="O3565" s="31">
        <f t="shared" si="4175"/>
        <v>0</v>
      </c>
      <c r="P3565" s="31">
        <f t="shared" si="4176"/>
        <v>0</v>
      </c>
      <c r="Q3565" s="49">
        <f t="shared" si="4177"/>
        <v>0</v>
      </c>
    </row>
    <row r="3566" spans="4:17" s="62" customFormat="1" x14ac:dyDescent="0.3">
      <c r="D3566" s="235">
        <v>6</v>
      </c>
      <c r="E3566" s="240">
        <v>1</v>
      </c>
      <c r="F3566" s="241">
        <v>10</v>
      </c>
      <c r="G3566" s="242">
        <v>2.95</v>
      </c>
      <c r="H3566" s="239">
        <f t="shared" si="4168"/>
        <v>2.95</v>
      </c>
      <c r="I3566" s="131">
        <f t="shared" si="4169"/>
        <v>0</v>
      </c>
      <c r="J3566" s="31">
        <f t="shared" si="4170"/>
        <v>0</v>
      </c>
      <c r="K3566" s="31">
        <f t="shared" si="4171"/>
        <v>0</v>
      </c>
      <c r="L3566" s="31">
        <f t="shared" si="4172"/>
        <v>0</v>
      </c>
      <c r="M3566" s="31">
        <f t="shared" si="4173"/>
        <v>1.8201500000000002</v>
      </c>
      <c r="N3566" s="31">
        <f t="shared" si="4174"/>
        <v>0</v>
      </c>
      <c r="O3566" s="31">
        <f t="shared" si="4175"/>
        <v>0</v>
      </c>
      <c r="P3566" s="31">
        <f t="shared" si="4176"/>
        <v>0</v>
      </c>
      <c r="Q3566" s="49">
        <f t="shared" si="4177"/>
        <v>0</v>
      </c>
    </row>
    <row r="3567" spans="4:17" s="62" customFormat="1" x14ac:dyDescent="0.3">
      <c r="D3567" s="235">
        <v>7</v>
      </c>
      <c r="E3567" s="240">
        <v>5</v>
      </c>
      <c r="F3567" s="241">
        <v>10</v>
      </c>
      <c r="G3567" s="242">
        <v>1.47</v>
      </c>
      <c r="H3567" s="239">
        <f t="shared" si="4168"/>
        <v>7.35</v>
      </c>
      <c r="I3567" s="131">
        <f t="shared" si="4169"/>
        <v>0</v>
      </c>
      <c r="J3567" s="31">
        <f t="shared" si="4170"/>
        <v>0</v>
      </c>
      <c r="K3567" s="31">
        <f t="shared" si="4171"/>
        <v>0</v>
      </c>
      <c r="L3567" s="31">
        <f t="shared" si="4172"/>
        <v>0</v>
      </c>
      <c r="M3567" s="31">
        <f t="shared" si="4173"/>
        <v>4.5349499999999994</v>
      </c>
      <c r="N3567" s="31">
        <f t="shared" si="4174"/>
        <v>0</v>
      </c>
      <c r="O3567" s="31">
        <f t="shared" si="4175"/>
        <v>0</v>
      </c>
      <c r="P3567" s="31">
        <f t="shared" si="4176"/>
        <v>0</v>
      </c>
      <c r="Q3567" s="49">
        <f t="shared" si="4177"/>
        <v>0</v>
      </c>
    </row>
    <row r="3568" spans="4:17" s="62" customFormat="1" x14ac:dyDescent="0.3">
      <c r="D3568" s="235">
        <v>8</v>
      </c>
      <c r="E3568" s="240">
        <v>2</v>
      </c>
      <c r="F3568" s="241">
        <v>10</v>
      </c>
      <c r="G3568" s="242">
        <v>6.68</v>
      </c>
      <c r="H3568" s="239">
        <f t="shared" si="4168"/>
        <v>13.36</v>
      </c>
      <c r="I3568" s="131">
        <f t="shared" si="4169"/>
        <v>0</v>
      </c>
      <c r="J3568" s="31">
        <f t="shared" si="4170"/>
        <v>0</v>
      </c>
      <c r="K3568" s="31">
        <f t="shared" si="4171"/>
        <v>0</v>
      </c>
      <c r="L3568" s="31">
        <f t="shared" si="4172"/>
        <v>0</v>
      </c>
      <c r="M3568" s="31">
        <f t="shared" si="4173"/>
        <v>8.2431199999999993</v>
      </c>
      <c r="N3568" s="31">
        <f t="shared" si="4174"/>
        <v>0</v>
      </c>
      <c r="O3568" s="31">
        <f t="shared" si="4175"/>
        <v>0</v>
      </c>
      <c r="P3568" s="31">
        <f t="shared" si="4176"/>
        <v>0</v>
      </c>
      <c r="Q3568" s="49">
        <f t="shared" si="4177"/>
        <v>0</v>
      </c>
    </row>
    <row r="3569" spans="4:17" s="62" customFormat="1" x14ac:dyDescent="0.3">
      <c r="D3569" s="235">
        <v>9</v>
      </c>
      <c r="E3569" s="240">
        <v>2</v>
      </c>
      <c r="F3569" s="241">
        <v>10</v>
      </c>
      <c r="G3569" s="242">
        <v>10.93</v>
      </c>
      <c r="H3569" s="239">
        <f t="shared" ref="H3569" si="4178">E3569*G3569</f>
        <v>21.86</v>
      </c>
      <c r="I3569" s="131">
        <f t="shared" ref="I3569" si="4179">IF($F3569=4.2,H3569*$B$23,0)</f>
        <v>0</v>
      </c>
      <c r="J3569" s="31">
        <f t="shared" si="4170"/>
        <v>0</v>
      </c>
      <c r="K3569" s="31">
        <f t="shared" si="4171"/>
        <v>0</v>
      </c>
      <c r="L3569" s="31">
        <f t="shared" si="4172"/>
        <v>0</v>
      </c>
      <c r="M3569" s="31">
        <f t="shared" si="4173"/>
        <v>13.48762</v>
      </c>
      <c r="N3569" s="31">
        <f t="shared" si="4174"/>
        <v>0</v>
      </c>
      <c r="O3569" s="31">
        <f t="shared" si="4175"/>
        <v>0</v>
      </c>
      <c r="P3569" s="31">
        <f t="shared" si="4176"/>
        <v>0</v>
      </c>
      <c r="Q3569" s="49">
        <f t="shared" si="4177"/>
        <v>0</v>
      </c>
    </row>
    <row r="3570" spans="4:17" s="62" customFormat="1" x14ac:dyDescent="0.3">
      <c r="D3570" s="235">
        <v>10</v>
      </c>
      <c r="E3570" s="240">
        <v>2</v>
      </c>
      <c r="F3570" s="241">
        <v>10</v>
      </c>
      <c r="G3570" s="242">
        <v>1.87</v>
      </c>
      <c r="H3570" s="239">
        <f t="shared" si="4168"/>
        <v>3.74</v>
      </c>
      <c r="I3570" s="131">
        <f t="shared" si="4169"/>
        <v>0</v>
      </c>
      <c r="J3570" s="31">
        <f t="shared" si="4170"/>
        <v>0</v>
      </c>
      <c r="K3570" s="31">
        <f t="shared" si="4171"/>
        <v>0</v>
      </c>
      <c r="L3570" s="31">
        <f t="shared" si="4172"/>
        <v>0</v>
      </c>
      <c r="M3570" s="31">
        <f t="shared" si="4173"/>
        <v>2.3075800000000002</v>
      </c>
      <c r="N3570" s="31">
        <f t="shared" si="4174"/>
        <v>0</v>
      </c>
      <c r="O3570" s="31">
        <f t="shared" si="4175"/>
        <v>0</v>
      </c>
      <c r="P3570" s="31">
        <f t="shared" si="4176"/>
        <v>0</v>
      </c>
      <c r="Q3570" s="49">
        <f t="shared" si="4177"/>
        <v>0</v>
      </c>
    </row>
    <row r="3571" spans="4:17" s="62" customFormat="1" x14ac:dyDescent="0.3">
      <c r="D3571" s="235">
        <v>11</v>
      </c>
      <c r="E3571" s="240">
        <v>4</v>
      </c>
      <c r="F3571" s="241">
        <v>16</v>
      </c>
      <c r="G3571" s="242">
        <v>6.65</v>
      </c>
      <c r="H3571" s="239">
        <f t="shared" si="4168"/>
        <v>26.6</v>
      </c>
      <c r="I3571" s="131">
        <f t="shared" si="4169"/>
        <v>0</v>
      </c>
      <c r="J3571" s="31">
        <f t="shared" si="4170"/>
        <v>0</v>
      </c>
      <c r="K3571" s="31">
        <f t="shared" si="4171"/>
        <v>0</v>
      </c>
      <c r="L3571" s="31">
        <f t="shared" si="4172"/>
        <v>0</v>
      </c>
      <c r="M3571" s="31">
        <f t="shared" si="4173"/>
        <v>0</v>
      </c>
      <c r="N3571" s="31">
        <f t="shared" si="4174"/>
        <v>0</v>
      </c>
      <c r="O3571" s="31">
        <f t="shared" si="4175"/>
        <v>41.974800000000002</v>
      </c>
      <c r="P3571" s="31">
        <f t="shared" si="4176"/>
        <v>0</v>
      </c>
      <c r="Q3571" s="49">
        <f t="shared" si="4177"/>
        <v>0</v>
      </c>
    </row>
    <row r="3572" spans="4:17" s="62" customFormat="1" x14ac:dyDescent="0.3">
      <c r="D3572" s="235">
        <v>12</v>
      </c>
      <c r="E3572" s="240">
        <v>1</v>
      </c>
      <c r="F3572" s="241">
        <v>16</v>
      </c>
      <c r="G3572" s="242">
        <v>2.96</v>
      </c>
      <c r="H3572" s="239">
        <f t="shared" si="4168"/>
        <v>2.96</v>
      </c>
      <c r="I3572" s="131">
        <f t="shared" si="4169"/>
        <v>0</v>
      </c>
      <c r="J3572" s="31">
        <f t="shared" si="4170"/>
        <v>0</v>
      </c>
      <c r="K3572" s="31">
        <f t="shared" si="4171"/>
        <v>0</v>
      </c>
      <c r="L3572" s="31">
        <f t="shared" si="4172"/>
        <v>0</v>
      </c>
      <c r="M3572" s="31">
        <f t="shared" si="4173"/>
        <v>0</v>
      </c>
      <c r="N3572" s="31">
        <f t="shared" si="4174"/>
        <v>0</v>
      </c>
      <c r="O3572" s="31">
        <f t="shared" si="4175"/>
        <v>4.6708800000000004</v>
      </c>
      <c r="P3572" s="31">
        <f t="shared" si="4176"/>
        <v>0</v>
      </c>
      <c r="Q3572" s="49">
        <f t="shared" si="4177"/>
        <v>0</v>
      </c>
    </row>
    <row r="3573" spans="4:17" s="62" customFormat="1" x14ac:dyDescent="0.3">
      <c r="D3573" s="235">
        <v>13</v>
      </c>
      <c r="E3573" s="240">
        <v>3</v>
      </c>
      <c r="F3573" s="241">
        <v>16</v>
      </c>
      <c r="G3573" s="242">
        <v>5.92</v>
      </c>
      <c r="H3573" s="239">
        <f t="shared" si="4168"/>
        <v>17.759999999999998</v>
      </c>
      <c r="I3573" s="131">
        <f t="shared" si="4169"/>
        <v>0</v>
      </c>
      <c r="J3573" s="31">
        <f t="shared" si="4170"/>
        <v>0</v>
      </c>
      <c r="K3573" s="31">
        <f t="shared" si="4171"/>
        <v>0</v>
      </c>
      <c r="L3573" s="31">
        <f t="shared" si="4172"/>
        <v>0</v>
      </c>
      <c r="M3573" s="31">
        <f t="shared" si="4173"/>
        <v>0</v>
      </c>
      <c r="N3573" s="31">
        <f t="shared" si="4174"/>
        <v>0</v>
      </c>
      <c r="O3573" s="31">
        <f t="shared" si="4175"/>
        <v>28.025279999999999</v>
      </c>
      <c r="P3573" s="31">
        <f t="shared" si="4176"/>
        <v>0</v>
      </c>
      <c r="Q3573" s="49">
        <f t="shared" si="4177"/>
        <v>0</v>
      </c>
    </row>
    <row r="3574" spans="4:17" s="62" customFormat="1" ht="15" thickBot="1" x14ac:dyDescent="0.35">
      <c r="D3574" s="307"/>
      <c r="E3574" s="26"/>
      <c r="F3574" s="206"/>
      <c r="G3574" s="207"/>
      <c r="H3574" s="207"/>
      <c r="I3574" s="51"/>
      <c r="J3574" s="308"/>
      <c r="K3574" s="308"/>
      <c r="L3574" s="308"/>
      <c r="M3574" s="308"/>
      <c r="N3574" s="308"/>
      <c r="O3574" s="308"/>
      <c r="P3574" s="308"/>
      <c r="Q3574" s="309"/>
    </row>
    <row r="3575" spans="4:17" s="62" customFormat="1" x14ac:dyDescent="0.3">
      <c r="D3575" s="796" t="s">
        <v>1831</v>
      </c>
      <c r="E3575" s="797"/>
      <c r="F3575" s="797"/>
      <c r="G3575" s="797"/>
      <c r="H3575" s="797"/>
      <c r="I3575" s="47">
        <f t="shared" ref="I3575:Q3575" si="4180">SUM(I3576:I3587)</f>
        <v>0</v>
      </c>
      <c r="J3575" s="47">
        <f t="shared" si="4180"/>
        <v>10.170160000000001</v>
      </c>
      <c r="K3575" s="47">
        <f t="shared" si="4180"/>
        <v>0.2107</v>
      </c>
      <c r="L3575" s="47">
        <f t="shared" si="4180"/>
        <v>0</v>
      </c>
      <c r="M3575" s="47">
        <f t="shared" si="4180"/>
        <v>18.078099999999999</v>
      </c>
      <c r="N3575" s="47">
        <f t="shared" si="4180"/>
        <v>28.148490000000002</v>
      </c>
      <c r="O3575" s="47">
        <f t="shared" si="4180"/>
        <v>0</v>
      </c>
      <c r="P3575" s="47">
        <f t="shared" si="4180"/>
        <v>0</v>
      </c>
      <c r="Q3575" s="47">
        <f t="shared" si="4180"/>
        <v>0</v>
      </c>
    </row>
    <row r="3576" spans="4:17" s="62" customFormat="1" x14ac:dyDescent="0.3">
      <c r="D3576" s="235">
        <v>3</v>
      </c>
      <c r="E3576" s="237">
        <v>52</v>
      </c>
      <c r="F3576" s="238">
        <v>5</v>
      </c>
      <c r="G3576" s="239">
        <v>1.27</v>
      </c>
      <c r="H3576" s="239">
        <f t="shared" ref="H3576:H3587" si="4181">E3576*G3576</f>
        <v>66.040000000000006</v>
      </c>
      <c r="I3576" s="131">
        <f t="shared" ref="I3576:I3587" si="4182">IF($F3576=4.2,H3576*$B$23,0)</f>
        <v>0</v>
      </c>
      <c r="J3576" s="31">
        <f t="shared" ref="J3576:J3587" si="4183">IF($F3576=5,$H3576*$B$24,0)</f>
        <v>10.170160000000001</v>
      </c>
      <c r="K3576" s="31">
        <f t="shared" ref="K3576:K3587" si="4184">IF($F3576=6.3,$H3576*$B$25,0)</f>
        <v>0</v>
      </c>
      <c r="L3576" s="31">
        <f t="shared" ref="L3576:L3587" si="4185">IF($F3576=8,$H3576*$B$26,0)</f>
        <v>0</v>
      </c>
      <c r="M3576" s="31">
        <f t="shared" ref="M3576:M3587" si="4186">IF($F3576=10,$H3576*$B$27,0)</f>
        <v>0</v>
      </c>
      <c r="N3576" s="31">
        <f t="shared" ref="N3576:N3587" si="4187">IF($F3576=12.5,$H3576*$B$28,0)</f>
        <v>0</v>
      </c>
      <c r="O3576" s="31">
        <f t="shared" ref="O3576:O3587" si="4188">IF($F3576=16,$H3576*$B$29,0)</f>
        <v>0</v>
      </c>
      <c r="P3576" s="31">
        <f t="shared" ref="P3576:P3587" si="4189">IF($F3576=20,$H3576*$B$30,0)</f>
        <v>0</v>
      </c>
      <c r="Q3576" s="49">
        <f t="shared" ref="Q3576:Q3587" si="4190">IF($F3576=25,$H3576*$B$31,0)</f>
        <v>0</v>
      </c>
    </row>
    <row r="3577" spans="4:17" s="62" customFormat="1" x14ac:dyDescent="0.3">
      <c r="D3577" s="235">
        <v>5</v>
      </c>
      <c r="E3577" s="240">
        <v>1</v>
      </c>
      <c r="F3577" s="241">
        <v>6.3</v>
      </c>
      <c r="G3577" s="242">
        <v>0.86</v>
      </c>
      <c r="H3577" s="239">
        <f t="shared" si="4181"/>
        <v>0.86</v>
      </c>
      <c r="I3577" s="131">
        <f t="shared" si="4182"/>
        <v>0</v>
      </c>
      <c r="J3577" s="31">
        <f t="shared" si="4183"/>
        <v>0</v>
      </c>
      <c r="K3577" s="31">
        <f t="shared" si="4184"/>
        <v>0.2107</v>
      </c>
      <c r="L3577" s="31">
        <f t="shared" si="4185"/>
        <v>0</v>
      </c>
      <c r="M3577" s="31">
        <f t="shared" si="4186"/>
        <v>0</v>
      </c>
      <c r="N3577" s="31">
        <f t="shared" si="4187"/>
        <v>0</v>
      </c>
      <c r="O3577" s="31">
        <f t="shared" si="4188"/>
        <v>0</v>
      </c>
      <c r="P3577" s="31">
        <f t="shared" si="4189"/>
        <v>0</v>
      </c>
      <c r="Q3577" s="49">
        <f t="shared" si="4190"/>
        <v>0</v>
      </c>
    </row>
    <row r="3578" spans="4:17" s="62" customFormat="1" x14ac:dyDescent="0.3">
      <c r="D3578" s="235">
        <v>7</v>
      </c>
      <c r="E3578" s="240">
        <v>1</v>
      </c>
      <c r="F3578" s="241">
        <v>10</v>
      </c>
      <c r="G3578" s="242">
        <v>2.4</v>
      </c>
      <c r="H3578" s="239">
        <f t="shared" si="4181"/>
        <v>2.4</v>
      </c>
      <c r="I3578" s="131">
        <f t="shared" si="4182"/>
        <v>0</v>
      </c>
      <c r="J3578" s="31">
        <f t="shared" si="4183"/>
        <v>0</v>
      </c>
      <c r="K3578" s="31">
        <f t="shared" si="4184"/>
        <v>0</v>
      </c>
      <c r="L3578" s="31">
        <f t="shared" si="4185"/>
        <v>0</v>
      </c>
      <c r="M3578" s="31">
        <f t="shared" si="4186"/>
        <v>1.4807999999999999</v>
      </c>
      <c r="N3578" s="31">
        <f t="shared" si="4187"/>
        <v>0</v>
      </c>
      <c r="O3578" s="31">
        <f t="shared" si="4188"/>
        <v>0</v>
      </c>
      <c r="P3578" s="31">
        <f t="shared" si="4189"/>
        <v>0</v>
      </c>
      <c r="Q3578" s="49">
        <f t="shared" si="4190"/>
        <v>0</v>
      </c>
    </row>
    <row r="3579" spans="4:17" s="62" customFormat="1" x14ac:dyDescent="0.3">
      <c r="D3579" s="235">
        <v>8</v>
      </c>
      <c r="E3579" s="240">
        <v>1</v>
      </c>
      <c r="F3579" s="241">
        <v>10</v>
      </c>
      <c r="G3579" s="242">
        <v>5.64</v>
      </c>
      <c r="H3579" s="239">
        <f t="shared" si="4181"/>
        <v>5.64</v>
      </c>
      <c r="I3579" s="131">
        <f t="shared" si="4182"/>
        <v>0</v>
      </c>
      <c r="J3579" s="31">
        <f t="shared" si="4183"/>
        <v>0</v>
      </c>
      <c r="K3579" s="31">
        <f t="shared" si="4184"/>
        <v>0</v>
      </c>
      <c r="L3579" s="31">
        <f t="shared" si="4185"/>
        <v>0</v>
      </c>
      <c r="M3579" s="31">
        <f t="shared" si="4186"/>
        <v>3.4798799999999996</v>
      </c>
      <c r="N3579" s="31">
        <f t="shared" si="4187"/>
        <v>0</v>
      </c>
      <c r="O3579" s="31">
        <f t="shared" si="4188"/>
        <v>0</v>
      </c>
      <c r="P3579" s="31">
        <f t="shared" si="4189"/>
        <v>0</v>
      </c>
      <c r="Q3579" s="49">
        <f t="shared" si="4190"/>
        <v>0</v>
      </c>
    </row>
    <row r="3580" spans="4:17" s="62" customFormat="1" x14ac:dyDescent="0.3">
      <c r="D3580" s="235">
        <v>9</v>
      </c>
      <c r="E3580" s="240">
        <v>2</v>
      </c>
      <c r="F3580" s="241">
        <v>10</v>
      </c>
      <c r="G3580" s="242">
        <v>10.63</v>
      </c>
      <c r="H3580" s="239">
        <f t="shared" si="4181"/>
        <v>21.26</v>
      </c>
      <c r="I3580" s="131">
        <f t="shared" si="4182"/>
        <v>0</v>
      </c>
      <c r="J3580" s="31">
        <f t="shared" si="4183"/>
        <v>0</v>
      </c>
      <c r="K3580" s="31">
        <f t="shared" si="4184"/>
        <v>0</v>
      </c>
      <c r="L3580" s="31">
        <f t="shared" si="4185"/>
        <v>0</v>
      </c>
      <c r="M3580" s="31">
        <f t="shared" si="4186"/>
        <v>13.117420000000001</v>
      </c>
      <c r="N3580" s="31">
        <f t="shared" si="4187"/>
        <v>0</v>
      </c>
      <c r="O3580" s="31">
        <f t="shared" si="4188"/>
        <v>0</v>
      </c>
      <c r="P3580" s="31">
        <f t="shared" si="4189"/>
        <v>0</v>
      </c>
      <c r="Q3580" s="49">
        <f t="shared" si="4190"/>
        <v>0</v>
      </c>
    </row>
    <row r="3581" spans="4:17" s="62" customFormat="1" x14ac:dyDescent="0.3">
      <c r="D3581" s="235">
        <v>14</v>
      </c>
      <c r="E3581" s="240">
        <v>1</v>
      </c>
      <c r="F3581" s="241">
        <v>12.5</v>
      </c>
      <c r="G3581" s="242">
        <v>2.0699999999999998</v>
      </c>
      <c r="H3581" s="239">
        <f t="shared" si="4181"/>
        <v>2.0699999999999998</v>
      </c>
      <c r="I3581" s="131">
        <f t="shared" si="4182"/>
        <v>0</v>
      </c>
      <c r="J3581" s="31">
        <f t="shared" si="4183"/>
        <v>0</v>
      </c>
      <c r="K3581" s="31">
        <f t="shared" si="4184"/>
        <v>0</v>
      </c>
      <c r="L3581" s="31">
        <f t="shared" si="4185"/>
        <v>0</v>
      </c>
      <c r="M3581" s="31">
        <f t="shared" si="4186"/>
        <v>0</v>
      </c>
      <c r="N3581" s="31">
        <f t="shared" si="4187"/>
        <v>1.9934099999999997</v>
      </c>
      <c r="O3581" s="31">
        <f t="shared" si="4188"/>
        <v>0</v>
      </c>
      <c r="P3581" s="31">
        <f t="shared" si="4189"/>
        <v>0</v>
      </c>
      <c r="Q3581" s="49">
        <f t="shared" si="4190"/>
        <v>0</v>
      </c>
    </row>
    <row r="3582" spans="4:17" s="62" customFormat="1" x14ac:dyDescent="0.3">
      <c r="D3582" s="235">
        <v>15</v>
      </c>
      <c r="E3582" s="240">
        <v>1</v>
      </c>
      <c r="F3582" s="241">
        <v>12.5</v>
      </c>
      <c r="G3582" s="242">
        <v>2.5499999999999998</v>
      </c>
      <c r="H3582" s="239">
        <f t="shared" si="4181"/>
        <v>2.5499999999999998</v>
      </c>
      <c r="I3582" s="131">
        <f t="shared" si="4182"/>
        <v>0</v>
      </c>
      <c r="J3582" s="31">
        <f t="shared" si="4183"/>
        <v>0</v>
      </c>
      <c r="K3582" s="31">
        <f t="shared" si="4184"/>
        <v>0</v>
      </c>
      <c r="L3582" s="31">
        <f t="shared" si="4185"/>
        <v>0</v>
      </c>
      <c r="M3582" s="31">
        <f t="shared" si="4186"/>
        <v>0</v>
      </c>
      <c r="N3582" s="31">
        <f t="shared" si="4187"/>
        <v>2.4556499999999999</v>
      </c>
      <c r="O3582" s="31">
        <f t="shared" si="4188"/>
        <v>0</v>
      </c>
      <c r="P3582" s="31">
        <f t="shared" si="4189"/>
        <v>0</v>
      </c>
      <c r="Q3582" s="49">
        <f t="shared" si="4190"/>
        <v>0</v>
      </c>
    </row>
    <row r="3583" spans="4:17" s="62" customFormat="1" x14ac:dyDescent="0.3">
      <c r="D3583" s="235">
        <v>16</v>
      </c>
      <c r="E3583" s="240">
        <v>1</v>
      </c>
      <c r="F3583" s="241">
        <v>12.5</v>
      </c>
      <c r="G3583" s="242">
        <v>4.1900000000000004</v>
      </c>
      <c r="H3583" s="239">
        <f t="shared" si="4181"/>
        <v>4.1900000000000004</v>
      </c>
      <c r="I3583" s="131">
        <f t="shared" si="4182"/>
        <v>0</v>
      </c>
      <c r="J3583" s="31">
        <f t="shared" si="4183"/>
        <v>0</v>
      </c>
      <c r="K3583" s="31">
        <f t="shared" si="4184"/>
        <v>0</v>
      </c>
      <c r="L3583" s="31">
        <f t="shared" si="4185"/>
        <v>0</v>
      </c>
      <c r="M3583" s="31">
        <f t="shared" si="4186"/>
        <v>0</v>
      </c>
      <c r="N3583" s="31">
        <f t="shared" si="4187"/>
        <v>4.0349700000000004</v>
      </c>
      <c r="O3583" s="31">
        <f t="shared" si="4188"/>
        <v>0</v>
      </c>
      <c r="P3583" s="31">
        <f t="shared" si="4189"/>
        <v>0</v>
      </c>
      <c r="Q3583" s="49">
        <f t="shared" si="4190"/>
        <v>0</v>
      </c>
    </row>
    <row r="3584" spans="4:17" s="62" customFormat="1" x14ac:dyDescent="0.3">
      <c r="D3584" s="235">
        <v>17</v>
      </c>
      <c r="E3584" s="240">
        <v>2</v>
      </c>
      <c r="F3584" s="241">
        <v>12.5</v>
      </c>
      <c r="G3584" s="242">
        <v>10.210000000000001</v>
      </c>
      <c r="H3584" s="239">
        <f t="shared" si="4181"/>
        <v>20.420000000000002</v>
      </c>
      <c r="I3584" s="131">
        <f t="shared" si="4182"/>
        <v>0</v>
      </c>
      <c r="J3584" s="31">
        <f t="shared" si="4183"/>
        <v>0</v>
      </c>
      <c r="K3584" s="31">
        <f t="shared" si="4184"/>
        <v>0</v>
      </c>
      <c r="L3584" s="31">
        <f t="shared" si="4185"/>
        <v>0</v>
      </c>
      <c r="M3584" s="31">
        <f t="shared" si="4186"/>
        <v>0</v>
      </c>
      <c r="N3584" s="31">
        <f t="shared" si="4187"/>
        <v>19.664460000000002</v>
      </c>
      <c r="O3584" s="31">
        <f t="shared" si="4188"/>
        <v>0</v>
      </c>
      <c r="P3584" s="31">
        <f t="shared" si="4189"/>
        <v>0</v>
      </c>
      <c r="Q3584" s="49">
        <f t="shared" si="4190"/>
        <v>0</v>
      </c>
    </row>
    <row r="3585" spans="4:17" s="62" customFormat="1" x14ac:dyDescent="0.3">
      <c r="D3585" s="235"/>
      <c r="E3585" s="240"/>
      <c r="F3585" s="241"/>
      <c r="G3585" s="242"/>
      <c r="H3585" s="239">
        <f t="shared" si="4181"/>
        <v>0</v>
      </c>
      <c r="I3585" s="131">
        <f t="shared" si="4182"/>
        <v>0</v>
      </c>
      <c r="J3585" s="31">
        <f t="shared" si="4183"/>
        <v>0</v>
      </c>
      <c r="K3585" s="31">
        <f t="shared" si="4184"/>
        <v>0</v>
      </c>
      <c r="L3585" s="31">
        <f t="shared" si="4185"/>
        <v>0</v>
      </c>
      <c r="M3585" s="31">
        <f t="shared" si="4186"/>
        <v>0</v>
      </c>
      <c r="N3585" s="31">
        <f t="shared" si="4187"/>
        <v>0</v>
      </c>
      <c r="O3585" s="31">
        <f t="shared" si="4188"/>
        <v>0</v>
      </c>
      <c r="P3585" s="31">
        <f t="shared" si="4189"/>
        <v>0</v>
      </c>
      <c r="Q3585" s="49">
        <f t="shared" si="4190"/>
        <v>0</v>
      </c>
    </row>
    <row r="3586" spans="4:17" s="62" customFormat="1" x14ac:dyDescent="0.3">
      <c r="D3586" s="235"/>
      <c r="E3586" s="240"/>
      <c r="F3586" s="241"/>
      <c r="G3586" s="242"/>
      <c r="H3586" s="239">
        <f t="shared" si="4181"/>
        <v>0</v>
      </c>
      <c r="I3586" s="131">
        <f t="shared" si="4182"/>
        <v>0</v>
      </c>
      <c r="J3586" s="31">
        <f t="shared" si="4183"/>
        <v>0</v>
      </c>
      <c r="K3586" s="31">
        <f t="shared" si="4184"/>
        <v>0</v>
      </c>
      <c r="L3586" s="31">
        <f t="shared" si="4185"/>
        <v>0</v>
      </c>
      <c r="M3586" s="31">
        <f t="shared" si="4186"/>
        <v>0</v>
      </c>
      <c r="N3586" s="31">
        <f t="shared" si="4187"/>
        <v>0</v>
      </c>
      <c r="O3586" s="31">
        <f t="shared" si="4188"/>
        <v>0</v>
      </c>
      <c r="P3586" s="31">
        <f t="shared" si="4189"/>
        <v>0</v>
      </c>
      <c r="Q3586" s="49">
        <f t="shared" si="4190"/>
        <v>0</v>
      </c>
    </row>
    <row r="3587" spans="4:17" s="62" customFormat="1" x14ac:dyDescent="0.3">
      <c r="D3587" s="235"/>
      <c r="E3587" s="240"/>
      <c r="F3587" s="241"/>
      <c r="G3587" s="242"/>
      <c r="H3587" s="239">
        <f t="shared" si="4181"/>
        <v>0</v>
      </c>
      <c r="I3587" s="131">
        <f t="shared" si="4182"/>
        <v>0</v>
      </c>
      <c r="J3587" s="31">
        <f t="shared" si="4183"/>
        <v>0</v>
      </c>
      <c r="K3587" s="31">
        <f t="shared" si="4184"/>
        <v>0</v>
      </c>
      <c r="L3587" s="31">
        <f t="shared" si="4185"/>
        <v>0</v>
      </c>
      <c r="M3587" s="31">
        <f t="shared" si="4186"/>
        <v>0</v>
      </c>
      <c r="N3587" s="31">
        <f t="shared" si="4187"/>
        <v>0</v>
      </c>
      <c r="O3587" s="31">
        <f t="shared" si="4188"/>
        <v>0</v>
      </c>
      <c r="P3587" s="31">
        <f t="shared" si="4189"/>
        <v>0</v>
      </c>
      <c r="Q3587" s="49">
        <f t="shared" si="4190"/>
        <v>0</v>
      </c>
    </row>
    <row r="3588" spans="4:17" s="62" customFormat="1" ht="15" thickBot="1" x14ac:dyDescent="0.35">
      <c r="D3588" s="307"/>
      <c r="E3588" s="26"/>
      <c r="F3588" s="206"/>
      <c r="G3588" s="207"/>
      <c r="H3588" s="207"/>
      <c r="I3588" s="51"/>
      <c r="J3588" s="308"/>
      <c r="K3588" s="308"/>
      <c r="L3588" s="308"/>
      <c r="M3588" s="308"/>
      <c r="N3588" s="308"/>
      <c r="O3588" s="308"/>
      <c r="P3588" s="308"/>
      <c r="Q3588" s="309"/>
    </row>
    <row r="3589" spans="4:17" s="62" customFormat="1" x14ac:dyDescent="0.3">
      <c r="D3589" s="796" t="s">
        <v>1832</v>
      </c>
      <c r="E3589" s="797"/>
      <c r="F3589" s="797"/>
      <c r="G3589" s="797"/>
      <c r="H3589" s="797"/>
      <c r="I3589" s="47">
        <f t="shared" ref="I3589:Q3589" si="4191">SUM(I3590:I3597)</f>
        <v>0</v>
      </c>
      <c r="J3589" s="47">
        <f t="shared" si="4191"/>
        <v>10.365740000000001</v>
      </c>
      <c r="K3589" s="47">
        <f t="shared" si="4191"/>
        <v>0</v>
      </c>
      <c r="L3589" s="47">
        <f t="shared" si="4191"/>
        <v>0</v>
      </c>
      <c r="M3589" s="47">
        <f t="shared" si="4191"/>
        <v>0</v>
      </c>
      <c r="N3589" s="47">
        <f t="shared" si="4191"/>
        <v>68.295959999999994</v>
      </c>
      <c r="O3589" s="47">
        <f t="shared" si="4191"/>
        <v>0</v>
      </c>
      <c r="P3589" s="47">
        <f t="shared" si="4191"/>
        <v>0</v>
      </c>
      <c r="Q3589" s="47">
        <f t="shared" si="4191"/>
        <v>0</v>
      </c>
    </row>
    <row r="3590" spans="4:17" s="62" customFormat="1" x14ac:dyDescent="0.3">
      <c r="D3590" s="235">
        <v>3</v>
      </c>
      <c r="E3590" s="237">
        <v>53</v>
      </c>
      <c r="F3590" s="238">
        <v>5</v>
      </c>
      <c r="G3590" s="239">
        <v>1.27</v>
      </c>
      <c r="H3590" s="239">
        <f t="shared" ref="H3590:H3597" si="4192">E3590*G3590</f>
        <v>67.31</v>
      </c>
      <c r="I3590" s="131">
        <f t="shared" ref="I3590:I3597" si="4193">IF($F3590=4.2,H3590*$B$23,0)</f>
        <v>0</v>
      </c>
      <c r="J3590" s="31">
        <f t="shared" ref="J3590:J3597" si="4194">IF($F3590=5,$H3590*$B$24,0)</f>
        <v>10.365740000000001</v>
      </c>
      <c r="K3590" s="31">
        <f t="shared" ref="K3590:K3597" si="4195">IF($F3590=6.3,$H3590*$B$25,0)</f>
        <v>0</v>
      </c>
      <c r="L3590" s="31">
        <f t="shared" ref="L3590:L3597" si="4196">IF($F3590=8,$H3590*$B$26,0)</f>
        <v>0</v>
      </c>
      <c r="M3590" s="31">
        <f t="shared" ref="M3590:M3597" si="4197">IF($F3590=10,$H3590*$B$27,0)</f>
        <v>0</v>
      </c>
      <c r="N3590" s="31">
        <f t="shared" ref="N3590:N3597" si="4198">IF($F3590=12.5,$H3590*$B$28,0)</f>
        <v>0</v>
      </c>
      <c r="O3590" s="31">
        <f t="shared" ref="O3590:O3597" si="4199">IF($F3590=16,$H3590*$B$29,0)</f>
        <v>0</v>
      </c>
      <c r="P3590" s="31">
        <f t="shared" ref="P3590:P3597" si="4200">IF($F3590=20,$H3590*$B$30,0)</f>
        <v>0</v>
      </c>
      <c r="Q3590" s="49">
        <f t="shared" ref="Q3590:Q3597" si="4201">IF($F3590=25,$H3590*$B$31,0)</f>
        <v>0</v>
      </c>
    </row>
    <row r="3591" spans="4:17" s="62" customFormat="1" x14ac:dyDescent="0.3">
      <c r="D3591" s="235">
        <v>17</v>
      </c>
      <c r="E3591" s="240">
        <v>2</v>
      </c>
      <c r="F3591" s="241">
        <v>12.5</v>
      </c>
      <c r="G3591" s="242">
        <v>10.210000000000001</v>
      </c>
      <c r="H3591" s="239">
        <f t="shared" si="4192"/>
        <v>20.420000000000002</v>
      </c>
      <c r="I3591" s="131">
        <f t="shared" si="4193"/>
        <v>0</v>
      </c>
      <c r="J3591" s="31">
        <f t="shared" si="4194"/>
        <v>0</v>
      </c>
      <c r="K3591" s="31">
        <f t="shared" si="4195"/>
        <v>0</v>
      </c>
      <c r="L3591" s="31">
        <f t="shared" si="4196"/>
        <v>0</v>
      </c>
      <c r="M3591" s="31">
        <f t="shared" si="4197"/>
        <v>0</v>
      </c>
      <c r="N3591" s="31">
        <f t="shared" si="4198"/>
        <v>19.664460000000002</v>
      </c>
      <c r="O3591" s="31">
        <f t="shared" si="4199"/>
        <v>0</v>
      </c>
      <c r="P3591" s="31">
        <f t="shared" si="4200"/>
        <v>0</v>
      </c>
      <c r="Q3591" s="49">
        <f t="shared" si="4201"/>
        <v>0</v>
      </c>
    </row>
    <row r="3592" spans="4:17" s="62" customFormat="1" x14ac:dyDescent="0.3">
      <c r="D3592" s="235">
        <v>18</v>
      </c>
      <c r="E3592" s="240">
        <v>1</v>
      </c>
      <c r="F3592" s="241">
        <v>12.5</v>
      </c>
      <c r="G3592" s="242">
        <v>2.77</v>
      </c>
      <c r="H3592" s="239">
        <f t="shared" si="4192"/>
        <v>2.77</v>
      </c>
      <c r="I3592" s="131">
        <f t="shared" si="4193"/>
        <v>0</v>
      </c>
      <c r="J3592" s="31">
        <f t="shared" si="4194"/>
        <v>0</v>
      </c>
      <c r="K3592" s="31">
        <f t="shared" si="4195"/>
        <v>0</v>
      </c>
      <c r="L3592" s="31">
        <f t="shared" si="4196"/>
        <v>0</v>
      </c>
      <c r="M3592" s="31">
        <f t="shared" si="4197"/>
        <v>0</v>
      </c>
      <c r="N3592" s="31">
        <f t="shared" si="4198"/>
        <v>2.66751</v>
      </c>
      <c r="O3592" s="31">
        <f t="shared" si="4199"/>
        <v>0</v>
      </c>
      <c r="P3592" s="31">
        <f t="shared" si="4200"/>
        <v>0</v>
      </c>
      <c r="Q3592" s="49">
        <f t="shared" si="4201"/>
        <v>0</v>
      </c>
    </row>
    <row r="3593" spans="4:17" s="62" customFormat="1" x14ac:dyDescent="0.3">
      <c r="D3593" s="235">
        <v>19</v>
      </c>
      <c r="E3593" s="240">
        <v>1</v>
      </c>
      <c r="F3593" s="241">
        <v>12.5</v>
      </c>
      <c r="G3593" s="242">
        <v>3.61</v>
      </c>
      <c r="H3593" s="239">
        <f t="shared" si="4192"/>
        <v>3.61</v>
      </c>
      <c r="I3593" s="131">
        <f t="shared" si="4193"/>
        <v>0</v>
      </c>
      <c r="J3593" s="31">
        <f t="shared" si="4194"/>
        <v>0</v>
      </c>
      <c r="K3593" s="31">
        <f t="shared" si="4195"/>
        <v>0</v>
      </c>
      <c r="L3593" s="31">
        <f t="shared" si="4196"/>
        <v>0</v>
      </c>
      <c r="M3593" s="31">
        <f t="shared" si="4197"/>
        <v>0</v>
      </c>
      <c r="N3593" s="31">
        <f t="shared" si="4198"/>
        <v>3.4764299999999997</v>
      </c>
      <c r="O3593" s="31">
        <f t="shared" si="4199"/>
        <v>0</v>
      </c>
      <c r="P3593" s="31">
        <f t="shared" si="4200"/>
        <v>0</v>
      </c>
      <c r="Q3593" s="49">
        <f t="shared" si="4201"/>
        <v>0</v>
      </c>
    </row>
    <row r="3594" spans="4:17" s="62" customFormat="1" x14ac:dyDescent="0.3">
      <c r="D3594" s="235">
        <v>20</v>
      </c>
      <c r="E3594" s="240">
        <v>2</v>
      </c>
      <c r="F3594" s="241">
        <v>12.5</v>
      </c>
      <c r="G3594" s="242">
        <v>5.87</v>
      </c>
      <c r="H3594" s="239">
        <f t="shared" si="4192"/>
        <v>11.74</v>
      </c>
      <c r="I3594" s="131">
        <f t="shared" si="4193"/>
        <v>0</v>
      </c>
      <c r="J3594" s="31">
        <f t="shared" si="4194"/>
        <v>0</v>
      </c>
      <c r="K3594" s="31">
        <f t="shared" si="4195"/>
        <v>0</v>
      </c>
      <c r="L3594" s="31">
        <f t="shared" si="4196"/>
        <v>0</v>
      </c>
      <c r="M3594" s="31">
        <f t="shared" si="4197"/>
        <v>0</v>
      </c>
      <c r="N3594" s="31">
        <f t="shared" si="4198"/>
        <v>11.305619999999999</v>
      </c>
      <c r="O3594" s="31">
        <f t="shared" si="4199"/>
        <v>0</v>
      </c>
      <c r="P3594" s="31">
        <f t="shared" si="4200"/>
        <v>0</v>
      </c>
      <c r="Q3594" s="49">
        <f t="shared" si="4201"/>
        <v>0</v>
      </c>
    </row>
    <row r="3595" spans="4:17" s="62" customFormat="1" x14ac:dyDescent="0.3">
      <c r="D3595" s="235">
        <v>21</v>
      </c>
      <c r="E3595" s="240">
        <v>2</v>
      </c>
      <c r="F3595" s="241">
        <v>12.5</v>
      </c>
      <c r="G3595" s="242">
        <v>3.05</v>
      </c>
      <c r="H3595" s="239">
        <f t="shared" si="4192"/>
        <v>6.1</v>
      </c>
      <c r="I3595" s="131">
        <f t="shared" si="4193"/>
        <v>0</v>
      </c>
      <c r="J3595" s="31">
        <f t="shared" si="4194"/>
        <v>0</v>
      </c>
      <c r="K3595" s="31">
        <f t="shared" si="4195"/>
        <v>0</v>
      </c>
      <c r="L3595" s="31">
        <f t="shared" si="4196"/>
        <v>0</v>
      </c>
      <c r="M3595" s="31">
        <f t="shared" si="4197"/>
        <v>0</v>
      </c>
      <c r="N3595" s="31">
        <f t="shared" si="4198"/>
        <v>5.8742999999999999</v>
      </c>
      <c r="O3595" s="31">
        <f t="shared" si="4199"/>
        <v>0</v>
      </c>
      <c r="P3595" s="31">
        <f t="shared" si="4200"/>
        <v>0</v>
      </c>
      <c r="Q3595" s="49">
        <f t="shared" si="4201"/>
        <v>0</v>
      </c>
    </row>
    <row r="3596" spans="4:17" s="62" customFormat="1" x14ac:dyDescent="0.3">
      <c r="D3596" s="235">
        <v>22</v>
      </c>
      <c r="E3596" s="240">
        <v>2</v>
      </c>
      <c r="F3596" s="241">
        <v>12.5</v>
      </c>
      <c r="G3596" s="242">
        <v>2.4500000000000002</v>
      </c>
      <c r="H3596" s="239">
        <f t="shared" si="4192"/>
        <v>4.9000000000000004</v>
      </c>
      <c r="I3596" s="131">
        <f t="shared" si="4193"/>
        <v>0</v>
      </c>
      <c r="J3596" s="31">
        <f t="shared" si="4194"/>
        <v>0</v>
      </c>
      <c r="K3596" s="31">
        <f t="shared" si="4195"/>
        <v>0</v>
      </c>
      <c r="L3596" s="31">
        <f t="shared" si="4196"/>
        <v>0</v>
      </c>
      <c r="M3596" s="31">
        <f t="shared" si="4197"/>
        <v>0</v>
      </c>
      <c r="N3596" s="31">
        <f t="shared" si="4198"/>
        <v>4.7187000000000001</v>
      </c>
      <c r="O3596" s="31">
        <f t="shared" si="4199"/>
        <v>0</v>
      </c>
      <c r="P3596" s="31">
        <f t="shared" si="4200"/>
        <v>0</v>
      </c>
      <c r="Q3596" s="49">
        <f t="shared" si="4201"/>
        <v>0</v>
      </c>
    </row>
    <row r="3597" spans="4:17" s="62" customFormat="1" x14ac:dyDescent="0.3">
      <c r="D3597" s="235">
        <v>23</v>
      </c>
      <c r="E3597" s="240">
        <v>2</v>
      </c>
      <c r="F3597" s="241">
        <v>12.5</v>
      </c>
      <c r="G3597" s="242">
        <v>10.69</v>
      </c>
      <c r="H3597" s="239">
        <f t="shared" si="4192"/>
        <v>21.38</v>
      </c>
      <c r="I3597" s="131">
        <f t="shared" si="4193"/>
        <v>0</v>
      </c>
      <c r="J3597" s="31">
        <f t="shared" si="4194"/>
        <v>0</v>
      </c>
      <c r="K3597" s="31">
        <f t="shared" si="4195"/>
        <v>0</v>
      </c>
      <c r="L3597" s="31">
        <f t="shared" si="4196"/>
        <v>0</v>
      </c>
      <c r="M3597" s="31">
        <f t="shared" si="4197"/>
        <v>0</v>
      </c>
      <c r="N3597" s="31">
        <f t="shared" si="4198"/>
        <v>20.588939999999997</v>
      </c>
      <c r="O3597" s="31">
        <f t="shared" si="4199"/>
        <v>0</v>
      </c>
      <c r="P3597" s="31">
        <f t="shared" si="4200"/>
        <v>0</v>
      </c>
      <c r="Q3597" s="49">
        <f t="shared" si="4201"/>
        <v>0</v>
      </c>
    </row>
    <row r="3598" spans="4:17" s="62" customFormat="1" ht="15" thickBot="1" x14ac:dyDescent="0.35">
      <c r="D3598" s="307"/>
      <c r="E3598" s="26"/>
      <c r="F3598" s="206"/>
      <c r="G3598" s="207"/>
      <c r="H3598" s="207"/>
      <c r="I3598" s="51"/>
      <c r="J3598" s="308"/>
      <c r="K3598" s="308"/>
      <c r="L3598" s="308"/>
      <c r="M3598" s="308"/>
      <c r="N3598" s="308"/>
      <c r="O3598" s="308"/>
      <c r="P3598" s="308"/>
      <c r="Q3598" s="309"/>
    </row>
    <row r="3599" spans="4:17" s="62" customFormat="1" x14ac:dyDescent="0.3">
      <c r="D3599" s="796" t="s">
        <v>1833</v>
      </c>
      <c r="E3599" s="797"/>
      <c r="F3599" s="797"/>
      <c r="G3599" s="797"/>
      <c r="H3599" s="797"/>
      <c r="I3599" s="47">
        <f t="shared" ref="I3599:Q3599" si="4202">SUM(I3600:I3606)</f>
        <v>0</v>
      </c>
      <c r="J3599" s="47">
        <f t="shared" si="4202"/>
        <v>10.170160000000001</v>
      </c>
      <c r="K3599" s="47">
        <f t="shared" si="4202"/>
        <v>0</v>
      </c>
      <c r="L3599" s="47">
        <f t="shared" si="4202"/>
        <v>0</v>
      </c>
      <c r="M3599" s="47">
        <f t="shared" si="4202"/>
        <v>0</v>
      </c>
      <c r="N3599" s="47">
        <f t="shared" si="4202"/>
        <v>67.438889999999986</v>
      </c>
      <c r="O3599" s="47">
        <f t="shared" si="4202"/>
        <v>0</v>
      </c>
      <c r="P3599" s="47">
        <f t="shared" si="4202"/>
        <v>0</v>
      </c>
      <c r="Q3599" s="47">
        <f t="shared" si="4202"/>
        <v>0</v>
      </c>
    </row>
    <row r="3600" spans="4:17" s="62" customFormat="1" x14ac:dyDescent="0.3">
      <c r="D3600" s="235">
        <v>3</v>
      </c>
      <c r="E3600" s="237">
        <v>52</v>
      </c>
      <c r="F3600" s="238">
        <v>5</v>
      </c>
      <c r="G3600" s="239">
        <v>1.27</v>
      </c>
      <c r="H3600" s="239">
        <f t="shared" ref="H3600:H3606" si="4203">E3600*G3600</f>
        <v>66.040000000000006</v>
      </c>
      <c r="I3600" s="131">
        <f t="shared" ref="I3600:I3606" si="4204">IF($F3600=4.2,H3600*$B$23,0)</f>
        <v>0</v>
      </c>
      <c r="J3600" s="31">
        <f t="shared" ref="J3600:J3606" si="4205">IF($F3600=5,$H3600*$B$24,0)</f>
        <v>10.170160000000001</v>
      </c>
      <c r="K3600" s="31">
        <f t="shared" ref="K3600:K3606" si="4206">IF($F3600=6.3,$H3600*$B$25,0)</f>
        <v>0</v>
      </c>
      <c r="L3600" s="31">
        <f t="shared" ref="L3600:L3606" si="4207">IF($F3600=8,$H3600*$B$26,0)</f>
        <v>0</v>
      </c>
      <c r="M3600" s="31">
        <f t="shared" ref="M3600:M3606" si="4208">IF($F3600=10,$H3600*$B$27,0)</f>
        <v>0</v>
      </c>
      <c r="N3600" s="31">
        <f t="shared" ref="N3600:N3606" si="4209">IF($F3600=12.5,$H3600*$B$28,0)</f>
        <v>0</v>
      </c>
      <c r="O3600" s="31">
        <f t="shared" ref="O3600:O3606" si="4210">IF($F3600=16,$H3600*$B$29,0)</f>
        <v>0</v>
      </c>
      <c r="P3600" s="31">
        <f t="shared" ref="P3600:P3606" si="4211">IF($F3600=20,$H3600*$B$30,0)</f>
        <v>0</v>
      </c>
      <c r="Q3600" s="49">
        <f t="shared" ref="Q3600:Q3606" si="4212">IF($F3600=25,$H3600*$B$31,0)</f>
        <v>0</v>
      </c>
    </row>
    <row r="3601" spans="4:17" s="62" customFormat="1" x14ac:dyDescent="0.3">
      <c r="D3601" s="235">
        <v>21</v>
      </c>
      <c r="E3601" s="240">
        <v>1</v>
      </c>
      <c r="F3601" s="241">
        <v>12.5</v>
      </c>
      <c r="G3601" s="242">
        <v>3.05</v>
      </c>
      <c r="H3601" s="239">
        <f t="shared" si="4203"/>
        <v>3.05</v>
      </c>
      <c r="I3601" s="131">
        <f t="shared" si="4204"/>
        <v>0</v>
      </c>
      <c r="J3601" s="31">
        <f t="shared" si="4205"/>
        <v>0</v>
      </c>
      <c r="K3601" s="31">
        <f t="shared" si="4206"/>
        <v>0</v>
      </c>
      <c r="L3601" s="31">
        <f t="shared" si="4207"/>
        <v>0</v>
      </c>
      <c r="M3601" s="31">
        <f t="shared" si="4208"/>
        <v>0</v>
      </c>
      <c r="N3601" s="31">
        <f t="shared" si="4209"/>
        <v>2.9371499999999999</v>
      </c>
      <c r="O3601" s="31">
        <f t="shared" si="4210"/>
        <v>0</v>
      </c>
      <c r="P3601" s="31">
        <f t="shared" si="4211"/>
        <v>0</v>
      </c>
      <c r="Q3601" s="49">
        <f t="shared" si="4212"/>
        <v>0</v>
      </c>
    </row>
    <row r="3602" spans="4:17" s="62" customFormat="1" x14ac:dyDescent="0.3">
      <c r="D3602" s="235">
        <v>24</v>
      </c>
      <c r="E3602" s="240">
        <v>2</v>
      </c>
      <c r="F3602" s="241">
        <v>12.5</v>
      </c>
      <c r="G3602" s="242">
        <v>2.95</v>
      </c>
      <c r="H3602" s="239">
        <f t="shared" si="4203"/>
        <v>5.9</v>
      </c>
      <c r="I3602" s="131">
        <f t="shared" si="4204"/>
        <v>0</v>
      </c>
      <c r="J3602" s="31">
        <f t="shared" si="4205"/>
        <v>0</v>
      </c>
      <c r="K3602" s="31">
        <f t="shared" si="4206"/>
        <v>0</v>
      </c>
      <c r="L3602" s="31">
        <f t="shared" si="4207"/>
        <v>0</v>
      </c>
      <c r="M3602" s="31">
        <f t="shared" si="4208"/>
        <v>0</v>
      </c>
      <c r="N3602" s="31">
        <f t="shared" si="4209"/>
        <v>5.6817000000000002</v>
      </c>
      <c r="O3602" s="31">
        <f t="shared" si="4210"/>
        <v>0</v>
      </c>
      <c r="P3602" s="31">
        <f t="shared" si="4211"/>
        <v>0</v>
      </c>
      <c r="Q3602" s="49">
        <f t="shared" si="4212"/>
        <v>0</v>
      </c>
    </row>
    <row r="3603" spans="4:17" s="62" customFormat="1" x14ac:dyDescent="0.3">
      <c r="D3603" s="235">
        <v>25</v>
      </c>
      <c r="E3603" s="240">
        <v>2</v>
      </c>
      <c r="F3603" s="241">
        <v>12.5</v>
      </c>
      <c r="G3603" s="242">
        <v>5.94</v>
      </c>
      <c r="H3603" s="239">
        <f t="shared" si="4203"/>
        <v>11.88</v>
      </c>
      <c r="I3603" s="131">
        <f t="shared" si="4204"/>
        <v>0</v>
      </c>
      <c r="J3603" s="31">
        <f t="shared" si="4205"/>
        <v>0</v>
      </c>
      <c r="K3603" s="31">
        <f t="shared" si="4206"/>
        <v>0</v>
      </c>
      <c r="L3603" s="31">
        <f t="shared" si="4207"/>
        <v>0</v>
      </c>
      <c r="M3603" s="31">
        <f t="shared" si="4208"/>
        <v>0</v>
      </c>
      <c r="N3603" s="31">
        <f t="shared" si="4209"/>
        <v>11.440440000000001</v>
      </c>
      <c r="O3603" s="31">
        <f t="shared" si="4210"/>
        <v>0</v>
      </c>
      <c r="P3603" s="31">
        <f t="shared" si="4211"/>
        <v>0</v>
      </c>
      <c r="Q3603" s="49">
        <f t="shared" si="4212"/>
        <v>0</v>
      </c>
    </row>
    <row r="3604" spans="4:17" s="62" customFormat="1" x14ac:dyDescent="0.3">
      <c r="D3604" s="235">
        <v>26</v>
      </c>
      <c r="E3604" s="240">
        <v>4</v>
      </c>
      <c r="F3604" s="241">
        <v>12.5</v>
      </c>
      <c r="G3604" s="242">
        <v>10.09</v>
      </c>
      <c r="H3604" s="239">
        <f t="shared" si="4203"/>
        <v>40.36</v>
      </c>
      <c r="I3604" s="131">
        <f t="shared" si="4204"/>
        <v>0</v>
      </c>
      <c r="J3604" s="31">
        <f t="shared" si="4205"/>
        <v>0</v>
      </c>
      <c r="K3604" s="31">
        <f t="shared" si="4206"/>
        <v>0</v>
      </c>
      <c r="L3604" s="31">
        <f t="shared" si="4207"/>
        <v>0</v>
      </c>
      <c r="M3604" s="31">
        <f t="shared" si="4208"/>
        <v>0</v>
      </c>
      <c r="N3604" s="31">
        <f t="shared" si="4209"/>
        <v>38.866679999999995</v>
      </c>
      <c r="O3604" s="31">
        <f t="shared" si="4210"/>
        <v>0</v>
      </c>
      <c r="P3604" s="31">
        <f t="shared" si="4211"/>
        <v>0</v>
      </c>
      <c r="Q3604" s="49">
        <f t="shared" si="4212"/>
        <v>0</v>
      </c>
    </row>
    <row r="3605" spans="4:17" s="62" customFormat="1" x14ac:dyDescent="0.3">
      <c r="D3605" s="235">
        <v>27</v>
      </c>
      <c r="E3605" s="240">
        <v>1</v>
      </c>
      <c r="F3605" s="241">
        <v>12.5</v>
      </c>
      <c r="G3605" s="242">
        <v>1.77</v>
      </c>
      <c r="H3605" s="239">
        <f t="shared" si="4203"/>
        <v>1.77</v>
      </c>
      <c r="I3605" s="131">
        <f t="shared" si="4204"/>
        <v>0</v>
      </c>
      <c r="J3605" s="31">
        <f t="shared" si="4205"/>
        <v>0</v>
      </c>
      <c r="K3605" s="31">
        <f t="shared" si="4206"/>
        <v>0</v>
      </c>
      <c r="L3605" s="31">
        <f t="shared" si="4207"/>
        <v>0</v>
      </c>
      <c r="M3605" s="31">
        <f t="shared" si="4208"/>
        <v>0</v>
      </c>
      <c r="N3605" s="31">
        <f t="shared" si="4209"/>
        <v>1.70451</v>
      </c>
      <c r="O3605" s="31">
        <f t="shared" si="4210"/>
        <v>0</v>
      </c>
      <c r="P3605" s="31">
        <f t="shared" si="4211"/>
        <v>0</v>
      </c>
      <c r="Q3605" s="49">
        <f t="shared" si="4212"/>
        <v>0</v>
      </c>
    </row>
    <row r="3606" spans="4:17" s="62" customFormat="1" x14ac:dyDescent="0.3">
      <c r="D3606" s="235">
        <v>28</v>
      </c>
      <c r="E3606" s="240">
        <v>1</v>
      </c>
      <c r="F3606" s="241">
        <v>12.5</v>
      </c>
      <c r="G3606" s="242">
        <v>7.07</v>
      </c>
      <c r="H3606" s="239">
        <f t="shared" si="4203"/>
        <v>7.07</v>
      </c>
      <c r="I3606" s="131">
        <f t="shared" si="4204"/>
        <v>0</v>
      </c>
      <c r="J3606" s="31">
        <f t="shared" si="4205"/>
        <v>0</v>
      </c>
      <c r="K3606" s="31">
        <f t="shared" si="4206"/>
        <v>0</v>
      </c>
      <c r="L3606" s="31">
        <f t="shared" si="4207"/>
        <v>0</v>
      </c>
      <c r="M3606" s="31">
        <f t="shared" si="4208"/>
        <v>0</v>
      </c>
      <c r="N3606" s="31">
        <f t="shared" si="4209"/>
        <v>6.8084100000000003</v>
      </c>
      <c r="O3606" s="31">
        <f t="shared" si="4210"/>
        <v>0</v>
      </c>
      <c r="P3606" s="31">
        <f t="shared" si="4211"/>
        <v>0</v>
      </c>
      <c r="Q3606" s="49">
        <f t="shared" si="4212"/>
        <v>0</v>
      </c>
    </row>
    <row r="3607" spans="4:17" s="62" customFormat="1" ht="15" thickBot="1" x14ac:dyDescent="0.35">
      <c r="D3607" s="307"/>
      <c r="E3607" s="26"/>
      <c r="F3607" s="206"/>
      <c r="G3607" s="207"/>
      <c r="H3607" s="207"/>
      <c r="I3607" s="51"/>
      <c r="J3607" s="308"/>
      <c r="K3607" s="308"/>
      <c r="L3607" s="308"/>
      <c r="M3607" s="308"/>
      <c r="N3607" s="308"/>
      <c r="O3607" s="308"/>
      <c r="P3607" s="308"/>
      <c r="Q3607" s="309"/>
    </row>
    <row r="3608" spans="4:17" s="62" customFormat="1" x14ac:dyDescent="0.3">
      <c r="D3608" s="796" t="s">
        <v>1834</v>
      </c>
      <c r="E3608" s="797"/>
      <c r="F3608" s="797"/>
      <c r="G3608" s="797"/>
      <c r="H3608" s="797"/>
      <c r="I3608" s="47">
        <f t="shared" ref="I3608:Q3608" si="4213">SUM(I3609:I3614)</f>
        <v>0</v>
      </c>
      <c r="J3608" s="47">
        <f t="shared" si="4213"/>
        <v>8.4099400000000006</v>
      </c>
      <c r="K3608" s="47">
        <f t="shared" si="4213"/>
        <v>0</v>
      </c>
      <c r="L3608" s="47">
        <f t="shared" si="4213"/>
        <v>0</v>
      </c>
      <c r="M3608" s="47">
        <f t="shared" si="4213"/>
        <v>17.047709999999999</v>
      </c>
      <c r="N3608" s="47">
        <f t="shared" si="4213"/>
        <v>29.987819999999999</v>
      </c>
      <c r="O3608" s="47">
        <f t="shared" si="4213"/>
        <v>0</v>
      </c>
      <c r="P3608" s="47">
        <f t="shared" si="4213"/>
        <v>0</v>
      </c>
      <c r="Q3608" s="47">
        <f t="shared" si="4213"/>
        <v>0</v>
      </c>
    </row>
    <row r="3609" spans="4:17" s="62" customFormat="1" x14ac:dyDescent="0.3">
      <c r="D3609" s="235">
        <v>3</v>
      </c>
      <c r="E3609" s="237">
        <v>43</v>
      </c>
      <c r="F3609" s="238">
        <v>5</v>
      </c>
      <c r="G3609" s="239">
        <v>1.27</v>
      </c>
      <c r="H3609" s="239">
        <f t="shared" ref="H3609:H3614" si="4214">E3609*G3609</f>
        <v>54.61</v>
      </c>
      <c r="I3609" s="131">
        <f t="shared" ref="I3609:I3614" si="4215">IF($F3609=4.2,H3609*$B$23,0)</f>
        <v>0</v>
      </c>
      <c r="J3609" s="31">
        <f t="shared" ref="J3609:J3614" si="4216">IF($F3609=5,$H3609*$B$24,0)</f>
        <v>8.4099400000000006</v>
      </c>
      <c r="K3609" s="31">
        <f t="shared" ref="K3609:K3614" si="4217">IF($F3609=6.3,$H3609*$B$25,0)</f>
        <v>0</v>
      </c>
      <c r="L3609" s="31">
        <f t="shared" ref="L3609:L3614" si="4218">IF($F3609=8,$H3609*$B$26,0)</f>
        <v>0</v>
      </c>
      <c r="M3609" s="31">
        <f t="shared" ref="M3609:M3614" si="4219">IF($F3609=10,$H3609*$B$27,0)</f>
        <v>0</v>
      </c>
      <c r="N3609" s="31">
        <f t="shared" ref="N3609:N3614" si="4220">IF($F3609=12.5,$H3609*$B$28,0)</f>
        <v>0</v>
      </c>
      <c r="O3609" s="31">
        <f t="shared" ref="O3609:O3614" si="4221">IF($F3609=16,$H3609*$B$29,0)</f>
        <v>0</v>
      </c>
      <c r="P3609" s="31">
        <f t="shared" ref="P3609:P3614" si="4222">IF($F3609=20,$H3609*$B$30,0)</f>
        <v>0</v>
      </c>
      <c r="Q3609" s="49">
        <f t="shared" ref="Q3609:Q3614" si="4223">IF($F3609=25,$H3609*$B$31,0)</f>
        <v>0</v>
      </c>
    </row>
    <row r="3610" spans="4:17" s="62" customFormat="1" x14ac:dyDescent="0.3">
      <c r="D3610" s="235">
        <v>10</v>
      </c>
      <c r="E3610" s="240">
        <v>1</v>
      </c>
      <c r="F3610" s="241">
        <v>10</v>
      </c>
      <c r="G3610" s="242">
        <v>2.5499999999999998</v>
      </c>
      <c r="H3610" s="239">
        <f t="shared" si="4214"/>
        <v>2.5499999999999998</v>
      </c>
      <c r="I3610" s="131">
        <f t="shared" si="4215"/>
        <v>0</v>
      </c>
      <c r="J3610" s="31">
        <f t="shared" si="4216"/>
        <v>0</v>
      </c>
      <c r="K3610" s="31">
        <f t="shared" si="4217"/>
        <v>0</v>
      </c>
      <c r="L3610" s="31">
        <f t="shared" si="4218"/>
        <v>0</v>
      </c>
      <c r="M3610" s="31">
        <f t="shared" si="4219"/>
        <v>1.5733499999999998</v>
      </c>
      <c r="N3610" s="31">
        <f t="shared" si="4220"/>
        <v>0</v>
      </c>
      <c r="O3610" s="31">
        <f t="shared" si="4221"/>
        <v>0</v>
      </c>
      <c r="P3610" s="31">
        <f t="shared" si="4222"/>
        <v>0</v>
      </c>
      <c r="Q3610" s="49">
        <f t="shared" si="4223"/>
        <v>0</v>
      </c>
    </row>
    <row r="3611" spans="4:17" s="62" customFormat="1" x14ac:dyDescent="0.3">
      <c r="D3611" s="235">
        <v>11</v>
      </c>
      <c r="E3611" s="240">
        <v>3</v>
      </c>
      <c r="F3611" s="241">
        <v>10</v>
      </c>
      <c r="G3611" s="242">
        <v>8.36</v>
      </c>
      <c r="H3611" s="239">
        <f t="shared" si="4214"/>
        <v>25.08</v>
      </c>
      <c r="I3611" s="131">
        <f t="shared" si="4215"/>
        <v>0</v>
      </c>
      <c r="J3611" s="31">
        <f t="shared" si="4216"/>
        <v>0</v>
      </c>
      <c r="K3611" s="31">
        <f t="shared" si="4217"/>
        <v>0</v>
      </c>
      <c r="L3611" s="31">
        <f t="shared" si="4218"/>
        <v>0</v>
      </c>
      <c r="M3611" s="31">
        <f t="shared" si="4219"/>
        <v>15.474359999999999</v>
      </c>
      <c r="N3611" s="31">
        <f t="shared" si="4220"/>
        <v>0</v>
      </c>
      <c r="O3611" s="31">
        <f t="shared" si="4221"/>
        <v>0</v>
      </c>
      <c r="P3611" s="31">
        <f t="shared" si="4222"/>
        <v>0</v>
      </c>
      <c r="Q3611" s="49">
        <f t="shared" si="4223"/>
        <v>0</v>
      </c>
    </row>
    <row r="3612" spans="4:17" s="62" customFormat="1" x14ac:dyDescent="0.3">
      <c r="D3612" s="235">
        <v>29</v>
      </c>
      <c r="E3612" s="240">
        <v>2</v>
      </c>
      <c r="F3612" s="241">
        <v>12.5</v>
      </c>
      <c r="G3612" s="242">
        <v>4.4800000000000004</v>
      </c>
      <c r="H3612" s="239">
        <f t="shared" si="4214"/>
        <v>8.9600000000000009</v>
      </c>
      <c r="I3612" s="131">
        <f t="shared" si="4215"/>
        <v>0</v>
      </c>
      <c r="J3612" s="31">
        <f t="shared" si="4216"/>
        <v>0</v>
      </c>
      <c r="K3612" s="31">
        <f t="shared" si="4217"/>
        <v>0</v>
      </c>
      <c r="L3612" s="31">
        <f t="shared" si="4218"/>
        <v>0</v>
      </c>
      <c r="M3612" s="31">
        <f t="shared" si="4219"/>
        <v>0</v>
      </c>
      <c r="N3612" s="31">
        <f t="shared" si="4220"/>
        <v>8.6284799999999997</v>
      </c>
      <c r="O3612" s="31">
        <f t="shared" si="4221"/>
        <v>0</v>
      </c>
      <c r="P3612" s="31">
        <f t="shared" si="4222"/>
        <v>0</v>
      </c>
      <c r="Q3612" s="49">
        <f t="shared" si="4223"/>
        <v>0</v>
      </c>
    </row>
    <row r="3613" spans="4:17" s="62" customFormat="1" x14ac:dyDescent="0.3">
      <c r="D3613" s="235">
        <v>30</v>
      </c>
      <c r="E3613" s="240">
        <v>2</v>
      </c>
      <c r="F3613" s="241">
        <v>12.5</v>
      </c>
      <c r="G3613" s="242">
        <v>2.85</v>
      </c>
      <c r="H3613" s="239">
        <f t="shared" si="4214"/>
        <v>5.7</v>
      </c>
      <c r="I3613" s="131">
        <f t="shared" si="4215"/>
        <v>0</v>
      </c>
      <c r="J3613" s="31">
        <f t="shared" si="4216"/>
        <v>0</v>
      </c>
      <c r="K3613" s="31">
        <f t="shared" si="4217"/>
        <v>0</v>
      </c>
      <c r="L3613" s="31">
        <f t="shared" si="4218"/>
        <v>0</v>
      </c>
      <c r="M3613" s="31">
        <f t="shared" si="4219"/>
        <v>0</v>
      </c>
      <c r="N3613" s="31">
        <f t="shared" si="4220"/>
        <v>5.4890999999999996</v>
      </c>
      <c r="O3613" s="31">
        <f t="shared" si="4221"/>
        <v>0</v>
      </c>
      <c r="P3613" s="31">
        <f t="shared" si="4222"/>
        <v>0</v>
      </c>
      <c r="Q3613" s="49">
        <f t="shared" si="4223"/>
        <v>0</v>
      </c>
    </row>
    <row r="3614" spans="4:17" s="62" customFormat="1" x14ac:dyDescent="0.3">
      <c r="D3614" s="235">
        <v>31</v>
      </c>
      <c r="E3614" s="240">
        <v>2</v>
      </c>
      <c r="F3614" s="241">
        <v>12.5</v>
      </c>
      <c r="G3614" s="242">
        <v>8.24</v>
      </c>
      <c r="H3614" s="239">
        <f t="shared" si="4214"/>
        <v>16.48</v>
      </c>
      <c r="I3614" s="131">
        <f t="shared" si="4215"/>
        <v>0</v>
      </c>
      <c r="J3614" s="31">
        <f t="shared" si="4216"/>
        <v>0</v>
      </c>
      <c r="K3614" s="31">
        <f t="shared" si="4217"/>
        <v>0</v>
      </c>
      <c r="L3614" s="31">
        <f t="shared" si="4218"/>
        <v>0</v>
      </c>
      <c r="M3614" s="31">
        <f t="shared" si="4219"/>
        <v>0</v>
      </c>
      <c r="N3614" s="31">
        <f t="shared" si="4220"/>
        <v>15.870239999999999</v>
      </c>
      <c r="O3614" s="31">
        <f t="shared" si="4221"/>
        <v>0</v>
      </c>
      <c r="P3614" s="31">
        <f t="shared" si="4222"/>
        <v>0</v>
      </c>
      <c r="Q3614" s="49">
        <f t="shared" si="4223"/>
        <v>0</v>
      </c>
    </row>
    <row r="3615" spans="4:17" s="62" customFormat="1" ht="15" thickBot="1" x14ac:dyDescent="0.35">
      <c r="D3615" s="307"/>
      <c r="E3615" s="26"/>
      <c r="F3615" s="206"/>
      <c r="G3615" s="207"/>
      <c r="H3615" s="207"/>
      <c r="I3615" s="51"/>
      <c r="J3615" s="308"/>
      <c r="K3615" s="308"/>
      <c r="L3615" s="308"/>
      <c r="M3615" s="308"/>
      <c r="N3615" s="308"/>
      <c r="O3615" s="308"/>
      <c r="P3615" s="308"/>
      <c r="Q3615" s="309"/>
    </row>
    <row r="3616" spans="4:17" s="62" customFormat="1" x14ac:dyDescent="0.3">
      <c r="D3616" s="796" t="s">
        <v>1835</v>
      </c>
      <c r="E3616" s="797"/>
      <c r="F3616" s="797"/>
      <c r="G3616" s="797"/>
      <c r="H3616" s="797"/>
      <c r="I3616" s="47">
        <f t="shared" ref="I3616:Q3616" si="4224">SUM(I3617:I3620)</f>
        <v>0</v>
      </c>
      <c r="J3616" s="47">
        <f t="shared" si="4224"/>
        <v>4.4983399999999998</v>
      </c>
      <c r="K3616" s="47">
        <f t="shared" si="4224"/>
        <v>0</v>
      </c>
      <c r="L3616" s="47">
        <f t="shared" si="4224"/>
        <v>0</v>
      </c>
      <c r="M3616" s="47">
        <f t="shared" si="4224"/>
        <v>5.8121400000000003</v>
      </c>
      <c r="N3616" s="47">
        <f t="shared" si="4224"/>
        <v>11.556000000000001</v>
      </c>
      <c r="O3616" s="47">
        <f t="shared" si="4224"/>
        <v>0</v>
      </c>
      <c r="P3616" s="47">
        <f t="shared" si="4224"/>
        <v>0</v>
      </c>
      <c r="Q3616" s="47">
        <f t="shared" si="4224"/>
        <v>0</v>
      </c>
    </row>
    <row r="3617" spans="4:17" s="62" customFormat="1" x14ac:dyDescent="0.3">
      <c r="D3617" s="235">
        <v>3</v>
      </c>
      <c r="E3617" s="237">
        <v>23</v>
      </c>
      <c r="F3617" s="238">
        <v>5</v>
      </c>
      <c r="G3617" s="239">
        <v>1.27</v>
      </c>
      <c r="H3617" s="239">
        <f t="shared" ref="H3617:H3620" si="4225">E3617*G3617</f>
        <v>29.21</v>
      </c>
      <c r="I3617" s="131">
        <f t="shared" ref="I3617:I3620" si="4226">IF($F3617=4.2,H3617*$B$23,0)</f>
        <v>0</v>
      </c>
      <c r="J3617" s="31">
        <f t="shared" ref="J3617:J3620" si="4227">IF($F3617=5,$H3617*$B$24,0)</f>
        <v>4.4983399999999998</v>
      </c>
      <c r="K3617" s="31">
        <f t="shared" ref="K3617:K3620" si="4228">IF($F3617=6.3,$H3617*$B$25,0)</f>
        <v>0</v>
      </c>
      <c r="L3617" s="31">
        <f t="shared" ref="L3617:L3620" si="4229">IF($F3617=8,$H3617*$B$26,0)</f>
        <v>0</v>
      </c>
      <c r="M3617" s="31">
        <f t="shared" ref="M3617:M3620" si="4230">IF($F3617=10,$H3617*$B$27,0)</f>
        <v>0</v>
      </c>
      <c r="N3617" s="31">
        <f t="shared" ref="N3617:N3620" si="4231">IF($F3617=12.5,$H3617*$B$28,0)</f>
        <v>0</v>
      </c>
      <c r="O3617" s="31">
        <f t="shared" ref="O3617:O3620" si="4232">IF($F3617=16,$H3617*$B$29,0)</f>
        <v>0</v>
      </c>
      <c r="P3617" s="31">
        <f t="shared" ref="P3617:P3620" si="4233">IF($F3617=20,$H3617*$B$30,0)</f>
        <v>0</v>
      </c>
      <c r="Q3617" s="49">
        <f t="shared" ref="Q3617:Q3620" si="4234">IF($F3617=25,$H3617*$B$31,0)</f>
        <v>0</v>
      </c>
    </row>
    <row r="3618" spans="4:17" s="62" customFormat="1" x14ac:dyDescent="0.3">
      <c r="D3618" s="235">
        <v>12</v>
      </c>
      <c r="E3618" s="240">
        <v>2</v>
      </c>
      <c r="F3618" s="241">
        <v>10</v>
      </c>
      <c r="G3618" s="242">
        <v>4.71</v>
      </c>
      <c r="H3618" s="239">
        <f t="shared" si="4225"/>
        <v>9.42</v>
      </c>
      <c r="I3618" s="131">
        <f t="shared" si="4226"/>
        <v>0</v>
      </c>
      <c r="J3618" s="31">
        <f t="shared" si="4227"/>
        <v>0</v>
      </c>
      <c r="K3618" s="31">
        <f t="shared" si="4228"/>
        <v>0</v>
      </c>
      <c r="L3618" s="31">
        <f t="shared" si="4229"/>
        <v>0</v>
      </c>
      <c r="M3618" s="31">
        <f t="shared" si="4230"/>
        <v>5.8121400000000003</v>
      </c>
      <c r="N3618" s="31">
        <f t="shared" si="4231"/>
        <v>0</v>
      </c>
      <c r="O3618" s="31">
        <f t="shared" si="4232"/>
        <v>0</v>
      </c>
      <c r="P3618" s="31">
        <f t="shared" si="4233"/>
        <v>0</v>
      </c>
      <c r="Q3618" s="49">
        <f t="shared" si="4234"/>
        <v>0</v>
      </c>
    </row>
    <row r="3619" spans="4:17" s="62" customFormat="1" x14ac:dyDescent="0.3">
      <c r="D3619" s="235">
        <v>32</v>
      </c>
      <c r="E3619" s="240">
        <v>1</v>
      </c>
      <c r="F3619" s="241">
        <v>12.5</v>
      </c>
      <c r="G3619" s="242">
        <v>3.28</v>
      </c>
      <c r="H3619" s="239">
        <f t="shared" si="4225"/>
        <v>3.28</v>
      </c>
      <c r="I3619" s="131">
        <f t="shared" si="4226"/>
        <v>0</v>
      </c>
      <c r="J3619" s="31">
        <f t="shared" si="4227"/>
        <v>0</v>
      </c>
      <c r="K3619" s="31">
        <f t="shared" si="4228"/>
        <v>0</v>
      </c>
      <c r="L3619" s="31">
        <f t="shared" si="4229"/>
        <v>0</v>
      </c>
      <c r="M3619" s="31">
        <f t="shared" si="4230"/>
        <v>0</v>
      </c>
      <c r="N3619" s="31">
        <f t="shared" si="4231"/>
        <v>3.1586399999999997</v>
      </c>
      <c r="O3619" s="31">
        <f t="shared" si="4232"/>
        <v>0</v>
      </c>
      <c r="P3619" s="31">
        <f t="shared" si="4233"/>
        <v>0</v>
      </c>
      <c r="Q3619" s="49">
        <f t="shared" si="4234"/>
        <v>0</v>
      </c>
    </row>
    <row r="3620" spans="4:17" s="62" customFormat="1" x14ac:dyDescent="0.3">
      <c r="D3620" s="235">
        <v>33</v>
      </c>
      <c r="E3620" s="240">
        <v>2</v>
      </c>
      <c r="F3620" s="241">
        <v>12.5</v>
      </c>
      <c r="G3620" s="242">
        <v>4.3600000000000003</v>
      </c>
      <c r="H3620" s="239">
        <f t="shared" si="4225"/>
        <v>8.7200000000000006</v>
      </c>
      <c r="I3620" s="131">
        <f t="shared" si="4226"/>
        <v>0</v>
      </c>
      <c r="J3620" s="31">
        <f t="shared" si="4227"/>
        <v>0</v>
      </c>
      <c r="K3620" s="31">
        <f t="shared" si="4228"/>
        <v>0</v>
      </c>
      <c r="L3620" s="31">
        <f t="shared" si="4229"/>
        <v>0</v>
      </c>
      <c r="M3620" s="31">
        <f t="shared" si="4230"/>
        <v>0</v>
      </c>
      <c r="N3620" s="31">
        <f t="shared" si="4231"/>
        <v>8.3973600000000008</v>
      </c>
      <c r="O3620" s="31">
        <f t="shared" si="4232"/>
        <v>0</v>
      </c>
      <c r="P3620" s="31">
        <f t="shared" si="4233"/>
        <v>0</v>
      </c>
      <c r="Q3620" s="49">
        <f t="shared" si="4234"/>
        <v>0</v>
      </c>
    </row>
    <row r="3621" spans="4:17" s="62" customFormat="1" ht="15" thickBot="1" x14ac:dyDescent="0.35">
      <c r="D3621" s="307"/>
      <c r="E3621" s="26"/>
      <c r="F3621" s="206"/>
      <c r="G3621" s="207"/>
      <c r="H3621" s="207"/>
      <c r="I3621" s="51"/>
      <c r="J3621" s="308"/>
      <c r="K3621" s="308"/>
      <c r="L3621" s="308"/>
      <c r="M3621" s="308"/>
      <c r="N3621" s="308"/>
      <c r="O3621" s="308"/>
      <c r="P3621" s="308"/>
      <c r="Q3621" s="309"/>
    </row>
    <row r="3622" spans="4:17" s="62" customFormat="1" x14ac:dyDescent="0.3">
      <c r="D3622" s="796" t="s">
        <v>1836</v>
      </c>
      <c r="E3622" s="797"/>
      <c r="F3622" s="797"/>
      <c r="G3622" s="797"/>
      <c r="H3622" s="797"/>
      <c r="I3622" s="47">
        <f t="shared" ref="I3622:Q3622" si="4235">SUM(I3623:I3634)</f>
        <v>0</v>
      </c>
      <c r="J3622" s="47">
        <f t="shared" si="4235"/>
        <v>12.51712</v>
      </c>
      <c r="K3622" s="47">
        <f t="shared" si="4235"/>
        <v>0</v>
      </c>
      <c r="L3622" s="47">
        <f t="shared" si="4235"/>
        <v>1.1613</v>
      </c>
      <c r="M3622" s="47">
        <f t="shared" si="4235"/>
        <v>0</v>
      </c>
      <c r="N3622" s="47">
        <f t="shared" si="4235"/>
        <v>60.746039999999994</v>
      </c>
      <c r="O3622" s="47">
        <f t="shared" si="4235"/>
        <v>0</v>
      </c>
      <c r="P3622" s="47">
        <f t="shared" si="4235"/>
        <v>0</v>
      </c>
      <c r="Q3622" s="47">
        <f t="shared" si="4235"/>
        <v>0</v>
      </c>
    </row>
    <row r="3623" spans="4:17" s="62" customFormat="1" x14ac:dyDescent="0.3">
      <c r="D3623" s="235">
        <v>3</v>
      </c>
      <c r="E3623" s="237">
        <v>64</v>
      </c>
      <c r="F3623" s="238">
        <v>5</v>
      </c>
      <c r="G3623" s="239">
        <v>1.27</v>
      </c>
      <c r="H3623" s="239">
        <f t="shared" ref="H3623:H3634" si="4236">E3623*G3623</f>
        <v>81.28</v>
      </c>
      <c r="I3623" s="131">
        <f t="shared" ref="I3623:I3634" si="4237">IF($F3623=4.2,H3623*$B$23,0)</f>
        <v>0</v>
      </c>
      <c r="J3623" s="31">
        <f t="shared" ref="J3623:J3634" si="4238">IF($F3623=5,$H3623*$B$24,0)</f>
        <v>12.51712</v>
      </c>
      <c r="K3623" s="31">
        <f t="shared" ref="K3623:K3634" si="4239">IF($F3623=6.3,$H3623*$B$25,0)</f>
        <v>0</v>
      </c>
      <c r="L3623" s="31">
        <f t="shared" ref="L3623:L3634" si="4240">IF($F3623=8,$H3623*$B$26,0)</f>
        <v>0</v>
      </c>
      <c r="M3623" s="31">
        <f t="shared" ref="M3623:M3634" si="4241">IF($F3623=10,$H3623*$B$27,0)</f>
        <v>0</v>
      </c>
      <c r="N3623" s="31">
        <f t="shared" ref="N3623:N3634" si="4242">IF($F3623=12.5,$H3623*$B$28,0)</f>
        <v>0</v>
      </c>
      <c r="O3623" s="31">
        <f t="shared" ref="O3623:O3634" si="4243">IF($F3623=16,$H3623*$B$29,0)</f>
        <v>0</v>
      </c>
      <c r="P3623" s="31">
        <f t="shared" ref="P3623:P3634" si="4244">IF($F3623=20,$H3623*$B$30,0)</f>
        <v>0</v>
      </c>
      <c r="Q3623" s="49">
        <f t="shared" ref="Q3623:Q3634" si="4245">IF($F3623=25,$H3623*$B$31,0)</f>
        <v>0</v>
      </c>
    </row>
    <row r="3624" spans="4:17" s="62" customFormat="1" x14ac:dyDescent="0.3">
      <c r="D3624" s="235">
        <v>6</v>
      </c>
      <c r="E3624" s="240">
        <v>3</v>
      </c>
      <c r="F3624" s="241">
        <v>8</v>
      </c>
      <c r="G3624" s="242">
        <v>0.98</v>
      </c>
      <c r="H3624" s="239">
        <f t="shared" si="4236"/>
        <v>2.94</v>
      </c>
      <c r="I3624" s="131">
        <f t="shared" si="4237"/>
        <v>0</v>
      </c>
      <c r="J3624" s="31">
        <f t="shared" si="4238"/>
        <v>0</v>
      </c>
      <c r="K3624" s="31">
        <f t="shared" si="4239"/>
        <v>0</v>
      </c>
      <c r="L3624" s="31">
        <f t="shared" si="4240"/>
        <v>1.1613</v>
      </c>
      <c r="M3624" s="31">
        <f t="shared" si="4241"/>
        <v>0</v>
      </c>
      <c r="N3624" s="31">
        <f t="shared" si="4242"/>
        <v>0</v>
      </c>
      <c r="O3624" s="31">
        <f t="shared" si="4243"/>
        <v>0</v>
      </c>
      <c r="P3624" s="31">
        <f t="shared" si="4244"/>
        <v>0</v>
      </c>
      <c r="Q3624" s="49">
        <f t="shared" si="4245"/>
        <v>0</v>
      </c>
    </row>
    <row r="3625" spans="4:17" s="62" customFormat="1" x14ac:dyDescent="0.3">
      <c r="D3625" s="235">
        <v>34</v>
      </c>
      <c r="E3625" s="240">
        <v>4</v>
      </c>
      <c r="F3625" s="241">
        <v>12.5</v>
      </c>
      <c r="G3625" s="242">
        <v>8.5399999999999991</v>
      </c>
      <c r="H3625" s="239">
        <f t="shared" si="4236"/>
        <v>34.159999999999997</v>
      </c>
      <c r="I3625" s="131">
        <f t="shared" si="4237"/>
        <v>0</v>
      </c>
      <c r="J3625" s="31">
        <f t="shared" si="4238"/>
        <v>0</v>
      </c>
      <c r="K3625" s="31">
        <f t="shared" si="4239"/>
        <v>0</v>
      </c>
      <c r="L3625" s="31">
        <f t="shared" si="4240"/>
        <v>0</v>
      </c>
      <c r="M3625" s="31">
        <f t="shared" si="4241"/>
        <v>0</v>
      </c>
      <c r="N3625" s="31">
        <f t="shared" si="4242"/>
        <v>32.896079999999998</v>
      </c>
      <c r="O3625" s="31">
        <f t="shared" si="4243"/>
        <v>0</v>
      </c>
      <c r="P3625" s="31">
        <f t="shared" si="4244"/>
        <v>0</v>
      </c>
      <c r="Q3625" s="49">
        <f t="shared" si="4245"/>
        <v>0</v>
      </c>
    </row>
    <row r="3626" spans="4:17" s="62" customFormat="1" x14ac:dyDescent="0.3">
      <c r="D3626" s="235">
        <v>35</v>
      </c>
      <c r="E3626" s="240">
        <v>1</v>
      </c>
      <c r="F3626" s="241">
        <v>12.5</v>
      </c>
      <c r="G3626" s="242">
        <v>2.7</v>
      </c>
      <c r="H3626" s="239">
        <f t="shared" si="4236"/>
        <v>2.7</v>
      </c>
      <c r="I3626" s="131">
        <f t="shared" si="4237"/>
        <v>0</v>
      </c>
      <c r="J3626" s="31">
        <f t="shared" si="4238"/>
        <v>0</v>
      </c>
      <c r="K3626" s="31">
        <f t="shared" si="4239"/>
        <v>0</v>
      </c>
      <c r="L3626" s="31">
        <f t="shared" si="4240"/>
        <v>0</v>
      </c>
      <c r="M3626" s="31">
        <f t="shared" si="4241"/>
        <v>0</v>
      </c>
      <c r="N3626" s="31">
        <f t="shared" si="4242"/>
        <v>2.6001000000000003</v>
      </c>
      <c r="O3626" s="31">
        <f t="shared" si="4243"/>
        <v>0</v>
      </c>
      <c r="P3626" s="31">
        <f t="shared" si="4244"/>
        <v>0</v>
      </c>
      <c r="Q3626" s="49">
        <f t="shared" si="4245"/>
        <v>0</v>
      </c>
    </row>
    <row r="3627" spans="4:17" s="62" customFormat="1" x14ac:dyDescent="0.3">
      <c r="D3627" s="235">
        <v>36</v>
      </c>
      <c r="E3627" s="240">
        <v>3</v>
      </c>
      <c r="F3627" s="241">
        <v>12.5</v>
      </c>
      <c r="G3627" s="242">
        <v>8.74</v>
      </c>
      <c r="H3627" s="239">
        <f t="shared" si="4236"/>
        <v>26.22</v>
      </c>
      <c r="I3627" s="131">
        <f t="shared" si="4237"/>
        <v>0</v>
      </c>
      <c r="J3627" s="31">
        <f t="shared" si="4238"/>
        <v>0</v>
      </c>
      <c r="K3627" s="31">
        <f t="shared" si="4239"/>
        <v>0</v>
      </c>
      <c r="L3627" s="31">
        <f t="shared" si="4240"/>
        <v>0</v>
      </c>
      <c r="M3627" s="31">
        <f t="shared" si="4241"/>
        <v>0</v>
      </c>
      <c r="N3627" s="31">
        <f t="shared" si="4242"/>
        <v>25.249859999999998</v>
      </c>
      <c r="O3627" s="31">
        <f t="shared" si="4243"/>
        <v>0</v>
      </c>
      <c r="P3627" s="31">
        <f t="shared" si="4244"/>
        <v>0</v>
      </c>
      <c r="Q3627" s="49">
        <f t="shared" si="4245"/>
        <v>0</v>
      </c>
    </row>
    <row r="3628" spans="4:17" s="62" customFormat="1" x14ac:dyDescent="0.3">
      <c r="D3628" s="235"/>
      <c r="E3628" s="240"/>
      <c r="F3628" s="241"/>
      <c r="G3628" s="242"/>
      <c r="H3628" s="239">
        <f t="shared" si="4236"/>
        <v>0</v>
      </c>
      <c r="I3628" s="131">
        <f t="shared" si="4237"/>
        <v>0</v>
      </c>
      <c r="J3628" s="31">
        <f t="shared" si="4238"/>
        <v>0</v>
      </c>
      <c r="K3628" s="31">
        <f t="shared" si="4239"/>
        <v>0</v>
      </c>
      <c r="L3628" s="31">
        <f t="shared" si="4240"/>
        <v>0</v>
      </c>
      <c r="M3628" s="31">
        <f t="shared" si="4241"/>
        <v>0</v>
      </c>
      <c r="N3628" s="31">
        <f t="shared" si="4242"/>
        <v>0</v>
      </c>
      <c r="O3628" s="31">
        <f t="shared" si="4243"/>
        <v>0</v>
      </c>
      <c r="P3628" s="31">
        <f t="shared" si="4244"/>
        <v>0</v>
      </c>
      <c r="Q3628" s="49">
        <f t="shared" si="4245"/>
        <v>0</v>
      </c>
    </row>
    <row r="3629" spans="4:17" s="62" customFormat="1" x14ac:dyDescent="0.3">
      <c r="D3629" s="235"/>
      <c r="E3629" s="240"/>
      <c r="F3629" s="241"/>
      <c r="G3629" s="242"/>
      <c r="H3629" s="239">
        <f t="shared" si="4236"/>
        <v>0</v>
      </c>
      <c r="I3629" s="131">
        <f t="shared" si="4237"/>
        <v>0</v>
      </c>
      <c r="J3629" s="31">
        <f t="shared" si="4238"/>
        <v>0</v>
      </c>
      <c r="K3629" s="31">
        <f t="shared" si="4239"/>
        <v>0</v>
      </c>
      <c r="L3629" s="31">
        <f t="shared" si="4240"/>
        <v>0</v>
      </c>
      <c r="M3629" s="31">
        <f t="shared" si="4241"/>
        <v>0</v>
      </c>
      <c r="N3629" s="31">
        <f t="shared" si="4242"/>
        <v>0</v>
      </c>
      <c r="O3629" s="31">
        <f t="shared" si="4243"/>
        <v>0</v>
      </c>
      <c r="P3629" s="31">
        <f t="shared" si="4244"/>
        <v>0</v>
      </c>
      <c r="Q3629" s="49">
        <f t="shared" si="4245"/>
        <v>0</v>
      </c>
    </row>
    <row r="3630" spans="4:17" s="62" customFormat="1" x14ac:dyDescent="0.3">
      <c r="D3630" s="235"/>
      <c r="E3630" s="240"/>
      <c r="F3630" s="241"/>
      <c r="G3630" s="242"/>
      <c r="H3630" s="239">
        <f t="shared" si="4236"/>
        <v>0</v>
      </c>
      <c r="I3630" s="131">
        <f t="shared" si="4237"/>
        <v>0</v>
      </c>
      <c r="J3630" s="31">
        <f t="shared" si="4238"/>
        <v>0</v>
      </c>
      <c r="K3630" s="31">
        <f t="shared" si="4239"/>
        <v>0</v>
      </c>
      <c r="L3630" s="31">
        <f t="shared" si="4240"/>
        <v>0</v>
      </c>
      <c r="M3630" s="31">
        <f t="shared" si="4241"/>
        <v>0</v>
      </c>
      <c r="N3630" s="31">
        <f t="shared" si="4242"/>
        <v>0</v>
      </c>
      <c r="O3630" s="31">
        <f t="shared" si="4243"/>
        <v>0</v>
      </c>
      <c r="P3630" s="31">
        <f t="shared" si="4244"/>
        <v>0</v>
      </c>
      <c r="Q3630" s="49">
        <f t="shared" si="4245"/>
        <v>0</v>
      </c>
    </row>
    <row r="3631" spans="4:17" s="62" customFormat="1" x14ac:dyDescent="0.3">
      <c r="D3631" s="235"/>
      <c r="E3631" s="240"/>
      <c r="F3631" s="241"/>
      <c r="G3631" s="242"/>
      <c r="H3631" s="239">
        <f t="shared" si="4236"/>
        <v>0</v>
      </c>
      <c r="I3631" s="131">
        <f t="shared" si="4237"/>
        <v>0</v>
      </c>
      <c r="J3631" s="31">
        <f t="shared" si="4238"/>
        <v>0</v>
      </c>
      <c r="K3631" s="31">
        <f t="shared" si="4239"/>
        <v>0</v>
      </c>
      <c r="L3631" s="31">
        <f t="shared" si="4240"/>
        <v>0</v>
      </c>
      <c r="M3631" s="31">
        <f t="shared" si="4241"/>
        <v>0</v>
      </c>
      <c r="N3631" s="31">
        <f t="shared" si="4242"/>
        <v>0</v>
      </c>
      <c r="O3631" s="31">
        <f t="shared" si="4243"/>
        <v>0</v>
      </c>
      <c r="P3631" s="31">
        <f t="shared" si="4244"/>
        <v>0</v>
      </c>
      <c r="Q3631" s="49">
        <f t="shared" si="4245"/>
        <v>0</v>
      </c>
    </row>
    <row r="3632" spans="4:17" s="62" customFormat="1" x14ac:dyDescent="0.3">
      <c r="D3632" s="235"/>
      <c r="E3632" s="240"/>
      <c r="F3632" s="241"/>
      <c r="G3632" s="242"/>
      <c r="H3632" s="239">
        <f t="shared" si="4236"/>
        <v>0</v>
      </c>
      <c r="I3632" s="131">
        <f t="shared" si="4237"/>
        <v>0</v>
      </c>
      <c r="J3632" s="31">
        <f t="shared" si="4238"/>
        <v>0</v>
      </c>
      <c r="K3632" s="31">
        <f t="shared" si="4239"/>
        <v>0</v>
      </c>
      <c r="L3632" s="31">
        <f t="shared" si="4240"/>
        <v>0</v>
      </c>
      <c r="M3632" s="31">
        <f t="shared" si="4241"/>
        <v>0</v>
      </c>
      <c r="N3632" s="31">
        <f t="shared" si="4242"/>
        <v>0</v>
      </c>
      <c r="O3632" s="31">
        <f t="shared" si="4243"/>
        <v>0</v>
      </c>
      <c r="P3632" s="31">
        <f t="shared" si="4244"/>
        <v>0</v>
      </c>
      <c r="Q3632" s="49">
        <f t="shared" si="4245"/>
        <v>0</v>
      </c>
    </row>
    <row r="3633" spans="4:17" s="62" customFormat="1" x14ac:dyDescent="0.3">
      <c r="D3633" s="235"/>
      <c r="E3633" s="240"/>
      <c r="F3633" s="241"/>
      <c r="G3633" s="242"/>
      <c r="H3633" s="239">
        <f t="shared" si="4236"/>
        <v>0</v>
      </c>
      <c r="I3633" s="131">
        <f t="shared" si="4237"/>
        <v>0</v>
      </c>
      <c r="J3633" s="31">
        <f t="shared" si="4238"/>
        <v>0</v>
      </c>
      <c r="K3633" s="31">
        <f t="shared" si="4239"/>
        <v>0</v>
      </c>
      <c r="L3633" s="31">
        <f t="shared" si="4240"/>
        <v>0</v>
      </c>
      <c r="M3633" s="31">
        <f t="shared" si="4241"/>
        <v>0</v>
      </c>
      <c r="N3633" s="31">
        <f t="shared" si="4242"/>
        <v>0</v>
      </c>
      <c r="O3633" s="31">
        <f t="shared" si="4243"/>
        <v>0</v>
      </c>
      <c r="P3633" s="31">
        <f t="shared" si="4244"/>
        <v>0</v>
      </c>
      <c r="Q3633" s="49">
        <f t="shared" si="4245"/>
        <v>0</v>
      </c>
    </row>
    <row r="3634" spans="4:17" s="62" customFormat="1" x14ac:dyDescent="0.3">
      <c r="D3634" s="235"/>
      <c r="E3634" s="240"/>
      <c r="F3634" s="241"/>
      <c r="G3634" s="242"/>
      <c r="H3634" s="239">
        <f t="shared" si="4236"/>
        <v>0</v>
      </c>
      <c r="I3634" s="131">
        <f t="shared" si="4237"/>
        <v>0</v>
      </c>
      <c r="J3634" s="31">
        <f t="shared" si="4238"/>
        <v>0</v>
      </c>
      <c r="K3634" s="31">
        <f t="shared" si="4239"/>
        <v>0</v>
      </c>
      <c r="L3634" s="31">
        <f t="shared" si="4240"/>
        <v>0</v>
      </c>
      <c r="M3634" s="31">
        <f t="shared" si="4241"/>
        <v>0</v>
      </c>
      <c r="N3634" s="31">
        <f t="shared" si="4242"/>
        <v>0</v>
      </c>
      <c r="O3634" s="31">
        <f t="shared" si="4243"/>
        <v>0</v>
      </c>
      <c r="P3634" s="31">
        <f t="shared" si="4244"/>
        <v>0</v>
      </c>
      <c r="Q3634" s="49">
        <f t="shared" si="4245"/>
        <v>0</v>
      </c>
    </row>
    <row r="3635" spans="4:17" s="62" customFormat="1" ht="15" thickBot="1" x14ac:dyDescent="0.35">
      <c r="D3635" s="307"/>
      <c r="E3635" s="26"/>
      <c r="F3635" s="206"/>
      <c r="G3635" s="207"/>
      <c r="H3635" s="207"/>
      <c r="I3635" s="51"/>
      <c r="J3635" s="308"/>
      <c r="K3635" s="308"/>
      <c r="L3635" s="308"/>
      <c r="M3635" s="308"/>
      <c r="N3635" s="308"/>
      <c r="O3635" s="308"/>
      <c r="P3635" s="308"/>
      <c r="Q3635" s="309"/>
    </row>
    <row r="3636" spans="4:17" s="62" customFormat="1" ht="15" thickBot="1" x14ac:dyDescent="0.35">
      <c r="D3636" s="792" t="s">
        <v>1985</v>
      </c>
      <c r="E3636" s="793"/>
      <c r="F3636" s="793"/>
      <c r="G3636" s="793"/>
      <c r="H3636" s="793"/>
      <c r="I3636" s="793"/>
      <c r="J3636" s="793"/>
      <c r="K3636" s="793"/>
      <c r="L3636" s="793"/>
      <c r="M3636" s="793"/>
      <c r="N3636" s="793"/>
      <c r="O3636" s="793"/>
      <c r="P3636" s="793"/>
      <c r="Q3636" s="794"/>
    </row>
    <row r="3637" spans="4:17" s="62" customFormat="1" x14ac:dyDescent="0.3">
      <c r="D3637" s="796" t="s">
        <v>2034</v>
      </c>
      <c r="E3637" s="797"/>
      <c r="F3637" s="797"/>
      <c r="G3637" s="797"/>
      <c r="H3637" s="797"/>
      <c r="I3637" s="47">
        <f t="shared" ref="I3637:Q3637" si="4246">SUM(I3638:I3649)</f>
        <v>0</v>
      </c>
      <c r="J3637" s="47">
        <f t="shared" si="4246"/>
        <v>18.566240000000001</v>
      </c>
      <c r="K3637" s="47">
        <f t="shared" si="4246"/>
        <v>0</v>
      </c>
      <c r="L3637" s="47">
        <f t="shared" si="4246"/>
        <v>2.4411</v>
      </c>
      <c r="M3637" s="47">
        <f t="shared" si="4246"/>
        <v>0</v>
      </c>
      <c r="N3637" s="47">
        <f t="shared" si="4246"/>
        <v>88.374510000000001</v>
      </c>
      <c r="O3637" s="47">
        <f t="shared" si="4246"/>
        <v>0</v>
      </c>
      <c r="P3637" s="47">
        <f t="shared" si="4246"/>
        <v>0</v>
      </c>
      <c r="Q3637" s="47">
        <f t="shared" si="4246"/>
        <v>0</v>
      </c>
    </row>
    <row r="3638" spans="4:17" s="62" customFormat="1" x14ac:dyDescent="0.3">
      <c r="D3638" s="235">
        <v>2</v>
      </c>
      <c r="E3638" s="237">
        <v>88</v>
      </c>
      <c r="F3638" s="238">
        <v>5</v>
      </c>
      <c r="G3638" s="239">
        <v>1.37</v>
      </c>
      <c r="H3638" s="239">
        <f t="shared" ref="H3638:H3649" si="4247">E3638*G3638</f>
        <v>120.56</v>
      </c>
      <c r="I3638" s="131">
        <f t="shared" ref="I3638:I3649" si="4248">IF($F3638=4.2,H3638*$B$23,0)</f>
        <v>0</v>
      </c>
      <c r="J3638" s="31">
        <f t="shared" ref="J3638:J3649" si="4249">IF($F3638=5,$H3638*$B$24,0)</f>
        <v>18.566240000000001</v>
      </c>
      <c r="K3638" s="31">
        <f t="shared" ref="K3638:K3649" si="4250">IF($F3638=6.3,$H3638*$B$25,0)</f>
        <v>0</v>
      </c>
      <c r="L3638" s="31">
        <f t="shared" ref="L3638:L3649" si="4251">IF($F3638=8,$H3638*$B$26,0)</f>
        <v>0</v>
      </c>
      <c r="M3638" s="31">
        <f t="shared" ref="M3638:M3649" si="4252">IF($F3638=10,$H3638*$B$27,0)</f>
        <v>0</v>
      </c>
      <c r="N3638" s="31">
        <f t="shared" ref="N3638:N3649" si="4253">IF($F3638=12.5,$H3638*$B$28,0)</f>
        <v>0</v>
      </c>
      <c r="O3638" s="31">
        <f t="shared" ref="O3638:O3649" si="4254">IF($F3638=16,$H3638*$B$29,0)</f>
        <v>0</v>
      </c>
      <c r="P3638" s="31">
        <f t="shared" ref="P3638:P3649" si="4255">IF($F3638=20,$H3638*$B$30,0)</f>
        <v>0</v>
      </c>
      <c r="Q3638" s="49">
        <f t="shared" ref="Q3638:Q3649" si="4256">IF($F3638=25,$H3638*$B$31,0)</f>
        <v>0</v>
      </c>
    </row>
    <row r="3639" spans="4:17" s="62" customFormat="1" x14ac:dyDescent="0.3">
      <c r="D3639" s="235">
        <v>15</v>
      </c>
      <c r="E3639" s="240">
        <v>6</v>
      </c>
      <c r="F3639" s="241">
        <v>8</v>
      </c>
      <c r="G3639" s="242">
        <v>1.03</v>
      </c>
      <c r="H3639" s="239">
        <f t="shared" si="4247"/>
        <v>6.18</v>
      </c>
      <c r="I3639" s="131">
        <f t="shared" si="4248"/>
        <v>0</v>
      </c>
      <c r="J3639" s="31">
        <f t="shared" si="4249"/>
        <v>0</v>
      </c>
      <c r="K3639" s="31">
        <f t="shared" si="4250"/>
        <v>0</v>
      </c>
      <c r="L3639" s="31">
        <f t="shared" si="4251"/>
        <v>2.4411</v>
      </c>
      <c r="M3639" s="31">
        <f t="shared" si="4252"/>
        <v>0</v>
      </c>
      <c r="N3639" s="31">
        <f t="shared" si="4253"/>
        <v>0</v>
      </c>
      <c r="O3639" s="31">
        <f t="shared" si="4254"/>
        <v>0</v>
      </c>
      <c r="P3639" s="31">
        <f t="shared" si="4255"/>
        <v>0</v>
      </c>
      <c r="Q3639" s="49">
        <f t="shared" si="4256"/>
        <v>0</v>
      </c>
    </row>
    <row r="3640" spans="4:17" s="62" customFormat="1" x14ac:dyDescent="0.3">
      <c r="D3640" s="235">
        <v>21</v>
      </c>
      <c r="E3640" s="240">
        <v>5</v>
      </c>
      <c r="F3640" s="241">
        <v>12.5</v>
      </c>
      <c r="G3640" s="242">
        <v>4.46</v>
      </c>
      <c r="H3640" s="239">
        <f t="shared" si="4247"/>
        <v>22.3</v>
      </c>
      <c r="I3640" s="131">
        <f t="shared" si="4248"/>
        <v>0</v>
      </c>
      <c r="J3640" s="31">
        <f t="shared" si="4249"/>
        <v>0</v>
      </c>
      <c r="K3640" s="31">
        <f t="shared" si="4250"/>
        <v>0</v>
      </c>
      <c r="L3640" s="31">
        <f t="shared" si="4251"/>
        <v>0</v>
      </c>
      <c r="M3640" s="31">
        <f t="shared" si="4252"/>
        <v>0</v>
      </c>
      <c r="N3640" s="31">
        <f t="shared" si="4253"/>
        <v>21.474900000000002</v>
      </c>
      <c r="O3640" s="31">
        <f t="shared" si="4254"/>
        <v>0</v>
      </c>
      <c r="P3640" s="31">
        <f t="shared" si="4255"/>
        <v>0</v>
      </c>
      <c r="Q3640" s="49">
        <f t="shared" si="4256"/>
        <v>0</v>
      </c>
    </row>
    <row r="3641" spans="4:17" s="62" customFormat="1" x14ac:dyDescent="0.3">
      <c r="D3641" s="235">
        <v>22</v>
      </c>
      <c r="E3641" s="240">
        <v>1</v>
      </c>
      <c r="F3641" s="241">
        <v>12.5</v>
      </c>
      <c r="G3641" s="242">
        <v>3.15</v>
      </c>
      <c r="H3641" s="239">
        <f t="shared" si="4247"/>
        <v>3.15</v>
      </c>
      <c r="I3641" s="131">
        <f t="shared" si="4248"/>
        <v>0</v>
      </c>
      <c r="J3641" s="31">
        <f t="shared" si="4249"/>
        <v>0</v>
      </c>
      <c r="K3641" s="31">
        <f t="shared" si="4250"/>
        <v>0</v>
      </c>
      <c r="L3641" s="31">
        <f t="shared" si="4251"/>
        <v>0</v>
      </c>
      <c r="M3641" s="31">
        <f t="shared" si="4252"/>
        <v>0</v>
      </c>
      <c r="N3641" s="31">
        <f t="shared" si="4253"/>
        <v>3.0334499999999998</v>
      </c>
      <c r="O3641" s="31">
        <f t="shared" si="4254"/>
        <v>0</v>
      </c>
      <c r="P3641" s="31">
        <f t="shared" si="4255"/>
        <v>0</v>
      </c>
      <c r="Q3641" s="49">
        <f t="shared" si="4256"/>
        <v>0</v>
      </c>
    </row>
    <row r="3642" spans="4:17" s="62" customFormat="1" x14ac:dyDescent="0.3">
      <c r="D3642" s="235">
        <v>23</v>
      </c>
      <c r="E3642" s="240">
        <v>3</v>
      </c>
      <c r="F3642" s="241">
        <v>12.5</v>
      </c>
      <c r="G3642" s="242">
        <v>8.2200000000000006</v>
      </c>
      <c r="H3642" s="239">
        <f t="shared" si="4247"/>
        <v>24.660000000000004</v>
      </c>
      <c r="I3642" s="131">
        <f t="shared" si="4248"/>
        <v>0</v>
      </c>
      <c r="J3642" s="31">
        <f t="shared" si="4249"/>
        <v>0</v>
      </c>
      <c r="K3642" s="31">
        <f t="shared" si="4250"/>
        <v>0</v>
      </c>
      <c r="L3642" s="31">
        <f t="shared" si="4251"/>
        <v>0</v>
      </c>
      <c r="M3642" s="31">
        <f t="shared" si="4252"/>
        <v>0</v>
      </c>
      <c r="N3642" s="31">
        <f t="shared" si="4253"/>
        <v>23.747580000000003</v>
      </c>
      <c r="O3642" s="31">
        <f t="shared" si="4254"/>
        <v>0</v>
      </c>
      <c r="P3642" s="31">
        <f t="shared" si="4255"/>
        <v>0</v>
      </c>
      <c r="Q3642" s="49">
        <f t="shared" si="4256"/>
        <v>0</v>
      </c>
    </row>
    <row r="3643" spans="4:17" s="62" customFormat="1" x14ac:dyDescent="0.3">
      <c r="D3643" s="235">
        <v>24</v>
      </c>
      <c r="E3643" s="240">
        <v>2</v>
      </c>
      <c r="F3643" s="241">
        <v>12.5</v>
      </c>
      <c r="G3643" s="242">
        <v>7.25</v>
      </c>
      <c r="H3643" s="239">
        <f t="shared" si="4247"/>
        <v>14.5</v>
      </c>
      <c r="I3643" s="131">
        <f t="shared" si="4248"/>
        <v>0</v>
      </c>
      <c r="J3643" s="31">
        <f t="shared" si="4249"/>
        <v>0</v>
      </c>
      <c r="K3643" s="31">
        <f t="shared" si="4250"/>
        <v>0</v>
      </c>
      <c r="L3643" s="31">
        <f t="shared" si="4251"/>
        <v>0</v>
      </c>
      <c r="M3643" s="31">
        <f t="shared" si="4252"/>
        <v>0</v>
      </c>
      <c r="N3643" s="31">
        <f t="shared" si="4253"/>
        <v>13.9635</v>
      </c>
      <c r="O3643" s="31">
        <f t="shared" si="4254"/>
        <v>0</v>
      </c>
      <c r="P3643" s="31">
        <f t="shared" si="4255"/>
        <v>0</v>
      </c>
      <c r="Q3643" s="49">
        <f t="shared" si="4256"/>
        <v>0</v>
      </c>
    </row>
    <row r="3644" spans="4:17" s="62" customFormat="1" x14ac:dyDescent="0.3">
      <c r="D3644" s="235">
        <v>25</v>
      </c>
      <c r="E3644" s="240">
        <v>2</v>
      </c>
      <c r="F3644" s="241">
        <v>12.5</v>
      </c>
      <c r="G3644" s="242">
        <v>11.22</v>
      </c>
      <c r="H3644" s="239">
        <f t="shared" si="4247"/>
        <v>22.44</v>
      </c>
      <c r="I3644" s="131">
        <f t="shared" si="4248"/>
        <v>0</v>
      </c>
      <c r="J3644" s="31">
        <f t="shared" si="4249"/>
        <v>0</v>
      </c>
      <c r="K3644" s="31">
        <f t="shared" si="4250"/>
        <v>0</v>
      </c>
      <c r="L3644" s="31">
        <f t="shared" si="4251"/>
        <v>0</v>
      </c>
      <c r="M3644" s="31">
        <f t="shared" si="4252"/>
        <v>0</v>
      </c>
      <c r="N3644" s="31">
        <f t="shared" si="4253"/>
        <v>21.609719999999999</v>
      </c>
      <c r="O3644" s="31">
        <f t="shared" si="4254"/>
        <v>0</v>
      </c>
      <c r="P3644" s="31">
        <f t="shared" si="4255"/>
        <v>0</v>
      </c>
      <c r="Q3644" s="49">
        <f t="shared" si="4256"/>
        <v>0</v>
      </c>
    </row>
    <row r="3645" spans="4:17" s="62" customFormat="1" x14ac:dyDescent="0.3">
      <c r="D3645" s="235">
        <v>26</v>
      </c>
      <c r="E3645" s="240">
        <v>2</v>
      </c>
      <c r="F3645" s="241">
        <v>12.5</v>
      </c>
      <c r="G3645" s="242">
        <v>2.36</v>
      </c>
      <c r="H3645" s="239">
        <f t="shared" si="4247"/>
        <v>4.72</v>
      </c>
      <c r="I3645" s="131">
        <f t="shared" si="4248"/>
        <v>0</v>
      </c>
      <c r="J3645" s="31">
        <f t="shared" si="4249"/>
        <v>0</v>
      </c>
      <c r="K3645" s="31">
        <f t="shared" si="4250"/>
        <v>0</v>
      </c>
      <c r="L3645" s="31">
        <f t="shared" si="4251"/>
        <v>0</v>
      </c>
      <c r="M3645" s="31">
        <f t="shared" si="4252"/>
        <v>0</v>
      </c>
      <c r="N3645" s="31">
        <f t="shared" si="4253"/>
        <v>4.5453599999999996</v>
      </c>
      <c r="O3645" s="31">
        <f t="shared" si="4254"/>
        <v>0</v>
      </c>
      <c r="P3645" s="31">
        <f t="shared" si="4255"/>
        <v>0</v>
      </c>
      <c r="Q3645" s="49">
        <f t="shared" si="4256"/>
        <v>0</v>
      </c>
    </row>
    <row r="3646" spans="4:17" s="62" customFormat="1" x14ac:dyDescent="0.3">
      <c r="D3646" s="235"/>
      <c r="E3646" s="240"/>
      <c r="F3646" s="241"/>
      <c r="G3646" s="242"/>
      <c r="H3646" s="239">
        <f t="shared" si="4247"/>
        <v>0</v>
      </c>
      <c r="I3646" s="131">
        <f t="shared" si="4248"/>
        <v>0</v>
      </c>
      <c r="J3646" s="31">
        <f t="shared" si="4249"/>
        <v>0</v>
      </c>
      <c r="K3646" s="31">
        <f t="shared" si="4250"/>
        <v>0</v>
      </c>
      <c r="L3646" s="31">
        <f t="shared" si="4251"/>
        <v>0</v>
      </c>
      <c r="M3646" s="31">
        <f t="shared" si="4252"/>
        <v>0</v>
      </c>
      <c r="N3646" s="31">
        <f t="shared" si="4253"/>
        <v>0</v>
      </c>
      <c r="O3646" s="31">
        <f t="shared" si="4254"/>
        <v>0</v>
      </c>
      <c r="P3646" s="31">
        <f t="shared" si="4255"/>
        <v>0</v>
      </c>
      <c r="Q3646" s="49">
        <f t="shared" si="4256"/>
        <v>0</v>
      </c>
    </row>
    <row r="3647" spans="4:17" s="62" customFormat="1" x14ac:dyDescent="0.3">
      <c r="D3647" s="235"/>
      <c r="E3647" s="240"/>
      <c r="F3647" s="241"/>
      <c r="G3647" s="242"/>
      <c r="H3647" s="239">
        <f t="shared" si="4247"/>
        <v>0</v>
      </c>
      <c r="I3647" s="131">
        <f t="shared" si="4248"/>
        <v>0</v>
      </c>
      <c r="J3647" s="31">
        <f t="shared" si="4249"/>
        <v>0</v>
      </c>
      <c r="K3647" s="31">
        <f t="shared" si="4250"/>
        <v>0</v>
      </c>
      <c r="L3647" s="31">
        <f t="shared" si="4251"/>
        <v>0</v>
      </c>
      <c r="M3647" s="31">
        <f t="shared" si="4252"/>
        <v>0</v>
      </c>
      <c r="N3647" s="31">
        <f t="shared" si="4253"/>
        <v>0</v>
      </c>
      <c r="O3647" s="31">
        <f t="shared" si="4254"/>
        <v>0</v>
      </c>
      <c r="P3647" s="31">
        <f t="shared" si="4255"/>
        <v>0</v>
      </c>
      <c r="Q3647" s="49">
        <f t="shared" si="4256"/>
        <v>0</v>
      </c>
    </row>
    <row r="3648" spans="4:17" s="62" customFormat="1" x14ac:dyDescent="0.3">
      <c r="D3648" s="235"/>
      <c r="E3648" s="240"/>
      <c r="F3648" s="241"/>
      <c r="G3648" s="242"/>
      <c r="H3648" s="239">
        <f t="shared" si="4247"/>
        <v>0</v>
      </c>
      <c r="I3648" s="131">
        <f t="shared" si="4248"/>
        <v>0</v>
      </c>
      <c r="J3648" s="31">
        <f t="shared" si="4249"/>
        <v>0</v>
      </c>
      <c r="K3648" s="31">
        <f t="shared" si="4250"/>
        <v>0</v>
      </c>
      <c r="L3648" s="31">
        <f t="shared" si="4251"/>
        <v>0</v>
      </c>
      <c r="M3648" s="31">
        <f t="shared" si="4252"/>
        <v>0</v>
      </c>
      <c r="N3648" s="31">
        <f t="shared" si="4253"/>
        <v>0</v>
      </c>
      <c r="O3648" s="31">
        <f t="shared" si="4254"/>
        <v>0</v>
      </c>
      <c r="P3648" s="31">
        <f t="shared" si="4255"/>
        <v>0</v>
      </c>
      <c r="Q3648" s="49">
        <f t="shared" si="4256"/>
        <v>0</v>
      </c>
    </row>
    <row r="3649" spans="4:17" s="62" customFormat="1" x14ac:dyDescent="0.3">
      <c r="D3649" s="235"/>
      <c r="E3649" s="240"/>
      <c r="F3649" s="241"/>
      <c r="G3649" s="242"/>
      <c r="H3649" s="239">
        <f t="shared" si="4247"/>
        <v>0</v>
      </c>
      <c r="I3649" s="131">
        <f t="shared" si="4248"/>
        <v>0</v>
      </c>
      <c r="J3649" s="31">
        <f t="shared" si="4249"/>
        <v>0</v>
      </c>
      <c r="K3649" s="31">
        <f t="shared" si="4250"/>
        <v>0</v>
      </c>
      <c r="L3649" s="31">
        <f t="shared" si="4251"/>
        <v>0</v>
      </c>
      <c r="M3649" s="31">
        <f t="shared" si="4252"/>
        <v>0</v>
      </c>
      <c r="N3649" s="31">
        <f t="shared" si="4253"/>
        <v>0</v>
      </c>
      <c r="O3649" s="31">
        <f t="shared" si="4254"/>
        <v>0</v>
      </c>
      <c r="P3649" s="31">
        <f t="shared" si="4255"/>
        <v>0</v>
      </c>
      <c r="Q3649" s="49">
        <f t="shared" si="4256"/>
        <v>0</v>
      </c>
    </row>
    <row r="3650" spans="4:17" s="62" customFormat="1" ht="15" thickBot="1" x14ac:dyDescent="0.35">
      <c r="D3650" s="307"/>
      <c r="E3650" s="26"/>
      <c r="F3650" s="206"/>
      <c r="G3650" s="207"/>
      <c r="H3650" s="207"/>
      <c r="I3650" s="51"/>
      <c r="J3650" s="308"/>
      <c r="K3650" s="308"/>
      <c r="L3650" s="308"/>
      <c r="M3650" s="308"/>
      <c r="N3650" s="308"/>
      <c r="O3650" s="308"/>
      <c r="P3650" s="308"/>
      <c r="Q3650" s="309"/>
    </row>
    <row r="3651" spans="4:17" s="62" customFormat="1" x14ac:dyDescent="0.3">
      <c r="D3651" s="796" t="s">
        <v>2035</v>
      </c>
      <c r="E3651" s="797"/>
      <c r="F3651" s="797"/>
      <c r="G3651" s="797"/>
      <c r="H3651" s="797"/>
      <c r="I3651" s="47">
        <f t="shared" ref="I3651:Q3651" si="4257">SUM(I3652:I3656)</f>
        <v>0</v>
      </c>
      <c r="J3651" s="47">
        <f t="shared" si="4257"/>
        <v>4.6939200000000003</v>
      </c>
      <c r="K3651" s="47">
        <f t="shared" si="4257"/>
        <v>0.35769999999999996</v>
      </c>
      <c r="L3651" s="47">
        <f t="shared" si="4257"/>
        <v>0</v>
      </c>
      <c r="M3651" s="47">
        <f t="shared" si="4257"/>
        <v>0</v>
      </c>
      <c r="N3651" s="47">
        <f t="shared" si="4257"/>
        <v>22.601609999999997</v>
      </c>
      <c r="O3651" s="47">
        <f t="shared" si="4257"/>
        <v>0</v>
      </c>
      <c r="P3651" s="47">
        <f t="shared" si="4257"/>
        <v>0</v>
      </c>
      <c r="Q3651" s="47">
        <f t="shared" si="4257"/>
        <v>0</v>
      </c>
    </row>
    <row r="3652" spans="4:17" s="62" customFormat="1" x14ac:dyDescent="0.3">
      <c r="D3652" s="235">
        <v>1</v>
      </c>
      <c r="E3652" s="237">
        <v>24</v>
      </c>
      <c r="F3652" s="238">
        <v>5</v>
      </c>
      <c r="G3652" s="239">
        <v>1.27</v>
      </c>
      <c r="H3652" s="239">
        <f t="shared" ref="H3652:H3656" si="4258">E3652*G3652</f>
        <v>30.48</v>
      </c>
      <c r="I3652" s="131">
        <f t="shared" ref="I3652:I3656" si="4259">IF($F3652=4.2,H3652*$B$23,0)</f>
        <v>0</v>
      </c>
      <c r="J3652" s="31">
        <f t="shared" ref="J3652:J3656" si="4260">IF($F3652=5,$H3652*$B$24,0)</f>
        <v>4.6939200000000003</v>
      </c>
      <c r="K3652" s="31">
        <f t="shared" ref="K3652:K3656" si="4261">IF($F3652=6.3,$H3652*$B$25,0)</f>
        <v>0</v>
      </c>
      <c r="L3652" s="31">
        <f t="shared" ref="L3652:L3656" si="4262">IF($F3652=8,$H3652*$B$26,0)</f>
        <v>0</v>
      </c>
      <c r="M3652" s="31">
        <f t="shared" ref="M3652:M3656" si="4263">IF($F3652=10,$H3652*$B$27,0)</f>
        <v>0</v>
      </c>
      <c r="N3652" s="31">
        <f t="shared" ref="N3652:N3656" si="4264">IF($F3652=12.5,$H3652*$B$28,0)</f>
        <v>0</v>
      </c>
      <c r="O3652" s="31">
        <f t="shared" ref="O3652:O3656" si="4265">IF($F3652=16,$H3652*$B$29,0)</f>
        <v>0</v>
      </c>
      <c r="P3652" s="31">
        <f t="shared" ref="P3652:P3656" si="4266">IF($F3652=20,$H3652*$B$30,0)</f>
        <v>0</v>
      </c>
      <c r="Q3652" s="49">
        <f t="shared" ref="Q3652:Q3656" si="4267">IF($F3652=25,$H3652*$B$31,0)</f>
        <v>0</v>
      </c>
    </row>
    <row r="3653" spans="4:17" s="62" customFormat="1" x14ac:dyDescent="0.3">
      <c r="D3653" s="235">
        <v>4</v>
      </c>
      <c r="E3653" s="240">
        <v>1</v>
      </c>
      <c r="F3653" s="241">
        <v>6.3</v>
      </c>
      <c r="G3653" s="242">
        <v>1.46</v>
      </c>
      <c r="H3653" s="239">
        <f t="shared" si="4258"/>
        <v>1.46</v>
      </c>
      <c r="I3653" s="131">
        <f t="shared" si="4259"/>
        <v>0</v>
      </c>
      <c r="J3653" s="31">
        <f t="shared" si="4260"/>
        <v>0</v>
      </c>
      <c r="K3653" s="31">
        <f t="shared" si="4261"/>
        <v>0.35769999999999996</v>
      </c>
      <c r="L3653" s="31">
        <f t="shared" si="4262"/>
        <v>0</v>
      </c>
      <c r="M3653" s="31">
        <f t="shared" si="4263"/>
        <v>0</v>
      </c>
      <c r="N3653" s="31">
        <f t="shared" si="4264"/>
        <v>0</v>
      </c>
      <c r="O3653" s="31">
        <f t="shared" si="4265"/>
        <v>0</v>
      </c>
      <c r="P3653" s="31">
        <f t="shared" si="4266"/>
        <v>0</v>
      </c>
      <c r="Q3653" s="49">
        <f t="shared" si="4267"/>
        <v>0</v>
      </c>
    </row>
    <row r="3654" spans="4:17" s="62" customFormat="1" x14ac:dyDescent="0.3">
      <c r="D3654" s="235">
        <v>27</v>
      </c>
      <c r="E3654" s="240">
        <v>2</v>
      </c>
      <c r="F3654" s="241">
        <v>12.5</v>
      </c>
      <c r="G3654" s="242">
        <v>5.31</v>
      </c>
      <c r="H3654" s="239">
        <f t="shared" si="4258"/>
        <v>10.62</v>
      </c>
      <c r="I3654" s="131">
        <f t="shared" si="4259"/>
        <v>0</v>
      </c>
      <c r="J3654" s="31">
        <f t="shared" si="4260"/>
        <v>0</v>
      </c>
      <c r="K3654" s="31">
        <f t="shared" si="4261"/>
        <v>0</v>
      </c>
      <c r="L3654" s="31">
        <f t="shared" si="4262"/>
        <v>0</v>
      </c>
      <c r="M3654" s="31">
        <f t="shared" si="4263"/>
        <v>0</v>
      </c>
      <c r="N3654" s="31">
        <f t="shared" si="4264"/>
        <v>10.227059999999998</v>
      </c>
      <c r="O3654" s="31">
        <f t="shared" si="4265"/>
        <v>0</v>
      </c>
      <c r="P3654" s="31">
        <f t="shared" si="4266"/>
        <v>0</v>
      </c>
      <c r="Q3654" s="49">
        <f t="shared" si="4267"/>
        <v>0</v>
      </c>
    </row>
    <row r="3655" spans="4:17" s="62" customFormat="1" x14ac:dyDescent="0.3">
      <c r="D3655" s="235">
        <v>28</v>
      </c>
      <c r="E3655" s="240">
        <v>1</v>
      </c>
      <c r="F3655" s="241">
        <v>12.5</v>
      </c>
      <c r="G3655" s="242">
        <v>2.27</v>
      </c>
      <c r="H3655" s="239">
        <f t="shared" si="4258"/>
        <v>2.27</v>
      </c>
      <c r="I3655" s="131">
        <f t="shared" si="4259"/>
        <v>0</v>
      </c>
      <c r="J3655" s="31">
        <f t="shared" si="4260"/>
        <v>0</v>
      </c>
      <c r="K3655" s="31">
        <f t="shared" si="4261"/>
        <v>0</v>
      </c>
      <c r="L3655" s="31">
        <f t="shared" si="4262"/>
        <v>0</v>
      </c>
      <c r="M3655" s="31">
        <f t="shared" si="4263"/>
        <v>0</v>
      </c>
      <c r="N3655" s="31">
        <f t="shared" si="4264"/>
        <v>2.18601</v>
      </c>
      <c r="O3655" s="31">
        <f t="shared" si="4265"/>
        <v>0</v>
      </c>
      <c r="P3655" s="31">
        <f t="shared" si="4266"/>
        <v>0</v>
      </c>
      <c r="Q3655" s="49">
        <f t="shared" si="4267"/>
        <v>0</v>
      </c>
    </row>
    <row r="3656" spans="4:17" s="62" customFormat="1" x14ac:dyDescent="0.3">
      <c r="D3656" s="235">
        <v>29</v>
      </c>
      <c r="E3656" s="240">
        <v>2</v>
      </c>
      <c r="F3656" s="241">
        <v>12.5</v>
      </c>
      <c r="G3656" s="242">
        <v>5.29</v>
      </c>
      <c r="H3656" s="239">
        <f t="shared" si="4258"/>
        <v>10.58</v>
      </c>
      <c r="I3656" s="131">
        <f t="shared" si="4259"/>
        <v>0</v>
      </c>
      <c r="J3656" s="31">
        <f t="shared" si="4260"/>
        <v>0</v>
      </c>
      <c r="K3656" s="31">
        <f t="shared" si="4261"/>
        <v>0</v>
      </c>
      <c r="L3656" s="31">
        <f t="shared" si="4262"/>
        <v>0</v>
      </c>
      <c r="M3656" s="31">
        <f t="shared" si="4263"/>
        <v>0</v>
      </c>
      <c r="N3656" s="31">
        <f t="shared" si="4264"/>
        <v>10.18854</v>
      </c>
      <c r="O3656" s="31">
        <f t="shared" si="4265"/>
        <v>0</v>
      </c>
      <c r="P3656" s="31">
        <f t="shared" si="4266"/>
        <v>0</v>
      </c>
      <c r="Q3656" s="49">
        <f t="shared" si="4267"/>
        <v>0</v>
      </c>
    </row>
    <row r="3657" spans="4:17" s="62" customFormat="1" ht="15" thickBot="1" x14ac:dyDescent="0.35">
      <c r="D3657" s="307"/>
      <c r="E3657" s="26"/>
      <c r="F3657" s="206"/>
      <c r="G3657" s="207"/>
      <c r="H3657" s="207"/>
      <c r="I3657" s="51"/>
      <c r="J3657" s="308"/>
      <c r="K3657" s="308"/>
      <c r="L3657" s="308"/>
      <c r="M3657" s="308"/>
      <c r="N3657" s="308"/>
      <c r="O3657" s="308"/>
      <c r="P3657" s="308"/>
      <c r="Q3657" s="309"/>
    </row>
    <row r="3658" spans="4:17" s="62" customFormat="1" x14ac:dyDescent="0.3">
      <c r="D3658" s="796" t="s">
        <v>2036</v>
      </c>
      <c r="E3658" s="797"/>
      <c r="F3658" s="797"/>
      <c r="G3658" s="797"/>
      <c r="H3658" s="797"/>
      <c r="I3658" s="47">
        <f t="shared" ref="I3658:Q3658" si="4268">SUM(I3659:I3661)</f>
        <v>0</v>
      </c>
      <c r="J3658" s="47">
        <f t="shared" si="4268"/>
        <v>2.6888399999999999</v>
      </c>
      <c r="K3658" s="47">
        <f t="shared" si="4268"/>
        <v>0</v>
      </c>
      <c r="L3658" s="47">
        <f t="shared" si="4268"/>
        <v>0</v>
      </c>
      <c r="M3658" s="47">
        <f t="shared" si="4268"/>
        <v>5.2815200000000004</v>
      </c>
      <c r="N3658" s="47">
        <f t="shared" si="4268"/>
        <v>7.8773399999999993</v>
      </c>
      <c r="O3658" s="47">
        <f t="shared" si="4268"/>
        <v>0</v>
      </c>
      <c r="P3658" s="47">
        <f t="shared" si="4268"/>
        <v>0</v>
      </c>
      <c r="Q3658" s="47">
        <f t="shared" si="4268"/>
        <v>0</v>
      </c>
    </row>
    <row r="3659" spans="4:17" s="62" customFormat="1" x14ac:dyDescent="0.3">
      <c r="D3659" s="235">
        <v>2</v>
      </c>
      <c r="E3659" s="237">
        <v>18</v>
      </c>
      <c r="F3659" s="238">
        <v>5</v>
      </c>
      <c r="G3659" s="239">
        <v>0.97</v>
      </c>
      <c r="H3659" s="239">
        <f t="shared" ref="H3659:H3661" si="4269">E3659*G3659</f>
        <v>17.46</v>
      </c>
      <c r="I3659" s="131">
        <f t="shared" ref="I3659:I3661" si="4270">IF($F3659=4.2,H3659*$B$23,0)</f>
        <v>0</v>
      </c>
      <c r="J3659" s="31">
        <f t="shared" ref="J3659:J3661" si="4271">IF($F3659=5,$H3659*$B$24,0)</f>
        <v>2.6888399999999999</v>
      </c>
      <c r="K3659" s="31">
        <f t="shared" ref="K3659:K3661" si="4272">IF($F3659=6.3,$H3659*$B$25,0)</f>
        <v>0</v>
      </c>
      <c r="L3659" s="31">
        <f t="shared" ref="L3659:L3661" si="4273">IF($F3659=8,$H3659*$B$26,0)</f>
        <v>0</v>
      </c>
      <c r="M3659" s="31">
        <f t="shared" ref="M3659:M3661" si="4274">IF($F3659=10,$H3659*$B$27,0)</f>
        <v>0</v>
      </c>
      <c r="N3659" s="31">
        <f t="shared" ref="N3659:N3661" si="4275">IF($F3659=12.5,$H3659*$B$28,0)</f>
        <v>0</v>
      </c>
      <c r="O3659" s="31">
        <f t="shared" ref="O3659:O3661" si="4276">IF($F3659=16,$H3659*$B$29,0)</f>
        <v>0</v>
      </c>
      <c r="P3659" s="31">
        <f t="shared" ref="P3659:P3661" si="4277">IF($F3659=20,$H3659*$B$30,0)</f>
        <v>0</v>
      </c>
      <c r="Q3659" s="49">
        <f t="shared" ref="Q3659:Q3661" si="4278">IF($F3659=25,$H3659*$B$31,0)</f>
        <v>0</v>
      </c>
    </row>
    <row r="3660" spans="4:17" s="62" customFormat="1" x14ac:dyDescent="0.3">
      <c r="D3660" s="235">
        <v>20</v>
      </c>
      <c r="E3660" s="240">
        <v>2</v>
      </c>
      <c r="F3660" s="241">
        <v>10</v>
      </c>
      <c r="G3660" s="242">
        <v>4.28</v>
      </c>
      <c r="H3660" s="239">
        <f t="shared" si="4269"/>
        <v>8.56</v>
      </c>
      <c r="I3660" s="131">
        <f t="shared" si="4270"/>
        <v>0</v>
      </c>
      <c r="J3660" s="31">
        <f t="shared" si="4271"/>
        <v>0</v>
      </c>
      <c r="K3660" s="31">
        <f t="shared" si="4272"/>
        <v>0</v>
      </c>
      <c r="L3660" s="31">
        <f t="shared" si="4273"/>
        <v>0</v>
      </c>
      <c r="M3660" s="31">
        <f t="shared" si="4274"/>
        <v>5.2815200000000004</v>
      </c>
      <c r="N3660" s="31">
        <f t="shared" si="4275"/>
        <v>0</v>
      </c>
      <c r="O3660" s="31">
        <f t="shared" si="4276"/>
        <v>0</v>
      </c>
      <c r="P3660" s="31">
        <f t="shared" si="4277"/>
        <v>0</v>
      </c>
      <c r="Q3660" s="49">
        <f t="shared" si="4278"/>
        <v>0</v>
      </c>
    </row>
    <row r="3661" spans="4:17" s="62" customFormat="1" x14ac:dyDescent="0.3">
      <c r="D3661" s="235">
        <v>30</v>
      </c>
      <c r="E3661" s="240">
        <v>2</v>
      </c>
      <c r="F3661" s="241">
        <v>12.5</v>
      </c>
      <c r="G3661" s="242">
        <v>4.09</v>
      </c>
      <c r="H3661" s="239">
        <f t="shared" si="4269"/>
        <v>8.18</v>
      </c>
      <c r="I3661" s="131">
        <f t="shared" si="4270"/>
        <v>0</v>
      </c>
      <c r="J3661" s="31">
        <f t="shared" si="4271"/>
        <v>0</v>
      </c>
      <c r="K3661" s="31">
        <f t="shared" si="4272"/>
        <v>0</v>
      </c>
      <c r="L3661" s="31">
        <f t="shared" si="4273"/>
        <v>0</v>
      </c>
      <c r="M3661" s="31">
        <f t="shared" si="4274"/>
        <v>0</v>
      </c>
      <c r="N3661" s="31">
        <f t="shared" si="4275"/>
        <v>7.8773399999999993</v>
      </c>
      <c r="O3661" s="31">
        <f t="shared" si="4276"/>
        <v>0</v>
      </c>
      <c r="P3661" s="31">
        <f t="shared" si="4277"/>
        <v>0</v>
      </c>
      <c r="Q3661" s="49">
        <f t="shared" si="4278"/>
        <v>0</v>
      </c>
    </row>
    <row r="3662" spans="4:17" s="62" customFormat="1" ht="15" thickBot="1" x14ac:dyDescent="0.35">
      <c r="D3662" s="307"/>
      <c r="E3662" s="26"/>
      <c r="F3662" s="206"/>
      <c r="G3662" s="207"/>
      <c r="H3662" s="207"/>
      <c r="I3662" s="51"/>
      <c r="J3662" s="308"/>
      <c r="K3662" s="308"/>
      <c r="L3662" s="308"/>
      <c r="M3662" s="308"/>
      <c r="N3662" s="308"/>
      <c r="O3662" s="308"/>
      <c r="P3662" s="308"/>
      <c r="Q3662" s="309"/>
    </row>
    <row r="3663" spans="4:17" s="62" customFormat="1" x14ac:dyDescent="0.3">
      <c r="D3663" s="796" t="s">
        <v>2037</v>
      </c>
      <c r="E3663" s="797"/>
      <c r="F3663" s="797"/>
      <c r="G3663" s="797"/>
      <c r="H3663" s="797"/>
      <c r="I3663" s="47">
        <f t="shared" ref="I3663:Q3663" si="4279">SUM(I3664:I3666)</f>
        <v>0</v>
      </c>
      <c r="J3663" s="47">
        <f t="shared" si="4279"/>
        <v>5.3776799999999998</v>
      </c>
      <c r="K3663" s="47">
        <f t="shared" si="4279"/>
        <v>0</v>
      </c>
      <c r="L3663" s="47">
        <f t="shared" si="4279"/>
        <v>6.7149999999999999</v>
      </c>
      <c r="M3663" s="47">
        <f t="shared" si="4279"/>
        <v>10.09412</v>
      </c>
      <c r="N3663" s="47">
        <f t="shared" si="4279"/>
        <v>0</v>
      </c>
      <c r="O3663" s="47">
        <f t="shared" si="4279"/>
        <v>0</v>
      </c>
      <c r="P3663" s="47">
        <f t="shared" si="4279"/>
        <v>0</v>
      </c>
      <c r="Q3663" s="47">
        <f t="shared" si="4279"/>
        <v>0</v>
      </c>
    </row>
    <row r="3664" spans="4:17" s="62" customFormat="1" x14ac:dyDescent="0.3">
      <c r="D3664" s="235">
        <v>2</v>
      </c>
      <c r="E3664" s="237">
        <f>2*18</f>
        <v>36</v>
      </c>
      <c r="F3664" s="238">
        <v>5</v>
      </c>
      <c r="G3664" s="239">
        <v>0.97</v>
      </c>
      <c r="H3664" s="239">
        <f t="shared" ref="H3664:H3666" si="4280">E3664*G3664</f>
        <v>34.92</v>
      </c>
      <c r="I3664" s="131">
        <f t="shared" ref="I3664:I3666" si="4281">IF($F3664=4.2,H3664*$B$23,0)</f>
        <v>0</v>
      </c>
      <c r="J3664" s="31">
        <f t="shared" ref="J3664:J3666" si="4282">IF($F3664=5,$H3664*$B$24,0)</f>
        <v>5.3776799999999998</v>
      </c>
      <c r="K3664" s="31">
        <f t="shared" ref="K3664:K3666" si="4283">IF($F3664=6.3,$H3664*$B$25,0)</f>
        <v>0</v>
      </c>
      <c r="L3664" s="31">
        <f t="shared" ref="L3664:L3666" si="4284">IF($F3664=8,$H3664*$B$26,0)</f>
        <v>0</v>
      </c>
      <c r="M3664" s="31">
        <f t="shared" ref="M3664:M3666" si="4285">IF($F3664=10,$H3664*$B$27,0)</f>
        <v>0</v>
      </c>
      <c r="N3664" s="31">
        <f t="shared" ref="N3664:N3666" si="4286">IF($F3664=12.5,$H3664*$B$28,0)</f>
        <v>0</v>
      </c>
      <c r="O3664" s="31">
        <f t="shared" ref="O3664:O3666" si="4287">IF($F3664=16,$H3664*$B$29,0)</f>
        <v>0</v>
      </c>
      <c r="P3664" s="31">
        <f t="shared" ref="P3664:P3666" si="4288">IF($F3664=20,$H3664*$B$30,0)</f>
        <v>0</v>
      </c>
      <c r="Q3664" s="49">
        <f t="shared" ref="Q3664:Q3666" si="4289">IF($F3664=25,$H3664*$B$31,0)</f>
        <v>0</v>
      </c>
    </row>
    <row r="3665" spans="4:17" s="62" customFormat="1" x14ac:dyDescent="0.3">
      <c r="D3665" s="235">
        <v>11</v>
      </c>
      <c r="E3665" s="240">
        <f>2*2</f>
        <v>4</v>
      </c>
      <c r="F3665" s="241">
        <v>8</v>
      </c>
      <c r="G3665" s="242">
        <v>4.25</v>
      </c>
      <c r="H3665" s="239">
        <f t="shared" si="4280"/>
        <v>17</v>
      </c>
      <c r="I3665" s="131">
        <f t="shared" si="4281"/>
        <v>0</v>
      </c>
      <c r="J3665" s="31">
        <f t="shared" si="4282"/>
        <v>0</v>
      </c>
      <c r="K3665" s="31">
        <f t="shared" si="4283"/>
        <v>0</v>
      </c>
      <c r="L3665" s="31">
        <f t="shared" si="4284"/>
        <v>6.7149999999999999</v>
      </c>
      <c r="M3665" s="31">
        <f t="shared" si="4285"/>
        <v>0</v>
      </c>
      <c r="N3665" s="31">
        <f t="shared" si="4286"/>
        <v>0</v>
      </c>
      <c r="O3665" s="31">
        <f t="shared" si="4287"/>
        <v>0</v>
      </c>
      <c r="P3665" s="31">
        <f t="shared" si="4288"/>
        <v>0</v>
      </c>
      <c r="Q3665" s="49">
        <f t="shared" si="4289"/>
        <v>0</v>
      </c>
    </row>
    <row r="3666" spans="4:17" s="62" customFormat="1" x14ac:dyDescent="0.3">
      <c r="D3666" s="235">
        <v>21</v>
      </c>
      <c r="E3666" s="240">
        <f>2*2</f>
        <v>4</v>
      </c>
      <c r="F3666" s="241">
        <v>10</v>
      </c>
      <c r="G3666" s="242">
        <v>4.09</v>
      </c>
      <c r="H3666" s="239">
        <f t="shared" si="4280"/>
        <v>16.36</v>
      </c>
      <c r="I3666" s="131">
        <f t="shared" si="4281"/>
        <v>0</v>
      </c>
      <c r="J3666" s="31">
        <f t="shared" si="4282"/>
        <v>0</v>
      </c>
      <c r="K3666" s="31">
        <f t="shared" si="4283"/>
        <v>0</v>
      </c>
      <c r="L3666" s="31">
        <f t="shared" si="4284"/>
        <v>0</v>
      </c>
      <c r="M3666" s="31">
        <f t="shared" si="4285"/>
        <v>10.09412</v>
      </c>
      <c r="N3666" s="31">
        <f t="shared" si="4286"/>
        <v>0</v>
      </c>
      <c r="O3666" s="31">
        <f t="shared" si="4287"/>
        <v>0</v>
      </c>
      <c r="P3666" s="31">
        <f t="shared" si="4288"/>
        <v>0</v>
      </c>
      <c r="Q3666" s="49">
        <f t="shared" si="4289"/>
        <v>0</v>
      </c>
    </row>
    <row r="3667" spans="4:17" s="62" customFormat="1" ht="15" thickBot="1" x14ac:dyDescent="0.35">
      <c r="D3667" s="307"/>
      <c r="E3667" s="26"/>
      <c r="F3667" s="206"/>
      <c r="G3667" s="207"/>
      <c r="H3667" s="207"/>
      <c r="I3667" s="51"/>
      <c r="J3667" s="308"/>
      <c r="K3667" s="308"/>
      <c r="L3667" s="308"/>
      <c r="M3667" s="308"/>
      <c r="N3667" s="308"/>
      <c r="O3667" s="308"/>
      <c r="P3667" s="308"/>
      <c r="Q3667" s="309"/>
    </row>
    <row r="3668" spans="4:17" s="62" customFormat="1" x14ac:dyDescent="0.3">
      <c r="D3668" s="796" t="s">
        <v>2038</v>
      </c>
      <c r="E3668" s="797"/>
      <c r="F3668" s="797"/>
      <c r="G3668" s="797"/>
      <c r="H3668" s="797"/>
      <c r="I3668" s="47">
        <f t="shared" ref="I3668:Q3668" si="4290">SUM(I3669:I3671)</f>
        <v>0</v>
      </c>
      <c r="J3668" s="47">
        <f t="shared" si="4290"/>
        <v>2.6888399999999999</v>
      </c>
      <c r="K3668" s="47">
        <f t="shared" si="4290"/>
        <v>0</v>
      </c>
      <c r="L3668" s="47">
        <f t="shared" si="4290"/>
        <v>4.2344000000000008</v>
      </c>
      <c r="M3668" s="47">
        <f t="shared" si="4290"/>
        <v>5.2815200000000004</v>
      </c>
      <c r="N3668" s="47">
        <f t="shared" si="4290"/>
        <v>0</v>
      </c>
      <c r="O3668" s="47">
        <f t="shared" si="4290"/>
        <v>0</v>
      </c>
      <c r="P3668" s="47">
        <f t="shared" si="4290"/>
        <v>0</v>
      </c>
      <c r="Q3668" s="47">
        <f t="shared" si="4290"/>
        <v>0</v>
      </c>
    </row>
    <row r="3669" spans="4:17" s="62" customFormat="1" x14ac:dyDescent="0.3">
      <c r="D3669" s="235">
        <v>2</v>
      </c>
      <c r="E3669" s="237">
        <f>2*9</f>
        <v>18</v>
      </c>
      <c r="F3669" s="238">
        <v>5</v>
      </c>
      <c r="G3669" s="239">
        <v>0.97</v>
      </c>
      <c r="H3669" s="239">
        <f t="shared" ref="H3669:H3671" si="4291">E3669*G3669</f>
        <v>17.46</v>
      </c>
      <c r="I3669" s="131">
        <f t="shared" ref="I3669:I3671" si="4292">IF($F3669=4.2,H3669*$B$23,0)</f>
        <v>0</v>
      </c>
      <c r="J3669" s="31">
        <f t="shared" ref="J3669:J3671" si="4293">IF($F3669=5,$H3669*$B$24,0)</f>
        <v>2.6888399999999999</v>
      </c>
      <c r="K3669" s="31">
        <f t="shared" ref="K3669:K3671" si="4294">IF($F3669=6.3,$H3669*$B$25,0)</f>
        <v>0</v>
      </c>
      <c r="L3669" s="31">
        <f t="shared" ref="L3669:L3671" si="4295">IF($F3669=8,$H3669*$B$26,0)</f>
        <v>0</v>
      </c>
      <c r="M3669" s="31">
        <f t="shared" ref="M3669:M3671" si="4296">IF($F3669=10,$H3669*$B$27,0)</f>
        <v>0</v>
      </c>
      <c r="N3669" s="31">
        <f t="shared" ref="N3669:N3671" si="4297">IF($F3669=12.5,$H3669*$B$28,0)</f>
        <v>0</v>
      </c>
      <c r="O3669" s="31">
        <f t="shared" ref="O3669:O3671" si="4298">IF($F3669=16,$H3669*$B$29,0)</f>
        <v>0</v>
      </c>
      <c r="P3669" s="31">
        <f t="shared" ref="P3669:P3671" si="4299">IF($F3669=20,$H3669*$B$30,0)</f>
        <v>0</v>
      </c>
      <c r="Q3669" s="49">
        <f t="shared" ref="Q3669:Q3671" si="4300">IF($F3669=25,$H3669*$B$31,0)</f>
        <v>0</v>
      </c>
    </row>
    <row r="3670" spans="4:17" s="62" customFormat="1" x14ac:dyDescent="0.3">
      <c r="D3670" s="235">
        <v>12</v>
      </c>
      <c r="E3670" s="240">
        <f>2*2</f>
        <v>4</v>
      </c>
      <c r="F3670" s="241">
        <v>8</v>
      </c>
      <c r="G3670" s="242">
        <v>2.68</v>
      </c>
      <c r="H3670" s="239">
        <f t="shared" si="4291"/>
        <v>10.72</v>
      </c>
      <c r="I3670" s="131">
        <f t="shared" si="4292"/>
        <v>0</v>
      </c>
      <c r="J3670" s="31">
        <f t="shared" si="4293"/>
        <v>0</v>
      </c>
      <c r="K3670" s="31">
        <f t="shared" si="4294"/>
        <v>0</v>
      </c>
      <c r="L3670" s="31">
        <f t="shared" si="4295"/>
        <v>4.2344000000000008</v>
      </c>
      <c r="M3670" s="31">
        <f t="shared" si="4296"/>
        <v>0</v>
      </c>
      <c r="N3670" s="31">
        <f t="shared" si="4297"/>
        <v>0</v>
      </c>
      <c r="O3670" s="31">
        <f t="shared" si="4298"/>
        <v>0</v>
      </c>
      <c r="P3670" s="31">
        <f t="shared" si="4299"/>
        <v>0</v>
      </c>
      <c r="Q3670" s="49">
        <f t="shared" si="4300"/>
        <v>0</v>
      </c>
    </row>
    <row r="3671" spans="4:17" s="62" customFormat="1" x14ac:dyDescent="0.3">
      <c r="D3671" s="235">
        <v>22</v>
      </c>
      <c r="E3671" s="240">
        <f>2*2</f>
        <v>4</v>
      </c>
      <c r="F3671" s="241">
        <v>10</v>
      </c>
      <c r="G3671" s="242">
        <v>2.14</v>
      </c>
      <c r="H3671" s="239">
        <f t="shared" si="4291"/>
        <v>8.56</v>
      </c>
      <c r="I3671" s="131">
        <f t="shared" si="4292"/>
        <v>0</v>
      </c>
      <c r="J3671" s="31">
        <f t="shared" si="4293"/>
        <v>0</v>
      </c>
      <c r="K3671" s="31">
        <f t="shared" si="4294"/>
        <v>0</v>
      </c>
      <c r="L3671" s="31">
        <f t="shared" si="4295"/>
        <v>0</v>
      </c>
      <c r="M3671" s="31">
        <f t="shared" si="4296"/>
        <v>5.2815200000000004</v>
      </c>
      <c r="N3671" s="31">
        <f t="shared" si="4297"/>
        <v>0</v>
      </c>
      <c r="O3671" s="31">
        <f t="shared" si="4298"/>
        <v>0</v>
      </c>
      <c r="P3671" s="31">
        <f t="shared" si="4299"/>
        <v>0</v>
      </c>
      <c r="Q3671" s="49">
        <f t="shared" si="4300"/>
        <v>0</v>
      </c>
    </row>
    <row r="3672" spans="4:17" s="62" customFormat="1" ht="15" thickBot="1" x14ac:dyDescent="0.35">
      <c r="D3672" s="307"/>
      <c r="E3672" s="26"/>
      <c r="F3672" s="206"/>
      <c r="G3672" s="207"/>
      <c r="H3672" s="207"/>
      <c r="I3672" s="51"/>
      <c r="J3672" s="308"/>
      <c r="K3672" s="308"/>
      <c r="L3672" s="308"/>
      <c r="M3672" s="308"/>
      <c r="N3672" s="308"/>
      <c r="O3672" s="308"/>
      <c r="P3672" s="308"/>
      <c r="Q3672" s="309"/>
    </row>
    <row r="3673" spans="4:17" s="62" customFormat="1" x14ac:dyDescent="0.3">
      <c r="D3673" s="796" t="s">
        <v>2039</v>
      </c>
      <c r="E3673" s="797"/>
      <c r="F3673" s="797"/>
      <c r="G3673" s="797"/>
      <c r="H3673" s="797"/>
      <c r="I3673" s="47">
        <f t="shared" ref="I3673:Q3673" si="4301">SUM(I3674:I3676)</f>
        <v>0</v>
      </c>
      <c r="J3673" s="47">
        <f t="shared" si="4301"/>
        <v>2.6888399999999999</v>
      </c>
      <c r="K3673" s="47">
        <f t="shared" si="4301"/>
        <v>0</v>
      </c>
      <c r="L3673" s="47">
        <f t="shared" si="4301"/>
        <v>3.4839000000000002</v>
      </c>
      <c r="M3673" s="47">
        <f t="shared" si="4301"/>
        <v>5.0470600000000001</v>
      </c>
      <c r="N3673" s="47">
        <f t="shared" si="4301"/>
        <v>0</v>
      </c>
      <c r="O3673" s="47">
        <f t="shared" si="4301"/>
        <v>0</v>
      </c>
      <c r="P3673" s="47">
        <f t="shared" si="4301"/>
        <v>0</v>
      </c>
      <c r="Q3673" s="47">
        <f t="shared" si="4301"/>
        <v>0</v>
      </c>
    </row>
    <row r="3674" spans="4:17" s="62" customFormat="1" x14ac:dyDescent="0.3">
      <c r="D3674" s="235">
        <v>2</v>
      </c>
      <c r="E3674" s="237">
        <v>18</v>
      </c>
      <c r="F3674" s="238">
        <v>5</v>
      </c>
      <c r="G3674" s="239">
        <v>0.97</v>
      </c>
      <c r="H3674" s="239">
        <f t="shared" ref="H3674:H3676" si="4302">E3674*G3674</f>
        <v>17.46</v>
      </c>
      <c r="I3674" s="131">
        <f t="shared" ref="I3674:I3676" si="4303">IF($F3674=4.2,H3674*$B$23,0)</f>
        <v>0</v>
      </c>
      <c r="J3674" s="31">
        <f t="shared" ref="J3674:J3676" si="4304">IF($F3674=5,$H3674*$B$24,0)</f>
        <v>2.6888399999999999</v>
      </c>
      <c r="K3674" s="31">
        <f t="shared" ref="K3674:K3676" si="4305">IF($F3674=6.3,$H3674*$B$25,0)</f>
        <v>0</v>
      </c>
      <c r="L3674" s="31">
        <f t="shared" ref="L3674:L3676" si="4306">IF($F3674=8,$H3674*$B$26,0)</f>
        <v>0</v>
      </c>
      <c r="M3674" s="31">
        <f t="shared" ref="M3674:M3676" si="4307">IF($F3674=10,$H3674*$B$27,0)</f>
        <v>0</v>
      </c>
      <c r="N3674" s="31">
        <f t="shared" ref="N3674:N3676" si="4308">IF($F3674=12.5,$H3674*$B$28,0)</f>
        <v>0</v>
      </c>
      <c r="O3674" s="31">
        <f t="shared" ref="O3674:O3676" si="4309">IF($F3674=16,$H3674*$B$29,0)</f>
        <v>0</v>
      </c>
      <c r="P3674" s="31">
        <f t="shared" ref="P3674:P3676" si="4310">IF($F3674=20,$H3674*$B$30,0)</f>
        <v>0</v>
      </c>
      <c r="Q3674" s="49">
        <f t="shared" ref="Q3674:Q3676" si="4311">IF($F3674=25,$H3674*$B$31,0)</f>
        <v>0</v>
      </c>
    </row>
    <row r="3675" spans="4:17" s="62" customFormat="1" x14ac:dyDescent="0.3">
      <c r="D3675" s="235">
        <v>17</v>
      </c>
      <c r="E3675" s="240">
        <v>2</v>
      </c>
      <c r="F3675" s="241">
        <v>8</v>
      </c>
      <c r="G3675" s="242">
        <v>4.41</v>
      </c>
      <c r="H3675" s="239">
        <f t="shared" si="4302"/>
        <v>8.82</v>
      </c>
      <c r="I3675" s="131">
        <f t="shared" si="4303"/>
        <v>0</v>
      </c>
      <c r="J3675" s="31">
        <f t="shared" si="4304"/>
        <v>0</v>
      </c>
      <c r="K3675" s="31">
        <f t="shared" si="4305"/>
        <v>0</v>
      </c>
      <c r="L3675" s="31">
        <f t="shared" si="4306"/>
        <v>3.4839000000000002</v>
      </c>
      <c r="M3675" s="31">
        <f t="shared" si="4307"/>
        <v>0</v>
      </c>
      <c r="N3675" s="31">
        <f t="shared" si="4308"/>
        <v>0</v>
      </c>
      <c r="O3675" s="31">
        <f t="shared" si="4309"/>
        <v>0</v>
      </c>
      <c r="P3675" s="31">
        <f t="shared" si="4310"/>
        <v>0</v>
      </c>
      <c r="Q3675" s="49">
        <f t="shared" si="4311"/>
        <v>0</v>
      </c>
    </row>
    <row r="3676" spans="4:17" s="62" customFormat="1" x14ac:dyDescent="0.3">
      <c r="D3676" s="235">
        <v>21</v>
      </c>
      <c r="E3676" s="240">
        <v>2</v>
      </c>
      <c r="F3676" s="241">
        <v>10</v>
      </c>
      <c r="G3676" s="242">
        <v>4.09</v>
      </c>
      <c r="H3676" s="239">
        <f t="shared" si="4302"/>
        <v>8.18</v>
      </c>
      <c r="I3676" s="131">
        <f t="shared" si="4303"/>
        <v>0</v>
      </c>
      <c r="J3676" s="31">
        <f t="shared" si="4304"/>
        <v>0</v>
      </c>
      <c r="K3676" s="31">
        <f t="shared" si="4305"/>
        <v>0</v>
      </c>
      <c r="L3676" s="31">
        <f t="shared" si="4306"/>
        <v>0</v>
      </c>
      <c r="M3676" s="31">
        <f t="shared" si="4307"/>
        <v>5.0470600000000001</v>
      </c>
      <c r="N3676" s="31">
        <f t="shared" si="4308"/>
        <v>0</v>
      </c>
      <c r="O3676" s="31">
        <f t="shared" si="4309"/>
        <v>0</v>
      </c>
      <c r="P3676" s="31">
        <f t="shared" si="4310"/>
        <v>0</v>
      </c>
      <c r="Q3676" s="49">
        <f t="shared" si="4311"/>
        <v>0</v>
      </c>
    </row>
    <row r="3677" spans="4:17" s="62" customFormat="1" ht="15" thickBot="1" x14ac:dyDescent="0.35">
      <c r="D3677" s="307"/>
      <c r="E3677" s="26"/>
      <c r="F3677" s="206"/>
      <c r="G3677" s="207"/>
      <c r="H3677" s="207"/>
      <c r="I3677" s="51"/>
      <c r="J3677" s="308"/>
      <c r="K3677" s="308"/>
      <c r="L3677" s="308"/>
      <c r="M3677" s="308"/>
      <c r="N3677" s="308"/>
      <c r="O3677" s="308"/>
      <c r="P3677" s="308"/>
      <c r="Q3677" s="309"/>
    </row>
    <row r="3678" spans="4:17" s="62" customFormat="1" x14ac:dyDescent="0.3">
      <c r="D3678" s="796" t="s">
        <v>2040</v>
      </c>
      <c r="E3678" s="797"/>
      <c r="F3678" s="797"/>
      <c r="G3678" s="797"/>
      <c r="H3678" s="797"/>
      <c r="I3678" s="47">
        <f t="shared" ref="I3678:Q3678" si="4312">SUM(I3679:I3681)</f>
        <v>0</v>
      </c>
      <c r="J3678" s="47">
        <f t="shared" si="4312"/>
        <v>2.8828799999999997</v>
      </c>
      <c r="K3678" s="47">
        <f t="shared" si="4312"/>
        <v>0</v>
      </c>
      <c r="L3678" s="47">
        <f t="shared" si="4312"/>
        <v>0</v>
      </c>
      <c r="M3678" s="47">
        <f t="shared" si="4312"/>
        <v>10.538360000000001</v>
      </c>
      <c r="N3678" s="47">
        <f t="shared" si="4312"/>
        <v>0</v>
      </c>
      <c r="O3678" s="47">
        <f t="shared" si="4312"/>
        <v>0</v>
      </c>
      <c r="P3678" s="47">
        <f t="shared" si="4312"/>
        <v>0</v>
      </c>
      <c r="Q3678" s="47">
        <f t="shared" si="4312"/>
        <v>0</v>
      </c>
    </row>
    <row r="3679" spans="4:17" s="62" customFormat="1" x14ac:dyDescent="0.3">
      <c r="D3679" s="235">
        <v>3</v>
      </c>
      <c r="E3679" s="237">
        <v>16</v>
      </c>
      <c r="F3679" s="238">
        <v>5</v>
      </c>
      <c r="G3679" s="239">
        <v>1.17</v>
      </c>
      <c r="H3679" s="239">
        <f t="shared" ref="H3679:H3681" si="4313">E3679*G3679</f>
        <v>18.72</v>
      </c>
      <c r="I3679" s="131">
        <f t="shared" ref="I3679:I3681" si="4314">IF($F3679=4.2,H3679*$B$23,0)</f>
        <v>0</v>
      </c>
      <c r="J3679" s="31">
        <f t="shared" ref="J3679:J3681" si="4315">IF($F3679=5,$H3679*$B$24,0)</f>
        <v>2.8828799999999997</v>
      </c>
      <c r="K3679" s="31">
        <f t="shared" ref="K3679:K3681" si="4316">IF($F3679=6.3,$H3679*$B$25,0)</f>
        <v>0</v>
      </c>
      <c r="L3679" s="31">
        <f t="shared" ref="L3679:L3681" si="4317">IF($F3679=8,$H3679*$B$26,0)</f>
        <v>0</v>
      </c>
      <c r="M3679" s="31">
        <f t="shared" ref="M3679:M3681" si="4318">IF($F3679=10,$H3679*$B$27,0)</f>
        <v>0</v>
      </c>
      <c r="N3679" s="31">
        <f t="shared" ref="N3679:N3681" si="4319">IF($F3679=12.5,$H3679*$B$28,0)</f>
        <v>0</v>
      </c>
      <c r="O3679" s="31">
        <f t="shared" ref="O3679:O3681" si="4320">IF($F3679=16,$H3679*$B$29,0)</f>
        <v>0</v>
      </c>
      <c r="P3679" s="31">
        <f t="shared" ref="P3679:P3681" si="4321">IF($F3679=20,$H3679*$B$30,0)</f>
        <v>0</v>
      </c>
      <c r="Q3679" s="49">
        <f t="shared" ref="Q3679:Q3681" si="4322">IF($F3679=25,$H3679*$B$31,0)</f>
        <v>0</v>
      </c>
    </row>
    <row r="3680" spans="4:17" s="62" customFormat="1" x14ac:dyDescent="0.3">
      <c r="D3680" s="235">
        <v>23</v>
      </c>
      <c r="E3680" s="240">
        <v>2</v>
      </c>
      <c r="F3680" s="241">
        <v>10</v>
      </c>
      <c r="G3680" s="242">
        <v>4.21</v>
      </c>
      <c r="H3680" s="239">
        <f t="shared" si="4313"/>
        <v>8.42</v>
      </c>
      <c r="I3680" s="131">
        <f t="shared" si="4314"/>
        <v>0</v>
      </c>
      <c r="J3680" s="31">
        <f t="shared" si="4315"/>
        <v>0</v>
      </c>
      <c r="K3680" s="31">
        <f t="shared" si="4316"/>
        <v>0</v>
      </c>
      <c r="L3680" s="31">
        <f t="shared" si="4317"/>
        <v>0</v>
      </c>
      <c r="M3680" s="31">
        <f t="shared" si="4318"/>
        <v>5.1951400000000003</v>
      </c>
      <c r="N3680" s="31">
        <f t="shared" si="4319"/>
        <v>0</v>
      </c>
      <c r="O3680" s="31">
        <f t="shared" si="4320"/>
        <v>0</v>
      </c>
      <c r="P3680" s="31">
        <f t="shared" si="4321"/>
        <v>0</v>
      </c>
      <c r="Q3680" s="49">
        <f t="shared" si="4322"/>
        <v>0</v>
      </c>
    </row>
    <row r="3681" spans="4:17" s="62" customFormat="1" x14ac:dyDescent="0.3">
      <c r="D3681" s="235">
        <v>24</v>
      </c>
      <c r="E3681" s="240">
        <v>2</v>
      </c>
      <c r="F3681" s="241">
        <v>10</v>
      </c>
      <c r="G3681" s="242">
        <v>4.33</v>
      </c>
      <c r="H3681" s="239">
        <f t="shared" si="4313"/>
        <v>8.66</v>
      </c>
      <c r="I3681" s="131">
        <f t="shared" si="4314"/>
        <v>0</v>
      </c>
      <c r="J3681" s="31">
        <f t="shared" si="4315"/>
        <v>0</v>
      </c>
      <c r="K3681" s="31">
        <f t="shared" si="4316"/>
        <v>0</v>
      </c>
      <c r="L3681" s="31">
        <f t="shared" si="4317"/>
        <v>0</v>
      </c>
      <c r="M3681" s="31">
        <f t="shared" si="4318"/>
        <v>5.3432199999999996</v>
      </c>
      <c r="N3681" s="31">
        <f t="shared" si="4319"/>
        <v>0</v>
      </c>
      <c r="O3681" s="31">
        <f t="shared" si="4320"/>
        <v>0</v>
      </c>
      <c r="P3681" s="31">
        <f t="shared" si="4321"/>
        <v>0</v>
      </c>
      <c r="Q3681" s="49">
        <f t="shared" si="4322"/>
        <v>0</v>
      </c>
    </row>
    <row r="3682" spans="4:17" s="62" customFormat="1" ht="15" thickBot="1" x14ac:dyDescent="0.35">
      <c r="D3682" s="307"/>
      <c r="E3682" s="26"/>
      <c r="F3682" s="206"/>
      <c r="G3682" s="207"/>
      <c r="H3682" s="207"/>
      <c r="I3682" s="51"/>
      <c r="J3682" s="308"/>
      <c r="K3682" s="308"/>
      <c r="L3682" s="308"/>
      <c r="M3682" s="308"/>
      <c r="N3682" s="308"/>
      <c r="O3682" s="308"/>
      <c r="P3682" s="308"/>
      <c r="Q3682" s="309"/>
    </row>
    <row r="3683" spans="4:17" s="62" customFormat="1" x14ac:dyDescent="0.3">
      <c r="D3683" s="796" t="s">
        <v>2041</v>
      </c>
      <c r="E3683" s="797"/>
      <c r="F3683" s="797"/>
      <c r="G3683" s="797"/>
      <c r="H3683" s="797"/>
      <c r="I3683" s="47">
        <f t="shared" ref="I3683:Q3683" si="4323">SUM(I3684:I3692)</f>
        <v>0</v>
      </c>
      <c r="J3683" s="47">
        <f t="shared" si="4323"/>
        <v>12.908280000000001</v>
      </c>
      <c r="K3683" s="47">
        <f t="shared" si="4323"/>
        <v>0</v>
      </c>
      <c r="L3683" s="47">
        <f t="shared" si="4323"/>
        <v>0</v>
      </c>
      <c r="M3683" s="47">
        <f t="shared" si="4323"/>
        <v>0</v>
      </c>
      <c r="N3683" s="47">
        <f t="shared" si="4323"/>
        <v>64.935089999999988</v>
      </c>
      <c r="O3683" s="47">
        <f t="shared" si="4323"/>
        <v>0</v>
      </c>
      <c r="P3683" s="47">
        <f t="shared" si="4323"/>
        <v>0</v>
      </c>
      <c r="Q3683" s="47">
        <f t="shared" si="4323"/>
        <v>0</v>
      </c>
    </row>
    <row r="3684" spans="4:17" s="62" customFormat="1" x14ac:dyDescent="0.3">
      <c r="D3684" s="235">
        <v>1</v>
      </c>
      <c r="E3684" s="237">
        <v>66</v>
      </c>
      <c r="F3684" s="238">
        <v>5</v>
      </c>
      <c r="G3684" s="239">
        <v>1.27</v>
      </c>
      <c r="H3684" s="239">
        <f t="shared" ref="H3684:H3692" si="4324">E3684*G3684</f>
        <v>83.820000000000007</v>
      </c>
      <c r="I3684" s="131">
        <f t="shared" ref="I3684:I3692" si="4325">IF($F3684=4.2,H3684*$B$23,0)</f>
        <v>0</v>
      </c>
      <c r="J3684" s="31">
        <f t="shared" ref="J3684:J3692" si="4326">IF($F3684=5,$H3684*$B$24,0)</f>
        <v>12.908280000000001</v>
      </c>
      <c r="K3684" s="31">
        <f t="shared" ref="K3684:K3692" si="4327">IF($F3684=6.3,$H3684*$B$25,0)</f>
        <v>0</v>
      </c>
      <c r="L3684" s="31">
        <f t="shared" ref="L3684:L3692" si="4328">IF($F3684=8,$H3684*$B$26,0)</f>
        <v>0</v>
      </c>
      <c r="M3684" s="31">
        <f t="shared" ref="M3684:M3692" si="4329">IF($F3684=10,$H3684*$B$27,0)</f>
        <v>0</v>
      </c>
      <c r="N3684" s="31">
        <f t="shared" ref="N3684:N3692" si="4330">IF($F3684=12.5,$H3684*$B$28,0)</f>
        <v>0</v>
      </c>
      <c r="O3684" s="31">
        <f t="shared" ref="O3684:O3692" si="4331">IF($F3684=16,$H3684*$B$29,0)</f>
        <v>0</v>
      </c>
      <c r="P3684" s="31">
        <f t="shared" ref="P3684:P3692" si="4332">IF($F3684=20,$H3684*$B$30,0)</f>
        <v>0</v>
      </c>
      <c r="Q3684" s="49">
        <f t="shared" ref="Q3684:Q3692" si="4333">IF($F3684=25,$H3684*$B$31,0)</f>
        <v>0</v>
      </c>
    </row>
    <row r="3685" spans="4:17" s="62" customFormat="1" x14ac:dyDescent="0.3">
      <c r="D3685" s="235">
        <v>31</v>
      </c>
      <c r="E3685" s="240">
        <v>1</v>
      </c>
      <c r="F3685" s="241">
        <v>12.5</v>
      </c>
      <c r="G3685" s="242">
        <v>3.05</v>
      </c>
      <c r="H3685" s="239">
        <f t="shared" si="4324"/>
        <v>3.05</v>
      </c>
      <c r="I3685" s="131">
        <f t="shared" si="4325"/>
        <v>0</v>
      </c>
      <c r="J3685" s="31">
        <f t="shared" si="4326"/>
        <v>0</v>
      </c>
      <c r="K3685" s="31">
        <f t="shared" si="4327"/>
        <v>0</v>
      </c>
      <c r="L3685" s="31">
        <f t="shared" si="4328"/>
        <v>0</v>
      </c>
      <c r="M3685" s="31">
        <f t="shared" si="4329"/>
        <v>0</v>
      </c>
      <c r="N3685" s="31">
        <f t="shared" si="4330"/>
        <v>2.9371499999999999</v>
      </c>
      <c r="O3685" s="31">
        <f t="shared" si="4331"/>
        <v>0</v>
      </c>
      <c r="P3685" s="31">
        <f t="shared" si="4332"/>
        <v>0</v>
      </c>
      <c r="Q3685" s="49">
        <f t="shared" si="4333"/>
        <v>0</v>
      </c>
    </row>
    <row r="3686" spans="4:17" s="62" customFormat="1" x14ac:dyDescent="0.3">
      <c r="D3686" s="235">
        <v>32</v>
      </c>
      <c r="E3686" s="240">
        <v>1</v>
      </c>
      <c r="F3686" s="241">
        <v>12.5</v>
      </c>
      <c r="G3686" s="242">
        <v>3.18</v>
      </c>
      <c r="H3686" s="239">
        <f t="shared" si="4324"/>
        <v>3.18</v>
      </c>
      <c r="I3686" s="131">
        <f t="shared" si="4325"/>
        <v>0</v>
      </c>
      <c r="J3686" s="31">
        <f t="shared" si="4326"/>
        <v>0</v>
      </c>
      <c r="K3686" s="31">
        <f t="shared" si="4327"/>
        <v>0</v>
      </c>
      <c r="L3686" s="31">
        <f t="shared" si="4328"/>
        <v>0</v>
      </c>
      <c r="M3686" s="31">
        <f t="shared" si="4329"/>
        <v>0</v>
      </c>
      <c r="N3686" s="31">
        <f t="shared" si="4330"/>
        <v>3.0623399999999998</v>
      </c>
      <c r="O3686" s="31">
        <f t="shared" si="4331"/>
        <v>0</v>
      </c>
      <c r="P3686" s="31">
        <f t="shared" si="4332"/>
        <v>0</v>
      </c>
      <c r="Q3686" s="49">
        <f t="shared" si="4333"/>
        <v>0</v>
      </c>
    </row>
    <row r="3687" spans="4:17" s="62" customFormat="1" x14ac:dyDescent="0.3">
      <c r="D3687" s="235">
        <v>33</v>
      </c>
      <c r="E3687" s="240">
        <v>2</v>
      </c>
      <c r="F3687" s="241">
        <v>12.5</v>
      </c>
      <c r="G3687" s="242">
        <v>8.19</v>
      </c>
      <c r="H3687" s="239">
        <f t="shared" si="4324"/>
        <v>16.38</v>
      </c>
      <c r="I3687" s="131">
        <f t="shared" si="4325"/>
        <v>0</v>
      </c>
      <c r="J3687" s="31">
        <f t="shared" si="4326"/>
        <v>0</v>
      </c>
      <c r="K3687" s="31">
        <f t="shared" si="4327"/>
        <v>0</v>
      </c>
      <c r="L3687" s="31">
        <f t="shared" si="4328"/>
        <v>0</v>
      </c>
      <c r="M3687" s="31">
        <f t="shared" si="4329"/>
        <v>0</v>
      </c>
      <c r="N3687" s="31">
        <f t="shared" si="4330"/>
        <v>15.773939999999998</v>
      </c>
      <c r="O3687" s="31">
        <f t="shared" si="4331"/>
        <v>0</v>
      </c>
      <c r="P3687" s="31">
        <f t="shared" si="4332"/>
        <v>0</v>
      </c>
      <c r="Q3687" s="49">
        <f t="shared" si="4333"/>
        <v>0</v>
      </c>
    </row>
    <row r="3688" spans="4:17" s="62" customFormat="1" x14ac:dyDescent="0.3">
      <c r="D3688" s="235">
        <v>34</v>
      </c>
      <c r="E3688" s="240">
        <v>1</v>
      </c>
      <c r="F3688" s="241">
        <v>12.5</v>
      </c>
      <c r="G3688" s="242">
        <v>3.13</v>
      </c>
      <c r="H3688" s="239">
        <f t="shared" si="4324"/>
        <v>3.13</v>
      </c>
      <c r="I3688" s="131">
        <f t="shared" si="4325"/>
        <v>0</v>
      </c>
      <c r="J3688" s="31">
        <f t="shared" si="4326"/>
        <v>0</v>
      </c>
      <c r="K3688" s="31">
        <f t="shared" si="4327"/>
        <v>0</v>
      </c>
      <c r="L3688" s="31">
        <f t="shared" si="4328"/>
        <v>0</v>
      </c>
      <c r="M3688" s="31">
        <f t="shared" si="4329"/>
        <v>0</v>
      </c>
      <c r="N3688" s="31">
        <f t="shared" si="4330"/>
        <v>3.0141899999999997</v>
      </c>
      <c r="O3688" s="31">
        <f t="shared" si="4331"/>
        <v>0</v>
      </c>
      <c r="P3688" s="31">
        <f t="shared" si="4332"/>
        <v>0</v>
      </c>
      <c r="Q3688" s="49">
        <f t="shared" si="4333"/>
        <v>0</v>
      </c>
    </row>
    <row r="3689" spans="4:17" s="62" customFormat="1" x14ac:dyDescent="0.3">
      <c r="D3689" s="235">
        <v>35</v>
      </c>
      <c r="E3689" s="240">
        <v>2</v>
      </c>
      <c r="F3689" s="241">
        <v>12.5</v>
      </c>
      <c r="G3689" s="242">
        <v>3.99</v>
      </c>
      <c r="H3689" s="239">
        <f t="shared" si="4324"/>
        <v>7.98</v>
      </c>
      <c r="I3689" s="131">
        <f t="shared" si="4325"/>
        <v>0</v>
      </c>
      <c r="J3689" s="31">
        <f t="shared" si="4326"/>
        <v>0</v>
      </c>
      <c r="K3689" s="31">
        <f t="shared" si="4327"/>
        <v>0</v>
      </c>
      <c r="L3689" s="31">
        <f t="shared" si="4328"/>
        <v>0</v>
      </c>
      <c r="M3689" s="31">
        <f t="shared" si="4329"/>
        <v>0</v>
      </c>
      <c r="N3689" s="31">
        <f t="shared" si="4330"/>
        <v>7.6847400000000006</v>
      </c>
      <c r="O3689" s="31">
        <f t="shared" si="4331"/>
        <v>0</v>
      </c>
      <c r="P3689" s="31">
        <f t="shared" si="4332"/>
        <v>0</v>
      </c>
      <c r="Q3689" s="49">
        <f t="shared" si="4333"/>
        <v>0</v>
      </c>
    </row>
    <row r="3690" spans="4:17" s="62" customFormat="1" x14ac:dyDescent="0.3">
      <c r="D3690" s="235">
        <v>36</v>
      </c>
      <c r="E3690" s="240">
        <v>1</v>
      </c>
      <c r="F3690" s="241">
        <v>12.5</v>
      </c>
      <c r="G3690" s="242">
        <v>7.23</v>
      </c>
      <c r="H3690" s="239">
        <f t="shared" si="4324"/>
        <v>7.23</v>
      </c>
      <c r="I3690" s="131">
        <f t="shared" si="4325"/>
        <v>0</v>
      </c>
      <c r="J3690" s="31">
        <f t="shared" si="4326"/>
        <v>0</v>
      </c>
      <c r="K3690" s="31">
        <f t="shared" si="4327"/>
        <v>0</v>
      </c>
      <c r="L3690" s="31">
        <f t="shared" si="4328"/>
        <v>0</v>
      </c>
      <c r="M3690" s="31">
        <f t="shared" si="4329"/>
        <v>0</v>
      </c>
      <c r="N3690" s="31">
        <f t="shared" si="4330"/>
        <v>6.9624899999999998</v>
      </c>
      <c r="O3690" s="31">
        <f t="shared" si="4331"/>
        <v>0</v>
      </c>
      <c r="P3690" s="31">
        <f t="shared" si="4332"/>
        <v>0</v>
      </c>
      <c r="Q3690" s="49">
        <f t="shared" si="4333"/>
        <v>0</v>
      </c>
    </row>
    <row r="3691" spans="4:17" s="62" customFormat="1" x14ac:dyDescent="0.3">
      <c r="D3691" s="235">
        <v>37</v>
      </c>
      <c r="E3691" s="240">
        <v>2</v>
      </c>
      <c r="F3691" s="241">
        <v>12.5</v>
      </c>
      <c r="G3691" s="242">
        <v>11.11</v>
      </c>
      <c r="H3691" s="239">
        <f t="shared" si="4324"/>
        <v>22.22</v>
      </c>
      <c r="I3691" s="131">
        <f t="shared" si="4325"/>
        <v>0</v>
      </c>
      <c r="J3691" s="31">
        <f t="shared" si="4326"/>
        <v>0</v>
      </c>
      <c r="K3691" s="31">
        <f t="shared" si="4327"/>
        <v>0</v>
      </c>
      <c r="L3691" s="31">
        <f t="shared" si="4328"/>
        <v>0</v>
      </c>
      <c r="M3691" s="31">
        <f t="shared" si="4329"/>
        <v>0</v>
      </c>
      <c r="N3691" s="31">
        <f t="shared" si="4330"/>
        <v>21.397859999999998</v>
      </c>
      <c r="O3691" s="31">
        <f t="shared" si="4331"/>
        <v>0</v>
      </c>
      <c r="P3691" s="31">
        <f t="shared" si="4332"/>
        <v>0</v>
      </c>
      <c r="Q3691" s="49">
        <f t="shared" si="4333"/>
        <v>0</v>
      </c>
    </row>
    <row r="3692" spans="4:17" s="62" customFormat="1" x14ac:dyDescent="0.3">
      <c r="D3692" s="235">
        <v>38</v>
      </c>
      <c r="E3692" s="240">
        <v>2</v>
      </c>
      <c r="F3692" s="241">
        <v>12.5</v>
      </c>
      <c r="G3692" s="242">
        <v>2.13</v>
      </c>
      <c r="H3692" s="239">
        <f t="shared" si="4324"/>
        <v>4.26</v>
      </c>
      <c r="I3692" s="131">
        <f t="shared" si="4325"/>
        <v>0</v>
      </c>
      <c r="J3692" s="31">
        <f t="shared" si="4326"/>
        <v>0</v>
      </c>
      <c r="K3692" s="31">
        <f t="shared" si="4327"/>
        <v>0</v>
      </c>
      <c r="L3692" s="31">
        <f t="shared" si="4328"/>
        <v>0</v>
      </c>
      <c r="M3692" s="31">
        <f t="shared" si="4329"/>
        <v>0</v>
      </c>
      <c r="N3692" s="31">
        <f t="shared" si="4330"/>
        <v>4.1023799999999992</v>
      </c>
      <c r="O3692" s="31">
        <f t="shared" si="4331"/>
        <v>0</v>
      </c>
      <c r="P3692" s="31">
        <f t="shared" si="4332"/>
        <v>0</v>
      </c>
      <c r="Q3692" s="49">
        <f t="shared" si="4333"/>
        <v>0</v>
      </c>
    </row>
    <row r="3693" spans="4:17" s="62" customFormat="1" ht="15" thickBot="1" x14ac:dyDescent="0.35">
      <c r="D3693" s="307"/>
      <c r="E3693" s="26"/>
      <c r="F3693" s="206"/>
      <c r="G3693" s="207"/>
      <c r="H3693" s="207"/>
      <c r="I3693" s="51"/>
      <c r="J3693" s="308"/>
      <c r="K3693" s="308"/>
      <c r="L3693" s="308"/>
      <c r="M3693" s="308"/>
      <c r="N3693" s="308"/>
      <c r="O3693" s="308"/>
      <c r="P3693" s="308"/>
      <c r="Q3693" s="309"/>
    </row>
    <row r="3694" spans="4:17" s="62" customFormat="1" x14ac:dyDescent="0.3">
      <c r="D3694" s="796" t="s">
        <v>2042</v>
      </c>
      <c r="E3694" s="797"/>
      <c r="F3694" s="797"/>
      <c r="G3694" s="797"/>
      <c r="H3694" s="797"/>
      <c r="I3694" s="47">
        <f t="shared" ref="I3694:Q3694" si="4334">SUM(I3695:I3706)</f>
        <v>0</v>
      </c>
      <c r="J3694" s="47">
        <f t="shared" si="4334"/>
        <v>13.103860000000001</v>
      </c>
      <c r="K3694" s="47">
        <f t="shared" si="4334"/>
        <v>0</v>
      </c>
      <c r="L3694" s="47">
        <f t="shared" si="4334"/>
        <v>0</v>
      </c>
      <c r="M3694" s="47">
        <f t="shared" si="4334"/>
        <v>0</v>
      </c>
      <c r="N3694" s="47">
        <f t="shared" si="4334"/>
        <v>64.106909999999999</v>
      </c>
      <c r="O3694" s="47">
        <f t="shared" si="4334"/>
        <v>0</v>
      </c>
      <c r="P3694" s="47">
        <f t="shared" si="4334"/>
        <v>0</v>
      </c>
      <c r="Q3694" s="47">
        <f t="shared" si="4334"/>
        <v>0</v>
      </c>
    </row>
    <row r="3695" spans="4:17" s="62" customFormat="1" x14ac:dyDescent="0.3">
      <c r="D3695" s="235">
        <v>1</v>
      </c>
      <c r="E3695" s="237">
        <v>67</v>
      </c>
      <c r="F3695" s="238">
        <v>5</v>
      </c>
      <c r="G3695" s="239">
        <v>1.27</v>
      </c>
      <c r="H3695" s="239">
        <f t="shared" ref="H3695:H3706" si="4335">E3695*G3695</f>
        <v>85.09</v>
      </c>
      <c r="I3695" s="131">
        <f t="shared" ref="I3695:I3706" si="4336">IF($F3695=4.2,H3695*$B$23,0)</f>
        <v>0</v>
      </c>
      <c r="J3695" s="31">
        <f t="shared" ref="J3695:J3706" si="4337">IF($F3695=5,$H3695*$B$24,0)</f>
        <v>13.103860000000001</v>
      </c>
      <c r="K3695" s="31">
        <f t="shared" ref="K3695:K3706" si="4338">IF($F3695=6.3,$H3695*$B$25,0)</f>
        <v>0</v>
      </c>
      <c r="L3695" s="31">
        <f t="shared" ref="L3695:L3706" si="4339">IF($F3695=8,$H3695*$B$26,0)</f>
        <v>0</v>
      </c>
      <c r="M3695" s="31">
        <f t="shared" ref="M3695:M3706" si="4340">IF($F3695=10,$H3695*$B$27,0)</f>
        <v>0</v>
      </c>
      <c r="N3695" s="31">
        <f t="shared" ref="N3695:N3706" si="4341">IF($F3695=12.5,$H3695*$B$28,0)</f>
        <v>0</v>
      </c>
      <c r="O3695" s="31">
        <f t="shared" ref="O3695:O3706" si="4342">IF($F3695=16,$H3695*$B$29,0)</f>
        <v>0</v>
      </c>
      <c r="P3695" s="31">
        <f t="shared" ref="P3695:P3706" si="4343">IF($F3695=20,$H3695*$B$30,0)</f>
        <v>0</v>
      </c>
      <c r="Q3695" s="49">
        <f t="shared" ref="Q3695:Q3706" si="4344">IF($F3695=25,$H3695*$B$31,0)</f>
        <v>0</v>
      </c>
    </row>
    <row r="3696" spans="4:17" s="62" customFormat="1" x14ac:dyDescent="0.3">
      <c r="D3696" s="235">
        <v>32</v>
      </c>
      <c r="E3696" s="240">
        <v>1</v>
      </c>
      <c r="F3696" s="241">
        <v>12.5</v>
      </c>
      <c r="G3696" s="242">
        <v>3.18</v>
      </c>
      <c r="H3696" s="239">
        <f t="shared" si="4335"/>
        <v>3.18</v>
      </c>
      <c r="I3696" s="131">
        <f t="shared" si="4336"/>
        <v>0</v>
      </c>
      <c r="J3696" s="31">
        <f t="shared" si="4337"/>
        <v>0</v>
      </c>
      <c r="K3696" s="31">
        <f t="shared" si="4338"/>
        <v>0</v>
      </c>
      <c r="L3696" s="31">
        <f t="shared" si="4339"/>
        <v>0</v>
      </c>
      <c r="M3696" s="31">
        <f t="shared" si="4340"/>
        <v>0</v>
      </c>
      <c r="N3696" s="31">
        <f t="shared" si="4341"/>
        <v>3.0623399999999998</v>
      </c>
      <c r="O3696" s="31">
        <f t="shared" si="4342"/>
        <v>0</v>
      </c>
      <c r="P3696" s="31">
        <f t="shared" si="4343"/>
        <v>0</v>
      </c>
      <c r="Q3696" s="49">
        <f t="shared" si="4344"/>
        <v>0</v>
      </c>
    </row>
    <row r="3697" spans="4:17" s="62" customFormat="1" x14ac:dyDescent="0.3">
      <c r="D3697" s="235">
        <v>39</v>
      </c>
      <c r="E3697" s="240">
        <v>1</v>
      </c>
      <c r="F3697" s="241">
        <v>12.5</v>
      </c>
      <c r="G3697" s="242">
        <v>2.98</v>
      </c>
      <c r="H3697" s="239">
        <f t="shared" si="4335"/>
        <v>2.98</v>
      </c>
      <c r="I3697" s="131">
        <f t="shared" si="4336"/>
        <v>0</v>
      </c>
      <c r="J3697" s="31">
        <f t="shared" si="4337"/>
        <v>0</v>
      </c>
      <c r="K3697" s="31">
        <f t="shared" si="4338"/>
        <v>0</v>
      </c>
      <c r="L3697" s="31">
        <f t="shared" si="4339"/>
        <v>0</v>
      </c>
      <c r="M3697" s="31">
        <f t="shared" si="4340"/>
        <v>0</v>
      </c>
      <c r="N3697" s="31">
        <f t="shared" si="4341"/>
        <v>2.8697399999999997</v>
      </c>
      <c r="O3697" s="31">
        <f t="shared" si="4342"/>
        <v>0</v>
      </c>
      <c r="P3697" s="31">
        <f t="shared" si="4343"/>
        <v>0</v>
      </c>
      <c r="Q3697" s="49">
        <f t="shared" si="4344"/>
        <v>0</v>
      </c>
    </row>
    <row r="3698" spans="4:17" s="62" customFormat="1" x14ac:dyDescent="0.3">
      <c r="D3698" s="235">
        <v>40</v>
      </c>
      <c r="E3698" s="240">
        <v>2</v>
      </c>
      <c r="F3698" s="241">
        <v>12.5</v>
      </c>
      <c r="G3698" s="242">
        <v>8.2200000000000006</v>
      </c>
      <c r="H3698" s="239">
        <f t="shared" si="4335"/>
        <v>16.440000000000001</v>
      </c>
      <c r="I3698" s="131">
        <f t="shared" si="4336"/>
        <v>0</v>
      </c>
      <c r="J3698" s="31">
        <f t="shared" si="4337"/>
        <v>0</v>
      </c>
      <c r="K3698" s="31">
        <f t="shared" si="4338"/>
        <v>0</v>
      </c>
      <c r="L3698" s="31">
        <f t="shared" si="4339"/>
        <v>0</v>
      </c>
      <c r="M3698" s="31">
        <f t="shared" si="4340"/>
        <v>0</v>
      </c>
      <c r="N3698" s="31">
        <f t="shared" si="4341"/>
        <v>15.831720000000001</v>
      </c>
      <c r="O3698" s="31">
        <f t="shared" si="4342"/>
        <v>0</v>
      </c>
      <c r="P3698" s="31">
        <f t="shared" si="4343"/>
        <v>0</v>
      </c>
      <c r="Q3698" s="49">
        <f t="shared" si="4344"/>
        <v>0</v>
      </c>
    </row>
    <row r="3699" spans="4:17" s="62" customFormat="1" x14ac:dyDescent="0.3">
      <c r="D3699" s="235">
        <v>41</v>
      </c>
      <c r="E3699" s="240">
        <v>1</v>
      </c>
      <c r="F3699" s="241">
        <v>12.5</v>
      </c>
      <c r="G3699" s="242">
        <v>3</v>
      </c>
      <c r="H3699" s="239">
        <f t="shared" si="4335"/>
        <v>3</v>
      </c>
      <c r="I3699" s="131">
        <f t="shared" si="4336"/>
        <v>0</v>
      </c>
      <c r="J3699" s="31">
        <f t="shared" si="4337"/>
        <v>0</v>
      </c>
      <c r="K3699" s="31">
        <f t="shared" si="4338"/>
        <v>0</v>
      </c>
      <c r="L3699" s="31">
        <f t="shared" si="4339"/>
        <v>0</v>
      </c>
      <c r="M3699" s="31">
        <f t="shared" si="4340"/>
        <v>0</v>
      </c>
      <c r="N3699" s="31">
        <f t="shared" si="4341"/>
        <v>2.8889999999999998</v>
      </c>
      <c r="O3699" s="31">
        <f t="shared" si="4342"/>
        <v>0</v>
      </c>
      <c r="P3699" s="31">
        <f t="shared" si="4343"/>
        <v>0</v>
      </c>
      <c r="Q3699" s="49">
        <f t="shared" si="4344"/>
        <v>0</v>
      </c>
    </row>
    <row r="3700" spans="4:17" s="62" customFormat="1" x14ac:dyDescent="0.3">
      <c r="D3700" s="235">
        <v>42</v>
      </c>
      <c r="E3700" s="240">
        <v>2</v>
      </c>
      <c r="F3700" s="241">
        <v>12.5</v>
      </c>
      <c r="G3700" s="242">
        <v>3.97</v>
      </c>
      <c r="H3700" s="239">
        <f t="shared" si="4335"/>
        <v>7.94</v>
      </c>
      <c r="I3700" s="131">
        <f t="shared" si="4336"/>
        <v>0</v>
      </c>
      <c r="J3700" s="31">
        <f t="shared" si="4337"/>
        <v>0</v>
      </c>
      <c r="K3700" s="31">
        <f t="shared" si="4338"/>
        <v>0</v>
      </c>
      <c r="L3700" s="31">
        <f t="shared" si="4339"/>
        <v>0</v>
      </c>
      <c r="M3700" s="31">
        <f t="shared" si="4340"/>
        <v>0</v>
      </c>
      <c r="N3700" s="31">
        <f t="shared" si="4341"/>
        <v>7.6462200000000005</v>
      </c>
      <c r="O3700" s="31">
        <f t="shared" si="4342"/>
        <v>0</v>
      </c>
      <c r="P3700" s="31">
        <f t="shared" si="4343"/>
        <v>0</v>
      </c>
      <c r="Q3700" s="49">
        <f t="shared" si="4344"/>
        <v>0</v>
      </c>
    </row>
    <row r="3701" spans="4:17" s="62" customFormat="1" x14ac:dyDescent="0.3">
      <c r="D3701" s="235">
        <v>43</v>
      </c>
      <c r="E3701" s="240">
        <v>1</v>
      </c>
      <c r="F3701" s="241">
        <v>12.5</v>
      </c>
      <c r="G3701" s="242">
        <v>6.63</v>
      </c>
      <c r="H3701" s="239">
        <f t="shared" si="4335"/>
        <v>6.63</v>
      </c>
      <c r="I3701" s="131">
        <f t="shared" si="4336"/>
        <v>0</v>
      </c>
      <c r="J3701" s="31">
        <f t="shared" si="4337"/>
        <v>0</v>
      </c>
      <c r="K3701" s="31">
        <f t="shared" si="4338"/>
        <v>0</v>
      </c>
      <c r="L3701" s="31">
        <f t="shared" si="4339"/>
        <v>0</v>
      </c>
      <c r="M3701" s="31">
        <f t="shared" si="4340"/>
        <v>0</v>
      </c>
      <c r="N3701" s="31">
        <f t="shared" si="4341"/>
        <v>6.38469</v>
      </c>
      <c r="O3701" s="31">
        <f t="shared" si="4342"/>
        <v>0</v>
      </c>
      <c r="P3701" s="31">
        <f t="shared" si="4343"/>
        <v>0</v>
      </c>
      <c r="Q3701" s="49">
        <f t="shared" si="4344"/>
        <v>0</v>
      </c>
    </row>
    <row r="3702" spans="4:17" s="62" customFormat="1" x14ac:dyDescent="0.3">
      <c r="D3702" s="235">
        <v>44</v>
      </c>
      <c r="E3702" s="240">
        <v>2</v>
      </c>
      <c r="F3702" s="241">
        <v>12.5</v>
      </c>
      <c r="G3702" s="242">
        <v>11.11</v>
      </c>
      <c r="H3702" s="239">
        <f t="shared" si="4335"/>
        <v>22.22</v>
      </c>
      <c r="I3702" s="131">
        <f t="shared" si="4336"/>
        <v>0</v>
      </c>
      <c r="J3702" s="31">
        <f t="shared" si="4337"/>
        <v>0</v>
      </c>
      <c r="K3702" s="31">
        <f t="shared" si="4338"/>
        <v>0</v>
      </c>
      <c r="L3702" s="31">
        <f t="shared" si="4339"/>
        <v>0</v>
      </c>
      <c r="M3702" s="31">
        <f t="shared" si="4340"/>
        <v>0</v>
      </c>
      <c r="N3702" s="31">
        <f t="shared" si="4341"/>
        <v>21.397859999999998</v>
      </c>
      <c r="O3702" s="31">
        <f t="shared" si="4342"/>
        <v>0</v>
      </c>
      <c r="P3702" s="31">
        <f t="shared" si="4343"/>
        <v>0</v>
      </c>
      <c r="Q3702" s="49">
        <f t="shared" si="4344"/>
        <v>0</v>
      </c>
    </row>
    <row r="3703" spans="4:17" s="62" customFormat="1" x14ac:dyDescent="0.3">
      <c r="D3703" s="235">
        <v>45</v>
      </c>
      <c r="E3703" s="240">
        <v>2</v>
      </c>
      <c r="F3703" s="241">
        <v>12.5</v>
      </c>
      <c r="G3703" s="242">
        <v>2.09</v>
      </c>
      <c r="H3703" s="239">
        <f t="shared" si="4335"/>
        <v>4.18</v>
      </c>
      <c r="I3703" s="131">
        <f t="shared" si="4336"/>
        <v>0</v>
      </c>
      <c r="J3703" s="31">
        <f t="shared" si="4337"/>
        <v>0</v>
      </c>
      <c r="K3703" s="31">
        <f t="shared" si="4338"/>
        <v>0</v>
      </c>
      <c r="L3703" s="31">
        <f t="shared" si="4339"/>
        <v>0</v>
      </c>
      <c r="M3703" s="31">
        <f t="shared" si="4340"/>
        <v>0</v>
      </c>
      <c r="N3703" s="31">
        <f t="shared" si="4341"/>
        <v>4.0253399999999999</v>
      </c>
      <c r="O3703" s="31">
        <f t="shared" si="4342"/>
        <v>0</v>
      </c>
      <c r="P3703" s="31">
        <f t="shared" si="4343"/>
        <v>0</v>
      </c>
      <c r="Q3703" s="49">
        <f t="shared" si="4344"/>
        <v>0</v>
      </c>
    </row>
    <row r="3704" spans="4:17" s="62" customFormat="1" x14ac:dyDescent="0.3">
      <c r="D3704" s="235"/>
      <c r="E3704" s="240"/>
      <c r="F3704" s="241"/>
      <c r="G3704" s="242"/>
      <c r="H3704" s="239">
        <f t="shared" si="4335"/>
        <v>0</v>
      </c>
      <c r="I3704" s="131">
        <f t="shared" si="4336"/>
        <v>0</v>
      </c>
      <c r="J3704" s="31">
        <f t="shared" si="4337"/>
        <v>0</v>
      </c>
      <c r="K3704" s="31">
        <f t="shared" si="4338"/>
        <v>0</v>
      </c>
      <c r="L3704" s="31">
        <f t="shared" si="4339"/>
        <v>0</v>
      </c>
      <c r="M3704" s="31">
        <f t="shared" si="4340"/>
        <v>0</v>
      </c>
      <c r="N3704" s="31">
        <f t="shared" si="4341"/>
        <v>0</v>
      </c>
      <c r="O3704" s="31">
        <f t="shared" si="4342"/>
        <v>0</v>
      </c>
      <c r="P3704" s="31">
        <f t="shared" si="4343"/>
        <v>0</v>
      </c>
      <c r="Q3704" s="49">
        <f t="shared" si="4344"/>
        <v>0</v>
      </c>
    </row>
    <row r="3705" spans="4:17" s="62" customFormat="1" x14ac:dyDescent="0.3">
      <c r="D3705" s="235"/>
      <c r="E3705" s="240"/>
      <c r="F3705" s="241"/>
      <c r="G3705" s="242"/>
      <c r="H3705" s="239">
        <f t="shared" si="4335"/>
        <v>0</v>
      </c>
      <c r="I3705" s="131">
        <f t="shared" si="4336"/>
        <v>0</v>
      </c>
      <c r="J3705" s="31">
        <f t="shared" si="4337"/>
        <v>0</v>
      </c>
      <c r="K3705" s="31">
        <f t="shared" si="4338"/>
        <v>0</v>
      </c>
      <c r="L3705" s="31">
        <f t="shared" si="4339"/>
        <v>0</v>
      </c>
      <c r="M3705" s="31">
        <f t="shared" si="4340"/>
        <v>0</v>
      </c>
      <c r="N3705" s="31">
        <f t="shared" si="4341"/>
        <v>0</v>
      </c>
      <c r="O3705" s="31">
        <f t="shared" si="4342"/>
        <v>0</v>
      </c>
      <c r="P3705" s="31">
        <f t="shared" si="4343"/>
        <v>0</v>
      </c>
      <c r="Q3705" s="49">
        <f t="shared" si="4344"/>
        <v>0</v>
      </c>
    </row>
    <row r="3706" spans="4:17" s="62" customFormat="1" x14ac:dyDescent="0.3">
      <c r="D3706" s="235"/>
      <c r="E3706" s="240"/>
      <c r="F3706" s="241"/>
      <c r="G3706" s="242"/>
      <c r="H3706" s="239">
        <f t="shared" si="4335"/>
        <v>0</v>
      </c>
      <c r="I3706" s="131">
        <f t="shared" si="4336"/>
        <v>0</v>
      </c>
      <c r="J3706" s="31">
        <f t="shared" si="4337"/>
        <v>0</v>
      </c>
      <c r="K3706" s="31">
        <f t="shared" si="4338"/>
        <v>0</v>
      </c>
      <c r="L3706" s="31">
        <f t="shared" si="4339"/>
        <v>0</v>
      </c>
      <c r="M3706" s="31">
        <f t="shared" si="4340"/>
        <v>0</v>
      </c>
      <c r="N3706" s="31">
        <f t="shared" si="4341"/>
        <v>0</v>
      </c>
      <c r="O3706" s="31">
        <f t="shared" si="4342"/>
        <v>0</v>
      </c>
      <c r="P3706" s="31">
        <f t="shared" si="4343"/>
        <v>0</v>
      </c>
      <c r="Q3706" s="49">
        <f t="shared" si="4344"/>
        <v>0</v>
      </c>
    </row>
    <row r="3707" spans="4:17" s="62" customFormat="1" ht="15" thickBot="1" x14ac:dyDescent="0.35">
      <c r="D3707" s="307"/>
      <c r="E3707" s="26"/>
      <c r="F3707" s="206"/>
      <c r="G3707" s="207"/>
      <c r="H3707" s="207"/>
      <c r="I3707" s="51"/>
      <c r="J3707" s="308"/>
      <c r="K3707" s="308"/>
      <c r="L3707" s="308"/>
      <c r="M3707" s="308"/>
      <c r="N3707" s="308"/>
      <c r="O3707" s="308"/>
      <c r="P3707" s="308"/>
      <c r="Q3707" s="309"/>
    </row>
    <row r="3708" spans="4:17" s="62" customFormat="1" x14ac:dyDescent="0.3">
      <c r="D3708" s="796" t="s">
        <v>2043</v>
      </c>
      <c r="E3708" s="797"/>
      <c r="F3708" s="797"/>
      <c r="G3708" s="797"/>
      <c r="H3708" s="797"/>
      <c r="I3708" s="47">
        <f t="shared" ref="I3708:Q3708" si="4345">SUM(I3709:I3717)</f>
        <v>0</v>
      </c>
      <c r="J3708" s="47">
        <f t="shared" si="4345"/>
        <v>12.7127</v>
      </c>
      <c r="K3708" s="47">
        <f t="shared" si="4345"/>
        <v>0</v>
      </c>
      <c r="L3708" s="47">
        <f t="shared" si="4345"/>
        <v>0</v>
      </c>
      <c r="M3708" s="47">
        <f t="shared" si="4345"/>
        <v>0</v>
      </c>
      <c r="N3708" s="47">
        <f t="shared" si="4345"/>
        <v>64.049129999999991</v>
      </c>
      <c r="O3708" s="47">
        <f t="shared" si="4345"/>
        <v>0</v>
      </c>
      <c r="P3708" s="47">
        <f t="shared" si="4345"/>
        <v>0</v>
      </c>
      <c r="Q3708" s="47">
        <f t="shared" si="4345"/>
        <v>0</v>
      </c>
    </row>
    <row r="3709" spans="4:17" s="62" customFormat="1" x14ac:dyDescent="0.3">
      <c r="D3709" s="235">
        <v>1</v>
      </c>
      <c r="E3709" s="237">
        <v>65</v>
      </c>
      <c r="F3709" s="238">
        <v>5</v>
      </c>
      <c r="G3709" s="239">
        <v>1.27</v>
      </c>
      <c r="H3709" s="239">
        <f t="shared" ref="H3709:H3717" si="4346">E3709*G3709</f>
        <v>82.55</v>
      </c>
      <c r="I3709" s="131">
        <f t="shared" ref="I3709:I3717" si="4347">IF($F3709=4.2,H3709*$B$23,0)</f>
        <v>0</v>
      </c>
      <c r="J3709" s="31">
        <f t="shared" ref="J3709:J3717" si="4348">IF($F3709=5,$H3709*$B$24,0)</f>
        <v>12.7127</v>
      </c>
      <c r="K3709" s="31">
        <f t="shared" ref="K3709:K3717" si="4349">IF($F3709=6.3,$H3709*$B$25,0)</f>
        <v>0</v>
      </c>
      <c r="L3709" s="31">
        <f t="shared" ref="L3709:L3717" si="4350">IF($F3709=8,$H3709*$B$26,0)</f>
        <v>0</v>
      </c>
      <c r="M3709" s="31">
        <f t="shared" ref="M3709:M3717" si="4351">IF($F3709=10,$H3709*$B$27,0)</f>
        <v>0</v>
      </c>
      <c r="N3709" s="31">
        <f t="shared" ref="N3709:N3717" si="4352">IF($F3709=12.5,$H3709*$B$28,0)</f>
        <v>0</v>
      </c>
      <c r="O3709" s="31">
        <f t="shared" ref="O3709:O3717" si="4353">IF($F3709=16,$H3709*$B$29,0)</f>
        <v>0</v>
      </c>
      <c r="P3709" s="31">
        <f t="shared" ref="P3709:P3717" si="4354">IF($F3709=20,$H3709*$B$30,0)</f>
        <v>0</v>
      </c>
      <c r="Q3709" s="49">
        <f t="shared" ref="Q3709:Q3717" si="4355">IF($F3709=25,$H3709*$B$31,0)</f>
        <v>0</v>
      </c>
    </row>
    <row r="3710" spans="4:17" s="62" customFormat="1" x14ac:dyDescent="0.3">
      <c r="D3710" s="235">
        <v>32</v>
      </c>
      <c r="E3710" s="240">
        <v>1</v>
      </c>
      <c r="F3710" s="241">
        <v>12.5</v>
      </c>
      <c r="G3710" s="242">
        <v>3.18</v>
      </c>
      <c r="H3710" s="239">
        <f t="shared" si="4346"/>
        <v>3.18</v>
      </c>
      <c r="I3710" s="131">
        <f t="shared" si="4347"/>
        <v>0</v>
      </c>
      <c r="J3710" s="31">
        <f t="shared" si="4348"/>
        <v>0</v>
      </c>
      <c r="K3710" s="31">
        <f t="shared" si="4349"/>
        <v>0</v>
      </c>
      <c r="L3710" s="31">
        <f t="shared" si="4350"/>
        <v>0</v>
      </c>
      <c r="M3710" s="31">
        <f t="shared" si="4351"/>
        <v>0</v>
      </c>
      <c r="N3710" s="31">
        <f t="shared" si="4352"/>
        <v>3.0623399999999998</v>
      </c>
      <c r="O3710" s="31">
        <f t="shared" si="4353"/>
        <v>0</v>
      </c>
      <c r="P3710" s="31">
        <f t="shared" si="4354"/>
        <v>0</v>
      </c>
      <c r="Q3710" s="49">
        <f t="shared" si="4355"/>
        <v>0</v>
      </c>
    </row>
    <row r="3711" spans="4:17" s="62" customFormat="1" x14ac:dyDescent="0.3">
      <c r="D3711" s="235">
        <v>37</v>
      </c>
      <c r="E3711" s="240">
        <v>2</v>
      </c>
      <c r="F3711" s="241">
        <v>12.5</v>
      </c>
      <c r="G3711" s="242">
        <v>11.11</v>
      </c>
      <c r="H3711" s="239">
        <f t="shared" si="4346"/>
        <v>22.22</v>
      </c>
      <c r="I3711" s="131">
        <f t="shared" si="4347"/>
        <v>0</v>
      </c>
      <c r="J3711" s="31">
        <f t="shared" si="4348"/>
        <v>0</v>
      </c>
      <c r="K3711" s="31">
        <f t="shared" si="4349"/>
        <v>0</v>
      </c>
      <c r="L3711" s="31">
        <f t="shared" si="4350"/>
        <v>0</v>
      </c>
      <c r="M3711" s="31">
        <f t="shared" si="4351"/>
        <v>0</v>
      </c>
      <c r="N3711" s="31">
        <f t="shared" si="4352"/>
        <v>21.397859999999998</v>
      </c>
      <c r="O3711" s="31">
        <f t="shared" si="4353"/>
        <v>0</v>
      </c>
      <c r="P3711" s="31">
        <f t="shared" si="4354"/>
        <v>0</v>
      </c>
      <c r="Q3711" s="49">
        <f t="shared" si="4355"/>
        <v>0</v>
      </c>
    </row>
    <row r="3712" spans="4:17" s="62" customFormat="1" x14ac:dyDescent="0.3">
      <c r="D3712" s="235">
        <v>46</v>
      </c>
      <c r="E3712" s="240">
        <v>1</v>
      </c>
      <c r="F3712" s="241">
        <v>12.5</v>
      </c>
      <c r="G3712" s="242">
        <v>3.23</v>
      </c>
      <c r="H3712" s="239">
        <f t="shared" si="4346"/>
        <v>3.23</v>
      </c>
      <c r="I3712" s="131">
        <f t="shared" si="4347"/>
        <v>0</v>
      </c>
      <c r="J3712" s="31">
        <f t="shared" si="4348"/>
        <v>0</v>
      </c>
      <c r="K3712" s="31">
        <f t="shared" si="4349"/>
        <v>0</v>
      </c>
      <c r="L3712" s="31">
        <f t="shared" si="4350"/>
        <v>0</v>
      </c>
      <c r="M3712" s="31">
        <f t="shared" si="4351"/>
        <v>0</v>
      </c>
      <c r="N3712" s="31">
        <f t="shared" si="4352"/>
        <v>3.11049</v>
      </c>
      <c r="O3712" s="31">
        <f t="shared" si="4353"/>
        <v>0</v>
      </c>
      <c r="P3712" s="31">
        <f t="shared" si="4354"/>
        <v>0</v>
      </c>
      <c r="Q3712" s="49">
        <f t="shared" si="4355"/>
        <v>0</v>
      </c>
    </row>
    <row r="3713" spans="4:17" s="62" customFormat="1" x14ac:dyDescent="0.3">
      <c r="D3713" s="235">
        <v>47</v>
      </c>
      <c r="E3713" s="240">
        <v>1</v>
      </c>
      <c r="F3713" s="241">
        <v>12.5</v>
      </c>
      <c r="G3713" s="242">
        <v>3</v>
      </c>
      <c r="H3713" s="239">
        <f t="shared" si="4346"/>
        <v>3</v>
      </c>
      <c r="I3713" s="131">
        <f t="shared" si="4347"/>
        <v>0</v>
      </c>
      <c r="J3713" s="31">
        <f t="shared" si="4348"/>
        <v>0</v>
      </c>
      <c r="K3713" s="31">
        <f t="shared" si="4349"/>
        <v>0</v>
      </c>
      <c r="L3713" s="31">
        <f t="shared" si="4350"/>
        <v>0</v>
      </c>
      <c r="M3713" s="31">
        <f t="shared" si="4351"/>
        <v>0</v>
      </c>
      <c r="N3713" s="31">
        <f t="shared" si="4352"/>
        <v>2.8889999999999998</v>
      </c>
      <c r="O3713" s="31">
        <f t="shared" si="4353"/>
        <v>0</v>
      </c>
      <c r="P3713" s="31">
        <f t="shared" si="4354"/>
        <v>0</v>
      </c>
      <c r="Q3713" s="49">
        <f t="shared" si="4355"/>
        <v>0</v>
      </c>
    </row>
    <row r="3714" spans="4:17" s="62" customFormat="1" x14ac:dyDescent="0.3">
      <c r="D3714" s="235">
        <v>48</v>
      </c>
      <c r="E3714" s="240">
        <v>2</v>
      </c>
      <c r="F3714" s="241">
        <v>12.5</v>
      </c>
      <c r="G3714" s="242">
        <v>8.0399999999999991</v>
      </c>
      <c r="H3714" s="239">
        <f t="shared" si="4346"/>
        <v>16.079999999999998</v>
      </c>
      <c r="I3714" s="131">
        <f t="shared" si="4347"/>
        <v>0</v>
      </c>
      <c r="J3714" s="31">
        <f t="shared" si="4348"/>
        <v>0</v>
      </c>
      <c r="K3714" s="31">
        <f t="shared" si="4349"/>
        <v>0</v>
      </c>
      <c r="L3714" s="31">
        <f t="shared" si="4350"/>
        <v>0</v>
      </c>
      <c r="M3714" s="31">
        <f t="shared" si="4351"/>
        <v>0</v>
      </c>
      <c r="N3714" s="31">
        <f t="shared" si="4352"/>
        <v>15.485039999999998</v>
      </c>
      <c r="O3714" s="31">
        <f t="shared" si="4353"/>
        <v>0</v>
      </c>
      <c r="P3714" s="31">
        <f t="shared" si="4354"/>
        <v>0</v>
      </c>
      <c r="Q3714" s="49">
        <f t="shared" si="4355"/>
        <v>0</v>
      </c>
    </row>
    <row r="3715" spans="4:17" s="62" customFormat="1" x14ac:dyDescent="0.3">
      <c r="D3715" s="235">
        <v>49</v>
      </c>
      <c r="E3715" s="240">
        <v>2</v>
      </c>
      <c r="F3715" s="241">
        <v>12.5</v>
      </c>
      <c r="G3715" s="242">
        <v>4.04</v>
      </c>
      <c r="H3715" s="239">
        <f t="shared" si="4346"/>
        <v>8.08</v>
      </c>
      <c r="I3715" s="131">
        <f t="shared" si="4347"/>
        <v>0</v>
      </c>
      <c r="J3715" s="31">
        <f t="shared" si="4348"/>
        <v>0</v>
      </c>
      <c r="K3715" s="31">
        <f t="shared" si="4349"/>
        <v>0</v>
      </c>
      <c r="L3715" s="31">
        <f t="shared" si="4350"/>
        <v>0</v>
      </c>
      <c r="M3715" s="31">
        <f t="shared" si="4351"/>
        <v>0</v>
      </c>
      <c r="N3715" s="31">
        <f t="shared" si="4352"/>
        <v>7.78104</v>
      </c>
      <c r="O3715" s="31">
        <f t="shared" si="4353"/>
        <v>0</v>
      </c>
      <c r="P3715" s="31">
        <f t="shared" si="4354"/>
        <v>0</v>
      </c>
      <c r="Q3715" s="49">
        <f t="shared" si="4355"/>
        <v>0</v>
      </c>
    </row>
    <row r="3716" spans="4:17" s="62" customFormat="1" x14ac:dyDescent="0.3">
      <c r="D3716" s="235">
        <v>50</v>
      </c>
      <c r="E3716" s="240">
        <v>1</v>
      </c>
      <c r="F3716" s="241">
        <v>12.5</v>
      </c>
      <c r="G3716" s="242">
        <v>6.6</v>
      </c>
      <c r="H3716" s="239">
        <f t="shared" si="4346"/>
        <v>6.6</v>
      </c>
      <c r="I3716" s="131">
        <f t="shared" si="4347"/>
        <v>0</v>
      </c>
      <c r="J3716" s="31">
        <f t="shared" si="4348"/>
        <v>0</v>
      </c>
      <c r="K3716" s="31">
        <f t="shared" si="4349"/>
        <v>0</v>
      </c>
      <c r="L3716" s="31">
        <f t="shared" si="4350"/>
        <v>0</v>
      </c>
      <c r="M3716" s="31">
        <f t="shared" si="4351"/>
        <v>0</v>
      </c>
      <c r="N3716" s="31">
        <f t="shared" si="4352"/>
        <v>6.3557999999999995</v>
      </c>
      <c r="O3716" s="31">
        <f t="shared" si="4353"/>
        <v>0</v>
      </c>
      <c r="P3716" s="31">
        <f t="shared" si="4354"/>
        <v>0</v>
      </c>
      <c r="Q3716" s="49">
        <f t="shared" si="4355"/>
        <v>0</v>
      </c>
    </row>
    <row r="3717" spans="4:17" s="62" customFormat="1" x14ac:dyDescent="0.3">
      <c r="D3717" s="235">
        <v>51</v>
      </c>
      <c r="E3717" s="240">
        <v>2</v>
      </c>
      <c r="F3717" s="241">
        <v>12.5</v>
      </c>
      <c r="G3717" s="242">
        <v>2.06</v>
      </c>
      <c r="H3717" s="239">
        <f t="shared" si="4346"/>
        <v>4.12</v>
      </c>
      <c r="I3717" s="131">
        <f t="shared" si="4347"/>
        <v>0</v>
      </c>
      <c r="J3717" s="31">
        <f t="shared" si="4348"/>
        <v>0</v>
      </c>
      <c r="K3717" s="31">
        <f t="shared" si="4349"/>
        <v>0</v>
      </c>
      <c r="L3717" s="31">
        <f t="shared" si="4350"/>
        <v>0</v>
      </c>
      <c r="M3717" s="31">
        <f t="shared" si="4351"/>
        <v>0</v>
      </c>
      <c r="N3717" s="31">
        <f t="shared" si="4352"/>
        <v>3.9675599999999998</v>
      </c>
      <c r="O3717" s="31">
        <f t="shared" si="4353"/>
        <v>0</v>
      </c>
      <c r="P3717" s="31">
        <f t="shared" si="4354"/>
        <v>0</v>
      </c>
      <c r="Q3717" s="49">
        <f t="shared" si="4355"/>
        <v>0</v>
      </c>
    </row>
    <row r="3718" spans="4:17" s="62" customFormat="1" ht="15" thickBot="1" x14ac:dyDescent="0.35">
      <c r="D3718" s="307"/>
      <c r="E3718" s="26"/>
      <c r="F3718" s="206"/>
      <c r="G3718" s="207"/>
      <c r="H3718" s="207"/>
      <c r="I3718" s="51"/>
      <c r="J3718" s="308"/>
      <c r="K3718" s="308"/>
      <c r="L3718" s="308"/>
      <c r="M3718" s="308"/>
      <c r="N3718" s="308"/>
      <c r="O3718" s="308"/>
      <c r="P3718" s="308"/>
      <c r="Q3718" s="309"/>
    </row>
    <row r="3719" spans="4:17" s="62" customFormat="1" x14ac:dyDescent="0.3">
      <c r="D3719" s="796" t="s">
        <v>2044</v>
      </c>
      <c r="E3719" s="797"/>
      <c r="F3719" s="797"/>
      <c r="G3719" s="797"/>
      <c r="H3719" s="797"/>
      <c r="I3719" s="47">
        <f t="shared" ref="I3719:Q3719" si="4356">SUM(I3720:I3724)</f>
        <v>0</v>
      </c>
      <c r="J3719" s="47">
        <f t="shared" si="4356"/>
        <v>9.1891799999999986</v>
      </c>
      <c r="K3719" s="47">
        <f t="shared" si="4356"/>
        <v>0</v>
      </c>
      <c r="L3719" s="47">
        <f t="shared" si="4356"/>
        <v>15.796050000000001</v>
      </c>
      <c r="M3719" s="47">
        <f t="shared" si="4356"/>
        <v>14.9314</v>
      </c>
      <c r="N3719" s="47">
        <f t="shared" si="4356"/>
        <v>0</v>
      </c>
      <c r="O3719" s="47">
        <f t="shared" si="4356"/>
        <v>0</v>
      </c>
      <c r="P3719" s="47">
        <f t="shared" si="4356"/>
        <v>0</v>
      </c>
      <c r="Q3719" s="47">
        <f t="shared" si="4356"/>
        <v>0</v>
      </c>
    </row>
    <row r="3720" spans="4:17" s="62" customFormat="1" x14ac:dyDescent="0.3">
      <c r="D3720" s="235">
        <v>3</v>
      </c>
      <c r="E3720" s="237">
        <v>51</v>
      </c>
      <c r="F3720" s="238">
        <v>5</v>
      </c>
      <c r="G3720" s="239">
        <v>1.17</v>
      </c>
      <c r="H3720" s="239">
        <f t="shared" ref="H3720:H3724" si="4357">E3720*G3720</f>
        <v>59.669999999999995</v>
      </c>
      <c r="I3720" s="131">
        <f t="shared" ref="I3720:I3724" si="4358">IF($F3720=4.2,H3720*$B$23,0)</f>
        <v>0</v>
      </c>
      <c r="J3720" s="31">
        <f t="shared" ref="J3720:J3724" si="4359">IF($F3720=5,$H3720*$B$24,0)</f>
        <v>9.1891799999999986</v>
      </c>
      <c r="K3720" s="31">
        <f t="shared" ref="K3720:K3724" si="4360">IF($F3720=6.3,$H3720*$B$25,0)</f>
        <v>0</v>
      </c>
      <c r="L3720" s="31">
        <f t="shared" ref="L3720:L3724" si="4361">IF($F3720=8,$H3720*$B$26,0)</f>
        <v>0</v>
      </c>
      <c r="M3720" s="31">
        <f t="shared" ref="M3720:M3724" si="4362">IF($F3720=10,$H3720*$B$27,0)</f>
        <v>0</v>
      </c>
      <c r="N3720" s="31">
        <f t="shared" ref="N3720:N3724" si="4363">IF($F3720=12.5,$H3720*$B$28,0)</f>
        <v>0</v>
      </c>
      <c r="O3720" s="31">
        <f t="shared" ref="O3720:O3724" si="4364">IF($F3720=16,$H3720*$B$29,0)</f>
        <v>0</v>
      </c>
      <c r="P3720" s="31">
        <f t="shared" ref="P3720:P3724" si="4365">IF($F3720=20,$H3720*$B$30,0)</f>
        <v>0</v>
      </c>
      <c r="Q3720" s="49">
        <f t="shared" ref="Q3720:Q3724" si="4366">IF($F3720=25,$H3720*$B$31,0)</f>
        <v>0</v>
      </c>
    </row>
    <row r="3721" spans="4:17" s="62" customFormat="1" x14ac:dyDescent="0.3">
      <c r="D3721" s="235">
        <v>18</v>
      </c>
      <c r="E3721" s="240">
        <v>3</v>
      </c>
      <c r="F3721" s="241">
        <v>8</v>
      </c>
      <c r="G3721" s="242">
        <v>11.31</v>
      </c>
      <c r="H3721" s="239">
        <f t="shared" si="4357"/>
        <v>33.93</v>
      </c>
      <c r="I3721" s="131">
        <f t="shared" si="4358"/>
        <v>0</v>
      </c>
      <c r="J3721" s="31">
        <f t="shared" si="4359"/>
        <v>0</v>
      </c>
      <c r="K3721" s="31">
        <f t="shared" si="4360"/>
        <v>0</v>
      </c>
      <c r="L3721" s="31">
        <f t="shared" si="4361"/>
        <v>13.40235</v>
      </c>
      <c r="M3721" s="31">
        <f t="shared" si="4362"/>
        <v>0</v>
      </c>
      <c r="N3721" s="31">
        <f t="shared" si="4363"/>
        <v>0</v>
      </c>
      <c r="O3721" s="31">
        <f t="shared" si="4364"/>
        <v>0</v>
      </c>
      <c r="P3721" s="31">
        <f t="shared" si="4365"/>
        <v>0</v>
      </c>
      <c r="Q3721" s="49">
        <f t="shared" si="4366"/>
        <v>0</v>
      </c>
    </row>
    <row r="3722" spans="4:17" s="62" customFormat="1" x14ac:dyDescent="0.3">
      <c r="D3722" s="235">
        <v>19</v>
      </c>
      <c r="E3722" s="240">
        <v>3</v>
      </c>
      <c r="F3722" s="241">
        <v>8</v>
      </c>
      <c r="G3722" s="242">
        <v>2.02</v>
      </c>
      <c r="H3722" s="239">
        <f t="shared" si="4357"/>
        <v>6.0600000000000005</v>
      </c>
      <c r="I3722" s="131">
        <f t="shared" si="4358"/>
        <v>0</v>
      </c>
      <c r="J3722" s="31">
        <f t="shared" si="4359"/>
        <v>0</v>
      </c>
      <c r="K3722" s="31">
        <f t="shared" si="4360"/>
        <v>0</v>
      </c>
      <c r="L3722" s="31">
        <f t="shared" si="4361"/>
        <v>2.3937000000000004</v>
      </c>
      <c r="M3722" s="31">
        <f t="shared" si="4362"/>
        <v>0</v>
      </c>
      <c r="N3722" s="31">
        <f t="shared" si="4363"/>
        <v>0</v>
      </c>
      <c r="O3722" s="31">
        <f t="shared" si="4364"/>
        <v>0</v>
      </c>
      <c r="P3722" s="31">
        <f t="shared" si="4365"/>
        <v>0</v>
      </c>
      <c r="Q3722" s="49">
        <f t="shared" si="4366"/>
        <v>0</v>
      </c>
    </row>
    <row r="3723" spans="4:17" s="62" customFormat="1" x14ac:dyDescent="0.3">
      <c r="D3723" s="235">
        <v>25</v>
      </c>
      <c r="E3723" s="240">
        <v>2</v>
      </c>
      <c r="F3723" s="241">
        <v>10</v>
      </c>
      <c r="G3723" s="242">
        <v>8.0500000000000007</v>
      </c>
      <c r="H3723" s="239">
        <f t="shared" si="4357"/>
        <v>16.100000000000001</v>
      </c>
      <c r="I3723" s="131">
        <f t="shared" si="4358"/>
        <v>0</v>
      </c>
      <c r="J3723" s="31">
        <f t="shared" si="4359"/>
        <v>0</v>
      </c>
      <c r="K3723" s="31">
        <f t="shared" si="4360"/>
        <v>0</v>
      </c>
      <c r="L3723" s="31">
        <f t="shared" si="4361"/>
        <v>0</v>
      </c>
      <c r="M3723" s="31">
        <f t="shared" si="4362"/>
        <v>9.9337</v>
      </c>
      <c r="N3723" s="31">
        <f t="shared" si="4363"/>
        <v>0</v>
      </c>
      <c r="O3723" s="31">
        <f t="shared" si="4364"/>
        <v>0</v>
      </c>
      <c r="P3723" s="31">
        <f t="shared" si="4365"/>
        <v>0</v>
      </c>
      <c r="Q3723" s="49">
        <f t="shared" si="4366"/>
        <v>0</v>
      </c>
    </row>
    <row r="3724" spans="4:17" s="62" customFormat="1" x14ac:dyDescent="0.3">
      <c r="D3724" s="235">
        <v>26</v>
      </c>
      <c r="E3724" s="240">
        <v>2</v>
      </c>
      <c r="F3724" s="241">
        <v>10</v>
      </c>
      <c r="G3724" s="242">
        <v>4.05</v>
      </c>
      <c r="H3724" s="239">
        <f t="shared" si="4357"/>
        <v>8.1</v>
      </c>
      <c r="I3724" s="131">
        <f t="shared" si="4358"/>
        <v>0</v>
      </c>
      <c r="J3724" s="31">
        <f t="shared" si="4359"/>
        <v>0</v>
      </c>
      <c r="K3724" s="31">
        <f t="shared" si="4360"/>
        <v>0</v>
      </c>
      <c r="L3724" s="31">
        <f t="shared" si="4361"/>
        <v>0</v>
      </c>
      <c r="M3724" s="31">
        <f t="shared" si="4362"/>
        <v>4.9977</v>
      </c>
      <c r="N3724" s="31">
        <f t="shared" si="4363"/>
        <v>0</v>
      </c>
      <c r="O3724" s="31">
        <f t="shared" si="4364"/>
        <v>0</v>
      </c>
      <c r="P3724" s="31">
        <f t="shared" si="4365"/>
        <v>0</v>
      </c>
      <c r="Q3724" s="49">
        <f t="shared" si="4366"/>
        <v>0</v>
      </c>
    </row>
    <row r="3725" spans="4:17" s="62" customFormat="1" ht="15" thickBot="1" x14ac:dyDescent="0.35">
      <c r="D3725" s="307"/>
      <c r="E3725" s="26"/>
      <c r="F3725" s="206"/>
      <c r="G3725" s="207"/>
      <c r="H3725" s="207"/>
      <c r="I3725" s="51"/>
      <c r="J3725" s="308"/>
      <c r="K3725" s="308"/>
      <c r="L3725" s="308"/>
      <c r="M3725" s="308"/>
      <c r="N3725" s="308"/>
      <c r="O3725" s="308"/>
      <c r="P3725" s="308"/>
      <c r="Q3725" s="309"/>
    </row>
    <row r="3726" spans="4:17" s="62" customFormat="1" x14ac:dyDescent="0.3">
      <c r="D3726" s="796" t="s">
        <v>2045</v>
      </c>
      <c r="E3726" s="797"/>
      <c r="F3726" s="797"/>
      <c r="G3726" s="797"/>
      <c r="H3726" s="797"/>
      <c r="I3726" s="47">
        <f t="shared" ref="I3726:Q3726" si="4367">SUM(I3727:I3733)</f>
        <v>0</v>
      </c>
      <c r="J3726" s="47">
        <f t="shared" si="4367"/>
        <v>8.4684599999999985</v>
      </c>
      <c r="K3726" s="47">
        <f t="shared" si="4367"/>
        <v>1.0143</v>
      </c>
      <c r="L3726" s="47">
        <f t="shared" si="4367"/>
        <v>0</v>
      </c>
      <c r="M3726" s="47">
        <f t="shared" si="4367"/>
        <v>0</v>
      </c>
      <c r="N3726" s="47">
        <f t="shared" si="4367"/>
        <v>50.210819999999998</v>
      </c>
      <c r="O3726" s="47">
        <f t="shared" si="4367"/>
        <v>0</v>
      </c>
      <c r="P3726" s="47">
        <f t="shared" si="4367"/>
        <v>0</v>
      </c>
      <c r="Q3726" s="47">
        <f t="shared" si="4367"/>
        <v>0</v>
      </c>
    </row>
    <row r="3727" spans="4:17" s="62" customFormat="1" x14ac:dyDescent="0.3">
      <c r="D3727" s="235">
        <v>3</v>
      </c>
      <c r="E3727" s="237">
        <v>47</v>
      </c>
      <c r="F3727" s="238">
        <v>5</v>
      </c>
      <c r="G3727" s="239">
        <v>1.17</v>
      </c>
      <c r="H3727" s="239">
        <f t="shared" ref="H3727:H3733" si="4368">E3727*G3727</f>
        <v>54.989999999999995</v>
      </c>
      <c r="I3727" s="131">
        <f t="shared" ref="I3727:I3733" si="4369">IF($F3727=4.2,H3727*$B$23,0)</f>
        <v>0</v>
      </c>
      <c r="J3727" s="31">
        <f t="shared" ref="J3727:J3733" si="4370">IF($F3727=5,$H3727*$B$24,0)</f>
        <v>8.4684599999999985</v>
      </c>
      <c r="K3727" s="31">
        <f t="shared" ref="K3727:K3733" si="4371">IF($F3727=6.3,$H3727*$B$25,0)</f>
        <v>0</v>
      </c>
      <c r="L3727" s="31">
        <f t="shared" ref="L3727:L3733" si="4372">IF($F3727=8,$H3727*$B$26,0)</f>
        <v>0</v>
      </c>
      <c r="M3727" s="31">
        <f t="shared" ref="M3727:M3733" si="4373">IF($F3727=10,$H3727*$B$27,0)</f>
        <v>0</v>
      </c>
      <c r="N3727" s="31">
        <f t="shared" ref="N3727:N3733" si="4374">IF($F3727=12.5,$H3727*$B$28,0)</f>
        <v>0</v>
      </c>
      <c r="O3727" s="31">
        <f t="shared" ref="O3727:O3733" si="4375">IF($F3727=16,$H3727*$B$29,0)</f>
        <v>0</v>
      </c>
      <c r="P3727" s="31">
        <f t="shared" ref="P3727:P3733" si="4376">IF($F3727=20,$H3727*$B$30,0)</f>
        <v>0</v>
      </c>
      <c r="Q3727" s="49">
        <f t="shared" ref="Q3727:Q3733" si="4377">IF($F3727=25,$H3727*$B$31,0)</f>
        <v>0</v>
      </c>
    </row>
    <row r="3728" spans="4:17" s="62" customFormat="1" x14ac:dyDescent="0.3">
      <c r="D3728" s="235">
        <v>5</v>
      </c>
      <c r="E3728" s="240">
        <v>3</v>
      </c>
      <c r="F3728" s="241">
        <v>6.3</v>
      </c>
      <c r="G3728" s="242">
        <v>0.91</v>
      </c>
      <c r="H3728" s="239">
        <f t="shared" si="4368"/>
        <v>2.73</v>
      </c>
      <c r="I3728" s="131">
        <f t="shared" si="4369"/>
        <v>0</v>
      </c>
      <c r="J3728" s="31">
        <f t="shared" si="4370"/>
        <v>0</v>
      </c>
      <c r="K3728" s="31">
        <f t="shared" si="4371"/>
        <v>0.66884999999999994</v>
      </c>
      <c r="L3728" s="31">
        <f t="shared" si="4372"/>
        <v>0</v>
      </c>
      <c r="M3728" s="31">
        <f t="shared" si="4373"/>
        <v>0</v>
      </c>
      <c r="N3728" s="31">
        <f t="shared" si="4374"/>
        <v>0</v>
      </c>
      <c r="O3728" s="31">
        <f t="shared" si="4375"/>
        <v>0</v>
      </c>
      <c r="P3728" s="31">
        <f t="shared" si="4376"/>
        <v>0</v>
      </c>
      <c r="Q3728" s="49">
        <f t="shared" si="4377"/>
        <v>0</v>
      </c>
    </row>
    <row r="3729" spans="4:17" s="62" customFormat="1" x14ac:dyDescent="0.3">
      <c r="D3729" s="235">
        <v>6</v>
      </c>
      <c r="E3729" s="240">
        <v>1</v>
      </c>
      <c r="F3729" s="241">
        <v>6.3</v>
      </c>
      <c r="G3729" s="242">
        <v>1.41</v>
      </c>
      <c r="H3729" s="239">
        <f t="shared" si="4368"/>
        <v>1.41</v>
      </c>
      <c r="I3729" s="131">
        <f t="shared" si="4369"/>
        <v>0</v>
      </c>
      <c r="J3729" s="31">
        <f t="shared" si="4370"/>
        <v>0</v>
      </c>
      <c r="K3729" s="31">
        <f t="shared" si="4371"/>
        <v>0.34544999999999998</v>
      </c>
      <c r="L3729" s="31">
        <f t="shared" si="4372"/>
        <v>0</v>
      </c>
      <c r="M3729" s="31">
        <f t="shared" si="4373"/>
        <v>0</v>
      </c>
      <c r="N3729" s="31">
        <f t="shared" si="4374"/>
        <v>0</v>
      </c>
      <c r="O3729" s="31">
        <f t="shared" si="4375"/>
        <v>0</v>
      </c>
      <c r="P3729" s="31">
        <f t="shared" si="4376"/>
        <v>0</v>
      </c>
      <c r="Q3729" s="49">
        <f t="shared" si="4377"/>
        <v>0</v>
      </c>
    </row>
    <row r="3730" spans="4:17" s="62" customFormat="1" x14ac:dyDescent="0.3">
      <c r="D3730" s="235">
        <v>52</v>
      </c>
      <c r="E3730" s="240">
        <v>2</v>
      </c>
      <c r="F3730" s="241">
        <v>12.5</v>
      </c>
      <c r="G3730" s="242">
        <v>8.17</v>
      </c>
      <c r="H3730" s="239">
        <f t="shared" si="4368"/>
        <v>16.34</v>
      </c>
      <c r="I3730" s="131">
        <f t="shared" si="4369"/>
        <v>0</v>
      </c>
      <c r="J3730" s="31">
        <f t="shared" si="4370"/>
        <v>0</v>
      </c>
      <c r="K3730" s="31">
        <f t="shared" si="4371"/>
        <v>0</v>
      </c>
      <c r="L3730" s="31">
        <f t="shared" si="4372"/>
        <v>0</v>
      </c>
      <c r="M3730" s="31">
        <f t="shared" si="4373"/>
        <v>0</v>
      </c>
      <c r="N3730" s="31">
        <f t="shared" si="4374"/>
        <v>15.73542</v>
      </c>
      <c r="O3730" s="31">
        <f t="shared" si="4375"/>
        <v>0</v>
      </c>
      <c r="P3730" s="31">
        <f t="shared" si="4376"/>
        <v>0</v>
      </c>
      <c r="Q3730" s="49">
        <f t="shared" si="4377"/>
        <v>0</v>
      </c>
    </row>
    <row r="3731" spans="4:17" s="62" customFormat="1" x14ac:dyDescent="0.3">
      <c r="D3731" s="235">
        <v>53</v>
      </c>
      <c r="E3731" s="240">
        <v>2</v>
      </c>
      <c r="F3731" s="241">
        <v>12.5</v>
      </c>
      <c r="G3731" s="242">
        <v>4.5599999999999996</v>
      </c>
      <c r="H3731" s="239">
        <f t="shared" si="4368"/>
        <v>9.1199999999999992</v>
      </c>
      <c r="I3731" s="131">
        <f t="shared" si="4369"/>
        <v>0</v>
      </c>
      <c r="J3731" s="31">
        <f t="shared" si="4370"/>
        <v>0</v>
      </c>
      <c r="K3731" s="31">
        <f t="shared" si="4371"/>
        <v>0</v>
      </c>
      <c r="L3731" s="31">
        <f t="shared" si="4372"/>
        <v>0</v>
      </c>
      <c r="M3731" s="31">
        <f t="shared" si="4373"/>
        <v>0</v>
      </c>
      <c r="N3731" s="31">
        <f t="shared" si="4374"/>
        <v>8.7825599999999984</v>
      </c>
      <c r="O3731" s="31">
        <f t="shared" si="4375"/>
        <v>0</v>
      </c>
      <c r="P3731" s="31">
        <f t="shared" si="4376"/>
        <v>0</v>
      </c>
      <c r="Q3731" s="49">
        <f t="shared" si="4377"/>
        <v>0</v>
      </c>
    </row>
    <row r="3732" spans="4:17" s="62" customFormat="1" x14ac:dyDescent="0.3">
      <c r="D3732" s="235">
        <v>54</v>
      </c>
      <c r="E3732" s="240">
        <v>2</v>
      </c>
      <c r="F3732" s="241">
        <v>12.5</v>
      </c>
      <c r="G3732" s="242">
        <v>11.3</v>
      </c>
      <c r="H3732" s="239">
        <f t="shared" si="4368"/>
        <v>22.6</v>
      </c>
      <c r="I3732" s="131">
        <f t="shared" si="4369"/>
        <v>0</v>
      </c>
      <c r="J3732" s="31">
        <f t="shared" si="4370"/>
        <v>0</v>
      </c>
      <c r="K3732" s="31">
        <f t="shared" si="4371"/>
        <v>0</v>
      </c>
      <c r="L3732" s="31">
        <f t="shared" si="4372"/>
        <v>0</v>
      </c>
      <c r="M3732" s="31">
        <f t="shared" si="4373"/>
        <v>0</v>
      </c>
      <c r="N3732" s="31">
        <f t="shared" si="4374"/>
        <v>21.7638</v>
      </c>
      <c r="O3732" s="31">
        <f t="shared" si="4375"/>
        <v>0</v>
      </c>
      <c r="P3732" s="31">
        <f t="shared" si="4376"/>
        <v>0</v>
      </c>
      <c r="Q3732" s="49">
        <f t="shared" si="4377"/>
        <v>0</v>
      </c>
    </row>
    <row r="3733" spans="4:17" s="62" customFormat="1" x14ac:dyDescent="0.3">
      <c r="D3733" s="235">
        <v>55</v>
      </c>
      <c r="E3733" s="240">
        <v>2</v>
      </c>
      <c r="F3733" s="241">
        <v>12.5</v>
      </c>
      <c r="G3733" s="242">
        <v>2.04</v>
      </c>
      <c r="H3733" s="239">
        <f t="shared" si="4368"/>
        <v>4.08</v>
      </c>
      <c r="I3733" s="131">
        <f t="shared" si="4369"/>
        <v>0</v>
      </c>
      <c r="J3733" s="31">
        <f t="shared" si="4370"/>
        <v>0</v>
      </c>
      <c r="K3733" s="31">
        <f t="shared" si="4371"/>
        <v>0</v>
      </c>
      <c r="L3733" s="31">
        <f t="shared" si="4372"/>
        <v>0</v>
      </c>
      <c r="M3733" s="31">
        <f t="shared" si="4373"/>
        <v>0</v>
      </c>
      <c r="N3733" s="31">
        <f t="shared" si="4374"/>
        <v>3.9290400000000001</v>
      </c>
      <c r="O3733" s="31">
        <f t="shared" si="4375"/>
        <v>0</v>
      </c>
      <c r="P3733" s="31">
        <f t="shared" si="4376"/>
        <v>0</v>
      </c>
      <c r="Q3733" s="49">
        <f t="shared" si="4377"/>
        <v>0</v>
      </c>
    </row>
    <row r="3734" spans="4:17" s="62" customFormat="1" ht="15" thickBot="1" x14ac:dyDescent="0.35">
      <c r="D3734" s="307"/>
      <c r="E3734" s="26"/>
      <c r="F3734" s="206"/>
      <c r="G3734" s="207"/>
      <c r="H3734" s="207"/>
      <c r="I3734" s="51"/>
      <c r="J3734" s="308"/>
      <c r="K3734" s="308"/>
      <c r="L3734" s="308"/>
      <c r="M3734" s="308"/>
      <c r="N3734" s="308"/>
      <c r="O3734" s="308"/>
      <c r="P3734" s="308"/>
      <c r="Q3734" s="309"/>
    </row>
    <row r="3735" spans="4:17" s="62" customFormat="1" x14ac:dyDescent="0.3">
      <c r="D3735" s="796" t="s">
        <v>2046</v>
      </c>
      <c r="E3735" s="797"/>
      <c r="F3735" s="797"/>
      <c r="G3735" s="797"/>
      <c r="H3735" s="797"/>
      <c r="I3735" s="47">
        <f t="shared" ref="I3735:Q3735" si="4378">SUM(I3736:I3741)</f>
        <v>0</v>
      </c>
      <c r="J3735" s="47">
        <f t="shared" si="4378"/>
        <v>9.1922599999999992</v>
      </c>
      <c r="K3735" s="47">
        <f t="shared" si="4378"/>
        <v>0</v>
      </c>
      <c r="L3735" s="47">
        <f t="shared" si="4378"/>
        <v>0</v>
      </c>
      <c r="M3735" s="47">
        <f t="shared" si="4378"/>
        <v>0</v>
      </c>
      <c r="N3735" s="47">
        <f t="shared" si="4378"/>
        <v>41.245289999999997</v>
      </c>
      <c r="O3735" s="47">
        <f t="shared" si="4378"/>
        <v>0</v>
      </c>
      <c r="P3735" s="47">
        <f t="shared" si="4378"/>
        <v>0</v>
      </c>
      <c r="Q3735" s="47">
        <f t="shared" si="4378"/>
        <v>0</v>
      </c>
    </row>
    <row r="3736" spans="4:17" s="62" customFormat="1" x14ac:dyDescent="0.3">
      <c r="D3736" s="235">
        <v>1</v>
      </c>
      <c r="E3736" s="237">
        <v>47</v>
      </c>
      <c r="F3736" s="238">
        <v>5</v>
      </c>
      <c r="G3736" s="239">
        <v>1.27</v>
      </c>
      <c r="H3736" s="239">
        <f t="shared" ref="H3736:H3741" si="4379">E3736*G3736</f>
        <v>59.69</v>
      </c>
      <c r="I3736" s="131">
        <f t="shared" ref="I3736:I3741" si="4380">IF($F3736=4.2,H3736*$B$23,0)</f>
        <v>0</v>
      </c>
      <c r="J3736" s="31">
        <f t="shared" ref="J3736:J3741" si="4381">IF($F3736=5,$H3736*$B$24,0)</f>
        <v>9.1922599999999992</v>
      </c>
      <c r="K3736" s="31">
        <f t="shared" ref="K3736:K3741" si="4382">IF($F3736=6.3,$H3736*$B$25,0)</f>
        <v>0</v>
      </c>
      <c r="L3736" s="31">
        <f t="shared" ref="L3736:L3741" si="4383">IF($F3736=8,$H3736*$B$26,0)</f>
        <v>0</v>
      </c>
      <c r="M3736" s="31">
        <f t="shared" ref="M3736:M3741" si="4384">IF($F3736=10,$H3736*$B$27,0)</f>
        <v>0</v>
      </c>
      <c r="N3736" s="31">
        <f t="shared" ref="N3736:N3741" si="4385">IF($F3736=12.5,$H3736*$B$28,0)</f>
        <v>0</v>
      </c>
      <c r="O3736" s="31">
        <f t="shared" ref="O3736:O3741" si="4386">IF($F3736=16,$H3736*$B$29,0)</f>
        <v>0</v>
      </c>
      <c r="P3736" s="31">
        <f t="shared" ref="P3736:P3741" si="4387">IF($F3736=20,$H3736*$B$30,0)</f>
        <v>0</v>
      </c>
      <c r="Q3736" s="49">
        <f t="shared" ref="Q3736:Q3741" si="4388">IF($F3736=25,$H3736*$B$31,0)</f>
        <v>0</v>
      </c>
    </row>
    <row r="3737" spans="4:17" s="62" customFormat="1" x14ac:dyDescent="0.3">
      <c r="D3737" s="235">
        <v>13</v>
      </c>
      <c r="E3737" s="240">
        <v>1</v>
      </c>
      <c r="F3737" s="241">
        <v>12.5</v>
      </c>
      <c r="G3737" s="242">
        <v>0.92</v>
      </c>
      <c r="H3737" s="239">
        <f t="shared" si="4379"/>
        <v>0.92</v>
      </c>
      <c r="I3737" s="131">
        <f t="shared" si="4380"/>
        <v>0</v>
      </c>
      <c r="J3737" s="31">
        <f t="shared" si="4381"/>
        <v>0</v>
      </c>
      <c r="K3737" s="31">
        <f t="shared" si="4382"/>
        <v>0</v>
      </c>
      <c r="L3737" s="31">
        <f t="shared" si="4383"/>
        <v>0</v>
      </c>
      <c r="M3737" s="31">
        <f t="shared" si="4384"/>
        <v>0</v>
      </c>
      <c r="N3737" s="31">
        <f t="shared" si="4385"/>
        <v>0.88595999999999997</v>
      </c>
      <c r="O3737" s="31">
        <f t="shared" si="4386"/>
        <v>0</v>
      </c>
      <c r="P3737" s="31">
        <f t="shared" si="4387"/>
        <v>0</v>
      </c>
      <c r="Q3737" s="49">
        <f t="shared" si="4388"/>
        <v>0</v>
      </c>
    </row>
    <row r="3738" spans="4:17" s="62" customFormat="1" x14ac:dyDescent="0.3">
      <c r="D3738" s="235">
        <v>14</v>
      </c>
      <c r="E3738" s="240">
        <v>1</v>
      </c>
      <c r="F3738" s="241">
        <v>12.5</v>
      </c>
      <c r="G3738" s="242">
        <v>2.78</v>
      </c>
      <c r="H3738" s="239">
        <f t="shared" si="4379"/>
        <v>2.78</v>
      </c>
      <c r="I3738" s="131">
        <f t="shared" si="4380"/>
        <v>0</v>
      </c>
      <c r="J3738" s="31">
        <f t="shared" si="4381"/>
        <v>0</v>
      </c>
      <c r="K3738" s="31">
        <f t="shared" si="4382"/>
        <v>0</v>
      </c>
      <c r="L3738" s="31">
        <f t="shared" si="4383"/>
        <v>0</v>
      </c>
      <c r="M3738" s="31">
        <f t="shared" si="4384"/>
        <v>0</v>
      </c>
      <c r="N3738" s="31">
        <f t="shared" si="4385"/>
        <v>2.6771399999999996</v>
      </c>
      <c r="O3738" s="31">
        <f t="shared" si="4386"/>
        <v>0</v>
      </c>
      <c r="P3738" s="31">
        <f t="shared" si="4387"/>
        <v>0</v>
      </c>
      <c r="Q3738" s="49">
        <f t="shared" si="4388"/>
        <v>0</v>
      </c>
    </row>
    <row r="3739" spans="4:17" s="62" customFormat="1" x14ac:dyDescent="0.3">
      <c r="D3739" s="235">
        <v>15</v>
      </c>
      <c r="E3739" s="240">
        <v>1</v>
      </c>
      <c r="F3739" s="241">
        <v>12.5</v>
      </c>
      <c r="G3739" s="242">
        <v>2.75</v>
      </c>
      <c r="H3739" s="239">
        <f t="shared" si="4379"/>
        <v>2.75</v>
      </c>
      <c r="I3739" s="131">
        <f t="shared" si="4380"/>
        <v>0</v>
      </c>
      <c r="J3739" s="31">
        <f t="shared" si="4381"/>
        <v>0</v>
      </c>
      <c r="K3739" s="31">
        <f t="shared" si="4382"/>
        <v>0</v>
      </c>
      <c r="L3739" s="31">
        <f t="shared" si="4383"/>
        <v>0</v>
      </c>
      <c r="M3739" s="31">
        <f t="shared" si="4384"/>
        <v>0</v>
      </c>
      <c r="N3739" s="31">
        <f t="shared" si="4385"/>
        <v>2.64825</v>
      </c>
      <c r="O3739" s="31">
        <f t="shared" si="4386"/>
        <v>0</v>
      </c>
      <c r="P3739" s="31">
        <f t="shared" si="4387"/>
        <v>0</v>
      </c>
      <c r="Q3739" s="49">
        <f t="shared" si="4388"/>
        <v>0</v>
      </c>
    </row>
    <row r="3740" spans="4:17" s="62" customFormat="1" x14ac:dyDescent="0.3">
      <c r="D3740" s="235">
        <v>16</v>
      </c>
      <c r="E3740" s="240">
        <v>2</v>
      </c>
      <c r="F3740" s="241">
        <v>12.5</v>
      </c>
      <c r="G3740" s="242">
        <v>8.89</v>
      </c>
      <c r="H3740" s="239">
        <f t="shared" si="4379"/>
        <v>17.78</v>
      </c>
      <c r="I3740" s="131">
        <f t="shared" si="4380"/>
        <v>0</v>
      </c>
      <c r="J3740" s="31">
        <f t="shared" si="4381"/>
        <v>0</v>
      </c>
      <c r="K3740" s="31">
        <f t="shared" si="4382"/>
        <v>0</v>
      </c>
      <c r="L3740" s="31">
        <f t="shared" si="4383"/>
        <v>0</v>
      </c>
      <c r="M3740" s="31">
        <f t="shared" si="4384"/>
        <v>0</v>
      </c>
      <c r="N3740" s="31">
        <f t="shared" si="4385"/>
        <v>17.122140000000002</v>
      </c>
      <c r="O3740" s="31">
        <f t="shared" si="4386"/>
        <v>0</v>
      </c>
      <c r="P3740" s="31">
        <f t="shared" si="4387"/>
        <v>0</v>
      </c>
      <c r="Q3740" s="49">
        <f t="shared" si="4388"/>
        <v>0</v>
      </c>
    </row>
    <row r="3741" spans="4:17" s="62" customFormat="1" x14ac:dyDescent="0.3">
      <c r="D3741" s="235">
        <v>17</v>
      </c>
      <c r="E3741" s="240">
        <v>2</v>
      </c>
      <c r="F3741" s="241">
        <v>12.5</v>
      </c>
      <c r="G3741" s="242">
        <v>9.3000000000000007</v>
      </c>
      <c r="H3741" s="239">
        <f t="shared" si="4379"/>
        <v>18.600000000000001</v>
      </c>
      <c r="I3741" s="131">
        <f t="shared" si="4380"/>
        <v>0</v>
      </c>
      <c r="J3741" s="31">
        <f t="shared" si="4381"/>
        <v>0</v>
      </c>
      <c r="K3741" s="31">
        <f t="shared" si="4382"/>
        <v>0</v>
      </c>
      <c r="L3741" s="31">
        <f t="shared" si="4383"/>
        <v>0</v>
      </c>
      <c r="M3741" s="31">
        <f t="shared" si="4384"/>
        <v>0</v>
      </c>
      <c r="N3741" s="31">
        <f t="shared" si="4385"/>
        <v>17.911799999999999</v>
      </c>
      <c r="O3741" s="31">
        <f t="shared" si="4386"/>
        <v>0</v>
      </c>
      <c r="P3741" s="31">
        <f t="shared" si="4387"/>
        <v>0</v>
      </c>
      <c r="Q3741" s="49">
        <f t="shared" si="4388"/>
        <v>0</v>
      </c>
    </row>
    <row r="3742" spans="4:17" s="62" customFormat="1" ht="15" thickBot="1" x14ac:dyDescent="0.35">
      <c r="D3742" s="307"/>
      <c r="E3742" s="26"/>
      <c r="F3742" s="206"/>
      <c r="G3742" s="207"/>
      <c r="H3742" s="207"/>
      <c r="I3742" s="51"/>
      <c r="J3742" s="308"/>
      <c r="K3742" s="308"/>
      <c r="L3742" s="308"/>
      <c r="M3742" s="308"/>
      <c r="N3742" s="308"/>
      <c r="O3742" s="308"/>
      <c r="P3742" s="308"/>
      <c r="Q3742" s="309"/>
    </row>
    <row r="3743" spans="4:17" s="62" customFormat="1" x14ac:dyDescent="0.3">
      <c r="D3743" s="796" t="s">
        <v>2047</v>
      </c>
      <c r="E3743" s="797"/>
      <c r="F3743" s="797"/>
      <c r="G3743" s="797"/>
      <c r="H3743" s="797"/>
      <c r="I3743" s="47">
        <f t="shared" ref="I3743:Q3743" si="4389">SUM(I3744:I3755)</f>
        <v>0</v>
      </c>
      <c r="J3743" s="47">
        <f t="shared" si="4389"/>
        <v>12.51712</v>
      </c>
      <c r="K3743" s="47">
        <f t="shared" si="4389"/>
        <v>0</v>
      </c>
      <c r="L3743" s="47">
        <f t="shared" si="4389"/>
        <v>0</v>
      </c>
      <c r="M3743" s="47">
        <f t="shared" si="4389"/>
        <v>0</v>
      </c>
      <c r="N3743" s="47">
        <f t="shared" si="4389"/>
        <v>65.445480000000003</v>
      </c>
      <c r="O3743" s="47">
        <f t="shared" si="4389"/>
        <v>0</v>
      </c>
      <c r="P3743" s="47">
        <f t="shared" si="4389"/>
        <v>0</v>
      </c>
      <c r="Q3743" s="47">
        <f t="shared" si="4389"/>
        <v>0</v>
      </c>
    </row>
    <row r="3744" spans="4:17" s="62" customFormat="1" x14ac:dyDescent="0.3">
      <c r="D3744" s="235">
        <v>1</v>
      </c>
      <c r="E3744" s="237">
        <v>64</v>
      </c>
      <c r="F3744" s="238">
        <v>5</v>
      </c>
      <c r="G3744" s="239">
        <v>1.27</v>
      </c>
      <c r="H3744" s="239">
        <f t="shared" ref="H3744:H3755" si="4390">E3744*G3744</f>
        <v>81.28</v>
      </c>
      <c r="I3744" s="131">
        <f t="shared" ref="I3744:I3755" si="4391">IF($F3744=4.2,H3744*$B$23,0)</f>
        <v>0</v>
      </c>
      <c r="J3744" s="31">
        <f t="shared" ref="J3744:J3755" si="4392">IF($F3744=5,$H3744*$B$24,0)</f>
        <v>12.51712</v>
      </c>
      <c r="K3744" s="31">
        <f t="shared" ref="K3744:K3755" si="4393">IF($F3744=6.3,$H3744*$B$25,0)</f>
        <v>0</v>
      </c>
      <c r="L3744" s="31">
        <f t="shared" ref="L3744:L3755" si="4394">IF($F3744=8,$H3744*$B$26,0)</f>
        <v>0</v>
      </c>
      <c r="M3744" s="31">
        <f t="shared" ref="M3744:M3755" si="4395">IF($F3744=10,$H3744*$B$27,0)</f>
        <v>0</v>
      </c>
      <c r="N3744" s="31">
        <f t="shared" ref="N3744:N3755" si="4396">IF($F3744=12.5,$H3744*$B$28,0)</f>
        <v>0</v>
      </c>
      <c r="O3744" s="31">
        <f t="shared" ref="O3744:O3755" si="4397">IF($F3744=16,$H3744*$B$29,0)</f>
        <v>0</v>
      </c>
      <c r="P3744" s="31">
        <f t="shared" ref="P3744:P3755" si="4398">IF($F3744=20,$H3744*$B$30,0)</f>
        <v>0</v>
      </c>
      <c r="Q3744" s="49">
        <f t="shared" ref="Q3744:Q3755" si="4399">IF($F3744=25,$H3744*$B$31,0)</f>
        <v>0</v>
      </c>
    </row>
    <row r="3745" spans="4:17" s="62" customFormat="1" x14ac:dyDescent="0.3">
      <c r="D3745" s="235">
        <v>18</v>
      </c>
      <c r="E3745" s="240">
        <v>1</v>
      </c>
      <c r="F3745" s="241">
        <v>12.5</v>
      </c>
      <c r="G3745" s="242">
        <v>4.83</v>
      </c>
      <c r="H3745" s="239">
        <f t="shared" si="4390"/>
        <v>4.83</v>
      </c>
      <c r="I3745" s="131">
        <f t="shared" si="4391"/>
        <v>0</v>
      </c>
      <c r="J3745" s="31">
        <f t="shared" si="4392"/>
        <v>0</v>
      </c>
      <c r="K3745" s="31">
        <f t="shared" si="4393"/>
        <v>0</v>
      </c>
      <c r="L3745" s="31">
        <f t="shared" si="4394"/>
        <v>0</v>
      </c>
      <c r="M3745" s="31">
        <f t="shared" si="4395"/>
        <v>0</v>
      </c>
      <c r="N3745" s="31">
        <f t="shared" si="4396"/>
        <v>4.6512899999999995</v>
      </c>
      <c r="O3745" s="31">
        <f t="shared" si="4397"/>
        <v>0</v>
      </c>
      <c r="P3745" s="31">
        <f t="shared" si="4398"/>
        <v>0</v>
      </c>
      <c r="Q3745" s="49">
        <f t="shared" si="4399"/>
        <v>0</v>
      </c>
    </row>
    <row r="3746" spans="4:17" s="62" customFormat="1" x14ac:dyDescent="0.3">
      <c r="D3746" s="235">
        <v>19</v>
      </c>
      <c r="E3746" s="240">
        <v>1</v>
      </c>
      <c r="F3746" s="241">
        <v>12.5</v>
      </c>
      <c r="G3746" s="242">
        <v>2.66</v>
      </c>
      <c r="H3746" s="239">
        <f t="shared" si="4390"/>
        <v>2.66</v>
      </c>
      <c r="I3746" s="131">
        <f t="shared" si="4391"/>
        <v>0</v>
      </c>
      <c r="J3746" s="31">
        <f t="shared" si="4392"/>
        <v>0</v>
      </c>
      <c r="K3746" s="31">
        <f t="shared" si="4393"/>
        <v>0</v>
      </c>
      <c r="L3746" s="31">
        <f t="shared" si="4394"/>
        <v>0</v>
      </c>
      <c r="M3746" s="31">
        <f t="shared" si="4395"/>
        <v>0</v>
      </c>
      <c r="N3746" s="31">
        <f t="shared" si="4396"/>
        <v>2.5615800000000002</v>
      </c>
      <c r="O3746" s="31">
        <f t="shared" si="4397"/>
        <v>0</v>
      </c>
      <c r="P3746" s="31">
        <f t="shared" si="4398"/>
        <v>0</v>
      </c>
      <c r="Q3746" s="49">
        <f t="shared" si="4399"/>
        <v>0</v>
      </c>
    </row>
    <row r="3747" spans="4:17" s="62" customFormat="1" x14ac:dyDescent="0.3">
      <c r="D3747" s="235">
        <v>20</v>
      </c>
      <c r="E3747" s="240">
        <v>2</v>
      </c>
      <c r="F3747" s="241">
        <v>12.5</v>
      </c>
      <c r="G3747" s="242">
        <v>8.25</v>
      </c>
      <c r="H3747" s="239">
        <f t="shared" si="4390"/>
        <v>16.5</v>
      </c>
      <c r="I3747" s="131">
        <f t="shared" si="4391"/>
        <v>0</v>
      </c>
      <c r="J3747" s="31">
        <f t="shared" si="4392"/>
        <v>0</v>
      </c>
      <c r="K3747" s="31">
        <f t="shared" si="4393"/>
        <v>0</v>
      </c>
      <c r="L3747" s="31">
        <f t="shared" si="4394"/>
        <v>0</v>
      </c>
      <c r="M3747" s="31">
        <f t="shared" si="4395"/>
        <v>0</v>
      </c>
      <c r="N3747" s="31">
        <f t="shared" si="4396"/>
        <v>15.8895</v>
      </c>
      <c r="O3747" s="31">
        <f t="shared" si="4397"/>
        <v>0</v>
      </c>
      <c r="P3747" s="31">
        <f t="shared" si="4398"/>
        <v>0</v>
      </c>
      <c r="Q3747" s="49">
        <f t="shared" si="4399"/>
        <v>0</v>
      </c>
    </row>
    <row r="3748" spans="4:17" s="62" customFormat="1" x14ac:dyDescent="0.3">
      <c r="D3748" s="235">
        <v>21</v>
      </c>
      <c r="E3748" s="240">
        <v>1</v>
      </c>
      <c r="F3748" s="241">
        <v>12.5</v>
      </c>
      <c r="G3748" s="242">
        <v>2.87</v>
      </c>
      <c r="H3748" s="239">
        <f t="shared" si="4390"/>
        <v>2.87</v>
      </c>
      <c r="I3748" s="131">
        <f t="shared" si="4391"/>
        <v>0</v>
      </c>
      <c r="J3748" s="31">
        <f t="shared" si="4392"/>
        <v>0</v>
      </c>
      <c r="K3748" s="31">
        <f t="shared" si="4393"/>
        <v>0</v>
      </c>
      <c r="L3748" s="31">
        <f t="shared" si="4394"/>
        <v>0</v>
      </c>
      <c r="M3748" s="31">
        <f t="shared" si="4395"/>
        <v>0</v>
      </c>
      <c r="N3748" s="31">
        <f t="shared" si="4396"/>
        <v>2.7638099999999999</v>
      </c>
      <c r="O3748" s="31">
        <f t="shared" si="4397"/>
        <v>0</v>
      </c>
      <c r="P3748" s="31">
        <f t="shared" si="4398"/>
        <v>0</v>
      </c>
      <c r="Q3748" s="49">
        <f t="shared" si="4399"/>
        <v>0</v>
      </c>
    </row>
    <row r="3749" spans="4:17" s="62" customFormat="1" x14ac:dyDescent="0.3">
      <c r="D3749" s="235">
        <v>22</v>
      </c>
      <c r="E3749" s="240">
        <v>2</v>
      </c>
      <c r="F3749" s="241">
        <v>12.5</v>
      </c>
      <c r="G3749" s="242">
        <v>4.38</v>
      </c>
      <c r="H3749" s="239">
        <f t="shared" si="4390"/>
        <v>8.76</v>
      </c>
      <c r="I3749" s="131">
        <f t="shared" si="4391"/>
        <v>0</v>
      </c>
      <c r="J3749" s="31">
        <f t="shared" si="4392"/>
        <v>0</v>
      </c>
      <c r="K3749" s="31">
        <f t="shared" si="4393"/>
        <v>0</v>
      </c>
      <c r="L3749" s="31">
        <f t="shared" si="4394"/>
        <v>0</v>
      </c>
      <c r="M3749" s="31">
        <f t="shared" si="4395"/>
        <v>0</v>
      </c>
      <c r="N3749" s="31">
        <f t="shared" si="4396"/>
        <v>8.4358799999999992</v>
      </c>
      <c r="O3749" s="31">
        <f t="shared" si="4397"/>
        <v>0</v>
      </c>
      <c r="P3749" s="31">
        <f t="shared" si="4398"/>
        <v>0</v>
      </c>
      <c r="Q3749" s="49">
        <f t="shared" si="4399"/>
        <v>0</v>
      </c>
    </row>
    <row r="3750" spans="4:17" s="62" customFormat="1" x14ac:dyDescent="0.3">
      <c r="D3750" s="235">
        <v>23</v>
      </c>
      <c r="E3750" s="240">
        <v>1</v>
      </c>
      <c r="F3750" s="241">
        <v>12.5</v>
      </c>
      <c r="G3750" s="242">
        <v>5.92</v>
      </c>
      <c r="H3750" s="239">
        <f t="shared" si="4390"/>
        <v>5.92</v>
      </c>
      <c r="I3750" s="131">
        <f t="shared" si="4391"/>
        <v>0</v>
      </c>
      <c r="J3750" s="31">
        <f t="shared" si="4392"/>
        <v>0</v>
      </c>
      <c r="K3750" s="31">
        <f t="shared" si="4393"/>
        <v>0</v>
      </c>
      <c r="L3750" s="31">
        <f t="shared" si="4394"/>
        <v>0</v>
      </c>
      <c r="M3750" s="31">
        <f t="shared" si="4395"/>
        <v>0</v>
      </c>
      <c r="N3750" s="31">
        <f t="shared" si="4396"/>
        <v>5.7009599999999994</v>
      </c>
      <c r="O3750" s="31">
        <f t="shared" si="4397"/>
        <v>0</v>
      </c>
      <c r="P3750" s="31">
        <f t="shared" si="4398"/>
        <v>0</v>
      </c>
      <c r="Q3750" s="49">
        <f t="shared" si="4399"/>
        <v>0</v>
      </c>
    </row>
    <row r="3751" spans="4:17" s="62" customFormat="1" x14ac:dyDescent="0.3">
      <c r="D3751" s="235">
        <v>24</v>
      </c>
      <c r="E3751" s="240">
        <v>2</v>
      </c>
      <c r="F3751" s="241">
        <v>12.5</v>
      </c>
      <c r="G3751" s="242">
        <v>11.17</v>
      </c>
      <c r="H3751" s="239">
        <f t="shared" si="4390"/>
        <v>22.34</v>
      </c>
      <c r="I3751" s="131">
        <f t="shared" si="4391"/>
        <v>0</v>
      </c>
      <c r="J3751" s="31">
        <f t="shared" si="4392"/>
        <v>0</v>
      </c>
      <c r="K3751" s="31">
        <f t="shared" si="4393"/>
        <v>0</v>
      </c>
      <c r="L3751" s="31">
        <f t="shared" si="4394"/>
        <v>0</v>
      </c>
      <c r="M3751" s="31">
        <f t="shared" si="4395"/>
        <v>0</v>
      </c>
      <c r="N3751" s="31">
        <f t="shared" si="4396"/>
        <v>21.51342</v>
      </c>
      <c r="O3751" s="31">
        <f t="shared" si="4397"/>
        <v>0</v>
      </c>
      <c r="P3751" s="31">
        <f t="shared" si="4398"/>
        <v>0</v>
      </c>
      <c r="Q3751" s="49">
        <f t="shared" si="4399"/>
        <v>0</v>
      </c>
    </row>
    <row r="3752" spans="4:17" s="62" customFormat="1" x14ac:dyDescent="0.3">
      <c r="D3752" s="235">
        <v>25</v>
      </c>
      <c r="E3752" s="240">
        <v>2</v>
      </c>
      <c r="F3752" s="241">
        <v>12.5</v>
      </c>
      <c r="G3752" s="242">
        <v>2.04</v>
      </c>
      <c r="H3752" s="239">
        <f t="shared" si="4390"/>
        <v>4.08</v>
      </c>
      <c r="I3752" s="131">
        <f t="shared" si="4391"/>
        <v>0</v>
      </c>
      <c r="J3752" s="31">
        <f t="shared" si="4392"/>
        <v>0</v>
      </c>
      <c r="K3752" s="31">
        <f t="shared" si="4393"/>
        <v>0</v>
      </c>
      <c r="L3752" s="31">
        <f t="shared" si="4394"/>
        <v>0</v>
      </c>
      <c r="M3752" s="31">
        <f t="shared" si="4395"/>
        <v>0</v>
      </c>
      <c r="N3752" s="31">
        <f t="shared" si="4396"/>
        <v>3.9290400000000001</v>
      </c>
      <c r="O3752" s="31">
        <f t="shared" si="4397"/>
        <v>0</v>
      </c>
      <c r="P3752" s="31">
        <f t="shared" si="4398"/>
        <v>0</v>
      </c>
      <c r="Q3752" s="49">
        <f t="shared" si="4399"/>
        <v>0</v>
      </c>
    </row>
    <row r="3753" spans="4:17" s="62" customFormat="1" x14ac:dyDescent="0.3">
      <c r="D3753" s="235"/>
      <c r="E3753" s="240"/>
      <c r="F3753" s="241"/>
      <c r="G3753" s="242"/>
      <c r="H3753" s="239">
        <f t="shared" si="4390"/>
        <v>0</v>
      </c>
      <c r="I3753" s="131">
        <f t="shared" si="4391"/>
        <v>0</v>
      </c>
      <c r="J3753" s="31">
        <f t="shared" si="4392"/>
        <v>0</v>
      </c>
      <c r="K3753" s="31">
        <f t="shared" si="4393"/>
        <v>0</v>
      </c>
      <c r="L3753" s="31">
        <f t="shared" si="4394"/>
        <v>0</v>
      </c>
      <c r="M3753" s="31">
        <f t="shared" si="4395"/>
        <v>0</v>
      </c>
      <c r="N3753" s="31">
        <f t="shared" si="4396"/>
        <v>0</v>
      </c>
      <c r="O3753" s="31">
        <f t="shared" si="4397"/>
        <v>0</v>
      </c>
      <c r="P3753" s="31">
        <f t="shared" si="4398"/>
        <v>0</v>
      </c>
      <c r="Q3753" s="49">
        <f t="shared" si="4399"/>
        <v>0</v>
      </c>
    </row>
    <row r="3754" spans="4:17" s="62" customFormat="1" x14ac:dyDescent="0.3">
      <c r="D3754" s="235"/>
      <c r="E3754" s="240"/>
      <c r="F3754" s="241"/>
      <c r="G3754" s="242"/>
      <c r="H3754" s="239">
        <f t="shared" si="4390"/>
        <v>0</v>
      </c>
      <c r="I3754" s="131">
        <f t="shared" si="4391"/>
        <v>0</v>
      </c>
      <c r="J3754" s="31">
        <f t="shared" si="4392"/>
        <v>0</v>
      </c>
      <c r="K3754" s="31">
        <f t="shared" si="4393"/>
        <v>0</v>
      </c>
      <c r="L3754" s="31">
        <f t="shared" si="4394"/>
        <v>0</v>
      </c>
      <c r="M3754" s="31">
        <f t="shared" si="4395"/>
        <v>0</v>
      </c>
      <c r="N3754" s="31">
        <f t="shared" si="4396"/>
        <v>0</v>
      </c>
      <c r="O3754" s="31">
        <f t="shared" si="4397"/>
        <v>0</v>
      </c>
      <c r="P3754" s="31">
        <f t="shared" si="4398"/>
        <v>0</v>
      </c>
      <c r="Q3754" s="49">
        <f t="shared" si="4399"/>
        <v>0</v>
      </c>
    </row>
    <row r="3755" spans="4:17" s="62" customFormat="1" x14ac:dyDescent="0.3">
      <c r="D3755" s="235"/>
      <c r="E3755" s="240"/>
      <c r="F3755" s="241"/>
      <c r="G3755" s="242"/>
      <c r="H3755" s="239">
        <f t="shared" si="4390"/>
        <v>0</v>
      </c>
      <c r="I3755" s="131">
        <f t="shared" si="4391"/>
        <v>0</v>
      </c>
      <c r="J3755" s="31">
        <f t="shared" si="4392"/>
        <v>0</v>
      </c>
      <c r="K3755" s="31">
        <f t="shared" si="4393"/>
        <v>0</v>
      </c>
      <c r="L3755" s="31">
        <f t="shared" si="4394"/>
        <v>0</v>
      </c>
      <c r="M3755" s="31">
        <f t="shared" si="4395"/>
        <v>0</v>
      </c>
      <c r="N3755" s="31">
        <f t="shared" si="4396"/>
        <v>0</v>
      </c>
      <c r="O3755" s="31">
        <f t="shared" si="4397"/>
        <v>0</v>
      </c>
      <c r="P3755" s="31">
        <f t="shared" si="4398"/>
        <v>0</v>
      </c>
      <c r="Q3755" s="49">
        <f t="shared" si="4399"/>
        <v>0</v>
      </c>
    </row>
    <row r="3756" spans="4:17" s="62" customFormat="1" ht="15" thickBot="1" x14ac:dyDescent="0.35">
      <c r="D3756" s="307"/>
      <c r="E3756" s="26"/>
      <c r="F3756" s="206"/>
      <c r="G3756" s="207"/>
      <c r="H3756" s="207"/>
      <c r="I3756" s="51"/>
      <c r="J3756" s="308"/>
      <c r="K3756" s="308"/>
      <c r="L3756" s="308"/>
      <c r="M3756" s="308"/>
      <c r="N3756" s="308"/>
      <c r="O3756" s="308"/>
      <c r="P3756" s="308"/>
      <c r="Q3756" s="309"/>
    </row>
    <row r="3757" spans="4:17" s="62" customFormat="1" x14ac:dyDescent="0.3">
      <c r="D3757" s="796" t="s">
        <v>2048</v>
      </c>
      <c r="E3757" s="797"/>
      <c r="F3757" s="797"/>
      <c r="G3757" s="797"/>
      <c r="H3757" s="797"/>
      <c r="I3757" s="47">
        <f t="shared" ref="I3757:Q3757" si="4400">SUM(I3758:I3760)</f>
        <v>0</v>
      </c>
      <c r="J3757" s="47">
        <f t="shared" si="4400"/>
        <v>1.56464</v>
      </c>
      <c r="K3757" s="47">
        <f t="shared" si="4400"/>
        <v>0</v>
      </c>
      <c r="L3757" s="47">
        <f t="shared" si="4400"/>
        <v>0</v>
      </c>
      <c r="M3757" s="47">
        <f t="shared" si="4400"/>
        <v>0</v>
      </c>
      <c r="N3757" s="47">
        <f t="shared" si="4400"/>
        <v>9.957419999999999</v>
      </c>
      <c r="O3757" s="47">
        <f t="shared" si="4400"/>
        <v>0</v>
      </c>
      <c r="P3757" s="47">
        <f t="shared" si="4400"/>
        <v>0</v>
      </c>
      <c r="Q3757" s="47">
        <f t="shared" si="4400"/>
        <v>0</v>
      </c>
    </row>
    <row r="3758" spans="4:17" s="62" customFormat="1" x14ac:dyDescent="0.3">
      <c r="D3758" s="235">
        <v>1</v>
      </c>
      <c r="E3758" s="237">
        <f>2*4</f>
        <v>8</v>
      </c>
      <c r="F3758" s="238">
        <v>5</v>
      </c>
      <c r="G3758" s="239">
        <v>1.27</v>
      </c>
      <c r="H3758" s="239">
        <f t="shared" ref="H3758:H3760" si="4401">E3758*G3758</f>
        <v>10.16</v>
      </c>
      <c r="I3758" s="131">
        <f t="shared" ref="I3758:I3760" si="4402">IF($F3758=4.2,H3758*$B$23,0)</f>
        <v>0</v>
      </c>
      <c r="J3758" s="31">
        <f t="shared" ref="J3758:J3760" si="4403">IF($F3758=5,$H3758*$B$24,0)</f>
        <v>1.56464</v>
      </c>
      <c r="K3758" s="31">
        <f t="shared" ref="K3758:K3760" si="4404">IF($F3758=6.3,$H3758*$B$25,0)</f>
        <v>0</v>
      </c>
      <c r="L3758" s="31">
        <f t="shared" ref="L3758:L3760" si="4405">IF($F3758=8,$H3758*$B$26,0)</f>
        <v>0</v>
      </c>
      <c r="M3758" s="31">
        <f t="shared" ref="M3758:M3760" si="4406">IF($F3758=10,$H3758*$B$27,0)</f>
        <v>0</v>
      </c>
      <c r="N3758" s="31">
        <f t="shared" ref="N3758:N3760" si="4407">IF($F3758=12.5,$H3758*$B$28,0)</f>
        <v>0</v>
      </c>
      <c r="O3758" s="31">
        <f t="shared" ref="O3758:O3760" si="4408">IF($F3758=16,$H3758*$B$29,0)</f>
        <v>0</v>
      </c>
      <c r="P3758" s="31">
        <f t="shared" ref="P3758:P3760" si="4409">IF($F3758=20,$H3758*$B$30,0)</f>
        <v>0</v>
      </c>
      <c r="Q3758" s="49">
        <f t="shared" ref="Q3758:Q3760" si="4410">IF($F3758=25,$H3758*$B$31,0)</f>
        <v>0</v>
      </c>
    </row>
    <row r="3759" spans="4:17" s="62" customFormat="1" x14ac:dyDescent="0.3">
      <c r="D3759" s="235">
        <v>26</v>
      </c>
      <c r="E3759" s="240">
        <f>2*3</f>
        <v>6</v>
      </c>
      <c r="F3759" s="241">
        <v>12.5</v>
      </c>
      <c r="G3759" s="242">
        <v>0.81</v>
      </c>
      <c r="H3759" s="239">
        <f t="shared" si="4401"/>
        <v>4.8600000000000003</v>
      </c>
      <c r="I3759" s="131">
        <f t="shared" si="4402"/>
        <v>0</v>
      </c>
      <c r="J3759" s="31">
        <f t="shared" si="4403"/>
        <v>0</v>
      </c>
      <c r="K3759" s="31">
        <f t="shared" si="4404"/>
        <v>0</v>
      </c>
      <c r="L3759" s="31">
        <f t="shared" si="4405"/>
        <v>0</v>
      </c>
      <c r="M3759" s="31">
        <f t="shared" si="4406"/>
        <v>0</v>
      </c>
      <c r="N3759" s="31">
        <f t="shared" si="4407"/>
        <v>4.68018</v>
      </c>
      <c r="O3759" s="31">
        <f t="shared" si="4408"/>
        <v>0</v>
      </c>
      <c r="P3759" s="31">
        <f t="shared" si="4409"/>
        <v>0</v>
      </c>
      <c r="Q3759" s="49">
        <f t="shared" si="4410"/>
        <v>0</v>
      </c>
    </row>
    <row r="3760" spans="4:17" s="62" customFormat="1" x14ac:dyDescent="0.3">
      <c r="D3760" s="235">
        <v>27</v>
      </c>
      <c r="E3760" s="240">
        <f>2*2</f>
        <v>4</v>
      </c>
      <c r="F3760" s="241">
        <v>12.5</v>
      </c>
      <c r="G3760" s="242">
        <v>1.37</v>
      </c>
      <c r="H3760" s="239">
        <f t="shared" si="4401"/>
        <v>5.48</v>
      </c>
      <c r="I3760" s="131">
        <f t="shared" si="4402"/>
        <v>0</v>
      </c>
      <c r="J3760" s="31">
        <f t="shared" si="4403"/>
        <v>0</v>
      </c>
      <c r="K3760" s="31">
        <f t="shared" si="4404"/>
        <v>0</v>
      </c>
      <c r="L3760" s="31">
        <f t="shared" si="4405"/>
        <v>0</v>
      </c>
      <c r="M3760" s="31">
        <f t="shared" si="4406"/>
        <v>0</v>
      </c>
      <c r="N3760" s="31">
        <f t="shared" si="4407"/>
        <v>5.2772399999999999</v>
      </c>
      <c r="O3760" s="31">
        <f t="shared" si="4408"/>
        <v>0</v>
      </c>
      <c r="P3760" s="31">
        <f t="shared" si="4409"/>
        <v>0</v>
      </c>
      <c r="Q3760" s="49">
        <f t="shared" si="4410"/>
        <v>0</v>
      </c>
    </row>
    <row r="3761" spans="4:17" s="62" customFormat="1" ht="15" thickBot="1" x14ac:dyDescent="0.35">
      <c r="D3761" s="307"/>
      <c r="E3761" s="26"/>
      <c r="F3761" s="206"/>
      <c r="G3761" s="207"/>
      <c r="H3761" s="207"/>
      <c r="I3761" s="51"/>
      <c r="J3761" s="308"/>
      <c r="K3761" s="308"/>
      <c r="L3761" s="308"/>
      <c r="M3761" s="308"/>
      <c r="N3761" s="308"/>
      <c r="O3761" s="308"/>
      <c r="P3761" s="308"/>
      <c r="Q3761" s="309"/>
    </row>
    <row r="3762" spans="4:17" s="62" customFormat="1" x14ac:dyDescent="0.3">
      <c r="D3762" s="796" t="s">
        <v>2050</v>
      </c>
      <c r="E3762" s="797"/>
      <c r="F3762" s="797"/>
      <c r="G3762" s="797"/>
      <c r="H3762" s="797"/>
      <c r="I3762" s="47">
        <f t="shared" ref="I3762:Q3762" si="4411">SUM(I3763:I3768)</f>
        <v>0</v>
      </c>
      <c r="J3762" s="47">
        <f t="shared" si="4411"/>
        <v>8.9966799999999996</v>
      </c>
      <c r="K3762" s="47">
        <f t="shared" si="4411"/>
        <v>0</v>
      </c>
      <c r="L3762" s="47">
        <f t="shared" si="4411"/>
        <v>0</v>
      </c>
      <c r="M3762" s="47">
        <f t="shared" si="4411"/>
        <v>0</v>
      </c>
      <c r="N3762" s="47">
        <f t="shared" si="4411"/>
        <v>39.65634</v>
      </c>
      <c r="O3762" s="47">
        <f t="shared" si="4411"/>
        <v>0</v>
      </c>
      <c r="P3762" s="47">
        <f t="shared" si="4411"/>
        <v>0</v>
      </c>
      <c r="Q3762" s="47">
        <f t="shared" si="4411"/>
        <v>0</v>
      </c>
    </row>
    <row r="3763" spans="4:17" s="62" customFormat="1" x14ac:dyDescent="0.3">
      <c r="D3763" s="235">
        <v>1</v>
      </c>
      <c r="E3763" s="237">
        <v>46</v>
      </c>
      <c r="F3763" s="238">
        <v>5</v>
      </c>
      <c r="G3763" s="239">
        <v>1.27</v>
      </c>
      <c r="H3763" s="239">
        <f t="shared" ref="H3763:H3768" si="4412">E3763*G3763</f>
        <v>58.42</v>
      </c>
      <c r="I3763" s="131">
        <f t="shared" ref="I3763:I3768" si="4413">IF($F3763=4.2,H3763*$B$23,0)</f>
        <v>0</v>
      </c>
      <c r="J3763" s="31">
        <f t="shared" ref="J3763:J3768" si="4414">IF($F3763=5,$H3763*$B$24,0)</f>
        <v>8.9966799999999996</v>
      </c>
      <c r="K3763" s="31">
        <f t="shared" ref="K3763:K3768" si="4415">IF($F3763=6.3,$H3763*$B$25,0)</f>
        <v>0</v>
      </c>
      <c r="L3763" s="31">
        <f t="shared" ref="L3763:L3768" si="4416">IF($F3763=8,$H3763*$B$26,0)</f>
        <v>0</v>
      </c>
      <c r="M3763" s="31">
        <f t="shared" ref="M3763:M3768" si="4417">IF($F3763=10,$H3763*$B$27,0)</f>
        <v>0</v>
      </c>
      <c r="N3763" s="31">
        <f t="shared" ref="N3763:N3768" si="4418">IF($F3763=12.5,$H3763*$B$28,0)</f>
        <v>0</v>
      </c>
      <c r="O3763" s="31">
        <f t="shared" ref="O3763:O3768" si="4419">IF($F3763=16,$H3763*$B$29,0)</f>
        <v>0</v>
      </c>
      <c r="P3763" s="31">
        <f t="shared" ref="P3763:P3768" si="4420">IF($F3763=20,$H3763*$B$30,0)</f>
        <v>0</v>
      </c>
      <c r="Q3763" s="49">
        <f t="shared" ref="Q3763:Q3768" si="4421">IF($F3763=25,$H3763*$B$31,0)</f>
        <v>0</v>
      </c>
    </row>
    <row r="3764" spans="4:17" s="62" customFormat="1" x14ac:dyDescent="0.3">
      <c r="D3764" s="235">
        <v>29</v>
      </c>
      <c r="E3764" s="240">
        <v>1</v>
      </c>
      <c r="F3764" s="241">
        <v>12.5</v>
      </c>
      <c r="G3764" s="242">
        <v>2.98</v>
      </c>
      <c r="H3764" s="239">
        <f t="shared" si="4412"/>
        <v>2.98</v>
      </c>
      <c r="I3764" s="131">
        <f t="shared" si="4413"/>
        <v>0</v>
      </c>
      <c r="J3764" s="31">
        <f t="shared" si="4414"/>
        <v>0</v>
      </c>
      <c r="K3764" s="31">
        <f t="shared" si="4415"/>
        <v>0</v>
      </c>
      <c r="L3764" s="31">
        <f t="shared" si="4416"/>
        <v>0</v>
      </c>
      <c r="M3764" s="31">
        <f t="shared" si="4417"/>
        <v>0</v>
      </c>
      <c r="N3764" s="31">
        <f t="shared" si="4418"/>
        <v>2.8697399999999997</v>
      </c>
      <c r="O3764" s="31">
        <f t="shared" si="4419"/>
        <v>0</v>
      </c>
      <c r="P3764" s="31">
        <f t="shared" si="4420"/>
        <v>0</v>
      </c>
      <c r="Q3764" s="49">
        <f t="shared" si="4421"/>
        <v>0</v>
      </c>
    </row>
    <row r="3765" spans="4:17" s="62" customFormat="1" x14ac:dyDescent="0.3">
      <c r="D3765" s="235">
        <v>30</v>
      </c>
      <c r="E3765" s="240">
        <v>1</v>
      </c>
      <c r="F3765" s="241">
        <v>12.5</v>
      </c>
      <c r="G3765" s="242">
        <v>2.8</v>
      </c>
      <c r="H3765" s="239">
        <f t="shared" si="4412"/>
        <v>2.8</v>
      </c>
      <c r="I3765" s="131">
        <f t="shared" si="4413"/>
        <v>0</v>
      </c>
      <c r="J3765" s="31">
        <f t="shared" si="4414"/>
        <v>0</v>
      </c>
      <c r="K3765" s="31">
        <f t="shared" si="4415"/>
        <v>0</v>
      </c>
      <c r="L3765" s="31">
        <f t="shared" si="4416"/>
        <v>0</v>
      </c>
      <c r="M3765" s="31">
        <f t="shared" si="4417"/>
        <v>0</v>
      </c>
      <c r="N3765" s="31">
        <f t="shared" si="4418"/>
        <v>2.6963999999999997</v>
      </c>
      <c r="O3765" s="31">
        <f t="shared" si="4419"/>
        <v>0</v>
      </c>
      <c r="P3765" s="31">
        <f t="shared" si="4420"/>
        <v>0</v>
      </c>
      <c r="Q3765" s="49">
        <f t="shared" si="4421"/>
        <v>0</v>
      </c>
    </row>
    <row r="3766" spans="4:17" s="62" customFormat="1" x14ac:dyDescent="0.3">
      <c r="D3766" s="235">
        <v>31</v>
      </c>
      <c r="E3766" s="240">
        <v>2</v>
      </c>
      <c r="F3766" s="241">
        <v>12.5</v>
      </c>
      <c r="G3766" s="242">
        <v>8.31</v>
      </c>
      <c r="H3766" s="239">
        <f t="shared" si="4412"/>
        <v>16.62</v>
      </c>
      <c r="I3766" s="131">
        <f t="shared" si="4413"/>
        <v>0</v>
      </c>
      <c r="J3766" s="31">
        <f t="shared" si="4414"/>
        <v>0</v>
      </c>
      <c r="K3766" s="31">
        <f t="shared" si="4415"/>
        <v>0</v>
      </c>
      <c r="L3766" s="31">
        <f t="shared" si="4416"/>
        <v>0</v>
      </c>
      <c r="M3766" s="31">
        <f t="shared" si="4417"/>
        <v>0</v>
      </c>
      <c r="N3766" s="31">
        <f t="shared" si="4418"/>
        <v>16.00506</v>
      </c>
      <c r="O3766" s="31">
        <f t="shared" si="4419"/>
        <v>0</v>
      </c>
      <c r="P3766" s="31">
        <f t="shared" si="4420"/>
        <v>0</v>
      </c>
      <c r="Q3766" s="49">
        <f t="shared" si="4421"/>
        <v>0</v>
      </c>
    </row>
    <row r="3767" spans="4:17" s="62" customFormat="1" x14ac:dyDescent="0.3">
      <c r="D3767" s="235">
        <v>32</v>
      </c>
      <c r="E3767" s="240">
        <v>1</v>
      </c>
      <c r="F3767" s="241">
        <v>12.5</v>
      </c>
      <c r="G3767" s="242">
        <v>1.5</v>
      </c>
      <c r="H3767" s="239">
        <f t="shared" si="4412"/>
        <v>1.5</v>
      </c>
      <c r="I3767" s="131">
        <f t="shared" si="4413"/>
        <v>0</v>
      </c>
      <c r="J3767" s="31">
        <f t="shared" si="4414"/>
        <v>0</v>
      </c>
      <c r="K3767" s="31">
        <f t="shared" si="4415"/>
        <v>0</v>
      </c>
      <c r="L3767" s="31">
        <f t="shared" si="4416"/>
        <v>0</v>
      </c>
      <c r="M3767" s="31">
        <f t="shared" si="4417"/>
        <v>0</v>
      </c>
      <c r="N3767" s="31">
        <f t="shared" si="4418"/>
        <v>1.4444999999999999</v>
      </c>
      <c r="O3767" s="31">
        <f t="shared" si="4419"/>
        <v>0</v>
      </c>
      <c r="P3767" s="31">
        <f t="shared" si="4420"/>
        <v>0</v>
      </c>
      <c r="Q3767" s="49">
        <f t="shared" si="4421"/>
        <v>0</v>
      </c>
    </row>
    <row r="3768" spans="4:17" s="62" customFormat="1" x14ac:dyDescent="0.3">
      <c r="D3768" s="235">
        <v>33</v>
      </c>
      <c r="E3768" s="240">
        <v>2</v>
      </c>
      <c r="F3768" s="241">
        <v>12.5</v>
      </c>
      <c r="G3768" s="242">
        <v>8.64</v>
      </c>
      <c r="H3768" s="239">
        <f t="shared" si="4412"/>
        <v>17.28</v>
      </c>
      <c r="I3768" s="131">
        <f t="shared" si="4413"/>
        <v>0</v>
      </c>
      <c r="J3768" s="31">
        <f t="shared" si="4414"/>
        <v>0</v>
      </c>
      <c r="K3768" s="31">
        <f t="shared" si="4415"/>
        <v>0</v>
      </c>
      <c r="L3768" s="31">
        <f t="shared" si="4416"/>
        <v>0</v>
      </c>
      <c r="M3768" s="31">
        <f t="shared" si="4417"/>
        <v>0</v>
      </c>
      <c r="N3768" s="31">
        <f t="shared" si="4418"/>
        <v>16.640640000000001</v>
      </c>
      <c r="O3768" s="31">
        <f t="shared" si="4419"/>
        <v>0</v>
      </c>
      <c r="P3768" s="31">
        <f t="shared" si="4420"/>
        <v>0</v>
      </c>
      <c r="Q3768" s="49">
        <f t="shared" si="4421"/>
        <v>0</v>
      </c>
    </row>
    <row r="3769" spans="4:17" s="62" customFormat="1" ht="15" thickBot="1" x14ac:dyDescent="0.35">
      <c r="D3769" s="307"/>
      <c r="E3769" s="26"/>
      <c r="F3769" s="206"/>
      <c r="G3769" s="207"/>
      <c r="H3769" s="207"/>
      <c r="I3769" s="51"/>
      <c r="J3769" s="308"/>
      <c r="K3769" s="308"/>
      <c r="L3769" s="308"/>
      <c r="M3769" s="308"/>
      <c r="N3769" s="308"/>
      <c r="O3769" s="308"/>
      <c r="P3769" s="308"/>
      <c r="Q3769" s="309"/>
    </row>
    <row r="3770" spans="4:17" s="62" customFormat="1" x14ac:dyDescent="0.3">
      <c r="D3770" s="796" t="s">
        <v>2051</v>
      </c>
      <c r="E3770" s="797"/>
      <c r="F3770" s="797"/>
      <c r="G3770" s="797"/>
      <c r="H3770" s="797"/>
      <c r="I3770" s="47">
        <f t="shared" ref="I3770:Q3770" si="4422">SUM(I3771:I3782)</f>
        <v>0</v>
      </c>
      <c r="J3770" s="47">
        <f t="shared" si="4422"/>
        <v>11.171159999999999</v>
      </c>
      <c r="K3770" s="47">
        <f t="shared" si="4422"/>
        <v>0</v>
      </c>
      <c r="L3770" s="47">
        <f t="shared" si="4422"/>
        <v>0</v>
      </c>
      <c r="M3770" s="47">
        <f t="shared" si="4422"/>
        <v>0</v>
      </c>
      <c r="N3770" s="47">
        <f t="shared" si="4422"/>
        <v>77.810399999999987</v>
      </c>
      <c r="O3770" s="47">
        <f t="shared" si="4422"/>
        <v>0</v>
      </c>
      <c r="P3770" s="47">
        <f t="shared" si="4422"/>
        <v>0</v>
      </c>
      <c r="Q3770" s="47">
        <f t="shared" si="4422"/>
        <v>0</v>
      </c>
    </row>
    <row r="3771" spans="4:17" s="62" customFormat="1" x14ac:dyDescent="0.3">
      <c r="D3771" s="235">
        <v>3</v>
      </c>
      <c r="E3771" s="237">
        <v>62</v>
      </c>
      <c r="F3771" s="238">
        <v>5</v>
      </c>
      <c r="G3771" s="239">
        <v>1.17</v>
      </c>
      <c r="H3771" s="239">
        <f t="shared" ref="H3771:H3782" si="4423">E3771*G3771</f>
        <v>72.539999999999992</v>
      </c>
      <c r="I3771" s="131">
        <f t="shared" ref="I3771:I3782" si="4424">IF($F3771=4.2,H3771*$B$23,0)</f>
        <v>0</v>
      </c>
      <c r="J3771" s="31">
        <f t="shared" ref="J3771:J3782" si="4425">IF($F3771=5,$H3771*$B$24,0)</f>
        <v>11.171159999999999</v>
      </c>
      <c r="K3771" s="31">
        <f t="shared" ref="K3771:K3782" si="4426">IF($F3771=6.3,$H3771*$B$25,0)</f>
        <v>0</v>
      </c>
      <c r="L3771" s="31">
        <f t="shared" ref="L3771:L3782" si="4427">IF($F3771=8,$H3771*$B$26,0)</f>
        <v>0</v>
      </c>
      <c r="M3771" s="31">
        <f t="shared" ref="M3771:M3782" si="4428">IF($F3771=10,$H3771*$B$27,0)</f>
        <v>0</v>
      </c>
      <c r="N3771" s="31">
        <f t="shared" ref="N3771:N3782" si="4429">IF($F3771=12.5,$H3771*$B$28,0)</f>
        <v>0</v>
      </c>
      <c r="O3771" s="31">
        <f t="shared" ref="O3771:O3782" si="4430">IF($F3771=16,$H3771*$B$29,0)</f>
        <v>0</v>
      </c>
      <c r="P3771" s="31">
        <f t="shared" ref="P3771:P3782" si="4431">IF($F3771=20,$H3771*$B$30,0)</f>
        <v>0</v>
      </c>
      <c r="Q3771" s="49">
        <f t="shared" ref="Q3771:Q3782" si="4432">IF($F3771=25,$H3771*$B$31,0)</f>
        <v>0</v>
      </c>
    </row>
    <row r="3772" spans="4:17" s="62" customFormat="1" x14ac:dyDescent="0.3">
      <c r="D3772" s="235">
        <v>34</v>
      </c>
      <c r="E3772" s="240">
        <v>1</v>
      </c>
      <c r="F3772" s="241">
        <v>12.5</v>
      </c>
      <c r="G3772" s="242">
        <v>2.37</v>
      </c>
      <c r="H3772" s="239">
        <f t="shared" si="4423"/>
        <v>2.37</v>
      </c>
      <c r="I3772" s="131">
        <f t="shared" si="4424"/>
        <v>0</v>
      </c>
      <c r="J3772" s="31">
        <f t="shared" si="4425"/>
        <v>0</v>
      </c>
      <c r="K3772" s="31">
        <f t="shared" si="4426"/>
        <v>0</v>
      </c>
      <c r="L3772" s="31">
        <f t="shared" si="4427"/>
        <v>0</v>
      </c>
      <c r="M3772" s="31">
        <f t="shared" si="4428"/>
        <v>0</v>
      </c>
      <c r="N3772" s="31">
        <f t="shared" si="4429"/>
        <v>2.2823099999999998</v>
      </c>
      <c r="O3772" s="31">
        <f t="shared" si="4430"/>
        <v>0</v>
      </c>
      <c r="P3772" s="31">
        <f t="shared" si="4431"/>
        <v>0</v>
      </c>
      <c r="Q3772" s="49">
        <f t="shared" si="4432"/>
        <v>0</v>
      </c>
    </row>
    <row r="3773" spans="4:17" s="62" customFormat="1" x14ac:dyDescent="0.3">
      <c r="D3773" s="235">
        <v>35</v>
      </c>
      <c r="E3773" s="240">
        <v>1</v>
      </c>
      <c r="F3773" s="241">
        <v>12.5</v>
      </c>
      <c r="G3773" s="242">
        <v>4.93</v>
      </c>
      <c r="H3773" s="239">
        <f t="shared" si="4423"/>
        <v>4.93</v>
      </c>
      <c r="I3773" s="131">
        <f t="shared" si="4424"/>
        <v>0</v>
      </c>
      <c r="J3773" s="31">
        <f t="shared" si="4425"/>
        <v>0</v>
      </c>
      <c r="K3773" s="31">
        <f t="shared" si="4426"/>
        <v>0</v>
      </c>
      <c r="L3773" s="31">
        <f t="shared" si="4427"/>
        <v>0</v>
      </c>
      <c r="M3773" s="31">
        <f t="shared" si="4428"/>
        <v>0</v>
      </c>
      <c r="N3773" s="31">
        <f t="shared" si="4429"/>
        <v>4.7475899999999998</v>
      </c>
      <c r="O3773" s="31">
        <f t="shared" si="4430"/>
        <v>0</v>
      </c>
      <c r="P3773" s="31">
        <f t="shared" si="4431"/>
        <v>0</v>
      </c>
      <c r="Q3773" s="49">
        <f t="shared" si="4432"/>
        <v>0</v>
      </c>
    </row>
    <row r="3774" spans="4:17" s="62" customFormat="1" x14ac:dyDescent="0.3">
      <c r="D3774" s="235">
        <v>36</v>
      </c>
      <c r="E3774" s="240">
        <v>2</v>
      </c>
      <c r="F3774" s="241">
        <v>12.5</v>
      </c>
      <c r="G3774" s="242">
        <v>3.06</v>
      </c>
      <c r="H3774" s="239">
        <f t="shared" si="4423"/>
        <v>6.12</v>
      </c>
      <c r="I3774" s="131">
        <f t="shared" si="4424"/>
        <v>0</v>
      </c>
      <c r="J3774" s="31">
        <f t="shared" si="4425"/>
        <v>0</v>
      </c>
      <c r="K3774" s="31">
        <f t="shared" si="4426"/>
        <v>0</v>
      </c>
      <c r="L3774" s="31">
        <f t="shared" si="4427"/>
        <v>0</v>
      </c>
      <c r="M3774" s="31">
        <f t="shared" si="4428"/>
        <v>0</v>
      </c>
      <c r="N3774" s="31">
        <f t="shared" si="4429"/>
        <v>5.8935599999999999</v>
      </c>
      <c r="O3774" s="31">
        <f t="shared" si="4430"/>
        <v>0</v>
      </c>
      <c r="P3774" s="31">
        <f t="shared" si="4431"/>
        <v>0</v>
      </c>
      <c r="Q3774" s="49">
        <f t="shared" si="4432"/>
        <v>0</v>
      </c>
    </row>
    <row r="3775" spans="4:17" s="62" customFormat="1" x14ac:dyDescent="0.3">
      <c r="D3775" s="235">
        <v>37</v>
      </c>
      <c r="E3775" s="240">
        <v>2</v>
      </c>
      <c r="F3775" s="241">
        <v>12.5</v>
      </c>
      <c r="G3775" s="242">
        <v>8.2899999999999991</v>
      </c>
      <c r="H3775" s="239">
        <f t="shared" si="4423"/>
        <v>16.579999999999998</v>
      </c>
      <c r="I3775" s="131">
        <f t="shared" si="4424"/>
        <v>0</v>
      </c>
      <c r="J3775" s="31">
        <f t="shared" si="4425"/>
        <v>0</v>
      </c>
      <c r="K3775" s="31">
        <f t="shared" si="4426"/>
        <v>0</v>
      </c>
      <c r="L3775" s="31">
        <f t="shared" si="4427"/>
        <v>0</v>
      </c>
      <c r="M3775" s="31">
        <f t="shared" si="4428"/>
        <v>0</v>
      </c>
      <c r="N3775" s="31">
        <f t="shared" si="4429"/>
        <v>15.966539999999998</v>
      </c>
      <c r="O3775" s="31">
        <f t="shared" si="4430"/>
        <v>0</v>
      </c>
      <c r="P3775" s="31">
        <f t="shared" si="4431"/>
        <v>0</v>
      </c>
      <c r="Q3775" s="49">
        <f t="shared" si="4432"/>
        <v>0</v>
      </c>
    </row>
    <row r="3776" spans="4:17" s="62" customFormat="1" x14ac:dyDescent="0.3">
      <c r="D3776" s="235">
        <v>38</v>
      </c>
      <c r="E3776" s="240">
        <v>1</v>
      </c>
      <c r="F3776" s="241">
        <v>12.5</v>
      </c>
      <c r="G3776" s="242">
        <v>2.7</v>
      </c>
      <c r="H3776" s="239">
        <f t="shared" si="4423"/>
        <v>2.7</v>
      </c>
      <c r="I3776" s="131">
        <f t="shared" si="4424"/>
        <v>0</v>
      </c>
      <c r="J3776" s="31">
        <f t="shared" si="4425"/>
        <v>0</v>
      </c>
      <c r="K3776" s="31">
        <f t="shared" si="4426"/>
        <v>0</v>
      </c>
      <c r="L3776" s="31">
        <f t="shared" si="4427"/>
        <v>0</v>
      </c>
      <c r="M3776" s="31">
        <f t="shared" si="4428"/>
        <v>0</v>
      </c>
      <c r="N3776" s="31">
        <f t="shared" si="4429"/>
        <v>2.6001000000000003</v>
      </c>
      <c r="O3776" s="31">
        <f t="shared" si="4430"/>
        <v>0</v>
      </c>
      <c r="P3776" s="31">
        <f t="shared" si="4431"/>
        <v>0</v>
      </c>
      <c r="Q3776" s="49">
        <f t="shared" si="4432"/>
        <v>0</v>
      </c>
    </row>
    <row r="3777" spans="4:17" s="62" customFormat="1" x14ac:dyDescent="0.3">
      <c r="D3777" s="235">
        <v>39</v>
      </c>
      <c r="E3777" s="240">
        <v>3</v>
      </c>
      <c r="F3777" s="241">
        <v>12.5</v>
      </c>
      <c r="G3777" s="242">
        <v>4.1399999999999997</v>
      </c>
      <c r="H3777" s="239">
        <f t="shared" si="4423"/>
        <v>12.419999999999998</v>
      </c>
      <c r="I3777" s="131">
        <f t="shared" si="4424"/>
        <v>0</v>
      </c>
      <c r="J3777" s="31">
        <f t="shared" si="4425"/>
        <v>0</v>
      </c>
      <c r="K3777" s="31">
        <f t="shared" si="4426"/>
        <v>0</v>
      </c>
      <c r="L3777" s="31">
        <f t="shared" si="4427"/>
        <v>0</v>
      </c>
      <c r="M3777" s="31">
        <f t="shared" si="4428"/>
        <v>0</v>
      </c>
      <c r="N3777" s="31">
        <f t="shared" si="4429"/>
        <v>11.960459999999998</v>
      </c>
      <c r="O3777" s="31">
        <f t="shared" si="4430"/>
        <v>0</v>
      </c>
      <c r="P3777" s="31">
        <f t="shared" si="4431"/>
        <v>0</v>
      </c>
      <c r="Q3777" s="49">
        <f t="shared" si="4432"/>
        <v>0</v>
      </c>
    </row>
    <row r="3778" spans="4:17" s="62" customFormat="1" x14ac:dyDescent="0.3">
      <c r="D3778" s="235">
        <v>40</v>
      </c>
      <c r="E3778" s="240">
        <v>1</v>
      </c>
      <c r="F3778" s="241">
        <v>12.5</v>
      </c>
      <c r="G3778" s="242">
        <v>6.14</v>
      </c>
      <c r="H3778" s="239">
        <f t="shared" si="4423"/>
        <v>6.14</v>
      </c>
      <c r="I3778" s="131">
        <f t="shared" si="4424"/>
        <v>0</v>
      </c>
      <c r="J3778" s="31">
        <f t="shared" si="4425"/>
        <v>0</v>
      </c>
      <c r="K3778" s="31">
        <f t="shared" si="4426"/>
        <v>0</v>
      </c>
      <c r="L3778" s="31">
        <f t="shared" si="4427"/>
        <v>0</v>
      </c>
      <c r="M3778" s="31">
        <f t="shared" si="4428"/>
        <v>0</v>
      </c>
      <c r="N3778" s="31">
        <f t="shared" si="4429"/>
        <v>5.9128199999999991</v>
      </c>
      <c r="O3778" s="31">
        <f t="shared" si="4430"/>
        <v>0</v>
      </c>
      <c r="P3778" s="31">
        <f t="shared" si="4431"/>
        <v>0</v>
      </c>
      <c r="Q3778" s="49">
        <f t="shared" si="4432"/>
        <v>0</v>
      </c>
    </row>
    <row r="3779" spans="4:17" s="62" customFormat="1" x14ac:dyDescent="0.3">
      <c r="D3779" s="235">
        <v>41</v>
      </c>
      <c r="E3779" s="240">
        <v>1</v>
      </c>
      <c r="F3779" s="241">
        <v>12.5</v>
      </c>
      <c r="G3779" s="242">
        <v>2.6</v>
      </c>
      <c r="H3779" s="239">
        <f t="shared" si="4423"/>
        <v>2.6</v>
      </c>
      <c r="I3779" s="131">
        <f t="shared" si="4424"/>
        <v>0</v>
      </c>
      <c r="J3779" s="31">
        <f t="shared" si="4425"/>
        <v>0</v>
      </c>
      <c r="K3779" s="31">
        <f t="shared" si="4426"/>
        <v>0</v>
      </c>
      <c r="L3779" s="31">
        <f t="shared" si="4427"/>
        <v>0</v>
      </c>
      <c r="M3779" s="31">
        <f t="shared" si="4428"/>
        <v>0</v>
      </c>
      <c r="N3779" s="31">
        <f t="shared" si="4429"/>
        <v>2.5038</v>
      </c>
      <c r="O3779" s="31">
        <f t="shared" si="4430"/>
        <v>0</v>
      </c>
      <c r="P3779" s="31">
        <f t="shared" si="4431"/>
        <v>0</v>
      </c>
      <c r="Q3779" s="49">
        <f t="shared" si="4432"/>
        <v>0</v>
      </c>
    </row>
    <row r="3780" spans="4:17" s="62" customFormat="1" x14ac:dyDescent="0.3">
      <c r="D3780" s="235">
        <v>42</v>
      </c>
      <c r="E3780" s="240">
        <v>2</v>
      </c>
      <c r="F3780" s="241">
        <v>12.5</v>
      </c>
      <c r="G3780" s="242">
        <v>11.32</v>
      </c>
      <c r="H3780" s="239">
        <f t="shared" si="4423"/>
        <v>22.64</v>
      </c>
      <c r="I3780" s="131">
        <f t="shared" si="4424"/>
        <v>0</v>
      </c>
      <c r="J3780" s="31">
        <f t="shared" si="4425"/>
        <v>0</v>
      </c>
      <c r="K3780" s="31">
        <f t="shared" si="4426"/>
        <v>0</v>
      </c>
      <c r="L3780" s="31">
        <f t="shared" si="4427"/>
        <v>0</v>
      </c>
      <c r="M3780" s="31">
        <f t="shared" si="4428"/>
        <v>0</v>
      </c>
      <c r="N3780" s="31">
        <f t="shared" si="4429"/>
        <v>21.802319999999998</v>
      </c>
      <c r="O3780" s="31">
        <f t="shared" si="4430"/>
        <v>0</v>
      </c>
      <c r="P3780" s="31">
        <f t="shared" si="4431"/>
        <v>0</v>
      </c>
      <c r="Q3780" s="49">
        <f t="shared" si="4432"/>
        <v>0</v>
      </c>
    </row>
    <row r="3781" spans="4:17" s="62" customFormat="1" x14ac:dyDescent="0.3">
      <c r="D3781" s="235">
        <v>43</v>
      </c>
      <c r="E3781" s="240">
        <v>2</v>
      </c>
      <c r="F3781" s="241">
        <v>12.5</v>
      </c>
      <c r="G3781" s="242">
        <v>2.15</v>
      </c>
      <c r="H3781" s="239">
        <f t="shared" si="4423"/>
        <v>4.3</v>
      </c>
      <c r="I3781" s="131">
        <f t="shared" si="4424"/>
        <v>0</v>
      </c>
      <c r="J3781" s="31">
        <f t="shared" si="4425"/>
        <v>0</v>
      </c>
      <c r="K3781" s="31">
        <f t="shared" si="4426"/>
        <v>0</v>
      </c>
      <c r="L3781" s="31">
        <f t="shared" si="4427"/>
        <v>0</v>
      </c>
      <c r="M3781" s="31">
        <f t="shared" si="4428"/>
        <v>0</v>
      </c>
      <c r="N3781" s="31">
        <f t="shared" si="4429"/>
        <v>4.1408999999999994</v>
      </c>
      <c r="O3781" s="31">
        <f t="shared" si="4430"/>
        <v>0</v>
      </c>
      <c r="P3781" s="31">
        <f t="shared" si="4431"/>
        <v>0</v>
      </c>
      <c r="Q3781" s="49">
        <f t="shared" si="4432"/>
        <v>0</v>
      </c>
    </row>
    <row r="3782" spans="4:17" s="62" customFormat="1" x14ac:dyDescent="0.3">
      <c r="D3782" s="235"/>
      <c r="E3782" s="240"/>
      <c r="F3782" s="241"/>
      <c r="G3782" s="242"/>
      <c r="H3782" s="239">
        <f t="shared" si="4423"/>
        <v>0</v>
      </c>
      <c r="I3782" s="131">
        <f t="shared" si="4424"/>
        <v>0</v>
      </c>
      <c r="J3782" s="31">
        <f t="shared" si="4425"/>
        <v>0</v>
      </c>
      <c r="K3782" s="31">
        <f t="shared" si="4426"/>
        <v>0</v>
      </c>
      <c r="L3782" s="31">
        <f t="shared" si="4427"/>
        <v>0</v>
      </c>
      <c r="M3782" s="31">
        <f t="shared" si="4428"/>
        <v>0</v>
      </c>
      <c r="N3782" s="31">
        <f t="shared" si="4429"/>
        <v>0</v>
      </c>
      <c r="O3782" s="31">
        <f t="shared" si="4430"/>
        <v>0</v>
      </c>
      <c r="P3782" s="31">
        <f t="shared" si="4431"/>
        <v>0</v>
      </c>
      <c r="Q3782" s="49">
        <f t="shared" si="4432"/>
        <v>0</v>
      </c>
    </row>
    <row r="3783" spans="4:17" s="62" customFormat="1" ht="15" thickBot="1" x14ac:dyDescent="0.35">
      <c r="D3783" s="307"/>
      <c r="E3783" s="26"/>
      <c r="F3783" s="206"/>
      <c r="G3783" s="207"/>
      <c r="H3783" s="207"/>
      <c r="I3783" s="51"/>
      <c r="J3783" s="308"/>
      <c r="K3783" s="308"/>
      <c r="L3783" s="308"/>
      <c r="M3783" s="308"/>
      <c r="N3783" s="308"/>
      <c r="O3783" s="308"/>
      <c r="P3783" s="308"/>
      <c r="Q3783" s="309"/>
    </row>
    <row r="3784" spans="4:17" s="62" customFormat="1" x14ac:dyDescent="0.3">
      <c r="D3784" s="796" t="s">
        <v>2053</v>
      </c>
      <c r="E3784" s="797"/>
      <c r="F3784" s="797"/>
      <c r="G3784" s="797"/>
      <c r="H3784" s="797"/>
      <c r="I3784" s="47">
        <f t="shared" ref="I3784:Q3784" si="4433">SUM(I3785:I3790)</f>
        <v>0</v>
      </c>
      <c r="J3784" s="47">
        <f t="shared" si="4433"/>
        <v>8.6055200000000003</v>
      </c>
      <c r="K3784" s="47">
        <f t="shared" si="4433"/>
        <v>0</v>
      </c>
      <c r="L3784" s="47">
        <f t="shared" si="4433"/>
        <v>0</v>
      </c>
      <c r="M3784" s="47">
        <f t="shared" si="4433"/>
        <v>0</v>
      </c>
      <c r="N3784" s="47">
        <f t="shared" si="4433"/>
        <v>38.221469999999997</v>
      </c>
      <c r="O3784" s="47">
        <f t="shared" si="4433"/>
        <v>0</v>
      </c>
      <c r="P3784" s="47">
        <f t="shared" si="4433"/>
        <v>0</v>
      </c>
      <c r="Q3784" s="47">
        <f t="shared" si="4433"/>
        <v>0</v>
      </c>
    </row>
    <row r="3785" spans="4:17" s="62" customFormat="1" x14ac:dyDescent="0.3">
      <c r="D3785" s="235">
        <v>1</v>
      </c>
      <c r="E3785" s="237">
        <v>44</v>
      </c>
      <c r="F3785" s="238">
        <v>5</v>
      </c>
      <c r="G3785" s="239">
        <v>1.27</v>
      </c>
      <c r="H3785" s="239">
        <f t="shared" ref="H3785:H3790" si="4434">E3785*G3785</f>
        <v>55.88</v>
      </c>
      <c r="I3785" s="131">
        <f t="shared" ref="I3785:I3790" si="4435">IF($F3785=4.2,H3785*$B$23,0)</f>
        <v>0</v>
      </c>
      <c r="J3785" s="31">
        <f t="shared" ref="J3785:J3790" si="4436">IF($F3785=5,$H3785*$B$24,0)</f>
        <v>8.6055200000000003</v>
      </c>
      <c r="K3785" s="31">
        <f t="shared" ref="K3785:K3790" si="4437">IF($F3785=6.3,$H3785*$B$25,0)</f>
        <v>0</v>
      </c>
      <c r="L3785" s="31">
        <f t="shared" ref="L3785:L3790" si="4438">IF($F3785=8,$H3785*$B$26,0)</f>
        <v>0</v>
      </c>
      <c r="M3785" s="31">
        <f t="shared" ref="M3785:M3790" si="4439">IF($F3785=10,$H3785*$B$27,0)</f>
        <v>0</v>
      </c>
      <c r="N3785" s="31">
        <f t="shared" ref="N3785:N3790" si="4440">IF($F3785=12.5,$H3785*$B$28,0)</f>
        <v>0</v>
      </c>
      <c r="O3785" s="31">
        <f t="shared" ref="O3785:O3790" si="4441">IF($F3785=16,$H3785*$B$29,0)</f>
        <v>0</v>
      </c>
      <c r="P3785" s="31">
        <f t="shared" ref="P3785:P3790" si="4442">IF($F3785=20,$H3785*$B$30,0)</f>
        <v>0</v>
      </c>
      <c r="Q3785" s="49">
        <f t="shared" ref="Q3785:Q3790" si="4443">IF($F3785=25,$H3785*$B$31,0)</f>
        <v>0</v>
      </c>
    </row>
    <row r="3786" spans="4:17" s="62" customFormat="1" x14ac:dyDescent="0.3">
      <c r="D3786" s="235">
        <v>29</v>
      </c>
      <c r="E3786" s="240">
        <v>1</v>
      </c>
      <c r="F3786" s="241">
        <v>12.5</v>
      </c>
      <c r="G3786" s="242">
        <v>2.98</v>
      </c>
      <c r="H3786" s="239">
        <f t="shared" si="4434"/>
        <v>2.98</v>
      </c>
      <c r="I3786" s="131">
        <f t="shared" si="4435"/>
        <v>0</v>
      </c>
      <c r="J3786" s="31">
        <f t="shared" si="4436"/>
        <v>0</v>
      </c>
      <c r="K3786" s="31">
        <f t="shared" si="4437"/>
        <v>0</v>
      </c>
      <c r="L3786" s="31">
        <f t="shared" si="4438"/>
        <v>0</v>
      </c>
      <c r="M3786" s="31">
        <f t="shared" si="4439"/>
        <v>0</v>
      </c>
      <c r="N3786" s="31">
        <f t="shared" si="4440"/>
        <v>2.8697399999999997</v>
      </c>
      <c r="O3786" s="31">
        <f t="shared" si="4441"/>
        <v>0</v>
      </c>
      <c r="P3786" s="31">
        <f t="shared" si="4442"/>
        <v>0</v>
      </c>
      <c r="Q3786" s="49">
        <f t="shared" si="4443"/>
        <v>0</v>
      </c>
    </row>
    <row r="3787" spans="4:17" s="62" customFormat="1" x14ac:dyDescent="0.3">
      <c r="D3787" s="235">
        <v>31</v>
      </c>
      <c r="E3787" s="240">
        <v>2</v>
      </c>
      <c r="F3787" s="241">
        <v>12.5</v>
      </c>
      <c r="G3787" s="242">
        <v>8.31</v>
      </c>
      <c r="H3787" s="239">
        <f t="shared" si="4434"/>
        <v>16.62</v>
      </c>
      <c r="I3787" s="131">
        <f t="shared" si="4435"/>
        <v>0</v>
      </c>
      <c r="J3787" s="31">
        <f t="shared" si="4436"/>
        <v>0</v>
      </c>
      <c r="K3787" s="31">
        <f t="shared" si="4437"/>
        <v>0</v>
      </c>
      <c r="L3787" s="31">
        <f t="shared" si="4438"/>
        <v>0</v>
      </c>
      <c r="M3787" s="31">
        <f t="shared" si="4439"/>
        <v>0</v>
      </c>
      <c r="N3787" s="31">
        <f t="shared" si="4440"/>
        <v>16.00506</v>
      </c>
      <c r="O3787" s="31">
        <f t="shared" si="4441"/>
        <v>0</v>
      </c>
      <c r="P3787" s="31">
        <f t="shared" si="4442"/>
        <v>0</v>
      </c>
      <c r="Q3787" s="49">
        <f t="shared" si="4443"/>
        <v>0</v>
      </c>
    </row>
    <row r="3788" spans="4:17" s="62" customFormat="1" x14ac:dyDescent="0.3">
      <c r="D3788" s="235">
        <v>44</v>
      </c>
      <c r="E3788" s="240">
        <v>1</v>
      </c>
      <c r="F3788" s="241">
        <v>12.5</v>
      </c>
      <c r="G3788" s="242">
        <v>2.95</v>
      </c>
      <c r="H3788" s="239">
        <f t="shared" si="4434"/>
        <v>2.95</v>
      </c>
      <c r="I3788" s="131">
        <f t="shared" si="4435"/>
        <v>0</v>
      </c>
      <c r="J3788" s="31">
        <f t="shared" si="4436"/>
        <v>0</v>
      </c>
      <c r="K3788" s="31">
        <f t="shared" si="4437"/>
        <v>0</v>
      </c>
      <c r="L3788" s="31">
        <f t="shared" si="4438"/>
        <v>0</v>
      </c>
      <c r="M3788" s="31">
        <f t="shared" si="4439"/>
        <v>0</v>
      </c>
      <c r="N3788" s="31">
        <f t="shared" si="4440"/>
        <v>2.8408500000000001</v>
      </c>
      <c r="O3788" s="31">
        <f t="shared" si="4441"/>
        <v>0</v>
      </c>
      <c r="P3788" s="31">
        <f t="shared" si="4442"/>
        <v>0</v>
      </c>
      <c r="Q3788" s="49">
        <f t="shared" si="4443"/>
        <v>0</v>
      </c>
    </row>
    <row r="3789" spans="4:17" s="62" customFormat="1" x14ac:dyDescent="0.3">
      <c r="D3789" s="235">
        <v>45</v>
      </c>
      <c r="E3789" s="240">
        <v>2</v>
      </c>
      <c r="F3789" s="241">
        <v>12.5</v>
      </c>
      <c r="G3789" s="242">
        <v>8.57</v>
      </c>
      <c r="H3789" s="239">
        <f t="shared" si="4434"/>
        <v>17.14</v>
      </c>
      <c r="I3789" s="131">
        <f t="shared" si="4435"/>
        <v>0</v>
      </c>
      <c r="J3789" s="31">
        <f t="shared" si="4436"/>
        <v>0</v>
      </c>
      <c r="K3789" s="31">
        <f t="shared" si="4437"/>
        <v>0</v>
      </c>
      <c r="L3789" s="31">
        <f t="shared" si="4438"/>
        <v>0</v>
      </c>
      <c r="M3789" s="31">
        <f t="shared" si="4439"/>
        <v>0</v>
      </c>
      <c r="N3789" s="31">
        <f t="shared" si="4440"/>
        <v>16.50582</v>
      </c>
      <c r="O3789" s="31">
        <f t="shared" si="4441"/>
        <v>0</v>
      </c>
      <c r="P3789" s="31">
        <f t="shared" si="4442"/>
        <v>0</v>
      </c>
      <c r="Q3789" s="49">
        <f t="shared" si="4443"/>
        <v>0</v>
      </c>
    </row>
    <row r="3790" spans="4:17" s="62" customFormat="1" x14ac:dyDescent="0.3">
      <c r="D3790" s="235"/>
      <c r="E3790" s="240"/>
      <c r="F3790" s="241"/>
      <c r="G3790" s="242"/>
      <c r="H3790" s="239">
        <f t="shared" si="4434"/>
        <v>0</v>
      </c>
      <c r="I3790" s="131">
        <f t="shared" si="4435"/>
        <v>0</v>
      </c>
      <c r="J3790" s="31">
        <f t="shared" si="4436"/>
        <v>0</v>
      </c>
      <c r="K3790" s="31">
        <f t="shared" si="4437"/>
        <v>0</v>
      </c>
      <c r="L3790" s="31">
        <f t="shared" si="4438"/>
        <v>0</v>
      </c>
      <c r="M3790" s="31">
        <f t="shared" si="4439"/>
        <v>0</v>
      </c>
      <c r="N3790" s="31">
        <f t="shared" si="4440"/>
        <v>0</v>
      </c>
      <c r="O3790" s="31">
        <f t="shared" si="4441"/>
        <v>0</v>
      </c>
      <c r="P3790" s="31">
        <f t="shared" si="4442"/>
        <v>0</v>
      </c>
      <c r="Q3790" s="49">
        <f t="shared" si="4443"/>
        <v>0</v>
      </c>
    </row>
    <row r="3791" spans="4:17" s="62" customFormat="1" ht="15" thickBot="1" x14ac:dyDescent="0.35">
      <c r="D3791" s="307"/>
      <c r="E3791" s="26"/>
      <c r="F3791" s="206"/>
      <c r="G3791" s="207"/>
      <c r="H3791" s="207"/>
      <c r="I3791" s="51"/>
      <c r="J3791" s="308"/>
      <c r="K3791" s="308"/>
      <c r="L3791" s="308"/>
      <c r="M3791" s="308"/>
      <c r="N3791" s="308"/>
      <c r="O3791" s="308"/>
      <c r="P3791" s="308"/>
      <c r="Q3791" s="309"/>
    </row>
    <row r="3792" spans="4:17" s="62" customFormat="1" x14ac:dyDescent="0.3">
      <c r="D3792" s="796" t="s">
        <v>2054</v>
      </c>
      <c r="E3792" s="797"/>
      <c r="F3792" s="797"/>
      <c r="G3792" s="797"/>
      <c r="H3792" s="797"/>
      <c r="I3792" s="47">
        <f t="shared" ref="I3792:Q3792" si="4444">SUM(I3793:I3795)</f>
        <v>0</v>
      </c>
      <c r="J3792" s="47">
        <f t="shared" si="4444"/>
        <v>1.4414399999999998</v>
      </c>
      <c r="K3792" s="47">
        <f t="shared" si="4444"/>
        <v>0</v>
      </c>
      <c r="L3792" s="47">
        <f t="shared" si="4444"/>
        <v>0</v>
      </c>
      <c r="M3792" s="47">
        <f t="shared" si="4444"/>
        <v>3.9611399999999999</v>
      </c>
      <c r="N3792" s="47">
        <f t="shared" si="4444"/>
        <v>4.37202</v>
      </c>
      <c r="O3792" s="47">
        <f t="shared" si="4444"/>
        <v>0</v>
      </c>
      <c r="P3792" s="47">
        <f t="shared" si="4444"/>
        <v>0</v>
      </c>
      <c r="Q3792" s="47">
        <f t="shared" si="4444"/>
        <v>0</v>
      </c>
    </row>
    <row r="3793" spans="4:17" s="62" customFormat="1" x14ac:dyDescent="0.3">
      <c r="D3793" s="235">
        <v>3</v>
      </c>
      <c r="E3793" s="237">
        <v>8</v>
      </c>
      <c r="F3793" s="238">
        <v>5</v>
      </c>
      <c r="G3793" s="239">
        <v>1.17</v>
      </c>
      <c r="H3793" s="239">
        <f t="shared" ref="H3793:H3795" si="4445">E3793*G3793</f>
        <v>9.36</v>
      </c>
      <c r="I3793" s="131">
        <f t="shared" ref="I3793:I3795" si="4446">IF($F3793=4.2,H3793*$B$23,0)</f>
        <v>0</v>
      </c>
      <c r="J3793" s="31">
        <f t="shared" ref="J3793:J3795" si="4447">IF($F3793=5,$H3793*$B$24,0)</f>
        <v>1.4414399999999998</v>
      </c>
      <c r="K3793" s="31">
        <f t="shared" ref="K3793:K3795" si="4448">IF($F3793=6.3,$H3793*$B$25,0)</f>
        <v>0</v>
      </c>
      <c r="L3793" s="31">
        <f t="shared" ref="L3793:L3795" si="4449">IF($F3793=8,$H3793*$B$26,0)</f>
        <v>0</v>
      </c>
      <c r="M3793" s="31">
        <f t="shared" ref="M3793:M3795" si="4450">IF($F3793=10,$H3793*$B$27,0)</f>
        <v>0</v>
      </c>
      <c r="N3793" s="31">
        <f t="shared" ref="N3793:N3795" si="4451">IF($F3793=12.5,$H3793*$B$28,0)</f>
        <v>0</v>
      </c>
      <c r="O3793" s="31">
        <f t="shared" ref="O3793:O3795" si="4452">IF($F3793=16,$H3793*$B$29,0)</f>
        <v>0</v>
      </c>
      <c r="P3793" s="31">
        <f t="shared" ref="P3793:P3795" si="4453">IF($F3793=20,$H3793*$B$30,0)</f>
        <v>0</v>
      </c>
      <c r="Q3793" s="49">
        <f t="shared" ref="Q3793:Q3795" si="4454">IF($F3793=25,$H3793*$B$31,0)</f>
        <v>0</v>
      </c>
    </row>
    <row r="3794" spans="4:17" s="62" customFormat="1" x14ac:dyDescent="0.3">
      <c r="D3794" s="235">
        <v>9</v>
      </c>
      <c r="E3794" s="240">
        <v>3</v>
      </c>
      <c r="F3794" s="241">
        <v>10</v>
      </c>
      <c r="G3794" s="242">
        <v>2.14</v>
      </c>
      <c r="H3794" s="239">
        <f t="shared" si="4445"/>
        <v>6.42</v>
      </c>
      <c r="I3794" s="131">
        <f t="shared" si="4446"/>
        <v>0</v>
      </c>
      <c r="J3794" s="31">
        <f t="shared" si="4447"/>
        <v>0</v>
      </c>
      <c r="K3794" s="31">
        <f t="shared" si="4448"/>
        <v>0</v>
      </c>
      <c r="L3794" s="31">
        <f t="shared" si="4449"/>
        <v>0</v>
      </c>
      <c r="M3794" s="31">
        <f t="shared" si="4450"/>
        <v>3.9611399999999999</v>
      </c>
      <c r="N3794" s="31">
        <f t="shared" si="4451"/>
        <v>0</v>
      </c>
      <c r="O3794" s="31">
        <f t="shared" si="4452"/>
        <v>0</v>
      </c>
      <c r="P3794" s="31">
        <f t="shared" si="4453"/>
        <v>0</v>
      </c>
      <c r="Q3794" s="49">
        <f t="shared" si="4454"/>
        <v>0</v>
      </c>
    </row>
    <row r="3795" spans="4:17" s="62" customFormat="1" x14ac:dyDescent="0.3">
      <c r="D3795" s="235">
        <v>46</v>
      </c>
      <c r="E3795" s="240">
        <v>2</v>
      </c>
      <c r="F3795" s="241">
        <v>12.5</v>
      </c>
      <c r="G3795" s="242">
        <v>2.27</v>
      </c>
      <c r="H3795" s="239">
        <f t="shared" si="4445"/>
        <v>4.54</v>
      </c>
      <c r="I3795" s="131">
        <f t="shared" si="4446"/>
        <v>0</v>
      </c>
      <c r="J3795" s="31">
        <f t="shared" si="4447"/>
        <v>0</v>
      </c>
      <c r="K3795" s="31">
        <f t="shared" si="4448"/>
        <v>0</v>
      </c>
      <c r="L3795" s="31">
        <f t="shared" si="4449"/>
        <v>0</v>
      </c>
      <c r="M3795" s="31">
        <f t="shared" si="4450"/>
        <v>0</v>
      </c>
      <c r="N3795" s="31">
        <f t="shared" si="4451"/>
        <v>4.37202</v>
      </c>
      <c r="O3795" s="31">
        <f t="shared" si="4452"/>
        <v>0</v>
      </c>
      <c r="P3795" s="31">
        <f t="shared" si="4453"/>
        <v>0</v>
      </c>
      <c r="Q3795" s="49">
        <f t="shared" si="4454"/>
        <v>0</v>
      </c>
    </row>
    <row r="3796" spans="4:17" s="62" customFormat="1" ht="15" thickBot="1" x14ac:dyDescent="0.35">
      <c r="D3796" s="307"/>
      <c r="E3796" s="26"/>
      <c r="F3796" s="206"/>
      <c r="G3796" s="207"/>
      <c r="H3796" s="207"/>
      <c r="I3796" s="51"/>
      <c r="J3796" s="308"/>
      <c r="K3796" s="308"/>
      <c r="L3796" s="308"/>
      <c r="M3796" s="308"/>
      <c r="N3796" s="308"/>
      <c r="O3796" s="308"/>
      <c r="P3796" s="308"/>
      <c r="Q3796" s="309"/>
    </row>
    <row r="3797" spans="4:17" s="62" customFormat="1" x14ac:dyDescent="0.3">
      <c r="D3797" s="796" t="s">
        <v>2055</v>
      </c>
      <c r="E3797" s="797"/>
      <c r="F3797" s="797"/>
      <c r="G3797" s="797"/>
      <c r="H3797" s="797"/>
      <c r="I3797" s="47">
        <f t="shared" ref="I3797:Q3797" si="4455">SUM(I3798:I3809)</f>
        <v>0</v>
      </c>
      <c r="J3797" s="47">
        <f t="shared" si="4455"/>
        <v>8.7872399999999988</v>
      </c>
      <c r="K3797" s="47">
        <f t="shared" si="4455"/>
        <v>0</v>
      </c>
      <c r="L3797" s="47">
        <f t="shared" si="4455"/>
        <v>0</v>
      </c>
      <c r="M3797" s="47">
        <f t="shared" si="4455"/>
        <v>2.3199199999999998</v>
      </c>
      <c r="N3797" s="47">
        <f t="shared" si="4455"/>
        <v>64.578779999999995</v>
      </c>
      <c r="O3797" s="47">
        <f t="shared" si="4455"/>
        <v>0</v>
      </c>
      <c r="P3797" s="47">
        <f t="shared" si="4455"/>
        <v>0</v>
      </c>
      <c r="Q3797" s="47">
        <f t="shared" si="4455"/>
        <v>0</v>
      </c>
    </row>
    <row r="3798" spans="4:17" s="62" customFormat="1" x14ac:dyDescent="0.3">
      <c r="D3798" s="235">
        <v>1</v>
      </c>
      <c r="E3798" s="237">
        <v>9</v>
      </c>
      <c r="F3798" s="238">
        <v>5</v>
      </c>
      <c r="G3798" s="239">
        <v>1.27</v>
      </c>
      <c r="H3798" s="239">
        <f t="shared" ref="H3798:H3809" si="4456">E3798*G3798</f>
        <v>11.43</v>
      </c>
      <c r="I3798" s="131">
        <f t="shared" ref="I3798:I3809" si="4457">IF($F3798=4.2,H3798*$B$23,0)</f>
        <v>0</v>
      </c>
      <c r="J3798" s="31">
        <f t="shared" ref="J3798:J3809" si="4458">IF($F3798=5,$H3798*$B$24,0)</f>
        <v>1.7602199999999999</v>
      </c>
      <c r="K3798" s="31">
        <f t="shared" ref="K3798:K3809" si="4459">IF($F3798=6.3,$H3798*$B$25,0)</f>
        <v>0</v>
      </c>
      <c r="L3798" s="31">
        <f t="shared" ref="L3798:L3809" si="4460">IF($F3798=8,$H3798*$B$26,0)</f>
        <v>0</v>
      </c>
      <c r="M3798" s="31">
        <f t="shared" ref="M3798:M3809" si="4461">IF($F3798=10,$H3798*$B$27,0)</f>
        <v>0</v>
      </c>
      <c r="N3798" s="31">
        <f t="shared" ref="N3798:N3809" si="4462">IF($F3798=12.5,$H3798*$B$28,0)</f>
        <v>0</v>
      </c>
      <c r="O3798" s="31">
        <f t="shared" ref="O3798:O3809" si="4463">IF($F3798=16,$H3798*$B$29,0)</f>
        <v>0</v>
      </c>
      <c r="P3798" s="31">
        <f t="shared" ref="P3798:P3809" si="4464">IF($F3798=20,$H3798*$B$30,0)</f>
        <v>0</v>
      </c>
      <c r="Q3798" s="49">
        <f t="shared" ref="Q3798:Q3809" si="4465">IF($F3798=25,$H3798*$B$31,0)</f>
        <v>0</v>
      </c>
    </row>
    <row r="3799" spans="4:17" s="62" customFormat="1" x14ac:dyDescent="0.3">
      <c r="D3799" s="235">
        <v>3</v>
      </c>
      <c r="E3799" s="240">
        <v>39</v>
      </c>
      <c r="F3799" s="241">
        <v>5</v>
      </c>
      <c r="G3799" s="242">
        <v>1.17</v>
      </c>
      <c r="H3799" s="239">
        <f t="shared" si="4456"/>
        <v>45.629999999999995</v>
      </c>
      <c r="I3799" s="131">
        <f t="shared" si="4457"/>
        <v>0</v>
      </c>
      <c r="J3799" s="31">
        <f t="shared" si="4458"/>
        <v>7.0270199999999994</v>
      </c>
      <c r="K3799" s="31">
        <f t="shared" si="4459"/>
        <v>0</v>
      </c>
      <c r="L3799" s="31">
        <f t="shared" si="4460"/>
        <v>0</v>
      </c>
      <c r="M3799" s="31">
        <f t="shared" si="4461"/>
        <v>0</v>
      </c>
      <c r="N3799" s="31">
        <f t="shared" si="4462"/>
        <v>0</v>
      </c>
      <c r="O3799" s="31">
        <f t="shared" si="4463"/>
        <v>0</v>
      </c>
      <c r="P3799" s="31">
        <f t="shared" si="4464"/>
        <v>0</v>
      </c>
      <c r="Q3799" s="49">
        <f t="shared" si="4465"/>
        <v>0</v>
      </c>
    </row>
    <row r="3800" spans="4:17" s="62" customFormat="1" x14ac:dyDescent="0.3">
      <c r="D3800" s="235">
        <v>10</v>
      </c>
      <c r="E3800" s="240">
        <v>4</v>
      </c>
      <c r="F3800" s="241">
        <v>10</v>
      </c>
      <c r="G3800" s="242">
        <v>0.94</v>
      </c>
      <c r="H3800" s="239">
        <f t="shared" si="4456"/>
        <v>3.76</v>
      </c>
      <c r="I3800" s="131">
        <f t="shared" si="4457"/>
        <v>0</v>
      </c>
      <c r="J3800" s="31">
        <f t="shared" si="4458"/>
        <v>0</v>
      </c>
      <c r="K3800" s="31">
        <f t="shared" si="4459"/>
        <v>0</v>
      </c>
      <c r="L3800" s="31">
        <f t="shared" si="4460"/>
        <v>0</v>
      </c>
      <c r="M3800" s="31">
        <f t="shared" si="4461"/>
        <v>2.3199199999999998</v>
      </c>
      <c r="N3800" s="31">
        <f t="shared" si="4462"/>
        <v>0</v>
      </c>
      <c r="O3800" s="31">
        <f t="shared" si="4463"/>
        <v>0</v>
      </c>
      <c r="P3800" s="31">
        <f t="shared" si="4464"/>
        <v>0</v>
      </c>
      <c r="Q3800" s="49">
        <f t="shared" si="4465"/>
        <v>0</v>
      </c>
    </row>
    <row r="3801" spans="4:17" s="62" customFormat="1" x14ac:dyDescent="0.3">
      <c r="D3801" s="235">
        <v>25</v>
      </c>
      <c r="E3801" s="240">
        <v>4</v>
      </c>
      <c r="F3801" s="241">
        <v>12.5</v>
      </c>
      <c r="G3801" s="242">
        <v>2.04</v>
      </c>
      <c r="H3801" s="239">
        <f t="shared" si="4456"/>
        <v>8.16</v>
      </c>
      <c r="I3801" s="131">
        <f t="shared" si="4457"/>
        <v>0</v>
      </c>
      <c r="J3801" s="31">
        <f t="shared" si="4458"/>
        <v>0</v>
      </c>
      <c r="K3801" s="31">
        <f t="shared" si="4459"/>
        <v>0</v>
      </c>
      <c r="L3801" s="31">
        <f t="shared" si="4460"/>
        <v>0</v>
      </c>
      <c r="M3801" s="31">
        <f t="shared" si="4461"/>
        <v>0</v>
      </c>
      <c r="N3801" s="31">
        <f t="shared" si="4462"/>
        <v>7.8580800000000002</v>
      </c>
      <c r="O3801" s="31">
        <f t="shared" si="4463"/>
        <v>0</v>
      </c>
      <c r="P3801" s="31">
        <f t="shared" si="4464"/>
        <v>0</v>
      </c>
      <c r="Q3801" s="49">
        <f t="shared" si="4465"/>
        <v>0</v>
      </c>
    </row>
    <row r="3802" spans="4:17" s="62" customFormat="1" x14ac:dyDescent="0.3">
      <c r="D3802" s="235">
        <v>38</v>
      </c>
      <c r="E3802" s="240">
        <v>1</v>
      </c>
      <c r="F3802" s="241">
        <v>12.5</v>
      </c>
      <c r="G3802" s="242">
        <v>2.7</v>
      </c>
      <c r="H3802" s="239">
        <f t="shared" si="4456"/>
        <v>2.7</v>
      </c>
      <c r="I3802" s="131">
        <f t="shared" si="4457"/>
        <v>0</v>
      </c>
      <c r="J3802" s="31">
        <f t="shared" si="4458"/>
        <v>0</v>
      </c>
      <c r="K3802" s="31">
        <f t="shared" si="4459"/>
        <v>0</v>
      </c>
      <c r="L3802" s="31">
        <f t="shared" si="4460"/>
        <v>0</v>
      </c>
      <c r="M3802" s="31">
        <f t="shared" si="4461"/>
        <v>0</v>
      </c>
      <c r="N3802" s="31">
        <f t="shared" si="4462"/>
        <v>2.6001000000000003</v>
      </c>
      <c r="O3802" s="31">
        <f t="shared" si="4463"/>
        <v>0</v>
      </c>
      <c r="P3802" s="31">
        <f t="shared" si="4464"/>
        <v>0</v>
      </c>
      <c r="Q3802" s="49">
        <f t="shared" si="4465"/>
        <v>0</v>
      </c>
    </row>
    <row r="3803" spans="4:17" s="62" customFormat="1" x14ac:dyDescent="0.3">
      <c r="D3803" s="235">
        <v>47</v>
      </c>
      <c r="E3803" s="240">
        <v>1</v>
      </c>
      <c r="F3803" s="241">
        <v>12.5</v>
      </c>
      <c r="G3803" s="242">
        <v>5.25</v>
      </c>
      <c r="H3803" s="239">
        <f t="shared" si="4456"/>
        <v>5.25</v>
      </c>
      <c r="I3803" s="131">
        <f t="shared" si="4457"/>
        <v>0</v>
      </c>
      <c r="J3803" s="31">
        <f t="shared" si="4458"/>
        <v>0</v>
      </c>
      <c r="K3803" s="31">
        <f t="shared" si="4459"/>
        <v>0</v>
      </c>
      <c r="L3803" s="31">
        <f t="shared" si="4460"/>
        <v>0</v>
      </c>
      <c r="M3803" s="31">
        <f t="shared" si="4461"/>
        <v>0</v>
      </c>
      <c r="N3803" s="31">
        <f t="shared" si="4462"/>
        <v>5.0557499999999997</v>
      </c>
      <c r="O3803" s="31">
        <f t="shared" si="4463"/>
        <v>0</v>
      </c>
      <c r="P3803" s="31">
        <f t="shared" si="4464"/>
        <v>0</v>
      </c>
      <c r="Q3803" s="49">
        <f t="shared" si="4465"/>
        <v>0</v>
      </c>
    </row>
    <row r="3804" spans="4:17" s="62" customFormat="1" x14ac:dyDescent="0.3">
      <c r="D3804" s="235">
        <v>48</v>
      </c>
      <c r="E3804" s="240">
        <v>1</v>
      </c>
      <c r="F3804" s="241">
        <v>12.5</v>
      </c>
      <c r="G3804" s="242">
        <v>8.84</v>
      </c>
      <c r="H3804" s="239">
        <f t="shared" si="4456"/>
        <v>8.84</v>
      </c>
      <c r="I3804" s="131">
        <f t="shared" si="4457"/>
        <v>0</v>
      </c>
      <c r="J3804" s="31">
        <f t="shared" si="4458"/>
        <v>0</v>
      </c>
      <c r="K3804" s="31">
        <f t="shared" si="4459"/>
        <v>0</v>
      </c>
      <c r="L3804" s="31">
        <f t="shared" si="4460"/>
        <v>0</v>
      </c>
      <c r="M3804" s="31">
        <f t="shared" si="4461"/>
        <v>0</v>
      </c>
      <c r="N3804" s="31">
        <f t="shared" si="4462"/>
        <v>8.5129199999999994</v>
      </c>
      <c r="O3804" s="31">
        <f t="shared" si="4463"/>
        <v>0</v>
      </c>
      <c r="P3804" s="31">
        <f t="shared" si="4464"/>
        <v>0</v>
      </c>
      <c r="Q3804" s="49">
        <f t="shared" si="4465"/>
        <v>0</v>
      </c>
    </row>
    <row r="3805" spans="4:17" s="62" customFormat="1" x14ac:dyDescent="0.3">
      <c r="D3805" s="235">
        <v>49</v>
      </c>
      <c r="E3805" s="240">
        <v>2</v>
      </c>
      <c r="F3805" s="241">
        <v>12.5</v>
      </c>
      <c r="G3805" s="242">
        <v>8.8800000000000008</v>
      </c>
      <c r="H3805" s="239">
        <f t="shared" si="4456"/>
        <v>17.760000000000002</v>
      </c>
      <c r="I3805" s="131">
        <f t="shared" si="4457"/>
        <v>0</v>
      </c>
      <c r="J3805" s="31">
        <f t="shared" si="4458"/>
        <v>0</v>
      </c>
      <c r="K3805" s="31">
        <f t="shared" si="4459"/>
        <v>0</v>
      </c>
      <c r="L3805" s="31">
        <f t="shared" si="4460"/>
        <v>0</v>
      </c>
      <c r="M3805" s="31">
        <f t="shared" si="4461"/>
        <v>0</v>
      </c>
      <c r="N3805" s="31">
        <f t="shared" si="4462"/>
        <v>17.102880000000003</v>
      </c>
      <c r="O3805" s="31">
        <f t="shared" si="4463"/>
        <v>0</v>
      </c>
      <c r="P3805" s="31">
        <f t="shared" si="4464"/>
        <v>0</v>
      </c>
      <c r="Q3805" s="49">
        <f t="shared" si="4465"/>
        <v>0</v>
      </c>
    </row>
    <row r="3806" spans="4:17" s="62" customFormat="1" x14ac:dyDescent="0.3">
      <c r="D3806" s="235">
        <v>50</v>
      </c>
      <c r="E3806" s="240">
        <v>2</v>
      </c>
      <c r="F3806" s="241">
        <v>12.5</v>
      </c>
      <c r="G3806" s="242">
        <v>2.2999999999999998</v>
      </c>
      <c r="H3806" s="239">
        <f t="shared" si="4456"/>
        <v>4.5999999999999996</v>
      </c>
      <c r="I3806" s="131">
        <f t="shared" si="4457"/>
        <v>0</v>
      </c>
      <c r="J3806" s="31">
        <f t="shared" si="4458"/>
        <v>0</v>
      </c>
      <c r="K3806" s="31">
        <f t="shared" si="4459"/>
        <v>0</v>
      </c>
      <c r="L3806" s="31">
        <f t="shared" si="4460"/>
        <v>0</v>
      </c>
      <c r="M3806" s="31">
        <f t="shared" si="4461"/>
        <v>0</v>
      </c>
      <c r="N3806" s="31">
        <f t="shared" si="4462"/>
        <v>4.4297999999999993</v>
      </c>
      <c r="O3806" s="31">
        <f t="shared" si="4463"/>
        <v>0</v>
      </c>
      <c r="P3806" s="31">
        <f t="shared" si="4464"/>
        <v>0</v>
      </c>
      <c r="Q3806" s="49">
        <f t="shared" si="4465"/>
        <v>0</v>
      </c>
    </row>
    <row r="3807" spans="4:17" s="62" customFormat="1" x14ac:dyDescent="0.3">
      <c r="D3807" s="235">
        <v>51</v>
      </c>
      <c r="E3807" s="240">
        <v>1</v>
      </c>
      <c r="F3807" s="241">
        <v>12.5</v>
      </c>
      <c r="G3807" s="242">
        <v>1.77</v>
      </c>
      <c r="H3807" s="239">
        <f t="shared" si="4456"/>
        <v>1.77</v>
      </c>
      <c r="I3807" s="131">
        <f t="shared" si="4457"/>
        <v>0</v>
      </c>
      <c r="J3807" s="31">
        <f t="shared" si="4458"/>
        <v>0</v>
      </c>
      <c r="K3807" s="31">
        <f t="shared" si="4459"/>
        <v>0</v>
      </c>
      <c r="L3807" s="31">
        <f t="shared" si="4460"/>
        <v>0</v>
      </c>
      <c r="M3807" s="31">
        <f t="shared" si="4461"/>
        <v>0</v>
      </c>
      <c r="N3807" s="31">
        <f t="shared" si="4462"/>
        <v>1.70451</v>
      </c>
      <c r="O3807" s="31">
        <f t="shared" si="4463"/>
        <v>0</v>
      </c>
      <c r="P3807" s="31">
        <f t="shared" si="4464"/>
        <v>0</v>
      </c>
      <c r="Q3807" s="49">
        <f t="shared" si="4465"/>
        <v>0</v>
      </c>
    </row>
    <row r="3808" spans="4:17" s="62" customFormat="1" x14ac:dyDescent="0.3">
      <c r="D3808" s="235">
        <v>52</v>
      </c>
      <c r="E3808" s="240">
        <v>2</v>
      </c>
      <c r="F3808" s="241">
        <v>12.5</v>
      </c>
      <c r="G3808" s="242">
        <v>8.99</v>
      </c>
      <c r="H3808" s="239">
        <f t="shared" si="4456"/>
        <v>17.98</v>
      </c>
      <c r="I3808" s="131">
        <f t="shared" si="4457"/>
        <v>0</v>
      </c>
      <c r="J3808" s="31">
        <f t="shared" si="4458"/>
        <v>0</v>
      </c>
      <c r="K3808" s="31">
        <f t="shared" si="4459"/>
        <v>0</v>
      </c>
      <c r="L3808" s="31">
        <f t="shared" si="4460"/>
        <v>0</v>
      </c>
      <c r="M3808" s="31">
        <f t="shared" si="4461"/>
        <v>0</v>
      </c>
      <c r="N3808" s="31">
        <f t="shared" si="4462"/>
        <v>17.31474</v>
      </c>
      <c r="O3808" s="31">
        <f t="shared" si="4463"/>
        <v>0</v>
      </c>
      <c r="P3808" s="31">
        <f t="shared" si="4464"/>
        <v>0</v>
      </c>
      <c r="Q3808" s="49">
        <f t="shared" si="4465"/>
        <v>0</v>
      </c>
    </row>
    <row r="3809" spans="4:17" s="62" customFormat="1" x14ac:dyDescent="0.3">
      <c r="D3809" s="235"/>
      <c r="E3809" s="240"/>
      <c r="F3809" s="241"/>
      <c r="G3809" s="242"/>
      <c r="H3809" s="239">
        <f t="shared" si="4456"/>
        <v>0</v>
      </c>
      <c r="I3809" s="131">
        <f t="shared" si="4457"/>
        <v>0</v>
      </c>
      <c r="J3809" s="31">
        <f t="shared" si="4458"/>
        <v>0</v>
      </c>
      <c r="K3809" s="31">
        <f t="shared" si="4459"/>
        <v>0</v>
      </c>
      <c r="L3809" s="31">
        <f t="shared" si="4460"/>
        <v>0</v>
      </c>
      <c r="M3809" s="31">
        <f t="shared" si="4461"/>
        <v>0</v>
      </c>
      <c r="N3809" s="31">
        <f t="shared" si="4462"/>
        <v>0</v>
      </c>
      <c r="O3809" s="31">
        <f t="shared" si="4463"/>
        <v>0</v>
      </c>
      <c r="P3809" s="31">
        <f t="shared" si="4464"/>
        <v>0</v>
      </c>
      <c r="Q3809" s="49">
        <f t="shared" si="4465"/>
        <v>0</v>
      </c>
    </row>
    <row r="3810" spans="4:17" s="62" customFormat="1" ht="15" thickBot="1" x14ac:dyDescent="0.35">
      <c r="D3810" s="307"/>
      <c r="E3810" s="26"/>
      <c r="F3810" s="206"/>
      <c r="G3810" s="207"/>
      <c r="H3810" s="207"/>
      <c r="I3810" s="51"/>
      <c r="J3810" s="308"/>
      <c r="K3810" s="308"/>
      <c r="L3810" s="308"/>
      <c r="M3810" s="308"/>
      <c r="N3810" s="308"/>
      <c r="O3810" s="308"/>
      <c r="P3810" s="308"/>
      <c r="Q3810" s="309"/>
    </row>
    <row r="3811" spans="4:17" s="62" customFormat="1" x14ac:dyDescent="0.3">
      <c r="D3811" s="796" t="s">
        <v>2056</v>
      </c>
      <c r="E3811" s="797"/>
      <c r="F3811" s="797"/>
      <c r="G3811" s="797"/>
      <c r="H3811" s="797"/>
      <c r="I3811" s="47">
        <f t="shared" ref="I3811:Q3811" si="4466">SUM(I3812:I3814)</f>
        <v>0</v>
      </c>
      <c r="J3811" s="47">
        <f t="shared" si="4466"/>
        <v>5.2282999999999991</v>
      </c>
      <c r="K3811" s="47">
        <f t="shared" si="4466"/>
        <v>0</v>
      </c>
      <c r="L3811" s="47">
        <f t="shared" si="4466"/>
        <v>0</v>
      </c>
      <c r="M3811" s="47">
        <f t="shared" si="4466"/>
        <v>20.940980000000003</v>
      </c>
      <c r="N3811" s="47">
        <f t="shared" si="4466"/>
        <v>0</v>
      </c>
      <c r="O3811" s="47">
        <f t="shared" si="4466"/>
        <v>0</v>
      </c>
      <c r="P3811" s="47">
        <f t="shared" si="4466"/>
        <v>0</v>
      </c>
      <c r="Q3811" s="47">
        <f t="shared" si="4466"/>
        <v>0</v>
      </c>
    </row>
    <row r="3812" spans="4:17" s="62" customFormat="1" x14ac:dyDescent="0.3">
      <c r="D3812" s="235">
        <v>5</v>
      </c>
      <c r="E3812" s="237">
        <v>35</v>
      </c>
      <c r="F3812" s="238">
        <v>5</v>
      </c>
      <c r="G3812" s="239">
        <v>0.97</v>
      </c>
      <c r="H3812" s="239">
        <f t="shared" ref="H3812:H3814" si="4467">E3812*G3812</f>
        <v>33.949999999999996</v>
      </c>
      <c r="I3812" s="131">
        <f t="shared" ref="I3812:I3814" si="4468">IF($F3812=4.2,H3812*$B$23,0)</f>
        <v>0</v>
      </c>
      <c r="J3812" s="31">
        <f t="shared" ref="J3812:J3814" si="4469">IF($F3812=5,$H3812*$B$24,0)</f>
        <v>5.2282999999999991</v>
      </c>
      <c r="K3812" s="31">
        <f t="shared" ref="K3812:K3814" si="4470">IF($F3812=6.3,$H3812*$B$25,0)</f>
        <v>0</v>
      </c>
      <c r="L3812" s="31">
        <f t="shared" ref="L3812:L3814" si="4471">IF($F3812=8,$H3812*$B$26,0)</f>
        <v>0</v>
      </c>
      <c r="M3812" s="31">
        <f t="shared" ref="M3812:M3814" si="4472">IF($F3812=10,$H3812*$B$27,0)</f>
        <v>0</v>
      </c>
      <c r="N3812" s="31">
        <f t="shared" ref="N3812:N3814" si="4473">IF($F3812=12.5,$H3812*$B$28,0)</f>
        <v>0</v>
      </c>
      <c r="O3812" s="31">
        <f t="shared" ref="O3812:O3814" si="4474">IF($F3812=16,$H3812*$B$29,0)</f>
        <v>0</v>
      </c>
      <c r="P3812" s="31">
        <f t="shared" ref="P3812:P3814" si="4475">IF($F3812=20,$H3812*$B$30,0)</f>
        <v>0</v>
      </c>
      <c r="Q3812" s="49">
        <f t="shared" ref="Q3812:Q3814" si="4476">IF($F3812=25,$H3812*$B$31,0)</f>
        <v>0</v>
      </c>
    </row>
    <row r="3813" spans="4:17" s="62" customFormat="1" x14ac:dyDescent="0.3">
      <c r="D3813" s="235">
        <v>11</v>
      </c>
      <c r="E3813" s="240">
        <v>2</v>
      </c>
      <c r="F3813" s="241">
        <v>10</v>
      </c>
      <c r="G3813" s="242">
        <v>8.17</v>
      </c>
      <c r="H3813" s="239">
        <f t="shared" si="4467"/>
        <v>16.34</v>
      </c>
      <c r="I3813" s="131">
        <f t="shared" si="4468"/>
        <v>0</v>
      </c>
      <c r="J3813" s="31">
        <f t="shared" si="4469"/>
        <v>0</v>
      </c>
      <c r="K3813" s="31">
        <f t="shared" si="4470"/>
        <v>0</v>
      </c>
      <c r="L3813" s="31">
        <f t="shared" si="4471"/>
        <v>0</v>
      </c>
      <c r="M3813" s="31">
        <f t="shared" si="4472"/>
        <v>10.08178</v>
      </c>
      <c r="N3813" s="31">
        <f t="shared" si="4473"/>
        <v>0</v>
      </c>
      <c r="O3813" s="31">
        <f t="shared" si="4474"/>
        <v>0</v>
      </c>
      <c r="P3813" s="31">
        <f t="shared" si="4475"/>
        <v>0</v>
      </c>
      <c r="Q3813" s="49">
        <f t="shared" si="4476"/>
        <v>0</v>
      </c>
    </row>
    <row r="3814" spans="4:17" s="62" customFormat="1" x14ac:dyDescent="0.3">
      <c r="D3814" s="235">
        <v>12</v>
      </c>
      <c r="E3814" s="240">
        <v>2</v>
      </c>
      <c r="F3814" s="241">
        <v>10</v>
      </c>
      <c r="G3814" s="242">
        <v>8.8000000000000007</v>
      </c>
      <c r="H3814" s="239">
        <f t="shared" si="4467"/>
        <v>17.600000000000001</v>
      </c>
      <c r="I3814" s="131">
        <f t="shared" si="4468"/>
        <v>0</v>
      </c>
      <c r="J3814" s="31">
        <f t="shared" si="4469"/>
        <v>0</v>
      </c>
      <c r="K3814" s="31">
        <f t="shared" si="4470"/>
        <v>0</v>
      </c>
      <c r="L3814" s="31">
        <f t="shared" si="4471"/>
        <v>0</v>
      </c>
      <c r="M3814" s="31">
        <f t="shared" si="4472"/>
        <v>10.859200000000001</v>
      </c>
      <c r="N3814" s="31">
        <f t="shared" si="4473"/>
        <v>0</v>
      </c>
      <c r="O3814" s="31">
        <f t="shared" si="4474"/>
        <v>0</v>
      </c>
      <c r="P3814" s="31">
        <f t="shared" si="4475"/>
        <v>0</v>
      </c>
      <c r="Q3814" s="49">
        <f t="shared" si="4476"/>
        <v>0</v>
      </c>
    </row>
    <row r="3815" spans="4:17" s="62" customFormat="1" ht="15" thickBot="1" x14ac:dyDescent="0.35">
      <c r="D3815" s="307"/>
      <c r="E3815" s="26"/>
      <c r="F3815" s="206"/>
      <c r="G3815" s="207"/>
      <c r="H3815" s="207"/>
      <c r="I3815" s="51"/>
      <c r="J3815" s="308"/>
      <c r="K3815" s="308"/>
      <c r="L3815" s="308"/>
      <c r="M3815" s="308"/>
      <c r="N3815" s="308"/>
      <c r="O3815" s="308"/>
      <c r="P3815" s="308"/>
      <c r="Q3815" s="309"/>
    </row>
    <row r="3816" spans="4:17" s="62" customFormat="1" x14ac:dyDescent="0.3">
      <c r="D3816" s="796" t="s">
        <v>2057</v>
      </c>
      <c r="E3816" s="797"/>
      <c r="F3816" s="797"/>
      <c r="G3816" s="797"/>
      <c r="H3816" s="797"/>
      <c r="I3816" s="47">
        <f t="shared" ref="I3816:Q3816" si="4477">SUM(I3817:I3822)</f>
        <v>0</v>
      </c>
      <c r="J3816" s="47">
        <f t="shared" si="4477"/>
        <v>9.1922599999999992</v>
      </c>
      <c r="K3816" s="47">
        <f t="shared" si="4477"/>
        <v>0</v>
      </c>
      <c r="L3816" s="47">
        <f t="shared" si="4477"/>
        <v>0</v>
      </c>
      <c r="M3816" s="47">
        <f t="shared" si="4477"/>
        <v>0</v>
      </c>
      <c r="N3816" s="47">
        <f t="shared" si="4477"/>
        <v>41.091210000000004</v>
      </c>
      <c r="O3816" s="47">
        <f t="shared" si="4477"/>
        <v>0</v>
      </c>
      <c r="P3816" s="47">
        <f t="shared" si="4477"/>
        <v>0</v>
      </c>
      <c r="Q3816" s="47">
        <f t="shared" si="4477"/>
        <v>0</v>
      </c>
    </row>
    <row r="3817" spans="4:17" s="62" customFormat="1" x14ac:dyDescent="0.3">
      <c r="D3817" s="235">
        <v>1</v>
      </c>
      <c r="E3817" s="237">
        <v>47</v>
      </c>
      <c r="F3817" s="238">
        <v>5</v>
      </c>
      <c r="G3817" s="239">
        <v>1.27</v>
      </c>
      <c r="H3817" s="239">
        <f t="shared" ref="H3817:H3822" si="4478">E3817*G3817</f>
        <v>59.69</v>
      </c>
      <c r="I3817" s="131">
        <f t="shared" ref="I3817:I3822" si="4479">IF($F3817=4.2,H3817*$B$23,0)</f>
        <v>0</v>
      </c>
      <c r="J3817" s="31">
        <f t="shared" ref="J3817:J3822" si="4480">IF($F3817=5,$H3817*$B$24,0)</f>
        <v>9.1922599999999992</v>
      </c>
      <c r="K3817" s="31">
        <f t="shared" ref="K3817:K3822" si="4481">IF($F3817=6.3,$H3817*$B$25,0)</f>
        <v>0</v>
      </c>
      <c r="L3817" s="31">
        <f t="shared" ref="L3817:L3822" si="4482">IF($F3817=8,$H3817*$B$26,0)</f>
        <v>0</v>
      </c>
      <c r="M3817" s="31">
        <f t="shared" ref="M3817:M3822" si="4483">IF($F3817=10,$H3817*$B$27,0)</f>
        <v>0</v>
      </c>
      <c r="N3817" s="31">
        <f t="shared" ref="N3817:N3822" si="4484">IF($F3817=12.5,$H3817*$B$28,0)</f>
        <v>0</v>
      </c>
      <c r="O3817" s="31">
        <f t="shared" ref="O3817:O3822" si="4485">IF($F3817=16,$H3817*$B$29,0)</f>
        <v>0</v>
      </c>
      <c r="P3817" s="31">
        <f t="shared" ref="P3817:P3822" si="4486">IF($F3817=20,$H3817*$B$30,0)</f>
        <v>0</v>
      </c>
      <c r="Q3817" s="49">
        <f t="shared" ref="Q3817:Q3822" si="4487">IF($F3817=25,$H3817*$B$31,0)</f>
        <v>0</v>
      </c>
    </row>
    <row r="3818" spans="4:17" s="62" customFormat="1" x14ac:dyDescent="0.3">
      <c r="D3818" s="235">
        <v>15</v>
      </c>
      <c r="E3818" s="240">
        <v>1</v>
      </c>
      <c r="F3818" s="241">
        <v>12.5</v>
      </c>
      <c r="G3818" s="242">
        <v>2.75</v>
      </c>
      <c r="H3818" s="239">
        <f t="shared" si="4478"/>
        <v>2.75</v>
      </c>
      <c r="I3818" s="131">
        <f t="shared" si="4479"/>
        <v>0</v>
      </c>
      <c r="J3818" s="31">
        <f t="shared" si="4480"/>
        <v>0</v>
      </c>
      <c r="K3818" s="31">
        <f t="shared" si="4481"/>
        <v>0</v>
      </c>
      <c r="L3818" s="31">
        <f t="shared" si="4482"/>
        <v>0</v>
      </c>
      <c r="M3818" s="31">
        <f t="shared" si="4483"/>
        <v>0</v>
      </c>
      <c r="N3818" s="31">
        <f t="shared" si="4484"/>
        <v>2.64825</v>
      </c>
      <c r="O3818" s="31">
        <f t="shared" si="4485"/>
        <v>0</v>
      </c>
      <c r="P3818" s="31">
        <f t="shared" si="4486"/>
        <v>0</v>
      </c>
      <c r="Q3818" s="49">
        <f t="shared" si="4487"/>
        <v>0</v>
      </c>
    </row>
    <row r="3819" spans="4:17" s="62" customFormat="1" x14ac:dyDescent="0.3">
      <c r="D3819" s="235">
        <v>16</v>
      </c>
      <c r="E3819" s="240">
        <v>2</v>
      </c>
      <c r="F3819" s="241">
        <v>12.5</v>
      </c>
      <c r="G3819" s="242">
        <v>8.9</v>
      </c>
      <c r="H3819" s="239">
        <f t="shared" si="4478"/>
        <v>17.8</v>
      </c>
      <c r="I3819" s="131">
        <f t="shared" si="4479"/>
        <v>0</v>
      </c>
      <c r="J3819" s="31">
        <f t="shared" si="4480"/>
        <v>0</v>
      </c>
      <c r="K3819" s="31">
        <f t="shared" si="4481"/>
        <v>0</v>
      </c>
      <c r="L3819" s="31">
        <f t="shared" si="4482"/>
        <v>0</v>
      </c>
      <c r="M3819" s="31">
        <f t="shared" si="4483"/>
        <v>0</v>
      </c>
      <c r="N3819" s="31">
        <f t="shared" si="4484"/>
        <v>17.141400000000001</v>
      </c>
      <c r="O3819" s="31">
        <f t="shared" si="4485"/>
        <v>0</v>
      </c>
      <c r="P3819" s="31">
        <f t="shared" si="4486"/>
        <v>0</v>
      </c>
      <c r="Q3819" s="49">
        <f t="shared" si="4487"/>
        <v>0</v>
      </c>
    </row>
    <row r="3820" spans="4:17" s="62" customFormat="1" x14ac:dyDescent="0.3">
      <c r="D3820" s="235">
        <v>53</v>
      </c>
      <c r="E3820" s="240">
        <v>1</v>
      </c>
      <c r="F3820" s="241">
        <v>12.5</v>
      </c>
      <c r="G3820" s="242">
        <v>0.45</v>
      </c>
      <c r="H3820" s="239">
        <f t="shared" si="4478"/>
        <v>0.45</v>
      </c>
      <c r="I3820" s="131">
        <f t="shared" si="4479"/>
        <v>0</v>
      </c>
      <c r="J3820" s="31">
        <f t="shared" si="4480"/>
        <v>0</v>
      </c>
      <c r="K3820" s="31">
        <f t="shared" si="4481"/>
        <v>0</v>
      </c>
      <c r="L3820" s="31">
        <f t="shared" si="4482"/>
        <v>0</v>
      </c>
      <c r="M3820" s="31">
        <f t="shared" si="4483"/>
        <v>0</v>
      </c>
      <c r="N3820" s="31">
        <f t="shared" si="4484"/>
        <v>0.43335000000000001</v>
      </c>
      <c r="O3820" s="31">
        <f t="shared" si="4485"/>
        <v>0</v>
      </c>
      <c r="P3820" s="31">
        <f t="shared" si="4486"/>
        <v>0</v>
      </c>
      <c r="Q3820" s="49">
        <f t="shared" si="4487"/>
        <v>0</v>
      </c>
    </row>
    <row r="3821" spans="4:17" s="62" customFormat="1" x14ac:dyDescent="0.3">
      <c r="D3821" s="235">
        <v>54</v>
      </c>
      <c r="E3821" s="240">
        <v>1</v>
      </c>
      <c r="F3821" s="241">
        <v>12.5</v>
      </c>
      <c r="G3821" s="242">
        <v>2.83</v>
      </c>
      <c r="H3821" s="239">
        <f t="shared" si="4478"/>
        <v>2.83</v>
      </c>
      <c r="I3821" s="131">
        <f t="shared" si="4479"/>
        <v>0</v>
      </c>
      <c r="J3821" s="31">
        <f t="shared" si="4480"/>
        <v>0</v>
      </c>
      <c r="K3821" s="31">
        <f t="shared" si="4481"/>
        <v>0</v>
      </c>
      <c r="L3821" s="31">
        <f t="shared" si="4482"/>
        <v>0</v>
      </c>
      <c r="M3821" s="31">
        <f t="shared" si="4483"/>
        <v>0</v>
      </c>
      <c r="N3821" s="31">
        <f t="shared" si="4484"/>
        <v>2.7252899999999998</v>
      </c>
      <c r="O3821" s="31">
        <f t="shared" si="4485"/>
        <v>0</v>
      </c>
      <c r="P3821" s="31">
        <f t="shared" si="4486"/>
        <v>0</v>
      </c>
      <c r="Q3821" s="49">
        <f t="shared" si="4487"/>
        <v>0</v>
      </c>
    </row>
    <row r="3822" spans="4:17" s="62" customFormat="1" x14ac:dyDescent="0.3">
      <c r="D3822" s="235">
        <v>55</v>
      </c>
      <c r="E3822" s="240">
        <v>2</v>
      </c>
      <c r="F3822" s="241">
        <v>12.5</v>
      </c>
      <c r="G3822" s="242">
        <v>9.42</v>
      </c>
      <c r="H3822" s="239">
        <f t="shared" si="4478"/>
        <v>18.84</v>
      </c>
      <c r="I3822" s="131">
        <f t="shared" si="4479"/>
        <v>0</v>
      </c>
      <c r="J3822" s="31">
        <f t="shared" si="4480"/>
        <v>0</v>
      </c>
      <c r="K3822" s="31">
        <f t="shared" si="4481"/>
        <v>0</v>
      </c>
      <c r="L3822" s="31">
        <f t="shared" si="4482"/>
        <v>0</v>
      </c>
      <c r="M3822" s="31">
        <f t="shared" si="4483"/>
        <v>0</v>
      </c>
      <c r="N3822" s="31">
        <f t="shared" si="4484"/>
        <v>18.14292</v>
      </c>
      <c r="O3822" s="31">
        <f t="shared" si="4485"/>
        <v>0</v>
      </c>
      <c r="P3822" s="31">
        <f t="shared" si="4486"/>
        <v>0</v>
      </c>
      <c r="Q3822" s="49">
        <f t="shared" si="4487"/>
        <v>0</v>
      </c>
    </row>
    <row r="3823" spans="4:17" s="62" customFormat="1" ht="15" thickBot="1" x14ac:dyDescent="0.35">
      <c r="D3823" s="307"/>
      <c r="E3823" s="26"/>
      <c r="F3823" s="206"/>
      <c r="G3823" s="207"/>
      <c r="H3823" s="207"/>
      <c r="I3823" s="51"/>
      <c r="J3823" s="308"/>
      <c r="K3823" s="308"/>
      <c r="L3823" s="308"/>
      <c r="M3823" s="308"/>
      <c r="N3823" s="308"/>
      <c r="O3823" s="308"/>
      <c r="P3823" s="308"/>
      <c r="Q3823" s="309"/>
    </row>
    <row r="3824" spans="4:17" s="62" customFormat="1" x14ac:dyDescent="0.3">
      <c r="D3824" s="796" t="s">
        <v>2058</v>
      </c>
      <c r="E3824" s="797"/>
      <c r="F3824" s="797"/>
      <c r="G3824" s="797"/>
      <c r="H3824" s="797"/>
      <c r="I3824" s="47">
        <f t="shared" ref="I3824:Q3824" si="4488">SUM(I3825:I3836)</f>
        <v>0</v>
      </c>
      <c r="J3824" s="47">
        <f t="shared" si="4488"/>
        <v>12.908280000000001</v>
      </c>
      <c r="K3824" s="47">
        <f t="shared" si="4488"/>
        <v>0</v>
      </c>
      <c r="L3824" s="47">
        <f t="shared" si="4488"/>
        <v>0</v>
      </c>
      <c r="M3824" s="47">
        <f t="shared" si="4488"/>
        <v>0</v>
      </c>
      <c r="N3824" s="47">
        <f t="shared" si="4488"/>
        <v>68.989319999999992</v>
      </c>
      <c r="O3824" s="47">
        <f t="shared" si="4488"/>
        <v>0</v>
      </c>
      <c r="P3824" s="47">
        <f t="shared" si="4488"/>
        <v>0</v>
      </c>
      <c r="Q3824" s="47">
        <f t="shared" si="4488"/>
        <v>0</v>
      </c>
    </row>
    <row r="3825" spans="4:17" s="62" customFormat="1" x14ac:dyDescent="0.3">
      <c r="D3825" s="235">
        <v>1</v>
      </c>
      <c r="E3825" s="237">
        <v>66</v>
      </c>
      <c r="F3825" s="238">
        <v>5</v>
      </c>
      <c r="G3825" s="239">
        <v>1.27</v>
      </c>
      <c r="H3825" s="239">
        <f t="shared" ref="H3825:H3836" si="4489">E3825*G3825</f>
        <v>83.820000000000007</v>
      </c>
      <c r="I3825" s="131">
        <f t="shared" ref="I3825:I3836" si="4490">IF($F3825=4.2,H3825*$B$23,0)</f>
        <v>0</v>
      </c>
      <c r="J3825" s="31">
        <f t="shared" ref="J3825:J3836" si="4491">IF($F3825=5,$H3825*$B$24,0)</f>
        <v>12.908280000000001</v>
      </c>
      <c r="K3825" s="31">
        <f t="shared" ref="K3825:K3836" si="4492">IF($F3825=6.3,$H3825*$B$25,0)</f>
        <v>0</v>
      </c>
      <c r="L3825" s="31">
        <f t="shared" ref="L3825:L3836" si="4493">IF($F3825=8,$H3825*$B$26,0)</f>
        <v>0</v>
      </c>
      <c r="M3825" s="31">
        <f t="shared" ref="M3825:M3836" si="4494">IF($F3825=10,$H3825*$B$27,0)</f>
        <v>0</v>
      </c>
      <c r="N3825" s="31">
        <f t="shared" ref="N3825:N3836" si="4495">IF($F3825=12.5,$H3825*$B$28,0)</f>
        <v>0</v>
      </c>
      <c r="O3825" s="31">
        <f t="shared" ref="O3825:O3836" si="4496">IF($F3825=16,$H3825*$B$29,0)</f>
        <v>0</v>
      </c>
      <c r="P3825" s="31">
        <f t="shared" ref="P3825:P3836" si="4497">IF($F3825=20,$H3825*$B$30,0)</f>
        <v>0</v>
      </c>
      <c r="Q3825" s="49">
        <f t="shared" ref="Q3825:Q3836" si="4498">IF($F3825=25,$H3825*$B$31,0)</f>
        <v>0</v>
      </c>
    </row>
    <row r="3826" spans="4:17" s="62" customFormat="1" x14ac:dyDescent="0.3">
      <c r="D3826" s="235">
        <v>24</v>
      </c>
      <c r="E3826" s="240">
        <v>2</v>
      </c>
      <c r="F3826" s="241">
        <v>12.5</v>
      </c>
      <c r="G3826" s="242">
        <v>11.17</v>
      </c>
      <c r="H3826" s="239">
        <f t="shared" si="4489"/>
        <v>22.34</v>
      </c>
      <c r="I3826" s="131">
        <f t="shared" si="4490"/>
        <v>0</v>
      </c>
      <c r="J3826" s="31">
        <f t="shared" si="4491"/>
        <v>0</v>
      </c>
      <c r="K3826" s="31">
        <f t="shared" si="4492"/>
        <v>0</v>
      </c>
      <c r="L3826" s="31">
        <f t="shared" si="4493"/>
        <v>0</v>
      </c>
      <c r="M3826" s="31">
        <f t="shared" si="4494"/>
        <v>0</v>
      </c>
      <c r="N3826" s="31">
        <f t="shared" si="4495"/>
        <v>21.51342</v>
      </c>
      <c r="O3826" s="31">
        <f t="shared" si="4496"/>
        <v>0</v>
      </c>
      <c r="P3826" s="31">
        <f t="shared" si="4497"/>
        <v>0</v>
      </c>
      <c r="Q3826" s="49">
        <f t="shared" si="4498"/>
        <v>0</v>
      </c>
    </row>
    <row r="3827" spans="4:17" s="62" customFormat="1" x14ac:dyDescent="0.3">
      <c r="D3827" s="235">
        <v>30</v>
      </c>
      <c r="E3827" s="240">
        <v>1</v>
      </c>
      <c r="F3827" s="241">
        <v>12.5</v>
      </c>
      <c r="G3827" s="242">
        <v>2.8</v>
      </c>
      <c r="H3827" s="239">
        <f t="shared" si="4489"/>
        <v>2.8</v>
      </c>
      <c r="I3827" s="131">
        <f t="shared" si="4490"/>
        <v>0</v>
      </c>
      <c r="J3827" s="31">
        <f t="shared" si="4491"/>
        <v>0</v>
      </c>
      <c r="K3827" s="31">
        <f t="shared" si="4492"/>
        <v>0</v>
      </c>
      <c r="L3827" s="31">
        <f t="shared" si="4493"/>
        <v>0</v>
      </c>
      <c r="M3827" s="31">
        <f t="shared" si="4494"/>
        <v>0</v>
      </c>
      <c r="N3827" s="31">
        <f t="shared" si="4495"/>
        <v>2.6963999999999997</v>
      </c>
      <c r="O3827" s="31">
        <f t="shared" si="4496"/>
        <v>0</v>
      </c>
      <c r="P3827" s="31">
        <f t="shared" si="4497"/>
        <v>0</v>
      </c>
      <c r="Q3827" s="49">
        <f t="shared" si="4498"/>
        <v>0</v>
      </c>
    </row>
    <row r="3828" spans="4:17" s="62" customFormat="1" x14ac:dyDescent="0.3">
      <c r="D3828" s="235">
        <v>39</v>
      </c>
      <c r="E3828" s="240">
        <v>2</v>
      </c>
      <c r="F3828" s="241">
        <v>12.5</v>
      </c>
      <c r="G3828" s="242">
        <v>4.1399999999999997</v>
      </c>
      <c r="H3828" s="239">
        <f t="shared" si="4489"/>
        <v>8.2799999999999994</v>
      </c>
      <c r="I3828" s="131">
        <f t="shared" si="4490"/>
        <v>0</v>
      </c>
      <c r="J3828" s="31">
        <f t="shared" si="4491"/>
        <v>0</v>
      </c>
      <c r="K3828" s="31">
        <f t="shared" si="4492"/>
        <v>0</v>
      </c>
      <c r="L3828" s="31">
        <f t="shared" si="4493"/>
        <v>0</v>
      </c>
      <c r="M3828" s="31">
        <f t="shared" si="4494"/>
        <v>0</v>
      </c>
      <c r="N3828" s="31">
        <f t="shared" si="4495"/>
        <v>7.9736399999999987</v>
      </c>
      <c r="O3828" s="31">
        <f t="shared" si="4496"/>
        <v>0</v>
      </c>
      <c r="P3828" s="31">
        <f t="shared" si="4497"/>
        <v>0</v>
      </c>
      <c r="Q3828" s="49">
        <f t="shared" si="4498"/>
        <v>0</v>
      </c>
    </row>
    <row r="3829" spans="4:17" s="62" customFormat="1" x14ac:dyDescent="0.3">
      <c r="D3829" s="235">
        <v>56</v>
      </c>
      <c r="E3829" s="240">
        <v>1</v>
      </c>
      <c r="F3829" s="241">
        <v>12.5</v>
      </c>
      <c r="G3829" s="242">
        <v>4.66</v>
      </c>
      <c r="H3829" s="239">
        <f t="shared" si="4489"/>
        <v>4.66</v>
      </c>
      <c r="I3829" s="131">
        <f t="shared" si="4490"/>
        <v>0</v>
      </c>
      <c r="J3829" s="31">
        <f t="shared" si="4491"/>
        <v>0</v>
      </c>
      <c r="K3829" s="31">
        <f t="shared" si="4492"/>
        <v>0</v>
      </c>
      <c r="L3829" s="31">
        <f t="shared" si="4493"/>
        <v>0</v>
      </c>
      <c r="M3829" s="31">
        <f t="shared" si="4494"/>
        <v>0</v>
      </c>
      <c r="N3829" s="31">
        <f t="shared" si="4495"/>
        <v>4.4875800000000003</v>
      </c>
      <c r="O3829" s="31">
        <f t="shared" si="4496"/>
        <v>0</v>
      </c>
      <c r="P3829" s="31">
        <f t="shared" si="4497"/>
        <v>0</v>
      </c>
      <c r="Q3829" s="49">
        <f t="shared" si="4498"/>
        <v>0</v>
      </c>
    </row>
    <row r="3830" spans="4:17" s="62" customFormat="1" x14ac:dyDescent="0.3">
      <c r="D3830" s="235">
        <v>57</v>
      </c>
      <c r="E3830" s="240">
        <v>1</v>
      </c>
      <c r="F3830" s="241">
        <v>12.5</v>
      </c>
      <c r="G3830" s="242">
        <v>2.98</v>
      </c>
      <c r="H3830" s="239">
        <f t="shared" si="4489"/>
        <v>2.98</v>
      </c>
      <c r="I3830" s="131">
        <f t="shared" si="4490"/>
        <v>0</v>
      </c>
      <c r="J3830" s="31">
        <f t="shared" si="4491"/>
        <v>0</v>
      </c>
      <c r="K3830" s="31">
        <f t="shared" si="4492"/>
        <v>0</v>
      </c>
      <c r="L3830" s="31">
        <f t="shared" si="4493"/>
        <v>0</v>
      </c>
      <c r="M3830" s="31">
        <f t="shared" si="4494"/>
        <v>0</v>
      </c>
      <c r="N3830" s="31">
        <f t="shared" si="4495"/>
        <v>2.8697399999999997</v>
      </c>
      <c r="O3830" s="31">
        <f t="shared" si="4496"/>
        <v>0</v>
      </c>
      <c r="P3830" s="31">
        <f t="shared" si="4497"/>
        <v>0</v>
      </c>
      <c r="Q3830" s="49">
        <f t="shared" si="4498"/>
        <v>0</v>
      </c>
    </row>
    <row r="3831" spans="4:17" s="62" customFormat="1" x14ac:dyDescent="0.3">
      <c r="D3831" s="235">
        <v>58</v>
      </c>
      <c r="E3831" s="240">
        <v>2</v>
      </c>
      <c r="F3831" s="241">
        <v>12.5</v>
      </c>
      <c r="G3831" s="242">
        <v>8.66</v>
      </c>
      <c r="H3831" s="239">
        <f t="shared" si="4489"/>
        <v>17.32</v>
      </c>
      <c r="I3831" s="131">
        <f t="shared" si="4490"/>
        <v>0</v>
      </c>
      <c r="J3831" s="31">
        <f t="shared" si="4491"/>
        <v>0</v>
      </c>
      <c r="K3831" s="31">
        <f t="shared" si="4492"/>
        <v>0</v>
      </c>
      <c r="L3831" s="31">
        <f t="shared" si="4493"/>
        <v>0</v>
      </c>
      <c r="M3831" s="31">
        <f t="shared" si="4494"/>
        <v>0</v>
      </c>
      <c r="N3831" s="31">
        <f t="shared" si="4495"/>
        <v>16.67916</v>
      </c>
      <c r="O3831" s="31">
        <f t="shared" si="4496"/>
        <v>0</v>
      </c>
      <c r="P3831" s="31">
        <f t="shared" si="4497"/>
        <v>0</v>
      </c>
      <c r="Q3831" s="49">
        <f t="shared" si="4498"/>
        <v>0</v>
      </c>
    </row>
    <row r="3832" spans="4:17" s="62" customFormat="1" x14ac:dyDescent="0.3">
      <c r="D3832" s="235">
        <v>59</v>
      </c>
      <c r="E3832" s="240">
        <v>1</v>
      </c>
      <c r="F3832" s="241">
        <v>12.5</v>
      </c>
      <c r="G3832" s="242">
        <v>9.6</v>
      </c>
      <c r="H3832" s="239">
        <f t="shared" si="4489"/>
        <v>9.6</v>
      </c>
      <c r="I3832" s="131">
        <f t="shared" si="4490"/>
        <v>0</v>
      </c>
      <c r="J3832" s="31">
        <f t="shared" si="4491"/>
        <v>0</v>
      </c>
      <c r="K3832" s="31">
        <f t="shared" si="4492"/>
        <v>0</v>
      </c>
      <c r="L3832" s="31">
        <f t="shared" si="4493"/>
        <v>0</v>
      </c>
      <c r="M3832" s="31">
        <f t="shared" si="4494"/>
        <v>0</v>
      </c>
      <c r="N3832" s="31">
        <f t="shared" si="4495"/>
        <v>9.2447999999999997</v>
      </c>
      <c r="O3832" s="31">
        <f t="shared" si="4496"/>
        <v>0</v>
      </c>
      <c r="P3832" s="31">
        <f t="shared" si="4497"/>
        <v>0</v>
      </c>
      <c r="Q3832" s="49">
        <f t="shared" si="4498"/>
        <v>0</v>
      </c>
    </row>
    <row r="3833" spans="4:17" s="62" customFormat="1" x14ac:dyDescent="0.3">
      <c r="D3833" s="235">
        <v>60</v>
      </c>
      <c r="E3833" s="240">
        <v>2</v>
      </c>
      <c r="F3833" s="241">
        <v>12.5</v>
      </c>
      <c r="G3833" s="242">
        <v>1.83</v>
      </c>
      <c r="H3833" s="239">
        <f t="shared" si="4489"/>
        <v>3.66</v>
      </c>
      <c r="I3833" s="131">
        <f t="shared" si="4490"/>
        <v>0</v>
      </c>
      <c r="J3833" s="31">
        <f t="shared" si="4491"/>
        <v>0</v>
      </c>
      <c r="K3833" s="31">
        <f t="shared" si="4492"/>
        <v>0</v>
      </c>
      <c r="L3833" s="31">
        <f t="shared" si="4493"/>
        <v>0</v>
      </c>
      <c r="M3833" s="31">
        <f t="shared" si="4494"/>
        <v>0</v>
      </c>
      <c r="N3833" s="31">
        <f t="shared" si="4495"/>
        <v>3.5245799999999998</v>
      </c>
      <c r="O3833" s="31">
        <f t="shared" si="4496"/>
        <v>0</v>
      </c>
      <c r="P3833" s="31">
        <f t="shared" si="4497"/>
        <v>0</v>
      </c>
      <c r="Q3833" s="49">
        <f t="shared" si="4498"/>
        <v>0</v>
      </c>
    </row>
    <row r="3834" spans="4:17" s="62" customFormat="1" x14ac:dyDescent="0.3">
      <c r="D3834" s="235"/>
      <c r="E3834" s="240"/>
      <c r="F3834" s="241"/>
      <c r="G3834" s="242"/>
      <c r="H3834" s="239">
        <f t="shared" si="4489"/>
        <v>0</v>
      </c>
      <c r="I3834" s="131">
        <f t="shared" si="4490"/>
        <v>0</v>
      </c>
      <c r="J3834" s="31">
        <f t="shared" si="4491"/>
        <v>0</v>
      </c>
      <c r="K3834" s="31">
        <f t="shared" si="4492"/>
        <v>0</v>
      </c>
      <c r="L3834" s="31">
        <f t="shared" si="4493"/>
        <v>0</v>
      </c>
      <c r="M3834" s="31">
        <f t="shared" si="4494"/>
        <v>0</v>
      </c>
      <c r="N3834" s="31">
        <f t="shared" si="4495"/>
        <v>0</v>
      </c>
      <c r="O3834" s="31">
        <f t="shared" si="4496"/>
        <v>0</v>
      </c>
      <c r="P3834" s="31">
        <f t="shared" si="4497"/>
        <v>0</v>
      </c>
      <c r="Q3834" s="49">
        <f t="shared" si="4498"/>
        <v>0</v>
      </c>
    </row>
    <row r="3835" spans="4:17" s="62" customFormat="1" x14ac:dyDescent="0.3">
      <c r="D3835" s="235"/>
      <c r="E3835" s="240"/>
      <c r="F3835" s="241"/>
      <c r="G3835" s="242"/>
      <c r="H3835" s="239">
        <f t="shared" si="4489"/>
        <v>0</v>
      </c>
      <c r="I3835" s="131">
        <f t="shared" si="4490"/>
        <v>0</v>
      </c>
      <c r="J3835" s="31">
        <f t="shared" si="4491"/>
        <v>0</v>
      </c>
      <c r="K3835" s="31">
        <f t="shared" si="4492"/>
        <v>0</v>
      </c>
      <c r="L3835" s="31">
        <f t="shared" si="4493"/>
        <v>0</v>
      </c>
      <c r="M3835" s="31">
        <f t="shared" si="4494"/>
        <v>0</v>
      </c>
      <c r="N3835" s="31">
        <f t="shared" si="4495"/>
        <v>0</v>
      </c>
      <c r="O3835" s="31">
        <f t="shared" si="4496"/>
        <v>0</v>
      </c>
      <c r="P3835" s="31">
        <f t="shared" si="4497"/>
        <v>0</v>
      </c>
      <c r="Q3835" s="49">
        <f t="shared" si="4498"/>
        <v>0</v>
      </c>
    </row>
    <row r="3836" spans="4:17" s="62" customFormat="1" x14ac:dyDescent="0.3">
      <c r="D3836" s="235"/>
      <c r="E3836" s="240"/>
      <c r="F3836" s="241"/>
      <c r="G3836" s="242"/>
      <c r="H3836" s="239">
        <f t="shared" si="4489"/>
        <v>0</v>
      </c>
      <c r="I3836" s="131">
        <f t="shared" si="4490"/>
        <v>0</v>
      </c>
      <c r="J3836" s="31">
        <f t="shared" si="4491"/>
        <v>0</v>
      </c>
      <c r="K3836" s="31">
        <f t="shared" si="4492"/>
        <v>0</v>
      </c>
      <c r="L3836" s="31">
        <f t="shared" si="4493"/>
        <v>0</v>
      </c>
      <c r="M3836" s="31">
        <f t="shared" si="4494"/>
        <v>0</v>
      </c>
      <c r="N3836" s="31">
        <f t="shared" si="4495"/>
        <v>0</v>
      </c>
      <c r="O3836" s="31">
        <f t="shared" si="4496"/>
        <v>0</v>
      </c>
      <c r="P3836" s="31">
        <f t="shared" si="4497"/>
        <v>0</v>
      </c>
      <c r="Q3836" s="49">
        <f t="shared" si="4498"/>
        <v>0</v>
      </c>
    </row>
    <row r="3837" spans="4:17" s="62" customFormat="1" ht="15" thickBot="1" x14ac:dyDescent="0.35">
      <c r="D3837" s="307"/>
      <c r="E3837" s="26"/>
      <c r="F3837" s="206"/>
      <c r="G3837" s="207"/>
      <c r="H3837" s="207"/>
      <c r="I3837" s="51"/>
      <c r="J3837" s="308"/>
      <c r="K3837" s="308"/>
      <c r="L3837" s="308"/>
      <c r="M3837" s="308"/>
      <c r="N3837" s="308"/>
      <c r="O3837" s="308"/>
      <c r="P3837" s="308"/>
      <c r="Q3837" s="309"/>
    </row>
    <row r="3838" spans="4:17" s="62" customFormat="1" ht="15" thickBot="1" x14ac:dyDescent="0.35">
      <c r="D3838" s="792" t="s">
        <v>2115</v>
      </c>
      <c r="E3838" s="793"/>
      <c r="F3838" s="793"/>
      <c r="G3838" s="793"/>
      <c r="H3838" s="793"/>
      <c r="I3838" s="793"/>
      <c r="J3838" s="793"/>
      <c r="K3838" s="793"/>
      <c r="L3838" s="793"/>
      <c r="M3838" s="793"/>
      <c r="N3838" s="793"/>
      <c r="O3838" s="793"/>
      <c r="P3838" s="793"/>
      <c r="Q3838" s="794"/>
    </row>
    <row r="3839" spans="4:17" s="62" customFormat="1" x14ac:dyDescent="0.3">
      <c r="D3839" s="796" t="s">
        <v>2226</v>
      </c>
      <c r="E3839" s="797"/>
      <c r="F3839" s="797"/>
      <c r="G3839" s="797"/>
      <c r="H3839" s="797"/>
      <c r="I3839" s="47">
        <f t="shared" ref="I3839:Q3839" si="4499">SUM(I3840:I3844)</f>
        <v>0</v>
      </c>
      <c r="J3839" s="47">
        <f t="shared" si="4499"/>
        <v>12.68806</v>
      </c>
      <c r="K3839" s="47">
        <f t="shared" si="4499"/>
        <v>0</v>
      </c>
      <c r="L3839" s="47">
        <f t="shared" si="4499"/>
        <v>14.188400000000001</v>
      </c>
      <c r="M3839" s="47">
        <f t="shared" si="4499"/>
        <v>21.06438</v>
      </c>
      <c r="N3839" s="47">
        <f t="shared" si="4499"/>
        <v>0</v>
      </c>
      <c r="O3839" s="47">
        <f t="shared" si="4499"/>
        <v>0</v>
      </c>
      <c r="P3839" s="47">
        <f t="shared" si="4499"/>
        <v>0</v>
      </c>
      <c r="Q3839" s="47">
        <f t="shared" si="4499"/>
        <v>0</v>
      </c>
    </row>
    <row r="3840" spans="4:17" s="62" customFormat="1" x14ac:dyDescent="0.3">
      <c r="D3840" s="235">
        <v>13</v>
      </c>
      <c r="E3840" s="237">
        <v>107</v>
      </c>
      <c r="F3840" s="238">
        <v>5</v>
      </c>
      <c r="G3840" s="239">
        <v>0.77</v>
      </c>
      <c r="H3840" s="239">
        <f t="shared" ref="H3840:H3844" si="4500">E3840*G3840</f>
        <v>82.39</v>
      </c>
      <c r="I3840" s="131">
        <f t="shared" ref="I3840:I3844" si="4501">IF($F3840=4.2,H3840*$B$23,0)</f>
        <v>0</v>
      </c>
      <c r="J3840" s="31">
        <f t="shared" ref="J3840:J3844" si="4502">IF($F3840=5,$H3840*$B$24,0)</f>
        <v>12.68806</v>
      </c>
      <c r="K3840" s="31">
        <f t="shared" ref="K3840:K3844" si="4503">IF($F3840=6.3,$H3840*$B$25,0)</f>
        <v>0</v>
      </c>
      <c r="L3840" s="31">
        <f t="shared" ref="L3840:L3844" si="4504">IF($F3840=8,$H3840*$B$26,0)</f>
        <v>0</v>
      </c>
      <c r="M3840" s="31">
        <f t="shared" ref="M3840:M3844" si="4505">IF($F3840=10,$H3840*$B$27,0)</f>
        <v>0</v>
      </c>
      <c r="N3840" s="31">
        <f t="shared" ref="N3840:N3844" si="4506">IF($F3840=12.5,$H3840*$B$28,0)</f>
        <v>0</v>
      </c>
      <c r="O3840" s="31">
        <f t="shared" ref="O3840:O3844" si="4507">IF($F3840=16,$H3840*$B$29,0)</f>
        <v>0</v>
      </c>
      <c r="P3840" s="31">
        <f t="shared" ref="P3840:P3844" si="4508">IF($F3840=20,$H3840*$B$30,0)</f>
        <v>0</v>
      </c>
      <c r="Q3840" s="49">
        <f t="shared" ref="Q3840:Q3844" si="4509">IF($F3840=25,$H3840*$B$31,0)</f>
        <v>0</v>
      </c>
    </row>
    <row r="3841" spans="4:17" s="62" customFormat="1" x14ac:dyDescent="0.3">
      <c r="D3841" s="235">
        <v>14</v>
      </c>
      <c r="E3841" s="240">
        <v>2</v>
      </c>
      <c r="F3841" s="241">
        <v>8</v>
      </c>
      <c r="G3841" s="242">
        <v>11.98</v>
      </c>
      <c r="H3841" s="239">
        <f t="shared" si="4500"/>
        <v>23.96</v>
      </c>
      <c r="I3841" s="131">
        <f t="shared" si="4501"/>
        <v>0</v>
      </c>
      <c r="J3841" s="31">
        <f t="shared" si="4502"/>
        <v>0</v>
      </c>
      <c r="K3841" s="31">
        <f t="shared" si="4503"/>
        <v>0</v>
      </c>
      <c r="L3841" s="31">
        <f t="shared" si="4504"/>
        <v>9.4641999999999999</v>
      </c>
      <c r="M3841" s="31">
        <f t="shared" si="4505"/>
        <v>0</v>
      </c>
      <c r="N3841" s="31">
        <f t="shared" si="4506"/>
        <v>0</v>
      </c>
      <c r="O3841" s="31">
        <f t="shared" si="4507"/>
        <v>0</v>
      </c>
      <c r="P3841" s="31">
        <f t="shared" si="4508"/>
        <v>0</v>
      </c>
      <c r="Q3841" s="49">
        <f t="shared" si="4509"/>
        <v>0</v>
      </c>
    </row>
    <row r="3842" spans="4:17" s="62" customFormat="1" x14ac:dyDescent="0.3">
      <c r="D3842" s="235">
        <v>15</v>
      </c>
      <c r="E3842" s="240">
        <v>2</v>
      </c>
      <c r="F3842" s="241">
        <v>8</v>
      </c>
      <c r="G3842" s="242">
        <v>5.98</v>
      </c>
      <c r="H3842" s="239">
        <f t="shared" si="4500"/>
        <v>11.96</v>
      </c>
      <c r="I3842" s="131">
        <f t="shared" si="4501"/>
        <v>0</v>
      </c>
      <c r="J3842" s="31">
        <f t="shared" si="4502"/>
        <v>0</v>
      </c>
      <c r="K3842" s="31">
        <f t="shared" si="4503"/>
        <v>0</v>
      </c>
      <c r="L3842" s="31">
        <f t="shared" si="4504"/>
        <v>4.7242000000000006</v>
      </c>
      <c r="M3842" s="31">
        <f t="shared" si="4505"/>
        <v>0</v>
      </c>
      <c r="N3842" s="31">
        <f t="shared" si="4506"/>
        <v>0</v>
      </c>
      <c r="O3842" s="31">
        <f t="shared" si="4507"/>
        <v>0</v>
      </c>
      <c r="P3842" s="31">
        <f t="shared" si="4508"/>
        <v>0</v>
      </c>
      <c r="Q3842" s="49">
        <f t="shared" si="4509"/>
        <v>0</v>
      </c>
    </row>
    <row r="3843" spans="4:17" s="62" customFormat="1" x14ac:dyDescent="0.3">
      <c r="D3843" s="235">
        <v>29</v>
      </c>
      <c r="E3843" s="240">
        <v>2</v>
      </c>
      <c r="F3843" s="241">
        <v>10</v>
      </c>
      <c r="G3843" s="242">
        <v>7.77</v>
      </c>
      <c r="H3843" s="239">
        <f t="shared" si="4500"/>
        <v>15.54</v>
      </c>
      <c r="I3843" s="131">
        <f t="shared" si="4501"/>
        <v>0</v>
      </c>
      <c r="J3843" s="31">
        <f t="shared" si="4502"/>
        <v>0</v>
      </c>
      <c r="K3843" s="31">
        <f t="shared" si="4503"/>
        <v>0</v>
      </c>
      <c r="L3843" s="31">
        <f t="shared" si="4504"/>
        <v>0</v>
      </c>
      <c r="M3843" s="31">
        <f t="shared" si="4505"/>
        <v>9.5881799999999995</v>
      </c>
      <c r="N3843" s="31">
        <f t="shared" si="4506"/>
        <v>0</v>
      </c>
      <c r="O3843" s="31">
        <f t="shared" si="4507"/>
        <v>0</v>
      </c>
      <c r="P3843" s="31">
        <f t="shared" si="4508"/>
        <v>0</v>
      </c>
      <c r="Q3843" s="49">
        <f t="shared" si="4509"/>
        <v>0</v>
      </c>
    </row>
    <row r="3844" spans="4:17" s="62" customFormat="1" x14ac:dyDescent="0.3">
      <c r="D3844" s="235">
        <v>30</v>
      </c>
      <c r="E3844" s="240">
        <v>2</v>
      </c>
      <c r="F3844" s="241">
        <v>10</v>
      </c>
      <c r="G3844" s="242">
        <v>9.3000000000000007</v>
      </c>
      <c r="H3844" s="239">
        <f t="shared" si="4500"/>
        <v>18.600000000000001</v>
      </c>
      <c r="I3844" s="131">
        <f t="shared" si="4501"/>
        <v>0</v>
      </c>
      <c r="J3844" s="31">
        <f t="shared" si="4502"/>
        <v>0</v>
      </c>
      <c r="K3844" s="31">
        <f t="shared" si="4503"/>
        <v>0</v>
      </c>
      <c r="L3844" s="31">
        <f t="shared" si="4504"/>
        <v>0</v>
      </c>
      <c r="M3844" s="31">
        <f t="shared" si="4505"/>
        <v>11.4762</v>
      </c>
      <c r="N3844" s="31">
        <f t="shared" si="4506"/>
        <v>0</v>
      </c>
      <c r="O3844" s="31">
        <f t="shared" si="4507"/>
        <v>0</v>
      </c>
      <c r="P3844" s="31">
        <f t="shared" si="4508"/>
        <v>0</v>
      </c>
      <c r="Q3844" s="49">
        <f t="shared" si="4509"/>
        <v>0</v>
      </c>
    </row>
    <row r="3845" spans="4:17" s="62" customFormat="1" ht="15" thickBot="1" x14ac:dyDescent="0.35">
      <c r="D3845" s="307"/>
      <c r="E3845" s="26"/>
      <c r="F3845" s="206"/>
      <c r="G3845" s="207"/>
      <c r="H3845" s="207"/>
      <c r="I3845" s="51"/>
      <c r="J3845" s="308"/>
      <c r="K3845" s="308"/>
      <c r="L3845" s="308"/>
      <c r="M3845" s="308"/>
      <c r="N3845" s="308"/>
      <c r="O3845" s="308"/>
      <c r="P3845" s="308"/>
      <c r="Q3845" s="309"/>
    </row>
    <row r="3846" spans="4:17" s="62" customFormat="1" x14ac:dyDescent="0.3">
      <c r="D3846" s="796" t="s">
        <v>2227</v>
      </c>
      <c r="E3846" s="797"/>
      <c r="F3846" s="797"/>
      <c r="G3846" s="797"/>
      <c r="H3846" s="797"/>
      <c r="I3846" s="47">
        <f t="shared" ref="I3846:Q3846" si="4510">SUM(I3847:I3850)</f>
        <v>0</v>
      </c>
      <c r="J3846" s="47">
        <f t="shared" si="4510"/>
        <v>5.9290000000000003</v>
      </c>
      <c r="K3846" s="47">
        <f t="shared" si="4510"/>
        <v>0</v>
      </c>
      <c r="L3846" s="47">
        <f t="shared" si="4510"/>
        <v>7.0191500000000007</v>
      </c>
      <c r="M3846" s="47">
        <f t="shared" si="4510"/>
        <v>9.6128599999999995</v>
      </c>
      <c r="N3846" s="47">
        <f t="shared" si="4510"/>
        <v>0</v>
      </c>
      <c r="O3846" s="47">
        <f t="shared" si="4510"/>
        <v>0</v>
      </c>
      <c r="P3846" s="47">
        <f t="shared" si="4510"/>
        <v>0</v>
      </c>
      <c r="Q3846" s="47">
        <f t="shared" si="4510"/>
        <v>0</v>
      </c>
    </row>
    <row r="3847" spans="4:17" s="62" customFormat="1" x14ac:dyDescent="0.3">
      <c r="D3847" s="235">
        <v>1</v>
      </c>
      <c r="E3847" s="237">
        <v>50</v>
      </c>
      <c r="F3847" s="238">
        <v>5</v>
      </c>
      <c r="G3847" s="239">
        <v>0.77</v>
      </c>
      <c r="H3847" s="239">
        <f t="shared" ref="H3847:H3850" si="4511">E3847*G3847</f>
        <v>38.5</v>
      </c>
      <c r="I3847" s="131">
        <f t="shared" ref="I3847:I3850" si="4512">IF($F3847=4.2,H3847*$B$23,0)</f>
        <v>0</v>
      </c>
      <c r="J3847" s="31">
        <f t="shared" ref="J3847:J3850" si="4513">IF($F3847=5,$H3847*$B$24,0)</f>
        <v>5.9290000000000003</v>
      </c>
      <c r="K3847" s="31">
        <f t="shared" ref="K3847:K3850" si="4514">IF($F3847=6.3,$H3847*$B$25,0)</f>
        <v>0</v>
      </c>
      <c r="L3847" s="31">
        <f t="shared" ref="L3847:L3850" si="4515">IF($F3847=8,$H3847*$B$26,0)</f>
        <v>0</v>
      </c>
      <c r="M3847" s="31">
        <f t="shared" ref="M3847:M3850" si="4516">IF($F3847=10,$H3847*$B$27,0)</f>
        <v>0</v>
      </c>
      <c r="N3847" s="31">
        <f t="shared" ref="N3847:N3850" si="4517">IF($F3847=12.5,$H3847*$B$28,0)</f>
        <v>0</v>
      </c>
      <c r="O3847" s="31">
        <f t="shared" ref="O3847:O3850" si="4518">IF($F3847=16,$H3847*$B$29,0)</f>
        <v>0</v>
      </c>
      <c r="P3847" s="31">
        <f t="shared" ref="P3847:P3850" si="4519">IF($F3847=20,$H3847*$B$30,0)</f>
        <v>0</v>
      </c>
      <c r="Q3847" s="49">
        <f t="shared" ref="Q3847:Q3850" si="4520">IF($F3847=25,$H3847*$B$31,0)</f>
        <v>0</v>
      </c>
    </row>
    <row r="3848" spans="4:17" s="62" customFormat="1" x14ac:dyDescent="0.3">
      <c r="D3848" s="235">
        <v>8</v>
      </c>
      <c r="E3848" s="240">
        <v>1</v>
      </c>
      <c r="F3848" s="241">
        <v>8</v>
      </c>
      <c r="G3848" s="242">
        <v>1.45</v>
      </c>
      <c r="H3848" s="239">
        <f t="shared" si="4511"/>
        <v>1.45</v>
      </c>
      <c r="I3848" s="131">
        <f t="shared" si="4512"/>
        <v>0</v>
      </c>
      <c r="J3848" s="31">
        <f t="shared" si="4513"/>
        <v>0</v>
      </c>
      <c r="K3848" s="31">
        <f t="shared" si="4514"/>
        <v>0</v>
      </c>
      <c r="L3848" s="31">
        <f t="shared" si="4515"/>
        <v>0.57274999999999998</v>
      </c>
      <c r="M3848" s="31">
        <f t="shared" si="4516"/>
        <v>0</v>
      </c>
      <c r="N3848" s="31">
        <f t="shared" si="4517"/>
        <v>0</v>
      </c>
      <c r="O3848" s="31">
        <f t="shared" si="4518"/>
        <v>0</v>
      </c>
      <c r="P3848" s="31">
        <f t="shared" si="4519"/>
        <v>0</v>
      </c>
      <c r="Q3848" s="49">
        <f t="shared" si="4520"/>
        <v>0</v>
      </c>
    </row>
    <row r="3849" spans="4:17" s="62" customFormat="1" x14ac:dyDescent="0.3">
      <c r="D3849" s="235">
        <v>9</v>
      </c>
      <c r="E3849" s="240">
        <v>2</v>
      </c>
      <c r="F3849" s="241">
        <v>8</v>
      </c>
      <c r="G3849" s="242">
        <v>8.16</v>
      </c>
      <c r="H3849" s="239">
        <f t="shared" si="4511"/>
        <v>16.32</v>
      </c>
      <c r="I3849" s="131">
        <f t="shared" si="4512"/>
        <v>0</v>
      </c>
      <c r="J3849" s="31">
        <f t="shared" si="4513"/>
        <v>0</v>
      </c>
      <c r="K3849" s="31">
        <f t="shared" si="4514"/>
        <v>0</v>
      </c>
      <c r="L3849" s="31">
        <f t="shared" si="4515"/>
        <v>6.4464000000000006</v>
      </c>
      <c r="M3849" s="31">
        <f t="shared" si="4516"/>
        <v>0</v>
      </c>
      <c r="N3849" s="31">
        <f t="shared" si="4517"/>
        <v>0</v>
      </c>
      <c r="O3849" s="31">
        <f t="shared" si="4518"/>
        <v>0</v>
      </c>
      <c r="P3849" s="31">
        <f t="shared" si="4519"/>
        <v>0</v>
      </c>
      <c r="Q3849" s="49">
        <f t="shared" si="4520"/>
        <v>0</v>
      </c>
    </row>
    <row r="3850" spans="4:17" s="62" customFormat="1" x14ac:dyDescent="0.3">
      <c r="D3850" s="235">
        <v>26</v>
      </c>
      <c r="E3850" s="240">
        <v>2</v>
      </c>
      <c r="F3850" s="241">
        <v>10</v>
      </c>
      <c r="G3850" s="242">
        <v>7.79</v>
      </c>
      <c r="H3850" s="239">
        <f t="shared" si="4511"/>
        <v>15.58</v>
      </c>
      <c r="I3850" s="131">
        <f t="shared" si="4512"/>
        <v>0</v>
      </c>
      <c r="J3850" s="31">
        <f t="shared" si="4513"/>
        <v>0</v>
      </c>
      <c r="K3850" s="31">
        <f t="shared" si="4514"/>
        <v>0</v>
      </c>
      <c r="L3850" s="31">
        <f t="shared" si="4515"/>
        <v>0</v>
      </c>
      <c r="M3850" s="31">
        <f t="shared" si="4516"/>
        <v>9.6128599999999995</v>
      </c>
      <c r="N3850" s="31">
        <f t="shared" si="4517"/>
        <v>0</v>
      </c>
      <c r="O3850" s="31">
        <f t="shared" si="4518"/>
        <v>0</v>
      </c>
      <c r="P3850" s="31">
        <f t="shared" si="4519"/>
        <v>0</v>
      </c>
      <c r="Q3850" s="49">
        <f t="shared" si="4520"/>
        <v>0</v>
      </c>
    </row>
    <row r="3851" spans="4:17" s="62" customFormat="1" ht="15" thickBot="1" x14ac:dyDescent="0.35">
      <c r="D3851" s="307"/>
      <c r="E3851" s="26"/>
      <c r="F3851" s="206"/>
      <c r="G3851" s="207"/>
      <c r="H3851" s="207"/>
      <c r="I3851" s="51"/>
      <c r="J3851" s="308"/>
      <c r="K3851" s="308"/>
      <c r="L3851" s="308"/>
      <c r="M3851" s="308"/>
      <c r="N3851" s="308"/>
      <c r="O3851" s="308"/>
      <c r="P3851" s="308"/>
      <c r="Q3851" s="309"/>
    </row>
    <row r="3852" spans="4:17" s="62" customFormat="1" x14ac:dyDescent="0.3">
      <c r="D3852" s="796" t="s">
        <v>2228</v>
      </c>
      <c r="E3852" s="797"/>
      <c r="F3852" s="797"/>
      <c r="G3852" s="797"/>
      <c r="H3852" s="797"/>
      <c r="I3852" s="47">
        <f t="shared" ref="I3852:Q3852" si="4521">SUM(I3853:I3856)</f>
        <v>0</v>
      </c>
      <c r="J3852" s="47">
        <f t="shared" si="4521"/>
        <v>0.71148</v>
      </c>
      <c r="K3852" s="47">
        <f t="shared" si="4521"/>
        <v>0</v>
      </c>
      <c r="L3852" s="47">
        <f t="shared" si="4521"/>
        <v>1.3943500000000002</v>
      </c>
      <c r="M3852" s="47">
        <f t="shared" si="4521"/>
        <v>1.25868</v>
      </c>
      <c r="N3852" s="47">
        <f t="shared" si="4521"/>
        <v>0</v>
      </c>
      <c r="O3852" s="47">
        <f t="shared" si="4521"/>
        <v>0</v>
      </c>
      <c r="P3852" s="47">
        <f t="shared" si="4521"/>
        <v>0</v>
      </c>
      <c r="Q3852" s="47">
        <f t="shared" si="4521"/>
        <v>0</v>
      </c>
    </row>
    <row r="3853" spans="4:17" s="62" customFormat="1" x14ac:dyDescent="0.3">
      <c r="D3853" s="235">
        <v>1</v>
      </c>
      <c r="E3853" s="237">
        <v>6</v>
      </c>
      <c r="F3853" s="238">
        <v>5</v>
      </c>
      <c r="G3853" s="239">
        <v>0.77</v>
      </c>
      <c r="H3853" s="239">
        <f t="shared" ref="H3853:H3856" si="4522">E3853*G3853</f>
        <v>4.62</v>
      </c>
      <c r="I3853" s="131">
        <f t="shared" ref="I3853:I3856" si="4523">IF($F3853=4.2,H3853*$B$23,0)</f>
        <v>0</v>
      </c>
      <c r="J3853" s="31">
        <f t="shared" ref="J3853:J3856" si="4524">IF($F3853=5,$H3853*$B$24,0)</f>
        <v>0.71148</v>
      </c>
      <c r="K3853" s="31">
        <f t="shared" ref="K3853:K3856" si="4525">IF($F3853=6.3,$H3853*$B$25,0)</f>
        <v>0</v>
      </c>
      <c r="L3853" s="31">
        <f t="shared" ref="L3853:L3856" si="4526">IF($F3853=8,$H3853*$B$26,0)</f>
        <v>0</v>
      </c>
      <c r="M3853" s="31">
        <f t="shared" ref="M3853:M3856" si="4527">IF($F3853=10,$H3853*$B$27,0)</f>
        <v>0</v>
      </c>
      <c r="N3853" s="31">
        <f t="shared" ref="N3853:N3856" si="4528">IF($F3853=12.5,$H3853*$B$28,0)</f>
        <v>0</v>
      </c>
      <c r="O3853" s="31">
        <f t="shared" ref="O3853:O3856" si="4529">IF($F3853=16,$H3853*$B$29,0)</f>
        <v>0</v>
      </c>
      <c r="P3853" s="31">
        <f t="shared" ref="P3853:P3856" si="4530">IF($F3853=20,$H3853*$B$30,0)</f>
        <v>0</v>
      </c>
      <c r="Q3853" s="49">
        <f t="shared" ref="Q3853:Q3856" si="4531">IF($F3853=25,$H3853*$B$31,0)</f>
        <v>0</v>
      </c>
    </row>
    <row r="3854" spans="4:17" s="62" customFormat="1" x14ac:dyDescent="0.3">
      <c r="D3854" s="235">
        <v>11</v>
      </c>
      <c r="E3854" s="240">
        <v>2</v>
      </c>
      <c r="F3854" s="241">
        <v>8</v>
      </c>
      <c r="G3854" s="242">
        <v>1.33</v>
      </c>
      <c r="H3854" s="239">
        <f t="shared" si="4522"/>
        <v>2.66</v>
      </c>
      <c r="I3854" s="131">
        <f t="shared" si="4523"/>
        <v>0</v>
      </c>
      <c r="J3854" s="31">
        <f t="shared" si="4524"/>
        <v>0</v>
      </c>
      <c r="K3854" s="31">
        <f t="shared" si="4525"/>
        <v>0</v>
      </c>
      <c r="L3854" s="31">
        <f t="shared" si="4526"/>
        <v>1.0507000000000002</v>
      </c>
      <c r="M3854" s="31">
        <f t="shared" si="4527"/>
        <v>0</v>
      </c>
      <c r="N3854" s="31">
        <f t="shared" si="4528"/>
        <v>0</v>
      </c>
      <c r="O3854" s="31">
        <f t="shared" si="4529"/>
        <v>0</v>
      </c>
      <c r="P3854" s="31">
        <f t="shared" si="4530"/>
        <v>0</v>
      </c>
      <c r="Q3854" s="49">
        <f t="shared" si="4531"/>
        <v>0</v>
      </c>
    </row>
    <row r="3855" spans="4:17" s="62" customFormat="1" x14ac:dyDescent="0.3">
      <c r="D3855" s="235">
        <v>10</v>
      </c>
      <c r="E3855" s="240">
        <v>1</v>
      </c>
      <c r="F3855" s="241">
        <v>8</v>
      </c>
      <c r="G3855" s="242">
        <v>0.87</v>
      </c>
      <c r="H3855" s="239">
        <f t="shared" si="4522"/>
        <v>0.87</v>
      </c>
      <c r="I3855" s="131">
        <f t="shared" si="4523"/>
        <v>0</v>
      </c>
      <c r="J3855" s="31">
        <f t="shared" si="4524"/>
        <v>0</v>
      </c>
      <c r="K3855" s="31">
        <f t="shared" si="4525"/>
        <v>0</v>
      </c>
      <c r="L3855" s="31">
        <f t="shared" si="4526"/>
        <v>0.34365000000000001</v>
      </c>
      <c r="M3855" s="31">
        <f t="shared" si="4527"/>
        <v>0</v>
      </c>
      <c r="N3855" s="31">
        <f t="shared" si="4528"/>
        <v>0</v>
      </c>
      <c r="O3855" s="31">
        <f t="shared" si="4529"/>
        <v>0</v>
      </c>
      <c r="P3855" s="31">
        <f t="shared" si="4530"/>
        <v>0</v>
      </c>
      <c r="Q3855" s="49">
        <f t="shared" si="4531"/>
        <v>0</v>
      </c>
    </row>
    <row r="3856" spans="4:17" s="62" customFormat="1" x14ac:dyDescent="0.3">
      <c r="D3856" s="235">
        <v>27</v>
      </c>
      <c r="E3856" s="240">
        <v>2</v>
      </c>
      <c r="F3856" s="241">
        <v>10</v>
      </c>
      <c r="G3856" s="242">
        <v>1.02</v>
      </c>
      <c r="H3856" s="239">
        <f t="shared" si="4522"/>
        <v>2.04</v>
      </c>
      <c r="I3856" s="131">
        <f t="shared" si="4523"/>
        <v>0</v>
      </c>
      <c r="J3856" s="31">
        <f t="shared" si="4524"/>
        <v>0</v>
      </c>
      <c r="K3856" s="31">
        <f t="shared" si="4525"/>
        <v>0</v>
      </c>
      <c r="L3856" s="31">
        <f t="shared" si="4526"/>
        <v>0</v>
      </c>
      <c r="M3856" s="31">
        <f t="shared" si="4527"/>
        <v>1.25868</v>
      </c>
      <c r="N3856" s="31">
        <f t="shared" si="4528"/>
        <v>0</v>
      </c>
      <c r="O3856" s="31">
        <f t="shared" si="4529"/>
        <v>0</v>
      </c>
      <c r="P3856" s="31">
        <f t="shared" si="4530"/>
        <v>0</v>
      </c>
      <c r="Q3856" s="49">
        <f t="shared" si="4531"/>
        <v>0</v>
      </c>
    </row>
    <row r="3857" spans="4:17" s="62" customFormat="1" ht="15" thickBot="1" x14ac:dyDescent="0.35">
      <c r="D3857" s="307"/>
      <c r="E3857" s="26"/>
      <c r="F3857" s="206"/>
      <c r="G3857" s="207"/>
      <c r="H3857" s="207"/>
      <c r="I3857" s="51"/>
      <c r="J3857" s="308"/>
      <c r="K3857" s="308"/>
      <c r="L3857" s="308"/>
      <c r="M3857" s="308"/>
      <c r="N3857" s="308"/>
      <c r="O3857" s="308"/>
      <c r="P3857" s="308"/>
      <c r="Q3857" s="309"/>
    </row>
    <row r="3858" spans="4:17" s="62" customFormat="1" x14ac:dyDescent="0.3">
      <c r="D3858" s="796" t="s">
        <v>2229</v>
      </c>
      <c r="E3858" s="797"/>
      <c r="F3858" s="797"/>
      <c r="G3858" s="797"/>
      <c r="H3858" s="797"/>
      <c r="I3858" s="47">
        <f t="shared" ref="I3858:Q3858" si="4532">SUM(I3859:I3861)</f>
        <v>0</v>
      </c>
      <c r="J3858" s="47">
        <f t="shared" si="4532"/>
        <v>3.5574000000000003</v>
      </c>
      <c r="K3858" s="47">
        <f t="shared" si="4532"/>
        <v>0</v>
      </c>
      <c r="L3858" s="47">
        <f t="shared" si="4532"/>
        <v>7.7578000000000005</v>
      </c>
      <c r="M3858" s="47">
        <f t="shared" si="4532"/>
        <v>0</v>
      </c>
      <c r="N3858" s="47">
        <f t="shared" si="4532"/>
        <v>0</v>
      </c>
      <c r="O3858" s="47">
        <f t="shared" si="4532"/>
        <v>0</v>
      </c>
      <c r="P3858" s="47">
        <f t="shared" si="4532"/>
        <v>0</v>
      </c>
      <c r="Q3858" s="47">
        <f t="shared" si="4532"/>
        <v>0</v>
      </c>
    </row>
    <row r="3859" spans="4:17" s="62" customFormat="1" x14ac:dyDescent="0.3">
      <c r="D3859" s="235">
        <v>1</v>
      </c>
      <c r="E3859" s="237">
        <v>30</v>
      </c>
      <c r="F3859" s="238">
        <v>5</v>
      </c>
      <c r="G3859" s="239">
        <v>0.77</v>
      </c>
      <c r="H3859" s="239">
        <f t="shared" ref="H3859:H3861" si="4533">E3859*G3859</f>
        <v>23.1</v>
      </c>
      <c r="I3859" s="131">
        <f t="shared" ref="I3859:I3861" si="4534">IF($F3859=4.2,H3859*$B$23,0)</f>
        <v>0</v>
      </c>
      <c r="J3859" s="31">
        <f t="shared" ref="J3859:J3861" si="4535">IF($F3859=5,$H3859*$B$24,0)</f>
        <v>3.5574000000000003</v>
      </c>
      <c r="K3859" s="31">
        <f t="shared" ref="K3859:K3861" si="4536">IF($F3859=6.3,$H3859*$B$25,0)</f>
        <v>0</v>
      </c>
      <c r="L3859" s="31">
        <f t="shared" ref="L3859:L3861" si="4537">IF($F3859=8,$H3859*$B$26,0)</f>
        <v>0</v>
      </c>
      <c r="M3859" s="31">
        <f t="shared" ref="M3859:M3861" si="4538">IF($F3859=10,$H3859*$B$27,0)</f>
        <v>0</v>
      </c>
      <c r="N3859" s="31">
        <f t="shared" ref="N3859:N3861" si="4539">IF($F3859=12.5,$H3859*$B$28,0)</f>
        <v>0</v>
      </c>
      <c r="O3859" s="31">
        <f t="shared" ref="O3859:O3861" si="4540">IF($F3859=16,$H3859*$B$29,0)</f>
        <v>0</v>
      </c>
      <c r="P3859" s="31">
        <f t="shared" ref="P3859:P3861" si="4541">IF($F3859=20,$H3859*$B$30,0)</f>
        <v>0</v>
      </c>
      <c r="Q3859" s="49">
        <f t="shared" ref="Q3859:Q3861" si="4542">IF($F3859=25,$H3859*$B$31,0)</f>
        <v>0</v>
      </c>
    </row>
    <row r="3860" spans="4:17" s="62" customFormat="1" x14ac:dyDescent="0.3">
      <c r="D3860" s="235">
        <v>12</v>
      </c>
      <c r="E3860" s="240">
        <v>2</v>
      </c>
      <c r="F3860" s="241">
        <v>8</v>
      </c>
      <c r="G3860" s="242">
        <v>4.75</v>
      </c>
      <c r="H3860" s="239">
        <f t="shared" si="4533"/>
        <v>9.5</v>
      </c>
      <c r="I3860" s="131">
        <f t="shared" si="4534"/>
        <v>0</v>
      </c>
      <c r="J3860" s="31">
        <f t="shared" si="4535"/>
        <v>0</v>
      </c>
      <c r="K3860" s="31">
        <f t="shared" si="4536"/>
        <v>0</v>
      </c>
      <c r="L3860" s="31">
        <f t="shared" si="4537"/>
        <v>3.7525000000000004</v>
      </c>
      <c r="M3860" s="31">
        <f t="shared" si="4538"/>
        <v>0</v>
      </c>
      <c r="N3860" s="31">
        <f t="shared" si="4539"/>
        <v>0</v>
      </c>
      <c r="O3860" s="31">
        <f t="shared" si="4540"/>
        <v>0</v>
      </c>
      <c r="P3860" s="31">
        <f t="shared" si="4541"/>
        <v>0</v>
      </c>
      <c r="Q3860" s="49">
        <f t="shared" si="4542"/>
        <v>0</v>
      </c>
    </row>
    <row r="3861" spans="4:17" s="62" customFormat="1" x14ac:dyDescent="0.3">
      <c r="D3861" s="235">
        <v>13</v>
      </c>
      <c r="E3861" s="240">
        <v>2</v>
      </c>
      <c r="F3861" s="241">
        <v>8</v>
      </c>
      <c r="G3861" s="242">
        <v>5.07</v>
      </c>
      <c r="H3861" s="239">
        <f t="shared" si="4533"/>
        <v>10.14</v>
      </c>
      <c r="I3861" s="131">
        <f t="shared" si="4534"/>
        <v>0</v>
      </c>
      <c r="J3861" s="31">
        <f t="shared" si="4535"/>
        <v>0</v>
      </c>
      <c r="K3861" s="31">
        <f t="shared" si="4536"/>
        <v>0</v>
      </c>
      <c r="L3861" s="31">
        <f t="shared" si="4537"/>
        <v>4.0053000000000001</v>
      </c>
      <c r="M3861" s="31">
        <f t="shared" si="4538"/>
        <v>0</v>
      </c>
      <c r="N3861" s="31">
        <f t="shared" si="4539"/>
        <v>0</v>
      </c>
      <c r="O3861" s="31">
        <f t="shared" si="4540"/>
        <v>0</v>
      </c>
      <c r="P3861" s="31">
        <f t="shared" si="4541"/>
        <v>0</v>
      </c>
      <c r="Q3861" s="49">
        <f t="shared" si="4542"/>
        <v>0</v>
      </c>
    </row>
    <row r="3862" spans="4:17" s="62" customFormat="1" ht="15" thickBot="1" x14ac:dyDescent="0.35">
      <c r="D3862" s="307"/>
      <c r="E3862" s="26"/>
      <c r="F3862" s="206"/>
      <c r="G3862" s="207"/>
      <c r="H3862" s="207"/>
      <c r="I3862" s="51"/>
      <c r="J3862" s="308"/>
      <c r="K3862" s="308"/>
      <c r="L3862" s="308"/>
      <c r="M3862" s="308"/>
      <c r="N3862" s="308"/>
      <c r="O3862" s="308"/>
      <c r="P3862" s="308"/>
      <c r="Q3862" s="309"/>
    </row>
    <row r="3863" spans="4:17" s="62" customFormat="1" x14ac:dyDescent="0.3">
      <c r="D3863" s="796" t="s">
        <v>2230</v>
      </c>
      <c r="E3863" s="797"/>
      <c r="F3863" s="797"/>
      <c r="G3863" s="797"/>
      <c r="H3863" s="797"/>
      <c r="I3863" s="47">
        <f t="shared" ref="I3863:Q3863" si="4543">SUM(I3864:I3866)</f>
        <v>0</v>
      </c>
      <c r="J3863" s="47">
        <f t="shared" si="4543"/>
        <v>3.4388200000000002</v>
      </c>
      <c r="K3863" s="47">
        <f t="shared" si="4543"/>
        <v>0</v>
      </c>
      <c r="L3863" s="47">
        <f t="shared" si="4543"/>
        <v>7.8841999999999999</v>
      </c>
      <c r="M3863" s="47">
        <f t="shared" si="4543"/>
        <v>0</v>
      </c>
      <c r="N3863" s="47">
        <f t="shared" si="4543"/>
        <v>0</v>
      </c>
      <c r="O3863" s="47">
        <f t="shared" si="4543"/>
        <v>0</v>
      </c>
      <c r="P3863" s="47">
        <f t="shared" si="4543"/>
        <v>0</v>
      </c>
      <c r="Q3863" s="47">
        <f t="shared" si="4543"/>
        <v>0</v>
      </c>
    </row>
    <row r="3864" spans="4:17" s="62" customFormat="1" x14ac:dyDescent="0.3">
      <c r="D3864" s="235">
        <v>1</v>
      </c>
      <c r="E3864" s="237">
        <v>29</v>
      </c>
      <c r="F3864" s="238">
        <v>5</v>
      </c>
      <c r="G3864" s="239">
        <v>0.77</v>
      </c>
      <c r="H3864" s="239">
        <f t="shared" ref="H3864:H3866" si="4544">E3864*G3864</f>
        <v>22.330000000000002</v>
      </c>
      <c r="I3864" s="131">
        <f t="shared" ref="I3864:I3866" si="4545">IF($F3864=4.2,H3864*$B$23,0)</f>
        <v>0</v>
      </c>
      <c r="J3864" s="31">
        <f t="shared" ref="J3864:J3866" si="4546">IF($F3864=5,$H3864*$B$24,0)</f>
        <v>3.4388200000000002</v>
      </c>
      <c r="K3864" s="31">
        <f t="shared" ref="K3864:K3866" si="4547">IF($F3864=6.3,$H3864*$B$25,0)</f>
        <v>0</v>
      </c>
      <c r="L3864" s="31">
        <f t="shared" ref="L3864:L3866" si="4548">IF($F3864=8,$H3864*$B$26,0)</f>
        <v>0</v>
      </c>
      <c r="M3864" s="31">
        <f t="shared" ref="M3864:M3866" si="4549">IF($F3864=10,$H3864*$B$27,0)</f>
        <v>0</v>
      </c>
      <c r="N3864" s="31">
        <f t="shared" ref="N3864:N3866" si="4550">IF($F3864=12.5,$H3864*$B$28,0)</f>
        <v>0</v>
      </c>
      <c r="O3864" s="31">
        <f t="shared" ref="O3864:O3866" si="4551">IF($F3864=16,$H3864*$B$29,0)</f>
        <v>0</v>
      </c>
      <c r="P3864" s="31">
        <f t="shared" ref="P3864:P3866" si="4552">IF($F3864=20,$H3864*$B$30,0)</f>
        <v>0</v>
      </c>
      <c r="Q3864" s="49">
        <f t="shared" ref="Q3864:Q3866" si="4553">IF($F3864=25,$H3864*$B$31,0)</f>
        <v>0</v>
      </c>
    </row>
    <row r="3865" spans="4:17" s="62" customFormat="1" x14ac:dyDescent="0.3">
      <c r="D3865" s="235">
        <v>14</v>
      </c>
      <c r="E3865" s="240">
        <v>2</v>
      </c>
      <c r="F3865" s="241">
        <v>8</v>
      </c>
      <c r="G3865" s="242">
        <v>4.83</v>
      </c>
      <c r="H3865" s="239">
        <f t="shared" si="4544"/>
        <v>9.66</v>
      </c>
      <c r="I3865" s="131">
        <f t="shared" si="4545"/>
        <v>0</v>
      </c>
      <c r="J3865" s="31">
        <f t="shared" si="4546"/>
        <v>0</v>
      </c>
      <c r="K3865" s="31">
        <f t="shared" si="4547"/>
        <v>0</v>
      </c>
      <c r="L3865" s="31">
        <f t="shared" si="4548"/>
        <v>3.8157000000000001</v>
      </c>
      <c r="M3865" s="31">
        <f t="shared" si="4549"/>
        <v>0</v>
      </c>
      <c r="N3865" s="31">
        <f t="shared" si="4550"/>
        <v>0</v>
      </c>
      <c r="O3865" s="31">
        <f t="shared" si="4551"/>
        <v>0</v>
      </c>
      <c r="P3865" s="31">
        <f t="shared" si="4552"/>
        <v>0</v>
      </c>
      <c r="Q3865" s="49">
        <f t="shared" si="4553"/>
        <v>0</v>
      </c>
    </row>
    <row r="3866" spans="4:17" s="62" customFormat="1" x14ac:dyDescent="0.3">
      <c r="D3866" s="235">
        <v>15</v>
      </c>
      <c r="E3866" s="240">
        <v>2</v>
      </c>
      <c r="F3866" s="241">
        <v>8</v>
      </c>
      <c r="G3866" s="242">
        <v>5.15</v>
      </c>
      <c r="H3866" s="239">
        <f t="shared" si="4544"/>
        <v>10.3</v>
      </c>
      <c r="I3866" s="131">
        <f t="shared" si="4545"/>
        <v>0</v>
      </c>
      <c r="J3866" s="31">
        <f t="shared" si="4546"/>
        <v>0</v>
      </c>
      <c r="K3866" s="31">
        <f t="shared" si="4547"/>
        <v>0</v>
      </c>
      <c r="L3866" s="31">
        <f t="shared" si="4548"/>
        <v>4.0685000000000002</v>
      </c>
      <c r="M3866" s="31">
        <f t="shared" si="4549"/>
        <v>0</v>
      </c>
      <c r="N3866" s="31">
        <f t="shared" si="4550"/>
        <v>0</v>
      </c>
      <c r="O3866" s="31">
        <f t="shared" si="4551"/>
        <v>0</v>
      </c>
      <c r="P3866" s="31">
        <f t="shared" si="4552"/>
        <v>0</v>
      </c>
      <c r="Q3866" s="49">
        <f t="shared" si="4553"/>
        <v>0</v>
      </c>
    </row>
    <row r="3867" spans="4:17" s="62" customFormat="1" ht="15" thickBot="1" x14ac:dyDescent="0.35">
      <c r="D3867" s="307"/>
      <c r="E3867" s="26"/>
      <c r="F3867" s="206"/>
      <c r="G3867" s="207"/>
      <c r="H3867" s="207"/>
      <c r="I3867" s="51"/>
      <c r="J3867" s="308"/>
      <c r="K3867" s="308"/>
      <c r="L3867" s="308"/>
      <c r="M3867" s="308"/>
      <c r="N3867" s="308"/>
      <c r="O3867" s="308"/>
      <c r="P3867" s="308"/>
      <c r="Q3867" s="309"/>
    </row>
    <row r="3868" spans="4:17" s="62" customFormat="1" x14ac:dyDescent="0.3">
      <c r="D3868" s="796" t="s">
        <v>2231</v>
      </c>
      <c r="E3868" s="797"/>
      <c r="F3868" s="797"/>
      <c r="G3868" s="797"/>
      <c r="H3868" s="797"/>
      <c r="I3868" s="47">
        <f t="shared" ref="I3868:Q3868" si="4554">SUM(I3869:I3873)</f>
        <v>0</v>
      </c>
      <c r="J3868" s="47">
        <f t="shared" si="4554"/>
        <v>15.53398</v>
      </c>
      <c r="K3868" s="47">
        <f t="shared" si="4554"/>
        <v>0</v>
      </c>
      <c r="L3868" s="47">
        <f t="shared" si="4554"/>
        <v>33.740900000000003</v>
      </c>
      <c r="M3868" s="47">
        <f t="shared" si="4554"/>
        <v>0</v>
      </c>
      <c r="N3868" s="47">
        <f t="shared" si="4554"/>
        <v>0</v>
      </c>
      <c r="O3868" s="47">
        <f t="shared" si="4554"/>
        <v>0</v>
      </c>
      <c r="P3868" s="47">
        <f t="shared" si="4554"/>
        <v>0</v>
      </c>
      <c r="Q3868" s="47">
        <f t="shared" si="4554"/>
        <v>0</v>
      </c>
    </row>
    <row r="3869" spans="4:17" s="62" customFormat="1" x14ac:dyDescent="0.3">
      <c r="D3869" s="235">
        <v>1</v>
      </c>
      <c r="E3869" s="237">
        <v>131</v>
      </c>
      <c r="F3869" s="238">
        <v>5</v>
      </c>
      <c r="G3869" s="239">
        <v>0.77</v>
      </c>
      <c r="H3869" s="239">
        <f t="shared" ref="H3869:H3873" si="4555">E3869*G3869</f>
        <v>100.87</v>
      </c>
      <c r="I3869" s="131">
        <f t="shared" ref="I3869:I3873" si="4556">IF($F3869=4.2,H3869*$B$23,0)</f>
        <v>0</v>
      </c>
      <c r="J3869" s="31">
        <f t="shared" ref="J3869:J3873" si="4557">IF($F3869=5,$H3869*$B$24,0)</f>
        <v>15.53398</v>
      </c>
      <c r="K3869" s="31">
        <f t="shared" ref="K3869:K3873" si="4558">IF($F3869=6.3,$H3869*$B$25,0)</f>
        <v>0</v>
      </c>
      <c r="L3869" s="31">
        <f t="shared" ref="L3869:L3873" si="4559">IF($F3869=8,$H3869*$B$26,0)</f>
        <v>0</v>
      </c>
      <c r="M3869" s="31">
        <f t="shared" ref="M3869:M3873" si="4560">IF($F3869=10,$H3869*$B$27,0)</f>
        <v>0</v>
      </c>
      <c r="N3869" s="31">
        <f t="shared" ref="N3869:N3873" si="4561">IF($F3869=12.5,$H3869*$B$28,0)</f>
        <v>0</v>
      </c>
      <c r="O3869" s="31">
        <f t="shared" ref="O3869:O3873" si="4562">IF($F3869=16,$H3869*$B$29,0)</f>
        <v>0</v>
      </c>
      <c r="P3869" s="31">
        <f t="shared" ref="P3869:P3873" si="4563">IF($F3869=20,$H3869*$B$30,0)</f>
        <v>0</v>
      </c>
      <c r="Q3869" s="49">
        <f t="shared" ref="Q3869:Q3873" si="4564">IF($F3869=25,$H3869*$B$31,0)</f>
        <v>0</v>
      </c>
    </row>
    <row r="3870" spans="4:17" s="62" customFormat="1" x14ac:dyDescent="0.3">
      <c r="D3870" s="235">
        <v>5</v>
      </c>
      <c r="E3870" s="240">
        <v>2</v>
      </c>
      <c r="F3870" s="241">
        <v>8</v>
      </c>
      <c r="G3870" s="242">
        <v>11.98</v>
      </c>
      <c r="H3870" s="239">
        <f t="shared" si="4555"/>
        <v>23.96</v>
      </c>
      <c r="I3870" s="131">
        <f t="shared" si="4556"/>
        <v>0</v>
      </c>
      <c r="J3870" s="31">
        <f t="shared" si="4557"/>
        <v>0</v>
      </c>
      <c r="K3870" s="31">
        <f t="shared" si="4558"/>
        <v>0</v>
      </c>
      <c r="L3870" s="31">
        <f t="shared" si="4559"/>
        <v>9.4641999999999999</v>
      </c>
      <c r="M3870" s="31">
        <f t="shared" si="4560"/>
        <v>0</v>
      </c>
      <c r="N3870" s="31">
        <f t="shared" si="4561"/>
        <v>0</v>
      </c>
      <c r="O3870" s="31">
        <f t="shared" si="4562"/>
        <v>0</v>
      </c>
      <c r="P3870" s="31">
        <f t="shared" si="4563"/>
        <v>0</v>
      </c>
      <c r="Q3870" s="49">
        <f t="shared" si="4564"/>
        <v>0</v>
      </c>
    </row>
    <row r="3871" spans="4:17" s="62" customFormat="1" x14ac:dyDescent="0.3">
      <c r="D3871" s="235">
        <v>23</v>
      </c>
      <c r="E3871" s="240">
        <v>2</v>
      </c>
      <c r="F3871" s="241">
        <v>8</v>
      </c>
      <c r="G3871" s="242">
        <v>10.82</v>
      </c>
      <c r="H3871" s="239">
        <f t="shared" si="4555"/>
        <v>21.64</v>
      </c>
      <c r="I3871" s="131">
        <f t="shared" si="4556"/>
        <v>0</v>
      </c>
      <c r="J3871" s="31">
        <f t="shared" si="4557"/>
        <v>0</v>
      </c>
      <c r="K3871" s="31">
        <f t="shared" si="4558"/>
        <v>0</v>
      </c>
      <c r="L3871" s="31">
        <f t="shared" si="4559"/>
        <v>8.5478000000000005</v>
      </c>
      <c r="M3871" s="31">
        <f t="shared" si="4560"/>
        <v>0</v>
      </c>
      <c r="N3871" s="31">
        <f t="shared" si="4561"/>
        <v>0</v>
      </c>
      <c r="O3871" s="31">
        <f t="shared" si="4562"/>
        <v>0</v>
      </c>
      <c r="P3871" s="31">
        <f t="shared" si="4563"/>
        <v>0</v>
      </c>
      <c r="Q3871" s="49">
        <f t="shared" si="4564"/>
        <v>0</v>
      </c>
    </row>
    <row r="3872" spans="4:17" s="62" customFormat="1" x14ac:dyDescent="0.3">
      <c r="D3872" s="235">
        <v>24</v>
      </c>
      <c r="E3872" s="240">
        <v>2</v>
      </c>
      <c r="F3872" s="241">
        <v>8</v>
      </c>
      <c r="G3872" s="242">
        <v>10.17</v>
      </c>
      <c r="H3872" s="239">
        <f t="shared" si="4555"/>
        <v>20.34</v>
      </c>
      <c r="I3872" s="131">
        <f t="shared" si="4556"/>
        <v>0</v>
      </c>
      <c r="J3872" s="31">
        <f t="shared" si="4557"/>
        <v>0</v>
      </c>
      <c r="K3872" s="31">
        <f t="shared" si="4558"/>
        <v>0</v>
      </c>
      <c r="L3872" s="31">
        <f t="shared" si="4559"/>
        <v>8.0343</v>
      </c>
      <c r="M3872" s="31">
        <f t="shared" si="4560"/>
        <v>0</v>
      </c>
      <c r="N3872" s="31">
        <f t="shared" si="4561"/>
        <v>0</v>
      </c>
      <c r="O3872" s="31">
        <f t="shared" si="4562"/>
        <v>0</v>
      </c>
      <c r="P3872" s="31">
        <f t="shared" si="4563"/>
        <v>0</v>
      </c>
      <c r="Q3872" s="49">
        <f t="shared" si="4564"/>
        <v>0</v>
      </c>
    </row>
    <row r="3873" spans="4:17" s="62" customFormat="1" x14ac:dyDescent="0.3">
      <c r="D3873" s="235">
        <v>25</v>
      </c>
      <c r="E3873" s="240">
        <v>2</v>
      </c>
      <c r="F3873" s="241">
        <v>8</v>
      </c>
      <c r="G3873" s="242">
        <v>9.74</v>
      </c>
      <c r="H3873" s="239">
        <f t="shared" si="4555"/>
        <v>19.48</v>
      </c>
      <c r="I3873" s="131">
        <f t="shared" si="4556"/>
        <v>0</v>
      </c>
      <c r="J3873" s="31">
        <f t="shared" si="4557"/>
        <v>0</v>
      </c>
      <c r="K3873" s="31">
        <f t="shared" si="4558"/>
        <v>0</v>
      </c>
      <c r="L3873" s="31">
        <f t="shared" si="4559"/>
        <v>7.6946000000000003</v>
      </c>
      <c r="M3873" s="31">
        <f t="shared" si="4560"/>
        <v>0</v>
      </c>
      <c r="N3873" s="31">
        <f t="shared" si="4561"/>
        <v>0</v>
      </c>
      <c r="O3873" s="31">
        <f t="shared" si="4562"/>
        <v>0</v>
      </c>
      <c r="P3873" s="31">
        <f t="shared" si="4563"/>
        <v>0</v>
      </c>
      <c r="Q3873" s="49">
        <f t="shared" si="4564"/>
        <v>0</v>
      </c>
    </row>
    <row r="3874" spans="4:17" s="62" customFormat="1" ht="15" thickBot="1" x14ac:dyDescent="0.35">
      <c r="D3874" s="307"/>
      <c r="E3874" s="26"/>
      <c r="F3874" s="206"/>
      <c r="G3874" s="207"/>
      <c r="H3874" s="207"/>
      <c r="I3874" s="51"/>
      <c r="J3874" s="308"/>
      <c r="K3874" s="308"/>
      <c r="L3874" s="308"/>
      <c r="M3874" s="308"/>
      <c r="N3874" s="308"/>
      <c r="O3874" s="308"/>
      <c r="P3874" s="308"/>
      <c r="Q3874" s="309"/>
    </row>
    <row r="3875" spans="4:17" s="62" customFormat="1" x14ac:dyDescent="0.3">
      <c r="D3875" s="796" t="s">
        <v>2232</v>
      </c>
      <c r="E3875" s="797"/>
      <c r="F3875" s="797"/>
      <c r="G3875" s="797"/>
      <c r="H3875" s="797"/>
      <c r="I3875" s="47">
        <f t="shared" ref="I3875:Q3875" si="4565">SUM(I3876:I3880)</f>
        <v>0</v>
      </c>
      <c r="J3875" s="47">
        <f t="shared" si="4565"/>
        <v>15.059660000000001</v>
      </c>
      <c r="K3875" s="47">
        <f t="shared" si="4565"/>
        <v>0</v>
      </c>
      <c r="L3875" s="47">
        <f t="shared" si="4565"/>
        <v>32.255700000000004</v>
      </c>
      <c r="M3875" s="47">
        <f t="shared" si="4565"/>
        <v>0</v>
      </c>
      <c r="N3875" s="47">
        <f t="shared" si="4565"/>
        <v>0</v>
      </c>
      <c r="O3875" s="47">
        <f t="shared" si="4565"/>
        <v>0</v>
      </c>
      <c r="P3875" s="47">
        <f t="shared" si="4565"/>
        <v>0</v>
      </c>
      <c r="Q3875" s="47">
        <f t="shared" si="4565"/>
        <v>0</v>
      </c>
    </row>
    <row r="3876" spans="4:17" s="62" customFormat="1" x14ac:dyDescent="0.3">
      <c r="D3876" s="235">
        <v>2</v>
      </c>
      <c r="E3876" s="237">
        <v>127</v>
      </c>
      <c r="F3876" s="238">
        <v>5</v>
      </c>
      <c r="G3876" s="239">
        <v>0.77</v>
      </c>
      <c r="H3876" s="239">
        <f t="shared" ref="H3876:H3880" si="4566">E3876*G3876</f>
        <v>97.79</v>
      </c>
      <c r="I3876" s="131">
        <f t="shared" ref="I3876:I3880" si="4567">IF($F3876=4.2,H3876*$B$23,0)</f>
        <v>0</v>
      </c>
      <c r="J3876" s="31">
        <f t="shared" ref="J3876:J3880" si="4568">IF($F3876=5,$H3876*$B$24,0)</f>
        <v>15.059660000000001</v>
      </c>
      <c r="K3876" s="31">
        <f t="shared" ref="K3876:K3880" si="4569">IF($F3876=6.3,$H3876*$B$25,0)</f>
        <v>0</v>
      </c>
      <c r="L3876" s="31">
        <f t="shared" ref="L3876:L3880" si="4570">IF($F3876=8,$H3876*$B$26,0)</f>
        <v>0</v>
      </c>
      <c r="M3876" s="31">
        <f t="shared" ref="M3876:M3880" si="4571">IF($F3876=10,$H3876*$B$27,0)</f>
        <v>0</v>
      </c>
      <c r="N3876" s="31">
        <f t="shared" ref="N3876:N3880" si="4572">IF($F3876=12.5,$H3876*$B$28,0)</f>
        <v>0</v>
      </c>
      <c r="O3876" s="31">
        <f t="shared" ref="O3876:O3880" si="4573">IF($F3876=16,$H3876*$B$29,0)</f>
        <v>0</v>
      </c>
      <c r="P3876" s="31">
        <f t="shared" ref="P3876:P3880" si="4574">IF($F3876=20,$H3876*$B$30,0)</f>
        <v>0</v>
      </c>
      <c r="Q3876" s="49">
        <f t="shared" ref="Q3876:Q3880" si="4575">IF($F3876=25,$H3876*$B$31,0)</f>
        <v>0</v>
      </c>
    </row>
    <row r="3877" spans="4:17" s="62" customFormat="1" x14ac:dyDescent="0.3">
      <c r="D3877" s="235">
        <v>6</v>
      </c>
      <c r="E3877" s="240">
        <v>2</v>
      </c>
      <c r="F3877" s="241">
        <v>8</v>
      </c>
      <c r="G3877" s="242">
        <v>8.86</v>
      </c>
      <c r="H3877" s="239">
        <f t="shared" si="4566"/>
        <v>17.72</v>
      </c>
      <c r="I3877" s="131">
        <f t="shared" si="4567"/>
        <v>0</v>
      </c>
      <c r="J3877" s="31">
        <f t="shared" si="4568"/>
        <v>0</v>
      </c>
      <c r="K3877" s="31">
        <f t="shared" si="4569"/>
        <v>0</v>
      </c>
      <c r="L3877" s="31">
        <f t="shared" si="4570"/>
        <v>6.9993999999999996</v>
      </c>
      <c r="M3877" s="31">
        <f t="shared" si="4571"/>
        <v>0</v>
      </c>
      <c r="N3877" s="31">
        <f t="shared" si="4572"/>
        <v>0</v>
      </c>
      <c r="O3877" s="31">
        <f t="shared" si="4573"/>
        <v>0</v>
      </c>
      <c r="P3877" s="31">
        <f t="shared" si="4574"/>
        <v>0</v>
      </c>
      <c r="Q3877" s="49">
        <f t="shared" si="4575"/>
        <v>0</v>
      </c>
    </row>
    <row r="3878" spans="4:17" s="62" customFormat="1" x14ac:dyDescent="0.3">
      <c r="D3878" s="235">
        <v>7</v>
      </c>
      <c r="E3878" s="240">
        <v>2</v>
      </c>
      <c r="F3878" s="241">
        <v>8</v>
      </c>
      <c r="G3878" s="242">
        <v>11.13</v>
      </c>
      <c r="H3878" s="239">
        <f t="shared" si="4566"/>
        <v>22.26</v>
      </c>
      <c r="I3878" s="131">
        <f t="shared" si="4567"/>
        <v>0</v>
      </c>
      <c r="J3878" s="31">
        <f t="shared" si="4568"/>
        <v>0</v>
      </c>
      <c r="K3878" s="31">
        <f t="shared" si="4569"/>
        <v>0</v>
      </c>
      <c r="L3878" s="31">
        <f t="shared" si="4570"/>
        <v>8.7927000000000017</v>
      </c>
      <c r="M3878" s="31">
        <f t="shared" si="4571"/>
        <v>0</v>
      </c>
      <c r="N3878" s="31">
        <f t="shared" si="4572"/>
        <v>0</v>
      </c>
      <c r="O3878" s="31">
        <f t="shared" si="4573"/>
        <v>0</v>
      </c>
      <c r="P3878" s="31">
        <f t="shared" si="4574"/>
        <v>0</v>
      </c>
      <c r="Q3878" s="49">
        <f t="shared" si="4575"/>
        <v>0</v>
      </c>
    </row>
    <row r="3879" spans="4:17" s="62" customFormat="1" x14ac:dyDescent="0.3">
      <c r="D3879" s="235">
        <v>8</v>
      </c>
      <c r="E3879" s="240">
        <v>2</v>
      </c>
      <c r="F3879" s="241">
        <v>8</v>
      </c>
      <c r="G3879" s="242">
        <v>11.98</v>
      </c>
      <c r="H3879" s="239">
        <f t="shared" si="4566"/>
        <v>23.96</v>
      </c>
      <c r="I3879" s="131">
        <f t="shared" si="4567"/>
        <v>0</v>
      </c>
      <c r="J3879" s="31">
        <f t="shared" si="4568"/>
        <v>0</v>
      </c>
      <c r="K3879" s="31">
        <f t="shared" si="4569"/>
        <v>0</v>
      </c>
      <c r="L3879" s="31">
        <f t="shared" si="4570"/>
        <v>9.4641999999999999</v>
      </c>
      <c r="M3879" s="31">
        <f t="shared" si="4571"/>
        <v>0</v>
      </c>
      <c r="N3879" s="31">
        <f t="shared" si="4572"/>
        <v>0</v>
      </c>
      <c r="O3879" s="31">
        <f t="shared" si="4573"/>
        <v>0</v>
      </c>
      <c r="P3879" s="31">
        <f t="shared" si="4574"/>
        <v>0</v>
      </c>
      <c r="Q3879" s="49">
        <f t="shared" si="4575"/>
        <v>0</v>
      </c>
    </row>
    <row r="3880" spans="4:17" s="62" customFormat="1" x14ac:dyDescent="0.3">
      <c r="D3880" s="235">
        <v>9</v>
      </c>
      <c r="E3880" s="240">
        <v>2</v>
      </c>
      <c r="F3880" s="241">
        <v>8</v>
      </c>
      <c r="G3880" s="242">
        <v>8.86</v>
      </c>
      <c r="H3880" s="239">
        <f t="shared" si="4566"/>
        <v>17.72</v>
      </c>
      <c r="I3880" s="131">
        <f t="shared" si="4567"/>
        <v>0</v>
      </c>
      <c r="J3880" s="31">
        <f t="shared" si="4568"/>
        <v>0</v>
      </c>
      <c r="K3880" s="31">
        <f t="shared" si="4569"/>
        <v>0</v>
      </c>
      <c r="L3880" s="31">
        <f t="shared" si="4570"/>
        <v>6.9993999999999996</v>
      </c>
      <c r="M3880" s="31">
        <f t="shared" si="4571"/>
        <v>0</v>
      </c>
      <c r="N3880" s="31">
        <f t="shared" si="4572"/>
        <v>0</v>
      </c>
      <c r="O3880" s="31">
        <f t="shared" si="4573"/>
        <v>0</v>
      </c>
      <c r="P3880" s="31">
        <f t="shared" si="4574"/>
        <v>0</v>
      </c>
      <c r="Q3880" s="49">
        <f t="shared" si="4575"/>
        <v>0</v>
      </c>
    </row>
    <row r="3881" spans="4:17" s="62" customFormat="1" ht="15" thickBot="1" x14ac:dyDescent="0.35">
      <c r="D3881" s="307"/>
      <c r="E3881" s="26"/>
      <c r="F3881" s="206"/>
      <c r="G3881" s="207"/>
      <c r="H3881" s="207"/>
      <c r="I3881" s="51"/>
      <c r="J3881" s="308"/>
      <c r="K3881" s="308"/>
      <c r="L3881" s="308"/>
      <c r="M3881" s="308"/>
      <c r="N3881" s="308"/>
      <c r="O3881" s="308"/>
      <c r="P3881" s="308"/>
      <c r="Q3881" s="309"/>
    </row>
    <row r="3882" spans="4:17" s="62" customFormat="1" x14ac:dyDescent="0.3">
      <c r="D3882" s="796" t="s">
        <v>2233</v>
      </c>
      <c r="E3882" s="797"/>
      <c r="F3882" s="797"/>
      <c r="G3882" s="797"/>
      <c r="H3882" s="797"/>
      <c r="I3882" s="47">
        <f t="shared" ref="I3882:Q3882" si="4576">SUM(I3883:I3886)</f>
        <v>0</v>
      </c>
      <c r="J3882" s="47">
        <f t="shared" si="4576"/>
        <v>5.69184</v>
      </c>
      <c r="K3882" s="47">
        <f t="shared" si="4576"/>
        <v>0</v>
      </c>
      <c r="L3882" s="47">
        <f t="shared" si="4576"/>
        <v>6.8690500000000005</v>
      </c>
      <c r="M3882" s="47">
        <f t="shared" si="4576"/>
        <v>8.1320599999999992</v>
      </c>
      <c r="N3882" s="47">
        <f t="shared" si="4576"/>
        <v>0</v>
      </c>
      <c r="O3882" s="47">
        <f t="shared" si="4576"/>
        <v>0</v>
      </c>
      <c r="P3882" s="47">
        <f t="shared" si="4576"/>
        <v>0</v>
      </c>
      <c r="Q3882" s="47">
        <f t="shared" si="4576"/>
        <v>0</v>
      </c>
    </row>
    <row r="3883" spans="4:17" s="62" customFormat="1" x14ac:dyDescent="0.3">
      <c r="D3883" s="235">
        <v>2</v>
      </c>
      <c r="E3883" s="237">
        <v>48</v>
      </c>
      <c r="F3883" s="238">
        <v>5</v>
      </c>
      <c r="G3883" s="239">
        <v>0.77</v>
      </c>
      <c r="H3883" s="239">
        <f t="shared" ref="H3883:H3886" si="4577">E3883*G3883</f>
        <v>36.96</v>
      </c>
      <c r="I3883" s="131">
        <f t="shared" ref="I3883:I3886" si="4578">IF($F3883=4.2,H3883*$B$23,0)</f>
        <v>0</v>
      </c>
      <c r="J3883" s="31">
        <f t="shared" ref="J3883:J3886" si="4579">IF($F3883=5,$H3883*$B$24,0)</f>
        <v>5.69184</v>
      </c>
      <c r="K3883" s="31">
        <f t="shared" ref="K3883:K3886" si="4580">IF($F3883=6.3,$H3883*$B$25,0)</f>
        <v>0</v>
      </c>
      <c r="L3883" s="31">
        <f t="shared" ref="L3883:L3886" si="4581">IF($F3883=8,$H3883*$B$26,0)</f>
        <v>0</v>
      </c>
      <c r="M3883" s="31">
        <f t="shared" ref="M3883:M3886" si="4582">IF($F3883=10,$H3883*$B$27,0)</f>
        <v>0</v>
      </c>
      <c r="N3883" s="31">
        <f t="shared" ref="N3883:N3886" si="4583">IF($F3883=12.5,$H3883*$B$28,0)</f>
        <v>0</v>
      </c>
      <c r="O3883" s="31">
        <f t="shared" ref="O3883:O3886" si="4584">IF($F3883=16,$H3883*$B$29,0)</f>
        <v>0</v>
      </c>
      <c r="P3883" s="31">
        <f t="shared" ref="P3883:P3886" si="4585">IF($F3883=20,$H3883*$B$30,0)</f>
        <v>0</v>
      </c>
      <c r="Q3883" s="49">
        <f t="shared" ref="Q3883:Q3886" si="4586">IF($F3883=25,$H3883*$B$31,0)</f>
        <v>0</v>
      </c>
    </row>
    <row r="3884" spans="4:17" s="62" customFormat="1" x14ac:dyDescent="0.3">
      <c r="D3884" s="235">
        <v>10</v>
      </c>
      <c r="E3884" s="240">
        <v>1</v>
      </c>
      <c r="F3884" s="241">
        <v>8</v>
      </c>
      <c r="G3884" s="242">
        <v>3.51</v>
      </c>
      <c r="H3884" s="239">
        <f t="shared" si="4577"/>
        <v>3.51</v>
      </c>
      <c r="I3884" s="131">
        <f t="shared" si="4578"/>
        <v>0</v>
      </c>
      <c r="J3884" s="31">
        <f t="shared" si="4579"/>
        <v>0</v>
      </c>
      <c r="K3884" s="31">
        <f t="shared" si="4580"/>
        <v>0</v>
      </c>
      <c r="L3884" s="31">
        <f t="shared" si="4581"/>
        <v>1.38645</v>
      </c>
      <c r="M3884" s="31">
        <f t="shared" si="4582"/>
        <v>0</v>
      </c>
      <c r="N3884" s="31">
        <f t="shared" si="4583"/>
        <v>0</v>
      </c>
      <c r="O3884" s="31">
        <f t="shared" si="4584"/>
        <v>0</v>
      </c>
      <c r="P3884" s="31">
        <f t="shared" si="4585"/>
        <v>0</v>
      </c>
      <c r="Q3884" s="49">
        <f t="shared" si="4586"/>
        <v>0</v>
      </c>
    </row>
    <row r="3885" spans="4:17" s="62" customFormat="1" x14ac:dyDescent="0.3">
      <c r="D3885" s="235">
        <v>11</v>
      </c>
      <c r="E3885" s="240">
        <v>2</v>
      </c>
      <c r="F3885" s="241">
        <v>8</v>
      </c>
      <c r="G3885" s="242">
        <v>6.94</v>
      </c>
      <c r="H3885" s="239">
        <f t="shared" si="4577"/>
        <v>13.88</v>
      </c>
      <c r="I3885" s="131">
        <f t="shared" si="4578"/>
        <v>0</v>
      </c>
      <c r="J3885" s="31">
        <f t="shared" si="4579"/>
        <v>0</v>
      </c>
      <c r="K3885" s="31">
        <f t="shared" si="4580"/>
        <v>0</v>
      </c>
      <c r="L3885" s="31">
        <f t="shared" si="4581"/>
        <v>5.4826000000000006</v>
      </c>
      <c r="M3885" s="31">
        <f t="shared" si="4582"/>
        <v>0</v>
      </c>
      <c r="N3885" s="31">
        <f t="shared" si="4583"/>
        <v>0</v>
      </c>
      <c r="O3885" s="31">
        <f t="shared" si="4584"/>
        <v>0</v>
      </c>
      <c r="P3885" s="31">
        <f t="shared" si="4585"/>
        <v>0</v>
      </c>
      <c r="Q3885" s="49">
        <f t="shared" si="4586"/>
        <v>0</v>
      </c>
    </row>
    <row r="3886" spans="4:17" s="62" customFormat="1" x14ac:dyDescent="0.3">
      <c r="D3886" s="235">
        <v>30</v>
      </c>
      <c r="E3886" s="240">
        <v>2</v>
      </c>
      <c r="F3886" s="241">
        <v>10</v>
      </c>
      <c r="G3886" s="242">
        <v>6.59</v>
      </c>
      <c r="H3886" s="239">
        <f t="shared" si="4577"/>
        <v>13.18</v>
      </c>
      <c r="I3886" s="131">
        <f t="shared" si="4578"/>
        <v>0</v>
      </c>
      <c r="J3886" s="31">
        <f t="shared" si="4579"/>
        <v>0</v>
      </c>
      <c r="K3886" s="31">
        <f t="shared" si="4580"/>
        <v>0</v>
      </c>
      <c r="L3886" s="31">
        <f t="shared" si="4581"/>
        <v>0</v>
      </c>
      <c r="M3886" s="31">
        <f t="shared" si="4582"/>
        <v>8.1320599999999992</v>
      </c>
      <c r="N3886" s="31">
        <f t="shared" si="4583"/>
        <v>0</v>
      </c>
      <c r="O3886" s="31">
        <f t="shared" si="4584"/>
        <v>0</v>
      </c>
      <c r="P3886" s="31">
        <f t="shared" si="4585"/>
        <v>0</v>
      </c>
      <c r="Q3886" s="49">
        <f t="shared" si="4586"/>
        <v>0</v>
      </c>
    </row>
    <row r="3887" spans="4:17" s="62" customFormat="1" ht="15" thickBot="1" x14ac:dyDescent="0.35">
      <c r="D3887" s="307"/>
      <c r="E3887" s="26"/>
      <c r="F3887" s="206"/>
      <c r="G3887" s="207"/>
      <c r="H3887" s="207"/>
      <c r="I3887" s="51"/>
      <c r="J3887" s="308"/>
      <c r="K3887" s="308"/>
      <c r="L3887" s="308"/>
      <c r="M3887" s="308"/>
      <c r="N3887" s="308"/>
      <c r="O3887" s="308"/>
      <c r="P3887" s="308"/>
      <c r="Q3887" s="309"/>
    </row>
    <row r="3888" spans="4:17" s="62" customFormat="1" x14ac:dyDescent="0.3">
      <c r="D3888" s="796" t="s">
        <v>2234</v>
      </c>
      <c r="E3888" s="797"/>
      <c r="F3888" s="797"/>
      <c r="G3888" s="797"/>
      <c r="H3888" s="797"/>
      <c r="I3888" s="47">
        <f t="shared" ref="I3888:Q3888" si="4587">SUM(I3889:I3891)</f>
        <v>0</v>
      </c>
      <c r="J3888" s="47">
        <f t="shared" si="4587"/>
        <v>1.1858</v>
      </c>
      <c r="K3888" s="47">
        <f t="shared" si="4587"/>
        <v>0</v>
      </c>
      <c r="L3888" s="47">
        <f t="shared" si="4587"/>
        <v>1.6669</v>
      </c>
      <c r="M3888" s="47">
        <f t="shared" si="4587"/>
        <v>2.2582200000000001</v>
      </c>
      <c r="N3888" s="47">
        <f t="shared" si="4587"/>
        <v>0</v>
      </c>
      <c r="O3888" s="47">
        <f t="shared" si="4587"/>
        <v>0</v>
      </c>
      <c r="P3888" s="47">
        <f t="shared" si="4587"/>
        <v>0</v>
      </c>
      <c r="Q3888" s="47">
        <f t="shared" si="4587"/>
        <v>0</v>
      </c>
    </row>
    <row r="3889" spans="4:17" s="62" customFormat="1" x14ac:dyDescent="0.3">
      <c r="D3889" s="235">
        <v>2</v>
      </c>
      <c r="E3889" s="237">
        <v>10</v>
      </c>
      <c r="F3889" s="238">
        <v>5</v>
      </c>
      <c r="G3889" s="239">
        <v>0.77</v>
      </c>
      <c r="H3889" s="239">
        <f t="shared" ref="H3889:H3891" si="4588">E3889*G3889</f>
        <v>7.7</v>
      </c>
      <c r="I3889" s="131">
        <f t="shared" ref="I3889:I3891" si="4589">IF($F3889=4.2,H3889*$B$23,0)</f>
        <v>0</v>
      </c>
      <c r="J3889" s="31">
        <f t="shared" ref="J3889:J3891" si="4590">IF($F3889=5,$H3889*$B$24,0)</f>
        <v>1.1858</v>
      </c>
      <c r="K3889" s="31">
        <f t="shared" ref="K3889:K3891" si="4591">IF($F3889=6.3,$H3889*$B$25,0)</f>
        <v>0</v>
      </c>
      <c r="L3889" s="31">
        <f t="shared" ref="L3889:L3891" si="4592">IF($F3889=8,$H3889*$B$26,0)</f>
        <v>0</v>
      </c>
      <c r="M3889" s="31">
        <f t="shared" ref="M3889:M3891" si="4593">IF($F3889=10,$H3889*$B$27,0)</f>
        <v>0</v>
      </c>
      <c r="N3889" s="31">
        <f t="shared" ref="N3889:N3891" si="4594">IF($F3889=12.5,$H3889*$B$28,0)</f>
        <v>0</v>
      </c>
      <c r="O3889" s="31">
        <f t="shared" ref="O3889:O3891" si="4595">IF($F3889=16,$H3889*$B$29,0)</f>
        <v>0</v>
      </c>
      <c r="P3889" s="31">
        <f t="shared" ref="P3889:P3891" si="4596">IF($F3889=20,$H3889*$B$30,0)</f>
        <v>0</v>
      </c>
      <c r="Q3889" s="49">
        <f t="shared" ref="Q3889:Q3891" si="4597">IF($F3889=25,$H3889*$B$31,0)</f>
        <v>0</v>
      </c>
    </row>
    <row r="3890" spans="4:17" s="62" customFormat="1" x14ac:dyDescent="0.3">
      <c r="D3890" s="235">
        <v>12</v>
      </c>
      <c r="E3890" s="240">
        <v>2</v>
      </c>
      <c r="F3890" s="241">
        <v>8</v>
      </c>
      <c r="G3890" s="242">
        <v>2.11</v>
      </c>
      <c r="H3890" s="239">
        <f t="shared" si="4588"/>
        <v>4.22</v>
      </c>
      <c r="I3890" s="131">
        <f t="shared" si="4589"/>
        <v>0</v>
      </c>
      <c r="J3890" s="31">
        <f t="shared" si="4590"/>
        <v>0</v>
      </c>
      <c r="K3890" s="31">
        <f t="shared" si="4591"/>
        <v>0</v>
      </c>
      <c r="L3890" s="31">
        <f t="shared" si="4592"/>
        <v>1.6669</v>
      </c>
      <c r="M3890" s="31">
        <f t="shared" si="4593"/>
        <v>0</v>
      </c>
      <c r="N3890" s="31">
        <f t="shared" si="4594"/>
        <v>0</v>
      </c>
      <c r="O3890" s="31">
        <f t="shared" si="4595"/>
        <v>0</v>
      </c>
      <c r="P3890" s="31">
        <f t="shared" si="4596"/>
        <v>0</v>
      </c>
      <c r="Q3890" s="49">
        <f t="shared" si="4597"/>
        <v>0</v>
      </c>
    </row>
    <row r="3891" spans="4:17" s="62" customFormat="1" x14ac:dyDescent="0.3">
      <c r="D3891" s="235">
        <v>31</v>
      </c>
      <c r="E3891" s="240">
        <v>2</v>
      </c>
      <c r="F3891" s="241">
        <v>10</v>
      </c>
      <c r="G3891" s="242">
        <v>1.83</v>
      </c>
      <c r="H3891" s="239">
        <f t="shared" si="4588"/>
        <v>3.66</v>
      </c>
      <c r="I3891" s="131">
        <f t="shared" si="4589"/>
        <v>0</v>
      </c>
      <c r="J3891" s="31">
        <f t="shared" si="4590"/>
        <v>0</v>
      </c>
      <c r="K3891" s="31">
        <f t="shared" si="4591"/>
        <v>0</v>
      </c>
      <c r="L3891" s="31">
        <f t="shared" si="4592"/>
        <v>0</v>
      </c>
      <c r="M3891" s="31">
        <f t="shared" si="4593"/>
        <v>2.2582200000000001</v>
      </c>
      <c r="N3891" s="31">
        <f t="shared" si="4594"/>
        <v>0</v>
      </c>
      <c r="O3891" s="31">
        <f t="shared" si="4595"/>
        <v>0</v>
      </c>
      <c r="P3891" s="31">
        <f t="shared" si="4596"/>
        <v>0</v>
      </c>
      <c r="Q3891" s="49">
        <f t="shared" si="4597"/>
        <v>0</v>
      </c>
    </row>
    <row r="3892" spans="4:17" s="62" customFormat="1" ht="15" thickBot="1" x14ac:dyDescent="0.35">
      <c r="D3892" s="307"/>
      <c r="E3892" s="26"/>
      <c r="F3892" s="206"/>
      <c r="G3892" s="207"/>
      <c r="H3892" s="207"/>
      <c r="I3892" s="51"/>
      <c r="J3892" s="308"/>
      <c r="K3892" s="308"/>
      <c r="L3892" s="308"/>
      <c r="M3892" s="308"/>
      <c r="N3892" s="308"/>
      <c r="O3892" s="308"/>
      <c r="P3892" s="308"/>
      <c r="Q3892" s="309"/>
    </row>
    <row r="3893" spans="4:17" s="62" customFormat="1" x14ac:dyDescent="0.3">
      <c r="D3893" s="796" t="s">
        <v>2235</v>
      </c>
      <c r="E3893" s="797"/>
      <c r="F3893" s="797"/>
      <c r="G3893" s="797"/>
      <c r="H3893" s="797"/>
      <c r="I3893" s="47">
        <f t="shared" ref="I3893:Q3893" si="4598">SUM(I3894:I3896)</f>
        <v>0</v>
      </c>
      <c r="J3893" s="47">
        <f t="shared" si="4598"/>
        <v>0.71148</v>
      </c>
      <c r="K3893" s="47">
        <f t="shared" si="4598"/>
        <v>0</v>
      </c>
      <c r="L3893" s="47">
        <f t="shared" si="4598"/>
        <v>0</v>
      </c>
      <c r="M3893" s="47">
        <f t="shared" si="4598"/>
        <v>1.57952</v>
      </c>
      <c r="N3893" s="47">
        <f t="shared" si="4598"/>
        <v>3.4668000000000001</v>
      </c>
      <c r="O3893" s="47">
        <f t="shared" si="4598"/>
        <v>0</v>
      </c>
      <c r="P3893" s="47">
        <f t="shared" si="4598"/>
        <v>0</v>
      </c>
      <c r="Q3893" s="47">
        <f t="shared" si="4598"/>
        <v>0</v>
      </c>
    </row>
    <row r="3894" spans="4:17" s="62" customFormat="1" x14ac:dyDescent="0.3">
      <c r="D3894" s="235">
        <v>2</v>
      </c>
      <c r="E3894" s="237">
        <v>6</v>
      </c>
      <c r="F3894" s="238">
        <v>5</v>
      </c>
      <c r="G3894" s="239">
        <v>0.77</v>
      </c>
      <c r="H3894" s="239">
        <f t="shared" ref="H3894:H3896" si="4599">E3894*G3894</f>
        <v>4.62</v>
      </c>
      <c r="I3894" s="131">
        <f t="shared" ref="I3894:I3896" si="4600">IF($F3894=4.2,H3894*$B$23,0)</f>
        <v>0</v>
      </c>
      <c r="J3894" s="31">
        <f t="shared" ref="J3894:J3896" si="4601">IF($F3894=5,$H3894*$B$24,0)</f>
        <v>0.71148</v>
      </c>
      <c r="K3894" s="31">
        <f t="shared" ref="K3894:K3896" si="4602">IF($F3894=6.3,$H3894*$B$25,0)</f>
        <v>0</v>
      </c>
      <c r="L3894" s="31">
        <f t="shared" ref="L3894:L3896" si="4603">IF($F3894=8,$H3894*$B$26,0)</f>
        <v>0</v>
      </c>
      <c r="M3894" s="31">
        <f t="shared" ref="M3894:M3896" si="4604">IF($F3894=10,$H3894*$B$27,0)</f>
        <v>0</v>
      </c>
      <c r="N3894" s="31">
        <f t="shared" ref="N3894:N3896" si="4605">IF($F3894=12.5,$H3894*$B$28,0)</f>
        <v>0</v>
      </c>
      <c r="O3894" s="31">
        <f t="shared" ref="O3894:O3896" si="4606">IF($F3894=16,$H3894*$B$29,0)</f>
        <v>0</v>
      </c>
      <c r="P3894" s="31">
        <f t="shared" ref="P3894:P3896" si="4607">IF($F3894=20,$H3894*$B$30,0)</f>
        <v>0</v>
      </c>
      <c r="Q3894" s="49">
        <f t="shared" ref="Q3894:Q3896" si="4608">IF($F3894=25,$H3894*$B$31,0)</f>
        <v>0</v>
      </c>
    </row>
    <row r="3895" spans="4:17" s="62" customFormat="1" x14ac:dyDescent="0.3">
      <c r="D3895" s="235">
        <v>32</v>
      </c>
      <c r="E3895" s="240">
        <v>2</v>
      </c>
      <c r="F3895" s="241">
        <v>10</v>
      </c>
      <c r="G3895" s="242">
        <v>1.28</v>
      </c>
      <c r="H3895" s="239">
        <f t="shared" si="4599"/>
        <v>2.56</v>
      </c>
      <c r="I3895" s="131">
        <f t="shared" si="4600"/>
        <v>0</v>
      </c>
      <c r="J3895" s="31">
        <f t="shared" si="4601"/>
        <v>0</v>
      </c>
      <c r="K3895" s="31">
        <f t="shared" si="4602"/>
        <v>0</v>
      </c>
      <c r="L3895" s="31">
        <f t="shared" si="4603"/>
        <v>0</v>
      </c>
      <c r="M3895" s="31">
        <f t="shared" si="4604"/>
        <v>1.57952</v>
      </c>
      <c r="N3895" s="31">
        <f t="shared" si="4605"/>
        <v>0</v>
      </c>
      <c r="O3895" s="31">
        <f t="shared" si="4606"/>
        <v>0</v>
      </c>
      <c r="P3895" s="31">
        <f t="shared" si="4607"/>
        <v>0</v>
      </c>
      <c r="Q3895" s="49">
        <f t="shared" si="4608"/>
        <v>0</v>
      </c>
    </row>
    <row r="3896" spans="4:17" s="62" customFormat="1" x14ac:dyDescent="0.3">
      <c r="D3896" s="235">
        <v>33</v>
      </c>
      <c r="E3896" s="240">
        <v>2</v>
      </c>
      <c r="F3896" s="241">
        <v>12.5</v>
      </c>
      <c r="G3896" s="242">
        <v>1.8</v>
      </c>
      <c r="H3896" s="239">
        <f t="shared" si="4599"/>
        <v>3.6</v>
      </c>
      <c r="I3896" s="131">
        <f t="shared" si="4600"/>
        <v>0</v>
      </c>
      <c r="J3896" s="31">
        <f t="shared" si="4601"/>
        <v>0</v>
      </c>
      <c r="K3896" s="31">
        <f t="shared" si="4602"/>
        <v>0</v>
      </c>
      <c r="L3896" s="31">
        <f t="shared" si="4603"/>
        <v>0</v>
      </c>
      <c r="M3896" s="31">
        <f t="shared" si="4604"/>
        <v>0</v>
      </c>
      <c r="N3896" s="31">
        <f t="shared" si="4605"/>
        <v>3.4668000000000001</v>
      </c>
      <c r="O3896" s="31">
        <f t="shared" si="4606"/>
        <v>0</v>
      </c>
      <c r="P3896" s="31">
        <f t="shared" si="4607"/>
        <v>0</v>
      </c>
      <c r="Q3896" s="49">
        <f t="shared" si="4608"/>
        <v>0</v>
      </c>
    </row>
    <row r="3897" spans="4:17" s="62" customFormat="1" ht="15" thickBot="1" x14ac:dyDescent="0.35">
      <c r="D3897" s="307"/>
      <c r="E3897" s="26"/>
      <c r="F3897" s="206"/>
      <c r="G3897" s="207"/>
      <c r="H3897" s="207"/>
      <c r="I3897" s="51"/>
      <c r="J3897" s="308"/>
      <c r="K3897" s="308"/>
      <c r="L3897" s="308"/>
      <c r="M3897" s="308"/>
      <c r="N3897" s="308"/>
      <c r="O3897" s="308"/>
      <c r="P3897" s="308"/>
      <c r="Q3897" s="309"/>
    </row>
    <row r="3898" spans="4:17" s="62" customFormat="1" x14ac:dyDescent="0.3">
      <c r="D3898" s="796" t="s">
        <v>2236</v>
      </c>
      <c r="E3898" s="797"/>
      <c r="F3898" s="797"/>
      <c r="G3898" s="797"/>
      <c r="H3898" s="797"/>
      <c r="I3898" s="47">
        <f t="shared" ref="I3898:Q3898" si="4609">SUM(I3899:I3901)</f>
        <v>0</v>
      </c>
      <c r="J3898" s="47">
        <f t="shared" si="4609"/>
        <v>0.71148</v>
      </c>
      <c r="K3898" s="47">
        <f t="shared" si="4609"/>
        <v>0</v>
      </c>
      <c r="L3898" s="47">
        <f t="shared" si="4609"/>
        <v>1.2719</v>
      </c>
      <c r="M3898" s="47">
        <f t="shared" si="4609"/>
        <v>1.57952</v>
      </c>
      <c r="N3898" s="47">
        <f t="shared" si="4609"/>
        <v>0</v>
      </c>
      <c r="O3898" s="47">
        <f t="shared" si="4609"/>
        <v>0</v>
      </c>
      <c r="P3898" s="47">
        <f t="shared" si="4609"/>
        <v>0</v>
      </c>
      <c r="Q3898" s="47">
        <f t="shared" si="4609"/>
        <v>0</v>
      </c>
    </row>
    <row r="3899" spans="4:17" s="62" customFormat="1" x14ac:dyDescent="0.3">
      <c r="D3899" s="235">
        <v>2</v>
      </c>
      <c r="E3899" s="237">
        <v>6</v>
      </c>
      <c r="F3899" s="238">
        <v>5</v>
      </c>
      <c r="G3899" s="239">
        <v>0.77</v>
      </c>
      <c r="H3899" s="239">
        <f t="shared" ref="H3899:H3901" si="4610">E3899*G3899</f>
        <v>4.62</v>
      </c>
      <c r="I3899" s="131">
        <f t="shared" ref="I3899:I3901" si="4611">IF($F3899=4.2,H3899*$B$23,0)</f>
        <v>0</v>
      </c>
      <c r="J3899" s="31">
        <f t="shared" ref="J3899:J3901" si="4612">IF($F3899=5,$H3899*$B$24,0)</f>
        <v>0.71148</v>
      </c>
      <c r="K3899" s="31">
        <f t="shared" ref="K3899:K3901" si="4613">IF($F3899=6.3,$H3899*$B$25,0)</f>
        <v>0</v>
      </c>
      <c r="L3899" s="31">
        <f t="shared" ref="L3899:L3901" si="4614">IF($F3899=8,$H3899*$B$26,0)</f>
        <v>0</v>
      </c>
      <c r="M3899" s="31">
        <f t="shared" ref="M3899:M3901" si="4615">IF($F3899=10,$H3899*$B$27,0)</f>
        <v>0</v>
      </c>
      <c r="N3899" s="31">
        <f t="shared" ref="N3899:N3901" si="4616">IF($F3899=12.5,$H3899*$B$28,0)</f>
        <v>0</v>
      </c>
      <c r="O3899" s="31">
        <f t="shared" ref="O3899:O3901" si="4617">IF($F3899=16,$H3899*$B$29,0)</f>
        <v>0</v>
      </c>
      <c r="P3899" s="31">
        <f t="shared" ref="P3899:P3901" si="4618">IF($F3899=20,$H3899*$B$30,0)</f>
        <v>0</v>
      </c>
      <c r="Q3899" s="49">
        <f t="shared" ref="Q3899:Q3901" si="4619">IF($F3899=25,$H3899*$B$31,0)</f>
        <v>0</v>
      </c>
    </row>
    <row r="3900" spans="4:17" s="62" customFormat="1" x14ac:dyDescent="0.3">
      <c r="D3900" s="235">
        <v>13</v>
      </c>
      <c r="E3900" s="240">
        <v>2</v>
      </c>
      <c r="F3900" s="241">
        <v>8</v>
      </c>
      <c r="G3900" s="242">
        <v>1.61</v>
      </c>
      <c r="H3900" s="239">
        <f t="shared" si="4610"/>
        <v>3.22</v>
      </c>
      <c r="I3900" s="131">
        <f t="shared" si="4611"/>
        <v>0</v>
      </c>
      <c r="J3900" s="31">
        <f t="shared" si="4612"/>
        <v>0</v>
      </c>
      <c r="K3900" s="31">
        <f t="shared" si="4613"/>
        <v>0</v>
      </c>
      <c r="L3900" s="31">
        <f t="shared" si="4614"/>
        <v>1.2719</v>
      </c>
      <c r="M3900" s="31">
        <f t="shared" si="4615"/>
        <v>0</v>
      </c>
      <c r="N3900" s="31">
        <f t="shared" si="4616"/>
        <v>0</v>
      </c>
      <c r="O3900" s="31">
        <f t="shared" si="4617"/>
        <v>0</v>
      </c>
      <c r="P3900" s="31">
        <f t="shared" si="4618"/>
        <v>0</v>
      </c>
      <c r="Q3900" s="49">
        <f t="shared" si="4619"/>
        <v>0</v>
      </c>
    </row>
    <row r="3901" spans="4:17" s="62" customFormat="1" x14ac:dyDescent="0.3">
      <c r="D3901" s="235">
        <v>32</v>
      </c>
      <c r="E3901" s="240">
        <v>2</v>
      </c>
      <c r="F3901" s="241">
        <v>10</v>
      </c>
      <c r="G3901" s="242">
        <v>1.28</v>
      </c>
      <c r="H3901" s="239">
        <f t="shared" si="4610"/>
        <v>2.56</v>
      </c>
      <c r="I3901" s="131">
        <f t="shared" si="4611"/>
        <v>0</v>
      </c>
      <c r="J3901" s="31">
        <f t="shared" si="4612"/>
        <v>0</v>
      </c>
      <c r="K3901" s="31">
        <f t="shared" si="4613"/>
        <v>0</v>
      </c>
      <c r="L3901" s="31">
        <f t="shared" si="4614"/>
        <v>0</v>
      </c>
      <c r="M3901" s="31">
        <f t="shared" si="4615"/>
        <v>1.57952</v>
      </c>
      <c r="N3901" s="31">
        <f t="shared" si="4616"/>
        <v>0</v>
      </c>
      <c r="O3901" s="31">
        <f t="shared" si="4617"/>
        <v>0</v>
      </c>
      <c r="P3901" s="31">
        <f t="shared" si="4618"/>
        <v>0</v>
      </c>
      <c r="Q3901" s="49">
        <f t="shared" si="4619"/>
        <v>0</v>
      </c>
    </row>
    <row r="3902" spans="4:17" s="62" customFormat="1" ht="15" thickBot="1" x14ac:dyDescent="0.35">
      <c r="D3902" s="307"/>
      <c r="E3902" s="26"/>
      <c r="F3902" s="206"/>
      <c r="G3902" s="207"/>
      <c r="H3902" s="207"/>
      <c r="I3902" s="51"/>
      <c r="J3902" s="308"/>
      <c r="K3902" s="308"/>
      <c r="L3902" s="308"/>
      <c r="M3902" s="308"/>
      <c r="N3902" s="308"/>
      <c r="O3902" s="308"/>
      <c r="P3902" s="308"/>
      <c r="Q3902" s="309"/>
    </row>
    <row r="3903" spans="4:17" s="62" customFormat="1" x14ac:dyDescent="0.3">
      <c r="D3903" s="796" t="s">
        <v>2237</v>
      </c>
      <c r="E3903" s="797"/>
      <c r="F3903" s="797"/>
      <c r="G3903" s="797"/>
      <c r="H3903" s="797"/>
      <c r="I3903" s="47">
        <f t="shared" ref="I3903:Q3903" si="4620">SUM(I3904:I3915)</f>
        <v>0</v>
      </c>
      <c r="J3903" s="47">
        <f t="shared" si="4620"/>
        <v>14.348179999999999</v>
      </c>
      <c r="K3903" s="47">
        <f t="shared" si="4620"/>
        <v>0</v>
      </c>
      <c r="L3903" s="47">
        <f t="shared" si="4620"/>
        <v>30.367600000000003</v>
      </c>
      <c r="M3903" s="47">
        <f t="shared" si="4620"/>
        <v>0</v>
      </c>
      <c r="N3903" s="47">
        <f t="shared" si="4620"/>
        <v>0</v>
      </c>
      <c r="O3903" s="47">
        <f t="shared" si="4620"/>
        <v>0</v>
      </c>
      <c r="P3903" s="47">
        <f t="shared" si="4620"/>
        <v>0</v>
      </c>
      <c r="Q3903" s="47">
        <f t="shared" si="4620"/>
        <v>0</v>
      </c>
    </row>
    <row r="3904" spans="4:17" s="62" customFormat="1" x14ac:dyDescent="0.3">
      <c r="D3904" s="235">
        <v>2</v>
      </c>
      <c r="E3904" s="237">
        <v>121</v>
      </c>
      <c r="F3904" s="238">
        <v>5</v>
      </c>
      <c r="G3904" s="239">
        <v>0.77</v>
      </c>
      <c r="H3904" s="239">
        <f t="shared" ref="H3904:H3915" si="4621">E3904*G3904</f>
        <v>93.17</v>
      </c>
      <c r="I3904" s="131">
        <f t="shared" ref="I3904:I3915" si="4622">IF($F3904=4.2,H3904*$B$23,0)</f>
        <v>0</v>
      </c>
      <c r="J3904" s="31">
        <f t="shared" ref="J3904:J3915" si="4623">IF($F3904=5,$H3904*$B$24,0)</f>
        <v>14.348179999999999</v>
      </c>
      <c r="K3904" s="31">
        <f t="shared" ref="K3904:K3915" si="4624">IF($F3904=6.3,$H3904*$B$25,0)</f>
        <v>0</v>
      </c>
      <c r="L3904" s="31">
        <f t="shared" ref="L3904:L3915" si="4625">IF($F3904=8,$H3904*$B$26,0)</f>
        <v>0</v>
      </c>
      <c r="M3904" s="31">
        <f t="shared" ref="M3904:M3915" si="4626">IF($F3904=10,$H3904*$B$27,0)</f>
        <v>0</v>
      </c>
      <c r="N3904" s="31">
        <f t="shared" ref="N3904:N3915" si="4627">IF($F3904=12.5,$H3904*$B$28,0)</f>
        <v>0</v>
      </c>
      <c r="O3904" s="31">
        <f t="shared" ref="O3904:O3915" si="4628">IF($F3904=16,$H3904*$B$29,0)</f>
        <v>0</v>
      </c>
      <c r="P3904" s="31">
        <f t="shared" ref="P3904:P3915" si="4629">IF($F3904=20,$H3904*$B$30,0)</f>
        <v>0</v>
      </c>
      <c r="Q3904" s="49">
        <f t="shared" ref="Q3904:Q3915" si="4630">IF($F3904=25,$H3904*$B$31,0)</f>
        <v>0</v>
      </c>
    </row>
    <row r="3905" spans="4:17" s="62" customFormat="1" x14ac:dyDescent="0.3">
      <c r="D3905" s="235">
        <v>8</v>
      </c>
      <c r="E3905" s="240">
        <v>2</v>
      </c>
      <c r="F3905" s="241">
        <v>8</v>
      </c>
      <c r="G3905" s="242">
        <v>11.98</v>
      </c>
      <c r="H3905" s="239">
        <f t="shared" si="4621"/>
        <v>23.96</v>
      </c>
      <c r="I3905" s="131">
        <f t="shared" si="4622"/>
        <v>0</v>
      </c>
      <c r="J3905" s="31">
        <f t="shared" si="4623"/>
        <v>0</v>
      </c>
      <c r="K3905" s="31">
        <f t="shared" si="4624"/>
        <v>0</v>
      </c>
      <c r="L3905" s="31">
        <f t="shared" si="4625"/>
        <v>9.4641999999999999</v>
      </c>
      <c r="M3905" s="31">
        <f t="shared" si="4626"/>
        <v>0</v>
      </c>
      <c r="N3905" s="31">
        <f t="shared" si="4627"/>
        <v>0</v>
      </c>
      <c r="O3905" s="31">
        <f t="shared" si="4628"/>
        <v>0</v>
      </c>
      <c r="P3905" s="31">
        <f t="shared" si="4629"/>
        <v>0</v>
      </c>
      <c r="Q3905" s="49">
        <f t="shared" si="4630"/>
        <v>0</v>
      </c>
    </row>
    <row r="3906" spans="4:17" s="62" customFormat="1" x14ac:dyDescent="0.3">
      <c r="D3906" s="235">
        <v>14</v>
      </c>
      <c r="E3906" s="240">
        <v>2</v>
      </c>
      <c r="F3906" s="241">
        <v>8</v>
      </c>
      <c r="G3906" s="242">
        <v>8.07</v>
      </c>
      <c r="H3906" s="239">
        <f t="shared" si="4621"/>
        <v>16.14</v>
      </c>
      <c r="I3906" s="131">
        <f t="shared" si="4622"/>
        <v>0</v>
      </c>
      <c r="J3906" s="31">
        <f t="shared" si="4623"/>
        <v>0</v>
      </c>
      <c r="K3906" s="31">
        <f t="shared" si="4624"/>
        <v>0</v>
      </c>
      <c r="L3906" s="31">
        <f t="shared" si="4625"/>
        <v>6.3753000000000002</v>
      </c>
      <c r="M3906" s="31">
        <f t="shared" si="4626"/>
        <v>0</v>
      </c>
      <c r="N3906" s="31">
        <f t="shared" si="4627"/>
        <v>0</v>
      </c>
      <c r="O3906" s="31">
        <f t="shared" si="4628"/>
        <v>0</v>
      </c>
      <c r="P3906" s="31">
        <f t="shared" si="4629"/>
        <v>0</v>
      </c>
      <c r="Q3906" s="49">
        <f t="shared" si="4630"/>
        <v>0</v>
      </c>
    </row>
    <row r="3907" spans="4:17" s="62" customFormat="1" x14ac:dyDescent="0.3">
      <c r="D3907" s="235">
        <v>15</v>
      </c>
      <c r="E3907" s="240">
        <v>2</v>
      </c>
      <c r="F3907" s="241">
        <v>8</v>
      </c>
      <c r="G3907" s="242">
        <v>10.85</v>
      </c>
      <c r="H3907" s="239">
        <f t="shared" si="4621"/>
        <v>21.7</v>
      </c>
      <c r="I3907" s="131">
        <f t="shared" si="4622"/>
        <v>0</v>
      </c>
      <c r="J3907" s="31">
        <f t="shared" si="4623"/>
        <v>0</v>
      </c>
      <c r="K3907" s="31">
        <f t="shared" si="4624"/>
        <v>0</v>
      </c>
      <c r="L3907" s="31">
        <f t="shared" si="4625"/>
        <v>8.5715000000000003</v>
      </c>
      <c r="M3907" s="31">
        <f t="shared" si="4626"/>
        <v>0</v>
      </c>
      <c r="N3907" s="31">
        <f t="shared" si="4627"/>
        <v>0</v>
      </c>
      <c r="O3907" s="31">
        <f t="shared" si="4628"/>
        <v>0</v>
      </c>
      <c r="P3907" s="31">
        <f t="shared" si="4629"/>
        <v>0</v>
      </c>
      <c r="Q3907" s="49">
        <f t="shared" si="4630"/>
        <v>0</v>
      </c>
    </row>
    <row r="3908" spans="4:17" s="62" customFormat="1" x14ac:dyDescent="0.3">
      <c r="D3908" s="235">
        <v>16</v>
      </c>
      <c r="E3908" s="240">
        <v>2</v>
      </c>
      <c r="F3908" s="241">
        <v>8</v>
      </c>
      <c r="G3908" s="242">
        <v>7.54</v>
      </c>
      <c r="H3908" s="239">
        <f t="shared" si="4621"/>
        <v>15.08</v>
      </c>
      <c r="I3908" s="131">
        <f t="shared" si="4622"/>
        <v>0</v>
      </c>
      <c r="J3908" s="31">
        <f t="shared" si="4623"/>
        <v>0</v>
      </c>
      <c r="K3908" s="31">
        <f t="shared" si="4624"/>
        <v>0</v>
      </c>
      <c r="L3908" s="31">
        <f t="shared" si="4625"/>
        <v>5.9565999999999999</v>
      </c>
      <c r="M3908" s="31">
        <f t="shared" si="4626"/>
        <v>0</v>
      </c>
      <c r="N3908" s="31">
        <f t="shared" si="4627"/>
        <v>0</v>
      </c>
      <c r="O3908" s="31">
        <f t="shared" si="4628"/>
        <v>0</v>
      </c>
      <c r="P3908" s="31">
        <f t="shared" si="4629"/>
        <v>0</v>
      </c>
      <c r="Q3908" s="49">
        <f t="shared" si="4630"/>
        <v>0</v>
      </c>
    </row>
    <row r="3909" spans="4:17" s="62" customFormat="1" x14ac:dyDescent="0.3">
      <c r="D3909" s="235"/>
      <c r="E3909" s="240"/>
      <c r="F3909" s="241"/>
      <c r="G3909" s="242"/>
      <c r="H3909" s="239">
        <f t="shared" si="4621"/>
        <v>0</v>
      </c>
      <c r="I3909" s="131">
        <f t="shared" si="4622"/>
        <v>0</v>
      </c>
      <c r="J3909" s="31">
        <f t="shared" si="4623"/>
        <v>0</v>
      </c>
      <c r="K3909" s="31">
        <f t="shared" si="4624"/>
        <v>0</v>
      </c>
      <c r="L3909" s="31">
        <f t="shared" si="4625"/>
        <v>0</v>
      </c>
      <c r="M3909" s="31">
        <f t="shared" si="4626"/>
        <v>0</v>
      </c>
      <c r="N3909" s="31">
        <f t="shared" si="4627"/>
        <v>0</v>
      </c>
      <c r="O3909" s="31">
        <f t="shared" si="4628"/>
        <v>0</v>
      </c>
      <c r="P3909" s="31">
        <f t="shared" si="4629"/>
        <v>0</v>
      </c>
      <c r="Q3909" s="49">
        <f t="shared" si="4630"/>
        <v>0</v>
      </c>
    </row>
    <row r="3910" spans="4:17" s="62" customFormat="1" x14ac:dyDescent="0.3">
      <c r="D3910" s="235"/>
      <c r="E3910" s="240"/>
      <c r="F3910" s="241"/>
      <c r="G3910" s="242"/>
      <c r="H3910" s="239">
        <f t="shared" si="4621"/>
        <v>0</v>
      </c>
      <c r="I3910" s="131">
        <f t="shared" si="4622"/>
        <v>0</v>
      </c>
      <c r="J3910" s="31">
        <f t="shared" si="4623"/>
        <v>0</v>
      </c>
      <c r="K3910" s="31">
        <f t="shared" si="4624"/>
        <v>0</v>
      </c>
      <c r="L3910" s="31">
        <f t="shared" si="4625"/>
        <v>0</v>
      </c>
      <c r="M3910" s="31">
        <f t="shared" si="4626"/>
        <v>0</v>
      </c>
      <c r="N3910" s="31">
        <f t="shared" si="4627"/>
        <v>0</v>
      </c>
      <c r="O3910" s="31">
        <f t="shared" si="4628"/>
        <v>0</v>
      </c>
      <c r="P3910" s="31">
        <f t="shared" si="4629"/>
        <v>0</v>
      </c>
      <c r="Q3910" s="49">
        <f t="shared" si="4630"/>
        <v>0</v>
      </c>
    </row>
    <row r="3911" spans="4:17" s="62" customFormat="1" x14ac:dyDescent="0.3">
      <c r="D3911" s="235"/>
      <c r="E3911" s="240"/>
      <c r="F3911" s="241"/>
      <c r="G3911" s="242"/>
      <c r="H3911" s="239">
        <f t="shared" si="4621"/>
        <v>0</v>
      </c>
      <c r="I3911" s="131">
        <f t="shared" si="4622"/>
        <v>0</v>
      </c>
      <c r="J3911" s="31">
        <f t="shared" si="4623"/>
        <v>0</v>
      </c>
      <c r="K3911" s="31">
        <f t="shared" si="4624"/>
        <v>0</v>
      </c>
      <c r="L3911" s="31">
        <f t="shared" si="4625"/>
        <v>0</v>
      </c>
      <c r="M3911" s="31">
        <f t="shared" si="4626"/>
        <v>0</v>
      </c>
      <c r="N3911" s="31">
        <f t="shared" si="4627"/>
        <v>0</v>
      </c>
      <c r="O3911" s="31">
        <f t="shared" si="4628"/>
        <v>0</v>
      </c>
      <c r="P3911" s="31">
        <f t="shared" si="4629"/>
        <v>0</v>
      </c>
      <c r="Q3911" s="49">
        <f t="shared" si="4630"/>
        <v>0</v>
      </c>
    </row>
    <row r="3912" spans="4:17" s="62" customFormat="1" x14ac:dyDescent="0.3">
      <c r="D3912" s="235"/>
      <c r="E3912" s="240"/>
      <c r="F3912" s="241"/>
      <c r="G3912" s="242"/>
      <c r="H3912" s="239">
        <f t="shared" si="4621"/>
        <v>0</v>
      </c>
      <c r="I3912" s="131">
        <f t="shared" si="4622"/>
        <v>0</v>
      </c>
      <c r="J3912" s="31">
        <f t="shared" si="4623"/>
        <v>0</v>
      </c>
      <c r="K3912" s="31">
        <f t="shared" si="4624"/>
        <v>0</v>
      </c>
      <c r="L3912" s="31">
        <f t="shared" si="4625"/>
        <v>0</v>
      </c>
      <c r="M3912" s="31">
        <f t="shared" si="4626"/>
        <v>0</v>
      </c>
      <c r="N3912" s="31">
        <f t="shared" si="4627"/>
        <v>0</v>
      </c>
      <c r="O3912" s="31">
        <f t="shared" si="4628"/>
        <v>0</v>
      </c>
      <c r="P3912" s="31">
        <f t="shared" si="4629"/>
        <v>0</v>
      </c>
      <c r="Q3912" s="49">
        <f t="shared" si="4630"/>
        <v>0</v>
      </c>
    </row>
    <row r="3913" spans="4:17" s="62" customFormat="1" x14ac:dyDescent="0.3">
      <c r="D3913" s="235"/>
      <c r="E3913" s="240"/>
      <c r="F3913" s="241"/>
      <c r="G3913" s="242"/>
      <c r="H3913" s="239">
        <f t="shared" si="4621"/>
        <v>0</v>
      </c>
      <c r="I3913" s="131">
        <f t="shared" si="4622"/>
        <v>0</v>
      </c>
      <c r="J3913" s="31">
        <f t="shared" si="4623"/>
        <v>0</v>
      </c>
      <c r="K3913" s="31">
        <f t="shared" si="4624"/>
        <v>0</v>
      </c>
      <c r="L3913" s="31">
        <f t="shared" si="4625"/>
        <v>0</v>
      </c>
      <c r="M3913" s="31">
        <f t="shared" si="4626"/>
        <v>0</v>
      </c>
      <c r="N3913" s="31">
        <f t="shared" si="4627"/>
        <v>0</v>
      </c>
      <c r="O3913" s="31">
        <f t="shared" si="4628"/>
        <v>0</v>
      </c>
      <c r="P3913" s="31">
        <f t="shared" si="4629"/>
        <v>0</v>
      </c>
      <c r="Q3913" s="49">
        <f t="shared" si="4630"/>
        <v>0</v>
      </c>
    </row>
    <row r="3914" spans="4:17" s="62" customFormat="1" x14ac:dyDescent="0.3">
      <c r="D3914" s="235"/>
      <c r="E3914" s="240"/>
      <c r="F3914" s="241"/>
      <c r="G3914" s="242"/>
      <c r="H3914" s="239">
        <f t="shared" si="4621"/>
        <v>0</v>
      </c>
      <c r="I3914" s="131">
        <f t="shared" si="4622"/>
        <v>0</v>
      </c>
      <c r="J3914" s="31">
        <f t="shared" si="4623"/>
        <v>0</v>
      </c>
      <c r="K3914" s="31">
        <f t="shared" si="4624"/>
        <v>0</v>
      </c>
      <c r="L3914" s="31">
        <f t="shared" si="4625"/>
        <v>0</v>
      </c>
      <c r="M3914" s="31">
        <f t="shared" si="4626"/>
        <v>0</v>
      </c>
      <c r="N3914" s="31">
        <f t="shared" si="4627"/>
        <v>0</v>
      </c>
      <c r="O3914" s="31">
        <f t="shared" si="4628"/>
        <v>0</v>
      </c>
      <c r="P3914" s="31">
        <f t="shared" si="4629"/>
        <v>0</v>
      </c>
      <c r="Q3914" s="49">
        <f t="shared" si="4630"/>
        <v>0</v>
      </c>
    </row>
    <row r="3915" spans="4:17" s="62" customFormat="1" x14ac:dyDescent="0.3">
      <c r="D3915" s="235"/>
      <c r="E3915" s="240"/>
      <c r="F3915" s="241"/>
      <c r="G3915" s="242"/>
      <c r="H3915" s="239">
        <f t="shared" si="4621"/>
        <v>0</v>
      </c>
      <c r="I3915" s="131">
        <f t="shared" si="4622"/>
        <v>0</v>
      </c>
      <c r="J3915" s="31">
        <f t="shared" si="4623"/>
        <v>0</v>
      </c>
      <c r="K3915" s="31">
        <f t="shared" si="4624"/>
        <v>0</v>
      </c>
      <c r="L3915" s="31">
        <f t="shared" si="4625"/>
        <v>0</v>
      </c>
      <c r="M3915" s="31">
        <f t="shared" si="4626"/>
        <v>0</v>
      </c>
      <c r="N3915" s="31">
        <f t="shared" si="4627"/>
        <v>0</v>
      </c>
      <c r="O3915" s="31">
        <f t="shared" si="4628"/>
        <v>0</v>
      </c>
      <c r="P3915" s="31">
        <f t="shared" si="4629"/>
        <v>0</v>
      </c>
      <c r="Q3915" s="49">
        <f t="shared" si="4630"/>
        <v>0</v>
      </c>
    </row>
    <row r="3916" spans="4:17" s="62" customFormat="1" ht="15" thickBot="1" x14ac:dyDescent="0.35">
      <c r="D3916" s="307"/>
      <c r="E3916" s="26"/>
      <c r="F3916" s="206"/>
      <c r="G3916" s="207"/>
      <c r="H3916" s="207"/>
      <c r="I3916" s="51"/>
      <c r="J3916" s="308"/>
      <c r="K3916" s="308"/>
      <c r="L3916" s="308"/>
      <c r="M3916" s="308"/>
      <c r="N3916" s="308"/>
      <c r="O3916" s="308"/>
      <c r="P3916" s="308"/>
      <c r="Q3916" s="309"/>
    </row>
    <row r="3917" spans="4:17" s="62" customFormat="1" x14ac:dyDescent="0.3">
      <c r="D3917" s="796"/>
      <c r="E3917" s="797"/>
      <c r="F3917" s="797"/>
      <c r="G3917" s="797"/>
      <c r="H3917" s="797"/>
      <c r="I3917" s="47">
        <f t="shared" ref="I3917:Q3917" si="4631">SUM(I3918:I3929)</f>
        <v>0</v>
      </c>
      <c r="J3917" s="47">
        <f t="shared" si="4631"/>
        <v>0</v>
      </c>
      <c r="K3917" s="47">
        <f t="shared" si="4631"/>
        <v>0</v>
      </c>
      <c r="L3917" s="47">
        <f t="shared" si="4631"/>
        <v>0</v>
      </c>
      <c r="M3917" s="47">
        <f t="shared" si="4631"/>
        <v>0</v>
      </c>
      <c r="N3917" s="47">
        <f t="shared" si="4631"/>
        <v>0</v>
      </c>
      <c r="O3917" s="47">
        <f t="shared" si="4631"/>
        <v>0</v>
      </c>
      <c r="P3917" s="47">
        <f t="shared" si="4631"/>
        <v>0</v>
      </c>
      <c r="Q3917" s="47">
        <f t="shared" si="4631"/>
        <v>0</v>
      </c>
    </row>
    <row r="3918" spans="4:17" s="62" customFormat="1" x14ac:dyDescent="0.3">
      <c r="D3918" s="235"/>
      <c r="E3918" s="237"/>
      <c r="F3918" s="238"/>
      <c r="G3918" s="239"/>
      <c r="H3918" s="239">
        <f t="shared" ref="H3918:H3929" si="4632">E3918*G3918</f>
        <v>0</v>
      </c>
      <c r="I3918" s="131">
        <f t="shared" ref="I3918:I3929" si="4633">IF($F3918=4.2,H3918*$B$23,0)</f>
        <v>0</v>
      </c>
      <c r="J3918" s="31">
        <f t="shared" ref="J3918:J3929" si="4634">IF($F3918=5,$H3918*$B$24,0)</f>
        <v>0</v>
      </c>
      <c r="K3918" s="31">
        <f t="shared" ref="K3918:K3929" si="4635">IF($F3918=6.3,$H3918*$B$25,0)</f>
        <v>0</v>
      </c>
      <c r="L3918" s="31">
        <f t="shared" ref="L3918:L3929" si="4636">IF($F3918=8,$H3918*$B$26,0)</f>
        <v>0</v>
      </c>
      <c r="M3918" s="31">
        <f t="shared" ref="M3918:M3929" si="4637">IF($F3918=10,$H3918*$B$27,0)</f>
        <v>0</v>
      </c>
      <c r="N3918" s="31">
        <f t="shared" ref="N3918:N3929" si="4638">IF($F3918=12.5,$H3918*$B$28,0)</f>
        <v>0</v>
      </c>
      <c r="O3918" s="31">
        <f t="shared" ref="O3918:O3929" si="4639">IF($F3918=16,$H3918*$B$29,0)</f>
        <v>0</v>
      </c>
      <c r="P3918" s="31">
        <f t="shared" ref="P3918:P3929" si="4640">IF($F3918=20,$H3918*$B$30,0)</f>
        <v>0</v>
      </c>
      <c r="Q3918" s="49">
        <f t="shared" ref="Q3918:Q3929" si="4641">IF($F3918=25,$H3918*$B$31,0)</f>
        <v>0</v>
      </c>
    </row>
    <row r="3919" spans="4:17" s="62" customFormat="1" x14ac:dyDescent="0.3">
      <c r="D3919" s="235"/>
      <c r="E3919" s="240"/>
      <c r="F3919" s="241"/>
      <c r="G3919" s="242"/>
      <c r="H3919" s="239">
        <f t="shared" si="4632"/>
        <v>0</v>
      </c>
      <c r="I3919" s="131">
        <f t="shared" si="4633"/>
        <v>0</v>
      </c>
      <c r="J3919" s="31">
        <f t="shared" si="4634"/>
        <v>0</v>
      </c>
      <c r="K3919" s="31">
        <f t="shared" si="4635"/>
        <v>0</v>
      </c>
      <c r="L3919" s="31">
        <f t="shared" si="4636"/>
        <v>0</v>
      </c>
      <c r="M3919" s="31">
        <f t="shared" si="4637"/>
        <v>0</v>
      </c>
      <c r="N3919" s="31">
        <f t="shared" si="4638"/>
        <v>0</v>
      </c>
      <c r="O3919" s="31">
        <f t="shared" si="4639"/>
        <v>0</v>
      </c>
      <c r="P3919" s="31">
        <f t="shared" si="4640"/>
        <v>0</v>
      </c>
      <c r="Q3919" s="49">
        <f t="shared" si="4641"/>
        <v>0</v>
      </c>
    </row>
    <row r="3920" spans="4:17" s="62" customFormat="1" x14ac:dyDescent="0.3">
      <c r="D3920" s="235"/>
      <c r="E3920" s="240"/>
      <c r="F3920" s="241"/>
      <c r="G3920" s="242"/>
      <c r="H3920" s="239">
        <f t="shared" si="4632"/>
        <v>0</v>
      </c>
      <c r="I3920" s="131">
        <f t="shared" si="4633"/>
        <v>0</v>
      </c>
      <c r="J3920" s="31">
        <f t="shared" si="4634"/>
        <v>0</v>
      </c>
      <c r="K3920" s="31">
        <f t="shared" si="4635"/>
        <v>0</v>
      </c>
      <c r="L3920" s="31">
        <f t="shared" si="4636"/>
        <v>0</v>
      </c>
      <c r="M3920" s="31">
        <f t="shared" si="4637"/>
        <v>0</v>
      </c>
      <c r="N3920" s="31">
        <f t="shared" si="4638"/>
        <v>0</v>
      </c>
      <c r="O3920" s="31">
        <f t="shared" si="4639"/>
        <v>0</v>
      </c>
      <c r="P3920" s="31">
        <f t="shared" si="4640"/>
        <v>0</v>
      </c>
      <c r="Q3920" s="49">
        <f t="shared" si="4641"/>
        <v>0</v>
      </c>
    </row>
    <row r="3921" spans="4:17" s="62" customFormat="1" x14ac:dyDescent="0.3">
      <c r="D3921" s="235"/>
      <c r="E3921" s="240"/>
      <c r="F3921" s="241"/>
      <c r="G3921" s="242"/>
      <c r="H3921" s="239">
        <f t="shared" si="4632"/>
        <v>0</v>
      </c>
      <c r="I3921" s="131">
        <f t="shared" si="4633"/>
        <v>0</v>
      </c>
      <c r="J3921" s="31">
        <f t="shared" si="4634"/>
        <v>0</v>
      </c>
      <c r="K3921" s="31">
        <f t="shared" si="4635"/>
        <v>0</v>
      </c>
      <c r="L3921" s="31">
        <f t="shared" si="4636"/>
        <v>0</v>
      </c>
      <c r="M3921" s="31">
        <f t="shared" si="4637"/>
        <v>0</v>
      </c>
      <c r="N3921" s="31">
        <f t="shared" si="4638"/>
        <v>0</v>
      </c>
      <c r="O3921" s="31">
        <f t="shared" si="4639"/>
        <v>0</v>
      </c>
      <c r="P3921" s="31">
        <f t="shared" si="4640"/>
        <v>0</v>
      </c>
      <c r="Q3921" s="49">
        <f t="shared" si="4641"/>
        <v>0</v>
      </c>
    </row>
    <row r="3922" spans="4:17" s="62" customFormat="1" x14ac:dyDescent="0.3">
      <c r="D3922" s="235"/>
      <c r="E3922" s="240"/>
      <c r="F3922" s="241"/>
      <c r="G3922" s="242"/>
      <c r="H3922" s="239">
        <f t="shared" si="4632"/>
        <v>0</v>
      </c>
      <c r="I3922" s="131">
        <f t="shared" si="4633"/>
        <v>0</v>
      </c>
      <c r="J3922" s="31">
        <f t="shared" si="4634"/>
        <v>0</v>
      </c>
      <c r="K3922" s="31">
        <f t="shared" si="4635"/>
        <v>0</v>
      </c>
      <c r="L3922" s="31">
        <f t="shared" si="4636"/>
        <v>0</v>
      </c>
      <c r="M3922" s="31">
        <f t="shared" si="4637"/>
        <v>0</v>
      </c>
      <c r="N3922" s="31">
        <f t="shared" si="4638"/>
        <v>0</v>
      </c>
      <c r="O3922" s="31">
        <f t="shared" si="4639"/>
        <v>0</v>
      </c>
      <c r="P3922" s="31">
        <f t="shared" si="4640"/>
        <v>0</v>
      </c>
      <c r="Q3922" s="49">
        <f t="shared" si="4641"/>
        <v>0</v>
      </c>
    </row>
    <row r="3923" spans="4:17" s="62" customFormat="1" x14ac:dyDescent="0.3">
      <c r="D3923" s="235"/>
      <c r="E3923" s="240"/>
      <c r="F3923" s="241"/>
      <c r="G3923" s="242"/>
      <c r="H3923" s="239">
        <f t="shared" si="4632"/>
        <v>0</v>
      </c>
      <c r="I3923" s="131">
        <f t="shared" si="4633"/>
        <v>0</v>
      </c>
      <c r="J3923" s="31">
        <f t="shared" si="4634"/>
        <v>0</v>
      </c>
      <c r="K3923" s="31">
        <f t="shared" si="4635"/>
        <v>0</v>
      </c>
      <c r="L3923" s="31">
        <f t="shared" si="4636"/>
        <v>0</v>
      </c>
      <c r="M3923" s="31">
        <f t="shared" si="4637"/>
        <v>0</v>
      </c>
      <c r="N3923" s="31">
        <f t="shared" si="4638"/>
        <v>0</v>
      </c>
      <c r="O3923" s="31">
        <f t="shared" si="4639"/>
        <v>0</v>
      </c>
      <c r="P3923" s="31">
        <f t="shared" si="4640"/>
        <v>0</v>
      </c>
      <c r="Q3923" s="49">
        <f t="shared" si="4641"/>
        <v>0</v>
      </c>
    </row>
    <row r="3924" spans="4:17" s="62" customFormat="1" x14ac:dyDescent="0.3">
      <c r="D3924" s="235"/>
      <c r="E3924" s="240"/>
      <c r="F3924" s="241"/>
      <c r="G3924" s="242"/>
      <c r="H3924" s="239">
        <f t="shared" si="4632"/>
        <v>0</v>
      </c>
      <c r="I3924" s="131">
        <f t="shared" si="4633"/>
        <v>0</v>
      </c>
      <c r="J3924" s="31">
        <f t="shared" si="4634"/>
        <v>0</v>
      </c>
      <c r="K3924" s="31">
        <f t="shared" si="4635"/>
        <v>0</v>
      </c>
      <c r="L3924" s="31">
        <f t="shared" si="4636"/>
        <v>0</v>
      </c>
      <c r="M3924" s="31">
        <f t="shared" si="4637"/>
        <v>0</v>
      </c>
      <c r="N3924" s="31">
        <f t="shared" si="4638"/>
        <v>0</v>
      </c>
      <c r="O3924" s="31">
        <f t="shared" si="4639"/>
        <v>0</v>
      </c>
      <c r="P3924" s="31">
        <f t="shared" si="4640"/>
        <v>0</v>
      </c>
      <c r="Q3924" s="49">
        <f t="shared" si="4641"/>
        <v>0</v>
      </c>
    </row>
    <row r="3925" spans="4:17" s="62" customFormat="1" x14ac:dyDescent="0.3">
      <c r="D3925" s="235"/>
      <c r="E3925" s="240"/>
      <c r="F3925" s="241"/>
      <c r="G3925" s="242"/>
      <c r="H3925" s="239">
        <f t="shared" si="4632"/>
        <v>0</v>
      </c>
      <c r="I3925" s="131">
        <f t="shared" si="4633"/>
        <v>0</v>
      </c>
      <c r="J3925" s="31">
        <f t="shared" si="4634"/>
        <v>0</v>
      </c>
      <c r="K3925" s="31">
        <f t="shared" si="4635"/>
        <v>0</v>
      </c>
      <c r="L3925" s="31">
        <f t="shared" si="4636"/>
        <v>0</v>
      </c>
      <c r="M3925" s="31">
        <f t="shared" si="4637"/>
        <v>0</v>
      </c>
      <c r="N3925" s="31">
        <f t="shared" si="4638"/>
        <v>0</v>
      </c>
      <c r="O3925" s="31">
        <f t="shared" si="4639"/>
        <v>0</v>
      </c>
      <c r="P3925" s="31">
        <f t="shared" si="4640"/>
        <v>0</v>
      </c>
      <c r="Q3925" s="49">
        <f t="shared" si="4641"/>
        <v>0</v>
      </c>
    </row>
    <row r="3926" spans="4:17" s="62" customFormat="1" x14ac:dyDescent="0.3">
      <c r="D3926" s="235"/>
      <c r="E3926" s="240"/>
      <c r="F3926" s="241"/>
      <c r="G3926" s="242"/>
      <c r="H3926" s="239">
        <f t="shared" si="4632"/>
        <v>0</v>
      </c>
      <c r="I3926" s="131">
        <f t="shared" si="4633"/>
        <v>0</v>
      </c>
      <c r="J3926" s="31">
        <f t="shared" si="4634"/>
        <v>0</v>
      </c>
      <c r="K3926" s="31">
        <f t="shared" si="4635"/>
        <v>0</v>
      </c>
      <c r="L3926" s="31">
        <f t="shared" si="4636"/>
        <v>0</v>
      </c>
      <c r="M3926" s="31">
        <f t="shared" si="4637"/>
        <v>0</v>
      </c>
      <c r="N3926" s="31">
        <f t="shared" si="4638"/>
        <v>0</v>
      </c>
      <c r="O3926" s="31">
        <f t="shared" si="4639"/>
        <v>0</v>
      </c>
      <c r="P3926" s="31">
        <f t="shared" si="4640"/>
        <v>0</v>
      </c>
      <c r="Q3926" s="49">
        <f t="shared" si="4641"/>
        <v>0</v>
      </c>
    </row>
    <row r="3927" spans="4:17" s="62" customFormat="1" x14ac:dyDescent="0.3">
      <c r="D3927" s="235"/>
      <c r="E3927" s="240"/>
      <c r="F3927" s="241"/>
      <c r="G3927" s="242"/>
      <c r="H3927" s="239">
        <f t="shared" si="4632"/>
        <v>0</v>
      </c>
      <c r="I3927" s="131">
        <f t="shared" si="4633"/>
        <v>0</v>
      </c>
      <c r="J3927" s="31">
        <f t="shared" si="4634"/>
        <v>0</v>
      </c>
      <c r="K3927" s="31">
        <f t="shared" si="4635"/>
        <v>0</v>
      </c>
      <c r="L3927" s="31">
        <f t="shared" si="4636"/>
        <v>0</v>
      </c>
      <c r="M3927" s="31">
        <f t="shared" si="4637"/>
        <v>0</v>
      </c>
      <c r="N3927" s="31">
        <f t="shared" si="4638"/>
        <v>0</v>
      </c>
      <c r="O3927" s="31">
        <f t="shared" si="4639"/>
        <v>0</v>
      </c>
      <c r="P3927" s="31">
        <f t="shared" si="4640"/>
        <v>0</v>
      </c>
      <c r="Q3927" s="49">
        <f t="shared" si="4641"/>
        <v>0</v>
      </c>
    </row>
    <row r="3928" spans="4:17" s="62" customFormat="1" x14ac:dyDescent="0.3">
      <c r="D3928" s="235"/>
      <c r="E3928" s="240"/>
      <c r="F3928" s="241"/>
      <c r="G3928" s="242"/>
      <c r="H3928" s="239">
        <f t="shared" si="4632"/>
        <v>0</v>
      </c>
      <c r="I3928" s="131">
        <f t="shared" si="4633"/>
        <v>0</v>
      </c>
      <c r="J3928" s="31">
        <f t="shared" si="4634"/>
        <v>0</v>
      </c>
      <c r="K3928" s="31">
        <f t="shared" si="4635"/>
        <v>0</v>
      </c>
      <c r="L3928" s="31">
        <f t="shared" si="4636"/>
        <v>0</v>
      </c>
      <c r="M3928" s="31">
        <f t="shared" si="4637"/>
        <v>0</v>
      </c>
      <c r="N3928" s="31">
        <f t="shared" si="4638"/>
        <v>0</v>
      </c>
      <c r="O3928" s="31">
        <f t="shared" si="4639"/>
        <v>0</v>
      </c>
      <c r="P3928" s="31">
        <f t="shared" si="4640"/>
        <v>0</v>
      </c>
      <c r="Q3928" s="49">
        <f t="shared" si="4641"/>
        <v>0</v>
      </c>
    </row>
    <row r="3929" spans="4:17" s="62" customFormat="1" x14ac:dyDescent="0.3">
      <c r="D3929" s="235"/>
      <c r="E3929" s="240"/>
      <c r="F3929" s="241"/>
      <c r="G3929" s="242"/>
      <c r="H3929" s="239">
        <f t="shared" si="4632"/>
        <v>0</v>
      </c>
      <c r="I3929" s="131">
        <f t="shared" si="4633"/>
        <v>0</v>
      </c>
      <c r="J3929" s="31">
        <f t="shared" si="4634"/>
        <v>0</v>
      </c>
      <c r="K3929" s="31">
        <f t="shared" si="4635"/>
        <v>0</v>
      </c>
      <c r="L3929" s="31">
        <f t="shared" si="4636"/>
        <v>0</v>
      </c>
      <c r="M3929" s="31">
        <f t="shared" si="4637"/>
        <v>0</v>
      </c>
      <c r="N3929" s="31">
        <f t="shared" si="4638"/>
        <v>0</v>
      </c>
      <c r="O3929" s="31">
        <f t="shared" si="4639"/>
        <v>0</v>
      </c>
      <c r="P3929" s="31">
        <f t="shared" si="4640"/>
        <v>0</v>
      </c>
      <c r="Q3929" s="49">
        <f t="shared" si="4641"/>
        <v>0</v>
      </c>
    </row>
    <row r="3930" spans="4:17" s="62" customFormat="1" ht="15" thickBot="1" x14ac:dyDescent="0.35">
      <c r="D3930" s="307"/>
      <c r="E3930" s="26"/>
      <c r="F3930" s="206"/>
      <c r="G3930" s="207"/>
      <c r="H3930" s="207"/>
      <c r="I3930" s="51"/>
      <c r="J3930" s="308"/>
      <c r="K3930" s="308"/>
      <c r="L3930" s="308"/>
      <c r="M3930" s="308"/>
      <c r="N3930" s="308"/>
      <c r="O3930" s="308"/>
      <c r="P3930" s="308"/>
      <c r="Q3930" s="309"/>
    </row>
    <row r="3931" spans="4:17" s="62" customFormat="1" x14ac:dyDescent="0.3">
      <c r="D3931" s="796"/>
      <c r="E3931" s="797"/>
      <c r="F3931" s="797"/>
      <c r="G3931" s="797"/>
      <c r="H3931" s="797"/>
      <c r="I3931" s="47">
        <f t="shared" ref="I3931:Q3931" si="4642">SUM(I3932:I3943)</f>
        <v>0</v>
      </c>
      <c r="J3931" s="47">
        <f t="shared" si="4642"/>
        <v>0</v>
      </c>
      <c r="K3931" s="47">
        <f t="shared" si="4642"/>
        <v>0</v>
      </c>
      <c r="L3931" s="47">
        <f t="shared" si="4642"/>
        <v>0</v>
      </c>
      <c r="M3931" s="47">
        <f t="shared" si="4642"/>
        <v>0</v>
      </c>
      <c r="N3931" s="47">
        <f t="shared" si="4642"/>
        <v>0</v>
      </c>
      <c r="O3931" s="47">
        <f t="shared" si="4642"/>
        <v>0</v>
      </c>
      <c r="P3931" s="47">
        <f t="shared" si="4642"/>
        <v>0</v>
      </c>
      <c r="Q3931" s="47">
        <f t="shared" si="4642"/>
        <v>0</v>
      </c>
    </row>
    <row r="3932" spans="4:17" s="62" customFormat="1" x14ac:dyDescent="0.3">
      <c r="D3932" s="235"/>
      <c r="E3932" s="237"/>
      <c r="F3932" s="238"/>
      <c r="G3932" s="239"/>
      <c r="H3932" s="239">
        <f t="shared" ref="H3932:H3943" si="4643">E3932*G3932</f>
        <v>0</v>
      </c>
      <c r="I3932" s="131">
        <f t="shared" ref="I3932:I3943" si="4644">IF($F3932=4.2,H3932*$B$23,0)</f>
        <v>0</v>
      </c>
      <c r="J3932" s="31">
        <f t="shared" ref="J3932:J3943" si="4645">IF($F3932=5,$H3932*$B$24,0)</f>
        <v>0</v>
      </c>
      <c r="K3932" s="31">
        <f t="shared" ref="K3932:K3943" si="4646">IF($F3932=6.3,$H3932*$B$25,0)</f>
        <v>0</v>
      </c>
      <c r="L3932" s="31">
        <f t="shared" ref="L3932:L3943" si="4647">IF($F3932=8,$H3932*$B$26,0)</f>
        <v>0</v>
      </c>
      <c r="M3932" s="31">
        <f t="shared" ref="M3932:M3943" si="4648">IF($F3932=10,$H3932*$B$27,0)</f>
        <v>0</v>
      </c>
      <c r="N3932" s="31">
        <f t="shared" ref="N3932:N3943" si="4649">IF($F3932=12.5,$H3932*$B$28,0)</f>
        <v>0</v>
      </c>
      <c r="O3932" s="31">
        <f t="shared" ref="O3932:O3943" si="4650">IF($F3932=16,$H3932*$B$29,0)</f>
        <v>0</v>
      </c>
      <c r="P3932" s="31">
        <f t="shared" ref="P3932:P3943" si="4651">IF($F3932=20,$H3932*$B$30,0)</f>
        <v>0</v>
      </c>
      <c r="Q3932" s="49">
        <f t="shared" ref="Q3932:Q3943" si="4652">IF($F3932=25,$H3932*$B$31,0)</f>
        <v>0</v>
      </c>
    </row>
    <row r="3933" spans="4:17" s="62" customFormat="1" x14ac:dyDescent="0.3">
      <c r="D3933" s="235"/>
      <c r="E3933" s="240"/>
      <c r="F3933" s="241"/>
      <c r="G3933" s="242"/>
      <c r="H3933" s="239">
        <f t="shared" si="4643"/>
        <v>0</v>
      </c>
      <c r="I3933" s="131">
        <f t="shared" si="4644"/>
        <v>0</v>
      </c>
      <c r="J3933" s="31">
        <f t="shared" si="4645"/>
        <v>0</v>
      </c>
      <c r="K3933" s="31">
        <f t="shared" si="4646"/>
        <v>0</v>
      </c>
      <c r="L3933" s="31">
        <f t="shared" si="4647"/>
        <v>0</v>
      </c>
      <c r="M3933" s="31">
        <f t="shared" si="4648"/>
        <v>0</v>
      </c>
      <c r="N3933" s="31">
        <f t="shared" si="4649"/>
        <v>0</v>
      </c>
      <c r="O3933" s="31">
        <f t="shared" si="4650"/>
        <v>0</v>
      </c>
      <c r="P3933" s="31">
        <f t="shared" si="4651"/>
        <v>0</v>
      </c>
      <c r="Q3933" s="49">
        <f t="shared" si="4652"/>
        <v>0</v>
      </c>
    </row>
    <row r="3934" spans="4:17" s="62" customFormat="1" x14ac:dyDescent="0.3">
      <c r="D3934" s="235"/>
      <c r="E3934" s="240"/>
      <c r="F3934" s="241"/>
      <c r="G3934" s="242"/>
      <c r="H3934" s="239">
        <f t="shared" si="4643"/>
        <v>0</v>
      </c>
      <c r="I3934" s="131">
        <f t="shared" si="4644"/>
        <v>0</v>
      </c>
      <c r="J3934" s="31">
        <f t="shared" si="4645"/>
        <v>0</v>
      </c>
      <c r="K3934" s="31">
        <f t="shared" si="4646"/>
        <v>0</v>
      </c>
      <c r="L3934" s="31">
        <f t="shared" si="4647"/>
        <v>0</v>
      </c>
      <c r="M3934" s="31">
        <f t="shared" si="4648"/>
        <v>0</v>
      </c>
      <c r="N3934" s="31">
        <f t="shared" si="4649"/>
        <v>0</v>
      </c>
      <c r="O3934" s="31">
        <f t="shared" si="4650"/>
        <v>0</v>
      </c>
      <c r="P3934" s="31">
        <f t="shared" si="4651"/>
        <v>0</v>
      </c>
      <c r="Q3934" s="49">
        <f t="shared" si="4652"/>
        <v>0</v>
      </c>
    </row>
    <row r="3935" spans="4:17" s="62" customFormat="1" x14ac:dyDescent="0.3">
      <c r="D3935" s="235"/>
      <c r="E3935" s="240"/>
      <c r="F3935" s="241"/>
      <c r="G3935" s="242"/>
      <c r="H3935" s="239">
        <f t="shared" si="4643"/>
        <v>0</v>
      </c>
      <c r="I3935" s="131">
        <f t="shared" si="4644"/>
        <v>0</v>
      </c>
      <c r="J3935" s="31">
        <f t="shared" si="4645"/>
        <v>0</v>
      </c>
      <c r="K3935" s="31">
        <f t="shared" si="4646"/>
        <v>0</v>
      </c>
      <c r="L3935" s="31">
        <f t="shared" si="4647"/>
        <v>0</v>
      </c>
      <c r="M3935" s="31">
        <f t="shared" si="4648"/>
        <v>0</v>
      </c>
      <c r="N3935" s="31">
        <f t="shared" si="4649"/>
        <v>0</v>
      </c>
      <c r="O3935" s="31">
        <f t="shared" si="4650"/>
        <v>0</v>
      </c>
      <c r="P3935" s="31">
        <f t="shared" si="4651"/>
        <v>0</v>
      </c>
      <c r="Q3935" s="49">
        <f t="shared" si="4652"/>
        <v>0</v>
      </c>
    </row>
    <row r="3936" spans="4:17" s="62" customFormat="1" x14ac:dyDescent="0.3">
      <c r="D3936" s="235"/>
      <c r="E3936" s="240"/>
      <c r="F3936" s="241"/>
      <c r="G3936" s="242"/>
      <c r="H3936" s="239">
        <f t="shared" si="4643"/>
        <v>0</v>
      </c>
      <c r="I3936" s="131">
        <f t="shared" si="4644"/>
        <v>0</v>
      </c>
      <c r="J3936" s="31">
        <f t="shared" si="4645"/>
        <v>0</v>
      </c>
      <c r="K3936" s="31">
        <f t="shared" si="4646"/>
        <v>0</v>
      </c>
      <c r="L3936" s="31">
        <f t="shared" si="4647"/>
        <v>0</v>
      </c>
      <c r="M3936" s="31">
        <f t="shared" si="4648"/>
        <v>0</v>
      </c>
      <c r="N3936" s="31">
        <f t="shared" si="4649"/>
        <v>0</v>
      </c>
      <c r="O3936" s="31">
        <f t="shared" si="4650"/>
        <v>0</v>
      </c>
      <c r="P3936" s="31">
        <f t="shared" si="4651"/>
        <v>0</v>
      </c>
      <c r="Q3936" s="49">
        <f t="shared" si="4652"/>
        <v>0</v>
      </c>
    </row>
    <row r="3937" spans="4:17" s="62" customFormat="1" x14ac:dyDescent="0.3">
      <c r="D3937" s="235"/>
      <c r="E3937" s="240"/>
      <c r="F3937" s="241"/>
      <c r="G3937" s="242"/>
      <c r="H3937" s="239">
        <f t="shared" si="4643"/>
        <v>0</v>
      </c>
      <c r="I3937" s="131">
        <f t="shared" si="4644"/>
        <v>0</v>
      </c>
      <c r="J3937" s="31">
        <f t="shared" si="4645"/>
        <v>0</v>
      </c>
      <c r="K3937" s="31">
        <f t="shared" si="4646"/>
        <v>0</v>
      </c>
      <c r="L3937" s="31">
        <f t="shared" si="4647"/>
        <v>0</v>
      </c>
      <c r="M3937" s="31">
        <f t="shared" si="4648"/>
        <v>0</v>
      </c>
      <c r="N3937" s="31">
        <f t="shared" si="4649"/>
        <v>0</v>
      </c>
      <c r="O3937" s="31">
        <f t="shared" si="4650"/>
        <v>0</v>
      </c>
      <c r="P3937" s="31">
        <f t="shared" si="4651"/>
        <v>0</v>
      </c>
      <c r="Q3937" s="49">
        <f t="shared" si="4652"/>
        <v>0</v>
      </c>
    </row>
    <row r="3938" spans="4:17" s="62" customFormat="1" x14ac:dyDescent="0.3">
      <c r="D3938" s="235"/>
      <c r="E3938" s="240"/>
      <c r="F3938" s="241"/>
      <c r="G3938" s="242"/>
      <c r="H3938" s="239">
        <f t="shared" si="4643"/>
        <v>0</v>
      </c>
      <c r="I3938" s="131">
        <f t="shared" si="4644"/>
        <v>0</v>
      </c>
      <c r="J3938" s="31">
        <f t="shared" si="4645"/>
        <v>0</v>
      </c>
      <c r="K3938" s="31">
        <f t="shared" si="4646"/>
        <v>0</v>
      </c>
      <c r="L3938" s="31">
        <f t="shared" si="4647"/>
        <v>0</v>
      </c>
      <c r="M3938" s="31">
        <f t="shared" si="4648"/>
        <v>0</v>
      </c>
      <c r="N3938" s="31">
        <f t="shared" si="4649"/>
        <v>0</v>
      </c>
      <c r="O3938" s="31">
        <f t="shared" si="4650"/>
        <v>0</v>
      </c>
      <c r="P3938" s="31">
        <f t="shared" si="4651"/>
        <v>0</v>
      </c>
      <c r="Q3938" s="49">
        <f t="shared" si="4652"/>
        <v>0</v>
      </c>
    </row>
    <row r="3939" spans="4:17" s="62" customFormat="1" x14ac:dyDescent="0.3">
      <c r="D3939" s="235"/>
      <c r="E3939" s="240"/>
      <c r="F3939" s="241"/>
      <c r="G3939" s="242"/>
      <c r="H3939" s="239">
        <f t="shared" si="4643"/>
        <v>0</v>
      </c>
      <c r="I3939" s="131">
        <f t="shared" si="4644"/>
        <v>0</v>
      </c>
      <c r="J3939" s="31">
        <f t="shared" si="4645"/>
        <v>0</v>
      </c>
      <c r="K3939" s="31">
        <f t="shared" si="4646"/>
        <v>0</v>
      </c>
      <c r="L3939" s="31">
        <f t="shared" si="4647"/>
        <v>0</v>
      </c>
      <c r="M3939" s="31">
        <f t="shared" si="4648"/>
        <v>0</v>
      </c>
      <c r="N3939" s="31">
        <f t="shared" si="4649"/>
        <v>0</v>
      </c>
      <c r="O3939" s="31">
        <f t="shared" si="4650"/>
        <v>0</v>
      </c>
      <c r="P3939" s="31">
        <f t="shared" si="4651"/>
        <v>0</v>
      </c>
      <c r="Q3939" s="49">
        <f t="shared" si="4652"/>
        <v>0</v>
      </c>
    </row>
    <row r="3940" spans="4:17" s="62" customFormat="1" x14ac:dyDescent="0.3">
      <c r="D3940" s="235"/>
      <c r="E3940" s="240"/>
      <c r="F3940" s="241"/>
      <c r="G3940" s="242"/>
      <c r="H3940" s="239">
        <f t="shared" si="4643"/>
        <v>0</v>
      </c>
      <c r="I3940" s="131">
        <f t="shared" si="4644"/>
        <v>0</v>
      </c>
      <c r="J3940" s="31">
        <f t="shared" si="4645"/>
        <v>0</v>
      </c>
      <c r="K3940" s="31">
        <f t="shared" si="4646"/>
        <v>0</v>
      </c>
      <c r="L3940" s="31">
        <f t="shared" si="4647"/>
        <v>0</v>
      </c>
      <c r="M3940" s="31">
        <f t="shared" si="4648"/>
        <v>0</v>
      </c>
      <c r="N3940" s="31">
        <f t="shared" si="4649"/>
        <v>0</v>
      </c>
      <c r="O3940" s="31">
        <f t="shared" si="4650"/>
        <v>0</v>
      </c>
      <c r="P3940" s="31">
        <f t="shared" si="4651"/>
        <v>0</v>
      </c>
      <c r="Q3940" s="49">
        <f t="shared" si="4652"/>
        <v>0</v>
      </c>
    </row>
    <row r="3941" spans="4:17" s="62" customFormat="1" x14ac:dyDescent="0.3">
      <c r="D3941" s="235"/>
      <c r="E3941" s="240"/>
      <c r="F3941" s="241"/>
      <c r="G3941" s="242"/>
      <c r="H3941" s="239">
        <f t="shared" si="4643"/>
        <v>0</v>
      </c>
      <c r="I3941" s="131">
        <f t="shared" si="4644"/>
        <v>0</v>
      </c>
      <c r="J3941" s="31">
        <f t="shared" si="4645"/>
        <v>0</v>
      </c>
      <c r="K3941" s="31">
        <f t="shared" si="4646"/>
        <v>0</v>
      </c>
      <c r="L3941" s="31">
        <f t="shared" si="4647"/>
        <v>0</v>
      </c>
      <c r="M3941" s="31">
        <f t="shared" si="4648"/>
        <v>0</v>
      </c>
      <c r="N3941" s="31">
        <f t="shared" si="4649"/>
        <v>0</v>
      </c>
      <c r="O3941" s="31">
        <f t="shared" si="4650"/>
        <v>0</v>
      </c>
      <c r="P3941" s="31">
        <f t="shared" si="4651"/>
        <v>0</v>
      </c>
      <c r="Q3941" s="49">
        <f t="shared" si="4652"/>
        <v>0</v>
      </c>
    </row>
    <row r="3942" spans="4:17" s="62" customFormat="1" x14ac:dyDescent="0.3">
      <c r="D3942" s="235"/>
      <c r="E3942" s="240"/>
      <c r="F3942" s="241"/>
      <c r="G3942" s="242"/>
      <c r="H3942" s="239">
        <f t="shared" si="4643"/>
        <v>0</v>
      </c>
      <c r="I3942" s="131">
        <f t="shared" si="4644"/>
        <v>0</v>
      </c>
      <c r="J3942" s="31">
        <f t="shared" si="4645"/>
        <v>0</v>
      </c>
      <c r="K3942" s="31">
        <f t="shared" si="4646"/>
        <v>0</v>
      </c>
      <c r="L3942" s="31">
        <f t="shared" si="4647"/>
        <v>0</v>
      </c>
      <c r="M3942" s="31">
        <f t="shared" si="4648"/>
        <v>0</v>
      </c>
      <c r="N3942" s="31">
        <f t="shared" si="4649"/>
        <v>0</v>
      </c>
      <c r="O3942" s="31">
        <f t="shared" si="4650"/>
        <v>0</v>
      </c>
      <c r="P3942" s="31">
        <f t="shared" si="4651"/>
        <v>0</v>
      </c>
      <c r="Q3942" s="49">
        <f t="shared" si="4652"/>
        <v>0</v>
      </c>
    </row>
    <row r="3943" spans="4:17" s="62" customFormat="1" x14ac:dyDescent="0.3">
      <c r="D3943" s="235"/>
      <c r="E3943" s="240"/>
      <c r="F3943" s="241"/>
      <c r="G3943" s="242"/>
      <c r="H3943" s="239">
        <f t="shared" si="4643"/>
        <v>0</v>
      </c>
      <c r="I3943" s="131">
        <f t="shared" si="4644"/>
        <v>0</v>
      </c>
      <c r="J3943" s="31">
        <f t="shared" si="4645"/>
        <v>0</v>
      </c>
      <c r="K3943" s="31">
        <f t="shared" si="4646"/>
        <v>0</v>
      </c>
      <c r="L3943" s="31">
        <f t="shared" si="4647"/>
        <v>0</v>
      </c>
      <c r="M3943" s="31">
        <f t="shared" si="4648"/>
        <v>0</v>
      </c>
      <c r="N3943" s="31">
        <f t="shared" si="4649"/>
        <v>0</v>
      </c>
      <c r="O3943" s="31">
        <f t="shared" si="4650"/>
        <v>0</v>
      </c>
      <c r="P3943" s="31">
        <f t="shared" si="4651"/>
        <v>0</v>
      </c>
      <c r="Q3943" s="49">
        <f t="shared" si="4652"/>
        <v>0</v>
      </c>
    </row>
    <row r="3944" spans="4:17" s="62" customFormat="1" ht="15" thickBot="1" x14ac:dyDescent="0.35">
      <c r="D3944" s="307"/>
      <c r="E3944" s="26"/>
      <c r="F3944" s="206"/>
      <c r="G3944" s="207"/>
      <c r="H3944" s="207"/>
      <c r="I3944" s="51"/>
      <c r="J3944" s="308"/>
      <c r="K3944" s="308"/>
      <c r="L3944" s="308"/>
      <c r="M3944" s="308"/>
      <c r="N3944" s="308"/>
      <c r="O3944" s="308"/>
      <c r="P3944" s="308"/>
      <c r="Q3944" s="309"/>
    </row>
    <row r="3945" spans="4:17" s="62" customFormat="1" x14ac:dyDescent="0.3">
      <c r="D3945" s="796"/>
      <c r="E3945" s="797"/>
      <c r="F3945" s="797"/>
      <c r="G3945" s="797"/>
      <c r="H3945" s="797"/>
      <c r="I3945" s="47">
        <f t="shared" ref="I3945:Q3945" si="4653">SUM(I3946:I3957)</f>
        <v>0</v>
      </c>
      <c r="J3945" s="47">
        <f t="shared" si="4653"/>
        <v>0</v>
      </c>
      <c r="K3945" s="47">
        <f t="shared" si="4653"/>
        <v>0</v>
      </c>
      <c r="L3945" s="47">
        <f t="shared" si="4653"/>
        <v>0</v>
      </c>
      <c r="M3945" s="47">
        <f t="shared" si="4653"/>
        <v>0</v>
      </c>
      <c r="N3945" s="47">
        <f t="shared" si="4653"/>
        <v>0</v>
      </c>
      <c r="O3945" s="47">
        <f t="shared" si="4653"/>
        <v>0</v>
      </c>
      <c r="P3945" s="47">
        <f t="shared" si="4653"/>
        <v>0</v>
      </c>
      <c r="Q3945" s="47">
        <f t="shared" si="4653"/>
        <v>0</v>
      </c>
    </row>
    <row r="3946" spans="4:17" s="62" customFormat="1" x14ac:dyDescent="0.3">
      <c r="D3946" s="235"/>
      <c r="E3946" s="237"/>
      <c r="F3946" s="238"/>
      <c r="G3946" s="239"/>
      <c r="H3946" s="239">
        <f t="shared" ref="H3946:H3957" si="4654">E3946*G3946</f>
        <v>0</v>
      </c>
      <c r="I3946" s="131">
        <f t="shared" ref="I3946:I3957" si="4655">IF($F3946=4.2,H3946*$B$23,0)</f>
        <v>0</v>
      </c>
      <c r="J3946" s="31">
        <f t="shared" ref="J3946:J3957" si="4656">IF($F3946=5,$H3946*$B$24,0)</f>
        <v>0</v>
      </c>
      <c r="K3946" s="31">
        <f t="shared" ref="K3946:K3957" si="4657">IF($F3946=6.3,$H3946*$B$25,0)</f>
        <v>0</v>
      </c>
      <c r="L3946" s="31">
        <f t="shared" ref="L3946:L3957" si="4658">IF($F3946=8,$H3946*$B$26,0)</f>
        <v>0</v>
      </c>
      <c r="M3946" s="31">
        <f t="shared" ref="M3946:M3957" si="4659">IF($F3946=10,$H3946*$B$27,0)</f>
        <v>0</v>
      </c>
      <c r="N3946" s="31">
        <f t="shared" ref="N3946:N3957" si="4660">IF($F3946=12.5,$H3946*$B$28,0)</f>
        <v>0</v>
      </c>
      <c r="O3946" s="31">
        <f t="shared" ref="O3946:O3957" si="4661">IF($F3946=16,$H3946*$B$29,0)</f>
        <v>0</v>
      </c>
      <c r="P3946" s="31">
        <f t="shared" ref="P3946:P3957" si="4662">IF($F3946=20,$H3946*$B$30,0)</f>
        <v>0</v>
      </c>
      <c r="Q3946" s="49">
        <f t="shared" ref="Q3946:Q3957" si="4663">IF($F3946=25,$H3946*$B$31,0)</f>
        <v>0</v>
      </c>
    </row>
    <row r="3947" spans="4:17" s="62" customFormat="1" x14ac:dyDescent="0.3">
      <c r="D3947" s="235"/>
      <c r="E3947" s="240"/>
      <c r="F3947" s="241"/>
      <c r="G3947" s="242"/>
      <c r="H3947" s="239">
        <f t="shared" si="4654"/>
        <v>0</v>
      </c>
      <c r="I3947" s="131">
        <f t="shared" si="4655"/>
        <v>0</v>
      </c>
      <c r="J3947" s="31">
        <f t="shared" si="4656"/>
        <v>0</v>
      </c>
      <c r="K3947" s="31">
        <f t="shared" si="4657"/>
        <v>0</v>
      </c>
      <c r="L3947" s="31">
        <f t="shared" si="4658"/>
        <v>0</v>
      </c>
      <c r="M3947" s="31">
        <f t="shared" si="4659"/>
        <v>0</v>
      </c>
      <c r="N3947" s="31">
        <f t="shared" si="4660"/>
        <v>0</v>
      </c>
      <c r="O3947" s="31">
        <f t="shared" si="4661"/>
        <v>0</v>
      </c>
      <c r="P3947" s="31">
        <f t="shared" si="4662"/>
        <v>0</v>
      </c>
      <c r="Q3947" s="49">
        <f t="shared" si="4663"/>
        <v>0</v>
      </c>
    </row>
    <row r="3948" spans="4:17" s="62" customFormat="1" x14ac:dyDescent="0.3">
      <c r="D3948" s="235"/>
      <c r="E3948" s="240"/>
      <c r="F3948" s="241"/>
      <c r="G3948" s="242"/>
      <c r="H3948" s="239">
        <f t="shared" si="4654"/>
        <v>0</v>
      </c>
      <c r="I3948" s="131">
        <f t="shared" si="4655"/>
        <v>0</v>
      </c>
      <c r="J3948" s="31">
        <f t="shared" si="4656"/>
        <v>0</v>
      </c>
      <c r="K3948" s="31">
        <f t="shared" si="4657"/>
        <v>0</v>
      </c>
      <c r="L3948" s="31">
        <f t="shared" si="4658"/>
        <v>0</v>
      </c>
      <c r="M3948" s="31">
        <f t="shared" si="4659"/>
        <v>0</v>
      </c>
      <c r="N3948" s="31">
        <f t="shared" si="4660"/>
        <v>0</v>
      </c>
      <c r="O3948" s="31">
        <f t="shared" si="4661"/>
        <v>0</v>
      </c>
      <c r="P3948" s="31">
        <f t="shared" si="4662"/>
        <v>0</v>
      </c>
      <c r="Q3948" s="49">
        <f t="shared" si="4663"/>
        <v>0</v>
      </c>
    </row>
    <row r="3949" spans="4:17" s="62" customFormat="1" x14ac:dyDescent="0.3">
      <c r="D3949" s="235"/>
      <c r="E3949" s="240"/>
      <c r="F3949" s="241"/>
      <c r="G3949" s="242"/>
      <c r="H3949" s="239">
        <f t="shared" si="4654"/>
        <v>0</v>
      </c>
      <c r="I3949" s="131">
        <f t="shared" si="4655"/>
        <v>0</v>
      </c>
      <c r="J3949" s="31">
        <f t="shared" si="4656"/>
        <v>0</v>
      </c>
      <c r="K3949" s="31">
        <f t="shared" si="4657"/>
        <v>0</v>
      </c>
      <c r="L3949" s="31">
        <f t="shared" si="4658"/>
        <v>0</v>
      </c>
      <c r="M3949" s="31">
        <f t="shared" si="4659"/>
        <v>0</v>
      </c>
      <c r="N3949" s="31">
        <f t="shared" si="4660"/>
        <v>0</v>
      </c>
      <c r="O3949" s="31">
        <f t="shared" si="4661"/>
        <v>0</v>
      </c>
      <c r="P3949" s="31">
        <f t="shared" si="4662"/>
        <v>0</v>
      </c>
      <c r="Q3949" s="49">
        <f t="shared" si="4663"/>
        <v>0</v>
      </c>
    </row>
    <row r="3950" spans="4:17" s="62" customFormat="1" x14ac:dyDescent="0.3">
      <c r="D3950" s="235"/>
      <c r="E3950" s="240"/>
      <c r="F3950" s="241"/>
      <c r="G3950" s="242"/>
      <c r="H3950" s="239">
        <f t="shared" si="4654"/>
        <v>0</v>
      </c>
      <c r="I3950" s="131">
        <f t="shared" si="4655"/>
        <v>0</v>
      </c>
      <c r="J3950" s="31">
        <f t="shared" si="4656"/>
        <v>0</v>
      </c>
      <c r="K3950" s="31">
        <f t="shared" si="4657"/>
        <v>0</v>
      </c>
      <c r="L3950" s="31">
        <f t="shared" si="4658"/>
        <v>0</v>
      </c>
      <c r="M3950" s="31">
        <f t="shared" si="4659"/>
        <v>0</v>
      </c>
      <c r="N3950" s="31">
        <f t="shared" si="4660"/>
        <v>0</v>
      </c>
      <c r="O3950" s="31">
        <f t="shared" si="4661"/>
        <v>0</v>
      </c>
      <c r="P3950" s="31">
        <f t="shared" si="4662"/>
        <v>0</v>
      </c>
      <c r="Q3950" s="49">
        <f t="shared" si="4663"/>
        <v>0</v>
      </c>
    </row>
    <row r="3951" spans="4:17" s="62" customFormat="1" x14ac:dyDescent="0.3">
      <c r="D3951" s="235"/>
      <c r="E3951" s="240"/>
      <c r="F3951" s="241"/>
      <c r="G3951" s="242"/>
      <c r="H3951" s="239">
        <f t="shared" si="4654"/>
        <v>0</v>
      </c>
      <c r="I3951" s="131">
        <f t="shared" si="4655"/>
        <v>0</v>
      </c>
      <c r="J3951" s="31">
        <f t="shared" si="4656"/>
        <v>0</v>
      </c>
      <c r="K3951" s="31">
        <f t="shared" si="4657"/>
        <v>0</v>
      </c>
      <c r="L3951" s="31">
        <f t="shared" si="4658"/>
        <v>0</v>
      </c>
      <c r="M3951" s="31">
        <f t="shared" si="4659"/>
        <v>0</v>
      </c>
      <c r="N3951" s="31">
        <f t="shared" si="4660"/>
        <v>0</v>
      </c>
      <c r="O3951" s="31">
        <f t="shared" si="4661"/>
        <v>0</v>
      </c>
      <c r="P3951" s="31">
        <f t="shared" si="4662"/>
        <v>0</v>
      </c>
      <c r="Q3951" s="49">
        <f t="shared" si="4663"/>
        <v>0</v>
      </c>
    </row>
    <row r="3952" spans="4:17" s="62" customFormat="1" x14ac:dyDescent="0.3">
      <c r="D3952" s="235"/>
      <c r="E3952" s="240"/>
      <c r="F3952" s="241"/>
      <c r="G3952" s="242"/>
      <c r="H3952" s="239">
        <f t="shared" si="4654"/>
        <v>0</v>
      </c>
      <c r="I3952" s="131">
        <f t="shared" si="4655"/>
        <v>0</v>
      </c>
      <c r="J3952" s="31">
        <f t="shared" si="4656"/>
        <v>0</v>
      </c>
      <c r="K3952" s="31">
        <f t="shared" si="4657"/>
        <v>0</v>
      </c>
      <c r="L3952" s="31">
        <f t="shared" si="4658"/>
        <v>0</v>
      </c>
      <c r="M3952" s="31">
        <f t="shared" si="4659"/>
        <v>0</v>
      </c>
      <c r="N3952" s="31">
        <f t="shared" si="4660"/>
        <v>0</v>
      </c>
      <c r="O3952" s="31">
        <f t="shared" si="4661"/>
        <v>0</v>
      </c>
      <c r="P3952" s="31">
        <f t="shared" si="4662"/>
        <v>0</v>
      </c>
      <c r="Q3952" s="49">
        <f t="shared" si="4663"/>
        <v>0</v>
      </c>
    </row>
    <row r="3953" spans="4:17" s="62" customFormat="1" x14ac:dyDescent="0.3">
      <c r="D3953" s="235"/>
      <c r="E3953" s="240"/>
      <c r="F3953" s="241"/>
      <c r="G3953" s="242"/>
      <c r="H3953" s="239">
        <f t="shared" si="4654"/>
        <v>0</v>
      </c>
      <c r="I3953" s="131">
        <f t="shared" si="4655"/>
        <v>0</v>
      </c>
      <c r="J3953" s="31">
        <f t="shared" si="4656"/>
        <v>0</v>
      </c>
      <c r="K3953" s="31">
        <f t="shared" si="4657"/>
        <v>0</v>
      </c>
      <c r="L3953" s="31">
        <f t="shared" si="4658"/>
        <v>0</v>
      </c>
      <c r="M3953" s="31">
        <f t="shared" si="4659"/>
        <v>0</v>
      </c>
      <c r="N3953" s="31">
        <f t="shared" si="4660"/>
        <v>0</v>
      </c>
      <c r="O3953" s="31">
        <f t="shared" si="4661"/>
        <v>0</v>
      </c>
      <c r="P3953" s="31">
        <f t="shared" si="4662"/>
        <v>0</v>
      </c>
      <c r="Q3953" s="49">
        <f t="shared" si="4663"/>
        <v>0</v>
      </c>
    </row>
    <row r="3954" spans="4:17" s="62" customFormat="1" x14ac:dyDescent="0.3">
      <c r="D3954" s="235"/>
      <c r="E3954" s="240"/>
      <c r="F3954" s="241"/>
      <c r="G3954" s="242"/>
      <c r="H3954" s="239">
        <f t="shared" si="4654"/>
        <v>0</v>
      </c>
      <c r="I3954" s="131">
        <f t="shared" si="4655"/>
        <v>0</v>
      </c>
      <c r="J3954" s="31">
        <f t="shared" si="4656"/>
        <v>0</v>
      </c>
      <c r="K3954" s="31">
        <f t="shared" si="4657"/>
        <v>0</v>
      </c>
      <c r="L3954" s="31">
        <f t="shared" si="4658"/>
        <v>0</v>
      </c>
      <c r="M3954" s="31">
        <f t="shared" si="4659"/>
        <v>0</v>
      </c>
      <c r="N3954" s="31">
        <f t="shared" si="4660"/>
        <v>0</v>
      </c>
      <c r="O3954" s="31">
        <f t="shared" si="4661"/>
        <v>0</v>
      </c>
      <c r="P3954" s="31">
        <f t="shared" si="4662"/>
        <v>0</v>
      </c>
      <c r="Q3954" s="49">
        <f t="shared" si="4663"/>
        <v>0</v>
      </c>
    </row>
    <row r="3955" spans="4:17" s="62" customFormat="1" x14ac:dyDescent="0.3">
      <c r="D3955" s="235"/>
      <c r="E3955" s="240"/>
      <c r="F3955" s="241"/>
      <c r="G3955" s="242"/>
      <c r="H3955" s="239">
        <f t="shared" si="4654"/>
        <v>0</v>
      </c>
      <c r="I3955" s="131">
        <f t="shared" si="4655"/>
        <v>0</v>
      </c>
      <c r="J3955" s="31">
        <f t="shared" si="4656"/>
        <v>0</v>
      </c>
      <c r="K3955" s="31">
        <f t="shared" si="4657"/>
        <v>0</v>
      </c>
      <c r="L3955" s="31">
        <f t="shared" si="4658"/>
        <v>0</v>
      </c>
      <c r="M3955" s="31">
        <f t="shared" si="4659"/>
        <v>0</v>
      </c>
      <c r="N3955" s="31">
        <f t="shared" si="4660"/>
        <v>0</v>
      </c>
      <c r="O3955" s="31">
        <f t="shared" si="4661"/>
        <v>0</v>
      </c>
      <c r="P3955" s="31">
        <f t="shared" si="4662"/>
        <v>0</v>
      </c>
      <c r="Q3955" s="49">
        <f t="shared" si="4663"/>
        <v>0</v>
      </c>
    </row>
    <row r="3956" spans="4:17" s="62" customFormat="1" x14ac:dyDescent="0.3">
      <c r="D3956" s="235"/>
      <c r="E3956" s="240"/>
      <c r="F3956" s="241"/>
      <c r="G3956" s="242"/>
      <c r="H3956" s="239">
        <f t="shared" si="4654"/>
        <v>0</v>
      </c>
      <c r="I3956" s="131">
        <f t="shared" si="4655"/>
        <v>0</v>
      </c>
      <c r="J3956" s="31">
        <f t="shared" si="4656"/>
        <v>0</v>
      </c>
      <c r="K3956" s="31">
        <f t="shared" si="4657"/>
        <v>0</v>
      </c>
      <c r="L3956" s="31">
        <f t="shared" si="4658"/>
        <v>0</v>
      </c>
      <c r="M3956" s="31">
        <f t="shared" si="4659"/>
        <v>0</v>
      </c>
      <c r="N3956" s="31">
        <f t="shared" si="4660"/>
        <v>0</v>
      </c>
      <c r="O3956" s="31">
        <f t="shared" si="4661"/>
        <v>0</v>
      </c>
      <c r="P3956" s="31">
        <f t="shared" si="4662"/>
        <v>0</v>
      </c>
      <c r="Q3956" s="49">
        <f t="shared" si="4663"/>
        <v>0</v>
      </c>
    </row>
    <row r="3957" spans="4:17" s="62" customFormat="1" x14ac:dyDescent="0.3">
      <c r="D3957" s="235"/>
      <c r="E3957" s="240"/>
      <c r="F3957" s="241"/>
      <c r="G3957" s="242"/>
      <c r="H3957" s="239">
        <f t="shared" si="4654"/>
        <v>0</v>
      </c>
      <c r="I3957" s="131">
        <f t="shared" si="4655"/>
        <v>0</v>
      </c>
      <c r="J3957" s="31">
        <f t="shared" si="4656"/>
        <v>0</v>
      </c>
      <c r="K3957" s="31">
        <f t="shared" si="4657"/>
        <v>0</v>
      </c>
      <c r="L3957" s="31">
        <f t="shared" si="4658"/>
        <v>0</v>
      </c>
      <c r="M3957" s="31">
        <f t="shared" si="4659"/>
        <v>0</v>
      </c>
      <c r="N3957" s="31">
        <f t="shared" si="4660"/>
        <v>0</v>
      </c>
      <c r="O3957" s="31">
        <f t="shared" si="4661"/>
        <v>0</v>
      </c>
      <c r="P3957" s="31">
        <f t="shared" si="4662"/>
        <v>0</v>
      </c>
      <c r="Q3957" s="49">
        <f t="shared" si="4663"/>
        <v>0</v>
      </c>
    </row>
    <row r="3958" spans="4:17" x14ac:dyDescent="0.3">
      <c r="D3958" s="307"/>
      <c r="E3958" s="26"/>
      <c r="F3958" s="206"/>
      <c r="G3958" s="207"/>
      <c r="H3958" s="207"/>
      <c r="I3958" s="51"/>
      <c r="J3958" s="308"/>
      <c r="K3958" s="308"/>
      <c r="L3958" s="308"/>
      <c r="M3958" s="308"/>
      <c r="N3958" s="308"/>
      <c r="O3958" s="308"/>
      <c r="P3958" s="308"/>
      <c r="Q3958" s="309"/>
    </row>
    <row r="3959" spans="4:17" x14ac:dyDescent="0.3">
      <c r="D3959" s="790" t="s">
        <v>1324</v>
      </c>
      <c r="E3959" s="791"/>
      <c r="F3959" s="791"/>
      <c r="G3959" s="791"/>
      <c r="H3959" s="791"/>
      <c r="I3959" s="175">
        <f t="shared" ref="I3959:Q3959" si="4664">SUM(I3960:I3964)</f>
        <v>0</v>
      </c>
      <c r="J3959" s="175">
        <f t="shared" si="4664"/>
        <v>0</v>
      </c>
      <c r="K3959" s="175">
        <f t="shared" si="4664"/>
        <v>0</v>
      </c>
      <c r="L3959" s="175">
        <f t="shared" si="4664"/>
        <v>0</v>
      </c>
      <c r="M3959" s="175">
        <f t="shared" si="4664"/>
        <v>0</v>
      </c>
      <c r="N3959" s="175">
        <f t="shared" si="4664"/>
        <v>0</v>
      </c>
      <c r="O3959" s="175">
        <f t="shared" si="4664"/>
        <v>0</v>
      </c>
      <c r="P3959" s="175">
        <f t="shared" si="4664"/>
        <v>0</v>
      </c>
      <c r="Q3959" s="175">
        <f t="shared" si="4664"/>
        <v>0</v>
      </c>
    </row>
    <row r="3960" spans="4:17" x14ac:dyDescent="0.3">
      <c r="D3960" s="235"/>
      <c r="E3960" s="237"/>
      <c r="F3960" s="238"/>
      <c r="G3960" s="242"/>
      <c r="H3960" s="239">
        <f>E3960*G3960</f>
        <v>0</v>
      </c>
      <c r="I3960" s="122">
        <f>IF($F3960=4.2,H3960*$B$23,0)</f>
        <v>0</v>
      </c>
      <c r="J3960" s="29">
        <f>IF($F3960=5,$H3960*$B$24,0)</f>
        <v>0</v>
      </c>
      <c r="K3960" s="29">
        <f>IF($F3960=6.3,$H3960*$B$25,0)</f>
        <v>0</v>
      </c>
      <c r="L3960" s="29">
        <f>IF($F3960=8,$H3960*$B$26,0)</f>
        <v>0</v>
      </c>
      <c r="M3960" s="29">
        <f>IF($F3960=10,$H3960*$B$27,0)</f>
        <v>0</v>
      </c>
      <c r="N3960" s="29">
        <f>IF($F3960=12.5,$H3960*$B$28,0)</f>
        <v>0</v>
      </c>
      <c r="O3960" s="29">
        <f>IF($F3960=16,$H3960*$B$29,0)</f>
        <v>0</v>
      </c>
      <c r="P3960" s="29">
        <f>IF($F3960=20,$H3960*$B$30,0)</f>
        <v>0</v>
      </c>
      <c r="Q3960" s="37">
        <f>IF($F3960=25,$H3960*$B$31,0)</f>
        <v>0</v>
      </c>
    </row>
    <row r="3961" spans="4:17" x14ac:dyDescent="0.3">
      <c r="D3961" s="235"/>
      <c r="E3961" s="240"/>
      <c r="F3961" s="241"/>
      <c r="G3961" s="242"/>
      <c r="H3961" s="239">
        <f>E3961*G3961</f>
        <v>0</v>
      </c>
      <c r="I3961" s="122">
        <f>IF($F3961=4.2,H3961*$B$23,0)</f>
        <v>0</v>
      </c>
      <c r="J3961" s="29">
        <f>IF($F3961=5,$H3961*$B$24,0)</f>
        <v>0</v>
      </c>
      <c r="K3961" s="29">
        <f>IF($F3961=6.3,$H3961*$B$25,0)</f>
        <v>0</v>
      </c>
      <c r="L3961" s="29">
        <f>IF($F3961=8,$H3961*$B$26,0)</f>
        <v>0</v>
      </c>
      <c r="M3961" s="29">
        <f>IF($F3961=10,$H3961*$B$27,0)</f>
        <v>0</v>
      </c>
      <c r="N3961" s="29">
        <f>IF($F3961=12.5,$H3961*$B$28,0)</f>
        <v>0</v>
      </c>
      <c r="O3961" s="29">
        <f>IF($F3961=16,$H3961*$B$29,0)</f>
        <v>0</v>
      </c>
      <c r="P3961" s="29">
        <f>IF($F3961=20,$H3961*$B$30,0)</f>
        <v>0</v>
      </c>
      <c r="Q3961" s="37">
        <f>IF($F3961=25,$H3961*$B$31,0)</f>
        <v>0</v>
      </c>
    </row>
    <row r="3962" spans="4:17" x14ac:dyDescent="0.3">
      <c r="D3962" s="235"/>
      <c r="E3962" s="240"/>
      <c r="F3962" s="241"/>
      <c r="G3962" s="242"/>
      <c r="H3962" s="239">
        <f>E3962*G3962</f>
        <v>0</v>
      </c>
      <c r="I3962" s="122">
        <f>IF($F3962=4.2,H3962*$B$23,0)</f>
        <v>0</v>
      </c>
      <c r="J3962" s="29">
        <f>IF($F3962=5,$H3962*$B$24,0)</f>
        <v>0</v>
      </c>
      <c r="K3962" s="29">
        <f>IF($F3962=6.3,$H3962*$B$25,0)</f>
        <v>0</v>
      </c>
      <c r="L3962" s="29">
        <f>IF($F3962=8,$H3962*$B$26,0)</f>
        <v>0</v>
      </c>
      <c r="M3962" s="29">
        <f>IF($F3962=10,$H3962*$B$27,0)</f>
        <v>0</v>
      </c>
      <c r="N3962" s="29">
        <f>IF($F3962=12.5,$H3962*$B$28,0)</f>
        <v>0</v>
      </c>
      <c r="O3962" s="29">
        <f>IF($F3962=16,$H3962*$B$29,0)</f>
        <v>0</v>
      </c>
      <c r="P3962" s="29">
        <f>IF($F3962=20,$H3962*$B$30,0)</f>
        <v>0</v>
      </c>
      <c r="Q3962" s="37">
        <f>IF($F3962=25,$H3962*$B$31,0)</f>
        <v>0</v>
      </c>
    </row>
    <row r="3963" spans="4:17" x14ac:dyDescent="0.3">
      <c r="D3963" s="235"/>
      <c r="E3963" s="240"/>
      <c r="F3963" s="241"/>
      <c r="G3963" s="242"/>
      <c r="H3963" s="239">
        <f>E3963*G3963</f>
        <v>0</v>
      </c>
      <c r="I3963" s="122">
        <f>IF($F3963=4.2,H3963*$B$23,0)</f>
        <v>0</v>
      </c>
      <c r="J3963" s="29">
        <f>IF($F3963=5,$H3963*$B$24,0)</f>
        <v>0</v>
      </c>
      <c r="K3963" s="29">
        <f>IF($F3963=6.3,$H3963*$B$25,0)</f>
        <v>0</v>
      </c>
      <c r="L3963" s="29">
        <f>IF($F3963=8,$H3963*$B$26,0)</f>
        <v>0</v>
      </c>
      <c r="M3963" s="29">
        <f>IF($F3963=10,$H3963*$B$27,0)</f>
        <v>0</v>
      </c>
      <c r="N3963" s="29">
        <f>IF($F3963=12.5,$H3963*$B$28,0)</f>
        <v>0</v>
      </c>
      <c r="O3963" s="29">
        <f>IF($F3963=16,$H3963*$B$29,0)</f>
        <v>0</v>
      </c>
      <c r="P3963" s="29">
        <f>IF($F3963=20,$H3963*$B$30,0)</f>
        <v>0</v>
      </c>
      <c r="Q3963" s="37">
        <f>IF($F3963=25,$H3963*$B$31,0)</f>
        <v>0</v>
      </c>
    </row>
    <row r="3964" spans="4:17" x14ac:dyDescent="0.3">
      <c r="D3964" s="235"/>
      <c r="E3964" s="240"/>
      <c r="F3964" s="241"/>
      <c r="G3964" s="242"/>
      <c r="H3964" s="239">
        <f>E3964*G3964</f>
        <v>0</v>
      </c>
      <c r="I3964" s="122">
        <f>IF($F3964=4.2,H3964*$B$23,0)</f>
        <v>0</v>
      </c>
      <c r="J3964" s="29">
        <f>IF($F3964=5,$H3964*$B$24,0)</f>
        <v>0</v>
      </c>
      <c r="K3964" s="29">
        <f>IF($F3964=6.3,$H3964*$B$25,0)</f>
        <v>0</v>
      </c>
      <c r="L3964" s="29">
        <f>IF($F3964=8,$H3964*$B$26,0)</f>
        <v>0</v>
      </c>
      <c r="M3964" s="29">
        <f>IF($F3964=10,$H3964*$B$27,0)</f>
        <v>0</v>
      </c>
      <c r="N3964" s="29">
        <f>IF($F3964=12.5,$H3964*$B$28,0)</f>
        <v>0</v>
      </c>
      <c r="O3964" s="29">
        <f>IF($F3964=16,$H3964*$B$29,0)</f>
        <v>0</v>
      </c>
      <c r="P3964" s="29">
        <f>IF($F3964=20,$H3964*$B$30,0)</f>
        <v>0</v>
      </c>
      <c r="Q3964" s="37">
        <f>IF($F3964=25,$H3964*$B$31,0)</f>
        <v>0</v>
      </c>
    </row>
    <row r="3965" spans="4:17" x14ac:dyDescent="0.3">
      <c r="D3965" s="307"/>
      <c r="E3965" s="26"/>
      <c r="F3965" s="206"/>
      <c r="G3965" s="207"/>
      <c r="H3965" s="207"/>
      <c r="I3965" s="51"/>
      <c r="J3965" s="308"/>
      <c r="K3965" s="308"/>
      <c r="L3965" s="308"/>
      <c r="M3965" s="308"/>
      <c r="N3965" s="308"/>
      <c r="O3965" s="308"/>
      <c r="P3965" s="308"/>
      <c r="Q3965" s="309"/>
    </row>
    <row r="3966" spans="4:17" ht="15" thickBot="1" x14ac:dyDescent="0.35">
      <c r="D3966" s="307"/>
      <c r="E3966" s="26"/>
      <c r="F3966" s="206"/>
      <c r="G3966" s="207"/>
      <c r="H3966" s="207"/>
      <c r="I3966" s="51"/>
      <c r="J3966" s="308"/>
      <c r="K3966" s="308"/>
      <c r="L3966" s="308"/>
      <c r="M3966" s="308"/>
      <c r="N3966" s="308"/>
      <c r="O3966" s="308"/>
      <c r="P3966" s="308"/>
      <c r="Q3966" s="309"/>
    </row>
    <row r="3967" spans="4:17" ht="15" thickBot="1" x14ac:dyDescent="0.35">
      <c r="D3967" s="805" t="s">
        <v>35</v>
      </c>
      <c r="E3967" s="806"/>
      <c r="F3967" s="806"/>
      <c r="G3967" s="806"/>
      <c r="H3967" s="806"/>
      <c r="I3967" s="125">
        <f t="shared" ref="I3967:Q3967" si="4665">SUM(I2108:I3966)/2</f>
        <v>0</v>
      </c>
      <c r="J3967" s="125">
        <f t="shared" si="4665"/>
        <v>1582.6010200000001</v>
      </c>
      <c r="K3967" s="125">
        <f t="shared" si="4665"/>
        <v>81.278750000000016</v>
      </c>
      <c r="L3967" s="125">
        <f t="shared" si="4665"/>
        <v>802.20944999999983</v>
      </c>
      <c r="M3967" s="125">
        <f t="shared" si="4665"/>
        <v>2883.2656799999991</v>
      </c>
      <c r="N3967" s="125">
        <f t="shared" si="4665"/>
        <v>2810.9103300000038</v>
      </c>
      <c r="O3967" s="125">
        <f t="shared" si="4665"/>
        <v>1790.5250400000002</v>
      </c>
      <c r="P3967" s="125">
        <f t="shared" si="4665"/>
        <v>479.52500000000009</v>
      </c>
      <c r="Q3967" s="125">
        <f t="shared" si="4665"/>
        <v>377.68500000000006</v>
      </c>
    </row>
    <row r="3968" spans="4:17" s="16" customFormat="1" ht="15.6" thickTop="1" thickBot="1" x14ac:dyDescent="0.35">
      <c r="D3968"/>
      <c r="E3968"/>
      <c r="F3968"/>
      <c r="G3968"/>
      <c r="H3968"/>
      <c r="I3968"/>
      <c r="J3968"/>
      <c r="K3968"/>
      <c r="L3968"/>
      <c r="M3968"/>
      <c r="N3968"/>
      <c r="O3968"/>
      <c r="P3968"/>
      <c r="Q3968"/>
    </row>
    <row r="3969" spans="2:20" s="16" customFormat="1" thickTop="1" thickBot="1" x14ac:dyDescent="0.3">
      <c r="D3969" s="807" t="s">
        <v>61</v>
      </c>
      <c r="E3969" s="808"/>
      <c r="F3969" s="808"/>
      <c r="G3969" s="808"/>
      <c r="H3969" s="808"/>
      <c r="I3969" s="808"/>
      <c r="J3969" s="808"/>
      <c r="K3969" s="808"/>
      <c r="L3969" s="808"/>
      <c r="M3969" s="808"/>
      <c r="N3969" s="808"/>
      <c r="O3969" s="808"/>
      <c r="P3969" s="808"/>
      <c r="Q3969" s="809"/>
    </row>
    <row r="3970" spans="2:20" s="16" customFormat="1" ht="13.8" thickBot="1" x14ac:dyDescent="0.3">
      <c r="D3970" s="820" t="s">
        <v>1258</v>
      </c>
      <c r="E3970" s="821"/>
      <c r="F3970" s="821"/>
      <c r="G3970" s="821"/>
      <c r="H3970" s="821"/>
      <c r="I3970" s="821"/>
      <c r="J3970" s="821"/>
      <c r="K3970" s="821"/>
      <c r="L3970" s="821"/>
      <c r="M3970" s="821"/>
      <c r="N3970" s="821"/>
      <c r="O3970" s="821"/>
      <c r="P3970" s="821"/>
      <c r="Q3970" s="822"/>
    </row>
    <row r="3971" spans="2:20" s="16" customFormat="1" ht="13.2" x14ac:dyDescent="0.25">
      <c r="D3971" s="803" t="s">
        <v>17</v>
      </c>
      <c r="E3971" s="804"/>
      <c r="F3971" s="804"/>
      <c r="G3971" s="804"/>
      <c r="H3971" s="804"/>
      <c r="I3971" s="800" t="s">
        <v>18</v>
      </c>
      <c r="J3971" s="801"/>
      <c r="K3971" s="801"/>
      <c r="L3971" s="801"/>
      <c r="M3971" s="801"/>
      <c r="N3971" s="801"/>
      <c r="O3971" s="801"/>
      <c r="P3971" s="801"/>
      <c r="Q3971" s="802"/>
    </row>
    <row r="3972" spans="2:20" s="16" customFormat="1" ht="13.8" thickBot="1" x14ac:dyDescent="0.3">
      <c r="D3972" s="17" t="s">
        <v>19</v>
      </c>
      <c r="E3972" s="18" t="s">
        <v>20</v>
      </c>
      <c r="F3972" s="18" t="s">
        <v>21</v>
      </c>
      <c r="G3972" s="50" t="s">
        <v>32</v>
      </c>
      <c r="H3972" s="135" t="s">
        <v>33</v>
      </c>
      <c r="I3972" s="43">
        <v>4.2</v>
      </c>
      <c r="J3972" s="21">
        <v>5</v>
      </c>
      <c r="K3972" s="21">
        <v>6.3</v>
      </c>
      <c r="L3972" s="21">
        <v>8</v>
      </c>
      <c r="M3972" s="21">
        <v>10</v>
      </c>
      <c r="N3972" s="21">
        <v>12.5</v>
      </c>
      <c r="O3972" s="21">
        <v>16</v>
      </c>
      <c r="P3972" s="21">
        <v>20</v>
      </c>
      <c r="Q3972" s="22">
        <v>25</v>
      </c>
    </row>
    <row r="3973" spans="2:20" s="16" customFormat="1" ht="15" customHeight="1" thickBot="1" x14ac:dyDescent="0.3">
      <c r="B3973" s="34"/>
      <c r="D3973" s="843"/>
      <c r="E3973" s="844"/>
      <c r="F3973" s="844"/>
      <c r="G3973" s="844"/>
      <c r="H3973" s="186"/>
      <c r="I3973" s="44"/>
      <c r="J3973" s="45"/>
      <c r="K3973" s="45"/>
      <c r="L3973" s="45"/>
      <c r="M3973" s="45"/>
      <c r="N3973" s="45"/>
      <c r="O3973" s="45"/>
      <c r="P3973" s="45"/>
      <c r="Q3973" s="46"/>
      <c r="S3973" s="795"/>
      <c r="T3973" s="795"/>
    </row>
    <row r="3974" spans="2:20" s="16" customFormat="1" ht="13.8" thickBot="1" x14ac:dyDescent="0.3">
      <c r="D3974" s="792" t="s">
        <v>195</v>
      </c>
      <c r="E3974" s="793"/>
      <c r="F3974" s="793"/>
      <c r="G3974" s="793"/>
      <c r="H3974" s="793"/>
      <c r="I3974" s="793"/>
      <c r="J3974" s="793"/>
      <c r="K3974" s="793"/>
      <c r="L3974" s="793"/>
      <c r="M3974" s="793"/>
      <c r="N3974" s="793"/>
      <c r="O3974" s="793"/>
      <c r="P3974" s="793"/>
      <c r="Q3974" s="794"/>
    </row>
    <row r="3975" spans="2:20" s="16" customFormat="1" ht="13.2" x14ac:dyDescent="0.25">
      <c r="D3975" s="816" t="s">
        <v>1260</v>
      </c>
      <c r="E3975" s="817"/>
      <c r="F3975" s="817"/>
      <c r="G3975" s="817"/>
      <c r="H3975" s="817"/>
      <c r="I3975" s="47">
        <f t="shared" ref="I3975:Q3975" si="4666">SUM(I3976:I3978)</f>
        <v>0</v>
      </c>
      <c r="J3975" s="47">
        <f t="shared" si="4666"/>
        <v>20.990199999999998</v>
      </c>
      <c r="K3975" s="47">
        <f t="shared" si="4666"/>
        <v>0</v>
      </c>
      <c r="L3975" s="47">
        <f t="shared" si="4666"/>
        <v>26.133199999999999</v>
      </c>
      <c r="M3975" s="47">
        <f t="shared" si="4666"/>
        <v>0</v>
      </c>
      <c r="N3975" s="47">
        <f t="shared" si="4666"/>
        <v>0</v>
      </c>
      <c r="O3975" s="47">
        <f t="shared" si="4666"/>
        <v>0</v>
      </c>
      <c r="P3975" s="47">
        <f t="shared" si="4666"/>
        <v>0</v>
      </c>
      <c r="Q3975" s="47">
        <f t="shared" si="4666"/>
        <v>0</v>
      </c>
    </row>
    <row r="3976" spans="2:20" s="16" customFormat="1" ht="13.2" x14ac:dyDescent="0.25">
      <c r="D3976" s="235">
        <v>12</v>
      </c>
      <c r="E3976" s="237">
        <f>2*145</f>
        <v>290</v>
      </c>
      <c r="F3976" s="238">
        <v>5</v>
      </c>
      <c r="G3976" s="239">
        <v>0.47</v>
      </c>
      <c r="H3976" s="239">
        <f t="shared" ref="H3976:H3978" si="4667">E3976*G3976</f>
        <v>136.29999999999998</v>
      </c>
      <c r="I3976" s="122">
        <f t="shared" ref="I3976:I3978" si="4668">IF($F3976=4.2,H3976*$B$23,0)</f>
        <v>0</v>
      </c>
      <c r="J3976" s="29">
        <f t="shared" ref="J3976:J3978" si="4669">IF($F3976=5,$H3976*$B$24,0)</f>
        <v>20.990199999999998</v>
      </c>
      <c r="K3976" s="29">
        <f t="shared" ref="K3976:K3978" si="4670">IF($F3976=6.3,$H3976*$B$25,0)</f>
        <v>0</v>
      </c>
      <c r="L3976" s="29">
        <f t="shared" ref="L3976:L3978" si="4671">IF($F3976=8,$H3976*$B$26,0)</f>
        <v>0</v>
      </c>
      <c r="M3976" s="29">
        <f t="shared" ref="M3976:M3978" si="4672">IF($F3976=10,$H3976*$B$27,0)</f>
        <v>0</v>
      </c>
      <c r="N3976" s="29">
        <f t="shared" ref="N3976:N3978" si="4673">IF($F3976=12.5,$H3976*$B$28,0)</f>
        <v>0</v>
      </c>
      <c r="O3976" s="29">
        <f t="shared" ref="O3976:O3978" si="4674">IF($F3976=16,$H3976*$B$29,0)</f>
        <v>0</v>
      </c>
      <c r="P3976" s="29">
        <f t="shared" ref="P3976:P3978" si="4675">IF($F3976=20,$H3976*$B$30,0)</f>
        <v>0</v>
      </c>
      <c r="Q3976" s="37">
        <f t="shared" ref="Q3976:Q3978" si="4676">IF($F3976=25,$H3976*$B$31,0)</f>
        <v>0</v>
      </c>
    </row>
    <row r="3977" spans="2:20" s="16" customFormat="1" ht="13.2" x14ac:dyDescent="0.25">
      <c r="D3977" s="235">
        <v>13</v>
      </c>
      <c r="E3977" s="240">
        <f>2*2</f>
        <v>4</v>
      </c>
      <c r="F3977" s="241">
        <v>8</v>
      </c>
      <c r="G3977" s="242">
        <v>8.19</v>
      </c>
      <c r="H3977" s="239">
        <f t="shared" si="4667"/>
        <v>32.76</v>
      </c>
      <c r="I3977" s="122">
        <f t="shared" si="4668"/>
        <v>0</v>
      </c>
      <c r="J3977" s="29">
        <f t="shared" si="4669"/>
        <v>0</v>
      </c>
      <c r="K3977" s="29">
        <f t="shared" si="4670"/>
        <v>0</v>
      </c>
      <c r="L3977" s="29">
        <f t="shared" si="4671"/>
        <v>12.940199999999999</v>
      </c>
      <c r="M3977" s="29">
        <f t="shared" si="4672"/>
        <v>0</v>
      </c>
      <c r="N3977" s="29">
        <f t="shared" si="4673"/>
        <v>0</v>
      </c>
      <c r="O3977" s="29">
        <f t="shared" si="4674"/>
        <v>0</v>
      </c>
      <c r="P3977" s="29">
        <f t="shared" si="4675"/>
        <v>0</v>
      </c>
      <c r="Q3977" s="37">
        <f t="shared" si="4676"/>
        <v>0</v>
      </c>
    </row>
    <row r="3978" spans="2:20" s="16" customFormat="1" ht="13.2" x14ac:dyDescent="0.25">
      <c r="D3978" s="235">
        <v>14</v>
      </c>
      <c r="E3978" s="240">
        <f>2*2</f>
        <v>4</v>
      </c>
      <c r="F3978" s="241">
        <v>8</v>
      </c>
      <c r="G3978" s="242">
        <v>8.35</v>
      </c>
      <c r="H3978" s="239">
        <f t="shared" si="4667"/>
        <v>33.4</v>
      </c>
      <c r="I3978" s="122">
        <f t="shared" si="4668"/>
        <v>0</v>
      </c>
      <c r="J3978" s="29">
        <f t="shared" si="4669"/>
        <v>0</v>
      </c>
      <c r="K3978" s="29">
        <f t="shared" si="4670"/>
        <v>0</v>
      </c>
      <c r="L3978" s="29">
        <f t="shared" si="4671"/>
        <v>13.193</v>
      </c>
      <c r="M3978" s="29">
        <f t="shared" si="4672"/>
        <v>0</v>
      </c>
      <c r="N3978" s="29">
        <f t="shared" si="4673"/>
        <v>0</v>
      </c>
      <c r="O3978" s="29">
        <f t="shared" si="4674"/>
        <v>0</v>
      </c>
      <c r="P3978" s="29">
        <f t="shared" si="4675"/>
        <v>0</v>
      </c>
      <c r="Q3978" s="37">
        <f t="shared" si="4676"/>
        <v>0</v>
      </c>
    </row>
    <row r="3979" spans="2:20" s="16" customFormat="1" ht="13.8" thickBot="1" x14ac:dyDescent="0.3">
      <c r="D3979" s="55"/>
      <c r="E3979" s="56"/>
      <c r="F3979" s="57"/>
      <c r="G3979" s="123"/>
      <c r="H3979" s="123"/>
      <c r="I3979" s="124"/>
      <c r="J3979" s="30"/>
      <c r="K3979" s="30"/>
      <c r="L3979" s="30"/>
      <c r="M3979" s="30"/>
      <c r="N3979" s="30"/>
      <c r="O3979" s="30"/>
      <c r="P3979" s="30"/>
      <c r="Q3979" s="54"/>
    </row>
    <row r="3980" spans="2:20" s="16" customFormat="1" ht="13.2" x14ac:dyDescent="0.25">
      <c r="D3980" s="816" t="s">
        <v>1260</v>
      </c>
      <c r="E3980" s="817"/>
      <c r="F3980" s="817"/>
      <c r="G3980" s="817"/>
      <c r="H3980" s="817"/>
      <c r="I3980" s="175">
        <f t="shared" ref="I3980:Q3980" si="4677">SUM(I3981:I3985)</f>
        <v>0</v>
      </c>
      <c r="J3980" s="175">
        <f t="shared" si="4677"/>
        <v>31.557679999999998</v>
      </c>
      <c r="K3980" s="175">
        <f t="shared" si="4677"/>
        <v>0</v>
      </c>
      <c r="L3980" s="175">
        <f t="shared" si="4677"/>
        <v>38.473000000000006</v>
      </c>
      <c r="M3980" s="175">
        <f t="shared" si="4677"/>
        <v>0</v>
      </c>
      <c r="N3980" s="175">
        <f t="shared" si="4677"/>
        <v>0</v>
      </c>
      <c r="O3980" s="175">
        <f t="shared" si="4677"/>
        <v>0</v>
      </c>
      <c r="P3980" s="175">
        <f t="shared" si="4677"/>
        <v>0</v>
      </c>
      <c r="Q3980" s="175">
        <f t="shared" si="4677"/>
        <v>0</v>
      </c>
    </row>
    <row r="3981" spans="2:20" s="16" customFormat="1" ht="13.2" x14ac:dyDescent="0.25">
      <c r="D3981" s="235">
        <v>12</v>
      </c>
      <c r="E3981" s="237">
        <f>2*218</f>
        <v>436</v>
      </c>
      <c r="F3981" s="238">
        <v>5</v>
      </c>
      <c r="G3981" s="242">
        <v>0.47</v>
      </c>
      <c r="H3981" s="239">
        <f t="shared" ref="H3981:H3985" si="4678">E3981*G3981</f>
        <v>204.92</v>
      </c>
      <c r="I3981" s="122">
        <f t="shared" ref="I3981:I3985" si="4679">IF($F3981=4.2,H3981*$B$23,0)</f>
        <v>0</v>
      </c>
      <c r="J3981" s="29">
        <f t="shared" ref="J3981:J3985" si="4680">IF($F3981=5,$H3981*$B$24,0)</f>
        <v>31.557679999999998</v>
      </c>
      <c r="K3981" s="29">
        <f t="shared" ref="K3981:K3985" si="4681">IF($F3981=6.3,$H3981*$B$25,0)</f>
        <v>0</v>
      </c>
      <c r="L3981" s="29">
        <f t="shared" ref="L3981:L3985" si="4682">IF($F3981=8,$H3981*$B$26,0)</f>
        <v>0</v>
      </c>
      <c r="M3981" s="29">
        <f t="shared" ref="M3981:M3985" si="4683">IF($F3981=10,$H3981*$B$27,0)</f>
        <v>0</v>
      </c>
      <c r="N3981" s="29">
        <f t="shared" ref="N3981:N3985" si="4684">IF($F3981=12.5,$H3981*$B$28,0)</f>
        <v>0</v>
      </c>
      <c r="O3981" s="29">
        <f t="shared" ref="O3981:O3985" si="4685">IF($F3981=16,$H3981*$B$29,0)</f>
        <v>0</v>
      </c>
      <c r="P3981" s="29">
        <f t="shared" ref="P3981:P3985" si="4686">IF($F3981=20,$H3981*$B$30,0)</f>
        <v>0</v>
      </c>
      <c r="Q3981" s="37">
        <f t="shared" ref="Q3981:Q3985" si="4687">IF($F3981=25,$H3981*$B$31,0)</f>
        <v>0</v>
      </c>
    </row>
    <row r="3982" spans="2:20" s="16" customFormat="1" ht="13.2" x14ac:dyDescent="0.25">
      <c r="D3982" s="235">
        <v>15</v>
      </c>
      <c r="E3982" s="240">
        <f>2*2</f>
        <v>4</v>
      </c>
      <c r="F3982" s="241">
        <v>8</v>
      </c>
      <c r="G3982" s="242">
        <v>7.95</v>
      </c>
      <c r="H3982" s="239">
        <f t="shared" si="4678"/>
        <v>31.8</v>
      </c>
      <c r="I3982" s="122">
        <f t="shared" si="4679"/>
        <v>0</v>
      </c>
      <c r="J3982" s="29">
        <f t="shared" si="4680"/>
        <v>0</v>
      </c>
      <c r="K3982" s="29">
        <f t="shared" si="4681"/>
        <v>0</v>
      </c>
      <c r="L3982" s="29">
        <f t="shared" si="4682"/>
        <v>12.561000000000002</v>
      </c>
      <c r="M3982" s="29">
        <f t="shared" si="4683"/>
        <v>0</v>
      </c>
      <c r="N3982" s="29">
        <f t="shared" si="4684"/>
        <v>0</v>
      </c>
      <c r="O3982" s="29">
        <f t="shared" si="4685"/>
        <v>0</v>
      </c>
      <c r="P3982" s="29">
        <f t="shared" si="4686"/>
        <v>0</v>
      </c>
      <c r="Q3982" s="37">
        <f t="shared" si="4687"/>
        <v>0</v>
      </c>
    </row>
    <row r="3983" spans="2:20" s="16" customFormat="1" ht="13.2" x14ac:dyDescent="0.25">
      <c r="D3983" s="235">
        <v>16</v>
      </c>
      <c r="E3983" s="240">
        <f>2*2</f>
        <v>4</v>
      </c>
      <c r="F3983" s="241">
        <v>8</v>
      </c>
      <c r="G3983" s="242">
        <v>3.95</v>
      </c>
      <c r="H3983" s="239">
        <f t="shared" si="4678"/>
        <v>15.8</v>
      </c>
      <c r="I3983" s="122">
        <f t="shared" si="4679"/>
        <v>0</v>
      </c>
      <c r="J3983" s="29">
        <f t="shared" si="4680"/>
        <v>0</v>
      </c>
      <c r="K3983" s="29">
        <f t="shared" si="4681"/>
        <v>0</v>
      </c>
      <c r="L3983" s="29">
        <f t="shared" si="4682"/>
        <v>6.2410000000000005</v>
      </c>
      <c r="M3983" s="29">
        <f t="shared" si="4683"/>
        <v>0</v>
      </c>
      <c r="N3983" s="29">
        <f t="shared" si="4684"/>
        <v>0</v>
      </c>
      <c r="O3983" s="29">
        <f t="shared" si="4685"/>
        <v>0</v>
      </c>
      <c r="P3983" s="29">
        <f t="shared" si="4686"/>
        <v>0</v>
      </c>
      <c r="Q3983" s="37">
        <f t="shared" si="4687"/>
        <v>0</v>
      </c>
    </row>
    <row r="3984" spans="2:20" s="16" customFormat="1" ht="13.2" x14ac:dyDescent="0.25">
      <c r="D3984" s="235">
        <v>17</v>
      </c>
      <c r="E3984" s="240">
        <f>2*2</f>
        <v>4</v>
      </c>
      <c r="F3984" s="241">
        <v>8</v>
      </c>
      <c r="G3984" s="242">
        <v>10.97</v>
      </c>
      <c r="H3984" s="239">
        <f t="shared" si="4678"/>
        <v>43.88</v>
      </c>
      <c r="I3984" s="122">
        <f t="shared" si="4679"/>
        <v>0</v>
      </c>
      <c r="J3984" s="29">
        <f t="shared" si="4680"/>
        <v>0</v>
      </c>
      <c r="K3984" s="29">
        <f t="shared" si="4681"/>
        <v>0</v>
      </c>
      <c r="L3984" s="29">
        <f t="shared" si="4682"/>
        <v>17.332600000000003</v>
      </c>
      <c r="M3984" s="29">
        <f t="shared" si="4683"/>
        <v>0</v>
      </c>
      <c r="N3984" s="29">
        <f t="shared" si="4684"/>
        <v>0</v>
      </c>
      <c r="O3984" s="29">
        <f t="shared" si="4685"/>
        <v>0</v>
      </c>
      <c r="P3984" s="29">
        <f t="shared" si="4686"/>
        <v>0</v>
      </c>
      <c r="Q3984" s="37">
        <f t="shared" si="4687"/>
        <v>0</v>
      </c>
    </row>
    <row r="3985" spans="2:20" s="16" customFormat="1" ht="13.2" x14ac:dyDescent="0.25">
      <c r="D3985" s="235">
        <v>18</v>
      </c>
      <c r="E3985" s="240">
        <f>2*2</f>
        <v>4</v>
      </c>
      <c r="F3985" s="241">
        <v>8</v>
      </c>
      <c r="G3985" s="242">
        <v>1.48</v>
      </c>
      <c r="H3985" s="239">
        <f t="shared" si="4678"/>
        <v>5.92</v>
      </c>
      <c r="I3985" s="122">
        <f t="shared" si="4679"/>
        <v>0</v>
      </c>
      <c r="J3985" s="29">
        <f t="shared" si="4680"/>
        <v>0</v>
      </c>
      <c r="K3985" s="29">
        <f t="shared" si="4681"/>
        <v>0</v>
      </c>
      <c r="L3985" s="29">
        <f t="shared" si="4682"/>
        <v>2.3384</v>
      </c>
      <c r="M3985" s="29">
        <f t="shared" si="4683"/>
        <v>0</v>
      </c>
      <c r="N3985" s="29">
        <f t="shared" si="4684"/>
        <v>0</v>
      </c>
      <c r="O3985" s="29">
        <f t="shared" si="4685"/>
        <v>0</v>
      </c>
      <c r="P3985" s="29">
        <f t="shared" si="4686"/>
        <v>0</v>
      </c>
      <c r="Q3985" s="37">
        <f t="shared" si="4687"/>
        <v>0</v>
      </c>
    </row>
    <row r="3986" spans="2:20" s="16" customFormat="1" ht="15" customHeight="1" thickBot="1" x14ac:dyDescent="0.3">
      <c r="B3986" s="34"/>
      <c r="D3986" s="23"/>
      <c r="E3986" s="24"/>
      <c r="F3986" s="25"/>
      <c r="G3986" s="28"/>
      <c r="H3986" s="28"/>
      <c r="I3986" s="48"/>
      <c r="J3986" s="176"/>
      <c r="K3986" s="176"/>
      <c r="L3986" s="176"/>
      <c r="M3986" s="176"/>
      <c r="N3986" s="176"/>
      <c r="O3986" s="176"/>
      <c r="P3986" s="176"/>
      <c r="Q3986" s="177"/>
      <c r="S3986" s="795"/>
      <c r="T3986" s="795"/>
    </row>
    <row r="3987" spans="2:20" s="16" customFormat="1" ht="13.8" thickBot="1" x14ac:dyDescent="0.3">
      <c r="D3987" s="792" t="s">
        <v>1291</v>
      </c>
      <c r="E3987" s="793"/>
      <c r="F3987" s="793"/>
      <c r="G3987" s="793"/>
      <c r="H3987" s="793"/>
      <c r="I3987" s="793"/>
      <c r="J3987" s="793"/>
      <c r="K3987" s="793"/>
      <c r="L3987" s="793"/>
      <c r="M3987" s="793"/>
      <c r="N3987" s="793"/>
      <c r="O3987" s="793"/>
      <c r="P3987" s="793"/>
      <c r="Q3987" s="794"/>
    </row>
    <row r="3988" spans="2:20" s="16" customFormat="1" ht="13.2" x14ac:dyDescent="0.25">
      <c r="D3988" s="816" t="s">
        <v>1334</v>
      </c>
      <c r="E3988" s="817"/>
      <c r="F3988" s="817"/>
      <c r="G3988" s="817"/>
      <c r="H3988" s="817"/>
      <c r="I3988" s="47">
        <f t="shared" ref="I3988:Q3988" si="4688">SUM(I3989:I3991)</f>
        <v>0</v>
      </c>
      <c r="J3988" s="47">
        <f t="shared" si="4688"/>
        <v>15.634079999999999</v>
      </c>
      <c r="K3988" s="47">
        <f t="shared" si="4688"/>
        <v>0</v>
      </c>
      <c r="L3988" s="47">
        <f t="shared" si="4688"/>
        <v>17.743400000000001</v>
      </c>
      <c r="M3988" s="47">
        <f t="shared" si="4688"/>
        <v>0</v>
      </c>
      <c r="N3988" s="47">
        <f t="shared" si="4688"/>
        <v>0</v>
      </c>
      <c r="O3988" s="47">
        <f t="shared" si="4688"/>
        <v>0</v>
      </c>
      <c r="P3988" s="47">
        <f t="shared" si="4688"/>
        <v>0</v>
      </c>
      <c r="Q3988" s="47">
        <f t="shared" si="4688"/>
        <v>0</v>
      </c>
    </row>
    <row r="3989" spans="2:20" s="16" customFormat="1" ht="13.2" x14ac:dyDescent="0.25">
      <c r="D3989" s="235">
        <v>15</v>
      </c>
      <c r="E3989" s="237">
        <v>216</v>
      </c>
      <c r="F3989" s="238">
        <v>5</v>
      </c>
      <c r="G3989" s="239">
        <v>0.47</v>
      </c>
      <c r="H3989" s="239">
        <f t="shared" ref="H3989:H3991" si="4689">E3989*G3989</f>
        <v>101.52</v>
      </c>
      <c r="I3989" s="122">
        <f t="shared" ref="I3989:I3991" si="4690">IF($F3989=4.2,H3989*$B$23,0)</f>
        <v>0</v>
      </c>
      <c r="J3989" s="29">
        <f t="shared" ref="J3989:J3991" si="4691">IF($F3989=5,$H3989*$B$24,0)</f>
        <v>15.634079999999999</v>
      </c>
      <c r="K3989" s="29">
        <f t="shared" ref="K3989:K3991" si="4692">IF($F3989=6.3,$H3989*$B$25,0)</f>
        <v>0</v>
      </c>
      <c r="L3989" s="29">
        <f t="shared" ref="L3989:L3991" si="4693">IF($F3989=8,$H3989*$B$26,0)</f>
        <v>0</v>
      </c>
      <c r="M3989" s="29">
        <f t="shared" ref="M3989:M3991" si="4694">IF($F3989=10,$H3989*$B$27,0)</f>
        <v>0</v>
      </c>
      <c r="N3989" s="29">
        <f t="shared" ref="N3989:N3991" si="4695">IF($F3989=12.5,$H3989*$B$28,0)</f>
        <v>0</v>
      </c>
      <c r="O3989" s="29">
        <f t="shared" ref="O3989:O3991" si="4696">IF($F3989=16,$H3989*$B$29,0)</f>
        <v>0</v>
      </c>
      <c r="P3989" s="29">
        <f t="shared" ref="P3989:P3991" si="4697">IF($F3989=20,$H3989*$B$30,0)</f>
        <v>0</v>
      </c>
      <c r="Q3989" s="37">
        <f t="shared" ref="Q3989:Q3991" si="4698">IF($F3989=25,$H3989*$B$31,0)</f>
        <v>0</v>
      </c>
    </row>
    <row r="3990" spans="2:20" s="16" customFormat="1" ht="13.2" x14ac:dyDescent="0.25">
      <c r="D3990" s="235">
        <v>17</v>
      </c>
      <c r="E3990" s="240">
        <v>2</v>
      </c>
      <c r="F3990" s="241">
        <v>8</v>
      </c>
      <c r="G3990" s="242">
        <v>11.11</v>
      </c>
      <c r="H3990" s="239">
        <f t="shared" si="4689"/>
        <v>22.22</v>
      </c>
      <c r="I3990" s="122">
        <f t="shared" si="4690"/>
        <v>0</v>
      </c>
      <c r="J3990" s="29">
        <f t="shared" si="4691"/>
        <v>0</v>
      </c>
      <c r="K3990" s="29">
        <f t="shared" si="4692"/>
        <v>0</v>
      </c>
      <c r="L3990" s="29">
        <f t="shared" si="4693"/>
        <v>8.7768999999999995</v>
      </c>
      <c r="M3990" s="29">
        <f t="shared" si="4694"/>
        <v>0</v>
      </c>
      <c r="N3990" s="29">
        <f t="shared" si="4695"/>
        <v>0</v>
      </c>
      <c r="O3990" s="29">
        <f t="shared" si="4696"/>
        <v>0</v>
      </c>
      <c r="P3990" s="29">
        <f t="shared" si="4697"/>
        <v>0</v>
      </c>
      <c r="Q3990" s="37">
        <f t="shared" si="4698"/>
        <v>0</v>
      </c>
    </row>
    <row r="3991" spans="2:20" s="16" customFormat="1" ht="15" customHeight="1" x14ac:dyDescent="0.25">
      <c r="D3991" s="235">
        <v>18</v>
      </c>
      <c r="E3991" s="240">
        <v>2</v>
      </c>
      <c r="F3991" s="241">
        <v>8</v>
      </c>
      <c r="G3991" s="242">
        <v>11.35</v>
      </c>
      <c r="H3991" s="239">
        <f t="shared" si="4689"/>
        <v>22.7</v>
      </c>
      <c r="I3991" s="122">
        <f t="shared" si="4690"/>
        <v>0</v>
      </c>
      <c r="J3991" s="29">
        <f t="shared" si="4691"/>
        <v>0</v>
      </c>
      <c r="K3991" s="29">
        <f t="shared" si="4692"/>
        <v>0</v>
      </c>
      <c r="L3991" s="29">
        <f t="shared" si="4693"/>
        <v>8.9664999999999999</v>
      </c>
      <c r="M3991" s="29">
        <f t="shared" si="4694"/>
        <v>0</v>
      </c>
      <c r="N3991" s="29">
        <f t="shared" si="4695"/>
        <v>0</v>
      </c>
      <c r="O3991" s="29">
        <f t="shared" si="4696"/>
        <v>0</v>
      </c>
      <c r="P3991" s="29">
        <f t="shared" si="4697"/>
        <v>0</v>
      </c>
      <c r="Q3991" s="37">
        <f t="shared" si="4698"/>
        <v>0</v>
      </c>
    </row>
    <row r="3992" spans="2:20" s="16" customFormat="1" ht="13.8" thickBot="1" x14ac:dyDescent="0.3">
      <c r="D3992" s="178"/>
      <c r="E3992" s="179"/>
      <c r="F3992" s="180"/>
      <c r="G3992" s="181"/>
      <c r="H3992" s="123"/>
      <c r="I3992" s="182"/>
      <c r="J3992" s="183"/>
      <c r="K3992" s="183"/>
      <c r="L3992" s="183"/>
      <c r="M3992" s="183"/>
      <c r="N3992" s="183"/>
      <c r="O3992" s="183"/>
      <c r="P3992" s="183"/>
      <c r="Q3992" s="184"/>
    </row>
    <row r="3993" spans="2:20" s="16" customFormat="1" ht="13.2" x14ac:dyDescent="0.25">
      <c r="D3993" s="816" t="s">
        <v>1335</v>
      </c>
      <c r="E3993" s="817"/>
      <c r="F3993" s="817"/>
      <c r="G3993" s="817"/>
      <c r="H3993" s="817"/>
      <c r="I3993" s="175">
        <f t="shared" ref="I3993:Q3993" si="4699">SUM(I3994:I3998)</f>
        <v>0</v>
      </c>
      <c r="J3993" s="175">
        <f t="shared" si="4699"/>
        <v>11.363659999999999</v>
      </c>
      <c r="K3993" s="175">
        <f t="shared" si="4699"/>
        <v>2.548</v>
      </c>
      <c r="L3993" s="175">
        <f t="shared" si="4699"/>
        <v>9.2983000000000011</v>
      </c>
      <c r="M3993" s="175">
        <f t="shared" si="4699"/>
        <v>0</v>
      </c>
      <c r="N3993" s="175">
        <f t="shared" si="4699"/>
        <v>0</v>
      </c>
      <c r="O3993" s="175">
        <f t="shared" si="4699"/>
        <v>0</v>
      </c>
      <c r="P3993" s="175">
        <f t="shared" si="4699"/>
        <v>0</v>
      </c>
      <c r="Q3993" s="175">
        <f t="shared" si="4699"/>
        <v>0</v>
      </c>
    </row>
    <row r="3994" spans="2:20" s="16" customFormat="1" ht="13.2" x14ac:dyDescent="0.25">
      <c r="D3994" s="235">
        <v>15</v>
      </c>
      <c r="E3994" s="237">
        <v>157</v>
      </c>
      <c r="F3994" s="238">
        <v>5</v>
      </c>
      <c r="G3994" s="239">
        <v>0.47</v>
      </c>
      <c r="H3994" s="239">
        <f t="shared" ref="H3994:H3998" si="4700">E3994*G3994</f>
        <v>73.789999999999992</v>
      </c>
      <c r="I3994" s="131">
        <f t="shared" ref="I3994:I3998" si="4701">IF($F3994=4.2,H3994*$B$23,0)</f>
        <v>0</v>
      </c>
      <c r="J3994" s="31">
        <f t="shared" ref="J3994:J3998" si="4702">IF($F3994=5,$H3994*$B$24,0)</f>
        <v>11.363659999999999</v>
      </c>
      <c r="K3994" s="31">
        <f t="shared" ref="K3994:K3998" si="4703">IF($F3994=6.3,$H3994*$B$25,0)</f>
        <v>0</v>
      </c>
      <c r="L3994" s="31">
        <f t="shared" ref="L3994:L3998" si="4704">IF($F3994=8,$H3994*$B$26,0)</f>
        <v>0</v>
      </c>
      <c r="M3994" s="31">
        <f t="shared" ref="M3994:M3998" si="4705">IF($F3994=10,$H3994*$B$27,0)</f>
        <v>0</v>
      </c>
      <c r="N3994" s="31">
        <f t="shared" ref="N3994:N3998" si="4706">IF($F3994=12.5,$H3994*$B$28,0)</f>
        <v>0</v>
      </c>
      <c r="O3994" s="31">
        <f t="shared" ref="O3994:O3998" si="4707">IF($F3994=16,$H3994*$B$29,0)</f>
        <v>0</v>
      </c>
      <c r="P3994" s="31">
        <f t="shared" ref="P3994:P3998" si="4708">IF($F3994=20,$H3994*$B$30,0)</f>
        <v>0</v>
      </c>
      <c r="Q3994" s="49">
        <f t="shared" ref="Q3994:Q3998" si="4709">IF($F3994=25,$H3994*$B$31,0)</f>
        <v>0</v>
      </c>
    </row>
    <row r="3995" spans="2:20" s="16" customFormat="1" ht="13.2" x14ac:dyDescent="0.25">
      <c r="D3995" s="235">
        <v>16</v>
      </c>
      <c r="E3995" s="237">
        <v>2</v>
      </c>
      <c r="F3995" s="238">
        <v>6.3</v>
      </c>
      <c r="G3995" s="239">
        <v>5.2</v>
      </c>
      <c r="H3995" s="239">
        <f t="shared" si="4700"/>
        <v>10.4</v>
      </c>
      <c r="I3995" s="131">
        <f t="shared" si="4701"/>
        <v>0</v>
      </c>
      <c r="J3995" s="31">
        <f t="shared" si="4702"/>
        <v>0</v>
      </c>
      <c r="K3995" s="31">
        <f t="shared" si="4703"/>
        <v>2.548</v>
      </c>
      <c r="L3995" s="31">
        <f t="shared" si="4704"/>
        <v>0</v>
      </c>
      <c r="M3995" s="31">
        <f t="shared" si="4705"/>
        <v>0</v>
      </c>
      <c r="N3995" s="31">
        <f t="shared" si="4706"/>
        <v>0</v>
      </c>
      <c r="O3995" s="31">
        <f t="shared" si="4707"/>
        <v>0</v>
      </c>
      <c r="P3995" s="31">
        <f t="shared" si="4708"/>
        <v>0</v>
      </c>
      <c r="Q3995" s="49">
        <f t="shared" si="4709"/>
        <v>0</v>
      </c>
    </row>
    <row r="3996" spans="2:20" s="16" customFormat="1" ht="13.2" x14ac:dyDescent="0.25">
      <c r="D3996" s="235">
        <v>19</v>
      </c>
      <c r="E3996" s="237">
        <v>2</v>
      </c>
      <c r="F3996" s="238">
        <v>8</v>
      </c>
      <c r="G3996" s="239">
        <v>8.09</v>
      </c>
      <c r="H3996" s="239">
        <f t="shared" si="4700"/>
        <v>16.18</v>
      </c>
      <c r="I3996" s="131">
        <f t="shared" si="4701"/>
        <v>0</v>
      </c>
      <c r="J3996" s="31">
        <f t="shared" si="4702"/>
        <v>0</v>
      </c>
      <c r="K3996" s="31">
        <f t="shared" si="4703"/>
        <v>0</v>
      </c>
      <c r="L3996" s="31">
        <f t="shared" si="4704"/>
        <v>6.3910999999999998</v>
      </c>
      <c r="M3996" s="31">
        <f t="shared" si="4705"/>
        <v>0</v>
      </c>
      <c r="N3996" s="31">
        <f t="shared" si="4706"/>
        <v>0</v>
      </c>
      <c r="O3996" s="31">
        <f t="shared" si="4707"/>
        <v>0</v>
      </c>
      <c r="P3996" s="31">
        <f t="shared" si="4708"/>
        <v>0</v>
      </c>
      <c r="Q3996" s="49">
        <f t="shared" si="4709"/>
        <v>0</v>
      </c>
    </row>
    <row r="3997" spans="2:20" s="16" customFormat="1" ht="13.2" x14ac:dyDescent="0.25">
      <c r="D3997" s="235">
        <v>20</v>
      </c>
      <c r="E3997" s="237">
        <v>2</v>
      </c>
      <c r="F3997" s="238">
        <v>8</v>
      </c>
      <c r="G3997" s="239">
        <v>2.08</v>
      </c>
      <c r="H3997" s="239">
        <f t="shared" si="4700"/>
        <v>4.16</v>
      </c>
      <c r="I3997" s="131">
        <f t="shared" si="4701"/>
        <v>0</v>
      </c>
      <c r="J3997" s="31">
        <f t="shared" si="4702"/>
        <v>0</v>
      </c>
      <c r="K3997" s="31">
        <f t="shared" si="4703"/>
        <v>0</v>
      </c>
      <c r="L3997" s="31">
        <f t="shared" si="4704"/>
        <v>1.6432000000000002</v>
      </c>
      <c r="M3997" s="31">
        <f t="shared" si="4705"/>
        <v>0</v>
      </c>
      <c r="N3997" s="31">
        <f t="shared" si="4706"/>
        <v>0</v>
      </c>
      <c r="O3997" s="31">
        <f t="shared" si="4707"/>
        <v>0</v>
      </c>
      <c r="P3997" s="31">
        <f t="shared" si="4708"/>
        <v>0</v>
      </c>
      <c r="Q3997" s="49">
        <f t="shared" si="4709"/>
        <v>0</v>
      </c>
    </row>
    <row r="3998" spans="2:20" s="16" customFormat="1" ht="13.2" x14ac:dyDescent="0.25">
      <c r="D3998" s="235">
        <v>21</v>
      </c>
      <c r="E3998" s="237">
        <v>2</v>
      </c>
      <c r="F3998" s="238">
        <v>8</v>
      </c>
      <c r="G3998" s="239">
        <v>1.6</v>
      </c>
      <c r="H3998" s="239">
        <f t="shared" si="4700"/>
        <v>3.2</v>
      </c>
      <c r="I3998" s="131">
        <f t="shared" si="4701"/>
        <v>0</v>
      </c>
      <c r="J3998" s="31">
        <f t="shared" si="4702"/>
        <v>0</v>
      </c>
      <c r="K3998" s="31">
        <f t="shared" si="4703"/>
        <v>0</v>
      </c>
      <c r="L3998" s="31">
        <f t="shared" si="4704"/>
        <v>1.2640000000000002</v>
      </c>
      <c r="M3998" s="31">
        <f t="shared" si="4705"/>
        <v>0</v>
      </c>
      <c r="N3998" s="31">
        <f t="shared" si="4706"/>
        <v>0</v>
      </c>
      <c r="O3998" s="31">
        <f t="shared" si="4707"/>
        <v>0</v>
      </c>
      <c r="P3998" s="31">
        <f t="shared" si="4708"/>
        <v>0</v>
      </c>
      <c r="Q3998" s="49">
        <f t="shared" si="4709"/>
        <v>0</v>
      </c>
    </row>
    <row r="3999" spans="2:20" s="16" customFormat="1" ht="13.8" thickBot="1" x14ac:dyDescent="0.3">
      <c r="D3999" s="27"/>
      <c r="E3999" s="185"/>
      <c r="F3999" s="32"/>
      <c r="G3999" s="33"/>
      <c r="H3999" s="28"/>
      <c r="I3999" s="51"/>
      <c r="J3999" s="52"/>
      <c r="K3999" s="52"/>
      <c r="L3999" s="52"/>
      <c r="M3999" s="52"/>
      <c r="N3999" s="52"/>
      <c r="O3999" s="52"/>
      <c r="P3999" s="52"/>
      <c r="Q3999" s="53"/>
    </row>
    <row r="4000" spans="2:20" s="16" customFormat="1" ht="13.2" x14ac:dyDescent="0.25">
      <c r="D4000" s="816" t="s">
        <v>1336</v>
      </c>
      <c r="E4000" s="817"/>
      <c r="F4000" s="817"/>
      <c r="G4000" s="817"/>
      <c r="H4000" s="817"/>
      <c r="I4000" s="47">
        <f t="shared" ref="I4000:L4000" si="4710">SUM(I4001:I4003)</f>
        <v>0</v>
      </c>
      <c r="J4000" s="47">
        <f t="shared" si="4710"/>
        <v>12.666499999999999</v>
      </c>
      <c r="K4000" s="47">
        <f t="shared" si="4710"/>
        <v>0</v>
      </c>
      <c r="L4000" s="47">
        <f t="shared" si="4710"/>
        <v>14.646600000000003</v>
      </c>
      <c r="M4000" s="47">
        <f>SUM(M4001:M4003)</f>
        <v>0</v>
      </c>
      <c r="N4000" s="47">
        <f t="shared" ref="N4000:Q4000" si="4711">SUM(N4001:N4003)</f>
        <v>0</v>
      </c>
      <c r="O4000" s="47">
        <f t="shared" si="4711"/>
        <v>0</v>
      </c>
      <c r="P4000" s="47">
        <f t="shared" si="4711"/>
        <v>0</v>
      </c>
      <c r="Q4000" s="47">
        <f t="shared" si="4711"/>
        <v>0</v>
      </c>
    </row>
    <row r="4001" spans="4:17" s="16" customFormat="1" ht="13.2" x14ac:dyDescent="0.25">
      <c r="D4001" s="235">
        <v>15</v>
      </c>
      <c r="E4001" s="237">
        <v>175</v>
      </c>
      <c r="F4001" s="241">
        <v>5</v>
      </c>
      <c r="G4001" s="239">
        <v>0.47</v>
      </c>
      <c r="H4001" s="239">
        <f>E4001*G4001</f>
        <v>82.25</v>
      </c>
      <c r="I4001" s="131">
        <f>IF($F4001=4.2,H4001*$B$23,0)</f>
        <v>0</v>
      </c>
      <c r="J4001" s="31">
        <f>IF($F4001=5,$H4001*$B$24,0)</f>
        <v>12.666499999999999</v>
      </c>
      <c r="K4001" s="31">
        <f>IF($F4001=6.3,$H4001*$B$25,0)</f>
        <v>0</v>
      </c>
      <c r="L4001" s="31">
        <f>IF($F4001=8,$H4001*$B$26,0)</f>
        <v>0</v>
      </c>
      <c r="M4001" s="31">
        <f>IF($F4001=10,$H4001*$B$27,0)</f>
        <v>0</v>
      </c>
      <c r="N4001" s="31">
        <f>IF($F4001=12.5,$H4001*$B$28,0)</f>
        <v>0</v>
      </c>
      <c r="O4001" s="31">
        <f>IF($F4001=16,$H4001*$B$29,0)</f>
        <v>0</v>
      </c>
      <c r="P4001" s="31">
        <f>IF($F4001=20,$H4001*$B$30,0)</f>
        <v>0</v>
      </c>
      <c r="Q4001" s="49">
        <f>IF($F4001=25,$H4001*$B$31,0)</f>
        <v>0</v>
      </c>
    </row>
    <row r="4002" spans="4:17" s="16" customFormat="1" ht="13.2" x14ac:dyDescent="0.25">
      <c r="D4002" s="235">
        <v>22</v>
      </c>
      <c r="E4002" s="237">
        <v>2</v>
      </c>
      <c r="F4002" s="241">
        <v>8</v>
      </c>
      <c r="G4002" s="242">
        <v>9.14</v>
      </c>
      <c r="H4002" s="239">
        <f>E4002*G4002</f>
        <v>18.28</v>
      </c>
      <c r="I4002" s="131">
        <f>IF($F4002=4.2,H4002*$B$23,0)</f>
        <v>0</v>
      </c>
      <c r="J4002" s="31">
        <f>IF($F4002=5,$H4002*$B$24,0)</f>
        <v>0</v>
      </c>
      <c r="K4002" s="31">
        <f>IF($F4002=6.3,$H4002*$B$25,0)</f>
        <v>0</v>
      </c>
      <c r="L4002" s="31">
        <f>IF($F4002=8,$H4002*$B$26,0)</f>
        <v>7.220600000000001</v>
      </c>
      <c r="M4002" s="31">
        <f>IF($F4002=10,$H4002*$B$27,0)</f>
        <v>0</v>
      </c>
      <c r="N4002" s="31">
        <f>IF($F4002=12.5,$H4002*$B$28,0)</f>
        <v>0</v>
      </c>
      <c r="O4002" s="31">
        <f>IF($F4002=16,$H4002*$B$29,0)</f>
        <v>0</v>
      </c>
      <c r="P4002" s="31">
        <f>IF($F4002=20,$H4002*$B$30,0)</f>
        <v>0</v>
      </c>
      <c r="Q4002" s="49">
        <f>IF($F4002=25,$H4002*$B$31,0)</f>
        <v>0</v>
      </c>
    </row>
    <row r="4003" spans="4:17" s="16" customFormat="1" ht="15" customHeight="1" x14ac:dyDescent="0.25">
      <c r="D4003" s="235">
        <v>23</v>
      </c>
      <c r="E4003" s="237">
        <v>2</v>
      </c>
      <c r="F4003" s="241">
        <v>8</v>
      </c>
      <c r="G4003" s="242">
        <v>9.4</v>
      </c>
      <c r="H4003" s="239">
        <f>E4003*G4003</f>
        <v>18.8</v>
      </c>
      <c r="I4003" s="131">
        <f>IF($F4003=4.2,H4003*$B$23,0)</f>
        <v>0</v>
      </c>
      <c r="J4003" s="31">
        <f>IF($F4003=5,$H4003*$B$24,0)</f>
        <v>0</v>
      </c>
      <c r="K4003" s="31">
        <f>IF($F4003=6.3,$H4003*$B$25,0)</f>
        <v>0</v>
      </c>
      <c r="L4003" s="31">
        <f>IF($F4003=8,$H4003*$B$26,0)</f>
        <v>7.426000000000001</v>
      </c>
      <c r="M4003" s="31">
        <f>IF($F4003=10,$H4003*$B$27,0)</f>
        <v>0</v>
      </c>
      <c r="N4003" s="31">
        <f>IF($F4003=12.5,$H4003*$B$28,0)</f>
        <v>0</v>
      </c>
      <c r="O4003" s="31">
        <f>IF($F4003=16,$H4003*$B$29,0)</f>
        <v>0</v>
      </c>
      <c r="P4003" s="31">
        <f>IF($F4003=20,$H4003*$B$30,0)</f>
        <v>0</v>
      </c>
      <c r="Q4003" s="49">
        <f>IF($F4003=25,$H4003*$B$31,0)</f>
        <v>0</v>
      </c>
    </row>
    <row r="4004" spans="4:17" s="16" customFormat="1" ht="13.8" thickBot="1" x14ac:dyDescent="0.3">
      <c r="D4004" s="178"/>
      <c r="E4004" s="179"/>
      <c r="F4004" s="180"/>
      <c r="G4004" s="181"/>
      <c r="H4004" s="123"/>
      <c r="I4004" s="182"/>
      <c r="J4004" s="183"/>
      <c r="K4004" s="183"/>
      <c r="L4004" s="183"/>
      <c r="M4004" s="183"/>
      <c r="N4004" s="183"/>
      <c r="O4004" s="183"/>
      <c r="P4004" s="183"/>
      <c r="Q4004" s="184"/>
    </row>
    <row r="4005" spans="4:17" s="16" customFormat="1" ht="13.2" x14ac:dyDescent="0.25">
      <c r="D4005" s="816" t="s">
        <v>1337</v>
      </c>
      <c r="E4005" s="817"/>
      <c r="F4005" s="817"/>
      <c r="G4005" s="817"/>
      <c r="H4005" s="817"/>
      <c r="I4005" s="175">
        <f t="shared" ref="I4005:Q4005" si="4712">SUM(I4006:I4008)</f>
        <v>0</v>
      </c>
      <c r="J4005" s="175">
        <f t="shared" si="4712"/>
        <v>11.001759999999999</v>
      </c>
      <c r="K4005" s="175">
        <f t="shared" si="4712"/>
        <v>0</v>
      </c>
      <c r="L4005" s="175">
        <f t="shared" si="4712"/>
        <v>12.956</v>
      </c>
      <c r="M4005" s="175">
        <f t="shared" si="4712"/>
        <v>0</v>
      </c>
      <c r="N4005" s="175">
        <f t="shared" si="4712"/>
        <v>0</v>
      </c>
      <c r="O4005" s="175">
        <f t="shared" si="4712"/>
        <v>0</v>
      </c>
      <c r="P4005" s="175">
        <f t="shared" si="4712"/>
        <v>0</v>
      </c>
      <c r="Q4005" s="175">
        <f t="shared" si="4712"/>
        <v>0</v>
      </c>
    </row>
    <row r="4006" spans="4:17" s="16" customFormat="1" ht="13.2" x14ac:dyDescent="0.25">
      <c r="D4006" s="235">
        <v>15</v>
      </c>
      <c r="E4006" s="237">
        <v>152</v>
      </c>
      <c r="F4006" s="241">
        <v>5</v>
      </c>
      <c r="G4006" s="239">
        <v>0.47</v>
      </c>
      <c r="H4006" s="239">
        <f t="shared" ref="H4006:H4008" si="4713">E4006*G4006</f>
        <v>71.44</v>
      </c>
      <c r="I4006" s="131">
        <f t="shared" ref="I4006:I4008" si="4714">IF($F4006=4.2,H4006*$B$23,0)</f>
        <v>0</v>
      </c>
      <c r="J4006" s="31">
        <f t="shared" ref="J4006:J4008" si="4715">IF($F4006=5,$H4006*$B$24,0)</f>
        <v>11.001759999999999</v>
      </c>
      <c r="K4006" s="31">
        <f t="shared" ref="K4006:K4008" si="4716">IF($F4006=6.3,$H4006*$B$25,0)</f>
        <v>0</v>
      </c>
      <c r="L4006" s="31">
        <f t="shared" ref="L4006:L4008" si="4717">IF($F4006=8,$H4006*$B$26,0)</f>
        <v>0</v>
      </c>
      <c r="M4006" s="31">
        <f t="shared" ref="M4006:M4008" si="4718">IF($F4006=10,$H4006*$B$27,0)</f>
        <v>0</v>
      </c>
      <c r="N4006" s="31">
        <f t="shared" ref="N4006:N4008" si="4719">IF($F4006=12.5,$H4006*$B$28,0)</f>
        <v>0</v>
      </c>
      <c r="O4006" s="31">
        <f t="shared" ref="O4006:O4008" si="4720">IF($F4006=16,$H4006*$B$29,0)</f>
        <v>0</v>
      </c>
      <c r="P4006" s="31">
        <f t="shared" ref="P4006:P4008" si="4721">IF($F4006=20,$H4006*$B$30,0)</f>
        <v>0</v>
      </c>
      <c r="Q4006" s="49">
        <f t="shared" ref="Q4006:Q4008" si="4722">IF($F4006=25,$H4006*$B$31,0)</f>
        <v>0</v>
      </c>
    </row>
    <row r="4007" spans="4:17" s="16" customFormat="1" ht="13.2" x14ac:dyDescent="0.25">
      <c r="D4007" s="235">
        <v>24</v>
      </c>
      <c r="E4007" s="237">
        <v>2</v>
      </c>
      <c r="F4007" s="241">
        <v>8</v>
      </c>
      <c r="G4007" s="242">
        <v>8.1199999999999992</v>
      </c>
      <c r="H4007" s="239">
        <f t="shared" si="4713"/>
        <v>16.239999999999998</v>
      </c>
      <c r="I4007" s="131">
        <f t="shared" si="4714"/>
        <v>0</v>
      </c>
      <c r="J4007" s="31">
        <f t="shared" si="4715"/>
        <v>0</v>
      </c>
      <c r="K4007" s="31">
        <f t="shared" si="4716"/>
        <v>0</v>
      </c>
      <c r="L4007" s="31">
        <f t="shared" si="4717"/>
        <v>6.4147999999999996</v>
      </c>
      <c r="M4007" s="31">
        <f t="shared" si="4718"/>
        <v>0</v>
      </c>
      <c r="N4007" s="31">
        <f t="shared" si="4719"/>
        <v>0</v>
      </c>
      <c r="O4007" s="31">
        <f t="shared" si="4720"/>
        <v>0</v>
      </c>
      <c r="P4007" s="31">
        <f t="shared" si="4721"/>
        <v>0</v>
      </c>
      <c r="Q4007" s="49">
        <f t="shared" si="4722"/>
        <v>0</v>
      </c>
    </row>
    <row r="4008" spans="4:17" s="16" customFormat="1" ht="13.2" x14ac:dyDescent="0.25">
      <c r="D4008" s="235">
        <v>25</v>
      </c>
      <c r="E4008" s="237">
        <v>2</v>
      </c>
      <c r="F4008" s="241">
        <v>8</v>
      </c>
      <c r="G4008" s="242">
        <v>8.2799999999999994</v>
      </c>
      <c r="H4008" s="239">
        <f t="shared" si="4713"/>
        <v>16.559999999999999</v>
      </c>
      <c r="I4008" s="131">
        <f t="shared" si="4714"/>
        <v>0</v>
      </c>
      <c r="J4008" s="31">
        <f t="shared" si="4715"/>
        <v>0</v>
      </c>
      <c r="K4008" s="31">
        <f t="shared" si="4716"/>
        <v>0</v>
      </c>
      <c r="L4008" s="31">
        <f t="shared" si="4717"/>
        <v>6.5411999999999999</v>
      </c>
      <c r="M4008" s="31">
        <f t="shared" si="4718"/>
        <v>0</v>
      </c>
      <c r="N4008" s="31">
        <f t="shared" si="4719"/>
        <v>0</v>
      </c>
      <c r="O4008" s="31">
        <f t="shared" si="4720"/>
        <v>0</v>
      </c>
      <c r="P4008" s="31">
        <f t="shared" si="4721"/>
        <v>0</v>
      </c>
      <c r="Q4008" s="49">
        <f t="shared" si="4722"/>
        <v>0</v>
      </c>
    </row>
    <row r="4009" spans="4:17" s="16" customFormat="1" ht="13.8" thickBot="1" x14ac:dyDescent="0.3">
      <c r="D4009" s="243"/>
      <c r="E4009" s="185"/>
      <c r="F4009" s="32"/>
      <c r="G4009" s="33"/>
      <c r="H4009" s="28"/>
      <c r="I4009" s="51"/>
      <c r="J4009" s="52"/>
      <c r="K4009" s="52"/>
      <c r="L4009" s="52"/>
      <c r="M4009" s="52"/>
      <c r="N4009" s="52"/>
      <c r="O4009" s="52"/>
      <c r="P4009" s="52"/>
      <c r="Q4009" s="53"/>
    </row>
    <row r="4010" spans="4:17" s="16" customFormat="1" ht="13.2" x14ac:dyDescent="0.25">
      <c r="D4010" s="810" t="s">
        <v>1338</v>
      </c>
      <c r="E4010" s="811"/>
      <c r="F4010" s="811"/>
      <c r="G4010" s="811"/>
      <c r="H4010" s="811"/>
      <c r="I4010" s="47">
        <f t="shared" ref="I4010:L4010" si="4723">SUM(I4011:I4015)</f>
        <v>0</v>
      </c>
      <c r="J4010" s="47">
        <f t="shared" si="4723"/>
        <v>18.022619999999996</v>
      </c>
      <c r="K4010" s="47">
        <f t="shared" si="4723"/>
        <v>0</v>
      </c>
      <c r="L4010" s="47">
        <f t="shared" si="4723"/>
        <v>21.551200000000001</v>
      </c>
      <c r="M4010" s="47">
        <f>SUM(M4011:M4015)</f>
        <v>0</v>
      </c>
      <c r="N4010" s="47">
        <f t="shared" ref="N4010:Q4010" si="4724">SUM(N4011:N4015)</f>
        <v>0</v>
      </c>
      <c r="O4010" s="47">
        <f t="shared" si="4724"/>
        <v>0</v>
      </c>
      <c r="P4010" s="47">
        <f t="shared" si="4724"/>
        <v>0</v>
      </c>
      <c r="Q4010" s="47">
        <f t="shared" si="4724"/>
        <v>0</v>
      </c>
    </row>
    <row r="4011" spans="4:17" s="16" customFormat="1" ht="13.2" x14ac:dyDescent="0.25">
      <c r="D4011" s="235">
        <v>15</v>
      </c>
      <c r="E4011" s="237">
        <v>249</v>
      </c>
      <c r="F4011" s="238">
        <v>5</v>
      </c>
      <c r="G4011" s="239">
        <v>0.47</v>
      </c>
      <c r="H4011" s="239">
        <f>E4011*G4011</f>
        <v>117.02999999999999</v>
      </c>
      <c r="I4011" s="131">
        <f>IF($F4011=4.2,H4011*$B$23,0)</f>
        <v>0</v>
      </c>
      <c r="J4011" s="31">
        <f>IF($F4011=5,$H4011*$B$24,0)</f>
        <v>18.022619999999996</v>
      </c>
      <c r="K4011" s="31">
        <f>IF($F4011=6.3,$H4011*$B$25,0)</f>
        <v>0</v>
      </c>
      <c r="L4011" s="31">
        <f>IF($F4011=8,$H4011*$B$26,0)</f>
        <v>0</v>
      </c>
      <c r="M4011" s="31">
        <f>IF($F4011=10,$H4011*$B$27,0)</f>
        <v>0</v>
      </c>
      <c r="N4011" s="31">
        <f>IF($F4011=12.5,$H4011*$B$28,0)</f>
        <v>0</v>
      </c>
      <c r="O4011" s="31">
        <f>IF($F4011=16,$H4011*$B$29,0)</f>
        <v>0</v>
      </c>
      <c r="P4011" s="31">
        <f>IF($F4011=20,$H4011*$B$30,0)</f>
        <v>0</v>
      </c>
      <c r="Q4011" s="49">
        <f>IF($F4011=25,$H4011*$B$31,0)</f>
        <v>0</v>
      </c>
    </row>
    <row r="4012" spans="4:17" s="16" customFormat="1" ht="13.2" x14ac:dyDescent="0.25">
      <c r="D4012" s="235">
        <v>26</v>
      </c>
      <c r="E4012" s="240">
        <v>2</v>
      </c>
      <c r="F4012" s="241">
        <v>8</v>
      </c>
      <c r="G4012" s="242">
        <v>8.34</v>
      </c>
      <c r="H4012" s="239">
        <f>E4012*G4012</f>
        <v>16.68</v>
      </c>
      <c r="I4012" s="131">
        <f>IF($F4012=4.2,H4012*$B$23,0)</f>
        <v>0</v>
      </c>
      <c r="J4012" s="31">
        <f>IF($F4012=5,$H4012*$B$24,0)</f>
        <v>0</v>
      </c>
      <c r="K4012" s="31">
        <f>IF($F4012=6.3,$H4012*$B$25,0)</f>
        <v>0</v>
      </c>
      <c r="L4012" s="31">
        <f>IF($F4012=8,$H4012*$B$26,0)</f>
        <v>6.5886000000000005</v>
      </c>
      <c r="M4012" s="31">
        <f>IF($F4012=10,$H4012*$B$27,0)</f>
        <v>0</v>
      </c>
      <c r="N4012" s="31">
        <f>IF($F4012=12.5,$H4012*$B$28,0)</f>
        <v>0</v>
      </c>
      <c r="O4012" s="31">
        <f>IF($F4012=16,$H4012*$B$29,0)</f>
        <v>0</v>
      </c>
      <c r="P4012" s="31">
        <f>IF($F4012=20,$H4012*$B$30,0)</f>
        <v>0</v>
      </c>
      <c r="Q4012" s="49">
        <f>IF($F4012=25,$H4012*$B$31,0)</f>
        <v>0</v>
      </c>
    </row>
    <row r="4013" spans="4:17" s="16" customFormat="1" ht="13.2" x14ac:dyDescent="0.25">
      <c r="D4013" s="235">
        <v>27</v>
      </c>
      <c r="E4013" s="240">
        <v>2</v>
      </c>
      <c r="F4013" s="241">
        <v>8</v>
      </c>
      <c r="G4013" s="242">
        <v>5.39</v>
      </c>
      <c r="H4013" s="239">
        <f>E4013*G4013</f>
        <v>10.78</v>
      </c>
      <c r="I4013" s="131">
        <f>IF($F4013=4.2,H4013*$B$23,0)</f>
        <v>0</v>
      </c>
      <c r="J4013" s="31">
        <f>IF($F4013=5,$H4013*$B$24,0)</f>
        <v>0</v>
      </c>
      <c r="K4013" s="31">
        <f>IF($F4013=6.3,$H4013*$B$25,0)</f>
        <v>0</v>
      </c>
      <c r="L4013" s="31">
        <f>IF($F4013=8,$H4013*$B$26,0)</f>
        <v>4.2580999999999998</v>
      </c>
      <c r="M4013" s="31">
        <f>IF($F4013=10,$H4013*$B$27,0)</f>
        <v>0</v>
      </c>
      <c r="N4013" s="31">
        <f>IF($F4013=12.5,$H4013*$B$28,0)</f>
        <v>0</v>
      </c>
      <c r="O4013" s="31">
        <f>IF($F4013=16,$H4013*$B$29,0)</f>
        <v>0</v>
      </c>
      <c r="P4013" s="31">
        <f>IF($F4013=20,$H4013*$B$30,0)</f>
        <v>0</v>
      </c>
      <c r="Q4013" s="49">
        <f>IF($F4013=25,$H4013*$B$31,0)</f>
        <v>0</v>
      </c>
    </row>
    <row r="4014" spans="4:17" s="16" customFormat="1" ht="13.2" x14ac:dyDescent="0.25">
      <c r="D4014" s="235">
        <v>28</v>
      </c>
      <c r="E4014" s="240">
        <v>2</v>
      </c>
      <c r="F4014" s="241">
        <v>8</v>
      </c>
      <c r="G4014" s="242">
        <v>11.98</v>
      </c>
      <c r="H4014" s="239">
        <f>E4014*G4014</f>
        <v>23.96</v>
      </c>
      <c r="I4014" s="131">
        <f>IF($F4014=4.2,H4014*$B$23,0)</f>
        <v>0</v>
      </c>
      <c r="J4014" s="31">
        <f>IF($F4014=5,$H4014*$B$24,0)</f>
        <v>0</v>
      </c>
      <c r="K4014" s="31">
        <f>IF($F4014=6.3,$H4014*$B$25,0)</f>
        <v>0</v>
      </c>
      <c r="L4014" s="31">
        <f>IF($F4014=8,$H4014*$B$26,0)</f>
        <v>9.4641999999999999</v>
      </c>
      <c r="M4014" s="31">
        <f>IF($F4014=10,$H4014*$B$27,0)</f>
        <v>0</v>
      </c>
      <c r="N4014" s="31">
        <f>IF($F4014=12.5,$H4014*$B$28,0)</f>
        <v>0</v>
      </c>
      <c r="O4014" s="31">
        <f>IF($F4014=16,$H4014*$B$29,0)</f>
        <v>0</v>
      </c>
      <c r="P4014" s="31">
        <f>IF($F4014=20,$H4014*$B$30,0)</f>
        <v>0</v>
      </c>
      <c r="Q4014" s="49">
        <f>IF($F4014=25,$H4014*$B$31,0)</f>
        <v>0</v>
      </c>
    </row>
    <row r="4015" spans="4:17" s="16" customFormat="1" ht="13.2" x14ac:dyDescent="0.25">
      <c r="D4015" s="235">
        <v>29</v>
      </c>
      <c r="E4015" s="240">
        <v>2</v>
      </c>
      <c r="F4015" s="241">
        <v>8</v>
      </c>
      <c r="G4015" s="242">
        <v>1.57</v>
      </c>
      <c r="H4015" s="239">
        <f>E4015*G4015</f>
        <v>3.14</v>
      </c>
      <c r="I4015" s="131">
        <f>IF($F4015=4.2,H4015*$B$23,0)</f>
        <v>0</v>
      </c>
      <c r="J4015" s="31">
        <f>IF($F4015=5,$H4015*$B$24,0)</f>
        <v>0</v>
      </c>
      <c r="K4015" s="31">
        <f>IF($F4015=6.3,$H4015*$B$25,0)</f>
        <v>0</v>
      </c>
      <c r="L4015" s="31">
        <f>IF($F4015=8,$H4015*$B$26,0)</f>
        <v>1.2403000000000002</v>
      </c>
      <c r="M4015" s="31">
        <f>IF($F4015=10,$H4015*$B$27,0)</f>
        <v>0</v>
      </c>
      <c r="N4015" s="31">
        <f>IF($F4015=12.5,$H4015*$B$28,0)</f>
        <v>0</v>
      </c>
      <c r="O4015" s="31">
        <f>IF($F4015=16,$H4015*$B$29,0)</f>
        <v>0</v>
      </c>
      <c r="P4015" s="31">
        <f>IF($F4015=20,$H4015*$B$30,0)</f>
        <v>0</v>
      </c>
      <c r="Q4015" s="49">
        <f>IF($F4015=25,$H4015*$B$31,0)</f>
        <v>0</v>
      </c>
    </row>
    <row r="4016" spans="4:17" s="16" customFormat="1" ht="13.8" thickBot="1" x14ac:dyDescent="0.3">
      <c r="D4016" s="55"/>
      <c r="E4016" s="56"/>
      <c r="F4016" s="57"/>
      <c r="G4016" s="123"/>
      <c r="H4016" s="123"/>
      <c r="I4016" s="124"/>
      <c r="J4016" s="30"/>
      <c r="K4016" s="30"/>
      <c r="L4016" s="30"/>
      <c r="M4016" s="30"/>
      <c r="N4016" s="30"/>
      <c r="O4016" s="30"/>
      <c r="P4016" s="30"/>
      <c r="Q4016" s="54"/>
    </row>
    <row r="4017" spans="2:20" s="16" customFormat="1" ht="13.2" x14ac:dyDescent="0.25">
      <c r="D4017" s="810" t="s">
        <v>1339</v>
      </c>
      <c r="E4017" s="811"/>
      <c r="F4017" s="811"/>
      <c r="G4017" s="811"/>
      <c r="H4017" s="811"/>
      <c r="I4017" s="175">
        <f t="shared" ref="I4017:L4017" si="4725">SUM(I4018:I4020)</f>
        <v>0</v>
      </c>
      <c r="J4017" s="175">
        <f t="shared" si="4725"/>
        <v>9.4817799999999988</v>
      </c>
      <c r="K4017" s="175">
        <f t="shared" si="4725"/>
        <v>0</v>
      </c>
      <c r="L4017" s="175">
        <f t="shared" si="4725"/>
        <v>11.297000000000001</v>
      </c>
      <c r="M4017" s="175">
        <f>SUM(M4018:M4020)</f>
        <v>0</v>
      </c>
      <c r="N4017" s="175">
        <f t="shared" ref="N4017:Q4017" si="4726">SUM(N4018:N4020)</f>
        <v>0</v>
      </c>
      <c r="O4017" s="175">
        <f t="shared" si="4726"/>
        <v>0</v>
      </c>
      <c r="P4017" s="175">
        <f t="shared" si="4726"/>
        <v>0</v>
      </c>
      <c r="Q4017" s="175">
        <f t="shared" si="4726"/>
        <v>0</v>
      </c>
    </row>
    <row r="4018" spans="2:20" s="16" customFormat="1" ht="13.2" x14ac:dyDescent="0.25">
      <c r="D4018" s="235">
        <v>15</v>
      </c>
      <c r="E4018" s="237">
        <v>131</v>
      </c>
      <c r="F4018" s="238">
        <v>5</v>
      </c>
      <c r="G4018" s="239">
        <v>0.47</v>
      </c>
      <c r="H4018" s="239">
        <f>E4018*G4018</f>
        <v>61.569999999999993</v>
      </c>
      <c r="I4018" s="131">
        <f>IF($F4018=4.2,H4018*$B$23,0)</f>
        <v>0</v>
      </c>
      <c r="J4018" s="31">
        <f>IF($F4018=5,$H4018*$B$24,0)</f>
        <v>9.4817799999999988</v>
      </c>
      <c r="K4018" s="31">
        <f>IF($F4018=6.3,$H4018*$B$25,0)</f>
        <v>0</v>
      </c>
      <c r="L4018" s="31">
        <f>IF($F4018=8,$H4018*$B$26,0)</f>
        <v>0</v>
      </c>
      <c r="M4018" s="31">
        <f>IF($F4018=10,$H4018*$B$27,0)</f>
        <v>0</v>
      </c>
      <c r="N4018" s="31">
        <f>IF($F4018=12.5,$H4018*$B$28,0)</f>
        <v>0</v>
      </c>
      <c r="O4018" s="31">
        <f>IF($F4018=16,$H4018*$B$29,0)</f>
        <v>0</v>
      </c>
      <c r="P4018" s="31">
        <f>IF($F4018=20,$H4018*$B$30,0)</f>
        <v>0</v>
      </c>
      <c r="Q4018" s="49">
        <f>IF($F4018=25,$H4018*$B$31,0)</f>
        <v>0</v>
      </c>
    </row>
    <row r="4019" spans="2:20" s="16" customFormat="1" ht="13.2" x14ac:dyDescent="0.25">
      <c r="D4019" s="235">
        <v>30</v>
      </c>
      <c r="E4019" s="240">
        <v>2</v>
      </c>
      <c r="F4019" s="241">
        <v>8</v>
      </c>
      <c r="G4019" s="242">
        <v>7.07</v>
      </c>
      <c r="H4019" s="239">
        <f>E4019*G4019</f>
        <v>14.14</v>
      </c>
      <c r="I4019" s="131">
        <f>IF($F4019=4.2,H4019*$B$23,0)</f>
        <v>0</v>
      </c>
      <c r="J4019" s="31">
        <f>IF($F4019=5,$H4019*$B$24,0)</f>
        <v>0</v>
      </c>
      <c r="K4019" s="31">
        <f>IF($F4019=6.3,$H4019*$B$25,0)</f>
        <v>0</v>
      </c>
      <c r="L4019" s="31">
        <f>IF($F4019=8,$H4019*$B$26,0)</f>
        <v>5.5853000000000002</v>
      </c>
      <c r="M4019" s="31">
        <f>IF($F4019=10,$H4019*$B$27,0)</f>
        <v>0</v>
      </c>
      <c r="N4019" s="31">
        <f>IF($F4019=12.5,$H4019*$B$28,0)</f>
        <v>0</v>
      </c>
      <c r="O4019" s="31">
        <f>IF($F4019=16,$H4019*$B$29,0)</f>
        <v>0</v>
      </c>
      <c r="P4019" s="31">
        <f>IF($F4019=20,$H4019*$B$30,0)</f>
        <v>0</v>
      </c>
      <c r="Q4019" s="49">
        <f>IF($F4019=25,$H4019*$B$31,0)</f>
        <v>0</v>
      </c>
    </row>
    <row r="4020" spans="2:20" s="16" customFormat="1" ht="15.75" customHeight="1" x14ac:dyDescent="0.25">
      <c r="D4020" s="235">
        <v>31</v>
      </c>
      <c r="E4020" s="240">
        <v>2</v>
      </c>
      <c r="F4020" s="241">
        <v>8</v>
      </c>
      <c r="G4020" s="242">
        <v>7.23</v>
      </c>
      <c r="H4020" s="239">
        <f>E4020*G4020</f>
        <v>14.46</v>
      </c>
      <c r="I4020" s="131">
        <f>IF($F4020=4.2,H4020*$B$23,0)</f>
        <v>0</v>
      </c>
      <c r="J4020" s="31">
        <f>IF($F4020=5,$H4020*$B$24,0)</f>
        <v>0</v>
      </c>
      <c r="K4020" s="31">
        <f>IF($F4020=6.3,$H4020*$B$25,0)</f>
        <v>0</v>
      </c>
      <c r="L4020" s="31">
        <f>IF($F4020=8,$H4020*$B$26,0)</f>
        <v>5.7117000000000004</v>
      </c>
      <c r="M4020" s="31">
        <f>IF($F4020=10,$H4020*$B$27,0)</f>
        <v>0</v>
      </c>
      <c r="N4020" s="31">
        <f>IF($F4020=12.5,$H4020*$B$28,0)</f>
        <v>0</v>
      </c>
      <c r="O4020" s="31">
        <f>IF($F4020=16,$H4020*$B$29,0)</f>
        <v>0</v>
      </c>
      <c r="P4020" s="31">
        <f>IF($F4020=20,$H4020*$B$30,0)</f>
        <v>0</v>
      </c>
      <c r="Q4020" s="49">
        <f>IF($F4020=25,$H4020*$B$31,0)</f>
        <v>0</v>
      </c>
    </row>
    <row r="4021" spans="2:20" s="62" customFormat="1" ht="15" thickBot="1" x14ac:dyDescent="0.35">
      <c r="D4021" s="55"/>
      <c r="E4021" s="56"/>
      <c r="F4021" s="57"/>
      <c r="G4021" s="123"/>
      <c r="H4021" s="123"/>
      <c r="I4021" s="122"/>
      <c r="J4021" s="29"/>
      <c r="K4021" s="29"/>
      <c r="L4021" s="29"/>
      <c r="M4021" s="29"/>
      <c r="N4021" s="29"/>
      <c r="O4021" s="29"/>
      <c r="P4021" s="29"/>
      <c r="Q4021" s="37"/>
    </row>
    <row r="4022" spans="2:20" s="62" customFormat="1" x14ac:dyDescent="0.3">
      <c r="D4022" s="810" t="s">
        <v>1340</v>
      </c>
      <c r="E4022" s="811"/>
      <c r="F4022" s="811"/>
      <c r="G4022" s="811"/>
      <c r="H4022" s="811"/>
      <c r="I4022" s="47">
        <f t="shared" ref="I4022:Q4022" si="4727">SUM(I4023:I4026)</f>
        <v>0</v>
      </c>
      <c r="J4022" s="47">
        <f t="shared" si="4727"/>
        <v>22.727319999999999</v>
      </c>
      <c r="K4022" s="47">
        <f t="shared" si="4727"/>
        <v>0</v>
      </c>
      <c r="L4022" s="47">
        <f t="shared" si="4727"/>
        <v>27.966000000000001</v>
      </c>
      <c r="M4022" s="47">
        <f t="shared" si="4727"/>
        <v>0</v>
      </c>
      <c r="N4022" s="47">
        <f t="shared" si="4727"/>
        <v>0</v>
      </c>
      <c r="O4022" s="47">
        <f t="shared" si="4727"/>
        <v>0</v>
      </c>
      <c r="P4022" s="47">
        <f t="shared" si="4727"/>
        <v>0</v>
      </c>
      <c r="Q4022" s="47">
        <f t="shared" si="4727"/>
        <v>0</v>
      </c>
    </row>
    <row r="4023" spans="2:20" s="62" customFormat="1" x14ac:dyDescent="0.3">
      <c r="D4023" s="235">
        <v>15</v>
      </c>
      <c r="E4023" s="237">
        <f>2*157</f>
        <v>314</v>
      </c>
      <c r="F4023" s="238">
        <v>5</v>
      </c>
      <c r="G4023" s="239">
        <v>0.47</v>
      </c>
      <c r="H4023" s="239">
        <f t="shared" ref="H4023:H4024" si="4728">E4023*G4023</f>
        <v>147.57999999999998</v>
      </c>
      <c r="I4023" s="131">
        <f t="shared" ref="I4023:I4026" si="4729">IF($F4023=4.2,H4023*$B$23,0)</f>
        <v>0</v>
      </c>
      <c r="J4023" s="31">
        <f t="shared" ref="J4023:J4026" si="4730">IF($F4023=5,$H4023*$B$24,0)</f>
        <v>22.727319999999999</v>
      </c>
      <c r="K4023" s="31">
        <f t="shared" ref="K4023:K4026" si="4731">IF($F4023=6.3,$H4023*$B$25,0)</f>
        <v>0</v>
      </c>
      <c r="L4023" s="31">
        <f t="shared" ref="L4023:L4026" si="4732">IF($F4023=8,$H4023*$B$26,0)</f>
        <v>0</v>
      </c>
      <c r="M4023" s="31">
        <f t="shared" ref="M4023:M4026" si="4733">IF($F4023=10,$H4023*$B$27,0)</f>
        <v>0</v>
      </c>
      <c r="N4023" s="31">
        <f t="shared" ref="N4023:N4026" si="4734">IF($F4023=12.5,$H4023*$B$28,0)</f>
        <v>0</v>
      </c>
      <c r="O4023" s="31">
        <f t="shared" ref="O4023:O4026" si="4735">IF($F4023=16,$H4023*$B$29,0)</f>
        <v>0</v>
      </c>
      <c r="P4023" s="31">
        <f t="shared" ref="P4023:P4026" si="4736">IF($F4023=20,$H4023*$B$30,0)</f>
        <v>0</v>
      </c>
      <c r="Q4023" s="49">
        <f t="shared" ref="Q4023:Q4026" si="4737">IF($F4023=25,$H4023*$B$31,0)</f>
        <v>0</v>
      </c>
    </row>
    <row r="4024" spans="2:20" s="62" customFormat="1" x14ac:dyDescent="0.3">
      <c r="D4024" s="235">
        <v>32</v>
      </c>
      <c r="E4024" s="240">
        <f>2*2</f>
        <v>4</v>
      </c>
      <c r="F4024" s="241">
        <v>8</v>
      </c>
      <c r="G4024" s="242">
        <v>8.81</v>
      </c>
      <c r="H4024" s="239">
        <f t="shared" si="4728"/>
        <v>35.24</v>
      </c>
      <c r="I4024" s="131">
        <f t="shared" si="4729"/>
        <v>0</v>
      </c>
      <c r="J4024" s="31">
        <f t="shared" si="4730"/>
        <v>0</v>
      </c>
      <c r="K4024" s="31">
        <f t="shared" si="4731"/>
        <v>0</v>
      </c>
      <c r="L4024" s="31">
        <f t="shared" si="4732"/>
        <v>13.919800000000002</v>
      </c>
      <c r="M4024" s="31">
        <f t="shared" si="4733"/>
        <v>0</v>
      </c>
      <c r="N4024" s="31">
        <f t="shared" si="4734"/>
        <v>0</v>
      </c>
      <c r="O4024" s="31">
        <f t="shared" si="4735"/>
        <v>0</v>
      </c>
      <c r="P4024" s="31">
        <f t="shared" si="4736"/>
        <v>0</v>
      </c>
      <c r="Q4024" s="49">
        <f t="shared" si="4737"/>
        <v>0</v>
      </c>
    </row>
    <row r="4025" spans="2:20" s="62" customFormat="1" x14ac:dyDescent="0.3">
      <c r="D4025" s="235">
        <v>33</v>
      </c>
      <c r="E4025" s="240">
        <f>2*2</f>
        <v>4</v>
      </c>
      <c r="F4025" s="241">
        <v>8</v>
      </c>
      <c r="G4025" s="242">
        <v>8.89</v>
      </c>
      <c r="H4025" s="239">
        <f>E4025*G4025</f>
        <v>35.56</v>
      </c>
      <c r="I4025" s="131">
        <f t="shared" si="4729"/>
        <v>0</v>
      </c>
      <c r="J4025" s="31">
        <f t="shared" si="4730"/>
        <v>0</v>
      </c>
      <c r="K4025" s="31">
        <f t="shared" si="4731"/>
        <v>0</v>
      </c>
      <c r="L4025" s="31">
        <f t="shared" si="4732"/>
        <v>14.046200000000001</v>
      </c>
      <c r="M4025" s="31">
        <f t="shared" si="4733"/>
        <v>0</v>
      </c>
      <c r="N4025" s="31">
        <f t="shared" si="4734"/>
        <v>0</v>
      </c>
      <c r="O4025" s="31">
        <f t="shared" si="4735"/>
        <v>0</v>
      </c>
      <c r="P4025" s="31">
        <f t="shared" si="4736"/>
        <v>0</v>
      </c>
      <c r="Q4025" s="49">
        <f t="shared" si="4737"/>
        <v>0</v>
      </c>
    </row>
    <row r="4026" spans="2:20" s="62" customFormat="1" x14ac:dyDescent="0.3">
      <c r="D4026" s="235"/>
      <c r="E4026" s="240"/>
      <c r="F4026" s="241"/>
      <c r="G4026" s="242"/>
      <c r="H4026" s="239">
        <f>E4026*G4026</f>
        <v>0</v>
      </c>
      <c r="I4026" s="131">
        <f t="shared" si="4729"/>
        <v>0</v>
      </c>
      <c r="J4026" s="31">
        <f t="shared" si="4730"/>
        <v>0</v>
      </c>
      <c r="K4026" s="31">
        <f t="shared" si="4731"/>
        <v>0</v>
      </c>
      <c r="L4026" s="31">
        <f t="shared" si="4732"/>
        <v>0</v>
      </c>
      <c r="M4026" s="31">
        <f t="shared" si="4733"/>
        <v>0</v>
      </c>
      <c r="N4026" s="31">
        <f t="shared" si="4734"/>
        <v>0</v>
      </c>
      <c r="O4026" s="31">
        <f t="shared" si="4735"/>
        <v>0</v>
      </c>
      <c r="P4026" s="31">
        <f t="shared" si="4736"/>
        <v>0</v>
      </c>
      <c r="Q4026" s="49">
        <f t="shared" si="4737"/>
        <v>0</v>
      </c>
    </row>
    <row r="4027" spans="2:20" s="16" customFormat="1" ht="15" customHeight="1" thickBot="1" x14ac:dyDescent="0.3">
      <c r="B4027" s="34"/>
      <c r="D4027" s="235"/>
      <c r="E4027" s="240"/>
      <c r="F4027" s="241"/>
      <c r="G4027" s="242"/>
      <c r="H4027" s="242"/>
      <c r="I4027" s="122"/>
      <c r="J4027" s="29"/>
      <c r="K4027" s="29"/>
      <c r="L4027" s="29"/>
      <c r="M4027" s="29"/>
      <c r="N4027" s="29"/>
      <c r="O4027" s="29"/>
      <c r="P4027" s="29"/>
      <c r="Q4027" s="37"/>
      <c r="S4027" s="795"/>
      <c r="T4027" s="795"/>
    </row>
    <row r="4028" spans="2:20" s="62" customFormat="1" ht="15" thickBot="1" x14ac:dyDescent="0.35">
      <c r="D4028" s="792" t="s">
        <v>323</v>
      </c>
      <c r="E4028" s="793"/>
      <c r="F4028" s="793"/>
      <c r="G4028" s="793"/>
      <c r="H4028" s="793"/>
      <c r="I4028" s="793"/>
      <c r="J4028" s="793"/>
      <c r="K4028" s="793"/>
      <c r="L4028" s="793"/>
      <c r="M4028" s="793"/>
      <c r="N4028" s="793"/>
      <c r="O4028" s="793"/>
      <c r="P4028" s="793"/>
      <c r="Q4028" s="794"/>
    </row>
    <row r="4029" spans="2:20" s="62" customFormat="1" x14ac:dyDescent="0.3">
      <c r="D4029" s="810" t="s">
        <v>1400</v>
      </c>
      <c r="E4029" s="811"/>
      <c r="F4029" s="811"/>
      <c r="G4029" s="811"/>
      <c r="H4029" s="811"/>
      <c r="I4029" s="47">
        <f t="shared" ref="I4029:L4029" si="4738">SUM(I4030:I4032)</f>
        <v>0</v>
      </c>
      <c r="J4029" s="47">
        <f t="shared" si="4738"/>
        <v>5.5008799999999995</v>
      </c>
      <c r="K4029" s="47">
        <f t="shared" si="4738"/>
        <v>0</v>
      </c>
      <c r="L4029" s="47">
        <f t="shared" si="4738"/>
        <v>6.6044</v>
      </c>
      <c r="M4029" s="47">
        <f>SUM(M4030:M4032)</f>
        <v>0</v>
      </c>
      <c r="N4029" s="47">
        <f t="shared" ref="N4029:Q4029" si="4739">SUM(N4030:N4032)</f>
        <v>0</v>
      </c>
      <c r="O4029" s="47">
        <f t="shared" si="4739"/>
        <v>0</v>
      </c>
      <c r="P4029" s="47">
        <f t="shared" si="4739"/>
        <v>0</v>
      </c>
      <c r="Q4029" s="47">
        <f t="shared" si="4739"/>
        <v>0</v>
      </c>
    </row>
    <row r="4030" spans="2:20" s="62" customFormat="1" x14ac:dyDescent="0.3">
      <c r="D4030" s="235">
        <v>23</v>
      </c>
      <c r="E4030" s="237">
        <v>76</v>
      </c>
      <c r="F4030" s="238">
        <v>5</v>
      </c>
      <c r="G4030" s="239">
        <v>0.47</v>
      </c>
      <c r="H4030" s="239">
        <f>E4030*G4030</f>
        <v>35.72</v>
      </c>
      <c r="I4030" s="131">
        <f>IF($F4030=4.2,H4030*$B$23,0)</f>
        <v>0</v>
      </c>
      <c r="J4030" s="31">
        <f>IF($F4030=5,$H4030*$B$24,0)</f>
        <v>5.5008799999999995</v>
      </c>
      <c r="K4030" s="31">
        <f>IF($F4030=6.3,$H4030*$B$25,0)</f>
        <v>0</v>
      </c>
      <c r="L4030" s="31">
        <f>IF($F4030=8,$H4030*$B$26,0)</f>
        <v>0</v>
      </c>
      <c r="M4030" s="31">
        <f>IF($F4030=10,$H4030*$B$27,0)</f>
        <v>0</v>
      </c>
      <c r="N4030" s="31">
        <f>IF($F4030=12.5,$H4030*$B$28,0)</f>
        <v>0</v>
      </c>
      <c r="O4030" s="31">
        <f>IF($F4030=16,$H4030*$B$29,0)</f>
        <v>0</v>
      </c>
      <c r="P4030" s="31">
        <f>IF($F4030=20,$H4030*$B$30,0)</f>
        <v>0</v>
      </c>
      <c r="Q4030" s="49">
        <f>IF($F4030=25,$H4030*$B$31,0)</f>
        <v>0</v>
      </c>
    </row>
    <row r="4031" spans="2:20" s="62" customFormat="1" x14ac:dyDescent="0.3">
      <c r="D4031" s="235">
        <v>26</v>
      </c>
      <c r="E4031" s="237">
        <v>2</v>
      </c>
      <c r="F4031" s="238">
        <v>8</v>
      </c>
      <c r="G4031" s="239">
        <v>4.09</v>
      </c>
      <c r="H4031" s="239">
        <f>E4031*G4031</f>
        <v>8.18</v>
      </c>
      <c r="I4031" s="131">
        <f>IF($F4031=4.2,H4031*$B$23,0)</f>
        <v>0</v>
      </c>
      <c r="J4031" s="31">
        <f>IF($F4031=5,$H4031*$B$24,0)</f>
        <v>0</v>
      </c>
      <c r="K4031" s="31">
        <f>IF($F4031=6.3,$H4031*$B$25,0)</f>
        <v>0</v>
      </c>
      <c r="L4031" s="31">
        <f>IF($F4031=8,$H4031*$B$26,0)</f>
        <v>3.2311000000000001</v>
      </c>
      <c r="M4031" s="31">
        <f>IF($F4031=10,$H4031*$B$27,0)</f>
        <v>0</v>
      </c>
      <c r="N4031" s="31">
        <f>IF($F4031=12.5,$H4031*$B$28,0)</f>
        <v>0</v>
      </c>
      <c r="O4031" s="31">
        <f>IF($F4031=16,$H4031*$B$29,0)</f>
        <v>0</v>
      </c>
      <c r="P4031" s="31">
        <f>IF($F4031=20,$H4031*$B$30,0)</f>
        <v>0</v>
      </c>
      <c r="Q4031" s="49">
        <f>IF($F4031=25,$H4031*$B$31,0)</f>
        <v>0</v>
      </c>
    </row>
    <row r="4032" spans="2:20" s="62" customFormat="1" x14ac:dyDescent="0.3">
      <c r="D4032" s="235">
        <v>27</v>
      </c>
      <c r="E4032" s="240">
        <v>2</v>
      </c>
      <c r="F4032" s="241">
        <v>8</v>
      </c>
      <c r="G4032" s="242">
        <v>4.2699999999999996</v>
      </c>
      <c r="H4032" s="239">
        <f>E4032*G4032</f>
        <v>8.5399999999999991</v>
      </c>
      <c r="I4032" s="131">
        <f>IF($F4032=4.2,H4032*$B$23,0)</f>
        <v>0</v>
      </c>
      <c r="J4032" s="31">
        <f>IF($F4032=5,$H4032*$B$24,0)</f>
        <v>0</v>
      </c>
      <c r="K4032" s="31">
        <f>IF($F4032=6.3,$H4032*$B$25,0)</f>
        <v>0</v>
      </c>
      <c r="L4032" s="31">
        <f>IF($F4032=8,$H4032*$B$26,0)</f>
        <v>3.3733</v>
      </c>
      <c r="M4032" s="31">
        <f>IF($F4032=10,$H4032*$B$27,0)</f>
        <v>0</v>
      </c>
      <c r="N4032" s="31">
        <f>IF($F4032=12.5,$H4032*$B$28,0)</f>
        <v>0</v>
      </c>
      <c r="O4032" s="31">
        <f>IF($F4032=16,$H4032*$B$29,0)</f>
        <v>0</v>
      </c>
      <c r="P4032" s="31">
        <f>IF($F4032=20,$H4032*$B$30,0)</f>
        <v>0</v>
      </c>
      <c r="Q4032" s="49">
        <f>IF($F4032=25,$H4032*$B$31,0)</f>
        <v>0</v>
      </c>
    </row>
    <row r="4033" spans="4:17" s="62" customFormat="1" ht="15" thickBot="1" x14ac:dyDescent="0.35">
      <c r="D4033" s="55"/>
      <c r="E4033" s="56"/>
      <c r="F4033" s="57"/>
      <c r="G4033" s="58"/>
      <c r="H4033" s="123"/>
      <c r="I4033" s="124"/>
      <c r="J4033" s="30"/>
      <c r="K4033" s="30"/>
      <c r="L4033" s="30"/>
      <c r="M4033" s="30"/>
      <c r="N4033" s="30"/>
      <c r="O4033" s="30"/>
      <c r="P4033" s="30"/>
      <c r="Q4033" s="54"/>
    </row>
    <row r="4034" spans="4:17" s="62" customFormat="1" x14ac:dyDescent="0.3">
      <c r="D4034" s="810" t="s">
        <v>1401</v>
      </c>
      <c r="E4034" s="811"/>
      <c r="F4034" s="811"/>
      <c r="G4034" s="811"/>
      <c r="H4034" s="811"/>
      <c r="I4034" s="47">
        <f t="shared" ref="I4034:Q4034" si="4740">SUM(I4035:I4039)</f>
        <v>0</v>
      </c>
      <c r="J4034" s="47">
        <f t="shared" si="4740"/>
        <v>11.363659999999999</v>
      </c>
      <c r="K4034" s="47">
        <f t="shared" si="4740"/>
        <v>2.7685</v>
      </c>
      <c r="L4034" s="47">
        <f t="shared" si="4740"/>
        <v>8.7690000000000001</v>
      </c>
      <c r="M4034" s="47">
        <f t="shared" si="4740"/>
        <v>0</v>
      </c>
      <c r="N4034" s="47">
        <f t="shared" si="4740"/>
        <v>0</v>
      </c>
      <c r="O4034" s="47">
        <f t="shared" si="4740"/>
        <v>0</v>
      </c>
      <c r="P4034" s="47">
        <f t="shared" si="4740"/>
        <v>0</v>
      </c>
      <c r="Q4034" s="47">
        <f t="shared" si="4740"/>
        <v>0</v>
      </c>
    </row>
    <row r="4035" spans="4:17" s="62" customFormat="1" x14ac:dyDescent="0.3">
      <c r="D4035" s="235">
        <v>23</v>
      </c>
      <c r="E4035" s="237">
        <v>157</v>
      </c>
      <c r="F4035" s="238">
        <v>5</v>
      </c>
      <c r="G4035" s="239">
        <v>0.47</v>
      </c>
      <c r="H4035" s="239">
        <f>E4035*G4035</f>
        <v>73.789999999999992</v>
      </c>
      <c r="I4035" s="131">
        <f>IF($F4035=4.2,H4035*$B$23,0)</f>
        <v>0</v>
      </c>
      <c r="J4035" s="31">
        <f>IF($F4035=5,$H4035*$B$24,0)</f>
        <v>11.363659999999999</v>
      </c>
      <c r="K4035" s="31">
        <f>IF($F4035=6.3,$H4035*$B$25,0)</f>
        <v>0</v>
      </c>
      <c r="L4035" s="31">
        <f>IF($F4035=8,$H4035*$B$26,0)</f>
        <v>0</v>
      </c>
      <c r="M4035" s="31">
        <f>IF($F4035=10,$H4035*$B$27,0)</f>
        <v>0</v>
      </c>
      <c r="N4035" s="31">
        <f>IF($F4035=12.5,$H4035*$B$28,0)</f>
        <v>0</v>
      </c>
      <c r="O4035" s="31">
        <f>IF($F4035=16,$H4035*$B$29,0)</f>
        <v>0</v>
      </c>
      <c r="P4035" s="31">
        <f>IF($F4035=20,$H4035*$B$30,0)</f>
        <v>0</v>
      </c>
      <c r="Q4035" s="49">
        <f>IF($F4035=25,$H4035*$B$31,0)</f>
        <v>0</v>
      </c>
    </row>
    <row r="4036" spans="4:17" s="62" customFormat="1" x14ac:dyDescent="0.3">
      <c r="D4036" s="235">
        <v>24</v>
      </c>
      <c r="E4036" s="237">
        <v>2</v>
      </c>
      <c r="F4036" s="238">
        <v>6.3</v>
      </c>
      <c r="G4036" s="239">
        <v>5.65</v>
      </c>
      <c r="H4036" s="239">
        <f t="shared" ref="H4036" si="4741">E4036*G4036</f>
        <v>11.3</v>
      </c>
      <c r="I4036" s="131">
        <f t="shared" ref="I4036" si="4742">IF($F4036=4.2,H4036*$B$23,0)</f>
        <v>0</v>
      </c>
      <c r="J4036" s="31">
        <f t="shared" ref="J4036:J4039" si="4743">IF($F4036=5,$H4036*$B$24,0)</f>
        <v>0</v>
      </c>
      <c r="K4036" s="31">
        <f t="shared" ref="K4036:K4039" si="4744">IF($F4036=6.3,$H4036*$B$25,0)</f>
        <v>2.7685</v>
      </c>
      <c r="L4036" s="31">
        <f t="shared" ref="L4036:L4039" si="4745">IF($F4036=8,$H4036*$B$26,0)</f>
        <v>0</v>
      </c>
      <c r="M4036" s="31">
        <f t="shared" ref="M4036:M4039" si="4746">IF($F4036=10,$H4036*$B$27,0)</f>
        <v>0</v>
      </c>
      <c r="N4036" s="31">
        <f t="shared" ref="N4036:N4039" si="4747">IF($F4036=12.5,$H4036*$B$28,0)</f>
        <v>0</v>
      </c>
      <c r="O4036" s="31">
        <f t="shared" ref="O4036:O4039" si="4748">IF($F4036=16,$H4036*$B$29,0)</f>
        <v>0</v>
      </c>
      <c r="P4036" s="31">
        <f t="shared" ref="P4036:P4039" si="4749">IF($F4036=20,$H4036*$B$30,0)</f>
        <v>0</v>
      </c>
      <c r="Q4036" s="49">
        <f t="shared" ref="Q4036:Q4039" si="4750">IF($F4036=25,$H4036*$B$31,0)</f>
        <v>0</v>
      </c>
    </row>
    <row r="4037" spans="4:17" s="62" customFormat="1" x14ac:dyDescent="0.3">
      <c r="D4037" s="235">
        <v>28</v>
      </c>
      <c r="E4037" s="237">
        <v>2</v>
      </c>
      <c r="F4037" s="238">
        <v>8</v>
      </c>
      <c r="G4037" s="239">
        <v>8.09</v>
      </c>
      <c r="H4037" s="239">
        <f t="shared" ref="H4037" si="4751">E4037*G4037</f>
        <v>16.18</v>
      </c>
      <c r="I4037" s="131">
        <f t="shared" ref="I4037" si="4752">IF($F4037=4.2,H4037*$B$23,0)</f>
        <v>0</v>
      </c>
      <c r="J4037" s="31">
        <f t="shared" si="4743"/>
        <v>0</v>
      </c>
      <c r="K4037" s="31">
        <f t="shared" si="4744"/>
        <v>0</v>
      </c>
      <c r="L4037" s="31">
        <f t="shared" si="4745"/>
        <v>6.3910999999999998</v>
      </c>
      <c r="M4037" s="31">
        <f t="shared" si="4746"/>
        <v>0</v>
      </c>
      <c r="N4037" s="31">
        <f t="shared" si="4747"/>
        <v>0</v>
      </c>
      <c r="O4037" s="31">
        <f t="shared" si="4748"/>
        <v>0</v>
      </c>
      <c r="P4037" s="31">
        <f t="shared" si="4749"/>
        <v>0</v>
      </c>
      <c r="Q4037" s="49">
        <f t="shared" si="4750"/>
        <v>0</v>
      </c>
    </row>
    <row r="4038" spans="4:17" s="62" customFormat="1" x14ac:dyDescent="0.3">
      <c r="D4038" s="235">
        <v>29</v>
      </c>
      <c r="E4038" s="237">
        <v>2</v>
      </c>
      <c r="F4038" s="238">
        <v>8</v>
      </c>
      <c r="G4038" s="239">
        <v>1.48</v>
      </c>
      <c r="H4038" s="239">
        <f t="shared" ref="H4038:H4039" si="4753">E4038*G4038</f>
        <v>2.96</v>
      </c>
      <c r="I4038" s="131">
        <f t="shared" ref="I4038:I4039" si="4754">IF($F4038=4.2,H4038*$B$23,0)</f>
        <v>0</v>
      </c>
      <c r="J4038" s="31">
        <f t="shared" si="4743"/>
        <v>0</v>
      </c>
      <c r="K4038" s="31">
        <f t="shared" si="4744"/>
        <v>0</v>
      </c>
      <c r="L4038" s="31">
        <f t="shared" si="4745"/>
        <v>1.1692</v>
      </c>
      <c r="M4038" s="31">
        <f t="shared" si="4746"/>
        <v>0</v>
      </c>
      <c r="N4038" s="31">
        <f t="shared" si="4747"/>
        <v>0</v>
      </c>
      <c r="O4038" s="31">
        <f t="shared" si="4748"/>
        <v>0</v>
      </c>
      <c r="P4038" s="31">
        <f t="shared" si="4749"/>
        <v>0</v>
      </c>
      <c r="Q4038" s="49">
        <f t="shared" si="4750"/>
        <v>0</v>
      </c>
    </row>
    <row r="4039" spans="4:17" s="62" customFormat="1" x14ac:dyDescent="0.3">
      <c r="D4039" s="235">
        <v>30</v>
      </c>
      <c r="E4039" s="237">
        <v>2</v>
      </c>
      <c r="F4039" s="238">
        <v>8</v>
      </c>
      <c r="G4039" s="239">
        <v>1.53</v>
      </c>
      <c r="H4039" s="239">
        <f t="shared" si="4753"/>
        <v>3.06</v>
      </c>
      <c r="I4039" s="131">
        <f t="shared" si="4754"/>
        <v>0</v>
      </c>
      <c r="J4039" s="31">
        <f t="shared" si="4743"/>
        <v>0</v>
      </c>
      <c r="K4039" s="31">
        <f t="shared" si="4744"/>
        <v>0</v>
      </c>
      <c r="L4039" s="31">
        <f t="shared" si="4745"/>
        <v>1.2087000000000001</v>
      </c>
      <c r="M4039" s="31">
        <f t="shared" si="4746"/>
        <v>0</v>
      </c>
      <c r="N4039" s="31">
        <f t="shared" si="4747"/>
        <v>0</v>
      </c>
      <c r="O4039" s="31">
        <f t="shared" si="4748"/>
        <v>0</v>
      </c>
      <c r="P4039" s="31">
        <f t="shared" si="4749"/>
        <v>0</v>
      </c>
      <c r="Q4039" s="49">
        <f t="shared" si="4750"/>
        <v>0</v>
      </c>
    </row>
    <row r="4040" spans="4:17" s="62" customFormat="1" ht="15" thickBot="1" x14ac:dyDescent="0.35">
      <c r="D4040" s="236"/>
      <c r="E4040" s="56"/>
      <c r="F4040" s="57"/>
      <c r="G4040" s="58"/>
      <c r="H4040" s="123"/>
      <c r="I4040" s="124"/>
      <c r="J4040" s="30"/>
      <c r="K4040" s="30"/>
      <c r="L4040" s="30"/>
      <c r="M4040" s="30"/>
      <c r="N4040" s="30"/>
      <c r="O4040" s="30"/>
      <c r="P4040" s="30"/>
      <c r="Q4040" s="54"/>
    </row>
    <row r="4041" spans="4:17" s="62" customFormat="1" x14ac:dyDescent="0.3">
      <c r="D4041" s="810" t="s">
        <v>1402</v>
      </c>
      <c r="E4041" s="811"/>
      <c r="F4041" s="811"/>
      <c r="G4041" s="811"/>
      <c r="H4041" s="811"/>
      <c r="I4041" s="47">
        <f t="shared" ref="I4041:Q4041" si="4755">SUM(I4042:I4044)</f>
        <v>0</v>
      </c>
      <c r="J4041" s="47">
        <f t="shared" si="4755"/>
        <v>5.9351599999999998</v>
      </c>
      <c r="K4041" s="47">
        <f t="shared" si="4755"/>
        <v>0</v>
      </c>
      <c r="L4041" s="47">
        <f t="shared" si="4755"/>
        <v>6.809800000000001</v>
      </c>
      <c r="M4041" s="47">
        <f t="shared" si="4755"/>
        <v>0</v>
      </c>
      <c r="N4041" s="47">
        <f t="shared" si="4755"/>
        <v>0</v>
      </c>
      <c r="O4041" s="47">
        <f t="shared" si="4755"/>
        <v>0</v>
      </c>
      <c r="P4041" s="47">
        <f t="shared" si="4755"/>
        <v>0</v>
      </c>
      <c r="Q4041" s="47">
        <f t="shared" si="4755"/>
        <v>0</v>
      </c>
    </row>
    <row r="4042" spans="4:17" s="62" customFormat="1" x14ac:dyDescent="0.3">
      <c r="D4042" s="235">
        <v>23</v>
      </c>
      <c r="E4042" s="237">
        <v>82</v>
      </c>
      <c r="F4042" s="238">
        <v>5</v>
      </c>
      <c r="G4042" s="239">
        <v>0.47</v>
      </c>
      <c r="H4042" s="239">
        <f t="shared" ref="H4042:H4044" si="4756">E4042*G4042</f>
        <v>38.54</v>
      </c>
      <c r="I4042" s="131">
        <f t="shared" ref="I4042:I4044" si="4757">IF($F4042=4.2,H4042*$B$23,0)</f>
        <v>0</v>
      </c>
      <c r="J4042" s="31">
        <f t="shared" ref="J4042:J4044" si="4758">IF($F4042=5,$H4042*$B$24,0)</f>
        <v>5.9351599999999998</v>
      </c>
      <c r="K4042" s="31">
        <f t="shared" ref="K4042:K4044" si="4759">IF($F4042=6.3,$H4042*$B$25,0)</f>
        <v>0</v>
      </c>
      <c r="L4042" s="31">
        <f t="shared" ref="L4042:L4044" si="4760">IF($F4042=8,$H4042*$B$26,0)</f>
        <v>0</v>
      </c>
      <c r="M4042" s="31">
        <f t="shared" ref="M4042:M4044" si="4761">IF($F4042=10,$H4042*$B$27,0)</f>
        <v>0</v>
      </c>
      <c r="N4042" s="31">
        <f t="shared" ref="N4042:N4044" si="4762">IF($F4042=12.5,$H4042*$B$28,0)</f>
        <v>0</v>
      </c>
      <c r="O4042" s="31">
        <f t="shared" ref="O4042:O4044" si="4763">IF($F4042=16,$H4042*$B$29,0)</f>
        <v>0</v>
      </c>
      <c r="P4042" s="31">
        <f t="shared" ref="P4042:P4044" si="4764">IF($F4042=20,$H4042*$B$30,0)</f>
        <v>0</v>
      </c>
      <c r="Q4042" s="49">
        <f t="shared" ref="Q4042:Q4044" si="4765">IF($F4042=25,$H4042*$B$31,0)</f>
        <v>0</v>
      </c>
    </row>
    <row r="4043" spans="4:17" s="62" customFormat="1" x14ac:dyDescent="0.3">
      <c r="D4043" s="235">
        <v>31</v>
      </c>
      <c r="E4043" s="240">
        <v>2</v>
      </c>
      <c r="F4043" s="241">
        <v>8</v>
      </c>
      <c r="G4043" s="242">
        <v>4.26</v>
      </c>
      <c r="H4043" s="239">
        <f t="shared" si="4756"/>
        <v>8.52</v>
      </c>
      <c r="I4043" s="131">
        <f t="shared" si="4757"/>
        <v>0</v>
      </c>
      <c r="J4043" s="31">
        <f t="shared" si="4758"/>
        <v>0</v>
      </c>
      <c r="K4043" s="31">
        <f t="shared" si="4759"/>
        <v>0</v>
      </c>
      <c r="L4043" s="31">
        <f t="shared" si="4760"/>
        <v>3.3654000000000002</v>
      </c>
      <c r="M4043" s="31">
        <f t="shared" si="4761"/>
        <v>0</v>
      </c>
      <c r="N4043" s="31">
        <f t="shared" si="4762"/>
        <v>0</v>
      </c>
      <c r="O4043" s="31">
        <f t="shared" si="4763"/>
        <v>0</v>
      </c>
      <c r="P4043" s="31">
        <f t="shared" si="4764"/>
        <v>0</v>
      </c>
      <c r="Q4043" s="49">
        <f t="shared" si="4765"/>
        <v>0</v>
      </c>
    </row>
    <row r="4044" spans="4:17" s="62" customFormat="1" x14ac:dyDescent="0.3">
      <c r="D4044" s="235">
        <v>32</v>
      </c>
      <c r="E4044" s="240">
        <v>2</v>
      </c>
      <c r="F4044" s="241">
        <v>8</v>
      </c>
      <c r="G4044" s="242">
        <v>4.3600000000000003</v>
      </c>
      <c r="H4044" s="239">
        <f t="shared" si="4756"/>
        <v>8.7200000000000006</v>
      </c>
      <c r="I4044" s="131">
        <f t="shared" si="4757"/>
        <v>0</v>
      </c>
      <c r="J4044" s="31">
        <f t="shared" si="4758"/>
        <v>0</v>
      </c>
      <c r="K4044" s="31">
        <f t="shared" si="4759"/>
        <v>0</v>
      </c>
      <c r="L4044" s="31">
        <f t="shared" si="4760"/>
        <v>3.4444000000000004</v>
      </c>
      <c r="M4044" s="31">
        <f t="shared" si="4761"/>
        <v>0</v>
      </c>
      <c r="N4044" s="31">
        <f t="shared" si="4762"/>
        <v>0</v>
      </c>
      <c r="O4044" s="31">
        <f t="shared" si="4763"/>
        <v>0</v>
      </c>
      <c r="P4044" s="31">
        <f t="shared" si="4764"/>
        <v>0</v>
      </c>
      <c r="Q4044" s="49">
        <f t="shared" si="4765"/>
        <v>0</v>
      </c>
    </row>
    <row r="4045" spans="4:17" s="62" customFormat="1" ht="15" thickBot="1" x14ac:dyDescent="0.35">
      <c r="D4045" s="55"/>
      <c r="E4045" s="56"/>
      <c r="F4045" s="57"/>
      <c r="G4045" s="58"/>
      <c r="H4045" s="123"/>
      <c r="I4045" s="124"/>
      <c r="J4045" s="30"/>
      <c r="K4045" s="30"/>
      <c r="L4045" s="30"/>
      <c r="M4045" s="30"/>
      <c r="N4045" s="30"/>
      <c r="O4045" s="30"/>
      <c r="P4045" s="30"/>
      <c r="Q4045" s="54"/>
    </row>
    <row r="4046" spans="4:17" s="62" customFormat="1" x14ac:dyDescent="0.3">
      <c r="D4046" s="810" t="s">
        <v>1403</v>
      </c>
      <c r="E4046" s="811"/>
      <c r="F4046" s="811"/>
      <c r="G4046" s="811"/>
      <c r="H4046" s="811"/>
      <c r="I4046" s="47">
        <f t="shared" ref="I4046:Q4046" si="4766">SUM(I4047:I4049)</f>
        <v>0</v>
      </c>
      <c r="J4046" s="47">
        <f t="shared" si="4766"/>
        <v>10.422719999999998</v>
      </c>
      <c r="K4046" s="47">
        <f t="shared" si="4766"/>
        <v>0</v>
      </c>
      <c r="L4046" s="47">
        <f t="shared" si="4766"/>
        <v>12.956000000000001</v>
      </c>
      <c r="M4046" s="47">
        <f t="shared" si="4766"/>
        <v>0</v>
      </c>
      <c r="N4046" s="47">
        <f t="shared" si="4766"/>
        <v>0</v>
      </c>
      <c r="O4046" s="47">
        <f t="shared" si="4766"/>
        <v>0</v>
      </c>
      <c r="P4046" s="47">
        <f t="shared" si="4766"/>
        <v>0</v>
      </c>
      <c r="Q4046" s="47">
        <f t="shared" si="4766"/>
        <v>0</v>
      </c>
    </row>
    <row r="4047" spans="4:17" s="62" customFormat="1" x14ac:dyDescent="0.3">
      <c r="D4047" s="235">
        <v>23</v>
      </c>
      <c r="E4047" s="237">
        <v>144</v>
      </c>
      <c r="F4047" s="238">
        <v>5</v>
      </c>
      <c r="G4047" s="239">
        <v>0.47</v>
      </c>
      <c r="H4047" s="239">
        <f t="shared" ref="H4047:H4049" si="4767">E4047*G4047</f>
        <v>67.679999999999993</v>
      </c>
      <c r="I4047" s="131">
        <f t="shared" ref="I4047:I4049" si="4768">IF($F4047=4.2,H4047*$B$23,0)</f>
        <v>0</v>
      </c>
      <c r="J4047" s="31">
        <f t="shared" ref="J4047:J4049" si="4769">IF($F4047=5,$H4047*$B$24,0)</f>
        <v>10.422719999999998</v>
      </c>
      <c r="K4047" s="31">
        <f t="shared" ref="K4047:K4049" si="4770">IF($F4047=6.3,$H4047*$B$25,0)</f>
        <v>0</v>
      </c>
      <c r="L4047" s="31">
        <f t="shared" ref="L4047:L4049" si="4771">IF($F4047=8,$H4047*$B$26,0)</f>
        <v>0</v>
      </c>
      <c r="M4047" s="31">
        <f t="shared" ref="M4047:M4049" si="4772">IF($F4047=10,$H4047*$B$27,0)</f>
        <v>0</v>
      </c>
      <c r="N4047" s="31">
        <f t="shared" ref="N4047:N4049" si="4773">IF($F4047=12.5,$H4047*$B$28,0)</f>
        <v>0</v>
      </c>
      <c r="O4047" s="31">
        <f t="shared" ref="O4047:O4049" si="4774">IF($F4047=16,$H4047*$B$29,0)</f>
        <v>0</v>
      </c>
      <c r="P4047" s="31">
        <f t="shared" ref="P4047:P4049" si="4775">IF($F4047=20,$H4047*$B$30,0)</f>
        <v>0</v>
      </c>
      <c r="Q4047" s="49">
        <f t="shared" ref="Q4047:Q4049" si="4776">IF($F4047=25,$H4047*$B$31,0)</f>
        <v>0</v>
      </c>
    </row>
    <row r="4048" spans="4:17" s="62" customFormat="1" x14ac:dyDescent="0.3">
      <c r="D4048" s="235">
        <v>33</v>
      </c>
      <c r="E4048" s="240">
        <v>2</v>
      </c>
      <c r="F4048" s="241">
        <v>8</v>
      </c>
      <c r="G4048" s="242">
        <v>8.16</v>
      </c>
      <c r="H4048" s="239">
        <f t="shared" si="4767"/>
        <v>16.32</v>
      </c>
      <c r="I4048" s="131">
        <f t="shared" si="4768"/>
        <v>0</v>
      </c>
      <c r="J4048" s="31">
        <f t="shared" si="4769"/>
        <v>0</v>
      </c>
      <c r="K4048" s="31">
        <f t="shared" si="4770"/>
        <v>0</v>
      </c>
      <c r="L4048" s="31">
        <f t="shared" si="4771"/>
        <v>6.4464000000000006</v>
      </c>
      <c r="M4048" s="31">
        <f t="shared" si="4772"/>
        <v>0</v>
      </c>
      <c r="N4048" s="31">
        <f t="shared" si="4773"/>
        <v>0</v>
      </c>
      <c r="O4048" s="31">
        <f t="shared" si="4774"/>
        <v>0</v>
      </c>
      <c r="P4048" s="31">
        <f t="shared" si="4775"/>
        <v>0</v>
      </c>
      <c r="Q4048" s="49">
        <f t="shared" si="4776"/>
        <v>0</v>
      </c>
    </row>
    <row r="4049" spans="4:17" s="62" customFormat="1" x14ac:dyDescent="0.3">
      <c r="D4049" s="235">
        <v>34</v>
      </c>
      <c r="E4049" s="240">
        <v>2</v>
      </c>
      <c r="F4049" s="241">
        <v>8</v>
      </c>
      <c r="G4049" s="242">
        <v>8.24</v>
      </c>
      <c r="H4049" s="239">
        <f t="shared" si="4767"/>
        <v>16.48</v>
      </c>
      <c r="I4049" s="131">
        <f t="shared" si="4768"/>
        <v>0</v>
      </c>
      <c r="J4049" s="31">
        <f t="shared" si="4769"/>
        <v>0</v>
      </c>
      <c r="K4049" s="31">
        <f t="shared" si="4770"/>
        <v>0</v>
      </c>
      <c r="L4049" s="31">
        <f t="shared" si="4771"/>
        <v>6.5096000000000007</v>
      </c>
      <c r="M4049" s="31">
        <f t="shared" si="4772"/>
        <v>0</v>
      </c>
      <c r="N4049" s="31">
        <f t="shared" si="4773"/>
        <v>0</v>
      </c>
      <c r="O4049" s="31">
        <f t="shared" si="4774"/>
        <v>0</v>
      </c>
      <c r="P4049" s="31">
        <f t="shared" si="4775"/>
        <v>0</v>
      </c>
      <c r="Q4049" s="49">
        <f t="shared" si="4776"/>
        <v>0</v>
      </c>
    </row>
    <row r="4050" spans="4:17" s="62" customFormat="1" ht="15" thickBot="1" x14ac:dyDescent="0.35">
      <c r="D4050" s="307"/>
      <c r="E4050" s="26"/>
      <c r="F4050" s="206"/>
      <c r="G4050" s="207"/>
      <c r="H4050" s="207"/>
      <c r="I4050" s="51"/>
      <c r="J4050" s="308"/>
      <c r="K4050" s="308"/>
      <c r="L4050" s="308"/>
      <c r="M4050" s="308"/>
      <c r="N4050" s="308"/>
      <c r="O4050" s="308"/>
      <c r="P4050" s="308"/>
      <c r="Q4050" s="309"/>
    </row>
    <row r="4051" spans="4:17" s="62" customFormat="1" x14ac:dyDescent="0.3">
      <c r="D4051" s="810" t="s">
        <v>1404</v>
      </c>
      <c r="E4051" s="811"/>
      <c r="F4051" s="811"/>
      <c r="G4051" s="811"/>
      <c r="H4051" s="811"/>
      <c r="I4051" s="175">
        <f t="shared" ref="I4051:Q4051" si="4777">SUM(I4052:I4056)</f>
        <v>0</v>
      </c>
      <c r="J4051" s="175">
        <f t="shared" si="4777"/>
        <v>21.786380000000001</v>
      </c>
      <c r="K4051" s="175">
        <f t="shared" si="4777"/>
        <v>0</v>
      </c>
      <c r="L4051" s="175">
        <f t="shared" si="4777"/>
        <v>26.314900000000002</v>
      </c>
      <c r="M4051" s="175">
        <f t="shared" si="4777"/>
        <v>0</v>
      </c>
      <c r="N4051" s="175">
        <f t="shared" si="4777"/>
        <v>0</v>
      </c>
      <c r="O4051" s="175">
        <f t="shared" si="4777"/>
        <v>0</v>
      </c>
      <c r="P4051" s="175">
        <f t="shared" si="4777"/>
        <v>0</v>
      </c>
      <c r="Q4051" s="175">
        <f t="shared" si="4777"/>
        <v>0</v>
      </c>
    </row>
    <row r="4052" spans="4:17" s="62" customFormat="1" x14ac:dyDescent="0.3">
      <c r="D4052" s="235">
        <v>23</v>
      </c>
      <c r="E4052" s="237">
        <v>301</v>
      </c>
      <c r="F4052" s="238">
        <v>5</v>
      </c>
      <c r="G4052" s="242">
        <v>0.47</v>
      </c>
      <c r="H4052" s="239">
        <f t="shared" ref="H4052:H4056" si="4778">E4052*G4052</f>
        <v>141.47</v>
      </c>
      <c r="I4052" s="122">
        <f t="shared" ref="I4052:I4056" si="4779">IF($F4052=4.2,H4052*$B$23,0)</f>
        <v>0</v>
      </c>
      <c r="J4052" s="29">
        <f t="shared" ref="J4052:J4056" si="4780">IF($F4052=5,$H4052*$B$24,0)</f>
        <v>21.786380000000001</v>
      </c>
      <c r="K4052" s="29">
        <f t="shared" ref="K4052:K4056" si="4781">IF($F4052=6.3,$H4052*$B$25,0)</f>
        <v>0</v>
      </c>
      <c r="L4052" s="29">
        <f t="shared" ref="L4052:L4056" si="4782">IF($F4052=8,$H4052*$B$26,0)</f>
        <v>0</v>
      </c>
      <c r="M4052" s="29">
        <f t="shared" ref="M4052:M4056" si="4783">IF($F4052=10,$H4052*$B$27,0)</f>
        <v>0</v>
      </c>
      <c r="N4052" s="29">
        <f t="shared" ref="N4052:N4056" si="4784">IF($F4052=12.5,$H4052*$B$28,0)</f>
        <v>0</v>
      </c>
      <c r="O4052" s="29">
        <f t="shared" ref="O4052:O4056" si="4785">IF($F4052=16,$H4052*$B$29,0)</f>
        <v>0</v>
      </c>
      <c r="P4052" s="29">
        <f t="shared" ref="P4052:P4056" si="4786">IF($F4052=20,$H4052*$B$30,0)</f>
        <v>0</v>
      </c>
      <c r="Q4052" s="37">
        <f t="shared" ref="Q4052:Q4056" si="4787">IF($F4052=25,$H4052*$B$31,0)</f>
        <v>0</v>
      </c>
    </row>
    <row r="4053" spans="4:17" s="62" customFormat="1" x14ac:dyDescent="0.3">
      <c r="D4053" s="235">
        <v>35</v>
      </c>
      <c r="E4053" s="240">
        <v>2</v>
      </c>
      <c r="F4053" s="241">
        <v>8</v>
      </c>
      <c r="G4053" s="242">
        <v>10.210000000000001</v>
      </c>
      <c r="H4053" s="239">
        <f t="shared" si="4778"/>
        <v>20.420000000000002</v>
      </c>
      <c r="I4053" s="122">
        <f t="shared" si="4779"/>
        <v>0</v>
      </c>
      <c r="J4053" s="29">
        <f t="shared" si="4780"/>
        <v>0</v>
      </c>
      <c r="K4053" s="29">
        <f t="shared" si="4781"/>
        <v>0</v>
      </c>
      <c r="L4053" s="29">
        <f t="shared" si="4782"/>
        <v>8.065900000000001</v>
      </c>
      <c r="M4053" s="29">
        <f t="shared" si="4783"/>
        <v>0</v>
      </c>
      <c r="N4053" s="29">
        <f t="shared" si="4784"/>
        <v>0</v>
      </c>
      <c r="O4053" s="29">
        <f t="shared" si="4785"/>
        <v>0</v>
      </c>
      <c r="P4053" s="29">
        <f t="shared" si="4786"/>
        <v>0</v>
      </c>
      <c r="Q4053" s="37">
        <f t="shared" si="4787"/>
        <v>0</v>
      </c>
    </row>
    <row r="4054" spans="4:17" s="62" customFormat="1" x14ac:dyDescent="0.3">
      <c r="D4054" s="235">
        <v>36</v>
      </c>
      <c r="E4054" s="240">
        <v>2</v>
      </c>
      <c r="F4054" s="241">
        <v>8</v>
      </c>
      <c r="G4054" s="242">
        <v>6.51</v>
      </c>
      <c r="H4054" s="239">
        <f t="shared" si="4778"/>
        <v>13.02</v>
      </c>
      <c r="I4054" s="122">
        <f t="shared" si="4779"/>
        <v>0</v>
      </c>
      <c r="J4054" s="29">
        <f t="shared" si="4780"/>
        <v>0</v>
      </c>
      <c r="K4054" s="29">
        <f t="shared" si="4781"/>
        <v>0</v>
      </c>
      <c r="L4054" s="29">
        <f t="shared" si="4782"/>
        <v>5.1429</v>
      </c>
      <c r="M4054" s="29">
        <f t="shared" si="4783"/>
        <v>0</v>
      </c>
      <c r="N4054" s="29">
        <f t="shared" si="4784"/>
        <v>0</v>
      </c>
      <c r="O4054" s="29">
        <f t="shared" si="4785"/>
        <v>0</v>
      </c>
      <c r="P4054" s="29">
        <f t="shared" si="4786"/>
        <v>0</v>
      </c>
      <c r="Q4054" s="37">
        <f t="shared" si="4787"/>
        <v>0</v>
      </c>
    </row>
    <row r="4055" spans="4:17" s="62" customFormat="1" x14ac:dyDescent="0.3">
      <c r="D4055" s="235">
        <v>37</v>
      </c>
      <c r="E4055" s="240">
        <v>2</v>
      </c>
      <c r="F4055" s="241">
        <v>8</v>
      </c>
      <c r="G4055" s="242">
        <v>11.98</v>
      </c>
      <c r="H4055" s="239">
        <f t="shared" si="4778"/>
        <v>23.96</v>
      </c>
      <c r="I4055" s="122">
        <f t="shared" si="4779"/>
        <v>0</v>
      </c>
      <c r="J4055" s="29">
        <f t="shared" si="4780"/>
        <v>0</v>
      </c>
      <c r="K4055" s="29">
        <f t="shared" si="4781"/>
        <v>0</v>
      </c>
      <c r="L4055" s="29">
        <f t="shared" si="4782"/>
        <v>9.4641999999999999</v>
      </c>
      <c r="M4055" s="29">
        <f t="shared" si="4783"/>
        <v>0</v>
      </c>
      <c r="N4055" s="29">
        <f t="shared" si="4784"/>
        <v>0</v>
      </c>
      <c r="O4055" s="29">
        <f t="shared" si="4785"/>
        <v>0</v>
      </c>
      <c r="P4055" s="29">
        <f t="shared" si="4786"/>
        <v>0</v>
      </c>
      <c r="Q4055" s="37">
        <f t="shared" si="4787"/>
        <v>0</v>
      </c>
    </row>
    <row r="4056" spans="4:17" s="62" customFormat="1" x14ac:dyDescent="0.3">
      <c r="D4056" s="235">
        <v>38</v>
      </c>
      <c r="E4056" s="240">
        <v>2</v>
      </c>
      <c r="F4056" s="241">
        <v>8</v>
      </c>
      <c r="G4056" s="242">
        <v>4.6100000000000003</v>
      </c>
      <c r="H4056" s="239">
        <f t="shared" si="4778"/>
        <v>9.2200000000000006</v>
      </c>
      <c r="I4056" s="122">
        <f t="shared" si="4779"/>
        <v>0</v>
      </c>
      <c r="J4056" s="29">
        <f t="shared" si="4780"/>
        <v>0</v>
      </c>
      <c r="K4056" s="29">
        <f t="shared" si="4781"/>
        <v>0</v>
      </c>
      <c r="L4056" s="29">
        <f t="shared" si="4782"/>
        <v>3.6419000000000006</v>
      </c>
      <c r="M4056" s="29">
        <f t="shared" si="4783"/>
        <v>0</v>
      </c>
      <c r="N4056" s="29">
        <f t="shared" si="4784"/>
        <v>0</v>
      </c>
      <c r="O4056" s="29">
        <f t="shared" si="4785"/>
        <v>0</v>
      </c>
      <c r="P4056" s="29">
        <f t="shared" si="4786"/>
        <v>0</v>
      </c>
      <c r="Q4056" s="37">
        <f t="shared" si="4787"/>
        <v>0</v>
      </c>
    </row>
    <row r="4057" spans="4:17" s="62" customFormat="1" x14ac:dyDescent="0.3">
      <c r="D4057" s="307"/>
      <c r="E4057" s="26"/>
      <c r="F4057" s="206"/>
      <c r="G4057" s="207"/>
      <c r="H4057" s="207"/>
      <c r="I4057" s="51"/>
      <c r="J4057" s="308"/>
      <c r="K4057" s="308"/>
      <c r="L4057" s="308"/>
      <c r="M4057" s="308"/>
      <c r="N4057" s="308"/>
      <c r="O4057" s="308"/>
      <c r="P4057" s="308"/>
      <c r="Q4057" s="309"/>
    </row>
    <row r="4058" spans="4:17" s="62" customFormat="1" x14ac:dyDescent="0.3">
      <c r="D4058" s="814" t="s">
        <v>1405</v>
      </c>
      <c r="E4058" s="815"/>
      <c r="F4058" s="815"/>
      <c r="G4058" s="815"/>
      <c r="H4058" s="815"/>
      <c r="I4058" s="175">
        <f t="shared" ref="I4058:Q4058" si="4788">SUM(I4059:I4061)</f>
        <v>0</v>
      </c>
      <c r="J4058" s="175">
        <f t="shared" si="4788"/>
        <v>27.938679999999998</v>
      </c>
      <c r="K4058" s="175">
        <f t="shared" si="4788"/>
        <v>0</v>
      </c>
      <c r="L4058" s="175">
        <f t="shared" si="4788"/>
        <v>34.286000000000001</v>
      </c>
      <c r="M4058" s="175">
        <f t="shared" si="4788"/>
        <v>0</v>
      </c>
      <c r="N4058" s="175">
        <f t="shared" si="4788"/>
        <v>0</v>
      </c>
      <c r="O4058" s="175">
        <f t="shared" si="4788"/>
        <v>0</v>
      </c>
      <c r="P4058" s="175">
        <f t="shared" si="4788"/>
        <v>0</v>
      </c>
      <c r="Q4058" s="175">
        <f t="shared" si="4788"/>
        <v>0</v>
      </c>
    </row>
    <row r="4059" spans="4:17" s="62" customFormat="1" x14ac:dyDescent="0.3">
      <c r="D4059" s="235">
        <v>23</v>
      </c>
      <c r="E4059" s="237">
        <f>2*193</f>
        <v>386</v>
      </c>
      <c r="F4059" s="238">
        <v>5</v>
      </c>
      <c r="G4059" s="239">
        <v>0.47</v>
      </c>
      <c r="H4059" s="239">
        <f>E4059*G4059</f>
        <v>181.42</v>
      </c>
      <c r="I4059" s="131">
        <f>IF($F4059=4.2,H4059*$B$23,0)</f>
        <v>0</v>
      </c>
      <c r="J4059" s="31">
        <f>IF($F4059=5,$H4059*$B$24,0)</f>
        <v>27.938679999999998</v>
      </c>
      <c r="K4059" s="31">
        <f>IF($F4059=6.3,$H4059*$B$25,0)</f>
        <v>0</v>
      </c>
      <c r="L4059" s="31">
        <f>IF($F4059=8,$H4059*$B$26,0)</f>
        <v>0</v>
      </c>
      <c r="M4059" s="31">
        <f>IF($F4059=10,$H4059*$B$27,0)</f>
        <v>0</v>
      </c>
      <c r="N4059" s="31">
        <f>IF($F4059=12.5,$H4059*$B$28,0)</f>
        <v>0</v>
      </c>
      <c r="O4059" s="31">
        <f>IF($F4059=16,$H4059*$B$29,0)</f>
        <v>0</v>
      </c>
      <c r="P4059" s="31">
        <f>IF($F4059=20,$H4059*$B$30,0)</f>
        <v>0</v>
      </c>
      <c r="Q4059" s="49">
        <f>IF($F4059=25,$H4059*$B$31,0)</f>
        <v>0</v>
      </c>
    </row>
    <row r="4060" spans="4:17" s="62" customFormat="1" x14ac:dyDescent="0.3">
      <c r="D4060" s="235">
        <v>39</v>
      </c>
      <c r="E4060" s="237">
        <f>2*2</f>
        <v>4</v>
      </c>
      <c r="F4060" s="238">
        <v>8</v>
      </c>
      <c r="G4060" s="239">
        <v>10.81</v>
      </c>
      <c r="H4060" s="239">
        <f>E4060*G4060</f>
        <v>43.24</v>
      </c>
      <c r="I4060" s="131">
        <f>IF($F4060=4.2,H4060*$B$23,0)</f>
        <v>0</v>
      </c>
      <c r="J4060" s="31">
        <f>IF($F4060=5,$H4060*$B$24,0)</f>
        <v>0</v>
      </c>
      <c r="K4060" s="31">
        <f>IF($F4060=6.3,$H4060*$B$25,0)</f>
        <v>0</v>
      </c>
      <c r="L4060" s="31">
        <f>IF($F4060=8,$H4060*$B$26,0)</f>
        <v>17.079800000000002</v>
      </c>
      <c r="M4060" s="31">
        <f>IF($F4060=10,$H4060*$B$27,0)</f>
        <v>0</v>
      </c>
      <c r="N4060" s="31">
        <f>IF($F4060=12.5,$H4060*$B$28,0)</f>
        <v>0</v>
      </c>
      <c r="O4060" s="31">
        <f>IF($F4060=16,$H4060*$B$29,0)</f>
        <v>0</v>
      </c>
      <c r="P4060" s="31">
        <f>IF($F4060=20,$H4060*$B$30,0)</f>
        <v>0</v>
      </c>
      <c r="Q4060" s="49">
        <f>IF($F4060=25,$H4060*$B$31,0)</f>
        <v>0</v>
      </c>
    </row>
    <row r="4061" spans="4:17" s="62" customFormat="1" x14ac:dyDescent="0.3">
      <c r="D4061" s="235">
        <v>40</v>
      </c>
      <c r="E4061" s="237">
        <f>2*2</f>
        <v>4</v>
      </c>
      <c r="F4061" s="238">
        <v>8</v>
      </c>
      <c r="G4061" s="239">
        <v>10.89</v>
      </c>
      <c r="H4061" s="239">
        <f>E4061*G4061</f>
        <v>43.56</v>
      </c>
      <c r="I4061" s="131">
        <f>IF($F4061=4.2,H4061*$B$23,0)</f>
        <v>0</v>
      </c>
      <c r="J4061" s="31">
        <f>IF($F4061=5,$H4061*$B$24,0)</f>
        <v>0</v>
      </c>
      <c r="K4061" s="31">
        <f>IF($F4061=6.3,$H4061*$B$25,0)</f>
        <v>0</v>
      </c>
      <c r="L4061" s="31">
        <f>IF($F4061=8,$H4061*$B$26,0)</f>
        <v>17.206200000000003</v>
      </c>
      <c r="M4061" s="31">
        <f>IF($F4061=10,$H4061*$B$27,0)</f>
        <v>0</v>
      </c>
      <c r="N4061" s="31">
        <f>IF($F4061=12.5,$H4061*$B$28,0)</f>
        <v>0</v>
      </c>
      <c r="O4061" s="31">
        <f>IF($F4061=16,$H4061*$B$29,0)</f>
        <v>0</v>
      </c>
      <c r="P4061" s="31">
        <f>IF($F4061=20,$H4061*$B$30,0)</f>
        <v>0</v>
      </c>
      <c r="Q4061" s="49">
        <f>IF($F4061=25,$H4061*$B$31,0)</f>
        <v>0</v>
      </c>
    </row>
    <row r="4062" spans="4:17" s="62" customFormat="1" ht="15" thickBot="1" x14ac:dyDescent="0.35">
      <c r="D4062" s="307"/>
      <c r="E4062" s="26"/>
      <c r="F4062" s="206"/>
      <c r="G4062" s="207"/>
      <c r="H4062" s="207"/>
      <c r="I4062" s="51"/>
      <c r="J4062" s="308"/>
      <c r="K4062" s="308"/>
      <c r="L4062" s="308"/>
      <c r="M4062" s="308"/>
      <c r="N4062" s="308"/>
      <c r="O4062" s="308"/>
      <c r="P4062" s="308"/>
      <c r="Q4062" s="309"/>
    </row>
    <row r="4063" spans="4:17" s="62" customFormat="1" x14ac:dyDescent="0.3">
      <c r="D4063" s="810" t="s">
        <v>1406</v>
      </c>
      <c r="E4063" s="811"/>
      <c r="F4063" s="811"/>
      <c r="G4063" s="811"/>
      <c r="H4063" s="811"/>
      <c r="I4063" s="47">
        <f t="shared" ref="I4063:Q4063" si="4789">SUM(I4064:I4066)</f>
        <v>0</v>
      </c>
      <c r="J4063" s="47">
        <f t="shared" si="4789"/>
        <v>2.31616</v>
      </c>
      <c r="K4063" s="47">
        <f t="shared" si="4789"/>
        <v>1.0241</v>
      </c>
      <c r="L4063" s="47">
        <f t="shared" si="4789"/>
        <v>1.7775000000000001</v>
      </c>
      <c r="M4063" s="47">
        <f t="shared" si="4789"/>
        <v>0</v>
      </c>
      <c r="N4063" s="47">
        <f t="shared" si="4789"/>
        <v>0</v>
      </c>
      <c r="O4063" s="47">
        <f t="shared" si="4789"/>
        <v>0</v>
      </c>
      <c r="P4063" s="47">
        <f t="shared" si="4789"/>
        <v>0</v>
      </c>
      <c r="Q4063" s="47">
        <f t="shared" si="4789"/>
        <v>0</v>
      </c>
    </row>
    <row r="4064" spans="4:17" s="62" customFormat="1" x14ac:dyDescent="0.3">
      <c r="D4064" s="235">
        <v>23</v>
      </c>
      <c r="E4064" s="237">
        <v>32</v>
      </c>
      <c r="F4064" s="238">
        <v>5</v>
      </c>
      <c r="G4064" s="239">
        <v>0.47</v>
      </c>
      <c r="H4064" s="239">
        <f>E4064*G4064</f>
        <v>15.04</v>
      </c>
      <c r="I4064" s="131">
        <f>IF($F4064=4.2,H4064*$B$23,0)</f>
        <v>0</v>
      </c>
      <c r="J4064" s="31">
        <f>IF($F4064=5,$H4064*$B$24,0)</f>
        <v>2.31616</v>
      </c>
      <c r="K4064" s="31">
        <f>IF($F4064=6.3,$H4064*$B$25,0)</f>
        <v>0</v>
      </c>
      <c r="L4064" s="31">
        <f>IF($F4064=8,$H4064*$B$26,0)</f>
        <v>0</v>
      </c>
      <c r="M4064" s="31">
        <f>IF($F4064=10,$H4064*$B$27,0)</f>
        <v>0</v>
      </c>
      <c r="N4064" s="31">
        <f>IF($F4064=12.5,$H4064*$B$28,0)</f>
        <v>0</v>
      </c>
      <c r="O4064" s="31">
        <f>IF($F4064=16,$H4064*$B$29,0)</f>
        <v>0</v>
      </c>
      <c r="P4064" s="31">
        <f>IF($F4064=20,$H4064*$B$30,0)</f>
        <v>0</v>
      </c>
      <c r="Q4064" s="49">
        <f>IF($F4064=25,$H4064*$B$31,0)</f>
        <v>0</v>
      </c>
    </row>
    <row r="4065" spans="2:20" s="62" customFormat="1" x14ac:dyDescent="0.3">
      <c r="D4065" s="235">
        <v>25</v>
      </c>
      <c r="E4065" s="237">
        <v>2</v>
      </c>
      <c r="F4065" s="238">
        <v>6.3</v>
      </c>
      <c r="G4065" s="239">
        <v>2.09</v>
      </c>
      <c r="H4065" s="239">
        <f>E4065*G4065</f>
        <v>4.18</v>
      </c>
      <c r="I4065" s="131">
        <f>IF($F4065=4.2,H4065*$B$23,0)</f>
        <v>0</v>
      </c>
      <c r="J4065" s="31">
        <f>IF($F4065=5,$H4065*$B$24,0)</f>
        <v>0</v>
      </c>
      <c r="K4065" s="31">
        <f>IF($F4065=6.3,$H4065*$B$25,0)</f>
        <v>1.0241</v>
      </c>
      <c r="L4065" s="31">
        <f>IF($F4065=8,$H4065*$B$26,0)</f>
        <v>0</v>
      </c>
      <c r="M4065" s="31">
        <f>IF($F4065=10,$H4065*$B$27,0)</f>
        <v>0</v>
      </c>
      <c r="N4065" s="31">
        <f>IF($F4065=12.5,$H4065*$B$28,0)</f>
        <v>0</v>
      </c>
      <c r="O4065" s="31">
        <f>IF($F4065=16,$H4065*$B$29,0)</f>
        <v>0</v>
      </c>
      <c r="P4065" s="31">
        <f>IF($F4065=20,$H4065*$B$30,0)</f>
        <v>0</v>
      </c>
      <c r="Q4065" s="49">
        <f>IF($F4065=25,$H4065*$B$31,0)</f>
        <v>0</v>
      </c>
    </row>
    <row r="4066" spans="2:20" s="62" customFormat="1" x14ac:dyDescent="0.3">
      <c r="D4066" s="235">
        <v>41</v>
      </c>
      <c r="E4066" s="237">
        <v>2</v>
      </c>
      <c r="F4066" s="238">
        <v>8</v>
      </c>
      <c r="G4066" s="239">
        <v>2.25</v>
      </c>
      <c r="H4066" s="239">
        <f>E4066*G4066</f>
        <v>4.5</v>
      </c>
      <c r="I4066" s="131">
        <f>IF($F4066=4.2,H4066*$B$23,0)</f>
        <v>0</v>
      </c>
      <c r="J4066" s="31">
        <f>IF($F4066=5,$H4066*$B$24,0)</f>
        <v>0</v>
      </c>
      <c r="K4066" s="31">
        <f>IF($F4066=6.3,$H4066*$B$25,0)</f>
        <v>0</v>
      </c>
      <c r="L4066" s="31">
        <f>IF($F4066=8,$H4066*$B$26,0)</f>
        <v>1.7775000000000001</v>
      </c>
      <c r="M4066" s="31">
        <f>IF($F4066=10,$H4066*$B$27,0)</f>
        <v>0</v>
      </c>
      <c r="N4066" s="31">
        <f>IF($F4066=12.5,$H4066*$B$28,0)</f>
        <v>0</v>
      </c>
      <c r="O4066" s="31">
        <f>IF($F4066=16,$H4066*$B$29,0)</f>
        <v>0</v>
      </c>
      <c r="P4066" s="31">
        <f>IF($F4066=20,$H4066*$B$30,0)</f>
        <v>0</v>
      </c>
      <c r="Q4066" s="49">
        <f>IF($F4066=25,$H4066*$B$31,0)</f>
        <v>0</v>
      </c>
    </row>
    <row r="4067" spans="2:20" s="62" customFormat="1" ht="15" thickBot="1" x14ac:dyDescent="0.35">
      <c r="D4067" s="307"/>
      <c r="E4067" s="26"/>
      <c r="F4067" s="206"/>
      <c r="G4067" s="207"/>
      <c r="H4067" s="207"/>
      <c r="I4067" s="51"/>
      <c r="J4067" s="308"/>
      <c r="K4067" s="308"/>
      <c r="L4067" s="308"/>
      <c r="M4067" s="308"/>
      <c r="N4067" s="308"/>
      <c r="O4067" s="308"/>
      <c r="P4067" s="308"/>
      <c r="Q4067" s="309"/>
    </row>
    <row r="4068" spans="2:20" s="62" customFormat="1" x14ac:dyDescent="0.3">
      <c r="D4068" s="810" t="s">
        <v>1407</v>
      </c>
      <c r="E4068" s="811"/>
      <c r="F4068" s="811"/>
      <c r="G4068" s="811"/>
      <c r="H4068" s="811"/>
      <c r="I4068" s="47">
        <f t="shared" ref="I4068:Q4068" si="4790">SUM(I4069:I4071)</f>
        <v>0</v>
      </c>
      <c r="J4068" s="47">
        <f t="shared" si="4790"/>
        <v>2.31616</v>
      </c>
      <c r="K4068" s="47">
        <f t="shared" si="4790"/>
        <v>0</v>
      </c>
      <c r="L4068" s="47">
        <f t="shared" si="4790"/>
        <v>3.4286000000000003</v>
      </c>
      <c r="M4068" s="47">
        <f t="shared" si="4790"/>
        <v>0</v>
      </c>
      <c r="N4068" s="47">
        <f t="shared" si="4790"/>
        <v>0</v>
      </c>
      <c r="O4068" s="47">
        <f t="shared" si="4790"/>
        <v>0</v>
      </c>
      <c r="P4068" s="47">
        <f t="shared" si="4790"/>
        <v>0</v>
      </c>
      <c r="Q4068" s="47">
        <f t="shared" si="4790"/>
        <v>0</v>
      </c>
    </row>
    <row r="4069" spans="2:20" s="62" customFormat="1" x14ac:dyDescent="0.3">
      <c r="D4069" s="235">
        <v>23</v>
      </c>
      <c r="E4069" s="237">
        <v>32</v>
      </c>
      <c r="F4069" s="238">
        <v>5</v>
      </c>
      <c r="G4069" s="239">
        <v>0.47</v>
      </c>
      <c r="H4069" s="239">
        <f t="shared" ref="H4069:H4071" si="4791">E4069*G4069</f>
        <v>15.04</v>
      </c>
      <c r="I4069" s="131">
        <f t="shared" ref="I4069:I4071" si="4792">IF($F4069=4.2,H4069*$B$23,0)</f>
        <v>0</v>
      </c>
      <c r="J4069" s="31">
        <f t="shared" ref="J4069:J4071" si="4793">IF($F4069=5,$H4069*$B$24,0)</f>
        <v>2.31616</v>
      </c>
      <c r="K4069" s="31">
        <f t="shared" ref="K4069:K4071" si="4794">IF($F4069=6.3,$H4069*$B$25,0)</f>
        <v>0</v>
      </c>
      <c r="L4069" s="31">
        <f t="shared" ref="L4069:L4071" si="4795">IF($F4069=8,$H4069*$B$26,0)</f>
        <v>0</v>
      </c>
      <c r="M4069" s="31">
        <f t="shared" ref="M4069:M4071" si="4796">IF($F4069=10,$H4069*$B$27,0)</f>
        <v>0</v>
      </c>
      <c r="N4069" s="31">
        <f t="shared" ref="N4069:N4071" si="4797">IF($F4069=12.5,$H4069*$B$28,0)</f>
        <v>0</v>
      </c>
      <c r="O4069" s="31">
        <f t="shared" ref="O4069:O4071" si="4798">IF($F4069=16,$H4069*$B$29,0)</f>
        <v>0</v>
      </c>
      <c r="P4069" s="31">
        <f t="shared" ref="P4069:P4071" si="4799">IF($F4069=20,$H4069*$B$30,0)</f>
        <v>0</v>
      </c>
      <c r="Q4069" s="49">
        <f t="shared" ref="Q4069:Q4071" si="4800">IF($F4069=25,$H4069*$B$31,0)</f>
        <v>0</v>
      </c>
    </row>
    <row r="4070" spans="2:20" s="62" customFormat="1" x14ac:dyDescent="0.3">
      <c r="D4070" s="235">
        <v>41</v>
      </c>
      <c r="E4070" s="240">
        <v>2</v>
      </c>
      <c r="F4070" s="241">
        <v>8</v>
      </c>
      <c r="G4070" s="242">
        <v>2.25</v>
      </c>
      <c r="H4070" s="239">
        <f t="shared" si="4791"/>
        <v>4.5</v>
      </c>
      <c r="I4070" s="131">
        <f t="shared" si="4792"/>
        <v>0</v>
      </c>
      <c r="J4070" s="31">
        <f t="shared" si="4793"/>
        <v>0</v>
      </c>
      <c r="K4070" s="31">
        <f t="shared" si="4794"/>
        <v>0</v>
      </c>
      <c r="L4070" s="31">
        <f t="shared" si="4795"/>
        <v>1.7775000000000001</v>
      </c>
      <c r="M4070" s="31">
        <f t="shared" si="4796"/>
        <v>0</v>
      </c>
      <c r="N4070" s="31">
        <f t="shared" si="4797"/>
        <v>0</v>
      </c>
      <c r="O4070" s="31">
        <f t="shared" si="4798"/>
        <v>0</v>
      </c>
      <c r="P4070" s="31">
        <f t="shared" si="4799"/>
        <v>0</v>
      </c>
      <c r="Q4070" s="49">
        <f t="shared" si="4800"/>
        <v>0</v>
      </c>
    </row>
    <row r="4071" spans="2:20" s="62" customFormat="1" x14ac:dyDescent="0.3">
      <c r="D4071" s="235">
        <v>42</v>
      </c>
      <c r="E4071" s="240">
        <v>2</v>
      </c>
      <c r="F4071" s="241">
        <v>8</v>
      </c>
      <c r="G4071" s="242">
        <v>2.09</v>
      </c>
      <c r="H4071" s="239">
        <f t="shared" si="4791"/>
        <v>4.18</v>
      </c>
      <c r="I4071" s="131">
        <f t="shared" si="4792"/>
        <v>0</v>
      </c>
      <c r="J4071" s="31">
        <f t="shared" si="4793"/>
        <v>0</v>
      </c>
      <c r="K4071" s="31">
        <f t="shared" si="4794"/>
        <v>0</v>
      </c>
      <c r="L4071" s="31">
        <f t="shared" si="4795"/>
        <v>1.6511</v>
      </c>
      <c r="M4071" s="31">
        <f t="shared" si="4796"/>
        <v>0</v>
      </c>
      <c r="N4071" s="31">
        <f t="shared" si="4797"/>
        <v>0</v>
      </c>
      <c r="O4071" s="31">
        <f t="shared" si="4798"/>
        <v>0</v>
      </c>
      <c r="P4071" s="31">
        <f t="shared" si="4799"/>
        <v>0</v>
      </c>
      <c r="Q4071" s="49">
        <f t="shared" si="4800"/>
        <v>0</v>
      </c>
    </row>
    <row r="4072" spans="2:20" s="16" customFormat="1" ht="15" customHeight="1" thickBot="1" x14ac:dyDescent="0.3">
      <c r="B4072" s="34"/>
      <c r="D4072" s="307"/>
      <c r="E4072" s="26"/>
      <c r="F4072" s="206"/>
      <c r="G4072" s="207"/>
      <c r="H4072" s="207"/>
      <c r="I4072" s="51"/>
      <c r="J4072" s="308"/>
      <c r="K4072" s="308"/>
      <c r="L4072" s="308"/>
      <c r="M4072" s="308"/>
      <c r="N4072" s="308"/>
      <c r="O4072" s="308"/>
      <c r="P4072" s="308"/>
      <c r="Q4072" s="309"/>
      <c r="S4072" s="795"/>
      <c r="T4072" s="795"/>
    </row>
    <row r="4073" spans="2:20" s="62" customFormat="1" ht="15" thickBot="1" x14ac:dyDescent="0.35">
      <c r="D4073" s="792" t="s">
        <v>422</v>
      </c>
      <c r="E4073" s="793"/>
      <c r="F4073" s="793"/>
      <c r="G4073" s="793"/>
      <c r="H4073" s="793"/>
      <c r="I4073" s="793"/>
      <c r="J4073" s="793"/>
      <c r="K4073" s="793"/>
      <c r="L4073" s="793"/>
      <c r="M4073" s="793"/>
      <c r="N4073" s="793"/>
      <c r="O4073" s="793"/>
      <c r="P4073" s="793"/>
      <c r="Q4073" s="794"/>
    </row>
    <row r="4074" spans="2:20" s="62" customFormat="1" x14ac:dyDescent="0.3">
      <c r="D4074" s="790" t="s">
        <v>1509</v>
      </c>
      <c r="E4074" s="791"/>
      <c r="F4074" s="791"/>
      <c r="G4074" s="791"/>
      <c r="H4074" s="791"/>
      <c r="I4074" s="175">
        <f t="shared" ref="I4074:Q4074" si="4801">SUM(I4075:I4077)</f>
        <v>0</v>
      </c>
      <c r="J4074" s="175">
        <f t="shared" si="4801"/>
        <v>5.4284999999999997</v>
      </c>
      <c r="K4074" s="175">
        <f t="shared" si="4801"/>
        <v>0</v>
      </c>
      <c r="L4074" s="175">
        <f t="shared" si="4801"/>
        <v>6.636000000000001</v>
      </c>
      <c r="M4074" s="175">
        <f t="shared" si="4801"/>
        <v>0</v>
      </c>
      <c r="N4074" s="175">
        <f t="shared" si="4801"/>
        <v>0</v>
      </c>
      <c r="O4074" s="175">
        <f t="shared" si="4801"/>
        <v>0</v>
      </c>
      <c r="P4074" s="175">
        <f t="shared" si="4801"/>
        <v>0</v>
      </c>
      <c r="Q4074" s="175">
        <f t="shared" si="4801"/>
        <v>0</v>
      </c>
    </row>
    <row r="4075" spans="2:20" s="62" customFormat="1" x14ac:dyDescent="0.3">
      <c r="D4075" s="235">
        <v>29</v>
      </c>
      <c r="E4075" s="237">
        <v>75</v>
      </c>
      <c r="F4075" s="238">
        <v>5</v>
      </c>
      <c r="G4075" s="242">
        <v>0.47</v>
      </c>
      <c r="H4075" s="239">
        <f>E4075*G4075</f>
        <v>35.25</v>
      </c>
      <c r="I4075" s="122">
        <f>IF($F4075=4.2,H4075*$B$23,0)</f>
        <v>0</v>
      </c>
      <c r="J4075" s="29">
        <f>IF($F4075=5,$H4075*$B$24,0)</f>
        <v>5.4284999999999997</v>
      </c>
      <c r="K4075" s="29">
        <f>IF($F4075=6.3,$H4075*$B$25,0)</f>
        <v>0</v>
      </c>
      <c r="L4075" s="29">
        <f>IF($F4075=8,$H4075*$B$26,0)</f>
        <v>0</v>
      </c>
      <c r="M4075" s="29">
        <f>IF($F4075=10,$H4075*$B$27,0)</f>
        <v>0</v>
      </c>
      <c r="N4075" s="29">
        <f>IF($F4075=12.5,$H4075*$B$28,0)</f>
        <v>0</v>
      </c>
      <c r="O4075" s="29">
        <f>IF($F4075=16,$H4075*$B$29,0)</f>
        <v>0</v>
      </c>
      <c r="P4075" s="29">
        <f>IF($F4075=20,$H4075*$B$30,0)</f>
        <v>0</v>
      </c>
      <c r="Q4075" s="37">
        <f>IF($F4075=25,$H4075*$B$31,0)</f>
        <v>0</v>
      </c>
    </row>
    <row r="4076" spans="2:20" s="62" customFormat="1" x14ac:dyDescent="0.3">
      <c r="D4076" s="235">
        <v>32</v>
      </c>
      <c r="E4076" s="240">
        <v>2</v>
      </c>
      <c r="F4076" s="241">
        <v>8</v>
      </c>
      <c r="G4076" s="242">
        <v>4.16</v>
      </c>
      <c r="H4076" s="239">
        <f>E4076*G4076</f>
        <v>8.32</v>
      </c>
      <c r="I4076" s="122">
        <f>IF($F4076=4.2,H4076*$B$23,0)</f>
        <v>0</v>
      </c>
      <c r="J4076" s="29">
        <f>IF($F4076=5,$H4076*$B$24,0)</f>
        <v>0</v>
      </c>
      <c r="K4076" s="29">
        <f>IF($F4076=6.3,$H4076*$B$25,0)</f>
        <v>0</v>
      </c>
      <c r="L4076" s="29">
        <f>IF($F4076=8,$H4076*$B$26,0)</f>
        <v>3.2864000000000004</v>
      </c>
      <c r="M4076" s="29">
        <f>IF($F4076=10,$H4076*$B$27,0)</f>
        <v>0</v>
      </c>
      <c r="N4076" s="29">
        <f>IF($F4076=12.5,$H4076*$B$28,0)</f>
        <v>0</v>
      </c>
      <c r="O4076" s="29">
        <f>IF($F4076=16,$H4076*$B$29,0)</f>
        <v>0</v>
      </c>
      <c r="P4076" s="29">
        <f>IF($F4076=20,$H4076*$B$30,0)</f>
        <v>0</v>
      </c>
      <c r="Q4076" s="37">
        <f>IF($F4076=25,$H4076*$B$31,0)</f>
        <v>0</v>
      </c>
    </row>
    <row r="4077" spans="2:20" s="62" customFormat="1" x14ac:dyDescent="0.3">
      <c r="D4077" s="235">
        <v>33</v>
      </c>
      <c r="E4077" s="240">
        <v>2</v>
      </c>
      <c r="F4077" s="241">
        <v>8</v>
      </c>
      <c r="G4077" s="242">
        <v>4.24</v>
      </c>
      <c r="H4077" s="239">
        <f>E4077*G4077</f>
        <v>8.48</v>
      </c>
      <c r="I4077" s="122">
        <f>IF($F4077=4.2,H4077*$B$23,0)</f>
        <v>0</v>
      </c>
      <c r="J4077" s="29">
        <f>IF($F4077=5,$H4077*$B$24,0)</f>
        <v>0</v>
      </c>
      <c r="K4077" s="29">
        <f>IF($F4077=6.3,$H4077*$B$25,0)</f>
        <v>0</v>
      </c>
      <c r="L4077" s="29">
        <f>IF($F4077=8,$H4077*$B$26,0)</f>
        <v>3.3496000000000001</v>
      </c>
      <c r="M4077" s="29">
        <f>IF($F4077=10,$H4077*$B$27,0)</f>
        <v>0</v>
      </c>
      <c r="N4077" s="29">
        <f>IF($F4077=12.5,$H4077*$B$28,0)</f>
        <v>0</v>
      </c>
      <c r="O4077" s="29">
        <f>IF($F4077=16,$H4077*$B$29,0)</f>
        <v>0</v>
      </c>
      <c r="P4077" s="29">
        <f>IF($F4077=20,$H4077*$B$30,0)</f>
        <v>0</v>
      </c>
      <c r="Q4077" s="37">
        <f>IF($F4077=25,$H4077*$B$31,0)</f>
        <v>0</v>
      </c>
    </row>
    <row r="4078" spans="2:20" s="62" customFormat="1" x14ac:dyDescent="0.3">
      <c r="D4078" s="307"/>
      <c r="E4078" s="26"/>
      <c r="F4078" s="206"/>
      <c r="G4078" s="207"/>
      <c r="H4078" s="207"/>
      <c r="I4078" s="51"/>
      <c r="J4078" s="308"/>
      <c r="K4078" s="308"/>
      <c r="L4078" s="308"/>
      <c r="M4078" s="308"/>
      <c r="N4078" s="308"/>
      <c r="O4078" s="308"/>
      <c r="P4078" s="308"/>
      <c r="Q4078" s="309"/>
    </row>
    <row r="4079" spans="2:20" s="62" customFormat="1" x14ac:dyDescent="0.3">
      <c r="D4079" s="790" t="s">
        <v>1510</v>
      </c>
      <c r="E4079" s="791"/>
      <c r="F4079" s="791"/>
      <c r="G4079" s="791"/>
      <c r="H4079" s="791"/>
      <c r="I4079" s="175">
        <f t="shared" ref="I4079:Q4079" si="4802">SUM(I4080:I4082)</f>
        <v>0</v>
      </c>
      <c r="J4079" s="175">
        <f t="shared" si="4802"/>
        <v>10.856999999999999</v>
      </c>
      <c r="K4079" s="175">
        <f t="shared" si="4802"/>
        <v>0</v>
      </c>
      <c r="L4079" s="175">
        <f t="shared" si="4802"/>
        <v>12.9086</v>
      </c>
      <c r="M4079" s="175">
        <f t="shared" si="4802"/>
        <v>0</v>
      </c>
      <c r="N4079" s="175">
        <f t="shared" si="4802"/>
        <v>0</v>
      </c>
      <c r="O4079" s="175">
        <f t="shared" si="4802"/>
        <v>0</v>
      </c>
      <c r="P4079" s="175">
        <f t="shared" si="4802"/>
        <v>0</v>
      </c>
      <c r="Q4079" s="175">
        <f t="shared" si="4802"/>
        <v>0</v>
      </c>
    </row>
    <row r="4080" spans="2:20" s="62" customFormat="1" x14ac:dyDescent="0.3">
      <c r="D4080" s="235">
        <v>29</v>
      </c>
      <c r="E4080" s="237">
        <v>150</v>
      </c>
      <c r="F4080" s="238">
        <v>5</v>
      </c>
      <c r="G4080" s="242">
        <v>0.47</v>
      </c>
      <c r="H4080" s="239">
        <f>E4080*G4080</f>
        <v>70.5</v>
      </c>
      <c r="I4080" s="122">
        <f>IF($F4080=4.2,H4080*$B$23,0)</f>
        <v>0</v>
      </c>
      <c r="J4080" s="29">
        <f>IF($F4080=5,$H4080*$B$24,0)</f>
        <v>10.856999999999999</v>
      </c>
      <c r="K4080" s="29">
        <f>IF($F4080=6.3,$H4080*$B$25,0)</f>
        <v>0</v>
      </c>
      <c r="L4080" s="29">
        <f>IF($F4080=8,$H4080*$B$26,0)</f>
        <v>0</v>
      </c>
      <c r="M4080" s="29">
        <f>IF($F4080=10,$H4080*$B$27,0)</f>
        <v>0</v>
      </c>
      <c r="N4080" s="29">
        <f>IF($F4080=12.5,$H4080*$B$28,0)</f>
        <v>0</v>
      </c>
      <c r="O4080" s="29">
        <f>IF($F4080=16,$H4080*$B$29,0)</f>
        <v>0</v>
      </c>
      <c r="P4080" s="29">
        <f>IF($F4080=20,$H4080*$B$30,0)</f>
        <v>0</v>
      </c>
      <c r="Q4080" s="37">
        <f>IF($F4080=25,$H4080*$B$31,0)</f>
        <v>0</v>
      </c>
    </row>
    <row r="4081" spans="4:17" s="62" customFormat="1" x14ac:dyDescent="0.3">
      <c r="D4081" s="235">
        <v>34</v>
      </c>
      <c r="E4081" s="240">
        <v>2</v>
      </c>
      <c r="F4081" s="241">
        <v>8</v>
      </c>
      <c r="G4081" s="242">
        <v>8.09</v>
      </c>
      <c r="H4081" s="239">
        <f>E4081*G4081</f>
        <v>16.18</v>
      </c>
      <c r="I4081" s="122">
        <f>IF($F4081=4.2,H4081*$B$23,0)</f>
        <v>0</v>
      </c>
      <c r="J4081" s="29">
        <f>IF($F4081=5,$H4081*$B$24,0)</f>
        <v>0</v>
      </c>
      <c r="K4081" s="29">
        <f>IF($F4081=6.3,$H4081*$B$25,0)</f>
        <v>0</v>
      </c>
      <c r="L4081" s="29">
        <f>IF($F4081=8,$H4081*$B$26,0)</f>
        <v>6.3910999999999998</v>
      </c>
      <c r="M4081" s="29">
        <f>IF($F4081=10,$H4081*$B$27,0)</f>
        <v>0</v>
      </c>
      <c r="N4081" s="29">
        <f>IF($F4081=12.5,$H4081*$B$28,0)</f>
        <v>0</v>
      </c>
      <c r="O4081" s="29">
        <f>IF($F4081=16,$H4081*$B$29,0)</f>
        <v>0</v>
      </c>
      <c r="P4081" s="29">
        <f>IF($F4081=20,$H4081*$B$30,0)</f>
        <v>0</v>
      </c>
      <c r="Q4081" s="37">
        <f>IF($F4081=25,$H4081*$B$31,0)</f>
        <v>0</v>
      </c>
    </row>
    <row r="4082" spans="4:17" s="62" customFormat="1" x14ac:dyDescent="0.3">
      <c r="D4082" s="235">
        <v>35</v>
      </c>
      <c r="E4082" s="240">
        <v>2</v>
      </c>
      <c r="F4082" s="241">
        <v>8</v>
      </c>
      <c r="G4082" s="242">
        <v>8.25</v>
      </c>
      <c r="H4082" s="239">
        <f>E4082*G4082</f>
        <v>16.5</v>
      </c>
      <c r="I4082" s="122">
        <f>IF($F4082=4.2,H4082*$B$23,0)</f>
        <v>0</v>
      </c>
      <c r="J4082" s="29">
        <f>IF($F4082=5,$H4082*$B$24,0)</f>
        <v>0</v>
      </c>
      <c r="K4082" s="29">
        <f>IF($F4082=6.3,$H4082*$B$25,0)</f>
        <v>0</v>
      </c>
      <c r="L4082" s="29">
        <f>IF($F4082=8,$H4082*$B$26,0)</f>
        <v>6.5175000000000001</v>
      </c>
      <c r="M4082" s="29">
        <f>IF($F4082=10,$H4082*$B$27,0)</f>
        <v>0</v>
      </c>
      <c r="N4082" s="29">
        <f>IF($F4082=12.5,$H4082*$B$28,0)</f>
        <v>0</v>
      </c>
      <c r="O4082" s="29">
        <f>IF($F4082=16,$H4082*$B$29,0)</f>
        <v>0</v>
      </c>
      <c r="P4082" s="29">
        <f>IF($F4082=20,$H4082*$B$30,0)</f>
        <v>0</v>
      </c>
      <c r="Q4082" s="37">
        <f>IF($F4082=25,$H4082*$B$31,0)</f>
        <v>0</v>
      </c>
    </row>
    <row r="4083" spans="4:17" s="62" customFormat="1" x14ac:dyDescent="0.3">
      <c r="D4083" s="307"/>
      <c r="E4083" s="26"/>
      <c r="F4083" s="206"/>
      <c r="G4083" s="207"/>
      <c r="H4083" s="207"/>
      <c r="I4083" s="51"/>
      <c r="J4083" s="308"/>
      <c r="K4083" s="308"/>
      <c r="L4083" s="308"/>
      <c r="M4083" s="308"/>
      <c r="N4083" s="308"/>
      <c r="O4083" s="308"/>
      <c r="P4083" s="308"/>
      <c r="Q4083" s="309"/>
    </row>
    <row r="4084" spans="4:17" s="62" customFormat="1" x14ac:dyDescent="0.3">
      <c r="D4084" s="790" t="s">
        <v>1511</v>
      </c>
      <c r="E4084" s="791"/>
      <c r="F4084" s="791"/>
      <c r="G4084" s="791"/>
      <c r="H4084" s="791"/>
      <c r="I4084" s="175">
        <f t="shared" ref="I4084:Q4084" si="4803">SUM(I4085:I4091)</f>
        <v>0</v>
      </c>
      <c r="J4084" s="175">
        <f t="shared" si="4803"/>
        <v>13.137740000000001</v>
      </c>
      <c r="K4084" s="175">
        <f t="shared" si="4803"/>
        <v>0</v>
      </c>
      <c r="L4084" s="175">
        <f t="shared" si="4803"/>
        <v>8.6900000000000013</v>
      </c>
      <c r="M4084" s="175">
        <f t="shared" si="4803"/>
        <v>0</v>
      </c>
      <c r="N4084" s="175">
        <f t="shared" si="4803"/>
        <v>0</v>
      </c>
      <c r="O4084" s="175">
        <f t="shared" si="4803"/>
        <v>0</v>
      </c>
      <c r="P4084" s="175">
        <f t="shared" si="4803"/>
        <v>0</v>
      </c>
      <c r="Q4084" s="175">
        <f t="shared" si="4803"/>
        <v>0</v>
      </c>
    </row>
    <row r="4085" spans="4:17" s="62" customFormat="1" x14ac:dyDescent="0.3">
      <c r="D4085" s="235">
        <v>29</v>
      </c>
      <c r="E4085" s="237">
        <v>157</v>
      </c>
      <c r="F4085" s="238">
        <v>5</v>
      </c>
      <c r="G4085" s="242">
        <v>0.47</v>
      </c>
      <c r="H4085" s="239">
        <f t="shared" ref="H4085:H4091" si="4804">E4085*G4085</f>
        <v>73.789999999999992</v>
      </c>
      <c r="I4085" s="122">
        <f t="shared" ref="I4085:I4091" si="4805">IF($F4085=4.2,H4085*$B$23,0)</f>
        <v>0</v>
      </c>
      <c r="J4085" s="29">
        <f t="shared" ref="J4085:J4091" si="4806">IF($F4085=5,$H4085*$B$24,0)</f>
        <v>11.363659999999999</v>
      </c>
      <c r="K4085" s="29">
        <f t="shared" ref="K4085:K4091" si="4807">IF($F4085=6.3,$H4085*$B$25,0)</f>
        <v>0</v>
      </c>
      <c r="L4085" s="29">
        <f t="shared" ref="L4085:L4091" si="4808">IF($F4085=8,$H4085*$B$26,0)</f>
        <v>0</v>
      </c>
      <c r="M4085" s="29">
        <f t="shared" ref="M4085:M4091" si="4809">IF($F4085=10,$H4085*$B$27,0)</f>
        <v>0</v>
      </c>
      <c r="N4085" s="29">
        <f t="shared" ref="N4085:N4091" si="4810">IF($F4085=12.5,$H4085*$B$28,0)</f>
        <v>0</v>
      </c>
      <c r="O4085" s="29">
        <f t="shared" ref="O4085:O4091" si="4811">IF($F4085=16,$H4085*$B$29,0)</f>
        <v>0</v>
      </c>
      <c r="P4085" s="29">
        <f t="shared" ref="P4085:P4091" si="4812">IF($F4085=20,$H4085*$B$30,0)</f>
        <v>0</v>
      </c>
      <c r="Q4085" s="37">
        <f t="shared" ref="Q4085:Q4091" si="4813">IF($F4085=25,$H4085*$B$31,0)</f>
        <v>0</v>
      </c>
    </row>
    <row r="4086" spans="4:17" s="62" customFormat="1" x14ac:dyDescent="0.3">
      <c r="D4086" s="235">
        <v>30</v>
      </c>
      <c r="E4086" s="240">
        <v>2</v>
      </c>
      <c r="F4086" s="241">
        <v>5</v>
      </c>
      <c r="G4086" s="242">
        <v>2.63</v>
      </c>
      <c r="H4086" s="239">
        <f t="shared" si="4804"/>
        <v>5.26</v>
      </c>
      <c r="I4086" s="122">
        <f t="shared" si="4805"/>
        <v>0</v>
      </c>
      <c r="J4086" s="29">
        <f t="shared" si="4806"/>
        <v>0.81003999999999998</v>
      </c>
      <c r="K4086" s="29">
        <f t="shared" si="4807"/>
        <v>0</v>
      </c>
      <c r="L4086" s="29">
        <f t="shared" si="4808"/>
        <v>0</v>
      </c>
      <c r="M4086" s="29">
        <f t="shared" si="4809"/>
        <v>0</v>
      </c>
      <c r="N4086" s="29">
        <f t="shared" si="4810"/>
        <v>0</v>
      </c>
      <c r="O4086" s="29">
        <f t="shared" si="4811"/>
        <v>0</v>
      </c>
      <c r="P4086" s="29">
        <f t="shared" si="4812"/>
        <v>0</v>
      </c>
      <c r="Q4086" s="37">
        <f t="shared" si="4813"/>
        <v>0</v>
      </c>
    </row>
    <row r="4087" spans="4:17" s="62" customFormat="1" x14ac:dyDescent="0.3">
      <c r="D4087" s="235">
        <v>31</v>
      </c>
      <c r="E4087" s="240">
        <v>2</v>
      </c>
      <c r="F4087" s="241">
        <v>5</v>
      </c>
      <c r="G4087" s="242">
        <v>3.13</v>
      </c>
      <c r="H4087" s="239">
        <f t="shared" si="4804"/>
        <v>6.26</v>
      </c>
      <c r="I4087" s="122">
        <f t="shared" si="4805"/>
        <v>0</v>
      </c>
      <c r="J4087" s="29">
        <f t="shared" si="4806"/>
        <v>0.96404000000000001</v>
      </c>
      <c r="K4087" s="29">
        <f t="shared" si="4807"/>
        <v>0</v>
      </c>
      <c r="L4087" s="29">
        <f t="shared" si="4808"/>
        <v>0</v>
      </c>
      <c r="M4087" s="29">
        <f t="shared" si="4809"/>
        <v>0</v>
      </c>
      <c r="N4087" s="29">
        <f t="shared" si="4810"/>
        <v>0</v>
      </c>
      <c r="O4087" s="29">
        <f t="shared" si="4811"/>
        <v>0</v>
      </c>
      <c r="P4087" s="29">
        <f t="shared" si="4812"/>
        <v>0</v>
      </c>
      <c r="Q4087" s="37">
        <f t="shared" si="4813"/>
        <v>0</v>
      </c>
    </row>
    <row r="4088" spans="4:17" s="62" customFormat="1" x14ac:dyDescent="0.3">
      <c r="D4088" s="235">
        <v>34</v>
      </c>
      <c r="E4088" s="240">
        <v>2</v>
      </c>
      <c r="F4088" s="241">
        <v>8</v>
      </c>
      <c r="G4088" s="242">
        <v>8.09</v>
      </c>
      <c r="H4088" s="239">
        <f t="shared" si="4804"/>
        <v>16.18</v>
      </c>
      <c r="I4088" s="122">
        <f t="shared" si="4805"/>
        <v>0</v>
      </c>
      <c r="J4088" s="29">
        <f t="shared" si="4806"/>
        <v>0</v>
      </c>
      <c r="K4088" s="29">
        <f t="shared" si="4807"/>
        <v>0</v>
      </c>
      <c r="L4088" s="29">
        <f t="shared" si="4808"/>
        <v>6.3910999999999998</v>
      </c>
      <c r="M4088" s="29">
        <f t="shared" si="4809"/>
        <v>0</v>
      </c>
      <c r="N4088" s="29">
        <f t="shared" si="4810"/>
        <v>0</v>
      </c>
      <c r="O4088" s="29">
        <f t="shared" si="4811"/>
        <v>0</v>
      </c>
      <c r="P4088" s="29">
        <f t="shared" si="4812"/>
        <v>0</v>
      </c>
      <c r="Q4088" s="37">
        <f t="shared" si="4813"/>
        <v>0</v>
      </c>
    </row>
    <row r="4089" spans="4:17" s="62" customFormat="1" x14ac:dyDescent="0.3">
      <c r="D4089" s="235">
        <v>36</v>
      </c>
      <c r="E4089" s="240">
        <v>2</v>
      </c>
      <c r="F4089" s="241">
        <v>8</v>
      </c>
      <c r="G4089" s="242">
        <v>1.28</v>
      </c>
      <c r="H4089" s="239">
        <f t="shared" si="4804"/>
        <v>2.56</v>
      </c>
      <c r="I4089" s="122">
        <f t="shared" si="4805"/>
        <v>0</v>
      </c>
      <c r="J4089" s="29">
        <f t="shared" si="4806"/>
        <v>0</v>
      </c>
      <c r="K4089" s="29">
        <f t="shared" si="4807"/>
        <v>0</v>
      </c>
      <c r="L4089" s="29">
        <f t="shared" si="4808"/>
        <v>1.0112000000000001</v>
      </c>
      <c r="M4089" s="29">
        <f t="shared" si="4809"/>
        <v>0</v>
      </c>
      <c r="N4089" s="29">
        <f t="shared" si="4810"/>
        <v>0</v>
      </c>
      <c r="O4089" s="29">
        <f t="shared" si="4811"/>
        <v>0</v>
      </c>
      <c r="P4089" s="29">
        <f t="shared" si="4812"/>
        <v>0</v>
      </c>
      <c r="Q4089" s="37">
        <f t="shared" si="4813"/>
        <v>0</v>
      </c>
    </row>
    <row r="4090" spans="4:17" s="62" customFormat="1" x14ac:dyDescent="0.3">
      <c r="D4090" s="235">
        <v>37</v>
      </c>
      <c r="E4090" s="240">
        <v>2</v>
      </c>
      <c r="F4090" s="241">
        <v>8</v>
      </c>
      <c r="G4090" s="242">
        <v>0.3</v>
      </c>
      <c r="H4090" s="239">
        <f t="shared" si="4804"/>
        <v>0.6</v>
      </c>
      <c r="I4090" s="122">
        <f t="shared" si="4805"/>
        <v>0</v>
      </c>
      <c r="J4090" s="29">
        <f t="shared" si="4806"/>
        <v>0</v>
      </c>
      <c r="K4090" s="29">
        <f t="shared" si="4807"/>
        <v>0</v>
      </c>
      <c r="L4090" s="29">
        <f t="shared" si="4808"/>
        <v>0.23699999999999999</v>
      </c>
      <c r="M4090" s="29">
        <f t="shared" si="4809"/>
        <v>0</v>
      </c>
      <c r="N4090" s="29">
        <f t="shared" si="4810"/>
        <v>0</v>
      </c>
      <c r="O4090" s="29">
        <f t="shared" si="4811"/>
        <v>0</v>
      </c>
      <c r="P4090" s="29">
        <f t="shared" si="4812"/>
        <v>0</v>
      </c>
      <c r="Q4090" s="37">
        <f t="shared" si="4813"/>
        <v>0</v>
      </c>
    </row>
    <row r="4091" spans="4:17" s="62" customFormat="1" x14ac:dyDescent="0.3">
      <c r="D4091" s="235">
        <v>38</v>
      </c>
      <c r="E4091" s="240">
        <v>2</v>
      </c>
      <c r="F4091" s="241">
        <v>8</v>
      </c>
      <c r="G4091" s="242">
        <v>1.33</v>
      </c>
      <c r="H4091" s="239">
        <f t="shared" si="4804"/>
        <v>2.66</v>
      </c>
      <c r="I4091" s="122">
        <f t="shared" si="4805"/>
        <v>0</v>
      </c>
      <c r="J4091" s="29">
        <f t="shared" si="4806"/>
        <v>0</v>
      </c>
      <c r="K4091" s="29">
        <f t="shared" si="4807"/>
        <v>0</v>
      </c>
      <c r="L4091" s="29">
        <f t="shared" si="4808"/>
        <v>1.0507000000000002</v>
      </c>
      <c r="M4091" s="29">
        <f t="shared" si="4809"/>
        <v>0</v>
      </c>
      <c r="N4091" s="29">
        <f t="shared" si="4810"/>
        <v>0</v>
      </c>
      <c r="O4091" s="29">
        <f t="shared" si="4811"/>
        <v>0</v>
      </c>
      <c r="P4091" s="29">
        <f t="shared" si="4812"/>
        <v>0</v>
      </c>
      <c r="Q4091" s="37">
        <f t="shared" si="4813"/>
        <v>0</v>
      </c>
    </row>
    <row r="4092" spans="4:17" s="62" customFormat="1" x14ac:dyDescent="0.3">
      <c r="D4092" s="307"/>
      <c r="E4092" s="26"/>
      <c r="F4092" s="206"/>
      <c r="G4092" s="207"/>
      <c r="H4092" s="207"/>
      <c r="I4092" s="51"/>
      <c r="J4092" s="308"/>
      <c r="K4092" s="308"/>
      <c r="L4092" s="308"/>
      <c r="M4092" s="308"/>
      <c r="N4092" s="308"/>
      <c r="O4092" s="308"/>
      <c r="P4092" s="308"/>
      <c r="Q4092" s="309"/>
    </row>
    <row r="4093" spans="4:17" s="62" customFormat="1" x14ac:dyDescent="0.3">
      <c r="D4093" s="790" t="s">
        <v>1512</v>
      </c>
      <c r="E4093" s="791"/>
      <c r="F4093" s="791"/>
      <c r="G4093" s="791"/>
      <c r="H4093" s="791"/>
      <c r="I4093" s="175">
        <f t="shared" ref="I4093:Q4093" si="4814">SUM(I4094:I4096)</f>
        <v>0</v>
      </c>
      <c r="J4093" s="175">
        <f t="shared" si="4814"/>
        <v>5.5732599999999994</v>
      </c>
      <c r="K4093" s="175">
        <f t="shared" si="4814"/>
        <v>0</v>
      </c>
      <c r="L4093" s="175">
        <f t="shared" si="4814"/>
        <v>6.6834000000000007</v>
      </c>
      <c r="M4093" s="175">
        <f t="shared" si="4814"/>
        <v>0</v>
      </c>
      <c r="N4093" s="175">
        <f t="shared" si="4814"/>
        <v>0</v>
      </c>
      <c r="O4093" s="175">
        <f t="shared" si="4814"/>
        <v>0</v>
      </c>
      <c r="P4093" s="175">
        <f t="shared" si="4814"/>
        <v>0</v>
      </c>
      <c r="Q4093" s="175">
        <f t="shared" si="4814"/>
        <v>0</v>
      </c>
    </row>
    <row r="4094" spans="4:17" s="62" customFormat="1" x14ac:dyDescent="0.3">
      <c r="D4094" s="235">
        <v>29</v>
      </c>
      <c r="E4094" s="237">
        <v>77</v>
      </c>
      <c r="F4094" s="238">
        <v>5</v>
      </c>
      <c r="G4094" s="242">
        <v>0.47</v>
      </c>
      <c r="H4094" s="239">
        <f>E4094*G4094</f>
        <v>36.19</v>
      </c>
      <c r="I4094" s="122">
        <f>IF($F4094=4.2,H4094*$B$23,0)</f>
        <v>0</v>
      </c>
      <c r="J4094" s="29">
        <f>IF($F4094=5,$H4094*$B$24,0)</f>
        <v>5.5732599999999994</v>
      </c>
      <c r="K4094" s="29">
        <f>IF($F4094=6.3,$H4094*$B$25,0)</f>
        <v>0</v>
      </c>
      <c r="L4094" s="29">
        <f>IF($F4094=8,$H4094*$B$26,0)</f>
        <v>0</v>
      </c>
      <c r="M4094" s="29">
        <f>IF($F4094=10,$H4094*$B$27,0)</f>
        <v>0</v>
      </c>
      <c r="N4094" s="29">
        <f>IF($F4094=12.5,$H4094*$B$28,0)</f>
        <v>0</v>
      </c>
      <c r="O4094" s="29">
        <f>IF($F4094=16,$H4094*$B$29,0)</f>
        <v>0</v>
      </c>
      <c r="P4094" s="29">
        <f>IF($F4094=20,$H4094*$B$30,0)</f>
        <v>0</v>
      </c>
      <c r="Q4094" s="37">
        <f>IF($F4094=25,$H4094*$B$31,0)</f>
        <v>0</v>
      </c>
    </row>
    <row r="4095" spans="4:17" s="62" customFormat="1" x14ac:dyDescent="0.3">
      <c r="D4095" s="235">
        <v>39</v>
      </c>
      <c r="E4095" s="240">
        <v>2</v>
      </c>
      <c r="F4095" s="241">
        <v>8</v>
      </c>
      <c r="G4095" s="242">
        <v>4.1399999999999997</v>
      </c>
      <c r="H4095" s="239">
        <f>E4095*G4095</f>
        <v>8.2799999999999994</v>
      </c>
      <c r="I4095" s="122">
        <f>IF($F4095=4.2,H4095*$B$23,0)</f>
        <v>0</v>
      </c>
      <c r="J4095" s="29">
        <f>IF($F4095=5,$H4095*$B$24,0)</f>
        <v>0</v>
      </c>
      <c r="K4095" s="29">
        <f>IF($F4095=6.3,$H4095*$B$25,0)</f>
        <v>0</v>
      </c>
      <c r="L4095" s="29">
        <f>IF($F4095=8,$H4095*$B$26,0)</f>
        <v>3.2706</v>
      </c>
      <c r="M4095" s="29">
        <f>IF($F4095=10,$H4095*$B$27,0)</f>
        <v>0</v>
      </c>
      <c r="N4095" s="29">
        <f>IF($F4095=12.5,$H4095*$B$28,0)</f>
        <v>0</v>
      </c>
      <c r="O4095" s="29">
        <f>IF($F4095=16,$H4095*$B$29,0)</f>
        <v>0</v>
      </c>
      <c r="P4095" s="29">
        <f>IF($F4095=20,$H4095*$B$30,0)</f>
        <v>0</v>
      </c>
      <c r="Q4095" s="37">
        <f>IF($F4095=25,$H4095*$B$31,0)</f>
        <v>0</v>
      </c>
    </row>
    <row r="4096" spans="4:17" s="62" customFormat="1" x14ac:dyDescent="0.3">
      <c r="D4096" s="235">
        <v>40</v>
      </c>
      <c r="E4096" s="240">
        <v>2</v>
      </c>
      <c r="F4096" s="241">
        <v>8</v>
      </c>
      <c r="G4096" s="242">
        <v>4.32</v>
      </c>
      <c r="H4096" s="239">
        <f>E4096*G4096</f>
        <v>8.64</v>
      </c>
      <c r="I4096" s="122">
        <f>IF($F4096=4.2,H4096*$B$23,0)</f>
        <v>0</v>
      </c>
      <c r="J4096" s="29">
        <f>IF($F4096=5,$H4096*$B$24,0)</f>
        <v>0</v>
      </c>
      <c r="K4096" s="29">
        <f>IF($F4096=6.3,$H4096*$B$25,0)</f>
        <v>0</v>
      </c>
      <c r="L4096" s="29">
        <f>IF($F4096=8,$H4096*$B$26,0)</f>
        <v>3.4128000000000003</v>
      </c>
      <c r="M4096" s="29">
        <f>IF($F4096=10,$H4096*$B$27,0)</f>
        <v>0</v>
      </c>
      <c r="N4096" s="29">
        <f>IF($F4096=12.5,$H4096*$B$28,0)</f>
        <v>0</v>
      </c>
      <c r="O4096" s="29">
        <f>IF($F4096=16,$H4096*$B$29,0)</f>
        <v>0</v>
      </c>
      <c r="P4096" s="29">
        <f>IF($F4096=20,$H4096*$B$30,0)</f>
        <v>0</v>
      </c>
      <c r="Q4096" s="37">
        <f>IF($F4096=25,$H4096*$B$31,0)</f>
        <v>0</v>
      </c>
    </row>
    <row r="4097" spans="4:17" s="62" customFormat="1" x14ac:dyDescent="0.3">
      <c r="D4097" s="307"/>
      <c r="E4097" s="26"/>
      <c r="F4097" s="206"/>
      <c r="G4097" s="207"/>
      <c r="H4097" s="207"/>
      <c r="I4097" s="51"/>
      <c r="J4097" s="308"/>
      <c r="K4097" s="308"/>
      <c r="L4097" s="308"/>
      <c r="M4097" s="308"/>
      <c r="N4097" s="308"/>
      <c r="O4097" s="308"/>
      <c r="P4097" s="308"/>
      <c r="Q4097" s="309"/>
    </row>
    <row r="4098" spans="4:17" s="62" customFormat="1" x14ac:dyDescent="0.3">
      <c r="D4098" s="790" t="s">
        <v>1513</v>
      </c>
      <c r="E4098" s="791"/>
      <c r="F4098" s="791"/>
      <c r="G4098" s="791"/>
      <c r="H4098" s="791"/>
      <c r="I4098" s="175">
        <f t="shared" ref="I4098:Q4098" si="4815">SUM(I4099:I4101)</f>
        <v>0</v>
      </c>
      <c r="J4098" s="175">
        <f t="shared" si="4815"/>
        <v>4.8494599999999997</v>
      </c>
      <c r="K4098" s="175">
        <f t="shared" si="4815"/>
        <v>0</v>
      </c>
      <c r="L4098" s="175">
        <f t="shared" si="4815"/>
        <v>6.5885999999999996</v>
      </c>
      <c r="M4098" s="175">
        <f t="shared" si="4815"/>
        <v>0</v>
      </c>
      <c r="N4098" s="175">
        <f t="shared" si="4815"/>
        <v>0</v>
      </c>
      <c r="O4098" s="175">
        <f t="shared" si="4815"/>
        <v>0</v>
      </c>
      <c r="P4098" s="175">
        <f t="shared" si="4815"/>
        <v>0</v>
      </c>
      <c r="Q4098" s="175">
        <f t="shared" si="4815"/>
        <v>0</v>
      </c>
    </row>
    <row r="4099" spans="4:17" s="62" customFormat="1" x14ac:dyDescent="0.3">
      <c r="D4099" s="235">
        <v>29</v>
      </c>
      <c r="E4099" s="237">
        <v>67</v>
      </c>
      <c r="F4099" s="238">
        <v>5</v>
      </c>
      <c r="G4099" s="242">
        <v>0.47</v>
      </c>
      <c r="H4099" s="239">
        <f>E4099*G4099</f>
        <v>31.49</v>
      </c>
      <c r="I4099" s="122">
        <f>IF($F4099=4.2,H4099*$B$23,0)</f>
        <v>0</v>
      </c>
      <c r="J4099" s="29">
        <f>IF($F4099=5,$H4099*$B$24,0)</f>
        <v>4.8494599999999997</v>
      </c>
      <c r="K4099" s="29">
        <f>IF($F4099=6.3,$H4099*$B$25,0)</f>
        <v>0</v>
      </c>
      <c r="L4099" s="29">
        <f>IF($F4099=8,$H4099*$B$26,0)</f>
        <v>0</v>
      </c>
      <c r="M4099" s="29">
        <f>IF($F4099=10,$H4099*$B$27,0)</f>
        <v>0</v>
      </c>
      <c r="N4099" s="29">
        <f>IF($F4099=12.5,$H4099*$B$28,0)</f>
        <v>0</v>
      </c>
      <c r="O4099" s="29">
        <f>IF($F4099=16,$H4099*$B$29,0)</f>
        <v>0</v>
      </c>
      <c r="P4099" s="29">
        <f>IF($F4099=20,$H4099*$B$30,0)</f>
        <v>0</v>
      </c>
      <c r="Q4099" s="37">
        <f>IF($F4099=25,$H4099*$B$31,0)</f>
        <v>0</v>
      </c>
    </row>
    <row r="4100" spans="4:17" s="62" customFormat="1" x14ac:dyDescent="0.3">
      <c r="D4100" s="235">
        <v>41</v>
      </c>
      <c r="E4100" s="240">
        <v>2</v>
      </c>
      <c r="F4100" s="241">
        <v>8</v>
      </c>
      <c r="G4100" s="242">
        <v>4.09</v>
      </c>
      <c r="H4100" s="239">
        <f>E4100*G4100</f>
        <v>8.18</v>
      </c>
      <c r="I4100" s="122">
        <f>IF($F4100=4.2,H4100*$B$23,0)</f>
        <v>0</v>
      </c>
      <c r="J4100" s="29">
        <f>IF($F4100=5,$H4100*$B$24,0)</f>
        <v>0</v>
      </c>
      <c r="K4100" s="29">
        <f>IF($F4100=6.3,$H4100*$B$25,0)</f>
        <v>0</v>
      </c>
      <c r="L4100" s="29">
        <f>IF($F4100=8,$H4100*$B$26,0)</f>
        <v>3.2311000000000001</v>
      </c>
      <c r="M4100" s="29">
        <f>IF($F4100=10,$H4100*$B$27,0)</f>
        <v>0</v>
      </c>
      <c r="N4100" s="29">
        <f>IF($F4100=12.5,$H4100*$B$28,0)</f>
        <v>0</v>
      </c>
      <c r="O4100" s="29">
        <f>IF($F4100=16,$H4100*$B$29,0)</f>
        <v>0</v>
      </c>
      <c r="P4100" s="29">
        <f>IF($F4100=20,$H4100*$B$30,0)</f>
        <v>0</v>
      </c>
      <c r="Q4100" s="37">
        <f>IF($F4100=25,$H4100*$B$31,0)</f>
        <v>0</v>
      </c>
    </row>
    <row r="4101" spans="4:17" s="62" customFormat="1" x14ac:dyDescent="0.3">
      <c r="D4101" s="235">
        <v>42</v>
      </c>
      <c r="E4101" s="240">
        <v>2</v>
      </c>
      <c r="F4101" s="241">
        <v>8</v>
      </c>
      <c r="G4101" s="242">
        <v>4.25</v>
      </c>
      <c r="H4101" s="239">
        <f>E4101*G4101</f>
        <v>8.5</v>
      </c>
      <c r="I4101" s="122">
        <f>IF($F4101=4.2,H4101*$B$23,0)</f>
        <v>0</v>
      </c>
      <c r="J4101" s="29">
        <f>IF($F4101=5,$H4101*$B$24,0)</f>
        <v>0</v>
      </c>
      <c r="K4101" s="29">
        <f>IF($F4101=6.3,$H4101*$B$25,0)</f>
        <v>0</v>
      </c>
      <c r="L4101" s="29">
        <f>IF($F4101=8,$H4101*$B$26,0)</f>
        <v>3.3574999999999999</v>
      </c>
      <c r="M4101" s="29">
        <f>IF($F4101=10,$H4101*$B$27,0)</f>
        <v>0</v>
      </c>
      <c r="N4101" s="29">
        <f>IF($F4101=12.5,$H4101*$B$28,0)</f>
        <v>0</v>
      </c>
      <c r="O4101" s="29">
        <f>IF($F4101=16,$H4101*$B$29,0)</f>
        <v>0</v>
      </c>
      <c r="P4101" s="29">
        <f>IF($F4101=20,$H4101*$B$30,0)</f>
        <v>0</v>
      </c>
      <c r="Q4101" s="37">
        <f>IF($F4101=25,$H4101*$B$31,0)</f>
        <v>0</v>
      </c>
    </row>
    <row r="4102" spans="4:17" s="62" customFormat="1" x14ac:dyDescent="0.3">
      <c r="D4102" s="307"/>
      <c r="E4102" s="26"/>
      <c r="F4102" s="206"/>
      <c r="G4102" s="207"/>
      <c r="H4102" s="207"/>
      <c r="I4102" s="51"/>
      <c r="J4102" s="308"/>
      <c r="K4102" s="308"/>
      <c r="L4102" s="308"/>
      <c r="M4102" s="308"/>
      <c r="N4102" s="308"/>
      <c r="O4102" s="308"/>
      <c r="P4102" s="308"/>
      <c r="Q4102" s="309"/>
    </row>
    <row r="4103" spans="4:17" s="62" customFormat="1" x14ac:dyDescent="0.3">
      <c r="D4103" s="790" t="s">
        <v>1514</v>
      </c>
      <c r="E4103" s="791"/>
      <c r="F4103" s="791"/>
      <c r="G4103" s="791"/>
      <c r="H4103" s="791"/>
      <c r="I4103" s="175">
        <f t="shared" ref="I4103:Q4103" si="4816">SUM(I4104:I4106)</f>
        <v>0</v>
      </c>
      <c r="J4103" s="175">
        <f t="shared" si="4816"/>
        <v>10.422719999999998</v>
      </c>
      <c r="K4103" s="175">
        <f t="shared" si="4816"/>
        <v>0</v>
      </c>
      <c r="L4103" s="175">
        <f t="shared" si="4816"/>
        <v>12.956000000000001</v>
      </c>
      <c r="M4103" s="175">
        <f t="shared" si="4816"/>
        <v>0</v>
      </c>
      <c r="N4103" s="175">
        <f t="shared" si="4816"/>
        <v>0</v>
      </c>
      <c r="O4103" s="175">
        <f t="shared" si="4816"/>
        <v>0</v>
      </c>
      <c r="P4103" s="175">
        <f t="shared" si="4816"/>
        <v>0</v>
      </c>
      <c r="Q4103" s="175">
        <f t="shared" si="4816"/>
        <v>0</v>
      </c>
    </row>
    <row r="4104" spans="4:17" s="62" customFormat="1" x14ac:dyDescent="0.3">
      <c r="D4104" s="235">
        <v>29</v>
      </c>
      <c r="E4104" s="237">
        <v>144</v>
      </c>
      <c r="F4104" s="238">
        <v>5</v>
      </c>
      <c r="G4104" s="242">
        <v>0.47</v>
      </c>
      <c r="H4104" s="239">
        <f>E4104*G4104</f>
        <v>67.679999999999993</v>
      </c>
      <c r="I4104" s="122">
        <f>IF($F4104=4.2,H4104*$B$23,0)</f>
        <v>0</v>
      </c>
      <c r="J4104" s="29">
        <f>IF($F4104=5,$H4104*$B$24,0)</f>
        <v>10.422719999999998</v>
      </c>
      <c r="K4104" s="29">
        <f>IF($F4104=6.3,$H4104*$B$25,0)</f>
        <v>0</v>
      </c>
      <c r="L4104" s="29">
        <f>IF($F4104=8,$H4104*$B$26,0)</f>
        <v>0</v>
      </c>
      <c r="M4104" s="29">
        <f>IF($F4104=10,$H4104*$B$27,0)</f>
        <v>0</v>
      </c>
      <c r="N4104" s="29">
        <f>IF($F4104=12.5,$H4104*$B$28,0)</f>
        <v>0</v>
      </c>
      <c r="O4104" s="29">
        <f>IF($F4104=16,$H4104*$B$29,0)</f>
        <v>0</v>
      </c>
      <c r="P4104" s="29">
        <f>IF($F4104=20,$H4104*$B$30,0)</f>
        <v>0</v>
      </c>
      <c r="Q4104" s="37">
        <f>IF($F4104=25,$H4104*$B$31,0)</f>
        <v>0</v>
      </c>
    </row>
    <row r="4105" spans="4:17" s="62" customFormat="1" x14ac:dyDescent="0.3">
      <c r="D4105" s="235">
        <v>43</v>
      </c>
      <c r="E4105" s="240">
        <v>2</v>
      </c>
      <c r="F4105" s="241">
        <v>8</v>
      </c>
      <c r="G4105" s="242">
        <v>8.16</v>
      </c>
      <c r="H4105" s="239">
        <f>E4105*G4105</f>
        <v>16.32</v>
      </c>
      <c r="I4105" s="122">
        <f>IF($F4105=4.2,H4105*$B$23,0)</f>
        <v>0</v>
      </c>
      <c r="J4105" s="29">
        <f>IF($F4105=5,$H4105*$B$24,0)</f>
        <v>0</v>
      </c>
      <c r="K4105" s="29">
        <f>IF($F4105=6.3,$H4105*$B$25,0)</f>
        <v>0</v>
      </c>
      <c r="L4105" s="29">
        <f>IF($F4105=8,$H4105*$B$26,0)</f>
        <v>6.4464000000000006</v>
      </c>
      <c r="M4105" s="29">
        <f>IF($F4105=10,$H4105*$B$27,0)</f>
        <v>0</v>
      </c>
      <c r="N4105" s="29">
        <f>IF($F4105=12.5,$H4105*$B$28,0)</f>
        <v>0</v>
      </c>
      <c r="O4105" s="29">
        <f>IF($F4105=16,$H4105*$B$29,0)</f>
        <v>0</v>
      </c>
      <c r="P4105" s="29">
        <f>IF($F4105=20,$H4105*$B$30,0)</f>
        <v>0</v>
      </c>
      <c r="Q4105" s="37">
        <f>IF($F4105=25,$H4105*$B$31,0)</f>
        <v>0</v>
      </c>
    </row>
    <row r="4106" spans="4:17" s="62" customFormat="1" x14ac:dyDescent="0.3">
      <c r="D4106" s="235">
        <v>44</v>
      </c>
      <c r="E4106" s="240">
        <v>2</v>
      </c>
      <c r="F4106" s="241">
        <v>8</v>
      </c>
      <c r="G4106" s="242">
        <v>8.24</v>
      </c>
      <c r="H4106" s="239">
        <f>E4106*G4106</f>
        <v>16.48</v>
      </c>
      <c r="I4106" s="122">
        <f>IF($F4106=4.2,H4106*$B$23,0)</f>
        <v>0</v>
      </c>
      <c r="J4106" s="29">
        <f>IF($F4106=5,$H4106*$B$24,0)</f>
        <v>0</v>
      </c>
      <c r="K4106" s="29">
        <f>IF($F4106=6.3,$H4106*$B$25,0)</f>
        <v>0</v>
      </c>
      <c r="L4106" s="29">
        <f>IF($F4106=8,$H4106*$B$26,0)</f>
        <v>6.5096000000000007</v>
      </c>
      <c r="M4106" s="29">
        <f>IF($F4106=10,$H4106*$B$27,0)</f>
        <v>0</v>
      </c>
      <c r="N4106" s="29">
        <f>IF($F4106=12.5,$H4106*$B$28,0)</f>
        <v>0</v>
      </c>
      <c r="O4106" s="29">
        <f>IF($F4106=16,$H4106*$B$29,0)</f>
        <v>0</v>
      </c>
      <c r="P4106" s="29">
        <f>IF($F4106=20,$H4106*$B$30,0)</f>
        <v>0</v>
      </c>
      <c r="Q4106" s="37">
        <f>IF($F4106=25,$H4106*$B$31,0)</f>
        <v>0</v>
      </c>
    </row>
    <row r="4107" spans="4:17" s="62" customFormat="1" x14ac:dyDescent="0.3">
      <c r="D4107" s="307"/>
      <c r="E4107" s="26"/>
      <c r="F4107" s="206"/>
      <c r="G4107" s="207"/>
      <c r="H4107" s="207"/>
      <c r="I4107" s="51"/>
      <c r="J4107" s="308"/>
      <c r="K4107" s="308"/>
      <c r="L4107" s="308"/>
      <c r="M4107" s="308"/>
      <c r="N4107" s="308"/>
      <c r="O4107" s="308"/>
      <c r="P4107" s="308"/>
      <c r="Q4107" s="309"/>
    </row>
    <row r="4108" spans="4:17" s="62" customFormat="1" x14ac:dyDescent="0.3">
      <c r="D4108" s="790" t="s">
        <v>1515</v>
      </c>
      <c r="E4108" s="791"/>
      <c r="F4108" s="791"/>
      <c r="G4108" s="791"/>
      <c r="H4108" s="791"/>
      <c r="I4108" s="175">
        <f t="shared" ref="I4108:Q4108" si="4817">SUM(I4109:I4113)</f>
        <v>0</v>
      </c>
      <c r="J4108" s="175">
        <f t="shared" si="4817"/>
        <v>16.792159999999999</v>
      </c>
      <c r="K4108" s="175">
        <f t="shared" si="4817"/>
        <v>0</v>
      </c>
      <c r="L4108" s="175">
        <f t="shared" si="4817"/>
        <v>19.568299999999997</v>
      </c>
      <c r="M4108" s="175">
        <f t="shared" si="4817"/>
        <v>0</v>
      </c>
      <c r="N4108" s="175">
        <f t="shared" si="4817"/>
        <v>0</v>
      </c>
      <c r="O4108" s="175">
        <f t="shared" si="4817"/>
        <v>0</v>
      </c>
      <c r="P4108" s="175">
        <f t="shared" si="4817"/>
        <v>0</v>
      </c>
      <c r="Q4108" s="175">
        <f t="shared" si="4817"/>
        <v>0</v>
      </c>
    </row>
    <row r="4109" spans="4:17" s="62" customFormat="1" x14ac:dyDescent="0.3">
      <c r="D4109" s="235">
        <v>29</v>
      </c>
      <c r="E4109" s="237">
        <v>232</v>
      </c>
      <c r="F4109" s="238">
        <v>5</v>
      </c>
      <c r="G4109" s="242">
        <v>0.47</v>
      </c>
      <c r="H4109" s="239">
        <f>E4109*G4109</f>
        <v>109.03999999999999</v>
      </c>
      <c r="I4109" s="122">
        <f>IF($F4109=4.2,H4109*$B$23,0)</f>
        <v>0</v>
      </c>
      <c r="J4109" s="29">
        <f>IF($F4109=5,$H4109*$B$24,0)</f>
        <v>16.792159999999999</v>
      </c>
      <c r="K4109" s="29">
        <f>IF($F4109=6.3,$H4109*$B$25,0)</f>
        <v>0</v>
      </c>
      <c r="L4109" s="29">
        <f>IF($F4109=8,$H4109*$B$26,0)</f>
        <v>0</v>
      </c>
      <c r="M4109" s="29">
        <f>IF($F4109=10,$H4109*$B$27,0)</f>
        <v>0</v>
      </c>
      <c r="N4109" s="29">
        <f>IF($F4109=12.5,$H4109*$B$28,0)</f>
        <v>0</v>
      </c>
      <c r="O4109" s="29">
        <f>IF($F4109=16,$H4109*$B$29,0)</f>
        <v>0</v>
      </c>
      <c r="P4109" s="29">
        <f>IF($F4109=20,$H4109*$B$30,0)</f>
        <v>0</v>
      </c>
      <c r="Q4109" s="37">
        <f>IF($F4109=25,$H4109*$B$31,0)</f>
        <v>0</v>
      </c>
    </row>
    <row r="4110" spans="4:17" s="62" customFormat="1" x14ac:dyDescent="0.3">
      <c r="D4110" s="235">
        <v>45</v>
      </c>
      <c r="E4110" s="240">
        <v>2</v>
      </c>
      <c r="F4110" s="241">
        <v>8</v>
      </c>
      <c r="G4110" s="242">
        <v>8.07</v>
      </c>
      <c r="H4110" s="239">
        <f>E4110*G4110</f>
        <v>16.14</v>
      </c>
      <c r="I4110" s="122">
        <f>IF($F4110=4.2,H4110*$B$23,0)</f>
        <v>0</v>
      </c>
      <c r="J4110" s="29">
        <f>IF($F4110=5,$H4110*$B$24,0)</f>
        <v>0</v>
      </c>
      <c r="K4110" s="29">
        <f>IF($F4110=6.3,$H4110*$B$25,0)</f>
        <v>0</v>
      </c>
      <c r="L4110" s="29">
        <f>IF($F4110=8,$H4110*$B$26,0)</f>
        <v>6.3753000000000002</v>
      </c>
      <c r="M4110" s="29">
        <f>IF($F4110=10,$H4110*$B$27,0)</f>
        <v>0</v>
      </c>
      <c r="N4110" s="29">
        <f>IF($F4110=12.5,$H4110*$B$28,0)</f>
        <v>0</v>
      </c>
      <c r="O4110" s="29">
        <f>IF($F4110=16,$H4110*$B$29,0)</f>
        <v>0</v>
      </c>
      <c r="P4110" s="29">
        <f>IF($F4110=20,$H4110*$B$30,0)</f>
        <v>0</v>
      </c>
      <c r="Q4110" s="37">
        <f>IF($F4110=25,$H4110*$B$31,0)</f>
        <v>0</v>
      </c>
    </row>
    <row r="4111" spans="4:17" s="62" customFormat="1" x14ac:dyDescent="0.3">
      <c r="D4111" s="235">
        <v>46</v>
      </c>
      <c r="E4111" s="240">
        <v>2</v>
      </c>
      <c r="F4111" s="241">
        <v>8</v>
      </c>
      <c r="G4111" s="242">
        <v>4.07</v>
      </c>
      <c r="H4111" s="239">
        <f>E4111*G4111</f>
        <v>8.14</v>
      </c>
      <c r="I4111" s="122">
        <f>IF($F4111=4.2,H4111*$B$23,0)</f>
        <v>0</v>
      </c>
      <c r="J4111" s="29">
        <f>IF($F4111=5,$H4111*$B$24,0)</f>
        <v>0</v>
      </c>
      <c r="K4111" s="29">
        <f>IF($F4111=6.3,$H4111*$B$25,0)</f>
        <v>0</v>
      </c>
      <c r="L4111" s="29">
        <f>IF($F4111=8,$H4111*$B$26,0)</f>
        <v>3.2153000000000005</v>
      </c>
      <c r="M4111" s="29">
        <f>IF($F4111=10,$H4111*$B$27,0)</f>
        <v>0</v>
      </c>
      <c r="N4111" s="29">
        <f>IF($F4111=12.5,$H4111*$B$28,0)</f>
        <v>0</v>
      </c>
      <c r="O4111" s="29">
        <f>IF($F4111=16,$H4111*$B$29,0)</f>
        <v>0</v>
      </c>
      <c r="P4111" s="29">
        <f>IF($F4111=20,$H4111*$B$30,0)</f>
        <v>0</v>
      </c>
      <c r="Q4111" s="37">
        <f>IF($F4111=25,$H4111*$B$31,0)</f>
        <v>0</v>
      </c>
    </row>
    <row r="4112" spans="4:17" s="62" customFormat="1" x14ac:dyDescent="0.3">
      <c r="D4112" s="235">
        <v>47</v>
      </c>
      <c r="E4112" s="240">
        <v>2</v>
      </c>
      <c r="F4112" s="241">
        <v>8</v>
      </c>
      <c r="G4112" s="242">
        <v>11.03</v>
      </c>
      <c r="H4112" s="239">
        <f>E4112*G4112</f>
        <v>22.06</v>
      </c>
      <c r="I4112" s="122">
        <f>IF($F4112=4.2,H4112*$B$23,0)</f>
        <v>0</v>
      </c>
      <c r="J4112" s="29">
        <f>IF($F4112=5,$H4112*$B$24,0)</f>
        <v>0</v>
      </c>
      <c r="K4112" s="29">
        <f>IF($F4112=6.3,$H4112*$B$25,0)</f>
        <v>0</v>
      </c>
      <c r="L4112" s="29">
        <f>IF($F4112=8,$H4112*$B$26,0)</f>
        <v>8.7136999999999993</v>
      </c>
      <c r="M4112" s="29">
        <f>IF($F4112=10,$H4112*$B$27,0)</f>
        <v>0</v>
      </c>
      <c r="N4112" s="29">
        <f>IF($F4112=12.5,$H4112*$B$28,0)</f>
        <v>0</v>
      </c>
      <c r="O4112" s="29">
        <f>IF($F4112=16,$H4112*$B$29,0)</f>
        <v>0</v>
      </c>
      <c r="P4112" s="29">
        <f>IF($F4112=20,$H4112*$B$30,0)</f>
        <v>0</v>
      </c>
      <c r="Q4112" s="37">
        <f>IF($F4112=25,$H4112*$B$31,0)</f>
        <v>0</v>
      </c>
    </row>
    <row r="4113" spans="4:17" s="62" customFormat="1" x14ac:dyDescent="0.3">
      <c r="D4113" s="235">
        <v>48</v>
      </c>
      <c r="E4113" s="240">
        <v>2</v>
      </c>
      <c r="F4113" s="241">
        <v>8</v>
      </c>
      <c r="G4113" s="242">
        <v>1.6</v>
      </c>
      <c r="H4113" s="239">
        <f>E4113*G4113</f>
        <v>3.2</v>
      </c>
      <c r="I4113" s="122">
        <f>IF($F4113=4.2,H4113*$B$23,0)</f>
        <v>0</v>
      </c>
      <c r="J4113" s="29">
        <f>IF($F4113=5,$H4113*$B$24,0)</f>
        <v>0</v>
      </c>
      <c r="K4113" s="29">
        <f>IF($F4113=6.3,$H4113*$B$25,0)</f>
        <v>0</v>
      </c>
      <c r="L4113" s="29">
        <f>IF($F4113=8,$H4113*$B$26,0)</f>
        <v>1.2640000000000002</v>
      </c>
      <c r="M4113" s="29">
        <f>IF($F4113=10,$H4113*$B$27,0)</f>
        <v>0</v>
      </c>
      <c r="N4113" s="29">
        <f>IF($F4113=12.5,$H4113*$B$28,0)</f>
        <v>0</v>
      </c>
      <c r="O4113" s="29">
        <f>IF($F4113=16,$H4113*$B$29,0)</f>
        <v>0</v>
      </c>
      <c r="P4113" s="29">
        <f>IF($F4113=20,$H4113*$B$30,0)</f>
        <v>0</v>
      </c>
      <c r="Q4113" s="37">
        <f>IF($F4113=25,$H4113*$B$31,0)</f>
        <v>0</v>
      </c>
    </row>
    <row r="4114" spans="4:17" s="62" customFormat="1" x14ac:dyDescent="0.3">
      <c r="D4114" s="307"/>
      <c r="E4114" s="26"/>
      <c r="F4114" s="206"/>
      <c r="G4114" s="207"/>
      <c r="H4114" s="207"/>
      <c r="I4114" s="51"/>
      <c r="J4114" s="308"/>
      <c r="K4114" s="308"/>
      <c r="L4114" s="308"/>
      <c r="M4114" s="308"/>
      <c r="N4114" s="308"/>
      <c r="O4114" s="308"/>
      <c r="P4114" s="308"/>
      <c r="Q4114" s="309"/>
    </row>
    <row r="4115" spans="4:17" s="62" customFormat="1" x14ac:dyDescent="0.3">
      <c r="D4115" s="790" t="s">
        <v>1516</v>
      </c>
      <c r="E4115" s="791"/>
      <c r="F4115" s="791"/>
      <c r="G4115" s="791"/>
      <c r="H4115" s="791"/>
      <c r="I4115" s="175">
        <f t="shared" ref="I4115:Q4115" si="4818">SUM(I4116:I4120)</f>
        <v>0</v>
      </c>
      <c r="J4115" s="175">
        <f t="shared" si="4818"/>
        <v>16.575019999999999</v>
      </c>
      <c r="K4115" s="175">
        <f t="shared" si="4818"/>
        <v>0</v>
      </c>
      <c r="L4115" s="175">
        <f t="shared" si="4818"/>
        <v>19.655200000000001</v>
      </c>
      <c r="M4115" s="175">
        <f t="shared" si="4818"/>
        <v>0</v>
      </c>
      <c r="N4115" s="175">
        <f t="shared" si="4818"/>
        <v>0</v>
      </c>
      <c r="O4115" s="175">
        <f t="shared" si="4818"/>
        <v>0</v>
      </c>
      <c r="P4115" s="175">
        <f t="shared" si="4818"/>
        <v>0</v>
      </c>
      <c r="Q4115" s="175">
        <f t="shared" si="4818"/>
        <v>0</v>
      </c>
    </row>
    <row r="4116" spans="4:17" s="62" customFormat="1" x14ac:dyDescent="0.3">
      <c r="D4116" s="235">
        <v>29</v>
      </c>
      <c r="E4116" s="237">
        <v>229</v>
      </c>
      <c r="F4116" s="238">
        <v>5</v>
      </c>
      <c r="G4116" s="242">
        <v>0.47</v>
      </c>
      <c r="H4116" s="239">
        <f>E4116*G4116</f>
        <v>107.63</v>
      </c>
      <c r="I4116" s="122">
        <f>IF($F4116=4.2,H4116*$B$23,0)</f>
        <v>0</v>
      </c>
      <c r="J4116" s="29">
        <f>IF($F4116=5,$H4116*$B$24,0)</f>
        <v>16.575019999999999</v>
      </c>
      <c r="K4116" s="29">
        <f>IF($F4116=6.3,$H4116*$B$25,0)</f>
        <v>0</v>
      </c>
      <c r="L4116" s="29">
        <f>IF($F4116=8,$H4116*$B$26,0)</f>
        <v>0</v>
      </c>
      <c r="M4116" s="29">
        <f>IF($F4116=10,$H4116*$B$27,0)</f>
        <v>0</v>
      </c>
      <c r="N4116" s="29">
        <f>IF($F4116=12.5,$H4116*$B$28,0)</f>
        <v>0</v>
      </c>
      <c r="O4116" s="29">
        <f>IF($F4116=16,$H4116*$B$29,0)</f>
        <v>0</v>
      </c>
      <c r="P4116" s="29">
        <f>IF($F4116=20,$H4116*$B$30,0)</f>
        <v>0</v>
      </c>
      <c r="Q4116" s="37">
        <f>IF($F4116=25,$H4116*$B$31,0)</f>
        <v>0</v>
      </c>
    </row>
    <row r="4117" spans="4:17" s="62" customFormat="1" x14ac:dyDescent="0.3">
      <c r="D4117" s="235">
        <v>49</v>
      </c>
      <c r="E4117" s="240">
        <v>2</v>
      </c>
      <c r="F4117" s="241">
        <v>8</v>
      </c>
      <c r="G4117" s="242">
        <v>8.14</v>
      </c>
      <c r="H4117" s="239">
        <f>E4117*G4117</f>
        <v>16.28</v>
      </c>
      <c r="I4117" s="122">
        <f>IF($F4117=4.2,H4117*$B$23,0)</f>
        <v>0</v>
      </c>
      <c r="J4117" s="29">
        <f>IF($F4117=5,$H4117*$B$24,0)</f>
        <v>0</v>
      </c>
      <c r="K4117" s="29">
        <f>IF($F4117=6.3,$H4117*$B$25,0)</f>
        <v>0</v>
      </c>
      <c r="L4117" s="29">
        <f>IF($F4117=8,$H4117*$B$26,0)</f>
        <v>6.430600000000001</v>
      </c>
      <c r="M4117" s="29">
        <f>IF($F4117=10,$H4117*$B$27,0)</f>
        <v>0</v>
      </c>
      <c r="N4117" s="29">
        <f>IF($F4117=12.5,$H4117*$B$28,0)</f>
        <v>0</v>
      </c>
      <c r="O4117" s="29">
        <f>IF($F4117=16,$H4117*$B$29,0)</f>
        <v>0</v>
      </c>
      <c r="P4117" s="29">
        <f>IF($F4117=20,$H4117*$B$30,0)</f>
        <v>0</v>
      </c>
      <c r="Q4117" s="37">
        <f>IF($F4117=25,$H4117*$B$31,0)</f>
        <v>0</v>
      </c>
    </row>
    <row r="4118" spans="4:17" s="62" customFormat="1" x14ac:dyDescent="0.3">
      <c r="D4118" s="235">
        <v>50</v>
      </c>
      <c r="E4118" s="240">
        <v>2</v>
      </c>
      <c r="F4118" s="241">
        <v>8</v>
      </c>
      <c r="G4118" s="242">
        <v>4.12</v>
      </c>
      <c r="H4118" s="239">
        <f>E4118*G4118</f>
        <v>8.24</v>
      </c>
      <c r="I4118" s="122">
        <f>IF($F4118=4.2,H4118*$B$23,0)</f>
        <v>0</v>
      </c>
      <c r="J4118" s="29">
        <f>IF($F4118=5,$H4118*$B$24,0)</f>
        <v>0</v>
      </c>
      <c r="K4118" s="29">
        <f>IF($F4118=6.3,$H4118*$B$25,0)</f>
        <v>0</v>
      </c>
      <c r="L4118" s="29">
        <f>IF($F4118=8,$H4118*$B$26,0)</f>
        <v>3.2548000000000004</v>
      </c>
      <c r="M4118" s="29">
        <f>IF($F4118=10,$H4118*$B$27,0)</f>
        <v>0</v>
      </c>
      <c r="N4118" s="29">
        <f>IF($F4118=12.5,$H4118*$B$28,0)</f>
        <v>0</v>
      </c>
      <c r="O4118" s="29">
        <f>IF($F4118=16,$H4118*$B$29,0)</f>
        <v>0</v>
      </c>
      <c r="P4118" s="29">
        <f>IF($F4118=20,$H4118*$B$30,0)</f>
        <v>0</v>
      </c>
      <c r="Q4118" s="37">
        <f>IF($F4118=25,$H4118*$B$31,0)</f>
        <v>0</v>
      </c>
    </row>
    <row r="4119" spans="4:17" s="62" customFormat="1" x14ac:dyDescent="0.3">
      <c r="D4119" s="235">
        <v>51</v>
      </c>
      <c r="E4119" s="240">
        <v>2</v>
      </c>
      <c r="F4119" s="241">
        <v>8</v>
      </c>
      <c r="G4119" s="242">
        <v>11.01</v>
      </c>
      <c r="H4119" s="239">
        <f>E4119*G4119</f>
        <v>22.02</v>
      </c>
      <c r="I4119" s="122">
        <f>IF($F4119=4.2,H4119*$B$23,0)</f>
        <v>0</v>
      </c>
      <c r="J4119" s="29">
        <f>IF($F4119=5,$H4119*$B$24,0)</f>
        <v>0</v>
      </c>
      <c r="K4119" s="29">
        <f>IF($F4119=6.3,$H4119*$B$25,0)</f>
        <v>0</v>
      </c>
      <c r="L4119" s="29">
        <f>IF($F4119=8,$H4119*$B$26,0)</f>
        <v>8.6979000000000006</v>
      </c>
      <c r="M4119" s="29">
        <f>IF($F4119=10,$H4119*$B$27,0)</f>
        <v>0</v>
      </c>
      <c r="N4119" s="29">
        <f>IF($F4119=12.5,$H4119*$B$28,0)</f>
        <v>0</v>
      </c>
      <c r="O4119" s="29">
        <f>IF($F4119=16,$H4119*$B$29,0)</f>
        <v>0</v>
      </c>
      <c r="P4119" s="29">
        <f>IF($F4119=20,$H4119*$B$30,0)</f>
        <v>0</v>
      </c>
      <c r="Q4119" s="37">
        <f>IF($F4119=25,$H4119*$B$31,0)</f>
        <v>0</v>
      </c>
    </row>
    <row r="4120" spans="4:17" s="62" customFormat="1" x14ac:dyDescent="0.3">
      <c r="D4120" s="235">
        <v>52</v>
      </c>
      <c r="E4120" s="240">
        <v>2</v>
      </c>
      <c r="F4120" s="241">
        <v>8</v>
      </c>
      <c r="G4120" s="242">
        <v>1.61</v>
      </c>
      <c r="H4120" s="239">
        <f>E4120*G4120</f>
        <v>3.22</v>
      </c>
      <c r="I4120" s="122">
        <f>IF($F4120=4.2,H4120*$B$23,0)</f>
        <v>0</v>
      </c>
      <c r="J4120" s="29">
        <f>IF($F4120=5,$H4120*$B$24,0)</f>
        <v>0</v>
      </c>
      <c r="K4120" s="29">
        <f>IF($F4120=6.3,$H4120*$B$25,0)</f>
        <v>0</v>
      </c>
      <c r="L4120" s="29">
        <f>IF($F4120=8,$H4120*$B$26,0)</f>
        <v>1.2719</v>
      </c>
      <c r="M4120" s="29">
        <f>IF($F4120=10,$H4120*$B$27,0)</f>
        <v>0</v>
      </c>
      <c r="N4120" s="29">
        <f>IF($F4120=12.5,$H4120*$B$28,0)</f>
        <v>0</v>
      </c>
      <c r="O4120" s="29">
        <f>IF($F4120=16,$H4120*$B$29,0)</f>
        <v>0</v>
      </c>
      <c r="P4120" s="29">
        <f>IF($F4120=20,$H4120*$B$30,0)</f>
        <v>0</v>
      </c>
      <c r="Q4120" s="37">
        <f>IF($F4120=25,$H4120*$B$31,0)</f>
        <v>0</v>
      </c>
    </row>
    <row r="4121" spans="4:17" s="62" customFormat="1" x14ac:dyDescent="0.3">
      <c r="D4121" s="307"/>
      <c r="E4121" s="26"/>
      <c r="F4121" s="206"/>
      <c r="G4121" s="207"/>
      <c r="H4121" s="207"/>
      <c r="I4121" s="51"/>
      <c r="J4121" s="308"/>
      <c r="K4121" s="308"/>
      <c r="L4121" s="308"/>
      <c r="M4121" s="308"/>
      <c r="N4121" s="308"/>
      <c r="O4121" s="308"/>
      <c r="P4121" s="308"/>
      <c r="Q4121" s="309"/>
    </row>
    <row r="4122" spans="4:17" s="62" customFormat="1" x14ac:dyDescent="0.3">
      <c r="D4122" s="790" t="s">
        <v>1517</v>
      </c>
      <c r="E4122" s="791"/>
      <c r="F4122" s="791"/>
      <c r="G4122" s="791"/>
      <c r="H4122" s="791"/>
      <c r="I4122" s="175">
        <f t="shared" ref="I4122:Q4122" si="4819">SUM(I4123:I4125)</f>
        <v>0</v>
      </c>
      <c r="J4122" s="175">
        <f t="shared" si="4819"/>
        <v>13.896959999999998</v>
      </c>
      <c r="K4122" s="175">
        <f t="shared" si="4819"/>
        <v>0</v>
      </c>
      <c r="L4122" s="175">
        <f t="shared" si="4819"/>
        <v>17.143000000000001</v>
      </c>
      <c r="M4122" s="175">
        <f t="shared" si="4819"/>
        <v>0</v>
      </c>
      <c r="N4122" s="175">
        <f t="shared" si="4819"/>
        <v>0</v>
      </c>
      <c r="O4122" s="175">
        <f t="shared" si="4819"/>
        <v>0</v>
      </c>
      <c r="P4122" s="175">
        <f t="shared" si="4819"/>
        <v>0</v>
      </c>
      <c r="Q4122" s="175">
        <f t="shared" si="4819"/>
        <v>0</v>
      </c>
    </row>
    <row r="4123" spans="4:17" s="62" customFormat="1" x14ac:dyDescent="0.3">
      <c r="D4123" s="235">
        <v>29</v>
      </c>
      <c r="E4123" s="237">
        <v>192</v>
      </c>
      <c r="F4123" s="238">
        <v>5</v>
      </c>
      <c r="G4123" s="242">
        <v>0.47</v>
      </c>
      <c r="H4123" s="239">
        <f>E4123*G4123</f>
        <v>90.24</v>
      </c>
      <c r="I4123" s="122">
        <f>IF($F4123=4.2,H4123*$B$23,0)</f>
        <v>0</v>
      </c>
      <c r="J4123" s="29">
        <f>IF($F4123=5,$H4123*$B$24,0)</f>
        <v>13.896959999999998</v>
      </c>
      <c r="K4123" s="29">
        <f>IF($F4123=6.3,$H4123*$B$25,0)</f>
        <v>0</v>
      </c>
      <c r="L4123" s="29">
        <f>IF($F4123=8,$H4123*$B$26,0)</f>
        <v>0</v>
      </c>
      <c r="M4123" s="29">
        <f>IF($F4123=10,$H4123*$B$27,0)</f>
        <v>0</v>
      </c>
      <c r="N4123" s="29">
        <f>IF($F4123=12.5,$H4123*$B$28,0)</f>
        <v>0</v>
      </c>
      <c r="O4123" s="29">
        <f>IF($F4123=16,$H4123*$B$29,0)</f>
        <v>0</v>
      </c>
      <c r="P4123" s="29">
        <f>IF($F4123=20,$H4123*$B$30,0)</f>
        <v>0</v>
      </c>
      <c r="Q4123" s="37">
        <f>IF($F4123=25,$H4123*$B$31,0)</f>
        <v>0</v>
      </c>
    </row>
    <row r="4124" spans="4:17" s="62" customFormat="1" x14ac:dyDescent="0.3">
      <c r="D4124" s="235">
        <v>53</v>
      </c>
      <c r="E4124" s="240">
        <v>2</v>
      </c>
      <c r="F4124" s="241">
        <v>8</v>
      </c>
      <c r="G4124" s="242">
        <v>10.81</v>
      </c>
      <c r="H4124" s="239">
        <f>E4124*G4124</f>
        <v>21.62</v>
      </c>
      <c r="I4124" s="122">
        <f>IF($F4124=4.2,H4124*$B$23,0)</f>
        <v>0</v>
      </c>
      <c r="J4124" s="29">
        <f>IF($F4124=5,$H4124*$B$24,0)</f>
        <v>0</v>
      </c>
      <c r="K4124" s="29">
        <f>IF($F4124=6.3,$H4124*$B$25,0)</f>
        <v>0</v>
      </c>
      <c r="L4124" s="29">
        <f>IF($F4124=8,$H4124*$B$26,0)</f>
        <v>8.5399000000000012</v>
      </c>
      <c r="M4124" s="29">
        <f>IF($F4124=10,$H4124*$B$27,0)</f>
        <v>0</v>
      </c>
      <c r="N4124" s="29">
        <f>IF($F4124=12.5,$H4124*$B$28,0)</f>
        <v>0</v>
      </c>
      <c r="O4124" s="29">
        <f>IF($F4124=16,$H4124*$B$29,0)</f>
        <v>0</v>
      </c>
      <c r="P4124" s="29">
        <f>IF($F4124=20,$H4124*$B$30,0)</f>
        <v>0</v>
      </c>
      <c r="Q4124" s="37">
        <f>IF($F4124=25,$H4124*$B$31,0)</f>
        <v>0</v>
      </c>
    </row>
    <row r="4125" spans="4:17" s="62" customFormat="1" x14ac:dyDescent="0.3">
      <c r="D4125" s="235">
        <v>54</v>
      </c>
      <c r="E4125" s="240">
        <v>2</v>
      </c>
      <c r="F4125" s="241">
        <v>8</v>
      </c>
      <c r="G4125" s="242">
        <v>10.89</v>
      </c>
      <c r="H4125" s="239">
        <f>E4125*G4125</f>
        <v>21.78</v>
      </c>
      <c r="I4125" s="122">
        <f>IF($F4125=4.2,H4125*$B$23,0)</f>
        <v>0</v>
      </c>
      <c r="J4125" s="29">
        <f>IF($F4125=5,$H4125*$B$24,0)</f>
        <v>0</v>
      </c>
      <c r="K4125" s="29">
        <f>IF($F4125=6.3,$H4125*$B$25,0)</f>
        <v>0</v>
      </c>
      <c r="L4125" s="29">
        <f>IF($F4125=8,$H4125*$B$26,0)</f>
        <v>8.6031000000000013</v>
      </c>
      <c r="M4125" s="29">
        <f>IF($F4125=10,$H4125*$B$27,0)</f>
        <v>0</v>
      </c>
      <c r="N4125" s="29">
        <f>IF($F4125=12.5,$H4125*$B$28,0)</f>
        <v>0</v>
      </c>
      <c r="O4125" s="29">
        <f>IF($F4125=16,$H4125*$B$29,0)</f>
        <v>0</v>
      </c>
      <c r="P4125" s="29">
        <f>IF($F4125=20,$H4125*$B$30,0)</f>
        <v>0</v>
      </c>
      <c r="Q4125" s="37">
        <f>IF($F4125=25,$H4125*$B$31,0)</f>
        <v>0</v>
      </c>
    </row>
    <row r="4126" spans="4:17" s="62" customFormat="1" x14ac:dyDescent="0.3">
      <c r="D4126" s="307"/>
      <c r="E4126" s="26"/>
      <c r="F4126" s="206"/>
      <c r="G4126" s="207"/>
      <c r="H4126" s="207"/>
      <c r="I4126" s="51"/>
      <c r="J4126" s="308"/>
      <c r="K4126" s="308"/>
      <c r="L4126" s="308"/>
      <c r="M4126" s="308"/>
      <c r="N4126" s="308"/>
      <c r="O4126" s="308"/>
      <c r="P4126" s="308"/>
      <c r="Q4126" s="309"/>
    </row>
    <row r="4127" spans="4:17" s="62" customFormat="1" x14ac:dyDescent="0.3">
      <c r="D4127" s="790" t="s">
        <v>1518</v>
      </c>
      <c r="E4127" s="791"/>
      <c r="F4127" s="791"/>
      <c r="G4127" s="791"/>
      <c r="H4127" s="791"/>
      <c r="I4127" s="175">
        <f t="shared" ref="I4127:Q4127" si="4820">SUM(I4128:I4130)</f>
        <v>0</v>
      </c>
      <c r="J4127" s="175">
        <f t="shared" si="4820"/>
        <v>2.31616</v>
      </c>
      <c r="K4127" s="175">
        <f t="shared" si="4820"/>
        <v>0</v>
      </c>
      <c r="L4127" s="175">
        <f t="shared" si="4820"/>
        <v>3.4286000000000003</v>
      </c>
      <c r="M4127" s="175">
        <f t="shared" si="4820"/>
        <v>0</v>
      </c>
      <c r="N4127" s="175">
        <f t="shared" si="4820"/>
        <v>0</v>
      </c>
      <c r="O4127" s="175">
        <f t="shared" si="4820"/>
        <v>0</v>
      </c>
      <c r="P4127" s="175">
        <f t="shared" si="4820"/>
        <v>0</v>
      </c>
      <c r="Q4127" s="175">
        <f t="shared" si="4820"/>
        <v>0</v>
      </c>
    </row>
    <row r="4128" spans="4:17" s="62" customFormat="1" x14ac:dyDescent="0.3">
      <c r="D4128" s="235">
        <v>29</v>
      </c>
      <c r="E4128" s="237">
        <v>32</v>
      </c>
      <c r="F4128" s="238">
        <v>5</v>
      </c>
      <c r="G4128" s="242">
        <v>0.47</v>
      </c>
      <c r="H4128" s="239">
        <f>E4128*G4128</f>
        <v>15.04</v>
      </c>
      <c r="I4128" s="122">
        <f>IF($F4128=4.2,H4128*$B$23,0)</f>
        <v>0</v>
      </c>
      <c r="J4128" s="29">
        <f>IF($F4128=5,$H4128*$B$24,0)</f>
        <v>2.31616</v>
      </c>
      <c r="K4128" s="29">
        <f>IF($F4128=6.3,$H4128*$B$25,0)</f>
        <v>0</v>
      </c>
      <c r="L4128" s="29">
        <f>IF($F4128=8,$H4128*$B$26,0)</f>
        <v>0</v>
      </c>
      <c r="M4128" s="29">
        <f>IF($F4128=10,$H4128*$B$27,0)</f>
        <v>0</v>
      </c>
      <c r="N4128" s="29">
        <f>IF($F4128=12.5,$H4128*$B$28,0)</f>
        <v>0</v>
      </c>
      <c r="O4128" s="29">
        <f>IF($F4128=16,$H4128*$B$29,0)</f>
        <v>0</v>
      </c>
      <c r="P4128" s="29">
        <f>IF($F4128=20,$H4128*$B$30,0)</f>
        <v>0</v>
      </c>
      <c r="Q4128" s="37">
        <f>IF($F4128=25,$H4128*$B$31,0)</f>
        <v>0</v>
      </c>
    </row>
    <row r="4129" spans="4:17" s="62" customFormat="1" x14ac:dyDescent="0.3">
      <c r="D4129" s="235">
        <v>55</v>
      </c>
      <c r="E4129" s="240">
        <v>2</v>
      </c>
      <c r="F4129" s="241">
        <v>8</v>
      </c>
      <c r="G4129" s="242">
        <v>2.09</v>
      </c>
      <c r="H4129" s="239">
        <f>E4129*G4129</f>
        <v>4.18</v>
      </c>
      <c r="I4129" s="122">
        <f>IF($F4129=4.2,H4129*$B$23,0)</f>
        <v>0</v>
      </c>
      <c r="J4129" s="29">
        <f>IF($F4129=5,$H4129*$B$24,0)</f>
        <v>0</v>
      </c>
      <c r="K4129" s="29">
        <f>IF($F4129=6.3,$H4129*$B$25,0)</f>
        <v>0</v>
      </c>
      <c r="L4129" s="29">
        <f>IF($F4129=8,$H4129*$B$26,0)</f>
        <v>1.6511</v>
      </c>
      <c r="M4129" s="29">
        <f>IF($F4129=10,$H4129*$B$27,0)</f>
        <v>0</v>
      </c>
      <c r="N4129" s="29">
        <f>IF($F4129=12.5,$H4129*$B$28,0)</f>
        <v>0</v>
      </c>
      <c r="O4129" s="29">
        <f>IF($F4129=16,$H4129*$B$29,0)</f>
        <v>0</v>
      </c>
      <c r="P4129" s="29">
        <f>IF($F4129=20,$H4129*$B$30,0)</f>
        <v>0</v>
      </c>
      <c r="Q4129" s="37">
        <f>IF($F4129=25,$H4129*$B$31,0)</f>
        <v>0</v>
      </c>
    </row>
    <row r="4130" spans="4:17" s="62" customFormat="1" x14ac:dyDescent="0.3">
      <c r="D4130" s="235">
        <v>56</v>
      </c>
      <c r="E4130" s="240">
        <v>2</v>
      </c>
      <c r="F4130" s="241">
        <v>8</v>
      </c>
      <c r="G4130" s="242">
        <v>2.25</v>
      </c>
      <c r="H4130" s="239">
        <f>E4130*G4130</f>
        <v>4.5</v>
      </c>
      <c r="I4130" s="122">
        <f>IF($F4130=4.2,H4130*$B$23,0)</f>
        <v>0</v>
      </c>
      <c r="J4130" s="29">
        <f>IF($F4130=5,$H4130*$B$24,0)</f>
        <v>0</v>
      </c>
      <c r="K4130" s="29">
        <f>IF($F4130=6.3,$H4130*$B$25,0)</f>
        <v>0</v>
      </c>
      <c r="L4130" s="29">
        <f>IF($F4130=8,$H4130*$B$26,0)</f>
        <v>1.7775000000000001</v>
      </c>
      <c r="M4130" s="29">
        <f>IF($F4130=10,$H4130*$B$27,0)</f>
        <v>0</v>
      </c>
      <c r="N4130" s="29">
        <f>IF($F4130=12.5,$H4130*$B$28,0)</f>
        <v>0</v>
      </c>
      <c r="O4130" s="29">
        <f>IF($F4130=16,$H4130*$B$29,0)</f>
        <v>0</v>
      </c>
      <c r="P4130" s="29">
        <f>IF($F4130=20,$H4130*$B$30,0)</f>
        <v>0</v>
      </c>
      <c r="Q4130" s="37">
        <f>IF($F4130=25,$H4130*$B$31,0)</f>
        <v>0</v>
      </c>
    </row>
    <row r="4131" spans="4:17" s="62" customFormat="1" x14ac:dyDescent="0.3">
      <c r="D4131" s="307"/>
      <c r="E4131" s="26"/>
      <c r="F4131" s="206"/>
      <c r="G4131" s="207"/>
      <c r="H4131" s="207"/>
      <c r="I4131" s="51"/>
      <c r="J4131" s="308"/>
      <c r="K4131" s="308"/>
      <c r="L4131" s="308"/>
      <c r="M4131" s="308"/>
      <c r="N4131" s="308"/>
      <c r="O4131" s="308"/>
      <c r="P4131" s="308"/>
      <c r="Q4131" s="309"/>
    </row>
    <row r="4132" spans="4:17" s="62" customFormat="1" x14ac:dyDescent="0.3">
      <c r="D4132" s="790" t="s">
        <v>1519</v>
      </c>
      <c r="E4132" s="791"/>
      <c r="F4132" s="791"/>
      <c r="G4132" s="791"/>
      <c r="H4132" s="791"/>
      <c r="I4132" s="175">
        <f t="shared" ref="I4132:Q4132" si="4821">SUM(I4133:I4135)</f>
        <v>0</v>
      </c>
      <c r="J4132" s="175">
        <f t="shared" si="4821"/>
        <v>2.3885399999999999</v>
      </c>
      <c r="K4132" s="175">
        <f t="shared" si="4821"/>
        <v>0</v>
      </c>
      <c r="L4132" s="175">
        <f t="shared" si="4821"/>
        <v>3.4286000000000003</v>
      </c>
      <c r="M4132" s="175">
        <f t="shared" si="4821"/>
        <v>0</v>
      </c>
      <c r="N4132" s="175">
        <f t="shared" si="4821"/>
        <v>0</v>
      </c>
      <c r="O4132" s="175">
        <f t="shared" si="4821"/>
        <v>0</v>
      </c>
      <c r="P4132" s="175">
        <f t="shared" si="4821"/>
        <v>0</v>
      </c>
      <c r="Q4132" s="175">
        <f t="shared" si="4821"/>
        <v>0</v>
      </c>
    </row>
    <row r="4133" spans="4:17" s="62" customFormat="1" x14ac:dyDescent="0.3">
      <c r="D4133" s="235">
        <v>1</v>
      </c>
      <c r="E4133" s="237">
        <v>33</v>
      </c>
      <c r="F4133" s="238">
        <v>5</v>
      </c>
      <c r="G4133" s="242">
        <v>0.47</v>
      </c>
      <c r="H4133" s="239">
        <f>E4133*G4133</f>
        <v>15.51</v>
      </c>
      <c r="I4133" s="122">
        <f>IF($F4133=4.2,H4133*$B$23,0)</f>
        <v>0</v>
      </c>
      <c r="J4133" s="29">
        <f>IF($F4133=5,$H4133*$B$24,0)</f>
        <v>2.3885399999999999</v>
      </c>
      <c r="K4133" s="29">
        <f>IF($F4133=6.3,$H4133*$B$25,0)</f>
        <v>0</v>
      </c>
      <c r="L4133" s="29">
        <f>IF($F4133=8,$H4133*$B$26,0)</f>
        <v>0</v>
      </c>
      <c r="M4133" s="29">
        <f>IF($F4133=10,$H4133*$B$27,0)</f>
        <v>0</v>
      </c>
      <c r="N4133" s="29">
        <f>IF($F4133=12.5,$H4133*$B$28,0)</f>
        <v>0</v>
      </c>
      <c r="O4133" s="29">
        <f>IF($F4133=16,$H4133*$B$29,0)</f>
        <v>0</v>
      </c>
      <c r="P4133" s="29">
        <f>IF($F4133=20,$H4133*$B$30,0)</f>
        <v>0</v>
      </c>
      <c r="Q4133" s="37">
        <f>IF($F4133=25,$H4133*$B$31,0)</f>
        <v>0</v>
      </c>
    </row>
    <row r="4134" spans="4:17" s="62" customFormat="1" x14ac:dyDescent="0.3">
      <c r="D4134" s="235">
        <v>2</v>
      </c>
      <c r="E4134" s="240">
        <v>2</v>
      </c>
      <c r="F4134" s="241">
        <v>8</v>
      </c>
      <c r="G4134" s="242">
        <v>2.09</v>
      </c>
      <c r="H4134" s="239">
        <f>E4134*G4134</f>
        <v>4.18</v>
      </c>
      <c r="I4134" s="122">
        <f>IF($F4134=4.2,H4134*$B$23,0)</f>
        <v>0</v>
      </c>
      <c r="J4134" s="29">
        <f>IF($F4134=5,$H4134*$B$24,0)</f>
        <v>0</v>
      </c>
      <c r="K4134" s="29">
        <f>IF($F4134=6.3,$H4134*$B$25,0)</f>
        <v>0</v>
      </c>
      <c r="L4134" s="29">
        <f>IF($F4134=8,$H4134*$B$26,0)</f>
        <v>1.6511</v>
      </c>
      <c r="M4134" s="29">
        <f>IF($F4134=10,$H4134*$B$27,0)</f>
        <v>0</v>
      </c>
      <c r="N4134" s="29">
        <f>IF($F4134=12.5,$H4134*$B$28,0)</f>
        <v>0</v>
      </c>
      <c r="O4134" s="29">
        <f>IF($F4134=16,$H4134*$B$29,0)</f>
        <v>0</v>
      </c>
      <c r="P4134" s="29">
        <f>IF($F4134=20,$H4134*$B$30,0)</f>
        <v>0</v>
      </c>
      <c r="Q4134" s="37">
        <f>IF($F4134=25,$H4134*$B$31,0)</f>
        <v>0</v>
      </c>
    </row>
    <row r="4135" spans="4:17" s="62" customFormat="1" x14ac:dyDescent="0.3">
      <c r="D4135" s="235">
        <v>3</v>
      </c>
      <c r="E4135" s="240">
        <v>2</v>
      </c>
      <c r="F4135" s="241">
        <v>8</v>
      </c>
      <c r="G4135" s="242">
        <v>2.25</v>
      </c>
      <c r="H4135" s="239">
        <f>E4135*G4135</f>
        <v>4.5</v>
      </c>
      <c r="I4135" s="122">
        <f>IF($F4135=4.2,H4135*$B$23,0)</f>
        <v>0</v>
      </c>
      <c r="J4135" s="29">
        <f>IF($F4135=5,$H4135*$B$24,0)</f>
        <v>0</v>
      </c>
      <c r="K4135" s="29">
        <f>IF($F4135=6.3,$H4135*$B$25,0)</f>
        <v>0</v>
      </c>
      <c r="L4135" s="29">
        <f>IF($F4135=8,$H4135*$B$26,0)</f>
        <v>1.7775000000000001</v>
      </c>
      <c r="M4135" s="29">
        <f>IF($F4135=10,$H4135*$B$27,0)</f>
        <v>0</v>
      </c>
      <c r="N4135" s="29">
        <f>IF($F4135=12.5,$H4135*$B$28,0)</f>
        <v>0</v>
      </c>
      <c r="O4135" s="29">
        <f>IF($F4135=16,$H4135*$B$29,0)</f>
        <v>0</v>
      </c>
      <c r="P4135" s="29">
        <f>IF($F4135=20,$H4135*$B$30,0)</f>
        <v>0</v>
      </c>
      <c r="Q4135" s="37">
        <f>IF($F4135=25,$H4135*$B$31,0)</f>
        <v>0</v>
      </c>
    </row>
    <row r="4136" spans="4:17" s="62" customFormat="1" x14ac:dyDescent="0.3">
      <c r="D4136" s="307"/>
      <c r="E4136" s="26"/>
      <c r="F4136" s="206"/>
      <c r="G4136" s="207"/>
      <c r="H4136" s="207"/>
      <c r="I4136" s="51"/>
      <c r="J4136" s="308"/>
      <c r="K4136" s="308"/>
      <c r="L4136" s="308"/>
      <c r="M4136" s="308"/>
      <c r="N4136" s="308"/>
      <c r="O4136" s="308"/>
      <c r="P4136" s="308"/>
      <c r="Q4136" s="309"/>
    </row>
    <row r="4137" spans="4:17" s="62" customFormat="1" x14ac:dyDescent="0.3">
      <c r="D4137" s="790" t="s">
        <v>1520</v>
      </c>
      <c r="E4137" s="791"/>
      <c r="F4137" s="791"/>
      <c r="G4137" s="791"/>
      <c r="H4137" s="791"/>
      <c r="I4137" s="175">
        <f t="shared" ref="I4137:Q4137" si="4822">SUM(I4138:I4140)</f>
        <v>0</v>
      </c>
      <c r="J4137" s="175">
        <f t="shared" si="4822"/>
        <v>2.31616</v>
      </c>
      <c r="K4137" s="175">
        <f t="shared" si="4822"/>
        <v>0</v>
      </c>
      <c r="L4137" s="175">
        <f t="shared" si="4822"/>
        <v>3.4286000000000003</v>
      </c>
      <c r="M4137" s="175">
        <f t="shared" si="4822"/>
        <v>0</v>
      </c>
      <c r="N4137" s="175">
        <f t="shared" si="4822"/>
        <v>0</v>
      </c>
      <c r="O4137" s="175">
        <f t="shared" si="4822"/>
        <v>0</v>
      </c>
      <c r="P4137" s="175">
        <f t="shared" si="4822"/>
        <v>0</v>
      </c>
      <c r="Q4137" s="175">
        <f t="shared" si="4822"/>
        <v>0</v>
      </c>
    </row>
    <row r="4138" spans="4:17" s="62" customFormat="1" x14ac:dyDescent="0.3">
      <c r="D4138" s="235">
        <v>1</v>
      </c>
      <c r="E4138" s="237">
        <v>32</v>
      </c>
      <c r="F4138" s="238">
        <v>5</v>
      </c>
      <c r="G4138" s="242">
        <v>0.47</v>
      </c>
      <c r="H4138" s="239">
        <f>E4138*G4138</f>
        <v>15.04</v>
      </c>
      <c r="I4138" s="122">
        <f>IF($F4138=4.2,H4138*$B$23,0)</f>
        <v>0</v>
      </c>
      <c r="J4138" s="29">
        <f>IF($F4138=5,$H4138*$B$24,0)</f>
        <v>2.31616</v>
      </c>
      <c r="K4138" s="29">
        <f>IF($F4138=6.3,$H4138*$B$25,0)</f>
        <v>0</v>
      </c>
      <c r="L4138" s="29">
        <f>IF($F4138=8,$H4138*$B$26,0)</f>
        <v>0</v>
      </c>
      <c r="M4138" s="29">
        <f>IF($F4138=10,$H4138*$B$27,0)</f>
        <v>0</v>
      </c>
      <c r="N4138" s="29">
        <f>IF($F4138=12.5,$H4138*$B$28,0)</f>
        <v>0</v>
      </c>
      <c r="O4138" s="29">
        <f>IF($F4138=16,$H4138*$B$29,0)</f>
        <v>0</v>
      </c>
      <c r="P4138" s="29">
        <f>IF($F4138=20,$H4138*$B$30,0)</f>
        <v>0</v>
      </c>
      <c r="Q4138" s="37">
        <f>IF($F4138=25,$H4138*$B$31,0)</f>
        <v>0</v>
      </c>
    </row>
    <row r="4139" spans="4:17" s="62" customFormat="1" x14ac:dyDescent="0.3">
      <c r="D4139" s="235">
        <v>2</v>
      </c>
      <c r="E4139" s="240">
        <v>2</v>
      </c>
      <c r="F4139" s="241">
        <v>8</v>
      </c>
      <c r="G4139" s="242">
        <v>2.09</v>
      </c>
      <c r="H4139" s="239">
        <f>E4139*G4139</f>
        <v>4.18</v>
      </c>
      <c r="I4139" s="122">
        <f>IF($F4139=4.2,H4139*$B$23,0)</f>
        <v>0</v>
      </c>
      <c r="J4139" s="29">
        <f>IF($F4139=5,$H4139*$B$24,0)</f>
        <v>0</v>
      </c>
      <c r="K4139" s="29">
        <f>IF($F4139=6.3,$H4139*$B$25,0)</f>
        <v>0</v>
      </c>
      <c r="L4139" s="29">
        <f>IF($F4139=8,$H4139*$B$26,0)</f>
        <v>1.6511</v>
      </c>
      <c r="M4139" s="29">
        <f>IF($F4139=10,$H4139*$B$27,0)</f>
        <v>0</v>
      </c>
      <c r="N4139" s="29">
        <f>IF($F4139=12.5,$H4139*$B$28,0)</f>
        <v>0</v>
      </c>
      <c r="O4139" s="29">
        <f>IF($F4139=16,$H4139*$B$29,0)</f>
        <v>0</v>
      </c>
      <c r="P4139" s="29">
        <f>IF($F4139=20,$H4139*$B$30,0)</f>
        <v>0</v>
      </c>
      <c r="Q4139" s="37">
        <f>IF($F4139=25,$H4139*$B$31,0)</f>
        <v>0</v>
      </c>
    </row>
    <row r="4140" spans="4:17" s="62" customFormat="1" x14ac:dyDescent="0.3">
      <c r="D4140" s="235">
        <v>3</v>
      </c>
      <c r="E4140" s="240">
        <v>2</v>
      </c>
      <c r="F4140" s="241">
        <v>8</v>
      </c>
      <c r="G4140" s="242">
        <v>2.25</v>
      </c>
      <c r="H4140" s="239">
        <f>E4140*G4140</f>
        <v>4.5</v>
      </c>
      <c r="I4140" s="122">
        <f>IF($F4140=4.2,H4140*$B$23,0)</f>
        <v>0</v>
      </c>
      <c r="J4140" s="29">
        <f>IF($F4140=5,$H4140*$B$24,0)</f>
        <v>0</v>
      </c>
      <c r="K4140" s="29">
        <f>IF($F4140=6.3,$H4140*$B$25,0)</f>
        <v>0</v>
      </c>
      <c r="L4140" s="29">
        <f>IF($F4140=8,$H4140*$B$26,0)</f>
        <v>1.7775000000000001</v>
      </c>
      <c r="M4140" s="29">
        <f>IF($F4140=10,$H4140*$B$27,0)</f>
        <v>0</v>
      </c>
      <c r="N4140" s="29">
        <f>IF($F4140=12.5,$H4140*$B$28,0)</f>
        <v>0</v>
      </c>
      <c r="O4140" s="29">
        <f>IF($F4140=16,$H4140*$B$29,0)</f>
        <v>0</v>
      </c>
      <c r="P4140" s="29">
        <f>IF($F4140=20,$H4140*$B$30,0)</f>
        <v>0</v>
      </c>
      <c r="Q4140" s="37">
        <f>IF($F4140=25,$H4140*$B$31,0)</f>
        <v>0</v>
      </c>
    </row>
    <row r="4141" spans="4:17" s="62" customFormat="1" x14ac:dyDescent="0.3">
      <c r="D4141" s="307"/>
      <c r="E4141" s="26"/>
      <c r="F4141" s="206"/>
      <c r="G4141" s="207"/>
      <c r="H4141" s="207"/>
      <c r="I4141" s="51"/>
      <c r="J4141" s="308"/>
      <c r="K4141" s="308"/>
      <c r="L4141" s="308"/>
      <c r="M4141" s="308"/>
      <c r="N4141" s="308"/>
      <c r="O4141" s="308"/>
      <c r="P4141" s="308"/>
      <c r="Q4141" s="309"/>
    </row>
    <row r="4142" spans="4:17" s="62" customFormat="1" x14ac:dyDescent="0.3">
      <c r="D4142" s="790" t="s">
        <v>1521</v>
      </c>
      <c r="E4142" s="791"/>
      <c r="F4142" s="791"/>
      <c r="G4142" s="791"/>
      <c r="H4142" s="791"/>
      <c r="I4142" s="175">
        <f t="shared" ref="I4142:Q4142" si="4823">SUM(I4143:I4145)</f>
        <v>0</v>
      </c>
      <c r="J4142" s="175">
        <f t="shared" si="4823"/>
        <v>12.811259999999999</v>
      </c>
      <c r="K4142" s="175">
        <f t="shared" si="4823"/>
        <v>0</v>
      </c>
      <c r="L4142" s="175">
        <f t="shared" si="4823"/>
        <v>17.095600000000001</v>
      </c>
      <c r="M4142" s="175">
        <f t="shared" si="4823"/>
        <v>0</v>
      </c>
      <c r="N4142" s="175">
        <f t="shared" si="4823"/>
        <v>0</v>
      </c>
      <c r="O4142" s="175">
        <f t="shared" si="4823"/>
        <v>0</v>
      </c>
      <c r="P4142" s="175">
        <f t="shared" si="4823"/>
        <v>0</v>
      </c>
      <c r="Q4142" s="175">
        <f t="shared" si="4823"/>
        <v>0</v>
      </c>
    </row>
    <row r="4143" spans="4:17" s="62" customFormat="1" x14ac:dyDescent="0.3">
      <c r="D4143" s="235">
        <v>1</v>
      </c>
      <c r="E4143" s="237">
        <v>177</v>
      </c>
      <c r="F4143" s="238">
        <v>5</v>
      </c>
      <c r="G4143" s="242">
        <v>0.47</v>
      </c>
      <c r="H4143" s="239">
        <f>E4143*G4143</f>
        <v>83.19</v>
      </c>
      <c r="I4143" s="122">
        <f>IF($F4143=4.2,H4143*$B$23,0)</f>
        <v>0</v>
      </c>
      <c r="J4143" s="29">
        <f>IF($F4143=5,$H4143*$B$24,0)</f>
        <v>12.811259999999999</v>
      </c>
      <c r="K4143" s="29">
        <f>IF($F4143=6.3,$H4143*$B$25,0)</f>
        <v>0</v>
      </c>
      <c r="L4143" s="29">
        <f>IF($F4143=8,$H4143*$B$26,0)</f>
        <v>0</v>
      </c>
      <c r="M4143" s="29">
        <f>IF($F4143=10,$H4143*$B$27,0)</f>
        <v>0</v>
      </c>
      <c r="N4143" s="29">
        <f>IF($F4143=12.5,$H4143*$B$28,0)</f>
        <v>0</v>
      </c>
      <c r="O4143" s="29">
        <f>IF($F4143=16,$H4143*$B$29,0)</f>
        <v>0</v>
      </c>
      <c r="P4143" s="29">
        <f>IF($F4143=20,$H4143*$B$30,0)</f>
        <v>0</v>
      </c>
      <c r="Q4143" s="37">
        <f>IF($F4143=25,$H4143*$B$31,0)</f>
        <v>0</v>
      </c>
    </row>
    <row r="4144" spans="4:17" s="62" customFormat="1" x14ac:dyDescent="0.3">
      <c r="D4144" s="235">
        <v>4</v>
      </c>
      <c r="E4144" s="240">
        <v>2</v>
      </c>
      <c r="F4144" s="241">
        <v>8</v>
      </c>
      <c r="G4144" s="242">
        <v>10.74</v>
      </c>
      <c r="H4144" s="239">
        <f>E4144*G4144</f>
        <v>21.48</v>
      </c>
      <c r="I4144" s="122">
        <f>IF($F4144=4.2,H4144*$B$23,0)</f>
        <v>0</v>
      </c>
      <c r="J4144" s="29">
        <f>IF($F4144=5,$H4144*$B$24,0)</f>
        <v>0</v>
      </c>
      <c r="K4144" s="29">
        <f>IF($F4144=6.3,$H4144*$B$25,0)</f>
        <v>0</v>
      </c>
      <c r="L4144" s="29">
        <f>IF($F4144=8,$H4144*$B$26,0)</f>
        <v>8.4846000000000004</v>
      </c>
      <c r="M4144" s="29">
        <f>IF($F4144=10,$H4144*$B$27,0)</f>
        <v>0</v>
      </c>
      <c r="N4144" s="29">
        <f>IF($F4144=12.5,$H4144*$B$28,0)</f>
        <v>0</v>
      </c>
      <c r="O4144" s="29">
        <f>IF($F4144=16,$H4144*$B$29,0)</f>
        <v>0</v>
      </c>
      <c r="P4144" s="29">
        <f>IF($F4144=20,$H4144*$B$30,0)</f>
        <v>0</v>
      </c>
      <c r="Q4144" s="37">
        <f>IF($F4144=25,$H4144*$B$31,0)</f>
        <v>0</v>
      </c>
    </row>
    <row r="4145" spans="2:20" s="62" customFormat="1" x14ac:dyDescent="0.3">
      <c r="D4145" s="235">
        <v>5</v>
      </c>
      <c r="E4145" s="240">
        <v>2</v>
      </c>
      <c r="F4145" s="241">
        <v>8</v>
      </c>
      <c r="G4145" s="242">
        <v>10.9</v>
      </c>
      <c r="H4145" s="239">
        <f>E4145*G4145</f>
        <v>21.8</v>
      </c>
      <c r="I4145" s="122">
        <f>IF($F4145=4.2,H4145*$B$23,0)</f>
        <v>0</v>
      </c>
      <c r="J4145" s="29">
        <f>IF($F4145=5,$H4145*$B$24,0)</f>
        <v>0</v>
      </c>
      <c r="K4145" s="29">
        <f>IF($F4145=6.3,$H4145*$B$25,0)</f>
        <v>0</v>
      </c>
      <c r="L4145" s="29">
        <f>IF($F4145=8,$H4145*$B$26,0)</f>
        <v>8.6110000000000007</v>
      </c>
      <c r="M4145" s="29">
        <f>IF($F4145=10,$H4145*$B$27,0)</f>
        <v>0</v>
      </c>
      <c r="N4145" s="29">
        <f>IF($F4145=12.5,$H4145*$B$28,0)</f>
        <v>0</v>
      </c>
      <c r="O4145" s="29">
        <f>IF($F4145=16,$H4145*$B$29,0)</f>
        <v>0</v>
      </c>
      <c r="P4145" s="29">
        <f>IF($F4145=20,$H4145*$B$30,0)</f>
        <v>0</v>
      </c>
      <c r="Q4145" s="37">
        <f>IF($F4145=25,$H4145*$B$31,0)</f>
        <v>0</v>
      </c>
    </row>
    <row r="4146" spans="2:20" s="16" customFormat="1" ht="15" customHeight="1" thickBot="1" x14ac:dyDescent="0.3">
      <c r="B4146" s="34"/>
      <c r="D4146" s="307"/>
      <c r="E4146" s="26"/>
      <c r="F4146" s="206"/>
      <c r="G4146" s="207"/>
      <c r="H4146" s="207"/>
      <c r="I4146" s="51"/>
      <c r="J4146" s="308"/>
      <c r="K4146" s="308"/>
      <c r="L4146" s="308"/>
      <c r="M4146" s="308"/>
      <c r="N4146" s="308"/>
      <c r="O4146" s="308"/>
      <c r="P4146" s="308"/>
      <c r="Q4146" s="309"/>
      <c r="S4146" s="795"/>
      <c r="T4146" s="795"/>
    </row>
    <row r="4147" spans="2:20" s="62" customFormat="1" ht="15" thickBot="1" x14ac:dyDescent="0.35">
      <c r="D4147" s="792" t="s">
        <v>583</v>
      </c>
      <c r="E4147" s="793"/>
      <c r="F4147" s="793"/>
      <c r="G4147" s="793"/>
      <c r="H4147" s="793"/>
      <c r="I4147" s="793"/>
      <c r="J4147" s="793"/>
      <c r="K4147" s="793"/>
      <c r="L4147" s="793"/>
      <c r="M4147" s="793"/>
      <c r="N4147" s="793"/>
      <c r="O4147" s="793"/>
      <c r="P4147" s="793"/>
      <c r="Q4147" s="794"/>
    </row>
    <row r="4148" spans="2:20" s="62" customFormat="1" x14ac:dyDescent="0.3">
      <c r="D4148" s="790" t="s">
        <v>1625</v>
      </c>
      <c r="E4148" s="791"/>
      <c r="F4148" s="791"/>
      <c r="G4148" s="791"/>
      <c r="H4148" s="791"/>
      <c r="I4148" s="175">
        <f t="shared" ref="I4148:Q4148" si="4824">SUM(I4149:I4151)</f>
        <v>0</v>
      </c>
      <c r="J4148" s="175">
        <f t="shared" si="4824"/>
        <v>11.001759999999999</v>
      </c>
      <c r="K4148" s="175">
        <f t="shared" si="4824"/>
        <v>0</v>
      </c>
      <c r="L4148" s="175">
        <f t="shared" si="4824"/>
        <v>13.2088</v>
      </c>
      <c r="M4148" s="175">
        <f t="shared" si="4824"/>
        <v>0</v>
      </c>
      <c r="N4148" s="175">
        <f t="shared" si="4824"/>
        <v>0</v>
      </c>
      <c r="O4148" s="175">
        <f t="shared" si="4824"/>
        <v>0</v>
      </c>
      <c r="P4148" s="175">
        <f t="shared" si="4824"/>
        <v>0</v>
      </c>
      <c r="Q4148" s="175">
        <f t="shared" si="4824"/>
        <v>0</v>
      </c>
    </row>
    <row r="4149" spans="2:20" s="62" customFormat="1" x14ac:dyDescent="0.3">
      <c r="D4149" s="235">
        <v>24</v>
      </c>
      <c r="E4149" s="237">
        <f>2*76</f>
        <v>152</v>
      </c>
      <c r="F4149" s="238">
        <v>5</v>
      </c>
      <c r="G4149" s="242">
        <v>0.47</v>
      </c>
      <c r="H4149" s="239">
        <f>E4149*G4149</f>
        <v>71.44</v>
      </c>
      <c r="I4149" s="122">
        <f>IF($F4149=4.2,H4149*$B$23,0)</f>
        <v>0</v>
      </c>
      <c r="J4149" s="29">
        <f>IF($F4149=5,$H4149*$B$24,0)</f>
        <v>11.001759999999999</v>
      </c>
      <c r="K4149" s="29">
        <f>IF($F4149=6.3,$H4149*$B$25,0)</f>
        <v>0</v>
      </c>
      <c r="L4149" s="29">
        <f>IF($F4149=8,$H4149*$B$26,0)</f>
        <v>0</v>
      </c>
      <c r="M4149" s="29">
        <f>IF($F4149=10,$H4149*$B$27,0)</f>
        <v>0</v>
      </c>
      <c r="N4149" s="29">
        <f>IF($F4149=12.5,$H4149*$B$28,0)</f>
        <v>0</v>
      </c>
      <c r="O4149" s="29">
        <f>IF($F4149=16,$H4149*$B$29,0)</f>
        <v>0</v>
      </c>
      <c r="P4149" s="29">
        <f>IF($F4149=20,$H4149*$B$30,0)</f>
        <v>0</v>
      </c>
      <c r="Q4149" s="37">
        <f>IF($F4149=25,$H4149*$B$31,0)</f>
        <v>0</v>
      </c>
    </row>
    <row r="4150" spans="2:20" s="62" customFormat="1" x14ac:dyDescent="0.3">
      <c r="D4150" s="235">
        <v>33</v>
      </c>
      <c r="E4150" s="240">
        <f>2*2</f>
        <v>4</v>
      </c>
      <c r="F4150" s="241">
        <v>8</v>
      </c>
      <c r="G4150" s="242">
        <v>4.09</v>
      </c>
      <c r="H4150" s="239">
        <f>E4150*G4150</f>
        <v>16.36</v>
      </c>
      <c r="I4150" s="122">
        <f>IF($F4150=4.2,H4150*$B$23,0)</f>
        <v>0</v>
      </c>
      <c r="J4150" s="29">
        <f>IF($F4150=5,$H4150*$B$24,0)</f>
        <v>0</v>
      </c>
      <c r="K4150" s="29">
        <f>IF($F4150=6.3,$H4150*$B$25,0)</f>
        <v>0</v>
      </c>
      <c r="L4150" s="29">
        <f>IF($F4150=8,$H4150*$B$26,0)</f>
        <v>6.4622000000000002</v>
      </c>
      <c r="M4150" s="29">
        <f>IF($F4150=10,$H4150*$B$27,0)</f>
        <v>0</v>
      </c>
      <c r="N4150" s="29">
        <f>IF($F4150=12.5,$H4150*$B$28,0)</f>
        <v>0</v>
      </c>
      <c r="O4150" s="29">
        <f>IF($F4150=16,$H4150*$B$29,0)</f>
        <v>0</v>
      </c>
      <c r="P4150" s="29">
        <f>IF($F4150=20,$H4150*$B$30,0)</f>
        <v>0</v>
      </c>
      <c r="Q4150" s="37">
        <f>IF($F4150=25,$H4150*$B$31,0)</f>
        <v>0</v>
      </c>
    </row>
    <row r="4151" spans="2:20" s="62" customFormat="1" x14ac:dyDescent="0.3">
      <c r="D4151" s="235">
        <v>34</v>
      </c>
      <c r="E4151" s="240">
        <f>2*2</f>
        <v>4</v>
      </c>
      <c r="F4151" s="241">
        <v>8</v>
      </c>
      <c r="G4151" s="242">
        <v>4.2699999999999996</v>
      </c>
      <c r="H4151" s="239">
        <f>E4151*G4151</f>
        <v>17.079999999999998</v>
      </c>
      <c r="I4151" s="122">
        <f>IF($F4151=4.2,H4151*$B$23,0)</f>
        <v>0</v>
      </c>
      <c r="J4151" s="29">
        <f>IF($F4151=5,$H4151*$B$24,0)</f>
        <v>0</v>
      </c>
      <c r="K4151" s="29">
        <f>IF($F4151=6.3,$H4151*$B$25,0)</f>
        <v>0</v>
      </c>
      <c r="L4151" s="29">
        <f>IF($F4151=8,$H4151*$B$26,0)</f>
        <v>6.7465999999999999</v>
      </c>
      <c r="M4151" s="29">
        <f>IF($F4151=10,$H4151*$B$27,0)</f>
        <v>0</v>
      </c>
      <c r="N4151" s="29">
        <f>IF($F4151=12.5,$H4151*$B$28,0)</f>
        <v>0</v>
      </c>
      <c r="O4151" s="29">
        <f>IF($F4151=16,$H4151*$B$29,0)</f>
        <v>0</v>
      </c>
      <c r="P4151" s="29">
        <f>IF($F4151=20,$H4151*$B$30,0)</f>
        <v>0</v>
      </c>
      <c r="Q4151" s="37">
        <f>IF($F4151=25,$H4151*$B$31,0)</f>
        <v>0</v>
      </c>
    </row>
    <row r="4152" spans="2:20" s="62" customFormat="1" x14ac:dyDescent="0.3">
      <c r="D4152" s="307"/>
      <c r="E4152" s="26"/>
      <c r="F4152" s="206"/>
      <c r="G4152" s="207"/>
      <c r="H4152" s="207"/>
      <c r="I4152" s="51"/>
      <c r="J4152" s="308"/>
      <c r="K4152" s="308"/>
      <c r="L4152" s="308"/>
      <c r="M4152" s="308"/>
      <c r="N4152" s="308"/>
      <c r="O4152" s="308"/>
      <c r="P4152" s="308"/>
      <c r="Q4152" s="309"/>
    </row>
    <row r="4153" spans="2:20" s="62" customFormat="1" x14ac:dyDescent="0.3">
      <c r="D4153" s="790" t="s">
        <v>1626</v>
      </c>
      <c r="E4153" s="791"/>
      <c r="F4153" s="791"/>
      <c r="G4153" s="791"/>
      <c r="H4153" s="791"/>
      <c r="I4153" s="175">
        <f t="shared" ref="I4153:Q4153" si="4825">SUM(I4154:I4160)</f>
        <v>0</v>
      </c>
      <c r="J4153" s="175">
        <f t="shared" si="4825"/>
        <v>13.07306</v>
      </c>
      <c r="K4153" s="175">
        <f t="shared" si="4825"/>
        <v>0</v>
      </c>
      <c r="L4153" s="175">
        <f t="shared" si="4825"/>
        <v>8.8480000000000008</v>
      </c>
      <c r="M4153" s="175">
        <f t="shared" si="4825"/>
        <v>0</v>
      </c>
      <c r="N4153" s="175">
        <f t="shared" si="4825"/>
        <v>0</v>
      </c>
      <c r="O4153" s="175">
        <f t="shared" si="4825"/>
        <v>0</v>
      </c>
      <c r="P4153" s="175">
        <f t="shared" si="4825"/>
        <v>0</v>
      </c>
      <c r="Q4153" s="175">
        <f t="shared" si="4825"/>
        <v>0</v>
      </c>
    </row>
    <row r="4154" spans="2:20" s="62" customFormat="1" x14ac:dyDescent="0.3">
      <c r="D4154" s="235">
        <v>24</v>
      </c>
      <c r="E4154" s="237">
        <v>157</v>
      </c>
      <c r="F4154" s="238">
        <v>5</v>
      </c>
      <c r="G4154" s="242">
        <v>0.47</v>
      </c>
      <c r="H4154" s="239">
        <f t="shared" ref="H4154:H4160" si="4826">E4154*G4154</f>
        <v>73.789999999999992</v>
      </c>
      <c r="I4154" s="122">
        <f t="shared" ref="I4154:I4160" si="4827">IF($F4154=4.2,H4154*$B$23,0)</f>
        <v>0</v>
      </c>
      <c r="J4154" s="29">
        <f t="shared" ref="J4154:J4160" si="4828">IF($F4154=5,$H4154*$B$24,0)</f>
        <v>11.363659999999999</v>
      </c>
      <c r="K4154" s="29">
        <f t="shared" ref="K4154:K4160" si="4829">IF($F4154=6.3,$H4154*$B$25,0)</f>
        <v>0</v>
      </c>
      <c r="L4154" s="29">
        <f t="shared" ref="L4154:L4160" si="4830">IF($F4154=8,$H4154*$B$26,0)</f>
        <v>0</v>
      </c>
      <c r="M4154" s="29">
        <f t="shared" ref="M4154:M4160" si="4831">IF($F4154=10,$H4154*$B$27,0)</f>
        <v>0</v>
      </c>
      <c r="N4154" s="29">
        <f t="shared" ref="N4154:N4160" si="4832">IF($F4154=12.5,$H4154*$B$28,0)</f>
        <v>0</v>
      </c>
      <c r="O4154" s="29">
        <f t="shared" ref="O4154:O4160" si="4833">IF($F4154=16,$H4154*$B$29,0)</f>
        <v>0</v>
      </c>
      <c r="P4154" s="29">
        <f t="shared" ref="P4154:P4160" si="4834">IF($F4154=20,$H4154*$B$30,0)</f>
        <v>0</v>
      </c>
      <c r="Q4154" s="37">
        <f t="shared" ref="Q4154:Q4160" si="4835">IF($F4154=25,$H4154*$B$31,0)</f>
        <v>0</v>
      </c>
    </row>
    <row r="4155" spans="2:20" s="62" customFormat="1" x14ac:dyDescent="0.3">
      <c r="D4155" s="235">
        <v>25</v>
      </c>
      <c r="E4155" s="240">
        <v>2</v>
      </c>
      <c r="F4155" s="241">
        <v>5</v>
      </c>
      <c r="G4155" s="242">
        <v>2.4300000000000002</v>
      </c>
      <c r="H4155" s="239">
        <f t="shared" si="4826"/>
        <v>4.8600000000000003</v>
      </c>
      <c r="I4155" s="122">
        <f t="shared" si="4827"/>
        <v>0</v>
      </c>
      <c r="J4155" s="29">
        <f t="shared" si="4828"/>
        <v>0.74843999999999999</v>
      </c>
      <c r="K4155" s="29">
        <f t="shared" si="4829"/>
        <v>0</v>
      </c>
      <c r="L4155" s="29">
        <f t="shared" si="4830"/>
        <v>0</v>
      </c>
      <c r="M4155" s="29">
        <f t="shared" si="4831"/>
        <v>0</v>
      </c>
      <c r="N4155" s="29">
        <f t="shared" si="4832"/>
        <v>0</v>
      </c>
      <c r="O4155" s="29">
        <f t="shared" si="4833"/>
        <v>0</v>
      </c>
      <c r="P4155" s="29">
        <f t="shared" si="4834"/>
        <v>0</v>
      </c>
      <c r="Q4155" s="37">
        <f t="shared" si="4835"/>
        <v>0</v>
      </c>
    </row>
    <row r="4156" spans="2:20" s="62" customFormat="1" x14ac:dyDescent="0.3">
      <c r="D4156" s="235">
        <v>26</v>
      </c>
      <c r="E4156" s="240">
        <v>2</v>
      </c>
      <c r="F4156" s="241">
        <v>5</v>
      </c>
      <c r="G4156" s="242">
        <v>3.12</v>
      </c>
      <c r="H4156" s="239">
        <f t="shared" si="4826"/>
        <v>6.24</v>
      </c>
      <c r="I4156" s="122">
        <f t="shared" si="4827"/>
        <v>0</v>
      </c>
      <c r="J4156" s="29">
        <f t="shared" si="4828"/>
        <v>0.96096000000000004</v>
      </c>
      <c r="K4156" s="29">
        <f t="shared" si="4829"/>
        <v>0</v>
      </c>
      <c r="L4156" s="29">
        <f t="shared" si="4830"/>
        <v>0</v>
      </c>
      <c r="M4156" s="29">
        <f t="shared" si="4831"/>
        <v>0</v>
      </c>
      <c r="N4156" s="29">
        <f t="shared" si="4832"/>
        <v>0</v>
      </c>
      <c r="O4156" s="29">
        <f t="shared" si="4833"/>
        <v>0</v>
      </c>
      <c r="P4156" s="29">
        <f t="shared" si="4834"/>
        <v>0</v>
      </c>
      <c r="Q4156" s="37">
        <f t="shared" si="4835"/>
        <v>0</v>
      </c>
    </row>
    <row r="4157" spans="2:20" s="62" customFormat="1" x14ac:dyDescent="0.3">
      <c r="D4157" s="235">
        <v>35</v>
      </c>
      <c r="E4157" s="240">
        <v>2</v>
      </c>
      <c r="F4157" s="241">
        <v>8</v>
      </c>
      <c r="G4157" s="242">
        <v>8.09</v>
      </c>
      <c r="H4157" s="239">
        <f t="shared" si="4826"/>
        <v>16.18</v>
      </c>
      <c r="I4157" s="122">
        <f t="shared" si="4827"/>
        <v>0</v>
      </c>
      <c r="J4157" s="29">
        <f t="shared" si="4828"/>
        <v>0</v>
      </c>
      <c r="K4157" s="29">
        <f t="shared" si="4829"/>
        <v>0</v>
      </c>
      <c r="L4157" s="29">
        <f t="shared" si="4830"/>
        <v>6.3910999999999998</v>
      </c>
      <c r="M4157" s="29">
        <f t="shared" si="4831"/>
        <v>0</v>
      </c>
      <c r="N4157" s="29">
        <f t="shared" si="4832"/>
        <v>0</v>
      </c>
      <c r="O4157" s="29">
        <f t="shared" si="4833"/>
        <v>0</v>
      </c>
      <c r="P4157" s="29">
        <f t="shared" si="4834"/>
        <v>0</v>
      </c>
      <c r="Q4157" s="37">
        <f t="shared" si="4835"/>
        <v>0</v>
      </c>
    </row>
    <row r="4158" spans="2:20" s="62" customFormat="1" x14ac:dyDescent="0.3">
      <c r="D4158" s="235">
        <v>36</v>
      </c>
      <c r="E4158" s="240">
        <v>2</v>
      </c>
      <c r="F4158" s="241">
        <v>8</v>
      </c>
      <c r="G4158" s="242">
        <v>1.48</v>
      </c>
      <c r="H4158" s="239">
        <f t="shared" si="4826"/>
        <v>2.96</v>
      </c>
      <c r="I4158" s="122">
        <f t="shared" si="4827"/>
        <v>0</v>
      </c>
      <c r="J4158" s="29">
        <f t="shared" si="4828"/>
        <v>0</v>
      </c>
      <c r="K4158" s="29">
        <f t="shared" si="4829"/>
        <v>0</v>
      </c>
      <c r="L4158" s="29">
        <f t="shared" si="4830"/>
        <v>1.1692</v>
      </c>
      <c r="M4158" s="29">
        <f t="shared" si="4831"/>
        <v>0</v>
      </c>
      <c r="N4158" s="29">
        <f t="shared" si="4832"/>
        <v>0</v>
      </c>
      <c r="O4158" s="29">
        <f t="shared" si="4833"/>
        <v>0</v>
      </c>
      <c r="P4158" s="29">
        <f t="shared" si="4834"/>
        <v>0</v>
      </c>
      <c r="Q4158" s="37">
        <f t="shared" si="4835"/>
        <v>0</v>
      </c>
    </row>
    <row r="4159" spans="2:20" s="62" customFormat="1" x14ac:dyDescent="0.3">
      <c r="D4159" s="235">
        <v>37</v>
      </c>
      <c r="E4159" s="240">
        <v>2</v>
      </c>
      <c r="F4159" s="241">
        <v>8</v>
      </c>
      <c r="G4159" s="242">
        <v>0.3</v>
      </c>
      <c r="H4159" s="239">
        <f t="shared" si="4826"/>
        <v>0.6</v>
      </c>
      <c r="I4159" s="122">
        <f t="shared" si="4827"/>
        <v>0</v>
      </c>
      <c r="J4159" s="29">
        <f t="shared" si="4828"/>
        <v>0</v>
      </c>
      <c r="K4159" s="29">
        <f t="shared" si="4829"/>
        <v>0</v>
      </c>
      <c r="L4159" s="29">
        <f t="shared" si="4830"/>
        <v>0.23699999999999999</v>
      </c>
      <c r="M4159" s="29">
        <f t="shared" si="4831"/>
        <v>0</v>
      </c>
      <c r="N4159" s="29">
        <f t="shared" si="4832"/>
        <v>0</v>
      </c>
      <c r="O4159" s="29">
        <f t="shared" si="4833"/>
        <v>0</v>
      </c>
      <c r="P4159" s="29">
        <f t="shared" si="4834"/>
        <v>0</v>
      </c>
      <c r="Q4159" s="37">
        <f t="shared" si="4835"/>
        <v>0</v>
      </c>
    </row>
    <row r="4160" spans="2:20" s="62" customFormat="1" x14ac:dyDescent="0.3">
      <c r="D4160" s="235">
        <v>38</v>
      </c>
      <c r="E4160" s="240">
        <v>2</v>
      </c>
      <c r="F4160" s="241">
        <v>8</v>
      </c>
      <c r="G4160" s="242">
        <v>1.33</v>
      </c>
      <c r="H4160" s="239">
        <f t="shared" si="4826"/>
        <v>2.66</v>
      </c>
      <c r="I4160" s="122">
        <f t="shared" si="4827"/>
        <v>0</v>
      </c>
      <c r="J4160" s="29">
        <f t="shared" si="4828"/>
        <v>0</v>
      </c>
      <c r="K4160" s="29">
        <f t="shared" si="4829"/>
        <v>0</v>
      </c>
      <c r="L4160" s="29">
        <f t="shared" si="4830"/>
        <v>1.0507000000000002</v>
      </c>
      <c r="M4160" s="29">
        <f t="shared" si="4831"/>
        <v>0</v>
      </c>
      <c r="N4160" s="29">
        <f t="shared" si="4832"/>
        <v>0</v>
      </c>
      <c r="O4160" s="29">
        <f t="shared" si="4833"/>
        <v>0</v>
      </c>
      <c r="P4160" s="29">
        <f t="shared" si="4834"/>
        <v>0</v>
      </c>
      <c r="Q4160" s="37">
        <f t="shared" si="4835"/>
        <v>0</v>
      </c>
    </row>
    <row r="4161" spans="4:17" s="62" customFormat="1" x14ac:dyDescent="0.3">
      <c r="D4161" s="307"/>
      <c r="E4161" s="26"/>
      <c r="F4161" s="206"/>
      <c r="G4161" s="207"/>
      <c r="H4161" s="207"/>
      <c r="I4161" s="51"/>
      <c r="J4161" s="308"/>
      <c r="K4161" s="308"/>
      <c r="L4161" s="308"/>
      <c r="M4161" s="308"/>
      <c r="N4161" s="308"/>
      <c r="O4161" s="308"/>
      <c r="P4161" s="308"/>
      <c r="Q4161" s="309"/>
    </row>
    <row r="4162" spans="4:17" s="62" customFormat="1" x14ac:dyDescent="0.3">
      <c r="D4162" s="790" t="s">
        <v>1627</v>
      </c>
      <c r="E4162" s="791"/>
      <c r="F4162" s="791"/>
      <c r="G4162" s="791"/>
      <c r="H4162" s="791"/>
      <c r="I4162" s="175">
        <f t="shared" ref="I4162:Q4162" si="4836">SUM(I4163:I4165)</f>
        <v>0</v>
      </c>
      <c r="J4162" s="175">
        <f t="shared" si="4836"/>
        <v>5.5732599999999994</v>
      </c>
      <c r="K4162" s="175">
        <f t="shared" si="4836"/>
        <v>0</v>
      </c>
      <c r="L4162" s="175">
        <f t="shared" si="4836"/>
        <v>6.6834000000000007</v>
      </c>
      <c r="M4162" s="175">
        <f t="shared" si="4836"/>
        <v>0</v>
      </c>
      <c r="N4162" s="175">
        <f t="shared" si="4836"/>
        <v>0</v>
      </c>
      <c r="O4162" s="175">
        <f t="shared" si="4836"/>
        <v>0</v>
      </c>
      <c r="P4162" s="175">
        <f t="shared" si="4836"/>
        <v>0</v>
      </c>
      <c r="Q4162" s="175">
        <f t="shared" si="4836"/>
        <v>0</v>
      </c>
    </row>
    <row r="4163" spans="4:17" s="62" customFormat="1" x14ac:dyDescent="0.3">
      <c r="D4163" s="235">
        <v>24</v>
      </c>
      <c r="E4163" s="237">
        <v>77</v>
      </c>
      <c r="F4163" s="238">
        <v>5</v>
      </c>
      <c r="G4163" s="242">
        <v>0.47</v>
      </c>
      <c r="H4163" s="239">
        <f>E4163*G4163</f>
        <v>36.19</v>
      </c>
      <c r="I4163" s="122">
        <f>IF($F4163=4.2,H4163*$B$23,0)</f>
        <v>0</v>
      </c>
      <c r="J4163" s="29">
        <f>IF($F4163=5,$H4163*$B$24,0)</f>
        <v>5.5732599999999994</v>
      </c>
      <c r="K4163" s="29">
        <f>IF($F4163=6.3,$H4163*$B$25,0)</f>
        <v>0</v>
      </c>
      <c r="L4163" s="29">
        <f>IF($F4163=8,$H4163*$B$26,0)</f>
        <v>0</v>
      </c>
      <c r="M4163" s="29">
        <f>IF($F4163=10,$H4163*$B$27,0)</f>
        <v>0</v>
      </c>
      <c r="N4163" s="29">
        <f>IF($F4163=12.5,$H4163*$B$28,0)</f>
        <v>0</v>
      </c>
      <c r="O4163" s="29">
        <f>IF($F4163=16,$H4163*$B$29,0)</f>
        <v>0</v>
      </c>
      <c r="P4163" s="29">
        <f>IF($F4163=20,$H4163*$B$30,0)</f>
        <v>0</v>
      </c>
      <c r="Q4163" s="37">
        <f>IF($F4163=25,$H4163*$B$31,0)</f>
        <v>0</v>
      </c>
    </row>
    <row r="4164" spans="4:17" s="62" customFormat="1" x14ac:dyDescent="0.3">
      <c r="D4164" s="235">
        <v>39</v>
      </c>
      <c r="E4164" s="240">
        <v>2</v>
      </c>
      <c r="F4164" s="241">
        <v>8</v>
      </c>
      <c r="G4164" s="242">
        <v>4.1399999999999997</v>
      </c>
      <c r="H4164" s="239">
        <f>E4164*G4164</f>
        <v>8.2799999999999994</v>
      </c>
      <c r="I4164" s="122">
        <f>IF($F4164=4.2,H4164*$B$23,0)</f>
        <v>0</v>
      </c>
      <c r="J4164" s="29">
        <f>IF($F4164=5,$H4164*$B$24,0)</f>
        <v>0</v>
      </c>
      <c r="K4164" s="29">
        <f>IF($F4164=6.3,$H4164*$B$25,0)</f>
        <v>0</v>
      </c>
      <c r="L4164" s="29">
        <f>IF($F4164=8,$H4164*$B$26,0)</f>
        <v>3.2706</v>
      </c>
      <c r="M4164" s="29">
        <f>IF($F4164=10,$H4164*$B$27,0)</f>
        <v>0</v>
      </c>
      <c r="N4164" s="29">
        <f>IF($F4164=12.5,$H4164*$B$28,0)</f>
        <v>0</v>
      </c>
      <c r="O4164" s="29">
        <f>IF($F4164=16,$H4164*$B$29,0)</f>
        <v>0</v>
      </c>
      <c r="P4164" s="29">
        <f>IF($F4164=20,$H4164*$B$30,0)</f>
        <v>0</v>
      </c>
      <c r="Q4164" s="37">
        <f>IF($F4164=25,$H4164*$B$31,0)</f>
        <v>0</v>
      </c>
    </row>
    <row r="4165" spans="4:17" s="62" customFormat="1" x14ac:dyDescent="0.3">
      <c r="D4165" s="235">
        <v>40</v>
      </c>
      <c r="E4165" s="240">
        <v>2</v>
      </c>
      <c r="F4165" s="241">
        <v>8</v>
      </c>
      <c r="G4165" s="242">
        <v>4.32</v>
      </c>
      <c r="H4165" s="239">
        <f>E4165*G4165</f>
        <v>8.64</v>
      </c>
      <c r="I4165" s="122">
        <f>IF($F4165=4.2,H4165*$B$23,0)</f>
        <v>0</v>
      </c>
      <c r="J4165" s="29">
        <f>IF($F4165=5,$H4165*$B$24,0)</f>
        <v>0</v>
      </c>
      <c r="K4165" s="29">
        <f>IF($F4165=6.3,$H4165*$B$25,0)</f>
        <v>0</v>
      </c>
      <c r="L4165" s="29">
        <f>IF($F4165=8,$H4165*$B$26,0)</f>
        <v>3.4128000000000003</v>
      </c>
      <c r="M4165" s="29">
        <f>IF($F4165=10,$H4165*$B$27,0)</f>
        <v>0</v>
      </c>
      <c r="N4165" s="29">
        <f>IF($F4165=12.5,$H4165*$B$28,0)</f>
        <v>0</v>
      </c>
      <c r="O4165" s="29">
        <f>IF($F4165=16,$H4165*$B$29,0)</f>
        <v>0</v>
      </c>
      <c r="P4165" s="29">
        <f>IF($F4165=20,$H4165*$B$30,0)</f>
        <v>0</v>
      </c>
      <c r="Q4165" s="37">
        <f>IF($F4165=25,$H4165*$B$31,0)</f>
        <v>0</v>
      </c>
    </row>
    <row r="4166" spans="4:17" s="62" customFormat="1" x14ac:dyDescent="0.3">
      <c r="D4166" s="307"/>
      <c r="E4166" s="26"/>
      <c r="F4166" s="206"/>
      <c r="G4166" s="207"/>
      <c r="H4166" s="207"/>
      <c r="I4166" s="51"/>
      <c r="J4166" s="308"/>
      <c r="K4166" s="308"/>
      <c r="L4166" s="308"/>
      <c r="M4166" s="308"/>
      <c r="N4166" s="308"/>
      <c r="O4166" s="308"/>
      <c r="P4166" s="308"/>
      <c r="Q4166" s="309"/>
    </row>
    <row r="4167" spans="4:17" s="62" customFormat="1" x14ac:dyDescent="0.3">
      <c r="D4167" s="790" t="s">
        <v>1628</v>
      </c>
      <c r="E4167" s="791"/>
      <c r="F4167" s="791"/>
      <c r="G4167" s="791"/>
      <c r="H4167" s="791"/>
      <c r="I4167" s="175">
        <f t="shared" ref="I4167:Q4167" si="4837">SUM(I4168:I4174)</f>
        <v>0</v>
      </c>
      <c r="J4167" s="175">
        <f t="shared" si="4837"/>
        <v>13.07306</v>
      </c>
      <c r="K4167" s="175">
        <f t="shared" si="4837"/>
        <v>1.5533000000000001</v>
      </c>
      <c r="L4167" s="175">
        <f t="shared" si="4837"/>
        <v>6.3910999999999998</v>
      </c>
      <c r="M4167" s="175">
        <f t="shared" si="4837"/>
        <v>0</v>
      </c>
      <c r="N4167" s="175">
        <f t="shared" si="4837"/>
        <v>0</v>
      </c>
      <c r="O4167" s="175">
        <f t="shared" si="4837"/>
        <v>0</v>
      </c>
      <c r="P4167" s="175">
        <f t="shared" si="4837"/>
        <v>0</v>
      </c>
      <c r="Q4167" s="175">
        <f t="shared" si="4837"/>
        <v>0</v>
      </c>
    </row>
    <row r="4168" spans="4:17" s="62" customFormat="1" x14ac:dyDescent="0.3">
      <c r="D4168" s="235">
        <v>24</v>
      </c>
      <c r="E4168" s="237">
        <v>157</v>
      </c>
      <c r="F4168" s="238">
        <v>5</v>
      </c>
      <c r="G4168" s="242">
        <v>0.47</v>
      </c>
      <c r="H4168" s="239">
        <f t="shared" ref="H4168:H4174" si="4838">E4168*G4168</f>
        <v>73.789999999999992</v>
      </c>
      <c r="I4168" s="122">
        <f t="shared" ref="I4168:I4174" si="4839">IF($F4168=4.2,H4168*$B$23,0)</f>
        <v>0</v>
      </c>
      <c r="J4168" s="29">
        <f t="shared" ref="J4168:J4174" si="4840">IF($F4168=5,$H4168*$B$24,0)</f>
        <v>11.363659999999999</v>
      </c>
      <c r="K4168" s="29">
        <f t="shared" ref="K4168:K4174" si="4841">IF($F4168=6.3,$H4168*$B$25,0)</f>
        <v>0</v>
      </c>
      <c r="L4168" s="29">
        <f t="shared" ref="L4168:L4174" si="4842">IF($F4168=8,$H4168*$B$26,0)</f>
        <v>0</v>
      </c>
      <c r="M4168" s="29">
        <f t="shared" ref="M4168:M4174" si="4843">IF($F4168=10,$H4168*$B$27,0)</f>
        <v>0</v>
      </c>
      <c r="N4168" s="29">
        <f t="shared" ref="N4168:N4174" si="4844">IF($F4168=12.5,$H4168*$B$28,0)</f>
        <v>0</v>
      </c>
      <c r="O4168" s="29">
        <f t="shared" ref="O4168:O4174" si="4845">IF($F4168=16,$H4168*$B$29,0)</f>
        <v>0</v>
      </c>
      <c r="P4168" s="29">
        <f t="shared" ref="P4168:P4174" si="4846">IF($F4168=20,$H4168*$B$30,0)</f>
        <v>0</v>
      </c>
      <c r="Q4168" s="37">
        <f t="shared" ref="Q4168:Q4174" si="4847">IF($F4168=25,$H4168*$B$31,0)</f>
        <v>0</v>
      </c>
    </row>
    <row r="4169" spans="4:17" s="62" customFormat="1" x14ac:dyDescent="0.3">
      <c r="D4169" s="235">
        <v>25</v>
      </c>
      <c r="E4169" s="240">
        <v>2</v>
      </c>
      <c r="F4169" s="241">
        <v>5</v>
      </c>
      <c r="G4169" s="242">
        <v>2.4300000000000002</v>
      </c>
      <c r="H4169" s="239">
        <f t="shared" si="4838"/>
        <v>4.8600000000000003</v>
      </c>
      <c r="I4169" s="122">
        <f t="shared" si="4839"/>
        <v>0</v>
      </c>
      <c r="J4169" s="29">
        <f t="shared" si="4840"/>
        <v>0.74843999999999999</v>
      </c>
      <c r="K4169" s="29">
        <f t="shared" si="4841"/>
        <v>0</v>
      </c>
      <c r="L4169" s="29">
        <f t="shared" si="4842"/>
        <v>0</v>
      </c>
      <c r="M4169" s="29">
        <f t="shared" si="4843"/>
        <v>0</v>
      </c>
      <c r="N4169" s="29">
        <f t="shared" si="4844"/>
        <v>0</v>
      </c>
      <c r="O4169" s="29">
        <f t="shared" si="4845"/>
        <v>0</v>
      </c>
      <c r="P4169" s="29">
        <f t="shared" si="4846"/>
        <v>0</v>
      </c>
      <c r="Q4169" s="37">
        <f t="shared" si="4847"/>
        <v>0</v>
      </c>
    </row>
    <row r="4170" spans="4:17" s="62" customFormat="1" x14ac:dyDescent="0.3">
      <c r="D4170" s="235">
        <v>26</v>
      </c>
      <c r="E4170" s="240">
        <v>2</v>
      </c>
      <c r="F4170" s="241">
        <v>5</v>
      </c>
      <c r="G4170" s="242">
        <v>3.12</v>
      </c>
      <c r="H4170" s="239">
        <f t="shared" si="4838"/>
        <v>6.24</v>
      </c>
      <c r="I4170" s="122">
        <f t="shared" si="4839"/>
        <v>0</v>
      </c>
      <c r="J4170" s="29">
        <f t="shared" si="4840"/>
        <v>0.96096000000000004</v>
      </c>
      <c r="K4170" s="29">
        <f t="shared" si="4841"/>
        <v>0</v>
      </c>
      <c r="L4170" s="29">
        <f t="shared" si="4842"/>
        <v>0</v>
      </c>
      <c r="M4170" s="29">
        <f t="shared" si="4843"/>
        <v>0</v>
      </c>
      <c r="N4170" s="29">
        <f t="shared" si="4844"/>
        <v>0</v>
      </c>
      <c r="O4170" s="29">
        <f t="shared" si="4845"/>
        <v>0</v>
      </c>
      <c r="P4170" s="29">
        <f t="shared" si="4846"/>
        <v>0</v>
      </c>
      <c r="Q4170" s="37">
        <f t="shared" si="4847"/>
        <v>0</v>
      </c>
    </row>
    <row r="4171" spans="4:17" s="62" customFormat="1" x14ac:dyDescent="0.3">
      <c r="D4171" s="235">
        <v>27</v>
      </c>
      <c r="E4171" s="240">
        <v>2</v>
      </c>
      <c r="F4171" s="241">
        <v>6.3</v>
      </c>
      <c r="G4171" s="242">
        <v>1.51</v>
      </c>
      <c r="H4171" s="239">
        <f t="shared" si="4838"/>
        <v>3.02</v>
      </c>
      <c r="I4171" s="122">
        <f t="shared" si="4839"/>
        <v>0</v>
      </c>
      <c r="J4171" s="29">
        <f t="shared" si="4840"/>
        <v>0</v>
      </c>
      <c r="K4171" s="29">
        <f t="shared" si="4841"/>
        <v>0.7399</v>
      </c>
      <c r="L4171" s="29">
        <f t="shared" si="4842"/>
        <v>0</v>
      </c>
      <c r="M4171" s="29">
        <f t="shared" si="4843"/>
        <v>0</v>
      </c>
      <c r="N4171" s="29">
        <f t="shared" si="4844"/>
        <v>0</v>
      </c>
      <c r="O4171" s="29">
        <f t="shared" si="4845"/>
        <v>0</v>
      </c>
      <c r="P4171" s="29">
        <f t="shared" si="4846"/>
        <v>0</v>
      </c>
      <c r="Q4171" s="37">
        <f t="shared" si="4847"/>
        <v>0</v>
      </c>
    </row>
    <row r="4172" spans="4:17" s="62" customFormat="1" x14ac:dyDescent="0.3">
      <c r="D4172" s="235">
        <v>28</v>
      </c>
      <c r="E4172" s="240">
        <v>2</v>
      </c>
      <c r="F4172" s="241">
        <v>6.3</v>
      </c>
      <c r="G4172" s="242">
        <v>0.3</v>
      </c>
      <c r="H4172" s="239">
        <f t="shared" si="4838"/>
        <v>0.6</v>
      </c>
      <c r="I4172" s="122">
        <f t="shared" si="4839"/>
        <v>0</v>
      </c>
      <c r="J4172" s="29">
        <f t="shared" si="4840"/>
        <v>0</v>
      </c>
      <c r="K4172" s="29">
        <f t="shared" si="4841"/>
        <v>0.14699999999999999</v>
      </c>
      <c r="L4172" s="29">
        <f t="shared" si="4842"/>
        <v>0</v>
      </c>
      <c r="M4172" s="29">
        <f t="shared" si="4843"/>
        <v>0</v>
      </c>
      <c r="N4172" s="29">
        <f t="shared" si="4844"/>
        <v>0</v>
      </c>
      <c r="O4172" s="29">
        <f t="shared" si="4845"/>
        <v>0</v>
      </c>
      <c r="P4172" s="29">
        <f t="shared" si="4846"/>
        <v>0</v>
      </c>
      <c r="Q4172" s="37">
        <f t="shared" si="4847"/>
        <v>0</v>
      </c>
    </row>
    <row r="4173" spans="4:17" s="62" customFormat="1" x14ac:dyDescent="0.3">
      <c r="D4173" s="235">
        <v>29</v>
      </c>
      <c r="E4173" s="240">
        <v>2</v>
      </c>
      <c r="F4173" s="241">
        <v>6.3</v>
      </c>
      <c r="G4173" s="242">
        <v>1.36</v>
      </c>
      <c r="H4173" s="239">
        <f t="shared" si="4838"/>
        <v>2.72</v>
      </c>
      <c r="I4173" s="122">
        <f t="shared" si="4839"/>
        <v>0</v>
      </c>
      <c r="J4173" s="29">
        <f t="shared" si="4840"/>
        <v>0</v>
      </c>
      <c r="K4173" s="29">
        <f t="shared" si="4841"/>
        <v>0.66639999999999999</v>
      </c>
      <c r="L4173" s="29">
        <f t="shared" si="4842"/>
        <v>0</v>
      </c>
      <c r="M4173" s="29">
        <f t="shared" si="4843"/>
        <v>0</v>
      </c>
      <c r="N4173" s="29">
        <f t="shared" si="4844"/>
        <v>0</v>
      </c>
      <c r="O4173" s="29">
        <f t="shared" si="4845"/>
        <v>0</v>
      </c>
      <c r="P4173" s="29">
        <f t="shared" si="4846"/>
        <v>0</v>
      </c>
      <c r="Q4173" s="37">
        <f t="shared" si="4847"/>
        <v>0</v>
      </c>
    </row>
    <row r="4174" spans="4:17" s="62" customFormat="1" x14ac:dyDescent="0.3">
      <c r="D4174" s="235">
        <v>35</v>
      </c>
      <c r="E4174" s="240">
        <v>2</v>
      </c>
      <c r="F4174" s="241">
        <v>8</v>
      </c>
      <c r="G4174" s="242">
        <v>8.09</v>
      </c>
      <c r="H4174" s="239">
        <f t="shared" si="4838"/>
        <v>16.18</v>
      </c>
      <c r="I4174" s="122">
        <f t="shared" si="4839"/>
        <v>0</v>
      </c>
      <c r="J4174" s="29">
        <f t="shared" si="4840"/>
        <v>0</v>
      </c>
      <c r="K4174" s="29">
        <f t="shared" si="4841"/>
        <v>0</v>
      </c>
      <c r="L4174" s="29">
        <f t="shared" si="4842"/>
        <v>6.3910999999999998</v>
      </c>
      <c r="M4174" s="29">
        <f t="shared" si="4843"/>
        <v>0</v>
      </c>
      <c r="N4174" s="29">
        <f t="shared" si="4844"/>
        <v>0</v>
      </c>
      <c r="O4174" s="29">
        <f t="shared" si="4845"/>
        <v>0</v>
      </c>
      <c r="P4174" s="29">
        <f t="shared" si="4846"/>
        <v>0</v>
      </c>
      <c r="Q4174" s="37">
        <f t="shared" si="4847"/>
        <v>0</v>
      </c>
    </row>
    <row r="4175" spans="4:17" s="62" customFormat="1" x14ac:dyDescent="0.3">
      <c r="D4175" s="307"/>
      <c r="E4175" s="26"/>
      <c r="F4175" s="206"/>
      <c r="G4175" s="207"/>
      <c r="H4175" s="207"/>
      <c r="I4175" s="51"/>
      <c r="J4175" s="308"/>
      <c r="K4175" s="308"/>
      <c r="L4175" s="308"/>
      <c r="M4175" s="308"/>
      <c r="N4175" s="308"/>
      <c r="O4175" s="308"/>
      <c r="P4175" s="308"/>
      <c r="Q4175" s="309"/>
    </row>
    <row r="4176" spans="4:17" s="62" customFormat="1" x14ac:dyDescent="0.3">
      <c r="D4176" s="790" t="s">
        <v>1629</v>
      </c>
      <c r="E4176" s="791"/>
      <c r="F4176" s="791"/>
      <c r="G4176" s="791"/>
      <c r="H4176" s="791"/>
      <c r="I4176" s="175">
        <f t="shared" ref="I4176:Q4176" si="4848">SUM(I4177:I4179)</f>
        <v>0</v>
      </c>
      <c r="J4176" s="175">
        <f t="shared" si="4848"/>
        <v>5.9351599999999998</v>
      </c>
      <c r="K4176" s="175">
        <f t="shared" si="4848"/>
        <v>0</v>
      </c>
      <c r="L4176" s="175">
        <f t="shared" si="4848"/>
        <v>6.8018999999999998</v>
      </c>
      <c r="M4176" s="175">
        <f t="shared" si="4848"/>
        <v>0</v>
      </c>
      <c r="N4176" s="175">
        <f t="shared" si="4848"/>
        <v>0</v>
      </c>
      <c r="O4176" s="175">
        <f t="shared" si="4848"/>
        <v>0</v>
      </c>
      <c r="P4176" s="175">
        <f t="shared" si="4848"/>
        <v>0</v>
      </c>
      <c r="Q4176" s="175">
        <f t="shared" si="4848"/>
        <v>0</v>
      </c>
    </row>
    <row r="4177" spans="4:17" s="62" customFormat="1" x14ac:dyDescent="0.3">
      <c r="D4177" s="235">
        <v>24</v>
      </c>
      <c r="E4177" s="237">
        <v>82</v>
      </c>
      <c r="F4177" s="238">
        <v>5</v>
      </c>
      <c r="G4177" s="242">
        <v>0.47</v>
      </c>
      <c r="H4177" s="239">
        <f>E4177*G4177</f>
        <v>38.54</v>
      </c>
      <c r="I4177" s="122">
        <f>IF($F4177=4.2,H4177*$B$23,0)</f>
        <v>0</v>
      </c>
      <c r="J4177" s="29">
        <f>IF($F4177=5,$H4177*$B$24,0)</f>
        <v>5.9351599999999998</v>
      </c>
      <c r="K4177" s="29">
        <f>IF($F4177=6.3,$H4177*$B$25,0)</f>
        <v>0</v>
      </c>
      <c r="L4177" s="29">
        <f>IF($F4177=8,$H4177*$B$26,0)</f>
        <v>0</v>
      </c>
      <c r="M4177" s="29">
        <f>IF($F4177=10,$H4177*$B$27,0)</f>
        <v>0</v>
      </c>
      <c r="N4177" s="29">
        <f>IF($F4177=12.5,$H4177*$B$28,0)</f>
        <v>0</v>
      </c>
      <c r="O4177" s="29">
        <f>IF($F4177=16,$H4177*$B$29,0)</f>
        <v>0</v>
      </c>
      <c r="P4177" s="29">
        <f>IF($F4177=20,$H4177*$B$30,0)</f>
        <v>0</v>
      </c>
      <c r="Q4177" s="37">
        <f>IF($F4177=25,$H4177*$B$31,0)</f>
        <v>0</v>
      </c>
    </row>
    <row r="4178" spans="4:17" s="62" customFormat="1" x14ac:dyDescent="0.3">
      <c r="D4178" s="235">
        <v>41</v>
      </c>
      <c r="E4178" s="240">
        <v>2</v>
      </c>
      <c r="F4178" s="241">
        <v>8</v>
      </c>
      <c r="G4178" s="242">
        <v>4.26</v>
      </c>
      <c r="H4178" s="239">
        <f>E4178*G4178</f>
        <v>8.52</v>
      </c>
      <c r="I4178" s="122">
        <f>IF($F4178=4.2,H4178*$B$23,0)</f>
        <v>0</v>
      </c>
      <c r="J4178" s="29">
        <f>IF($F4178=5,$H4178*$B$24,0)</f>
        <v>0</v>
      </c>
      <c r="K4178" s="29">
        <f>IF($F4178=6.3,$H4178*$B$25,0)</f>
        <v>0</v>
      </c>
      <c r="L4178" s="29">
        <f>IF($F4178=8,$H4178*$B$26,0)</f>
        <v>3.3654000000000002</v>
      </c>
      <c r="M4178" s="29">
        <f>IF($F4178=10,$H4178*$B$27,0)</f>
        <v>0</v>
      </c>
      <c r="N4178" s="29">
        <f>IF($F4178=12.5,$H4178*$B$28,0)</f>
        <v>0</v>
      </c>
      <c r="O4178" s="29">
        <f>IF($F4178=16,$H4178*$B$29,0)</f>
        <v>0</v>
      </c>
      <c r="P4178" s="29">
        <f>IF($F4178=20,$H4178*$B$30,0)</f>
        <v>0</v>
      </c>
      <c r="Q4178" s="37">
        <f>IF($F4178=25,$H4178*$B$31,0)</f>
        <v>0</v>
      </c>
    </row>
    <row r="4179" spans="4:17" s="62" customFormat="1" x14ac:dyDescent="0.3">
      <c r="D4179" s="235">
        <v>42</v>
      </c>
      <c r="E4179" s="240">
        <v>2</v>
      </c>
      <c r="F4179" s="241">
        <v>8</v>
      </c>
      <c r="G4179" s="242">
        <v>4.3499999999999996</v>
      </c>
      <c r="H4179" s="239">
        <f>E4179*G4179</f>
        <v>8.6999999999999993</v>
      </c>
      <c r="I4179" s="122">
        <f>IF($F4179=4.2,H4179*$B$23,0)</f>
        <v>0</v>
      </c>
      <c r="J4179" s="29">
        <f>IF($F4179=5,$H4179*$B$24,0)</f>
        <v>0</v>
      </c>
      <c r="K4179" s="29">
        <f>IF($F4179=6.3,$H4179*$B$25,0)</f>
        <v>0</v>
      </c>
      <c r="L4179" s="29">
        <f>IF($F4179=8,$H4179*$B$26,0)</f>
        <v>3.4364999999999997</v>
      </c>
      <c r="M4179" s="29">
        <f>IF($F4179=10,$H4179*$B$27,0)</f>
        <v>0</v>
      </c>
      <c r="N4179" s="29">
        <f>IF($F4179=12.5,$H4179*$B$28,0)</f>
        <v>0</v>
      </c>
      <c r="O4179" s="29">
        <f>IF($F4179=16,$H4179*$B$29,0)</f>
        <v>0</v>
      </c>
      <c r="P4179" s="29">
        <f>IF($F4179=20,$H4179*$B$30,0)</f>
        <v>0</v>
      </c>
      <c r="Q4179" s="37">
        <f>IF($F4179=25,$H4179*$B$31,0)</f>
        <v>0</v>
      </c>
    </row>
    <row r="4180" spans="4:17" s="62" customFormat="1" x14ac:dyDescent="0.3">
      <c r="D4180" s="307"/>
      <c r="E4180" s="26"/>
      <c r="F4180" s="206"/>
      <c r="G4180" s="207"/>
      <c r="H4180" s="207"/>
      <c r="I4180" s="51"/>
      <c r="J4180" s="308"/>
      <c r="K4180" s="308"/>
      <c r="L4180" s="308"/>
      <c r="M4180" s="308"/>
      <c r="N4180" s="308"/>
      <c r="O4180" s="308"/>
      <c r="P4180" s="308"/>
      <c r="Q4180" s="309"/>
    </row>
    <row r="4181" spans="4:17" s="62" customFormat="1" x14ac:dyDescent="0.3">
      <c r="D4181" s="790" t="s">
        <v>1630</v>
      </c>
      <c r="E4181" s="791"/>
      <c r="F4181" s="791"/>
      <c r="G4181" s="791"/>
      <c r="H4181" s="791"/>
      <c r="I4181" s="175">
        <f t="shared" ref="I4181:Q4181" si="4849">SUM(I4182:I4186)</f>
        <v>0</v>
      </c>
      <c r="J4181" s="175">
        <f t="shared" si="4849"/>
        <v>10.422719999999998</v>
      </c>
      <c r="K4181" s="175">
        <f t="shared" si="4849"/>
        <v>6.7031999999999998</v>
      </c>
      <c r="L4181" s="175">
        <f t="shared" si="4849"/>
        <v>6.4464000000000006</v>
      </c>
      <c r="M4181" s="175">
        <f t="shared" si="4849"/>
        <v>0</v>
      </c>
      <c r="N4181" s="175">
        <f t="shared" si="4849"/>
        <v>0</v>
      </c>
      <c r="O4181" s="175">
        <f t="shared" si="4849"/>
        <v>0</v>
      </c>
      <c r="P4181" s="175">
        <f t="shared" si="4849"/>
        <v>0</v>
      </c>
      <c r="Q4181" s="175">
        <f t="shared" si="4849"/>
        <v>0</v>
      </c>
    </row>
    <row r="4182" spans="4:17" s="62" customFormat="1" x14ac:dyDescent="0.3">
      <c r="D4182" s="235">
        <v>24</v>
      </c>
      <c r="E4182" s="237">
        <v>144</v>
      </c>
      <c r="F4182" s="238">
        <v>5</v>
      </c>
      <c r="G4182" s="242">
        <v>0.47</v>
      </c>
      <c r="H4182" s="239">
        <f>E4182*G4182</f>
        <v>67.679999999999993</v>
      </c>
      <c r="I4182" s="122">
        <f>IF($F4182=4.2,H4182*$B$23,0)</f>
        <v>0</v>
      </c>
      <c r="J4182" s="29">
        <f>IF($F4182=5,$H4182*$B$24,0)</f>
        <v>10.422719999999998</v>
      </c>
      <c r="K4182" s="29">
        <f>IF($F4182=6.3,$H4182*$B$25,0)</f>
        <v>0</v>
      </c>
      <c r="L4182" s="29">
        <f>IF($F4182=8,$H4182*$B$26,0)</f>
        <v>0</v>
      </c>
      <c r="M4182" s="29">
        <f>IF($F4182=10,$H4182*$B$27,0)</f>
        <v>0</v>
      </c>
      <c r="N4182" s="29">
        <f>IF($F4182=12.5,$H4182*$B$28,0)</f>
        <v>0</v>
      </c>
      <c r="O4182" s="29">
        <f>IF($F4182=16,$H4182*$B$29,0)</f>
        <v>0</v>
      </c>
      <c r="P4182" s="29">
        <f>IF($F4182=20,$H4182*$B$30,0)</f>
        <v>0</v>
      </c>
      <c r="Q4182" s="37">
        <f>IF($F4182=25,$H4182*$B$31,0)</f>
        <v>0</v>
      </c>
    </row>
    <row r="4183" spans="4:17" s="62" customFormat="1" x14ac:dyDescent="0.3">
      <c r="D4183" s="235">
        <v>30</v>
      </c>
      <c r="E4183" s="240">
        <v>2</v>
      </c>
      <c r="F4183" s="241">
        <v>6.3</v>
      </c>
      <c r="G4183" s="242">
        <v>2.76</v>
      </c>
      <c r="H4183" s="239">
        <f>E4183*G4183</f>
        <v>5.52</v>
      </c>
      <c r="I4183" s="122">
        <f>IF($F4183=4.2,H4183*$B$23,0)</f>
        <v>0</v>
      </c>
      <c r="J4183" s="29">
        <f>IF($F4183=5,$H4183*$B$24,0)</f>
        <v>0</v>
      </c>
      <c r="K4183" s="29">
        <f>IF($F4183=6.3,$H4183*$B$25,0)</f>
        <v>1.3523999999999998</v>
      </c>
      <c r="L4183" s="29">
        <f>IF($F4183=8,$H4183*$B$26,0)</f>
        <v>0</v>
      </c>
      <c r="M4183" s="29">
        <f>IF($F4183=10,$H4183*$B$27,0)</f>
        <v>0</v>
      </c>
      <c r="N4183" s="29">
        <f>IF($F4183=12.5,$H4183*$B$28,0)</f>
        <v>0</v>
      </c>
      <c r="O4183" s="29">
        <f>IF($F4183=16,$H4183*$B$29,0)</f>
        <v>0</v>
      </c>
      <c r="P4183" s="29">
        <f>IF($F4183=20,$H4183*$B$30,0)</f>
        <v>0</v>
      </c>
      <c r="Q4183" s="37">
        <f>IF($F4183=25,$H4183*$B$31,0)</f>
        <v>0</v>
      </c>
    </row>
    <row r="4184" spans="4:17" s="62" customFormat="1" x14ac:dyDescent="0.3">
      <c r="D4184" s="235">
        <v>31</v>
      </c>
      <c r="E4184" s="240">
        <v>2</v>
      </c>
      <c r="F4184" s="241">
        <v>6.3</v>
      </c>
      <c r="G4184" s="242">
        <v>2.65</v>
      </c>
      <c r="H4184" s="239">
        <f>E4184*G4184</f>
        <v>5.3</v>
      </c>
      <c r="I4184" s="122">
        <f>IF($F4184=4.2,H4184*$B$23,0)</f>
        <v>0</v>
      </c>
      <c r="J4184" s="29">
        <f>IF($F4184=5,$H4184*$B$24,0)</f>
        <v>0</v>
      </c>
      <c r="K4184" s="29">
        <f>IF($F4184=6.3,$H4184*$B$25,0)</f>
        <v>1.2985</v>
      </c>
      <c r="L4184" s="29">
        <f>IF($F4184=8,$H4184*$B$26,0)</f>
        <v>0</v>
      </c>
      <c r="M4184" s="29">
        <f>IF($F4184=10,$H4184*$B$27,0)</f>
        <v>0</v>
      </c>
      <c r="N4184" s="29">
        <f>IF($F4184=12.5,$H4184*$B$28,0)</f>
        <v>0</v>
      </c>
      <c r="O4184" s="29">
        <f>IF($F4184=16,$H4184*$B$29,0)</f>
        <v>0</v>
      </c>
      <c r="P4184" s="29">
        <f>IF($F4184=20,$H4184*$B$30,0)</f>
        <v>0</v>
      </c>
      <c r="Q4184" s="37">
        <f>IF($F4184=25,$H4184*$B$31,0)</f>
        <v>0</v>
      </c>
    </row>
    <row r="4185" spans="4:17" s="62" customFormat="1" x14ac:dyDescent="0.3">
      <c r="D4185" s="235">
        <v>32</v>
      </c>
      <c r="E4185" s="240">
        <v>2</v>
      </c>
      <c r="F4185" s="241">
        <v>6.3</v>
      </c>
      <c r="G4185" s="242">
        <v>8.27</v>
      </c>
      <c r="H4185" s="239">
        <f>E4185*G4185</f>
        <v>16.54</v>
      </c>
      <c r="I4185" s="122">
        <f>IF($F4185=4.2,H4185*$B$23,0)</f>
        <v>0</v>
      </c>
      <c r="J4185" s="29">
        <f>IF($F4185=5,$H4185*$B$24,0)</f>
        <v>0</v>
      </c>
      <c r="K4185" s="29">
        <f>IF($F4185=6.3,$H4185*$B$25,0)</f>
        <v>4.0522999999999998</v>
      </c>
      <c r="L4185" s="29">
        <f>IF($F4185=8,$H4185*$B$26,0)</f>
        <v>0</v>
      </c>
      <c r="M4185" s="29">
        <f>IF($F4185=10,$H4185*$B$27,0)</f>
        <v>0</v>
      </c>
      <c r="N4185" s="29">
        <f>IF($F4185=12.5,$H4185*$B$28,0)</f>
        <v>0</v>
      </c>
      <c r="O4185" s="29">
        <f>IF($F4185=16,$H4185*$B$29,0)</f>
        <v>0</v>
      </c>
      <c r="P4185" s="29">
        <f>IF($F4185=20,$H4185*$B$30,0)</f>
        <v>0</v>
      </c>
      <c r="Q4185" s="37">
        <f>IF($F4185=25,$H4185*$B$31,0)</f>
        <v>0</v>
      </c>
    </row>
    <row r="4186" spans="4:17" s="62" customFormat="1" x14ac:dyDescent="0.3">
      <c r="D4186" s="235">
        <v>43</v>
      </c>
      <c r="E4186" s="240">
        <v>2</v>
      </c>
      <c r="F4186" s="241">
        <v>8</v>
      </c>
      <c r="G4186" s="242">
        <v>8.16</v>
      </c>
      <c r="H4186" s="239">
        <f>E4186*G4186</f>
        <v>16.32</v>
      </c>
      <c r="I4186" s="122">
        <f>IF($F4186=4.2,H4186*$B$23,0)</f>
        <v>0</v>
      </c>
      <c r="J4186" s="29">
        <f>IF($F4186=5,$H4186*$B$24,0)</f>
        <v>0</v>
      </c>
      <c r="K4186" s="29">
        <f>IF($F4186=6.3,$H4186*$B$25,0)</f>
        <v>0</v>
      </c>
      <c r="L4186" s="29">
        <f>IF($F4186=8,$H4186*$B$26,0)</f>
        <v>6.4464000000000006</v>
      </c>
      <c r="M4186" s="29">
        <f>IF($F4186=10,$H4186*$B$27,0)</f>
        <v>0</v>
      </c>
      <c r="N4186" s="29">
        <f>IF($F4186=12.5,$H4186*$B$28,0)</f>
        <v>0</v>
      </c>
      <c r="O4186" s="29">
        <f>IF($F4186=16,$H4186*$B$29,0)</f>
        <v>0</v>
      </c>
      <c r="P4186" s="29">
        <f>IF($F4186=20,$H4186*$B$30,0)</f>
        <v>0</v>
      </c>
      <c r="Q4186" s="37">
        <f>IF($F4186=25,$H4186*$B$31,0)</f>
        <v>0</v>
      </c>
    </row>
    <row r="4187" spans="4:17" s="62" customFormat="1" x14ac:dyDescent="0.3">
      <c r="D4187" s="307"/>
      <c r="E4187" s="26"/>
      <c r="F4187" s="206"/>
      <c r="G4187" s="207"/>
      <c r="H4187" s="207"/>
      <c r="I4187" s="51"/>
      <c r="J4187" s="308"/>
      <c r="K4187" s="308"/>
      <c r="L4187" s="308"/>
      <c r="M4187" s="308"/>
      <c r="N4187" s="308"/>
      <c r="O4187" s="308"/>
      <c r="P4187" s="308"/>
      <c r="Q4187" s="309"/>
    </row>
    <row r="4188" spans="4:17" s="62" customFormat="1" x14ac:dyDescent="0.3">
      <c r="D4188" s="790" t="s">
        <v>1631</v>
      </c>
      <c r="E4188" s="791"/>
      <c r="F4188" s="791"/>
      <c r="G4188" s="791"/>
      <c r="H4188" s="791"/>
      <c r="I4188" s="175">
        <f t="shared" ref="I4188:Q4188" si="4850">SUM(I4189:I4193)</f>
        <v>0</v>
      </c>
      <c r="J4188" s="175">
        <f t="shared" si="4850"/>
        <v>10.422719999999998</v>
      </c>
      <c r="K4188" s="175">
        <f t="shared" si="4850"/>
        <v>0</v>
      </c>
      <c r="L4188" s="175">
        <f t="shared" si="4850"/>
        <v>12.956000000000001</v>
      </c>
      <c r="M4188" s="175">
        <f t="shared" si="4850"/>
        <v>0</v>
      </c>
      <c r="N4188" s="175">
        <f t="shared" si="4850"/>
        <v>0</v>
      </c>
      <c r="O4188" s="175">
        <f t="shared" si="4850"/>
        <v>0</v>
      </c>
      <c r="P4188" s="175">
        <f t="shared" si="4850"/>
        <v>0</v>
      </c>
      <c r="Q4188" s="175">
        <f t="shared" si="4850"/>
        <v>0</v>
      </c>
    </row>
    <row r="4189" spans="4:17" s="62" customFormat="1" x14ac:dyDescent="0.3">
      <c r="D4189" s="235">
        <v>24</v>
      </c>
      <c r="E4189" s="237">
        <v>144</v>
      </c>
      <c r="F4189" s="238">
        <v>5</v>
      </c>
      <c r="G4189" s="242">
        <v>0.47</v>
      </c>
      <c r="H4189" s="239">
        <f>E4189*G4189</f>
        <v>67.679999999999993</v>
      </c>
      <c r="I4189" s="122">
        <f>IF($F4189=4.2,H4189*$B$23,0)</f>
        <v>0</v>
      </c>
      <c r="J4189" s="29">
        <f>IF($F4189=5,$H4189*$B$24,0)</f>
        <v>10.422719999999998</v>
      </c>
      <c r="K4189" s="29">
        <f>IF($F4189=6.3,$H4189*$B$25,0)</f>
        <v>0</v>
      </c>
      <c r="L4189" s="29">
        <f>IF($F4189=8,$H4189*$B$26,0)</f>
        <v>0</v>
      </c>
      <c r="M4189" s="29">
        <f>IF($F4189=10,$H4189*$B$27,0)</f>
        <v>0</v>
      </c>
      <c r="N4189" s="29">
        <f>IF($F4189=12.5,$H4189*$B$28,0)</f>
        <v>0</v>
      </c>
      <c r="O4189" s="29">
        <f>IF($F4189=16,$H4189*$B$29,0)</f>
        <v>0</v>
      </c>
      <c r="P4189" s="29">
        <f>IF($F4189=20,$H4189*$B$30,0)</f>
        <v>0</v>
      </c>
      <c r="Q4189" s="37">
        <f>IF($F4189=25,$H4189*$B$31,0)</f>
        <v>0</v>
      </c>
    </row>
    <row r="4190" spans="4:17" s="62" customFormat="1" x14ac:dyDescent="0.3">
      <c r="D4190" s="235">
        <v>43</v>
      </c>
      <c r="E4190" s="240">
        <v>2</v>
      </c>
      <c r="F4190" s="241">
        <v>8</v>
      </c>
      <c r="G4190" s="242">
        <v>8.16</v>
      </c>
      <c r="H4190" s="239">
        <f>E4190*G4190</f>
        <v>16.32</v>
      </c>
      <c r="I4190" s="122">
        <f>IF($F4190=4.2,H4190*$B$23,0)</f>
        <v>0</v>
      </c>
      <c r="J4190" s="29">
        <f>IF($F4190=5,$H4190*$B$24,0)</f>
        <v>0</v>
      </c>
      <c r="K4190" s="29">
        <f>IF($F4190=6.3,$H4190*$B$25,0)</f>
        <v>0</v>
      </c>
      <c r="L4190" s="29">
        <f>IF($F4190=8,$H4190*$B$26,0)</f>
        <v>6.4464000000000006</v>
      </c>
      <c r="M4190" s="29">
        <f>IF($F4190=10,$H4190*$B$27,0)</f>
        <v>0</v>
      </c>
      <c r="N4190" s="29">
        <f>IF($F4190=12.5,$H4190*$B$28,0)</f>
        <v>0</v>
      </c>
      <c r="O4190" s="29">
        <f>IF($F4190=16,$H4190*$B$29,0)</f>
        <v>0</v>
      </c>
      <c r="P4190" s="29">
        <f>IF($F4190=20,$H4190*$B$30,0)</f>
        <v>0</v>
      </c>
      <c r="Q4190" s="37">
        <f>IF($F4190=25,$H4190*$B$31,0)</f>
        <v>0</v>
      </c>
    </row>
    <row r="4191" spans="4:17" s="62" customFormat="1" x14ac:dyDescent="0.3">
      <c r="D4191" s="235">
        <v>44</v>
      </c>
      <c r="E4191" s="240">
        <v>2</v>
      </c>
      <c r="F4191" s="241">
        <v>8</v>
      </c>
      <c r="G4191" s="242">
        <v>8.24</v>
      </c>
      <c r="H4191" s="239">
        <f>E4191*G4191</f>
        <v>16.48</v>
      </c>
      <c r="I4191" s="122">
        <f>IF($F4191=4.2,H4191*$B$23,0)</f>
        <v>0</v>
      </c>
      <c r="J4191" s="29">
        <f>IF($F4191=5,$H4191*$B$24,0)</f>
        <v>0</v>
      </c>
      <c r="K4191" s="29">
        <f>IF($F4191=6.3,$H4191*$B$25,0)</f>
        <v>0</v>
      </c>
      <c r="L4191" s="29">
        <f>IF($F4191=8,$H4191*$B$26,0)</f>
        <v>6.5096000000000007</v>
      </c>
      <c r="M4191" s="29">
        <f>IF($F4191=10,$H4191*$B$27,0)</f>
        <v>0</v>
      </c>
      <c r="N4191" s="29">
        <f>IF($F4191=12.5,$H4191*$B$28,0)</f>
        <v>0</v>
      </c>
      <c r="O4191" s="29">
        <f>IF($F4191=16,$H4191*$B$29,0)</f>
        <v>0</v>
      </c>
      <c r="P4191" s="29">
        <f>IF($F4191=20,$H4191*$B$30,0)</f>
        <v>0</v>
      </c>
      <c r="Q4191" s="37">
        <f>IF($F4191=25,$H4191*$B$31,0)</f>
        <v>0</v>
      </c>
    </row>
    <row r="4192" spans="4:17" s="62" customFormat="1" x14ac:dyDescent="0.3">
      <c r="D4192" s="235"/>
      <c r="E4192" s="240"/>
      <c r="F4192" s="241"/>
      <c r="G4192" s="242"/>
      <c r="H4192" s="239">
        <f>E4192*G4192</f>
        <v>0</v>
      </c>
      <c r="I4192" s="122">
        <f>IF($F4192=4.2,H4192*$B$23,0)</f>
        <v>0</v>
      </c>
      <c r="J4192" s="29">
        <f>IF($F4192=5,$H4192*$B$24,0)</f>
        <v>0</v>
      </c>
      <c r="K4192" s="29">
        <f>IF($F4192=6.3,$H4192*$B$25,0)</f>
        <v>0</v>
      </c>
      <c r="L4192" s="29">
        <f>IF($F4192=8,$H4192*$B$26,0)</f>
        <v>0</v>
      </c>
      <c r="M4192" s="29">
        <f>IF($F4192=10,$H4192*$B$27,0)</f>
        <v>0</v>
      </c>
      <c r="N4192" s="29">
        <f>IF($F4192=12.5,$H4192*$B$28,0)</f>
        <v>0</v>
      </c>
      <c r="O4192" s="29">
        <f>IF($F4192=16,$H4192*$B$29,0)</f>
        <v>0</v>
      </c>
      <c r="P4192" s="29">
        <f>IF($F4192=20,$H4192*$B$30,0)</f>
        <v>0</v>
      </c>
      <c r="Q4192" s="37">
        <f>IF($F4192=25,$H4192*$B$31,0)</f>
        <v>0</v>
      </c>
    </row>
    <row r="4193" spans="4:17" s="62" customFormat="1" x14ac:dyDescent="0.3">
      <c r="D4193" s="235"/>
      <c r="E4193" s="240"/>
      <c r="F4193" s="241"/>
      <c r="G4193" s="242"/>
      <c r="H4193" s="239">
        <f>E4193*G4193</f>
        <v>0</v>
      </c>
      <c r="I4193" s="122">
        <f>IF($F4193=4.2,H4193*$B$23,0)</f>
        <v>0</v>
      </c>
      <c r="J4193" s="29">
        <f>IF($F4193=5,$H4193*$B$24,0)</f>
        <v>0</v>
      </c>
      <c r="K4193" s="29">
        <f>IF($F4193=6.3,$H4193*$B$25,0)</f>
        <v>0</v>
      </c>
      <c r="L4193" s="29">
        <f>IF($F4193=8,$H4193*$B$26,0)</f>
        <v>0</v>
      </c>
      <c r="M4193" s="29">
        <f>IF($F4193=10,$H4193*$B$27,0)</f>
        <v>0</v>
      </c>
      <c r="N4193" s="29">
        <f>IF($F4193=12.5,$H4193*$B$28,0)</f>
        <v>0</v>
      </c>
      <c r="O4193" s="29">
        <f>IF($F4193=16,$H4193*$B$29,0)</f>
        <v>0</v>
      </c>
      <c r="P4193" s="29">
        <f>IF($F4193=20,$H4193*$B$30,0)</f>
        <v>0</v>
      </c>
      <c r="Q4193" s="37">
        <f>IF($F4193=25,$H4193*$B$31,0)</f>
        <v>0</v>
      </c>
    </row>
    <row r="4194" spans="4:17" s="62" customFormat="1" x14ac:dyDescent="0.3">
      <c r="D4194" s="307"/>
      <c r="E4194" s="26"/>
      <c r="F4194" s="206"/>
      <c r="G4194" s="207"/>
      <c r="H4194" s="207"/>
      <c r="I4194" s="51"/>
      <c r="J4194" s="308"/>
      <c r="K4194" s="308"/>
      <c r="L4194" s="308"/>
      <c r="M4194" s="308"/>
      <c r="N4194" s="308"/>
      <c r="O4194" s="308"/>
      <c r="P4194" s="308"/>
      <c r="Q4194" s="309"/>
    </row>
    <row r="4195" spans="4:17" s="62" customFormat="1" x14ac:dyDescent="0.3">
      <c r="D4195" s="790" t="s">
        <v>1632</v>
      </c>
      <c r="E4195" s="791"/>
      <c r="F4195" s="791"/>
      <c r="G4195" s="791"/>
      <c r="H4195" s="791"/>
      <c r="I4195" s="175">
        <f t="shared" ref="I4195:Q4195" si="4851">SUM(I4196:I4200)</f>
        <v>0</v>
      </c>
      <c r="J4195" s="175">
        <f t="shared" si="4851"/>
        <v>21.786380000000001</v>
      </c>
      <c r="K4195" s="175">
        <f t="shared" si="4851"/>
        <v>0</v>
      </c>
      <c r="L4195" s="175">
        <f t="shared" si="4851"/>
        <v>27.752700000000001</v>
      </c>
      <c r="M4195" s="175">
        <f t="shared" si="4851"/>
        <v>0</v>
      </c>
      <c r="N4195" s="175">
        <f t="shared" si="4851"/>
        <v>0</v>
      </c>
      <c r="O4195" s="175">
        <f t="shared" si="4851"/>
        <v>0</v>
      </c>
      <c r="P4195" s="175">
        <f t="shared" si="4851"/>
        <v>0</v>
      </c>
      <c r="Q4195" s="175">
        <f t="shared" si="4851"/>
        <v>0</v>
      </c>
    </row>
    <row r="4196" spans="4:17" s="62" customFormat="1" x14ac:dyDescent="0.3">
      <c r="D4196" s="235">
        <v>1</v>
      </c>
      <c r="E4196" s="237">
        <v>301</v>
      </c>
      <c r="F4196" s="238">
        <v>5</v>
      </c>
      <c r="G4196" s="242">
        <v>0.47</v>
      </c>
      <c r="H4196" s="239">
        <f>E4196*G4196</f>
        <v>141.47</v>
      </c>
      <c r="I4196" s="122">
        <f>IF($F4196=4.2,H4196*$B$23,0)</f>
        <v>0</v>
      </c>
      <c r="J4196" s="29">
        <f>IF($F4196=5,$H4196*$B$24,0)</f>
        <v>21.786380000000001</v>
      </c>
      <c r="K4196" s="29">
        <f>IF($F4196=6.3,$H4196*$B$25,0)</f>
        <v>0</v>
      </c>
      <c r="L4196" s="29">
        <f>IF($F4196=8,$H4196*$B$26,0)</f>
        <v>0</v>
      </c>
      <c r="M4196" s="29">
        <f>IF($F4196=10,$H4196*$B$27,0)</f>
        <v>0</v>
      </c>
      <c r="N4196" s="29">
        <f>IF($F4196=12.5,$H4196*$B$28,0)</f>
        <v>0</v>
      </c>
      <c r="O4196" s="29">
        <f>IF($F4196=16,$H4196*$B$29,0)</f>
        <v>0</v>
      </c>
      <c r="P4196" s="29">
        <f>IF($F4196=20,$H4196*$B$30,0)</f>
        <v>0</v>
      </c>
      <c r="Q4196" s="37">
        <f>IF($F4196=25,$H4196*$B$31,0)</f>
        <v>0</v>
      </c>
    </row>
    <row r="4197" spans="4:17" s="62" customFormat="1" x14ac:dyDescent="0.3">
      <c r="D4197" s="235">
        <v>2</v>
      </c>
      <c r="E4197" s="240">
        <v>2</v>
      </c>
      <c r="F4197" s="241">
        <v>8</v>
      </c>
      <c r="G4197" s="242">
        <v>10.210000000000001</v>
      </c>
      <c r="H4197" s="239">
        <f>E4197*G4197</f>
        <v>20.420000000000002</v>
      </c>
      <c r="I4197" s="122">
        <f>IF($F4197=4.2,H4197*$B$23,0)</f>
        <v>0</v>
      </c>
      <c r="J4197" s="29">
        <f>IF($F4197=5,$H4197*$B$24,0)</f>
        <v>0</v>
      </c>
      <c r="K4197" s="29">
        <f>IF($F4197=6.3,$H4197*$B$25,0)</f>
        <v>0</v>
      </c>
      <c r="L4197" s="29">
        <f>IF($F4197=8,$H4197*$B$26,0)</f>
        <v>8.065900000000001</v>
      </c>
      <c r="M4197" s="29">
        <f>IF($F4197=10,$H4197*$B$27,0)</f>
        <v>0</v>
      </c>
      <c r="N4197" s="29">
        <f>IF($F4197=12.5,$H4197*$B$28,0)</f>
        <v>0</v>
      </c>
      <c r="O4197" s="29">
        <f>IF($F4197=16,$H4197*$B$29,0)</f>
        <v>0</v>
      </c>
      <c r="P4197" s="29">
        <f>IF($F4197=20,$H4197*$B$30,0)</f>
        <v>0</v>
      </c>
      <c r="Q4197" s="37">
        <f>IF($F4197=25,$H4197*$B$31,0)</f>
        <v>0</v>
      </c>
    </row>
    <row r="4198" spans="4:17" s="62" customFormat="1" x14ac:dyDescent="0.3">
      <c r="D4198" s="235">
        <v>3</v>
      </c>
      <c r="E4198" s="240">
        <v>2</v>
      </c>
      <c r="F4198" s="241">
        <v>8</v>
      </c>
      <c r="G4198" s="242">
        <v>8.41</v>
      </c>
      <c r="H4198" s="239">
        <f>E4198*G4198</f>
        <v>16.82</v>
      </c>
      <c r="I4198" s="122">
        <f>IF($F4198=4.2,H4198*$B$23,0)</f>
        <v>0</v>
      </c>
      <c r="J4198" s="29">
        <f>IF($F4198=5,$H4198*$B$24,0)</f>
        <v>0</v>
      </c>
      <c r="K4198" s="29">
        <f>IF($F4198=6.3,$H4198*$B$25,0)</f>
        <v>0</v>
      </c>
      <c r="L4198" s="29">
        <f>IF($F4198=8,$H4198*$B$26,0)</f>
        <v>6.6439000000000004</v>
      </c>
      <c r="M4198" s="29">
        <f>IF($F4198=10,$H4198*$B$27,0)</f>
        <v>0</v>
      </c>
      <c r="N4198" s="29">
        <f>IF($F4198=12.5,$H4198*$B$28,0)</f>
        <v>0</v>
      </c>
      <c r="O4198" s="29">
        <f>IF($F4198=16,$H4198*$B$29,0)</f>
        <v>0</v>
      </c>
      <c r="P4198" s="29">
        <f>IF($F4198=20,$H4198*$B$30,0)</f>
        <v>0</v>
      </c>
      <c r="Q4198" s="37">
        <f>IF($F4198=25,$H4198*$B$31,0)</f>
        <v>0</v>
      </c>
    </row>
    <row r="4199" spans="4:17" s="62" customFormat="1" x14ac:dyDescent="0.3">
      <c r="D4199" s="235">
        <v>4</v>
      </c>
      <c r="E4199" s="240">
        <v>2</v>
      </c>
      <c r="F4199" s="241">
        <v>8</v>
      </c>
      <c r="G4199" s="242">
        <v>11.98</v>
      </c>
      <c r="H4199" s="239">
        <f>E4199*G4199</f>
        <v>23.96</v>
      </c>
      <c r="I4199" s="122">
        <f>IF($F4199=4.2,H4199*$B$23,0)</f>
        <v>0</v>
      </c>
      <c r="J4199" s="29">
        <f>IF($F4199=5,$H4199*$B$24,0)</f>
        <v>0</v>
      </c>
      <c r="K4199" s="29">
        <f>IF($F4199=6.3,$H4199*$B$25,0)</f>
        <v>0</v>
      </c>
      <c r="L4199" s="29">
        <f>IF($F4199=8,$H4199*$B$26,0)</f>
        <v>9.4641999999999999</v>
      </c>
      <c r="M4199" s="29">
        <f>IF($F4199=10,$H4199*$B$27,0)</f>
        <v>0</v>
      </c>
      <c r="N4199" s="29">
        <f>IF($F4199=12.5,$H4199*$B$28,0)</f>
        <v>0</v>
      </c>
      <c r="O4199" s="29">
        <f>IF($F4199=16,$H4199*$B$29,0)</f>
        <v>0</v>
      </c>
      <c r="P4199" s="29">
        <f>IF($F4199=20,$H4199*$B$30,0)</f>
        <v>0</v>
      </c>
      <c r="Q4199" s="37">
        <f>IF($F4199=25,$H4199*$B$31,0)</f>
        <v>0</v>
      </c>
    </row>
    <row r="4200" spans="4:17" s="62" customFormat="1" x14ac:dyDescent="0.3">
      <c r="D4200" s="235">
        <v>5</v>
      </c>
      <c r="E4200" s="240">
        <v>2</v>
      </c>
      <c r="F4200" s="241">
        <v>8</v>
      </c>
      <c r="G4200" s="242">
        <v>4.53</v>
      </c>
      <c r="H4200" s="239">
        <f>E4200*G4200</f>
        <v>9.06</v>
      </c>
      <c r="I4200" s="122">
        <f>IF($F4200=4.2,H4200*$B$23,0)</f>
        <v>0</v>
      </c>
      <c r="J4200" s="29">
        <f>IF($F4200=5,$H4200*$B$24,0)</f>
        <v>0</v>
      </c>
      <c r="K4200" s="29">
        <f>IF($F4200=6.3,$H4200*$B$25,0)</f>
        <v>0</v>
      </c>
      <c r="L4200" s="29">
        <f>IF($F4200=8,$H4200*$B$26,0)</f>
        <v>3.5787000000000004</v>
      </c>
      <c r="M4200" s="29">
        <f>IF($F4200=10,$H4200*$B$27,0)</f>
        <v>0</v>
      </c>
      <c r="N4200" s="29">
        <f>IF($F4200=12.5,$H4200*$B$28,0)</f>
        <v>0</v>
      </c>
      <c r="O4200" s="29">
        <f>IF($F4200=16,$H4200*$B$29,0)</f>
        <v>0</v>
      </c>
      <c r="P4200" s="29">
        <f>IF($F4200=20,$H4200*$B$30,0)</f>
        <v>0</v>
      </c>
      <c r="Q4200" s="37">
        <f>IF($F4200=25,$H4200*$B$31,0)</f>
        <v>0</v>
      </c>
    </row>
    <row r="4201" spans="4:17" s="62" customFormat="1" x14ac:dyDescent="0.3">
      <c r="D4201" s="307"/>
      <c r="E4201" s="26"/>
      <c r="F4201" s="206"/>
      <c r="G4201" s="207"/>
      <c r="H4201" s="207"/>
      <c r="I4201" s="51"/>
      <c r="J4201" s="308"/>
      <c r="K4201" s="308"/>
      <c r="L4201" s="308"/>
      <c r="M4201" s="308"/>
      <c r="N4201" s="308"/>
      <c r="O4201" s="308"/>
      <c r="P4201" s="308"/>
      <c r="Q4201" s="309"/>
    </row>
    <row r="4202" spans="4:17" s="62" customFormat="1" x14ac:dyDescent="0.3">
      <c r="D4202" s="790" t="s">
        <v>1633</v>
      </c>
      <c r="E4202" s="791"/>
      <c r="F4202" s="791"/>
      <c r="G4202" s="791"/>
      <c r="H4202" s="791"/>
      <c r="I4202" s="175">
        <f t="shared" ref="I4202:Q4202" si="4852">SUM(I4203:I4207)</f>
        <v>0</v>
      </c>
      <c r="J4202" s="175">
        <f t="shared" si="4852"/>
        <v>21.786380000000001</v>
      </c>
      <c r="K4202" s="175">
        <f t="shared" si="4852"/>
        <v>0</v>
      </c>
      <c r="L4202" s="175">
        <f t="shared" si="4852"/>
        <v>26.338600000000003</v>
      </c>
      <c r="M4202" s="175">
        <f t="shared" si="4852"/>
        <v>0</v>
      </c>
      <c r="N4202" s="175">
        <f t="shared" si="4852"/>
        <v>0</v>
      </c>
      <c r="O4202" s="175">
        <f t="shared" si="4852"/>
        <v>0</v>
      </c>
      <c r="P4202" s="175">
        <f t="shared" si="4852"/>
        <v>0</v>
      </c>
      <c r="Q4202" s="175">
        <f t="shared" si="4852"/>
        <v>0</v>
      </c>
    </row>
    <row r="4203" spans="4:17" s="62" customFormat="1" x14ac:dyDescent="0.3">
      <c r="D4203" s="235">
        <v>1</v>
      </c>
      <c r="E4203" s="237">
        <v>301</v>
      </c>
      <c r="F4203" s="238">
        <v>5</v>
      </c>
      <c r="G4203" s="242">
        <v>0.47</v>
      </c>
      <c r="H4203" s="239">
        <f>E4203*G4203</f>
        <v>141.47</v>
      </c>
      <c r="I4203" s="122">
        <f>IF($F4203=4.2,H4203*$B$23,0)</f>
        <v>0</v>
      </c>
      <c r="J4203" s="29">
        <f>IF($F4203=5,$H4203*$B$24,0)</f>
        <v>21.786380000000001</v>
      </c>
      <c r="K4203" s="29">
        <f>IF($F4203=6.3,$H4203*$B$25,0)</f>
        <v>0</v>
      </c>
      <c r="L4203" s="29">
        <f>IF($F4203=8,$H4203*$B$26,0)</f>
        <v>0</v>
      </c>
      <c r="M4203" s="29">
        <f>IF($F4203=10,$H4203*$B$27,0)</f>
        <v>0</v>
      </c>
      <c r="N4203" s="29">
        <f>IF($F4203=12.5,$H4203*$B$28,0)</f>
        <v>0</v>
      </c>
      <c r="O4203" s="29">
        <f>IF($F4203=16,$H4203*$B$29,0)</f>
        <v>0</v>
      </c>
      <c r="P4203" s="29">
        <f>IF($F4203=20,$H4203*$B$30,0)</f>
        <v>0</v>
      </c>
      <c r="Q4203" s="37">
        <f>IF($F4203=25,$H4203*$B$31,0)</f>
        <v>0</v>
      </c>
    </row>
    <row r="4204" spans="4:17" s="62" customFormat="1" x14ac:dyDescent="0.3">
      <c r="D4204" s="235">
        <v>2</v>
      </c>
      <c r="E4204" s="240">
        <v>2</v>
      </c>
      <c r="F4204" s="241">
        <v>8</v>
      </c>
      <c r="G4204" s="242">
        <v>10.210000000000001</v>
      </c>
      <c r="H4204" s="239">
        <f>E4204*G4204</f>
        <v>20.420000000000002</v>
      </c>
      <c r="I4204" s="122">
        <f>IF($F4204=4.2,H4204*$B$23,0)</f>
        <v>0</v>
      </c>
      <c r="J4204" s="29">
        <f>IF($F4204=5,$H4204*$B$24,0)</f>
        <v>0</v>
      </c>
      <c r="K4204" s="29">
        <f>IF($F4204=6.3,$H4204*$B$25,0)</f>
        <v>0</v>
      </c>
      <c r="L4204" s="29">
        <f>IF($F4204=8,$H4204*$B$26,0)</f>
        <v>8.065900000000001</v>
      </c>
      <c r="M4204" s="29">
        <f>IF($F4204=10,$H4204*$B$27,0)</f>
        <v>0</v>
      </c>
      <c r="N4204" s="29">
        <f>IF($F4204=12.5,$H4204*$B$28,0)</f>
        <v>0</v>
      </c>
      <c r="O4204" s="29">
        <f>IF($F4204=16,$H4204*$B$29,0)</f>
        <v>0</v>
      </c>
      <c r="P4204" s="29">
        <f>IF($F4204=20,$H4204*$B$30,0)</f>
        <v>0</v>
      </c>
      <c r="Q4204" s="37">
        <f>IF($F4204=25,$H4204*$B$31,0)</f>
        <v>0</v>
      </c>
    </row>
    <row r="4205" spans="4:17" s="62" customFormat="1" x14ac:dyDescent="0.3">
      <c r="D4205" s="235">
        <v>6</v>
      </c>
      <c r="E4205" s="240">
        <v>2</v>
      </c>
      <c r="F4205" s="241">
        <v>8</v>
      </c>
      <c r="G4205" s="242">
        <v>6.51</v>
      </c>
      <c r="H4205" s="239">
        <f>E4205*G4205</f>
        <v>13.02</v>
      </c>
      <c r="I4205" s="122">
        <f>IF($F4205=4.2,H4205*$B$23,0)</f>
        <v>0</v>
      </c>
      <c r="J4205" s="29">
        <f>IF($F4205=5,$H4205*$B$24,0)</f>
        <v>0</v>
      </c>
      <c r="K4205" s="29">
        <f>IF($F4205=6.3,$H4205*$B$25,0)</f>
        <v>0</v>
      </c>
      <c r="L4205" s="29">
        <f>IF($F4205=8,$H4205*$B$26,0)</f>
        <v>5.1429</v>
      </c>
      <c r="M4205" s="29">
        <f>IF($F4205=10,$H4205*$B$27,0)</f>
        <v>0</v>
      </c>
      <c r="N4205" s="29">
        <f>IF($F4205=12.5,$H4205*$B$28,0)</f>
        <v>0</v>
      </c>
      <c r="O4205" s="29">
        <f>IF($F4205=16,$H4205*$B$29,0)</f>
        <v>0</v>
      </c>
      <c r="P4205" s="29">
        <f>IF($F4205=20,$H4205*$B$30,0)</f>
        <v>0</v>
      </c>
      <c r="Q4205" s="37">
        <f>IF($F4205=25,$H4205*$B$31,0)</f>
        <v>0</v>
      </c>
    </row>
    <row r="4206" spans="4:17" s="62" customFormat="1" x14ac:dyDescent="0.3">
      <c r="D4206" s="235">
        <v>7</v>
      </c>
      <c r="E4206" s="240">
        <v>2</v>
      </c>
      <c r="F4206" s="241">
        <v>8</v>
      </c>
      <c r="G4206" s="242">
        <v>11.98</v>
      </c>
      <c r="H4206" s="239">
        <f>E4206*G4206</f>
        <v>23.96</v>
      </c>
      <c r="I4206" s="122">
        <f>IF($F4206=4.2,H4206*$B$23,0)</f>
        <v>0</v>
      </c>
      <c r="J4206" s="29">
        <f>IF($F4206=5,$H4206*$B$24,0)</f>
        <v>0</v>
      </c>
      <c r="K4206" s="29">
        <f>IF($F4206=6.3,$H4206*$B$25,0)</f>
        <v>0</v>
      </c>
      <c r="L4206" s="29">
        <f>IF($F4206=8,$H4206*$B$26,0)</f>
        <v>9.4641999999999999</v>
      </c>
      <c r="M4206" s="29">
        <f>IF($F4206=10,$H4206*$B$27,0)</f>
        <v>0</v>
      </c>
      <c r="N4206" s="29">
        <f>IF($F4206=12.5,$H4206*$B$28,0)</f>
        <v>0</v>
      </c>
      <c r="O4206" s="29">
        <f>IF($F4206=16,$H4206*$B$29,0)</f>
        <v>0</v>
      </c>
      <c r="P4206" s="29">
        <f>IF($F4206=20,$H4206*$B$30,0)</f>
        <v>0</v>
      </c>
      <c r="Q4206" s="37">
        <f>IF($F4206=25,$H4206*$B$31,0)</f>
        <v>0</v>
      </c>
    </row>
    <row r="4207" spans="4:17" s="62" customFormat="1" x14ac:dyDescent="0.3">
      <c r="D4207" s="235">
        <v>8</v>
      </c>
      <c r="E4207" s="240">
        <v>2</v>
      </c>
      <c r="F4207" s="241">
        <v>8</v>
      </c>
      <c r="G4207" s="242">
        <v>4.6399999999999997</v>
      </c>
      <c r="H4207" s="239">
        <f>E4207*G4207</f>
        <v>9.2799999999999994</v>
      </c>
      <c r="I4207" s="122">
        <f>IF($F4207=4.2,H4207*$B$23,0)</f>
        <v>0</v>
      </c>
      <c r="J4207" s="29">
        <f>IF($F4207=5,$H4207*$B$24,0)</f>
        <v>0</v>
      </c>
      <c r="K4207" s="29">
        <f>IF($F4207=6.3,$H4207*$B$25,0)</f>
        <v>0</v>
      </c>
      <c r="L4207" s="29">
        <f>IF($F4207=8,$H4207*$B$26,0)</f>
        <v>3.6656</v>
      </c>
      <c r="M4207" s="29">
        <f>IF($F4207=10,$H4207*$B$27,0)</f>
        <v>0</v>
      </c>
      <c r="N4207" s="29">
        <f>IF($F4207=12.5,$H4207*$B$28,0)</f>
        <v>0</v>
      </c>
      <c r="O4207" s="29">
        <f>IF($F4207=16,$H4207*$B$29,0)</f>
        <v>0</v>
      </c>
      <c r="P4207" s="29">
        <f>IF($F4207=20,$H4207*$B$30,0)</f>
        <v>0</v>
      </c>
      <c r="Q4207" s="37">
        <f>IF($F4207=25,$H4207*$B$31,0)</f>
        <v>0</v>
      </c>
    </row>
    <row r="4208" spans="4:17" s="62" customFormat="1" x14ac:dyDescent="0.3">
      <c r="D4208" s="307"/>
      <c r="E4208" s="26"/>
      <c r="F4208" s="206"/>
      <c r="G4208" s="207"/>
      <c r="H4208" s="207"/>
      <c r="I4208" s="51"/>
      <c r="J4208" s="308"/>
      <c r="K4208" s="308"/>
      <c r="L4208" s="308"/>
      <c r="M4208" s="308"/>
      <c r="N4208" s="308"/>
      <c r="O4208" s="308"/>
      <c r="P4208" s="308"/>
      <c r="Q4208" s="309"/>
    </row>
    <row r="4209" spans="2:20" s="62" customFormat="1" x14ac:dyDescent="0.3">
      <c r="D4209" s="790" t="s">
        <v>1634</v>
      </c>
      <c r="E4209" s="791"/>
      <c r="F4209" s="791"/>
      <c r="G4209" s="791"/>
      <c r="H4209" s="791"/>
      <c r="I4209" s="175">
        <f t="shared" ref="I4209:Q4209" si="4853">SUM(I4210:I4214)</f>
        <v>0</v>
      </c>
      <c r="J4209" s="175">
        <f t="shared" si="4853"/>
        <v>27.938679999999998</v>
      </c>
      <c r="K4209" s="175">
        <f t="shared" si="4853"/>
        <v>0</v>
      </c>
      <c r="L4209" s="175">
        <f t="shared" si="4853"/>
        <v>34.286000000000001</v>
      </c>
      <c r="M4209" s="175">
        <f t="shared" si="4853"/>
        <v>0</v>
      </c>
      <c r="N4209" s="175">
        <f t="shared" si="4853"/>
        <v>0</v>
      </c>
      <c r="O4209" s="175">
        <f t="shared" si="4853"/>
        <v>0</v>
      </c>
      <c r="P4209" s="175">
        <f t="shared" si="4853"/>
        <v>0</v>
      </c>
      <c r="Q4209" s="175">
        <f t="shared" si="4853"/>
        <v>0</v>
      </c>
    </row>
    <row r="4210" spans="2:20" s="62" customFormat="1" x14ac:dyDescent="0.3">
      <c r="D4210" s="235">
        <v>1</v>
      </c>
      <c r="E4210" s="237">
        <f>2*193</f>
        <v>386</v>
      </c>
      <c r="F4210" s="238">
        <v>5</v>
      </c>
      <c r="G4210" s="242">
        <v>0.47</v>
      </c>
      <c r="H4210" s="239">
        <f>E4210*G4210</f>
        <v>181.42</v>
      </c>
      <c r="I4210" s="122">
        <f>IF($F4210=4.2,H4210*$B$23,0)</f>
        <v>0</v>
      </c>
      <c r="J4210" s="29">
        <f>IF($F4210=5,$H4210*$B$24,0)</f>
        <v>27.938679999999998</v>
      </c>
      <c r="K4210" s="29">
        <f>IF($F4210=6.3,$H4210*$B$25,0)</f>
        <v>0</v>
      </c>
      <c r="L4210" s="29">
        <f>IF($F4210=8,$H4210*$B$26,0)</f>
        <v>0</v>
      </c>
      <c r="M4210" s="29">
        <f>IF($F4210=10,$H4210*$B$27,0)</f>
        <v>0</v>
      </c>
      <c r="N4210" s="29">
        <f>IF($F4210=12.5,$H4210*$B$28,0)</f>
        <v>0</v>
      </c>
      <c r="O4210" s="29">
        <f>IF($F4210=16,$H4210*$B$29,0)</f>
        <v>0</v>
      </c>
      <c r="P4210" s="29">
        <f>IF($F4210=20,$H4210*$B$30,0)</f>
        <v>0</v>
      </c>
      <c r="Q4210" s="37">
        <f>IF($F4210=25,$H4210*$B$31,0)</f>
        <v>0</v>
      </c>
    </row>
    <row r="4211" spans="2:20" s="62" customFormat="1" x14ac:dyDescent="0.3">
      <c r="D4211" s="235">
        <v>9</v>
      </c>
      <c r="E4211" s="240">
        <f>2*2</f>
        <v>4</v>
      </c>
      <c r="F4211" s="241">
        <v>8</v>
      </c>
      <c r="G4211" s="242">
        <v>10.81</v>
      </c>
      <c r="H4211" s="239">
        <f>E4211*G4211</f>
        <v>43.24</v>
      </c>
      <c r="I4211" s="122">
        <f>IF($F4211=4.2,H4211*$B$23,0)</f>
        <v>0</v>
      </c>
      <c r="J4211" s="29">
        <f>IF($F4211=5,$H4211*$B$24,0)</f>
        <v>0</v>
      </c>
      <c r="K4211" s="29">
        <f>IF($F4211=6.3,$H4211*$B$25,0)</f>
        <v>0</v>
      </c>
      <c r="L4211" s="29">
        <f>IF($F4211=8,$H4211*$B$26,0)</f>
        <v>17.079800000000002</v>
      </c>
      <c r="M4211" s="29">
        <f>IF($F4211=10,$H4211*$B$27,0)</f>
        <v>0</v>
      </c>
      <c r="N4211" s="29">
        <f>IF($F4211=12.5,$H4211*$B$28,0)</f>
        <v>0</v>
      </c>
      <c r="O4211" s="29">
        <f>IF($F4211=16,$H4211*$B$29,0)</f>
        <v>0</v>
      </c>
      <c r="P4211" s="29">
        <f>IF($F4211=20,$H4211*$B$30,0)</f>
        <v>0</v>
      </c>
      <c r="Q4211" s="37">
        <f>IF($F4211=25,$H4211*$B$31,0)</f>
        <v>0</v>
      </c>
    </row>
    <row r="4212" spans="2:20" s="62" customFormat="1" x14ac:dyDescent="0.3">
      <c r="D4212" s="235">
        <v>10</v>
      </c>
      <c r="E4212" s="240">
        <f>2*2</f>
        <v>4</v>
      </c>
      <c r="F4212" s="241">
        <v>8</v>
      </c>
      <c r="G4212" s="242">
        <v>10.89</v>
      </c>
      <c r="H4212" s="239">
        <f>E4212*G4212</f>
        <v>43.56</v>
      </c>
      <c r="I4212" s="122">
        <f>IF($F4212=4.2,H4212*$B$23,0)</f>
        <v>0</v>
      </c>
      <c r="J4212" s="29">
        <f>IF($F4212=5,$H4212*$B$24,0)</f>
        <v>0</v>
      </c>
      <c r="K4212" s="29">
        <f>IF($F4212=6.3,$H4212*$B$25,0)</f>
        <v>0</v>
      </c>
      <c r="L4212" s="29">
        <f>IF($F4212=8,$H4212*$B$26,0)</f>
        <v>17.206200000000003</v>
      </c>
      <c r="M4212" s="29">
        <f>IF($F4212=10,$H4212*$B$27,0)</f>
        <v>0</v>
      </c>
      <c r="N4212" s="29">
        <f>IF($F4212=12.5,$H4212*$B$28,0)</f>
        <v>0</v>
      </c>
      <c r="O4212" s="29">
        <f>IF($F4212=16,$H4212*$B$29,0)</f>
        <v>0</v>
      </c>
      <c r="P4212" s="29">
        <f>IF($F4212=20,$H4212*$B$30,0)</f>
        <v>0</v>
      </c>
      <c r="Q4212" s="37">
        <f>IF($F4212=25,$H4212*$B$31,0)</f>
        <v>0</v>
      </c>
    </row>
    <row r="4213" spans="2:20" s="62" customFormat="1" x14ac:dyDescent="0.3">
      <c r="D4213" s="235"/>
      <c r="E4213" s="240"/>
      <c r="F4213" s="241"/>
      <c r="G4213" s="242"/>
      <c r="H4213" s="239">
        <f>E4213*G4213</f>
        <v>0</v>
      </c>
      <c r="I4213" s="122">
        <f>IF($F4213=4.2,H4213*$B$23,0)</f>
        <v>0</v>
      </c>
      <c r="J4213" s="29">
        <f>IF($F4213=5,$H4213*$B$24,0)</f>
        <v>0</v>
      </c>
      <c r="K4213" s="29">
        <f>IF($F4213=6.3,$H4213*$B$25,0)</f>
        <v>0</v>
      </c>
      <c r="L4213" s="29">
        <f>IF($F4213=8,$H4213*$B$26,0)</f>
        <v>0</v>
      </c>
      <c r="M4213" s="29">
        <f>IF($F4213=10,$H4213*$B$27,0)</f>
        <v>0</v>
      </c>
      <c r="N4213" s="29">
        <f>IF($F4213=12.5,$H4213*$B$28,0)</f>
        <v>0</v>
      </c>
      <c r="O4213" s="29">
        <f>IF($F4213=16,$H4213*$B$29,0)</f>
        <v>0</v>
      </c>
      <c r="P4213" s="29">
        <f>IF($F4213=20,$H4213*$B$30,0)</f>
        <v>0</v>
      </c>
      <c r="Q4213" s="37">
        <f>IF($F4213=25,$H4213*$B$31,0)</f>
        <v>0</v>
      </c>
    </row>
    <row r="4214" spans="2:20" s="62" customFormat="1" x14ac:dyDescent="0.3">
      <c r="D4214" s="235"/>
      <c r="E4214" s="240"/>
      <c r="F4214" s="241"/>
      <c r="G4214" s="242"/>
      <c r="H4214" s="239">
        <f>E4214*G4214</f>
        <v>0</v>
      </c>
      <c r="I4214" s="122">
        <f>IF($F4214=4.2,H4214*$B$23,0)</f>
        <v>0</v>
      </c>
      <c r="J4214" s="29">
        <f>IF($F4214=5,$H4214*$B$24,0)</f>
        <v>0</v>
      </c>
      <c r="K4214" s="29">
        <f>IF($F4214=6.3,$H4214*$B$25,0)</f>
        <v>0</v>
      </c>
      <c r="L4214" s="29">
        <f>IF($F4214=8,$H4214*$B$26,0)</f>
        <v>0</v>
      </c>
      <c r="M4214" s="29">
        <f>IF($F4214=10,$H4214*$B$27,0)</f>
        <v>0</v>
      </c>
      <c r="N4214" s="29">
        <f>IF($F4214=12.5,$H4214*$B$28,0)</f>
        <v>0</v>
      </c>
      <c r="O4214" s="29">
        <f>IF($F4214=16,$H4214*$B$29,0)</f>
        <v>0</v>
      </c>
      <c r="P4214" s="29">
        <f>IF($F4214=20,$H4214*$B$30,0)</f>
        <v>0</v>
      </c>
      <c r="Q4214" s="37">
        <f>IF($F4214=25,$H4214*$B$31,0)</f>
        <v>0</v>
      </c>
    </row>
    <row r="4215" spans="2:20" s="62" customFormat="1" x14ac:dyDescent="0.3">
      <c r="D4215" s="307"/>
      <c r="E4215" s="26"/>
      <c r="F4215" s="206"/>
      <c r="G4215" s="207"/>
      <c r="H4215" s="207"/>
      <c r="I4215" s="51"/>
      <c r="J4215" s="308"/>
      <c r="K4215" s="308"/>
      <c r="L4215" s="308"/>
      <c r="M4215" s="308"/>
      <c r="N4215" s="308"/>
      <c r="O4215" s="308"/>
      <c r="P4215" s="308"/>
      <c r="Q4215" s="309"/>
    </row>
    <row r="4216" spans="2:20" s="62" customFormat="1" x14ac:dyDescent="0.3">
      <c r="D4216" s="790" t="s">
        <v>1635</v>
      </c>
      <c r="E4216" s="791"/>
      <c r="F4216" s="791"/>
      <c r="G4216" s="791"/>
      <c r="H4216" s="791"/>
      <c r="I4216" s="175">
        <f t="shared" ref="I4216:Q4216" si="4854">SUM(I4217:I4221)</f>
        <v>0</v>
      </c>
      <c r="J4216" s="175">
        <f t="shared" si="4854"/>
        <v>9.26464</v>
      </c>
      <c r="K4216" s="175">
        <f t="shared" si="4854"/>
        <v>0</v>
      </c>
      <c r="L4216" s="175">
        <f t="shared" si="4854"/>
        <v>13.714400000000001</v>
      </c>
      <c r="M4216" s="175">
        <f t="shared" si="4854"/>
        <v>0</v>
      </c>
      <c r="N4216" s="175">
        <f t="shared" si="4854"/>
        <v>0</v>
      </c>
      <c r="O4216" s="175">
        <f t="shared" si="4854"/>
        <v>0</v>
      </c>
      <c r="P4216" s="175">
        <f t="shared" si="4854"/>
        <v>0</v>
      </c>
      <c r="Q4216" s="175">
        <f t="shared" si="4854"/>
        <v>0</v>
      </c>
    </row>
    <row r="4217" spans="2:20" s="62" customFormat="1" x14ac:dyDescent="0.3">
      <c r="D4217" s="235">
        <v>1</v>
      </c>
      <c r="E4217" s="237">
        <f>4*32</f>
        <v>128</v>
      </c>
      <c r="F4217" s="238">
        <v>5</v>
      </c>
      <c r="G4217" s="242">
        <v>0.47</v>
      </c>
      <c r="H4217" s="239">
        <f>E4217*G4217</f>
        <v>60.16</v>
      </c>
      <c r="I4217" s="122">
        <f>IF($F4217=4.2,H4217*$B$23,0)</f>
        <v>0</v>
      </c>
      <c r="J4217" s="29">
        <f>IF($F4217=5,$H4217*$B$24,0)</f>
        <v>9.26464</v>
      </c>
      <c r="K4217" s="29">
        <f>IF($F4217=6.3,$H4217*$B$25,0)</f>
        <v>0</v>
      </c>
      <c r="L4217" s="29">
        <f>IF($F4217=8,$H4217*$B$26,0)</f>
        <v>0</v>
      </c>
      <c r="M4217" s="29">
        <f>IF($F4217=10,$H4217*$B$27,0)</f>
        <v>0</v>
      </c>
      <c r="N4217" s="29">
        <f>IF($F4217=12.5,$H4217*$B$28,0)</f>
        <v>0</v>
      </c>
      <c r="O4217" s="29">
        <f>IF($F4217=16,$H4217*$B$29,0)</f>
        <v>0</v>
      </c>
      <c r="P4217" s="29">
        <f>IF($F4217=20,$H4217*$B$30,0)</f>
        <v>0</v>
      </c>
      <c r="Q4217" s="37">
        <f>IF($F4217=25,$H4217*$B$31,0)</f>
        <v>0</v>
      </c>
    </row>
    <row r="4218" spans="2:20" s="62" customFormat="1" x14ac:dyDescent="0.3">
      <c r="D4218" s="235">
        <v>11</v>
      </c>
      <c r="E4218" s="240">
        <f>4*2</f>
        <v>8</v>
      </c>
      <c r="F4218" s="241">
        <v>8</v>
      </c>
      <c r="G4218" s="242">
        <v>2.09</v>
      </c>
      <c r="H4218" s="239">
        <f>E4218*G4218</f>
        <v>16.72</v>
      </c>
      <c r="I4218" s="122">
        <f>IF($F4218=4.2,H4218*$B$23,0)</f>
        <v>0</v>
      </c>
      <c r="J4218" s="29">
        <f>IF($F4218=5,$H4218*$B$24,0)</f>
        <v>0</v>
      </c>
      <c r="K4218" s="29">
        <f>IF($F4218=6.3,$H4218*$B$25,0)</f>
        <v>0</v>
      </c>
      <c r="L4218" s="29">
        <f>IF($F4218=8,$H4218*$B$26,0)</f>
        <v>6.6044</v>
      </c>
      <c r="M4218" s="29">
        <f>IF($F4218=10,$H4218*$B$27,0)</f>
        <v>0</v>
      </c>
      <c r="N4218" s="29">
        <f>IF($F4218=12.5,$H4218*$B$28,0)</f>
        <v>0</v>
      </c>
      <c r="O4218" s="29">
        <f>IF($F4218=16,$H4218*$B$29,0)</f>
        <v>0</v>
      </c>
      <c r="P4218" s="29">
        <f>IF($F4218=20,$H4218*$B$30,0)</f>
        <v>0</v>
      </c>
      <c r="Q4218" s="37">
        <f>IF($F4218=25,$H4218*$B$31,0)</f>
        <v>0</v>
      </c>
    </row>
    <row r="4219" spans="2:20" s="62" customFormat="1" x14ac:dyDescent="0.3">
      <c r="D4219" s="235">
        <v>12</v>
      </c>
      <c r="E4219" s="240">
        <f>4*2</f>
        <v>8</v>
      </c>
      <c r="F4219" s="241">
        <v>8</v>
      </c>
      <c r="G4219" s="242">
        <v>2.25</v>
      </c>
      <c r="H4219" s="239">
        <f>E4219*G4219</f>
        <v>18</v>
      </c>
      <c r="I4219" s="122">
        <f>IF($F4219=4.2,H4219*$B$23,0)</f>
        <v>0</v>
      </c>
      <c r="J4219" s="29">
        <f>IF($F4219=5,$H4219*$B$24,0)</f>
        <v>0</v>
      </c>
      <c r="K4219" s="29">
        <f>IF($F4219=6.3,$H4219*$B$25,0)</f>
        <v>0</v>
      </c>
      <c r="L4219" s="29">
        <f>IF($F4219=8,$H4219*$B$26,0)</f>
        <v>7.11</v>
      </c>
      <c r="M4219" s="29">
        <f>IF($F4219=10,$H4219*$B$27,0)</f>
        <v>0</v>
      </c>
      <c r="N4219" s="29">
        <f>IF($F4219=12.5,$H4219*$B$28,0)</f>
        <v>0</v>
      </c>
      <c r="O4219" s="29">
        <f>IF($F4219=16,$H4219*$B$29,0)</f>
        <v>0</v>
      </c>
      <c r="P4219" s="29">
        <f>IF($F4219=20,$H4219*$B$30,0)</f>
        <v>0</v>
      </c>
      <c r="Q4219" s="37">
        <f>IF($F4219=25,$H4219*$B$31,0)</f>
        <v>0</v>
      </c>
    </row>
    <row r="4220" spans="2:20" s="62" customFormat="1" x14ac:dyDescent="0.3">
      <c r="D4220" s="235"/>
      <c r="E4220" s="240"/>
      <c r="F4220" s="241"/>
      <c r="G4220" s="242"/>
      <c r="H4220" s="239">
        <f>E4220*G4220</f>
        <v>0</v>
      </c>
      <c r="I4220" s="122">
        <f>IF($F4220=4.2,H4220*$B$23,0)</f>
        <v>0</v>
      </c>
      <c r="J4220" s="29">
        <f>IF($F4220=5,$H4220*$B$24,0)</f>
        <v>0</v>
      </c>
      <c r="K4220" s="29">
        <f>IF($F4220=6.3,$H4220*$B$25,0)</f>
        <v>0</v>
      </c>
      <c r="L4220" s="29">
        <f>IF($F4220=8,$H4220*$B$26,0)</f>
        <v>0</v>
      </c>
      <c r="M4220" s="29">
        <f>IF($F4220=10,$H4220*$B$27,0)</f>
        <v>0</v>
      </c>
      <c r="N4220" s="29">
        <f>IF($F4220=12.5,$H4220*$B$28,0)</f>
        <v>0</v>
      </c>
      <c r="O4220" s="29">
        <f>IF($F4220=16,$H4220*$B$29,0)</f>
        <v>0</v>
      </c>
      <c r="P4220" s="29">
        <f>IF($F4220=20,$H4220*$B$30,0)</f>
        <v>0</v>
      </c>
      <c r="Q4220" s="37">
        <f>IF($F4220=25,$H4220*$B$31,0)</f>
        <v>0</v>
      </c>
    </row>
    <row r="4221" spans="2:20" s="62" customFormat="1" x14ac:dyDescent="0.3">
      <c r="D4221" s="235"/>
      <c r="E4221" s="240"/>
      <c r="F4221" s="241"/>
      <c r="G4221" s="242"/>
      <c r="H4221" s="239">
        <f>E4221*G4221</f>
        <v>0</v>
      </c>
      <c r="I4221" s="122">
        <f>IF($F4221=4.2,H4221*$B$23,0)</f>
        <v>0</v>
      </c>
      <c r="J4221" s="29">
        <f>IF($F4221=5,$H4221*$B$24,0)</f>
        <v>0</v>
      </c>
      <c r="K4221" s="29">
        <f>IF($F4221=6.3,$H4221*$B$25,0)</f>
        <v>0</v>
      </c>
      <c r="L4221" s="29">
        <f>IF($F4221=8,$H4221*$B$26,0)</f>
        <v>0</v>
      </c>
      <c r="M4221" s="29">
        <f>IF($F4221=10,$H4221*$B$27,0)</f>
        <v>0</v>
      </c>
      <c r="N4221" s="29">
        <f>IF($F4221=12.5,$H4221*$B$28,0)</f>
        <v>0</v>
      </c>
      <c r="O4221" s="29">
        <f>IF($F4221=16,$H4221*$B$29,0)</f>
        <v>0</v>
      </c>
      <c r="P4221" s="29">
        <f>IF($F4221=20,$H4221*$B$30,0)</f>
        <v>0</v>
      </c>
      <c r="Q4221" s="37">
        <f>IF($F4221=25,$H4221*$B$31,0)</f>
        <v>0</v>
      </c>
    </row>
    <row r="4222" spans="2:20" s="16" customFormat="1" ht="15" customHeight="1" thickBot="1" x14ac:dyDescent="0.3">
      <c r="B4222" s="34"/>
      <c r="D4222" s="307"/>
      <c r="E4222" s="26"/>
      <c r="F4222" s="206"/>
      <c r="G4222" s="207"/>
      <c r="H4222" s="207"/>
      <c r="I4222" s="51"/>
      <c r="J4222" s="308"/>
      <c r="K4222" s="308"/>
      <c r="L4222" s="308"/>
      <c r="M4222" s="308"/>
      <c r="N4222" s="308"/>
      <c r="O4222" s="308"/>
      <c r="P4222" s="308"/>
      <c r="Q4222" s="309"/>
      <c r="S4222" s="795"/>
      <c r="T4222" s="795"/>
    </row>
    <row r="4223" spans="2:20" s="62" customFormat="1" ht="15" thickBot="1" x14ac:dyDescent="0.35">
      <c r="D4223" s="792" t="s">
        <v>740</v>
      </c>
      <c r="E4223" s="793"/>
      <c r="F4223" s="793"/>
      <c r="G4223" s="793"/>
      <c r="H4223" s="793"/>
      <c r="I4223" s="793"/>
      <c r="J4223" s="793"/>
      <c r="K4223" s="793"/>
      <c r="L4223" s="793"/>
      <c r="M4223" s="793"/>
      <c r="N4223" s="793"/>
      <c r="O4223" s="793"/>
      <c r="P4223" s="793"/>
      <c r="Q4223" s="794"/>
    </row>
    <row r="4224" spans="2:20" s="62" customFormat="1" x14ac:dyDescent="0.3">
      <c r="D4224" s="790" t="s">
        <v>1760</v>
      </c>
      <c r="E4224" s="791"/>
      <c r="F4224" s="791"/>
      <c r="G4224" s="791"/>
      <c r="H4224" s="791"/>
      <c r="I4224" s="175">
        <f t="shared" ref="I4224:Q4224" si="4855">SUM(I4225:I4227)</f>
        <v>0</v>
      </c>
      <c r="J4224" s="175">
        <f t="shared" si="4855"/>
        <v>5.5008799999999995</v>
      </c>
      <c r="K4224" s="175">
        <f t="shared" si="4855"/>
        <v>0</v>
      </c>
      <c r="L4224" s="175">
        <f t="shared" si="4855"/>
        <v>6.6676000000000002</v>
      </c>
      <c r="M4224" s="175">
        <f t="shared" si="4855"/>
        <v>0</v>
      </c>
      <c r="N4224" s="175">
        <f t="shared" si="4855"/>
        <v>0</v>
      </c>
      <c r="O4224" s="175">
        <f t="shared" si="4855"/>
        <v>0</v>
      </c>
      <c r="P4224" s="175">
        <f t="shared" si="4855"/>
        <v>0</v>
      </c>
      <c r="Q4224" s="175">
        <f t="shared" si="4855"/>
        <v>0</v>
      </c>
    </row>
    <row r="4225" spans="4:17" s="62" customFormat="1" x14ac:dyDescent="0.3">
      <c r="D4225" s="235">
        <v>27</v>
      </c>
      <c r="E4225" s="237">
        <v>76</v>
      </c>
      <c r="F4225" s="238">
        <v>5</v>
      </c>
      <c r="G4225" s="242">
        <v>0.47</v>
      </c>
      <c r="H4225" s="239">
        <f>E4225*G4225</f>
        <v>35.72</v>
      </c>
      <c r="I4225" s="122">
        <f>IF($F4225=4.2,H4225*$B$23,0)</f>
        <v>0</v>
      </c>
      <c r="J4225" s="29">
        <f>IF($F4225=5,$H4225*$B$24,0)</f>
        <v>5.5008799999999995</v>
      </c>
      <c r="K4225" s="29">
        <f>IF($F4225=6.3,$H4225*$B$25,0)</f>
        <v>0</v>
      </c>
      <c r="L4225" s="29">
        <f>IF($F4225=8,$H4225*$B$26,0)</f>
        <v>0</v>
      </c>
      <c r="M4225" s="29">
        <f>IF($F4225=10,$H4225*$B$27,0)</f>
        <v>0</v>
      </c>
      <c r="N4225" s="29">
        <f>IF($F4225=12.5,$H4225*$B$28,0)</f>
        <v>0</v>
      </c>
      <c r="O4225" s="29">
        <f>IF($F4225=16,$H4225*$B$29,0)</f>
        <v>0</v>
      </c>
      <c r="P4225" s="29">
        <f>IF($F4225=20,$H4225*$B$30,0)</f>
        <v>0</v>
      </c>
      <c r="Q4225" s="37">
        <f>IF($F4225=25,$H4225*$B$31,0)</f>
        <v>0</v>
      </c>
    </row>
    <row r="4226" spans="4:17" s="62" customFormat="1" x14ac:dyDescent="0.3">
      <c r="D4226" s="235">
        <v>39</v>
      </c>
      <c r="E4226" s="240">
        <v>2</v>
      </c>
      <c r="F4226" s="241">
        <v>8</v>
      </c>
      <c r="G4226" s="242">
        <v>4.09</v>
      </c>
      <c r="H4226" s="239">
        <f>E4226*G4226</f>
        <v>8.18</v>
      </c>
      <c r="I4226" s="122">
        <f>IF($F4226=4.2,H4226*$B$23,0)</f>
        <v>0</v>
      </c>
      <c r="J4226" s="29">
        <f>IF($F4226=5,$H4226*$B$24,0)</f>
        <v>0</v>
      </c>
      <c r="K4226" s="29">
        <f>IF($F4226=6.3,$H4226*$B$25,0)</f>
        <v>0</v>
      </c>
      <c r="L4226" s="29">
        <f>IF($F4226=8,$H4226*$B$26,0)</f>
        <v>3.2311000000000001</v>
      </c>
      <c r="M4226" s="29">
        <f>IF($F4226=10,$H4226*$B$27,0)</f>
        <v>0</v>
      </c>
      <c r="N4226" s="29">
        <f>IF($F4226=12.5,$H4226*$B$28,0)</f>
        <v>0</v>
      </c>
      <c r="O4226" s="29">
        <f>IF($F4226=16,$H4226*$B$29,0)</f>
        <v>0</v>
      </c>
      <c r="P4226" s="29">
        <f>IF($F4226=20,$H4226*$B$30,0)</f>
        <v>0</v>
      </c>
      <c r="Q4226" s="37">
        <f>IF($F4226=25,$H4226*$B$31,0)</f>
        <v>0</v>
      </c>
    </row>
    <row r="4227" spans="4:17" s="62" customFormat="1" x14ac:dyDescent="0.3">
      <c r="D4227" s="235">
        <v>40</v>
      </c>
      <c r="E4227" s="240">
        <v>2</v>
      </c>
      <c r="F4227" s="241">
        <v>8</v>
      </c>
      <c r="G4227" s="242">
        <v>4.3499999999999996</v>
      </c>
      <c r="H4227" s="239">
        <f>E4227*G4227</f>
        <v>8.6999999999999993</v>
      </c>
      <c r="I4227" s="122">
        <f>IF($F4227=4.2,H4227*$B$23,0)</f>
        <v>0</v>
      </c>
      <c r="J4227" s="29">
        <f>IF($F4227=5,$H4227*$B$24,0)</f>
        <v>0</v>
      </c>
      <c r="K4227" s="29">
        <f>IF($F4227=6.3,$H4227*$B$25,0)</f>
        <v>0</v>
      </c>
      <c r="L4227" s="29">
        <f>IF($F4227=8,$H4227*$B$26,0)</f>
        <v>3.4364999999999997</v>
      </c>
      <c r="M4227" s="29">
        <f>IF($F4227=10,$H4227*$B$27,0)</f>
        <v>0</v>
      </c>
      <c r="N4227" s="29">
        <f>IF($F4227=12.5,$H4227*$B$28,0)</f>
        <v>0</v>
      </c>
      <c r="O4227" s="29">
        <f>IF($F4227=16,$H4227*$B$29,0)</f>
        <v>0</v>
      </c>
      <c r="P4227" s="29">
        <f>IF($F4227=20,$H4227*$B$30,0)</f>
        <v>0</v>
      </c>
      <c r="Q4227" s="37">
        <f>IF($F4227=25,$H4227*$B$31,0)</f>
        <v>0</v>
      </c>
    </row>
    <row r="4228" spans="4:17" s="62" customFormat="1" x14ac:dyDescent="0.3">
      <c r="D4228" s="307"/>
      <c r="E4228" s="26"/>
      <c r="F4228" s="206"/>
      <c r="G4228" s="207"/>
      <c r="H4228" s="207"/>
      <c r="I4228" s="51"/>
      <c r="J4228" s="308"/>
      <c r="K4228" s="308"/>
      <c r="L4228" s="308"/>
      <c r="M4228" s="308"/>
      <c r="N4228" s="308"/>
      <c r="O4228" s="308"/>
      <c r="P4228" s="308"/>
      <c r="Q4228" s="309"/>
    </row>
    <row r="4229" spans="4:17" s="62" customFormat="1" x14ac:dyDescent="0.3">
      <c r="D4229" s="790" t="s">
        <v>1761</v>
      </c>
      <c r="E4229" s="791"/>
      <c r="F4229" s="791"/>
      <c r="G4229" s="791"/>
      <c r="H4229" s="791"/>
      <c r="I4229" s="175">
        <f t="shared" ref="I4229:Q4229" si="4856">SUM(I4230:I4232)</f>
        <v>0</v>
      </c>
      <c r="J4229" s="175">
        <f t="shared" si="4856"/>
        <v>11.363659999999999</v>
      </c>
      <c r="K4229" s="175">
        <f t="shared" si="4856"/>
        <v>0</v>
      </c>
      <c r="L4229" s="175">
        <f t="shared" si="4856"/>
        <v>12.9481</v>
      </c>
      <c r="M4229" s="175">
        <f t="shared" si="4856"/>
        <v>0</v>
      </c>
      <c r="N4229" s="175">
        <f t="shared" si="4856"/>
        <v>0</v>
      </c>
      <c r="O4229" s="175">
        <f t="shared" si="4856"/>
        <v>0</v>
      </c>
      <c r="P4229" s="175">
        <f t="shared" si="4856"/>
        <v>0</v>
      </c>
      <c r="Q4229" s="175">
        <f t="shared" si="4856"/>
        <v>0</v>
      </c>
    </row>
    <row r="4230" spans="4:17" s="62" customFormat="1" x14ac:dyDescent="0.3">
      <c r="D4230" s="235">
        <v>27</v>
      </c>
      <c r="E4230" s="237">
        <v>157</v>
      </c>
      <c r="F4230" s="238">
        <v>5</v>
      </c>
      <c r="G4230" s="242">
        <v>0.47</v>
      </c>
      <c r="H4230" s="239">
        <f>E4230*G4230</f>
        <v>73.789999999999992</v>
      </c>
      <c r="I4230" s="122">
        <f>IF($F4230=4.2,H4230*$B$23,0)</f>
        <v>0</v>
      </c>
      <c r="J4230" s="29">
        <f>IF($F4230=5,$H4230*$B$24,0)</f>
        <v>11.363659999999999</v>
      </c>
      <c r="K4230" s="29">
        <f>IF($F4230=6.3,$H4230*$B$25,0)</f>
        <v>0</v>
      </c>
      <c r="L4230" s="29">
        <f>IF($F4230=8,$H4230*$B$26,0)</f>
        <v>0</v>
      </c>
      <c r="M4230" s="29">
        <f>IF($F4230=10,$H4230*$B$27,0)</f>
        <v>0</v>
      </c>
      <c r="N4230" s="29">
        <f>IF($F4230=12.5,$H4230*$B$28,0)</f>
        <v>0</v>
      </c>
      <c r="O4230" s="29">
        <f>IF($F4230=16,$H4230*$B$29,0)</f>
        <v>0</v>
      </c>
      <c r="P4230" s="29">
        <f>IF($F4230=20,$H4230*$B$30,0)</f>
        <v>0</v>
      </c>
      <c r="Q4230" s="37">
        <f>IF($F4230=25,$H4230*$B$31,0)</f>
        <v>0</v>
      </c>
    </row>
    <row r="4231" spans="4:17" s="62" customFormat="1" x14ac:dyDescent="0.3">
      <c r="D4231" s="235">
        <v>41</v>
      </c>
      <c r="E4231" s="240">
        <v>2</v>
      </c>
      <c r="F4231" s="241">
        <v>8</v>
      </c>
      <c r="G4231" s="242">
        <v>8.09</v>
      </c>
      <c r="H4231" s="239">
        <f>E4231*G4231</f>
        <v>16.18</v>
      </c>
      <c r="I4231" s="122">
        <f>IF($F4231=4.2,H4231*$B$23,0)</f>
        <v>0</v>
      </c>
      <c r="J4231" s="29">
        <f>IF($F4231=5,$H4231*$B$24,0)</f>
        <v>0</v>
      </c>
      <c r="K4231" s="29">
        <f>IF($F4231=6.3,$H4231*$B$25,0)</f>
        <v>0</v>
      </c>
      <c r="L4231" s="29">
        <f>IF($F4231=8,$H4231*$B$26,0)</f>
        <v>6.3910999999999998</v>
      </c>
      <c r="M4231" s="29">
        <f>IF($F4231=10,$H4231*$B$27,0)</f>
        <v>0</v>
      </c>
      <c r="N4231" s="29">
        <f>IF($F4231=12.5,$H4231*$B$28,0)</f>
        <v>0</v>
      </c>
      <c r="O4231" s="29">
        <f>IF($F4231=16,$H4231*$B$29,0)</f>
        <v>0</v>
      </c>
      <c r="P4231" s="29">
        <f>IF($F4231=20,$H4231*$B$30,0)</f>
        <v>0</v>
      </c>
      <c r="Q4231" s="37">
        <f>IF($F4231=25,$H4231*$B$31,0)</f>
        <v>0</v>
      </c>
    </row>
    <row r="4232" spans="4:17" s="62" customFormat="1" x14ac:dyDescent="0.3">
      <c r="D4232" s="235">
        <v>42</v>
      </c>
      <c r="E4232" s="240">
        <v>2</v>
      </c>
      <c r="F4232" s="241">
        <v>8</v>
      </c>
      <c r="G4232" s="242">
        <v>8.3000000000000007</v>
      </c>
      <c r="H4232" s="239">
        <f>E4232*G4232</f>
        <v>16.600000000000001</v>
      </c>
      <c r="I4232" s="122">
        <f>IF($F4232=4.2,H4232*$B$23,0)</f>
        <v>0</v>
      </c>
      <c r="J4232" s="29">
        <f>IF($F4232=5,$H4232*$B$24,0)</f>
        <v>0</v>
      </c>
      <c r="K4232" s="29">
        <f>IF($F4232=6.3,$H4232*$B$25,0)</f>
        <v>0</v>
      </c>
      <c r="L4232" s="29">
        <f>IF($F4232=8,$H4232*$B$26,0)</f>
        <v>6.5570000000000013</v>
      </c>
      <c r="M4232" s="29">
        <f>IF($F4232=10,$H4232*$B$27,0)</f>
        <v>0</v>
      </c>
      <c r="N4232" s="29">
        <f>IF($F4232=12.5,$H4232*$B$28,0)</f>
        <v>0</v>
      </c>
      <c r="O4232" s="29">
        <f>IF($F4232=16,$H4232*$B$29,0)</f>
        <v>0</v>
      </c>
      <c r="P4232" s="29">
        <f>IF($F4232=20,$H4232*$B$30,0)</f>
        <v>0</v>
      </c>
      <c r="Q4232" s="37">
        <f>IF($F4232=25,$H4232*$B$31,0)</f>
        <v>0</v>
      </c>
    </row>
    <row r="4233" spans="4:17" s="62" customFormat="1" x14ac:dyDescent="0.3">
      <c r="D4233" s="307"/>
      <c r="E4233" s="26"/>
      <c r="F4233" s="206"/>
      <c r="G4233" s="207"/>
      <c r="H4233" s="207"/>
      <c r="I4233" s="51"/>
      <c r="J4233" s="308"/>
      <c r="K4233" s="308"/>
      <c r="L4233" s="308"/>
      <c r="M4233" s="308"/>
      <c r="N4233" s="308"/>
      <c r="O4233" s="308"/>
      <c r="P4233" s="308"/>
      <c r="Q4233" s="309"/>
    </row>
    <row r="4234" spans="4:17" s="62" customFormat="1" x14ac:dyDescent="0.3">
      <c r="D4234" s="790" t="s">
        <v>1762</v>
      </c>
      <c r="E4234" s="791"/>
      <c r="F4234" s="791"/>
      <c r="G4234" s="791"/>
      <c r="H4234" s="791"/>
      <c r="I4234" s="175">
        <f t="shared" ref="I4234:Q4234" si="4857">SUM(I4235:I4237)</f>
        <v>0</v>
      </c>
      <c r="J4234" s="175">
        <f t="shared" si="4857"/>
        <v>5.5732599999999994</v>
      </c>
      <c r="K4234" s="175">
        <f t="shared" si="4857"/>
        <v>0</v>
      </c>
      <c r="L4234" s="175">
        <f t="shared" si="4857"/>
        <v>6.6913</v>
      </c>
      <c r="M4234" s="175">
        <f t="shared" si="4857"/>
        <v>0</v>
      </c>
      <c r="N4234" s="175">
        <f t="shared" si="4857"/>
        <v>0</v>
      </c>
      <c r="O4234" s="175">
        <f t="shared" si="4857"/>
        <v>0</v>
      </c>
      <c r="P4234" s="175">
        <f t="shared" si="4857"/>
        <v>0</v>
      </c>
      <c r="Q4234" s="175">
        <f t="shared" si="4857"/>
        <v>0</v>
      </c>
    </row>
    <row r="4235" spans="4:17" s="62" customFormat="1" x14ac:dyDescent="0.3">
      <c r="D4235" s="235">
        <v>27</v>
      </c>
      <c r="E4235" s="237">
        <v>77</v>
      </c>
      <c r="F4235" s="238">
        <v>5</v>
      </c>
      <c r="G4235" s="242">
        <v>0.47</v>
      </c>
      <c r="H4235" s="239">
        <f>E4235*G4235</f>
        <v>36.19</v>
      </c>
      <c r="I4235" s="122">
        <f>IF($F4235=4.2,H4235*$B$23,0)</f>
        <v>0</v>
      </c>
      <c r="J4235" s="29">
        <f>IF($F4235=5,$H4235*$B$24,0)</f>
        <v>5.5732599999999994</v>
      </c>
      <c r="K4235" s="29">
        <f>IF($F4235=6.3,$H4235*$B$25,0)</f>
        <v>0</v>
      </c>
      <c r="L4235" s="29">
        <f>IF($F4235=8,$H4235*$B$26,0)</f>
        <v>0</v>
      </c>
      <c r="M4235" s="29">
        <f>IF($F4235=10,$H4235*$B$27,0)</f>
        <v>0</v>
      </c>
      <c r="N4235" s="29">
        <f>IF($F4235=12.5,$H4235*$B$28,0)</f>
        <v>0</v>
      </c>
      <c r="O4235" s="29">
        <f>IF($F4235=16,$H4235*$B$29,0)</f>
        <v>0</v>
      </c>
      <c r="P4235" s="29">
        <f>IF($F4235=20,$H4235*$B$30,0)</f>
        <v>0</v>
      </c>
      <c r="Q4235" s="37">
        <f>IF($F4235=25,$H4235*$B$31,0)</f>
        <v>0</v>
      </c>
    </row>
    <row r="4236" spans="4:17" s="62" customFormat="1" x14ac:dyDescent="0.3">
      <c r="D4236" s="235">
        <v>43</v>
      </c>
      <c r="E4236" s="240">
        <v>2</v>
      </c>
      <c r="F4236" s="241">
        <v>8</v>
      </c>
      <c r="G4236" s="242">
        <v>4.1399999999999997</v>
      </c>
      <c r="H4236" s="239">
        <f>E4236*G4236</f>
        <v>8.2799999999999994</v>
      </c>
      <c r="I4236" s="122">
        <f>IF($F4236=4.2,H4236*$B$23,0)</f>
        <v>0</v>
      </c>
      <c r="J4236" s="29">
        <f>IF($F4236=5,$H4236*$B$24,0)</f>
        <v>0</v>
      </c>
      <c r="K4236" s="29">
        <f>IF($F4236=6.3,$H4236*$B$25,0)</f>
        <v>0</v>
      </c>
      <c r="L4236" s="29">
        <f>IF($F4236=8,$H4236*$B$26,0)</f>
        <v>3.2706</v>
      </c>
      <c r="M4236" s="29">
        <f>IF($F4236=10,$H4236*$B$27,0)</f>
        <v>0</v>
      </c>
      <c r="N4236" s="29">
        <f>IF($F4236=12.5,$H4236*$B$28,0)</f>
        <v>0</v>
      </c>
      <c r="O4236" s="29">
        <f>IF($F4236=16,$H4236*$B$29,0)</f>
        <v>0</v>
      </c>
      <c r="P4236" s="29">
        <f>IF($F4236=20,$H4236*$B$30,0)</f>
        <v>0</v>
      </c>
      <c r="Q4236" s="37">
        <f>IF($F4236=25,$H4236*$B$31,0)</f>
        <v>0</v>
      </c>
    </row>
    <row r="4237" spans="4:17" s="62" customFormat="1" x14ac:dyDescent="0.3">
      <c r="D4237" s="235">
        <v>44</v>
      </c>
      <c r="E4237" s="240">
        <v>2</v>
      </c>
      <c r="F4237" s="241">
        <v>8</v>
      </c>
      <c r="G4237" s="242">
        <v>4.33</v>
      </c>
      <c r="H4237" s="239">
        <f>E4237*G4237</f>
        <v>8.66</v>
      </c>
      <c r="I4237" s="122">
        <f>IF($F4237=4.2,H4237*$B$23,0)</f>
        <v>0</v>
      </c>
      <c r="J4237" s="29">
        <f>IF($F4237=5,$H4237*$B$24,0)</f>
        <v>0</v>
      </c>
      <c r="K4237" s="29">
        <f>IF($F4237=6.3,$H4237*$B$25,0)</f>
        <v>0</v>
      </c>
      <c r="L4237" s="29">
        <f>IF($F4237=8,$H4237*$B$26,0)</f>
        <v>3.4207000000000001</v>
      </c>
      <c r="M4237" s="29">
        <f>IF($F4237=10,$H4237*$B$27,0)</f>
        <v>0</v>
      </c>
      <c r="N4237" s="29">
        <f>IF($F4237=12.5,$H4237*$B$28,0)</f>
        <v>0</v>
      </c>
      <c r="O4237" s="29">
        <f>IF($F4237=16,$H4237*$B$29,0)</f>
        <v>0</v>
      </c>
      <c r="P4237" s="29">
        <f>IF($F4237=20,$H4237*$B$30,0)</f>
        <v>0</v>
      </c>
      <c r="Q4237" s="37">
        <f>IF($F4237=25,$H4237*$B$31,0)</f>
        <v>0</v>
      </c>
    </row>
    <row r="4238" spans="4:17" s="62" customFormat="1" x14ac:dyDescent="0.3">
      <c r="D4238" s="307"/>
      <c r="E4238" s="26"/>
      <c r="F4238" s="206"/>
      <c r="G4238" s="207"/>
      <c r="H4238" s="207"/>
      <c r="I4238" s="51"/>
      <c r="J4238" s="308"/>
      <c r="K4238" s="308"/>
      <c r="L4238" s="308"/>
      <c r="M4238" s="308"/>
      <c r="N4238" s="308"/>
      <c r="O4238" s="308"/>
      <c r="P4238" s="308"/>
      <c r="Q4238" s="309"/>
    </row>
    <row r="4239" spans="4:17" s="62" customFormat="1" x14ac:dyDescent="0.3">
      <c r="D4239" s="790" t="s">
        <v>1763</v>
      </c>
      <c r="E4239" s="791"/>
      <c r="F4239" s="791"/>
      <c r="G4239" s="791"/>
      <c r="H4239" s="791"/>
      <c r="I4239" s="175">
        <f t="shared" ref="I4239:Q4239" si="4858">SUM(I4240:I4242)</f>
        <v>0</v>
      </c>
      <c r="J4239" s="175">
        <f t="shared" si="4858"/>
        <v>5.5008799999999995</v>
      </c>
      <c r="K4239" s="175">
        <f t="shared" si="4858"/>
        <v>0</v>
      </c>
      <c r="L4239" s="175">
        <f t="shared" si="4858"/>
        <v>6.6044</v>
      </c>
      <c r="M4239" s="175">
        <f t="shared" si="4858"/>
        <v>0</v>
      </c>
      <c r="N4239" s="175">
        <f t="shared" si="4858"/>
        <v>0</v>
      </c>
      <c r="O4239" s="175">
        <f t="shared" si="4858"/>
        <v>0</v>
      </c>
      <c r="P4239" s="175">
        <f t="shared" si="4858"/>
        <v>0</v>
      </c>
      <c r="Q4239" s="175">
        <f t="shared" si="4858"/>
        <v>0</v>
      </c>
    </row>
    <row r="4240" spans="4:17" s="62" customFormat="1" x14ac:dyDescent="0.3">
      <c r="D4240" s="235">
        <v>27</v>
      </c>
      <c r="E4240" s="237">
        <v>76</v>
      </c>
      <c r="F4240" s="238">
        <v>5</v>
      </c>
      <c r="G4240" s="242">
        <v>0.47</v>
      </c>
      <c r="H4240" s="239">
        <f>E4240*G4240</f>
        <v>35.72</v>
      </c>
      <c r="I4240" s="122">
        <f>IF($F4240=4.2,H4240*$B$23,0)</f>
        <v>0</v>
      </c>
      <c r="J4240" s="29">
        <f>IF($F4240=5,$H4240*$B$24,0)</f>
        <v>5.5008799999999995</v>
      </c>
      <c r="K4240" s="29">
        <f>IF($F4240=6.3,$H4240*$B$25,0)</f>
        <v>0</v>
      </c>
      <c r="L4240" s="29">
        <f>IF($F4240=8,$H4240*$B$26,0)</f>
        <v>0</v>
      </c>
      <c r="M4240" s="29">
        <f>IF($F4240=10,$H4240*$B$27,0)</f>
        <v>0</v>
      </c>
      <c r="N4240" s="29">
        <f>IF($F4240=12.5,$H4240*$B$28,0)</f>
        <v>0</v>
      </c>
      <c r="O4240" s="29">
        <f>IF($F4240=16,$H4240*$B$29,0)</f>
        <v>0</v>
      </c>
      <c r="P4240" s="29">
        <f>IF($F4240=20,$H4240*$B$30,0)</f>
        <v>0</v>
      </c>
      <c r="Q4240" s="37">
        <f>IF($F4240=25,$H4240*$B$31,0)</f>
        <v>0</v>
      </c>
    </row>
    <row r="4241" spans="4:17" s="62" customFormat="1" x14ac:dyDescent="0.3">
      <c r="D4241" s="235">
        <v>39</v>
      </c>
      <c r="E4241" s="240">
        <v>2</v>
      </c>
      <c r="F4241" s="241">
        <v>8</v>
      </c>
      <c r="G4241" s="242">
        <v>4.09</v>
      </c>
      <c r="H4241" s="239">
        <f>E4241*G4241</f>
        <v>8.18</v>
      </c>
      <c r="I4241" s="122">
        <f>IF($F4241=4.2,H4241*$B$23,0)</f>
        <v>0</v>
      </c>
      <c r="J4241" s="29">
        <f>IF($F4241=5,$H4241*$B$24,0)</f>
        <v>0</v>
      </c>
      <c r="K4241" s="29">
        <f>IF($F4241=6.3,$H4241*$B$25,0)</f>
        <v>0</v>
      </c>
      <c r="L4241" s="29">
        <f>IF($F4241=8,$H4241*$B$26,0)</f>
        <v>3.2311000000000001</v>
      </c>
      <c r="M4241" s="29">
        <f>IF($F4241=10,$H4241*$B$27,0)</f>
        <v>0</v>
      </c>
      <c r="N4241" s="29">
        <f>IF($F4241=12.5,$H4241*$B$28,0)</f>
        <v>0</v>
      </c>
      <c r="O4241" s="29">
        <f>IF($F4241=16,$H4241*$B$29,0)</f>
        <v>0</v>
      </c>
      <c r="P4241" s="29">
        <f>IF($F4241=20,$H4241*$B$30,0)</f>
        <v>0</v>
      </c>
      <c r="Q4241" s="37">
        <f>IF($F4241=25,$H4241*$B$31,0)</f>
        <v>0</v>
      </c>
    </row>
    <row r="4242" spans="4:17" s="62" customFormat="1" x14ac:dyDescent="0.3">
      <c r="D4242" s="235">
        <v>45</v>
      </c>
      <c r="E4242" s="240">
        <v>2</v>
      </c>
      <c r="F4242" s="241">
        <v>8</v>
      </c>
      <c r="G4242" s="242">
        <v>4.2699999999999996</v>
      </c>
      <c r="H4242" s="239">
        <f>E4242*G4242</f>
        <v>8.5399999999999991</v>
      </c>
      <c r="I4242" s="122">
        <f>IF($F4242=4.2,H4242*$B$23,0)</f>
        <v>0</v>
      </c>
      <c r="J4242" s="29">
        <f>IF($F4242=5,$H4242*$B$24,0)</f>
        <v>0</v>
      </c>
      <c r="K4242" s="29">
        <f>IF($F4242=6.3,$H4242*$B$25,0)</f>
        <v>0</v>
      </c>
      <c r="L4242" s="29">
        <f>IF($F4242=8,$H4242*$B$26,0)</f>
        <v>3.3733</v>
      </c>
      <c r="M4242" s="29">
        <f>IF($F4242=10,$H4242*$B$27,0)</f>
        <v>0</v>
      </c>
      <c r="N4242" s="29">
        <f>IF($F4242=12.5,$H4242*$B$28,0)</f>
        <v>0</v>
      </c>
      <c r="O4242" s="29">
        <f>IF($F4242=16,$H4242*$B$29,0)</f>
        <v>0</v>
      </c>
      <c r="P4242" s="29">
        <f>IF($F4242=20,$H4242*$B$30,0)</f>
        <v>0</v>
      </c>
      <c r="Q4242" s="37">
        <f>IF($F4242=25,$H4242*$B$31,0)</f>
        <v>0</v>
      </c>
    </row>
    <row r="4243" spans="4:17" s="62" customFormat="1" x14ac:dyDescent="0.3">
      <c r="D4243" s="307"/>
      <c r="E4243" s="26"/>
      <c r="F4243" s="206"/>
      <c r="G4243" s="207"/>
      <c r="H4243" s="207"/>
      <c r="I4243" s="51"/>
      <c r="J4243" s="308"/>
      <c r="K4243" s="308"/>
      <c r="L4243" s="308"/>
      <c r="M4243" s="308"/>
      <c r="N4243" s="308"/>
      <c r="O4243" s="308"/>
      <c r="P4243" s="308"/>
      <c r="Q4243" s="309"/>
    </row>
    <row r="4244" spans="4:17" s="62" customFormat="1" x14ac:dyDescent="0.3">
      <c r="D4244" s="790" t="s">
        <v>1764</v>
      </c>
      <c r="E4244" s="791"/>
      <c r="F4244" s="791"/>
      <c r="G4244" s="791"/>
      <c r="H4244" s="791"/>
      <c r="I4244" s="175">
        <f t="shared" ref="I4244:Q4244" si="4859">SUM(I4245:I4247)</f>
        <v>0</v>
      </c>
      <c r="J4244" s="175">
        <f t="shared" si="4859"/>
        <v>11.363659999999999</v>
      </c>
      <c r="K4244" s="175">
        <f t="shared" si="4859"/>
        <v>0</v>
      </c>
      <c r="L4244" s="175">
        <f t="shared" si="4859"/>
        <v>12.9086</v>
      </c>
      <c r="M4244" s="175">
        <f t="shared" si="4859"/>
        <v>0</v>
      </c>
      <c r="N4244" s="175">
        <f t="shared" si="4859"/>
        <v>0</v>
      </c>
      <c r="O4244" s="175">
        <f t="shared" si="4859"/>
        <v>0</v>
      </c>
      <c r="P4244" s="175">
        <f t="shared" si="4859"/>
        <v>0</v>
      </c>
      <c r="Q4244" s="175">
        <f t="shared" si="4859"/>
        <v>0</v>
      </c>
    </row>
    <row r="4245" spans="4:17" s="62" customFormat="1" x14ac:dyDescent="0.3">
      <c r="D4245" s="235">
        <v>27</v>
      </c>
      <c r="E4245" s="237">
        <v>157</v>
      </c>
      <c r="F4245" s="238">
        <v>5</v>
      </c>
      <c r="G4245" s="242">
        <v>0.47</v>
      </c>
      <c r="H4245" s="239">
        <f>E4245*G4245</f>
        <v>73.789999999999992</v>
      </c>
      <c r="I4245" s="122">
        <f>IF($F4245=4.2,H4245*$B$23,0)</f>
        <v>0</v>
      </c>
      <c r="J4245" s="29">
        <f>IF($F4245=5,$H4245*$B$24,0)</f>
        <v>11.363659999999999</v>
      </c>
      <c r="K4245" s="29">
        <f>IF($F4245=6.3,$H4245*$B$25,0)</f>
        <v>0</v>
      </c>
      <c r="L4245" s="29">
        <f>IF($F4245=8,$H4245*$B$26,0)</f>
        <v>0</v>
      </c>
      <c r="M4245" s="29">
        <f>IF($F4245=10,$H4245*$B$27,0)</f>
        <v>0</v>
      </c>
      <c r="N4245" s="29">
        <f>IF($F4245=12.5,$H4245*$B$28,0)</f>
        <v>0</v>
      </c>
      <c r="O4245" s="29">
        <f>IF($F4245=16,$H4245*$B$29,0)</f>
        <v>0</v>
      </c>
      <c r="P4245" s="29">
        <f>IF($F4245=20,$H4245*$B$30,0)</f>
        <v>0</v>
      </c>
      <c r="Q4245" s="37">
        <f>IF($F4245=25,$H4245*$B$31,0)</f>
        <v>0</v>
      </c>
    </row>
    <row r="4246" spans="4:17" s="62" customFormat="1" x14ac:dyDescent="0.3">
      <c r="D4246" s="235">
        <v>41</v>
      </c>
      <c r="E4246" s="240">
        <v>2</v>
      </c>
      <c r="F4246" s="241">
        <v>8</v>
      </c>
      <c r="G4246" s="242">
        <v>8.09</v>
      </c>
      <c r="H4246" s="239">
        <f>E4246*G4246</f>
        <v>16.18</v>
      </c>
      <c r="I4246" s="122">
        <f>IF($F4246=4.2,H4246*$B$23,0)</f>
        <v>0</v>
      </c>
      <c r="J4246" s="29">
        <f>IF($F4246=5,$H4246*$B$24,0)</f>
        <v>0</v>
      </c>
      <c r="K4246" s="29">
        <f>IF($F4246=6.3,$H4246*$B$25,0)</f>
        <v>0</v>
      </c>
      <c r="L4246" s="29">
        <f>IF($F4246=8,$H4246*$B$26,0)</f>
        <v>6.3910999999999998</v>
      </c>
      <c r="M4246" s="29">
        <f>IF($F4246=10,$H4246*$B$27,0)</f>
        <v>0</v>
      </c>
      <c r="N4246" s="29">
        <f>IF($F4246=12.5,$H4246*$B$28,0)</f>
        <v>0</v>
      </c>
      <c r="O4246" s="29">
        <f>IF($F4246=16,$H4246*$B$29,0)</f>
        <v>0</v>
      </c>
      <c r="P4246" s="29">
        <f>IF($F4246=20,$H4246*$B$30,0)</f>
        <v>0</v>
      </c>
      <c r="Q4246" s="37">
        <f>IF($F4246=25,$H4246*$B$31,0)</f>
        <v>0</v>
      </c>
    </row>
    <row r="4247" spans="4:17" s="62" customFormat="1" x14ac:dyDescent="0.3">
      <c r="D4247" s="235">
        <v>46</v>
      </c>
      <c r="E4247" s="240">
        <v>2</v>
      </c>
      <c r="F4247" s="241">
        <v>8</v>
      </c>
      <c r="G4247" s="242">
        <v>8.25</v>
      </c>
      <c r="H4247" s="239">
        <f>E4247*G4247</f>
        <v>16.5</v>
      </c>
      <c r="I4247" s="122">
        <f>IF($F4247=4.2,H4247*$B$23,0)</f>
        <v>0</v>
      </c>
      <c r="J4247" s="29">
        <f>IF($F4247=5,$H4247*$B$24,0)</f>
        <v>0</v>
      </c>
      <c r="K4247" s="29">
        <f>IF($F4247=6.3,$H4247*$B$25,0)</f>
        <v>0</v>
      </c>
      <c r="L4247" s="29">
        <f>IF($F4247=8,$H4247*$B$26,0)</f>
        <v>6.5175000000000001</v>
      </c>
      <c r="M4247" s="29">
        <f>IF($F4247=10,$H4247*$B$27,0)</f>
        <v>0</v>
      </c>
      <c r="N4247" s="29">
        <f>IF($F4247=12.5,$H4247*$B$28,0)</f>
        <v>0</v>
      </c>
      <c r="O4247" s="29">
        <f>IF($F4247=16,$H4247*$B$29,0)</f>
        <v>0</v>
      </c>
      <c r="P4247" s="29">
        <f>IF($F4247=20,$H4247*$B$30,0)</f>
        <v>0</v>
      </c>
      <c r="Q4247" s="37">
        <f>IF($F4247=25,$H4247*$B$31,0)</f>
        <v>0</v>
      </c>
    </row>
    <row r="4248" spans="4:17" s="62" customFormat="1" x14ac:dyDescent="0.3">
      <c r="D4248" s="307"/>
      <c r="E4248" s="26"/>
      <c r="F4248" s="206"/>
      <c r="G4248" s="207"/>
      <c r="H4248" s="207"/>
      <c r="I4248" s="51"/>
      <c r="J4248" s="308"/>
      <c r="K4248" s="308"/>
      <c r="L4248" s="308"/>
      <c r="M4248" s="308"/>
      <c r="N4248" s="308"/>
      <c r="O4248" s="308"/>
      <c r="P4248" s="308"/>
      <c r="Q4248" s="309"/>
    </row>
    <row r="4249" spans="4:17" s="62" customFormat="1" x14ac:dyDescent="0.3">
      <c r="D4249" s="790" t="s">
        <v>1765</v>
      </c>
      <c r="E4249" s="791"/>
      <c r="F4249" s="791"/>
      <c r="G4249" s="791"/>
      <c r="H4249" s="791"/>
      <c r="I4249" s="175">
        <f t="shared" ref="I4249:Q4249" si="4860">SUM(I4250:I4252)</f>
        <v>0</v>
      </c>
      <c r="J4249" s="175">
        <f t="shared" si="4860"/>
        <v>5.5732599999999994</v>
      </c>
      <c r="K4249" s="175">
        <f t="shared" si="4860"/>
        <v>0</v>
      </c>
      <c r="L4249" s="175">
        <f t="shared" si="4860"/>
        <v>6.7624000000000004</v>
      </c>
      <c r="M4249" s="175">
        <f t="shared" si="4860"/>
        <v>0</v>
      </c>
      <c r="N4249" s="175">
        <f t="shared" si="4860"/>
        <v>0</v>
      </c>
      <c r="O4249" s="175">
        <f t="shared" si="4860"/>
        <v>0</v>
      </c>
      <c r="P4249" s="175">
        <f t="shared" si="4860"/>
        <v>0</v>
      </c>
      <c r="Q4249" s="175">
        <f t="shared" si="4860"/>
        <v>0</v>
      </c>
    </row>
    <row r="4250" spans="4:17" s="62" customFormat="1" x14ac:dyDescent="0.3">
      <c r="D4250" s="235">
        <v>27</v>
      </c>
      <c r="E4250" s="237">
        <v>77</v>
      </c>
      <c r="F4250" s="238">
        <v>5</v>
      </c>
      <c r="G4250" s="242">
        <v>0.47</v>
      </c>
      <c r="H4250" s="239">
        <f>E4250*G4250</f>
        <v>36.19</v>
      </c>
      <c r="I4250" s="122">
        <f>IF($F4250=4.2,H4250*$B$23,0)</f>
        <v>0</v>
      </c>
      <c r="J4250" s="29">
        <f>IF($F4250=5,$H4250*$B$24,0)</f>
        <v>5.5732599999999994</v>
      </c>
      <c r="K4250" s="29">
        <f>IF($F4250=6.3,$H4250*$B$25,0)</f>
        <v>0</v>
      </c>
      <c r="L4250" s="29">
        <f>IF($F4250=8,$H4250*$B$26,0)</f>
        <v>0</v>
      </c>
      <c r="M4250" s="29">
        <f>IF($F4250=10,$H4250*$B$27,0)</f>
        <v>0</v>
      </c>
      <c r="N4250" s="29">
        <f>IF($F4250=12.5,$H4250*$B$28,0)</f>
        <v>0</v>
      </c>
      <c r="O4250" s="29">
        <f>IF($F4250=16,$H4250*$B$29,0)</f>
        <v>0</v>
      </c>
      <c r="P4250" s="29">
        <f>IF($F4250=20,$H4250*$B$30,0)</f>
        <v>0</v>
      </c>
      <c r="Q4250" s="37">
        <f>IF($F4250=25,$H4250*$B$31,0)</f>
        <v>0</v>
      </c>
    </row>
    <row r="4251" spans="4:17" s="62" customFormat="1" x14ac:dyDescent="0.3">
      <c r="D4251" s="235">
        <v>47</v>
      </c>
      <c r="E4251" s="240">
        <v>2</v>
      </c>
      <c r="F4251" s="241">
        <v>8</v>
      </c>
      <c r="G4251" s="242">
        <v>4.1900000000000004</v>
      </c>
      <c r="H4251" s="239">
        <f>E4251*G4251</f>
        <v>8.3800000000000008</v>
      </c>
      <c r="I4251" s="122">
        <f>IF($F4251=4.2,H4251*$B$23,0)</f>
        <v>0</v>
      </c>
      <c r="J4251" s="29">
        <f>IF($F4251=5,$H4251*$B$24,0)</f>
        <v>0</v>
      </c>
      <c r="K4251" s="29">
        <f>IF($F4251=6.3,$H4251*$B$25,0)</f>
        <v>0</v>
      </c>
      <c r="L4251" s="29">
        <f>IF($F4251=8,$H4251*$B$26,0)</f>
        <v>3.3101000000000003</v>
      </c>
      <c r="M4251" s="29">
        <f>IF($F4251=10,$H4251*$B$27,0)</f>
        <v>0</v>
      </c>
      <c r="N4251" s="29">
        <f>IF($F4251=12.5,$H4251*$B$28,0)</f>
        <v>0</v>
      </c>
      <c r="O4251" s="29">
        <f>IF($F4251=16,$H4251*$B$29,0)</f>
        <v>0</v>
      </c>
      <c r="P4251" s="29">
        <f>IF($F4251=20,$H4251*$B$30,0)</f>
        <v>0</v>
      </c>
      <c r="Q4251" s="37">
        <f>IF($F4251=25,$H4251*$B$31,0)</f>
        <v>0</v>
      </c>
    </row>
    <row r="4252" spans="4:17" s="62" customFormat="1" x14ac:dyDescent="0.3">
      <c r="D4252" s="235">
        <v>48</v>
      </c>
      <c r="E4252" s="240">
        <v>2</v>
      </c>
      <c r="F4252" s="241">
        <v>8</v>
      </c>
      <c r="G4252" s="242">
        <v>4.37</v>
      </c>
      <c r="H4252" s="239">
        <f>E4252*G4252</f>
        <v>8.74</v>
      </c>
      <c r="I4252" s="122">
        <f>IF($F4252=4.2,H4252*$B$23,0)</f>
        <v>0</v>
      </c>
      <c r="J4252" s="29">
        <f>IF($F4252=5,$H4252*$B$24,0)</f>
        <v>0</v>
      </c>
      <c r="K4252" s="29">
        <f>IF($F4252=6.3,$H4252*$B$25,0)</f>
        <v>0</v>
      </c>
      <c r="L4252" s="29">
        <f>IF($F4252=8,$H4252*$B$26,0)</f>
        <v>3.4523000000000001</v>
      </c>
      <c r="M4252" s="29">
        <f>IF($F4252=10,$H4252*$B$27,0)</f>
        <v>0</v>
      </c>
      <c r="N4252" s="29">
        <f>IF($F4252=12.5,$H4252*$B$28,0)</f>
        <v>0</v>
      </c>
      <c r="O4252" s="29">
        <f>IF($F4252=16,$H4252*$B$29,0)</f>
        <v>0</v>
      </c>
      <c r="P4252" s="29">
        <f>IF($F4252=20,$H4252*$B$30,0)</f>
        <v>0</v>
      </c>
      <c r="Q4252" s="37">
        <f>IF($F4252=25,$H4252*$B$31,0)</f>
        <v>0</v>
      </c>
    </row>
    <row r="4253" spans="4:17" s="62" customFormat="1" x14ac:dyDescent="0.3">
      <c r="D4253" s="307"/>
      <c r="E4253" s="26"/>
      <c r="F4253" s="206"/>
      <c r="G4253" s="207"/>
      <c r="H4253" s="207"/>
      <c r="I4253" s="51"/>
      <c r="J4253" s="308"/>
      <c r="K4253" s="308"/>
      <c r="L4253" s="308"/>
      <c r="M4253" s="308"/>
      <c r="N4253" s="308"/>
      <c r="O4253" s="308"/>
      <c r="P4253" s="308"/>
      <c r="Q4253" s="309"/>
    </row>
    <row r="4254" spans="4:17" s="62" customFormat="1" x14ac:dyDescent="0.3">
      <c r="D4254" s="790" t="s">
        <v>1766</v>
      </c>
      <c r="E4254" s="791"/>
      <c r="F4254" s="791"/>
      <c r="G4254" s="791"/>
      <c r="H4254" s="791"/>
      <c r="I4254" s="175">
        <f t="shared" ref="I4254:Q4254" si="4861">SUM(I4255:I4259)</f>
        <v>0</v>
      </c>
      <c r="J4254" s="175">
        <f t="shared" si="4861"/>
        <v>11.001759999999999</v>
      </c>
      <c r="K4254" s="175">
        <f t="shared" si="4861"/>
        <v>6.7081</v>
      </c>
      <c r="L4254" s="175">
        <f t="shared" si="4861"/>
        <v>6.5017000000000005</v>
      </c>
      <c r="M4254" s="175">
        <f t="shared" si="4861"/>
        <v>0</v>
      </c>
      <c r="N4254" s="175">
        <f t="shared" si="4861"/>
        <v>0</v>
      </c>
      <c r="O4254" s="175">
        <f t="shared" si="4861"/>
        <v>0</v>
      </c>
      <c r="P4254" s="175">
        <f t="shared" si="4861"/>
        <v>0</v>
      </c>
      <c r="Q4254" s="175">
        <f t="shared" si="4861"/>
        <v>0</v>
      </c>
    </row>
    <row r="4255" spans="4:17" s="62" customFormat="1" x14ac:dyDescent="0.3">
      <c r="D4255" s="235">
        <v>27</v>
      </c>
      <c r="E4255" s="237">
        <v>152</v>
      </c>
      <c r="F4255" s="238">
        <v>5</v>
      </c>
      <c r="G4255" s="242">
        <v>0.47</v>
      </c>
      <c r="H4255" s="239">
        <f>E4255*G4255</f>
        <v>71.44</v>
      </c>
      <c r="I4255" s="122">
        <f>IF($F4255=4.2,H4255*$B$23,0)</f>
        <v>0</v>
      </c>
      <c r="J4255" s="29">
        <f>IF($F4255=5,$H4255*$B$24,0)</f>
        <v>11.001759999999999</v>
      </c>
      <c r="K4255" s="29">
        <f>IF($F4255=6.3,$H4255*$B$25,0)</f>
        <v>0</v>
      </c>
      <c r="L4255" s="29">
        <f>IF($F4255=8,$H4255*$B$26,0)</f>
        <v>0</v>
      </c>
      <c r="M4255" s="29">
        <f>IF($F4255=10,$H4255*$B$27,0)</f>
        <v>0</v>
      </c>
      <c r="N4255" s="29">
        <f>IF($F4255=12.5,$H4255*$B$28,0)</f>
        <v>0</v>
      </c>
      <c r="O4255" s="29">
        <f>IF($F4255=16,$H4255*$B$29,0)</f>
        <v>0</v>
      </c>
      <c r="P4255" s="29">
        <f>IF($F4255=20,$H4255*$B$30,0)</f>
        <v>0</v>
      </c>
      <c r="Q4255" s="37">
        <f>IF($F4255=25,$H4255*$B$31,0)</f>
        <v>0</v>
      </c>
    </row>
    <row r="4256" spans="4:17" s="62" customFormat="1" x14ac:dyDescent="0.3">
      <c r="D4256" s="235">
        <v>28</v>
      </c>
      <c r="E4256" s="240">
        <v>2</v>
      </c>
      <c r="F4256" s="241">
        <v>6.3</v>
      </c>
      <c r="G4256" s="242">
        <v>2.78</v>
      </c>
      <c r="H4256" s="239">
        <f>E4256*G4256</f>
        <v>5.56</v>
      </c>
      <c r="I4256" s="122">
        <f>IF($F4256=4.2,H4256*$B$23,0)</f>
        <v>0</v>
      </c>
      <c r="J4256" s="29">
        <f>IF($F4256=5,$H4256*$B$24,0)</f>
        <v>0</v>
      </c>
      <c r="K4256" s="29">
        <f>IF($F4256=6.3,$H4256*$B$25,0)</f>
        <v>1.3621999999999999</v>
      </c>
      <c r="L4256" s="29">
        <f>IF($F4256=8,$H4256*$B$26,0)</f>
        <v>0</v>
      </c>
      <c r="M4256" s="29">
        <f>IF($F4256=10,$H4256*$B$27,0)</f>
        <v>0</v>
      </c>
      <c r="N4256" s="29">
        <f>IF($F4256=12.5,$H4256*$B$28,0)</f>
        <v>0</v>
      </c>
      <c r="O4256" s="29">
        <f>IF($F4256=16,$H4256*$B$29,0)</f>
        <v>0</v>
      </c>
      <c r="P4256" s="29">
        <f>IF($F4256=20,$H4256*$B$30,0)</f>
        <v>0</v>
      </c>
      <c r="Q4256" s="37">
        <f>IF($F4256=25,$H4256*$B$31,0)</f>
        <v>0</v>
      </c>
    </row>
    <row r="4257" spans="4:17" s="62" customFormat="1" x14ac:dyDescent="0.3">
      <c r="D4257" s="235">
        <v>29</v>
      </c>
      <c r="E4257" s="240">
        <v>2</v>
      </c>
      <c r="F4257" s="241">
        <v>6.3</v>
      </c>
      <c r="G4257" s="242">
        <v>2.67</v>
      </c>
      <c r="H4257" s="239">
        <f>E4257*G4257</f>
        <v>5.34</v>
      </c>
      <c r="I4257" s="122">
        <f>IF($F4257=4.2,H4257*$B$23,0)</f>
        <v>0</v>
      </c>
      <c r="J4257" s="29">
        <f>IF($F4257=5,$H4257*$B$24,0)</f>
        <v>0</v>
      </c>
      <c r="K4257" s="29">
        <f>IF($F4257=6.3,$H4257*$B$25,0)</f>
        <v>1.3083</v>
      </c>
      <c r="L4257" s="29">
        <f>IF($F4257=8,$H4257*$B$26,0)</f>
        <v>0</v>
      </c>
      <c r="M4257" s="29">
        <f>IF($F4257=10,$H4257*$B$27,0)</f>
        <v>0</v>
      </c>
      <c r="N4257" s="29">
        <f>IF($F4257=12.5,$H4257*$B$28,0)</f>
        <v>0</v>
      </c>
      <c r="O4257" s="29">
        <f>IF($F4257=16,$H4257*$B$29,0)</f>
        <v>0</v>
      </c>
      <c r="P4257" s="29">
        <f>IF($F4257=20,$H4257*$B$30,0)</f>
        <v>0</v>
      </c>
      <c r="Q4257" s="37">
        <f>IF($F4257=25,$H4257*$B$31,0)</f>
        <v>0</v>
      </c>
    </row>
    <row r="4258" spans="4:17" s="62" customFormat="1" x14ac:dyDescent="0.3">
      <c r="D4258" s="235">
        <v>30</v>
      </c>
      <c r="E4258" s="240">
        <v>2</v>
      </c>
      <c r="F4258" s="241">
        <v>6.3</v>
      </c>
      <c r="G4258" s="242">
        <v>8.24</v>
      </c>
      <c r="H4258" s="239">
        <f>E4258*G4258</f>
        <v>16.48</v>
      </c>
      <c r="I4258" s="122">
        <f>IF($F4258=4.2,H4258*$B$23,0)</f>
        <v>0</v>
      </c>
      <c r="J4258" s="29">
        <f>IF($F4258=5,$H4258*$B$24,0)</f>
        <v>0</v>
      </c>
      <c r="K4258" s="29">
        <f>IF($F4258=6.3,$H4258*$B$25,0)</f>
        <v>4.0376000000000003</v>
      </c>
      <c r="L4258" s="29">
        <f>IF($F4258=8,$H4258*$B$26,0)</f>
        <v>0</v>
      </c>
      <c r="M4258" s="29">
        <f>IF($F4258=10,$H4258*$B$27,0)</f>
        <v>0</v>
      </c>
      <c r="N4258" s="29">
        <f>IF($F4258=12.5,$H4258*$B$28,0)</f>
        <v>0</v>
      </c>
      <c r="O4258" s="29">
        <f>IF($F4258=16,$H4258*$B$29,0)</f>
        <v>0</v>
      </c>
      <c r="P4258" s="29">
        <f>IF($F4258=20,$H4258*$B$30,0)</f>
        <v>0</v>
      </c>
      <c r="Q4258" s="37">
        <f>IF($F4258=25,$H4258*$B$31,0)</f>
        <v>0</v>
      </c>
    </row>
    <row r="4259" spans="4:17" s="62" customFormat="1" x14ac:dyDescent="0.3">
      <c r="D4259" s="235">
        <v>49</v>
      </c>
      <c r="E4259" s="240">
        <v>2</v>
      </c>
      <c r="F4259" s="241">
        <v>8</v>
      </c>
      <c r="G4259" s="242">
        <v>8.23</v>
      </c>
      <c r="H4259" s="239">
        <f>E4259*G4259</f>
        <v>16.46</v>
      </c>
      <c r="I4259" s="122">
        <f>IF($F4259=4.2,H4259*$B$23,0)</f>
        <v>0</v>
      </c>
      <c r="J4259" s="29">
        <f>IF($F4259=5,$H4259*$B$24,0)</f>
        <v>0</v>
      </c>
      <c r="K4259" s="29">
        <f>IF($F4259=6.3,$H4259*$B$25,0)</f>
        <v>0</v>
      </c>
      <c r="L4259" s="29">
        <f>IF($F4259=8,$H4259*$B$26,0)</f>
        <v>6.5017000000000005</v>
      </c>
      <c r="M4259" s="29">
        <f>IF($F4259=10,$H4259*$B$27,0)</f>
        <v>0</v>
      </c>
      <c r="N4259" s="29">
        <f>IF($F4259=12.5,$H4259*$B$28,0)</f>
        <v>0</v>
      </c>
      <c r="O4259" s="29">
        <f>IF($F4259=16,$H4259*$B$29,0)</f>
        <v>0</v>
      </c>
      <c r="P4259" s="29">
        <f>IF($F4259=20,$H4259*$B$30,0)</f>
        <v>0</v>
      </c>
      <c r="Q4259" s="37">
        <f>IF($F4259=25,$H4259*$B$31,0)</f>
        <v>0</v>
      </c>
    </row>
    <row r="4260" spans="4:17" s="62" customFormat="1" x14ac:dyDescent="0.3">
      <c r="D4260" s="307"/>
      <c r="E4260" s="26"/>
      <c r="F4260" s="206"/>
      <c r="G4260" s="207"/>
      <c r="H4260" s="207"/>
      <c r="I4260" s="51"/>
      <c r="J4260" s="308"/>
      <c r="K4260" s="308"/>
      <c r="L4260" s="308"/>
      <c r="M4260" s="308"/>
      <c r="N4260" s="308"/>
      <c r="O4260" s="308"/>
      <c r="P4260" s="308"/>
      <c r="Q4260" s="309"/>
    </row>
    <row r="4261" spans="4:17" s="62" customFormat="1" x14ac:dyDescent="0.3">
      <c r="D4261" s="790" t="s">
        <v>1767</v>
      </c>
      <c r="E4261" s="791"/>
      <c r="F4261" s="791"/>
      <c r="G4261" s="791"/>
      <c r="H4261" s="791"/>
      <c r="I4261" s="175">
        <f t="shared" ref="I4261:Q4261" si="4862">SUM(I4262:I4266)</f>
        <v>0</v>
      </c>
      <c r="J4261" s="175">
        <f t="shared" si="4862"/>
        <v>10.422719999999998</v>
      </c>
      <c r="K4261" s="175">
        <f t="shared" si="4862"/>
        <v>6.7179000000000002</v>
      </c>
      <c r="L4261" s="175">
        <f t="shared" si="4862"/>
        <v>6.4464000000000006</v>
      </c>
      <c r="M4261" s="175">
        <f t="shared" si="4862"/>
        <v>0</v>
      </c>
      <c r="N4261" s="175">
        <f t="shared" si="4862"/>
        <v>0</v>
      </c>
      <c r="O4261" s="175">
        <f t="shared" si="4862"/>
        <v>0</v>
      </c>
      <c r="P4261" s="175">
        <f t="shared" si="4862"/>
        <v>0</v>
      </c>
      <c r="Q4261" s="175">
        <f t="shared" si="4862"/>
        <v>0</v>
      </c>
    </row>
    <row r="4262" spans="4:17" s="62" customFormat="1" x14ac:dyDescent="0.3">
      <c r="D4262" s="235">
        <v>27</v>
      </c>
      <c r="E4262" s="237">
        <v>144</v>
      </c>
      <c r="F4262" s="238">
        <v>5</v>
      </c>
      <c r="G4262" s="242">
        <v>0.47</v>
      </c>
      <c r="H4262" s="239">
        <f>E4262*G4262</f>
        <v>67.679999999999993</v>
      </c>
      <c r="I4262" s="122">
        <f>IF($F4262=4.2,H4262*$B$23,0)</f>
        <v>0</v>
      </c>
      <c r="J4262" s="29">
        <f>IF($F4262=5,$H4262*$B$24,0)</f>
        <v>10.422719999999998</v>
      </c>
      <c r="K4262" s="29">
        <f>IF($F4262=6.3,$H4262*$B$25,0)</f>
        <v>0</v>
      </c>
      <c r="L4262" s="29">
        <f>IF($F4262=8,$H4262*$B$26,0)</f>
        <v>0</v>
      </c>
      <c r="M4262" s="29">
        <f>IF($F4262=10,$H4262*$B$27,0)</f>
        <v>0</v>
      </c>
      <c r="N4262" s="29">
        <f>IF($F4262=12.5,$H4262*$B$28,0)</f>
        <v>0</v>
      </c>
      <c r="O4262" s="29">
        <f>IF($F4262=16,$H4262*$B$29,0)</f>
        <v>0</v>
      </c>
      <c r="P4262" s="29">
        <f>IF($F4262=20,$H4262*$B$30,0)</f>
        <v>0</v>
      </c>
      <c r="Q4262" s="37">
        <f>IF($F4262=25,$H4262*$B$31,0)</f>
        <v>0</v>
      </c>
    </row>
    <row r="4263" spans="4:17" s="62" customFormat="1" x14ac:dyDescent="0.3">
      <c r="D4263" s="235">
        <v>31</v>
      </c>
      <c r="E4263" s="240">
        <v>2</v>
      </c>
      <c r="F4263" s="241">
        <v>6.3</v>
      </c>
      <c r="G4263" s="242">
        <v>2.76</v>
      </c>
      <c r="H4263" s="239">
        <f>E4263*G4263</f>
        <v>5.52</v>
      </c>
      <c r="I4263" s="122">
        <f>IF($F4263=4.2,H4263*$B$23,0)</f>
        <v>0</v>
      </c>
      <c r="J4263" s="29">
        <f>IF($F4263=5,$H4263*$B$24,0)</f>
        <v>0</v>
      </c>
      <c r="K4263" s="29">
        <f>IF($F4263=6.3,$H4263*$B$25,0)</f>
        <v>1.3523999999999998</v>
      </c>
      <c r="L4263" s="29">
        <f>IF($F4263=8,$H4263*$B$26,0)</f>
        <v>0</v>
      </c>
      <c r="M4263" s="29">
        <f>IF($F4263=10,$H4263*$B$27,0)</f>
        <v>0</v>
      </c>
      <c r="N4263" s="29">
        <f>IF($F4263=12.5,$H4263*$B$28,0)</f>
        <v>0</v>
      </c>
      <c r="O4263" s="29">
        <f>IF($F4263=16,$H4263*$B$29,0)</f>
        <v>0</v>
      </c>
      <c r="P4263" s="29">
        <f>IF($F4263=20,$H4263*$B$30,0)</f>
        <v>0</v>
      </c>
      <c r="Q4263" s="37">
        <f>IF($F4263=25,$H4263*$B$31,0)</f>
        <v>0</v>
      </c>
    </row>
    <row r="4264" spans="4:17" s="62" customFormat="1" x14ac:dyDescent="0.3">
      <c r="D4264" s="235">
        <v>32</v>
      </c>
      <c r="E4264" s="240">
        <v>2</v>
      </c>
      <c r="F4264" s="241">
        <v>6.3</v>
      </c>
      <c r="G4264" s="242">
        <v>2.68</v>
      </c>
      <c r="H4264" s="239">
        <f>E4264*G4264</f>
        <v>5.36</v>
      </c>
      <c r="I4264" s="122">
        <f>IF($F4264=4.2,H4264*$B$23,0)</f>
        <v>0</v>
      </c>
      <c r="J4264" s="29">
        <f>IF($F4264=5,$H4264*$B$24,0)</f>
        <v>0</v>
      </c>
      <c r="K4264" s="29">
        <f>IF($F4264=6.3,$H4264*$B$25,0)</f>
        <v>1.3132000000000001</v>
      </c>
      <c r="L4264" s="29">
        <f>IF($F4264=8,$H4264*$B$26,0)</f>
        <v>0</v>
      </c>
      <c r="M4264" s="29">
        <f>IF($F4264=10,$H4264*$B$27,0)</f>
        <v>0</v>
      </c>
      <c r="N4264" s="29">
        <f>IF($F4264=12.5,$H4264*$B$28,0)</f>
        <v>0</v>
      </c>
      <c r="O4264" s="29">
        <f>IF($F4264=16,$H4264*$B$29,0)</f>
        <v>0</v>
      </c>
      <c r="P4264" s="29">
        <f>IF($F4264=20,$H4264*$B$30,0)</f>
        <v>0</v>
      </c>
      <c r="Q4264" s="37">
        <f>IF($F4264=25,$H4264*$B$31,0)</f>
        <v>0</v>
      </c>
    </row>
    <row r="4265" spans="4:17" s="62" customFormat="1" x14ac:dyDescent="0.3">
      <c r="D4265" s="235">
        <v>33</v>
      </c>
      <c r="E4265" s="240">
        <v>2</v>
      </c>
      <c r="F4265" s="241">
        <v>6.3</v>
      </c>
      <c r="G4265" s="242">
        <v>8.27</v>
      </c>
      <c r="H4265" s="239">
        <f>E4265*G4265</f>
        <v>16.54</v>
      </c>
      <c r="I4265" s="122">
        <f>IF($F4265=4.2,H4265*$B$23,0)</f>
        <v>0</v>
      </c>
      <c r="J4265" s="29">
        <f>IF($F4265=5,$H4265*$B$24,0)</f>
        <v>0</v>
      </c>
      <c r="K4265" s="29">
        <f>IF($F4265=6.3,$H4265*$B$25,0)</f>
        <v>4.0522999999999998</v>
      </c>
      <c r="L4265" s="29">
        <f>IF($F4265=8,$H4265*$B$26,0)</f>
        <v>0</v>
      </c>
      <c r="M4265" s="29">
        <f>IF($F4265=10,$H4265*$B$27,0)</f>
        <v>0</v>
      </c>
      <c r="N4265" s="29">
        <f>IF($F4265=12.5,$H4265*$B$28,0)</f>
        <v>0</v>
      </c>
      <c r="O4265" s="29">
        <f>IF($F4265=16,$H4265*$B$29,0)</f>
        <v>0</v>
      </c>
      <c r="P4265" s="29">
        <f>IF($F4265=20,$H4265*$B$30,0)</f>
        <v>0</v>
      </c>
      <c r="Q4265" s="37">
        <f>IF($F4265=25,$H4265*$B$31,0)</f>
        <v>0</v>
      </c>
    </row>
    <row r="4266" spans="4:17" s="62" customFormat="1" x14ac:dyDescent="0.3">
      <c r="D4266" s="235">
        <v>50</v>
      </c>
      <c r="E4266" s="240">
        <v>2</v>
      </c>
      <c r="F4266" s="241">
        <v>8</v>
      </c>
      <c r="G4266" s="242">
        <v>8.16</v>
      </c>
      <c r="H4266" s="239">
        <f>E4266*G4266</f>
        <v>16.32</v>
      </c>
      <c r="I4266" s="122">
        <f>IF($F4266=4.2,H4266*$B$23,0)</f>
        <v>0</v>
      </c>
      <c r="J4266" s="29">
        <f>IF($F4266=5,$H4266*$B$24,0)</f>
        <v>0</v>
      </c>
      <c r="K4266" s="29">
        <f>IF($F4266=6.3,$H4266*$B$25,0)</f>
        <v>0</v>
      </c>
      <c r="L4266" s="29">
        <f>IF($F4266=8,$H4266*$B$26,0)</f>
        <v>6.4464000000000006</v>
      </c>
      <c r="M4266" s="29">
        <f>IF($F4266=10,$H4266*$B$27,0)</f>
        <v>0</v>
      </c>
      <c r="N4266" s="29">
        <f>IF($F4266=12.5,$H4266*$B$28,0)</f>
        <v>0</v>
      </c>
      <c r="O4266" s="29">
        <f>IF($F4266=16,$H4266*$B$29,0)</f>
        <v>0</v>
      </c>
      <c r="P4266" s="29">
        <f>IF($F4266=20,$H4266*$B$30,0)</f>
        <v>0</v>
      </c>
      <c r="Q4266" s="37">
        <f>IF($F4266=25,$H4266*$B$31,0)</f>
        <v>0</v>
      </c>
    </row>
    <row r="4267" spans="4:17" s="62" customFormat="1" x14ac:dyDescent="0.3">
      <c r="D4267" s="307"/>
      <c r="E4267" s="26"/>
      <c r="F4267" s="206"/>
      <c r="G4267" s="207"/>
      <c r="H4267" s="207"/>
      <c r="I4267" s="51"/>
      <c r="J4267" s="308"/>
      <c r="K4267" s="308"/>
      <c r="L4267" s="308"/>
      <c r="M4267" s="308"/>
      <c r="N4267" s="308"/>
      <c r="O4267" s="308"/>
      <c r="P4267" s="308"/>
      <c r="Q4267" s="309"/>
    </row>
    <row r="4268" spans="4:17" s="62" customFormat="1" x14ac:dyDescent="0.3">
      <c r="D4268" s="790" t="s">
        <v>1768</v>
      </c>
      <c r="E4268" s="791"/>
      <c r="F4268" s="791"/>
      <c r="G4268" s="791"/>
      <c r="H4268" s="791"/>
      <c r="I4268" s="175">
        <f t="shared" ref="I4268:Q4268" si="4863">SUM(I4269:I4277)</f>
        <v>0</v>
      </c>
      <c r="J4268" s="175">
        <f t="shared" si="4863"/>
        <v>21.786380000000001</v>
      </c>
      <c r="K4268" s="175">
        <f t="shared" si="4863"/>
        <v>10.1724</v>
      </c>
      <c r="L4268" s="175">
        <f t="shared" si="4863"/>
        <v>18.1858</v>
      </c>
      <c r="M4268" s="175">
        <f t="shared" si="4863"/>
        <v>0</v>
      </c>
      <c r="N4268" s="175">
        <f t="shared" si="4863"/>
        <v>0</v>
      </c>
      <c r="O4268" s="175">
        <f t="shared" si="4863"/>
        <v>0</v>
      </c>
      <c r="P4268" s="175">
        <f t="shared" si="4863"/>
        <v>0</v>
      </c>
      <c r="Q4268" s="175">
        <f t="shared" si="4863"/>
        <v>0</v>
      </c>
    </row>
    <row r="4269" spans="4:17" s="62" customFormat="1" x14ac:dyDescent="0.3">
      <c r="D4269" s="235">
        <v>27</v>
      </c>
      <c r="E4269" s="237">
        <v>301</v>
      </c>
      <c r="F4269" s="238">
        <v>5</v>
      </c>
      <c r="G4269" s="242">
        <v>0.47</v>
      </c>
      <c r="H4269" s="239">
        <f t="shared" ref="H4269:H4277" si="4864">E4269*G4269</f>
        <v>141.47</v>
      </c>
      <c r="I4269" s="122">
        <f t="shared" ref="I4269:I4277" si="4865">IF($F4269=4.2,H4269*$B$23,0)</f>
        <v>0</v>
      </c>
      <c r="J4269" s="29">
        <f t="shared" ref="J4269:J4277" si="4866">IF($F4269=5,$H4269*$B$24,0)</f>
        <v>21.786380000000001</v>
      </c>
      <c r="K4269" s="29">
        <f t="shared" ref="K4269:K4277" si="4867">IF($F4269=6.3,$H4269*$B$25,0)</f>
        <v>0</v>
      </c>
      <c r="L4269" s="29">
        <f t="shared" ref="L4269:L4277" si="4868">IF($F4269=8,$H4269*$B$26,0)</f>
        <v>0</v>
      </c>
      <c r="M4269" s="29">
        <f t="shared" ref="M4269:M4277" si="4869">IF($F4269=10,$H4269*$B$27,0)</f>
        <v>0</v>
      </c>
      <c r="N4269" s="29">
        <f t="shared" ref="N4269:N4277" si="4870">IF($F4269=12.5,$H4269*$B$28,0)</f>
        <v>0</v>
      </c>
      <c r="O4269" s="29">
        <f t="shared" ref="O4269:O4277" si="4871">IF($F4269=16,$H4269*$B$29,0)</f>
        <v>0</v>
      </c>
      <c r="P4269" s="29">
        <f t="shared" ref="P4269:P4277" si="4872">IF($F4269=20,$H4269*$B$30,0)</f>
        <v>0</v>
      </c>
      <c r="Q4269" s="37">
        <f t="shared" ref="Q4269:Q4277" si="4873">IF($F4269=25,$H4269*$B$31,0)</f>
        <v>0</v>
      </c>
    </row>
    <row r="4270" spans="4:17" s="62" customFormat="1" x14ac:dyDescent="0.3">
      <c r="D4270" s="235">
        <v>34</v>
      </c>
      <c r="E4270" s="240">
        <v>2</v>
      </c>
      <c r="F4270" s="241">
        <v>6.3</v>
      </c>
      <c r="G4270" s="242">
        <v>3.18</v>
      </c>
      <c r="H4270" s="239">
        <f t="shared" si="4864"/>
        <v>6.36</v>
      </c>
      <c r="I4270" s="122">
        <f t="shared" si="4865"/>
        <v>0</v>
      </c>
      <c r="J4270" s="29">
        <f t="shared" si="4866"/>
        <v>0</v>
      </c>
      <c r="K4270" s="29">
        <f t="shared" si="4867"/>
        <v>1.5582</v>
      </c>
      <c r="L4270" s="29">
        <f t="shared" si="4868"/>
        <v>0</v>
      </c>
      <c r="M4270" s="29">
        <f t="shared" si="4869"/>
        <v>0</v>
      </c>
      <c r="N4270" s="29">
        <f t="shared" si="4870"/>
        <v>0</v>
      </c>
      <c r="O4270" s="29">
        <f t="shared" si="4871"/>
        <v>0</v>
      </c>
      <c r="P4270" s="29">
        <f t="shared" si="4872"/>
        <v>0</v>
      </c>
      <c r="Q4270" s="37">
        <f t="shared" si="4873"/>
        <v>0</v>
      </c>
    </row>
    <row r="4271" spans="4:17" s="62" customFormat="1" x14ac:dyDescent="0.3">
      <c r="D4271" s="235">
        <v>35</v>
      </c>
      <c r="E4271" s="240">
        <v>2</v>
      </c>
      <c r="F4271" s="241">
        <v>6.3</v>
      </c>
      <c r="G4271" s="242">
        <v>2.1</v>
      </c>
      <c r="H4271" s="239">
        <f t="shared" si="4864"/>
        <v>4.2</v>
      </c>
      <c r="I4271" s="122">
        <f t="shared" si="4865"/>
        <v>0</v>
      </c>
      <c r="J4271" s="29">
        <f t="shared" si="4866"/>
        <v>0</v>
      </c>
      <c r="K4271" s="29">
        <f t="shared" si="4867"/>
        <v>1.0289999999999999</v>
      </c>
      <c r="L4271" s="29">
        <f t="shared" si="4868"/>
        <v>0</v>
      </c>
      <c r="M4271" s="29">
        <f t="shared" si="4869"/>
        <v>0</v>
      </c>
      <c r="N4271" s="29">
        <f t="shared" si="4870"/>
        <v>0</v>
      </c>
      <c r="O4271" s="29">
        <f t="shared" si="4871"/>
        <v>0</v>
      </c>
      <c r="P4271" s="29">
        <f t="shared" si="4872"/>
        <v>0</v>
      </c>
      <c r="Q4271" s="37">
        <f t="shared" si="4873"/>
        <v>0</v>
      </c>
    </row>
    <row r="4272" spans="4:17" s="62" customFormat="1" x14ac:dyDescent="0.3">
      <c r="D4272" s="235">
        <v>36</v>
      </c>
      <c r="E4272" s="240">
        <v>2</v>
      </c>
      <c r="F4272" s="241">
        <v>6.3</v>
      </c>
      <c r="G4272" s="242">
        <v>2.87</v>
      </c>
      <c r="H4272" s="239">
        <f t="shared" si="4864"/>
        <v>5.74</v>
      </c>
      <c r="I4272" s="122">
        <f t="shared" si="4865"/>
        <v>0</v>
      </c>
      <c r="J4272" s="29">
        <f t="shared" si="4866"/>
        <v>0</v>
      </c>
      <c r="K4272" s="29">
        <f t="shared" si="4867"/>
        <v>1.4063000000000001</v>
      </c>
      <c r="L4272" s="29">
        <f t="shared" si="4868"/>
        <v>0</v>
      </c>
      <c r="M4272" s="29">
        <f t="shared" si="4869"/>
        <v>0</v>
      </c>
      <c r="N4272" s="29">
        <f t="shared" si="4870"/>
        <v>0</v>
      </c>
      <c r="O4272" s="29">
        <f t="shared" si="4871"/>
        <v>0</v>
      </c>
      <c r="P4272" s="29">
        <f t="shared" si="4872"/>
        <v>0</v>
      </c>
      <c r="Q4272" s="37">
        <f t="shared" si="4873"/>
        <v>0</v>
      </c>
    </row>
    <row r="4273" spans="4:17" s="62" customFormat="1" x14ac:dyDescent="0.3">
      <c r="D4273" s="235">
        <v>37</v>
      </c>
      <c r="E4273" s="240">
        <v>2</v>
      </c>
      <c r="F4273" s="241">
        <v>6.3</v>
      </c>
      <c r="G4273" s="242">
        <v>11.16</v>
      </c>
      <c r="H4273" s="239">
        <f t="shared" si="4864"/>
        <v>22.32</v>
      </c>
      <c r="I4273" s="122">
        <f t="shared" si="4865"/>
        <v>0</v>
      </c>
      <c r="J4273" s="29">
        <f t="shared" si="4866"/>
        <v>0</v>
      </c>
      <c r="K4273" s="29">
        <f t="shared" si="4867"/>
        <v>5.4683999999999999</v>
      </c>
      <c r="L4273" s="29">
        <f t="shared" si="4868"/>
        <v>0</v>
      </c>
      <c r="M4273" s="29">
        <f t="shared" si="4869"/>
        <v>0</v>
      </c>
      <c r="N4273" s="29">
        <f t="shared" si="4870"/>
        <v>0</v>
      </c>
      <c r="O4273" s="29">
        <f t="shared" si="4871"/>
        <v>0</v>
      </c>
      <c r="P4273" s="29">
        <f t="shared" si="4872"/>
        <v>0</v>
      </c>
      <c r="Q4273" s="37">
        <f t="shared" si="4873"/>
        <v>0</v>
      </c>
    </row>
    <row r="4274" spans="4:17" s="62" customFormat="1" x14ac:dyDescent="0.3">
      <c r="D4274" s="235">
        <v>38</v>
      </c>
      <c r="E4274" s="240">
        <v>2</v>
      </c>
      <c r="F4274" s="241">
        <v>6.3</v>
      </c>
      <c r="G4274" s="242">
        <v>1.45</v>
      </c>
      <c r="H4274" s="239">
        <f t="shared" si="4864"/>
        <v>2.9</v>
      </c>
      <c r="I4274" s="122">
        <f t="shared" si="4865"/>
        <v>0</v>
      </c>
      <c r="J4274" s="29">
        <f t="shared" si="4866"/>
        <v>0</v>
      </c>
      <c r="K4274" s="29">
        <f t="shared" si="4867"/>
        <v>0.71050000000000002</v>
      </c>
      <c r="L4274" s="29">
        <f t="shared" si="4868"/>
        <v>0</v>
      </c>
      <c r="M4274" s="29">
        <f t="shared" si="4869"/>
        <v>0</v>
      </c>
      <c r="N4274" s="29">
        <f t="shared" si="4870"/>
        <v>0</v>
      </c>
      <c r="O4274" s="29">
        <f t="shared" si="4871"/>
        <v>0</v>
      </c>
      <c r="P4274" s="29">
        <f t="shared" si="4872"/>
        <v>0</v>
      </c>
      <c r="Q4274" s="37">
        <f t="shared" si="4873"/>
        <v>0</v>
      </c>
    </row>
    <row r="4275" spans="4:17" s="62" customFormat="1" x14ac:dyDescent="0.3">
      <c r="D4275" s="235">
        <v>51</v>
      </c>
      <c r="E4275" s="240">
        <v>2</v>
      </c>
      <c r="F4275" s="241">
        <v>8</v>
      </c>
      <c r="G4275" s="242">
        <v>10.210000000000001</v>
      </c>
      <c r="H4275" s="239">
        <f t="shared" si="4864"/>
        <v>20.420000000000002</v>
      </c>
      <c r="I4275" s="122">
        <f t="shared" si="4865"/>
        <v>0</v>
      </c>
      <c r="J4275" s="29">
        <f t="shared" si="4866"/>
        <v>0</v>
      </c>
      <c r="K4275" s="29">
        <f t="shared" si="4867"/>
        <v>0</v>
      </c>
      <c r="L4275" s="29">
        <f t="shared" si="4868"/>
        <v>8.065900000000001</v>
      </c>
      <c r="M4275" s="29">
        <f t="shared" si="4869"/>
        <v>0</v>
      </c>
      <c r="N4275" s="29">
        <f t="shared" si="4870"/>
        <v>0</v>
      </c>
      <c r="O4275" s="29">
        <f t="shared" si="4871"/>
        <v>0</v>
      </c>
      <c r="P4275" s="29">
        <f t="shared" si="4872"/>
        <v>0</v>
      </c>
      <c r="Q4275" s="37">
        <f t="shared" si="4873"/>
        <v>0</v>
      </c>
    </row>
    <row r="4276" spans="4:17" s="62" customFormat="1" x14ac:dyDescent="0.3">
      <c r="D4276" s="235">
        <v>52</v>
      </c>
      <c r="E4276" s="240">
        <v>2</v>
      </c>
      <c r="F4276" s="241">
        <v>8</v>
      </c>
      <c r="G4276" s="242">
        <v>6.41</v>
      </c>
      <c r="H4276" s="239">
        <f t="shared" si="4864"/>
        <v>12.82</v>
      </c>
      <c r="I4276" s="122">
        <f t="shared" si="4865"/>
        <v>0</v>
      </c>
      <c r="J4276" s="29">
        <f t="shared" si="4866"/>
        <v>0</v>
      </c>
      <c r="K4276" s="29">
        <f t="shared" si="4867"/>
        <v>0</v>
      </c>
      <c r="L4276" s="29">
        <f t="shared" si="4868"/>
        <v>5.0639000000000003</v>
      </c>
      <c r="M4276" s="29">
        <f t="shared" si="4869"/>
        <v>0</v>
      </c>
      <c r="N4276" s="29">
        <f t="shared" si="4870"/>
        <v>0</v>
      </c>
      <c r="O4276" s="29">
        <f t="shared" si="4871"/>
        <v>0</v>
      </c>
      <c r="P4276" s="29">
        <f t="shared" si="4872"/>
        <v>0</v>
      </c>
      <c r="Q4276" s="37">
        <f t="shared" si="4873"/>
        <v>0</v>
      </c>
    </row>
    <row r="4277" spans="4:17" s="62" customFormat="1" x14ac:dyDescent="0.3">
      <c r="D4277" s="235">
        <v>53</v>
      </c>
      <c r="E4277" s="240">
        <v>2</v>
      </c>
      <c r="F4277" s="241">
        <v>8</v>
      </c>
      <c r="G4277" s="242">
        <v>6.4</v>
      </c>
      <c r="H4277" s="239">
        <f t="shared" si="4864"/>
        <v>12.8</v>
      </c>
      <c r="I4277" s="122">
        <f t="shared" si="4865"/>
        <v>0</v>
      </c>
      <c r="J4277" s="29">
        <f t="shared" si="4866"/>
        <v>0</v>
      </c>
      <c r="K4277" s="29">
        <f t="shared" si="4867"/>
        <v>0</v>
      </c>
      <c r="L4277" s="29">
        <f t="shared" si="4868"/>
        <v>5.0560000000000009</v>
      </c>
      <c r="M4277" s="29">
        <f t="shared" si="4869"/>
        <v>0</v>
      </c>
      <c r="N4277" s="29">
        <f t="shared" si="4870"/>
        <v>0</v>
      </c>
      <c r="O4277" s="29">
        <f t="shared" si="4871"/>
        <v>0</v>
      </c>
      <c r="P4277" s="29">
        <f t="shared" si="4872"/>
        <v>0</v>
      </c>
      <c r="Q4277" s="37">
        <f t="shared" si="4873"/>
        <v>0</v>
      </c>
    </row>
    <row r="4278" spans="4:17" s="62" customFormat="1" x14ac:dyDescent="0.3">
      <c r="D4278" s="307"/>
      <c r="E4278" s="26"/>
      <c r="F4278" s="206"/>
      <c r="G4278" s="207"/>
      <c r="H4278" s="207"/>
      <c r="I4278" s="51"/>
      <c r="J4278" s="308"/>
      <c r="K4278" s="308"/>
      <c r="L4278" s="308"/>
      <c r="M4278" s="308"/>
      <c r="N4278" s="308"/>
      <c r="O4278" s="308"/>
      <c r="P4278" s="308"/>
      <c r="Q4278" s="309"/>
    </row>
    <row r="4279" spans="4:17" s="62" customFormat="1" x14ac:dyDescent="0.3">
      <c r="D4279" s="790" t="s">
        <v>1769</v>
      </c>
      <c r="E4279" s="791"/>
      <c r="F4279" s="791"/>
      <c r="G4279" s="791"/>
      <c r="H4279" s="791"/>
      <c r="I4279" s="175">
        <f t="shared" ref="I4279:Q4279" si="4874">SUM(I4280:I4284)</f>
        <v>0</v>
      </c>
      <c r="J4279" s="175">
        <f t="shared" si="4874"/>
        <v>21.786380000000001</v>
      </c>
      <c r="K4279" s="175">
        <f t="shared" si="4874"/>
        <v>0</v>
      </c>
      <c r="L4279" s="175">
        <f t="shared" si="4874"/>
        <v>25.872500000000002</v>
      </c>
      <c r="M4279" s="175">
        <f t="shared" si="4874"/>
        <v>0</v>
      </c>
      <c r="N4279" s="175">
        <f t="shared" si="4874"/>
        <v>0</v>
      </c>
      <c r="O4279" s="175">
        <f t="shared" si="4874"/>
        <v>0</v>
      </c>
      <c r="P4279" s="175">
        <f t="shared" si="4874"/>
        <v>0</v>
      </c>
      <c r="Q4279" s="175">
        <f t="shared" si="4874"/>
        <v>0</v>
      </c>
    </row>
    <row r="4280" spans="4:17" s="62" customFormat="1" x14ac:dyDescent="0.3">
      <c r="D4280" s="235">
        <v>1</v>
      </c>
      <c r="E4280" s="237">
        <v>301</v>
      </c>
      <c r="F4280" s="238">
        <v>5</v>
      </c>
      <c r="G4280" s="242">
        <v>0.47</v>
      </c>
      <c r="H4280" s="239">
        <f>E4280*G4280</f>
        <v>141.47</v>
      </c>
      <c r="I4280" s="122">
        <f>IF($F4280=4.2,H4280*$B$23,0)</f>
        <v>0</v>
      </c>
      <c r="J4280" s="29">
        <f>IF($F4280=5,$H4280*$B$24,0)</f>
        <v>21.786380000000001</v>
      </c>
      <c r="K4280" s="29">
        <f>IF($F4280=6.3,$H4280*$B$25,0)</f>
        <v>0</v>
      </c>
      <c r="L4280" s="29">
        <f>IF($F4280=8,$H4280*$B$26,0)</f>
        <v>0</v>
      </c>
      <c r="M4280" s="29">
        <f>IF($F4280=10,$H4280*$B$27,0)</f>
        <v>0</v>
      </c>
      <c r="N4280" s="29">
        <f>IF($F4280=12.5,$H4280*$B$28,0)</f>
        <v>0</v>
      </c>
      <c r="O4280" s="29">
        <f>IF($F4280=16,$H4280*$B$29,0)</f>
        <v>0</v>
      </c>
      <c r="P4280" s="29">
        <f>IF($F4280=20,$H4280*$B$30,0)</f>
        <v>0</v>
      </c>
      <c r="Q4280" s="37">
        <f>IF($F4280=25,$H4280*$B$31,0)</f>
        <v>0</v>
      </c>
    </row>
    <row r="4281" spans="4:17" s="62" customFormat="1" x14ac:dyDescent="0.3">
      <c r="D4281" s="235">
        <v>7</v>
      </c>
      <c r="E4281" s="240">
        <v>2</v>
      </c>
      <c r="F4281" s="241">
        <v>8</v>
      </c>
      <c r="G4281" s="242">
        <v>9.92</v>
      </c>
      <c r="H4281" s="239">
        <f>E4281*G4281</f>
        <v>19.84</v>
      </c>
      <c r="I4281" s="122">
        <f>IF($F4281=4.2,H4281*$B$23,0)</f>
        <v>0</v>
      </c>
      <c r="J4281" s="29">
        <f>IF($F4281=5,$H4281*$B$24,0)</f>
        <v>0</v>
      </c>
      <c r="K4281" s="29">
        <f>IF($F4281=6.3,$H4281*$B$25,0)</f>
        <v>0</v>
      </c>
      <c r="L4281" s="29">
        <f>IF($F4281=8,$H4281*$B$26,0)</f>
        <v>7.8368000000000002</v>
      </c>
      <c r="M4281" s="29">
        <f>IF($F4281=10,$H4281*$B$27,0)</f>
        <v>0</v>
      </c>
      <c r="N4281" s="29">
        <f>IF($F4281=12.5,$H4281*$B$28,0)</f>
        <v>0</v>
      </c>
      <c r="O4281" s="29">
        <f>IF($F4281=16,$H4281*$B$29,0)</f>
        <v>0</v>
      </c>
      <c r="P4281" s="29">
        <f>IF($F4281=20,$H4281*$B$30,0)</f>
        <v>0</v>
      </c>
      <c r="Q4281" s="37">
        <f>IF($F4281=25,$H4281*$B$31,0)</f>
        <v>0</v>
      </c>
    </row>
    <row r="4282" spans="4:17" s="62" customFormat="1" x14ac:dyDescent="0.3">
      <c r="D4282" s="235">
        <v>8</v>
      </c>
      <c r="E4282" s="240">
        <v>2</v>
      </c>
      <c r="F4282" s="241">
        <v>8</v>
      </c>
      <c r="G4282" s="242">
        <v>6.22</v>
      </c>
      <c r="H4282" s="239">
        <f>E4282*G4282</f>
        <v>12.44</v>
      </c>
      <c r="I4282" s="122">
        <f>IF($F4282=4.2,H4282*$B$23,0)</f>
        <v>0</v>
      </c>
      <c r="J4282" s="29">
        <f>IF($F4282=5,$H4282*$B$24,0)</f>
        <v>0</v>
      </c>
      <c r="K4282" s="29">
        <f>IF($F4282=6.3,$H4282*$B$25,0)</f>
        <v>0</v>
      </c>
      <c r="L4282" s="29">
        <f>IF($F4282=8,$H4282*$B$26,0)</f>
        <v>4.9138000000000002</v>
      </c>
      <c r="M4282" s="29">
        <f>IF($F4282=10,$H4282*$B$27,0)</f>
        <v>0</v>
      </c>
      <c r="N4282" s="29">
        <f>IF($F4282=12.5,$H4282*$B$28,0)</f>
        <v>0</v>
      </c>
      <c r="O4282" s="29">
        <f>IF($F4282=16,$H4282*$B$29,0)</f>
        <v>0</v>
      </c>
      <c r="P4282" s="29">
        <f>IF($F4282=20,$H4282*$B$30,0)</f>
        <v>0</v>
      </c>
      <c r="Q4282" s="37">
        <f>IF($F4282=25,$H4282*$B$31,0)</f>
        <v>0</v>
      </c>
    </row>
    <row r="4283" spans="4:17" s="62" customFormat="1" x14ac:dyDescent="0.3">
      <c r="D4283" s="235">
        <v>9</v>
      </c>
      <c r="E4283" s="240">
        <v>2</v>
      </c>
      <c r="F4283" s="241">
        <v>8</v>
      </c>
      <c r="G4283" s="242">
        <v>11.98</v>
      </c>
      <c r="H4283" s="239">
        <f>E4283*G4283</f>
        <v>23.96</v>
      </c>
      <c r="I4283" s="122">
        <f>IF($F4283=4.2,H4283*$B$23,0)</f>
        <v>0</v>
      </c>
      <c r="J4283" s="29">
        <f>IF($F4283=5,$H4283*$B$24,0)</f>
        <v>0</v>
      </c>
      <c r="K4283" s="29">
        <f>IF($F4283=6.3,$H4283*$B$25,0)</f>
        <v>0</v>
      </c>
      <c r="L4283" s="29">
        <f>IF($F4283=8,$H4283*$B$26,0)</f>
        <v>9.4641999999999999</v>
      </c>
      <c r="M4283" s="29">
        <f>IF($F4283=10,$H4283*$B$27,0)</f>
        <v>0</v>
      </c>
      <c r="N4283" s="29">
        <f>IF($F4283=12.5,$H4283*$B$28,0)</f>
        <v>0</v>
      </c>
      <c r="O4283" s="29">
        <f>IF($F4283=16,$H4283*$B$29,0)</f>
        <v>0</v>
      </c>
      <c r="P4283" s="29">
        <f>IF($F4283=20,$H4283*$B$30,0)</f>
        <v>0</v>
      </c>
      <c r="Q4283" s="37">
        <f>IF($F4283=25,$H4283*$B$31,0)</f>
        <v>0</v>
      </c>
    </row>
    <row r="4284" spans="4:17" s="62" customFormat="1" x14ac:dyDescent="0.3">
      <c r="D4284" s="235">
        <v>10</v>
      </c>
      <c r="E4284" s="240">
        <v>2</v>
      </c>
      <c r="F4284" s="241">
        <v>8</v>
      </c>
      <c r="G4284" s="242">
        <v>4.63</v>
      </c>
      <c r="H4284" s="239">
        <f>E4284*G4284</f>
        <v>9.26</v>
      </c>
      <c r="I4284" s="122">
        <f>IF($F4284=4.2,H4284*$B$23,0)</f>
        <v>0</v>
      </c>
      <c r="J4284" s="29">
        <f>IF($F4284=5,$H4284*$B$24,0)</f>
        <v>0</v>
      </c>
      <c r="K4284" s="29">
        <f>IF($F4284=6.3,$H4284*$B$25,0)</f>
        <v>0</v>
      </c>
      <c r="L4284" s="29">
        <f>IF($F4284=8,$H4284*$B$26,0)</f>
        <v>3.6577000000000002</v>
      </c>
      <c r="M4284" s="29">
        <f>IF($F4284=10,$H4284*$B$27,0)</f>
        <v>0</v>
      </c>
      <c r="N4284" s="29">
        <f>IF($F4284=12.5,$H4284*$B$28,0)</f>
        <v>0</v>
      </c>
      <c r="O4284" s="29">
        <f>IF($F4284=16,$H4284*$B$29,0)</f>
        <v>0</v>
      </c>
      <c r="P4284" s="29">
        <f>IF($F4284=20,$H4284*$B$30,0)</f>
        <v>0</v>
      </c>
      <c r="Q4284" s="37">
        <f>IF($F4284=25,$H4284*$B$31,0)</f>
        <v>0</v>
      </c>
    </row>
    <row r="4285" spans="4:17" s="62" customFormat="1" x14ac:dyDescent="0.3">
      <c r="D4285" s="307"/>
      <c r="E4285" s="26"/>
      <c r="F4285" s="206"/>
      <c r="G4285" s="207"/>
      <c r="H4285" s="207"/>
      <c r="I4285" s="51"/>
      <c r="J4285" s="308"/>
      <c r="K4285" s="308"/>
      <c r="L4285" s="308"/>
      <c r="M4285" s="308"/>
      <c r="N4285" s="308"/>
      <c r="O4285" s="308"/>
      <c r="P4285" s="308"/>
      <c r="Q4285" s="309"/>
    </row>
    <row r="4286" spans="4:17" s="62" customFormat="1" x14ac:dyDescent="0.3">
      <c r="D4286" s="790" t="s">
        <v>1770</v>
      </c>
      <c r="E4286" s="791"/>
      <c r="F4286" s="791"/>
      <c r="G4286" s="791"/>
      <c r="H4286" s="791"/>
      <c r="I4286" s="175">
        <f t="shared" ref="I4286:Q4286" si="4875">SUM(I4287:I4291)</f>
        <v>0</v>
      </c>
      <c r="J4286" s="175">
        <f t="shared" si="4875"/>
        <v>13.53506</v>
      </c>
      <c r="K4286" s="175">
        <f t="shared" si="4875"/>
        <v>8.4377999999999993</v>
      </c>
      <c r="L4286" s="175">
        <f t="shared" si="4875"/>
        <v>8.5399000000000012</v>
      </c>
      <c r="M4286" s="175">
        <f t="shared" si="4875"/>
        <v>0</v>
      </c>
      <c r="N4286" s="175">
        <f t="shared" si="4875"/>
        <v>0</v>
      </c>
      <c r="O4286" s="175">
        <f t="shared" si="4875"/>
        <v>0</v>
      </c>
      <c r="P4286" s="175">
        <f t="shared" si="4875"/>
        <v>0</v>
      </c>
      <c r="Q4286" s="175">
        <f t="shared" si="4875"/>
        <v>0</v>
      </c>
    </row>
    <row r="4287" spans="4:17" s="62" customFormat="1" x14ac:dyDescent="0.3">
      <c r="D4287" s="235">
        <v>1</v>
      </c>
      <c r="E4287" s="237">
        <v>187</v>
      </c>
      <c r="F4287" s="238">
        <v>5</v>
      </c>
      <c r="G4287" s="242">
        <v>0.47</v>
      </c>
      <c r="H4287" s="239">
        <f>E4287*G4287</f>
        <v>87.89</v>
      </c>
      <c r="I4287" s="122">
        <f>IF($F4287=4.2,H4287*$B$23,0)</f>
        <v>0</v>
      </c>
      <c r="J4287" s="29">
        <f>IF($F4287=5,$H4287*$B$24,0)</f>
        <v>13.53506</v>
      </c>
      <c r="K4287" s="29">
        <f>IF($F4287=6.3,$H4287*$B$25,0)</f>
        <v>0</v>
      </c>
      <c r="L4287" s="29">
        <f>IF($F4287=8,$H4287*$B$26,0)</f>
        <v>0</v>
      </c>
      <c r="M4287" s="29">
        <f>IF($F4287=10,$H4287*$B$27,0)</f>
        <v>0</v>
      </c>
      <c r="N4287" s="29">
        <f>IF($F4287=12.5,$H4287*$B$28,0)</f>
        <v>0</v>
      </c>
      <c r="O4287" s="29">
        <f>IF($F4287=16,$H4287*$B$29,0)</f>
        <v>0</v>
      </c>
      <c r="P4287" s="29">
        <f>IF($F4287=20,$H4287*$B$30,0)</f>
        <v>0</v>
      </c>
      <c r="Q4287" s="37">
        <f>IF($F4287=25,$H4287*$B$31,0)</f>
        <v>0</v>
      </c>
    </row>
    <row r="4288" spans="4:17" s="62" customFormat="1" x14ac:dyDescent="0.3">
      <c r="D4288" s="235">
        <v>2</v>
      </c>
      <c r="E4288" s="240">
        <v>2</v>
      </c>
      <c r="F4288" s="241">
        <v>6.3</v>
      </c>
      <c r="G4288" s="242">
        <v>3.63</v>
      </c>
      <c r="H4288" s="239">
        <f>E4288*G4288</f>
        <v>7.26</v>
      </c>
      <c r="I4288" s="122">
        <f>IF($F4288=4.2,H4288*$B$23,0)</f>
        <v>0</v>
      </c>
      <c r="J4288" s="29">
        <f>IF($F4288=5,$H4288*$B$24,0)</f>
        <v>0</v>
      </c>
      <c r="K4288" s="29">
        <f>IF($F4288=6.3,$H4288*$B$25,0)</f>
        <v>1.7786999999999999</v>
      </c>
      <c r="L4288" s="29">
        <f>IF($F4288=8,$H4288*$B$26,0)</f>
        <v>0</v>
      </c>
      <c r="M4288" s="29">
        <f>IF($F4288=10,$H4288*$B$27,0)</f>
        <v>0</v>
      </c>
      <c r="N4288" s="29">
        <f>IF($F4288=12.5,$H4288*$B$28,0)</f>
        <v>0</v>
      </c>
      <c r="O4288" s="29">
        <f>IF($F4288=16,$H4288*$B$29,0)</f>
        <v>0</v>
      </c>
      <c r="P4288" s="29">
        <f>IF($F4288=20,$H4288*$B$30,0)</f>
        <v>0</v>
      </c>
      <c r="Q4288" s="37">
        <f>IF($F4288=25,$H4288*$B$31,0)</f>
        <v>0</v>
      </c>
    </row>
    <row r="4289" spans="2:20" s="62" customFormat="1" x14ac:dyDescent="0.3">
      <c r="D4289" s="235">
        <v>3</v>
      </c>
      <c r="E4289" s="240">
        <v>2</v>
      </c>
      <c r="F4289" s="241">
        <v>6.3</v>
      </c>
      <c r="G4289" s="242">
        <v>2.67</v>
      </c>
      <c r="H4289" s="239">
        <f>E4289*G4289</f>
        <v>5.34</v>
      </c>
      <c r="I4289" s="122">
        <f>IF($F4289=4.2,H4289*$B$23,0)</f>
        <v>0</v>
      </c>
      <c r="J4289" s="29">
        <f>IF($F4289=5,$H4289*$B$24,0)</f>
        <v>0</v>
      </c>
      <c r="K4289" s="29">
        <f>IF($F4289=6.3,$H4289*$B$25,0)</f>
        <v>1.3083</v>
      </c>
      <c r="L4289" s="29">
        <f>IF($F4289=8,$H4289*$B$26,0)</f>
        <v>0</v>
      </c>
      <c r="M4289" s="29">
        <f>IF($F4289=10,$H4289*$B$27,0)</f>
        <v>0</v>
      </c>
      <c r="N4289" s="29">
        <f>IF($F4289=12.5,$H4289*$B$28,0)</f>
        <v>0</v>
      </c>
      <c r="O4289" s="29">
        <f>IF($F4289=16,$H4289*$B$29,0)</f>
        <v>0</v>
      </c>
      <c r="P4289" s="29">
        <f>IF($F4289=20,$H4289*$B$30,0)</f>
        <v>0</v>
      </c>
      <c r="Q4289" s="37">
        <f>IF($F4289=25,$H4289*$B$31,0)</f>
        <v>0</v>
      </c>
    </row>
    <row r="4290" spans="2:20" s="62" customFormat="1" x14ac:dyDescent="0.3">
      <c r="D4290" s="235">
        <v>4</v>
      </c>
      <c r="E4290" s="240">
        <v>2</v>
      </c>
      <c r="F4290" s="241">
        <v>6.3</v>
      </c>
      <c r="G4290" s="242">
        <v>10.92</v>
      </c>
      <c r="H4290" s="239">
        <f>E4290*G4290</f>
        <v>21.84</v>
      </c>
      <c r="I4290" s="122">
        <f>IF($F4290=4.2,H4290*$B$23,0)</f>
        <v>0</v>
      </c>
      <c r="J4290" s="29">
        <f>IF($F4290=5,$H4290*$B$24,0)</f>
        <v>0</v>
      </c>
      <c r="K4290" s="29">
        <f>IF($F4290=6.3,$H4290*$B$25,0)</f>
        <v>5.3507999999999996</v>
      </c>
      <c r="L4290" s="29">
        <f>IF($F4290=8,$H4290*$B$26,0)</f>
        <v>0</v>
      </c>
      <c r="M4290" s="29">
        <f>IF($F4290=10,$H4290*$B$27,0)</f>
        <v>0</v>
      </c>
      <c r="N4290" s="29">
        <f>IF($F4290=12.5,$H4290*$B$28,0)</f>
        <v>0</v>
      </c>
      <c r="O4290" s="29">
        <f>IF($F4290=16,$H4290*$B$29,0)</f>
        <v>0</v>
      </c>
      <c r="P4290" s="29">
        <f>IF($F4290=20,$H4290*$B$30,0)</f>
        <v>0</v>
      </c>
      <c r="Q4290" s="37">
        <f>IF($F4290=25,$H4290*$B$31,0)</f>
        <v>0</v>
      </c>
    </row>
    <row r="4291" spans="2:20" s="62" customFormat="1" x14ac:dyDescent="0.3">
      <c r="D4291" s="235">
        <v>11</v>
      </c>
      <c r="E4291" s="240">
        <v>2</v>
      </c>
      <c r="F4291" s="241">
        <v>8</v>
      </c>
      <c r="G4291" s="242">
        <v>10.81</v>
      </c>
      <c r="H4291" s="239">
        <f>E4291*G4291</f>
        <v>21.62</v>
      </c>
      <c r="I4291" s="122">
        <f>IF($F4291=4.2,H4291*$B$23,0)</f>
        <v>0</v>
      </c>
      <c r="J4291" s="29">
        <f>IF($F4291=5,$H4291*$B$24,0)</f>
        <v>0</v>
      </c>
      <c r="K4291" s="29">
        <f>IF($F4291=6.3,$H4291*$B$25,0)</f>
        <v>0</v>
      </c>
      <c r="L4291" s="29">
        <f>IF($F4291=8,$H4291*$B$26,0)</f>
        <v>8.5399000000000012</v>
      </c>
      <c r="M4291" s="29">
        <f>IF($F4291=10,$H4291*$B$27,0)</f>
        <v>0</v>
      </c>
      <c r="N4291" s="29">
        <f>IF($F4291=12.5,$H4291*$B$28,0)</f>
        <v>0</v>
      </c>
      <c r="O4291" s="29">
        <f>IF($F4291=16,$H4291*$B$29,0)</f>
        <v>0</v>
      </c>
      <c r="P4291" s="29">
        <f>IF($F4291=20,$H4291*$B$30,0)</f>
        <v>0</v>
      </c>
      <c r="Q4291" s="37">
        <f>IF($F4291=25,$H4291*$B$31,0)</f>
        <v>0</v>
      </c>
    </row>
    <row r="4292" spans="2:20" s="62" customFormat="1" x14ac:dyDescent="0.3">
      <c r="D4292" s="307"/>
      <c r="E4292" s="26"/>
      <c r="F4292" s="206"/>
      <c r="G4292" s="207"/>
      <c r="H4292" s="207"/>
      <c r="I4292" s="51"/>
      <c r="J4292" s="308"/>
      <c r="K4292" s="308"/>
      <c r="L4292" s="308"/>
      <c r="M4292" s="308"/>
      <c r="N4292" s="308"/>
      <c r="O4292" s="308"/>
      <c r="P4292" s="308"/>
      <c r="Q4292" s="309"/>
    </row>
    <row r="4293" spans="2:20" s="62" customFormat="1" x14ac:dyDescent="0.3">
      <c r="D4293" s="790" t="s">
        <v>1771</v>
      </c>
      <c r="E4293" s="791"/>
      <c r="F4293" s="791"/>
      <c r="G4293" s="791"/>
      <c r="H4293" s="791"/>
      <c r="I4293" s="175">
        <f t="shared" ref="I4293:Q4293" si="4876">SUM(I4294:I4296)</f>
        <v>0</v>
      </c>
      <c r="J4293" s="175">
        <f t="shared" si="4876"/>
        <v>9.26464</v>
      </c>
      <c r="K4293" s="175">
        <f t="shared" si="4876"/>
        <v>0</v>
      </c>
      <c r="L4293" s="175">
        <f t="shared" si="4876"/>
        <v>13.714400000000001</v>
      </c>
      <c r="M4293" s="175">
        <f t="shared" si="4876"/>
        <v>0</v>
      </c>
      <c r="N4293" s="175">
        <f t="shared" si="4876"/>
        <v>0</v>
      </c>
      <c r="O4293" s="175">
        <f t="shared" si="4876"/>
        <v>0</v>
      </c>
      <c r="P4293" s="175">
        <f t="shared" si="4876"/>
        <v>0</v>
      </c>
      <c r="Q4293" s="175">
        <f t="shared" si="4876"/>
        <v>0</v>
      </c>
    </row>
    <row r="4294" spans="2:20" s="62" customFormat="1" x14ac:dyDescent="0.3">
      <c r="D4294" s="235">
        <v>1</v>
      </c>
      <c r="E4294" s="237">
        <f>4*32</f>
        <v>128</v>
      </c>
      <c r="F4294" s="238">
        <v>5</v>
      </c>
      <c r="G4294" s="242">
        <v>0.47</v>
      </c>
      <c r="H4294" s="239">
        <f>E4294*G4294</f>
        <v>60.16</v>
      </c>
      <c r="I4294" s="122">
        <f>IF($F4294=4.2,H4294*$B$23,0)</f>
        <v>0</v>
      </c>
      <c r="J4294" s="29">
        <f>IF($F4294=5,$H4294*$B$24,0)</f>
        <v>9.26464</v>
      </c>
      <c r="K4294" s="29">
        <f>IF($F4294=6.3,$H4294*$B$25,0)</f>
        <v>0</v>
      </c>
      <c r="L4294" s="29">
        <f>IF($F4294=8,$H4294*$B$26,0)</f>
        <v>0</v>
      </c>
      <c r="M4294" s="29">
        <f>IF($F4294=10,$H4294*$B$27,0)</f>
        <v>0</v>
      </c>
      <c r="N4294" s="29">
        <f>IF($F4294=12.5,$H4294*$B$28,0)</f>
        <v>0</v>
      </c>
      <c r="O4294" s="29">
        <f>IF($F4294=16,$H4294*$B$29,0)</f>
        <v>0</v>
      </c>
      <c r="P4294" s="29">
        <f>IF($F4294=20,$H4294*$B$30,0)</f>
        <v>0</v>
      </c>
      <c r="Q4294" s="37">
        <f>IF($F4294=25,$H4294*$B$31,0)</f>
        <v>0</v>
      </c>
    </row>
    <row r="4295" spans="2:20" s="62" customFormat="1" x14ac:dyDescent="0.3">
      <c r="D4295" s="235">
        <v>12</v>
      </c>
      <c r="E4295" s="240">
        <f>4*2</f>
        <v>8</v>
      </c>
      <c r="F4295" s="241">
        <v>8</v>
      </c>
      <c r="G4295" s="242">
        <v>2.09</v>
      </c>
      <c r="H4295" s="239">
        <f>E4295*G4295</f>
        <v>16.72</v>
      </c>
      <c r="I4295" s="122">
        <f>IF($F4295=4.2,H4295*$B$23,0)</f>
        <v>0</v>
      </c>
      <c r="J4295" s="29">
        <f>IF($F4295=5,$H4295*$B$24,0)</f>
        <v>0</v>
      </c>
      <c r="K4295" s="29">
        <f>IF($F4295=6.3,$H4295*$B$25,0)</f>
        <v>0</v>
      </c>
      <c r="L4295" s="29">
        <f>IF($F4295=8,$H4295*$B$26,0)</f>
        <v>6.6044</v>
      </c>
      <c r="M4295" s="29">
        <f>IF($F4295=10,$H4295*$B$27,0)</f>
        <v>0</v>
      </c>
      <c r="N4295" s="29">
        <f>IF($F4295=12.5,$H4295*$B$28,0)</f>
        <v>0</v>
      </c>
      <c r="O4295" s="29">
        <f>IF($F4295=16,$H4295*$B$29,0)</f>
        <v>0</v>
      </c>
      <c r="P4295" s="29">
        <f>IF($F4295=20,$H4295*$B$30,0)</f>
        <v>0</v>
      </c>
      <c r="Q4295" s="37">
        <f>IF($F4295=25,$H4295*$B$31,0)</f>
        <v>0</v>
      </c>
    </row>
    <row r="4296" spans="2:20" s="62" customFormat="1" x14ac:dyDescent="0.3">
      <c r="D4296" s="235">
        <v>13</v>
      </c>
      <c r="E4296" s="240">
        <f>4*2</f>
        <v>8</v>
      </c>
      <c r="F4296" s="241">
        <v>8</v>
      </c>
      <c r="G4296" s="242">
        <v>2.25</v>
      </c>
      <c r="H4296" s="239">
        <f>E4296*G4296</f>
        <v>18</v>
      </c>
      <c r="I4296" s="122">
        <f>IF($F4296=4.2,H4296*$B$23,0)</f>
        <v>0</v>
      </c>
      <c r="J4296" s="29">
        <f>IF($F4296=5,$H4296*$B$24,0)</f>
        <v>0</v>
      </c>
      <c r="K4296" s="29">
        <f>IF($F4296=6.3,$H4296*$B$25,0)</f>
        <v>0</v>
      </c>
      <c r="L4296" s="29">
        <f>IF($F4296=8,$H4296*$B$26,0)</f>
        <v>7.11</v>
      </c>
      <c r="M4296" s="29">
        <f>IF($F4296=10,$H4296*$B$27,0)</f>
        <v>0</v>
      </c>
      <c r="N4296" s="29">
        <f>IF($F4296=12.5,$H4296*$B$28,0)</f>
        <v>0</v>
      </c>
      <c r="O4296" s="29">
        <f>IF($F4296=16,$H4296*$B$29,0)</f>
        <v>0</v>
      </c>
      <c r="P4296" s="29">
        <f>IF($F4296=20,$H4296*$B$30,0)</f>
        <v>0</v>
      </c>
      <c r="Q4296" s="37">
        <f>IF($F4296=25,$H4296*$B$31,0)</f>
        <v>0</v>
      </c>
    </row>
    <row r="4297" spans="2:20" s="62" customFormat="1" x14ac:dyDescent="0.3">
      <c r="D4297" s="307"/>
      <c r="E4297" s="26"/>
      <c r="F4297" s="206"/>
      <c r="G4297" s="207"/>
      <c r="H4297" s="207"/>
      <c r="I4297" s="51"/>
      <c r="J4297" s="308"/>
      <c r="K4297" s="308"/>
      <c r="L4297" s="308"/>
      <c r="M4297" s="308"/>
      <c r="N4297" s="308"/>
      <c r="O4297" s="308"/>
      <c r="P4297" s="308"/>
      <c r="Q4297" s="309"/>
    </row>
    <row r="4298" spans="2:20" s="62" customFormat="1" x14ac:dyDescent="0.3">
      <c r="D4298" s="790" t="s">
        <v>1772</v>
      </c>
      <c r="E4298" s="791"/>
      <c r="F4298" s="791"/>
      <c r="G4298" s="791"/>
      <c r="H4298" s="791"/>
      <c r="I4298" s="175">
        <f t="shared" ref="I4298:Q4298" si="4877">SUM(I4299:I4303)</f>
        <v>0</v>
      </c>
      <c r="J4298" s="175">
        <f t="shared" si="4877"/>
        <v>13.969339999999999</v>
      </c>
      <c r="K4298" s="175">
        <f t="shared" si="4877"/>
        <v>8.4867999999999988</v>
      </c>
      <c r="L4298" s="175">
        <f t="shared" si="4877"/>
        <v>8.5399000000000012</v>
      </c>
      <c r="M4298" s="175">
        <f t="shared" si="4877"/>
        <v>0</v>
      </c>
      <c r="N4298" s="175">
        <f t="shared" si="4877"/>
        <v>0</v>
      </c>
      <c r="O4298" s="175">
        <f t="shared" si="4877"/>
        <v>0</v>
      </c>
      <c r="P4298" s="175">
        <f t="shared" si="4877"/>
        <v>0</v>
      </c>
      <c r="Q4298" s="175">
        <f t="shared" si="4877"/>
        <v>0</v>
      </c>
    </row>
    <row r="4299" spans="2:20" s="62" customFormat="1" x14ac:dyDescent="0.3">
      <c r="D4299" s="235">
        <v>1</v>
      </c>
      <c r="E4299" s="237">
        <v>193</v>
      </c>
      <c r="F4299" s="238">
        <v>5</v>
      </c>
      <c r="G4299" s="242">
        <v>0.47</v>
      </c>
      <c r="H4299" s="239">
        <f>E4299*G4299</f>
        <v>90.71</v>
      </c>
      <c r="I4299" s="122">
        <f>IF($F4299=4.2,H4299*$B$23,0)</f>
        <v>0</v>
      </c>
      <c r="J4299" s="29">
        <f>IF($F4299=5,$H4299*$B$24,0)</f>
        <v>13.969339999999999</v>
      </c>
      <c r="K4299" s="29">
        <f>IF($F4299=6.3,$H4299*$B$25,0)</f>
        <v>0</v>
      </c>
      <c r="L4299" s="29">
        <f>IF($F4299=8,$H4299*$B$26,0)</f>
        <v>0</v>
      </c>
      <c r="M4299" s="29">
        <f>IF($F4299=10,$H4299*$B$27,0)</f>
        <v>0</v>
      </c>
      <c r="N4299" s="29">
        <f>IF($F4299=12.5,$H4299*$B$28,0)</f>
        <v>0</v>
      </c>
      <c r="O4299" s="29">
        <f>IF($F4299=16,$H4299*$B$29,0)</f>
        <v>0</v>
      </c>
      <c r="P4299" s="29">
        <f>IF($F4299=20,$H4299*$B$30,0)</f>
        <v>0</v>
      </c>
      <c r="Q4299" s="37">
        <f>IF($F4299=25,$H4299*$B$31,0)</f>
        <v>0</v>
      </c>
    </row>
    <row r="4300" spans="2:20" s="62" customFormat="1" x14ac:dyDescent="0.3">
      <c r="D4300" s="235">
        <v>4</v>
      </c>
      <c r="E4300" s="240">
        <v>2</v>
      </c>
      <c r="F4300" s="241">
        <v>6.3</v>
      </c>
      <c r="G4300" s="242">
        <v>10.92</v>
      </c>
      <c r="H4300" s="239">
        <f>E4300*G4300</f>
        <v>21.84</v>
      </c>
      <c r="I4300" s="122">
        <f>IF($F4300=4.2,H4300*$B$23,0)</f>
        <v>0</v>
      </c>
      <c r="J4300" s="29">
        <f>IF($F4300=5,$H4300*$B$24,0)</f>
        <v>0</v>
      </c>
      <c r="K4300" s="29">
        <f>IF($F4300=6.3,$H4300*$B$25,0)</f>
        <v>5.3507999999999996</v>
      </c>
      <c r="L4300" s="29">
        <f>IF($F4300=8,$H4300*$B$26,0)</f>
        <v>0</v>
      </c>
      <c r="M4300" s="29">
        <f>IF($F4300=10,$H4300*$B$27,0)</f>
        <v>0</v>
      </c>
      <c r="N4300" s="29">
        <f>IF($F4300=12.5,$H4300*$B$28,0)</f>
        <v>0</v>
      </c>
      <c r="O4300" s="29">
        <f>IF($F4300=16,$H4300*$B$29,0)</f>
        <v>0</v>
      </c>
      <c r="P4300" s="29">
        <f>IF($F4300=20,$H4300*$B$30,0)</f>
        <v>0</v>
      </c>
      <c r="Q4300" s="37">
        <f>IF($F4300=25,$H4300*$B$31,0)</f>
        <v>0</v>
      </c>
    </row>
    <row r="4301" spans="2:20" s="62" customFormat="1" x14ac:dyDescent="0.3">
      <c r="D4301" s="235">
        <v>5</v>
      </c>
      <c r="E4301" s="240">
        <v>2</v>
      </c>
      <c r="F4301" s="241">
        <v>6.3</v>
      </c>
      <c r="G4301" s="242">
        <v>3.8</v>
      </c>
      <c r="H4301" s="239">
        <f>E4301*G4301</f>
        <v>7.6</v>
      </c>
      <c r="I4301" s="122">
        <f>IF($F4301=4.2,H4301*$B$23,0)</f>
        <v>0</v>
      </c>
      <c r="J4301" s="29">
        <f>IF($F4301=5,$H4301*$B$24,0)</f>
        <v>0</v>
      </c>
      <c r="K4301" s="29">
        <f>IF($F4301=6.3,$H4301*$B$25,0)</f>
        <v>1.8619999999999999</v>
      </c>
      <c r="L4301" s="29">
        <f>IF($F4301=8,$H4301*$B$26,0)</f>
        <v>0</v>
      </c>
      <c r="M4301" s="29">
        <f>IF($F4301=10,$H4301*$B$27,0)</f>
        <v>0</v>
      </c>
      <c r="N4301" s="29">
        <f>IF($F4301=12.5,$H4301*$B$28,0)</f>
        <v>0</v>
      </c>
      <c r="O4301" s="29">
        <f>IF($F4301=16,$H4301*$B$29,0)</f>
        <v>0</v>
      </c>
      <c r="P4301" s="29">
        <f>IF($F4301=20,$H4301*$B$30,0)</f>
        <v>0</v>
      </c>
      <c r="Q4301" s="37">
        <f>IF($F4301=25,$H4301*$B$31,0)</f>
        <v>0</v>
      </c>
    </row>
    <row r="4302" spans="2:20" s="62" customFormat="1" x14ac:dyDescent="0.3">
      <c r="D4302" s="235">
        <v>6</v>
      </c>
      <c r="E4302" s="240">
        <v>2</v>
      </c>
      <c r="F4302" s="241">
        <v>6.3</v>
      </c>
      <c r="G4302" s="242">
        <v>2.6</v>
      </c>
      <c r="H4302" s="239">
        <f>E4302*G4302</f>
        <v>5.2</v>
      </c>
      <c r="I4302" s="122">
        <f>IF($F4302=4.2,H4302*$B$23,0)</f>
        <v>0</v>
      </c>
      <c r="J4302" s="29">
        <f>IF($F4302=5,$H4302*$B$24,0)</f>
        <v>0</v>
      </c>
      <c r="K4302" s="29">
        <f>IF($F4302=6.3,$H4302*$B$25,0)</f>
        <v>1.274</v>
      </c>
      <c r="L4302" s="29">
        <f>IF($F4302=8,$H4302*$B$26,0)</f>
        <v>0</v>
      </c>
      <c r="M4302" s="29">
        <f>IF($F4302=10,$H4302*$B$27,0)</f>
        <v>0</v>
      </c>
      <c r="N4302" s="29">
        <f>IF($F4302=12.5,$H4302*$B$28,0)</f>
        <v>0</v>
      </c>
      <c r="O4302" s="29">
        <f>IF($F4302=16,$H4302*$B$29,0)</f>
        <v>0</v>
      </c>
      <c r="P4302" s="29">
        <f>IF($F4302=20,$H4302*$B$30,0)</f>
        <v>0</v>
      </c>
      <c r="Q4302" s="37">
        <f>IF($F4302=25,$H4302*$B$31,0)</f>
        <v>0</v>
      </c>
    </row>
    <row r="4303" spans="2:20" s="62" customFormat="1" x14ac:dyDescent="0.3">
      <c r="D4303" s="235">
        <v>11</v>
      </c>
      <c r="E4303" s="240">
        <v>2</v>
      </c>
      <c r="F4303" s="241">
        <v>8</v>
      </c>
      <c r="G4303" s="242">
        <v>10.81</v>
      </c>
      <c r="H4303" s="239">
        <f>E4303*G4303</f>
        <v>21.62</v>
      </c>
      <c r="I4303" s="122">
        <f>IF($F4303=4.2,H4303*$B$23,0)</f>
        <v>0</v>
      </c>
      <c r="J4303" s="29">
        <f>IF($F4303=5,$H4303*$B$24,0)</f>
        <v>0</v>
      </c>
      <c r="K4303" s="29">
        <f>IF($F4303=6.3,$H4303*$B$25,0)</f>
        <v>0</v>
      </c>
      <c r="L4303" s="29">
        <f>IF($F4303=8,$H4303*$B$26,0)</f>
        <v>8.5399000000000012</v>
      </c>
      <c r="M4303" s="29">
        <f>IF($F4303=10,$H4303*$B$27,0)</f>
        <v>0</v>
      </c>
      <c r="N4303" s="29">
        <f>IF($F4303=12.5,$H4303*$B$28,0)</f>
        <v>0</v>
      </c>
      <c r="O4303" s="29">
        <f>IF($F4303=16,$H4303*$B$29,0)</f>
        <v>0</v>
      </c>
      <c r="P4303" s="29">
        <f>IF($F4303=20,$H4303*$B$30,0)</f>
        <v>0</v>
      </c>
      <c r="Q4303" s="37">
        <f>IF($F4303=25,$H4303*$B$31,0)</f>
        <v>0</v>
      </c>
    </row>
    <row r="4304" spans="2:20" s="16" customFormat="1" ht="15" customHeight="1" thickBot="1" x14ac:dyDescent="0.3">
      <c r="B4304" s="34"/>
      <c r="D4304" s="307"/>
      <c r="E4304" s="26"/>
      <c r="F4304" s="206"/>
      <c r="G4304" s="207"/>
      <c r="H4304" s="207"/>
      <c r="I4304" s="51"/>
      <c r="J4304" s="308"/>
      <c r="K4304" s="308"/>
      <c r="L4304" s="308"/>
      <c r="M4304" s="308"/>
      <c r="N4304" s="308"/>
      <c r="O4304" s="308"/>
      <c r="P4304" s="308"/>
      <c r="Q4304" s="309"/>
      <c r="S4304" s="795"/>
      <c r="T4304" s="795"/>
    </row>
    <row r="4305" spans="4:17" s="62" customFormat="1" ht="15" thickBot="1" x14ac:dyDescent="0.35">
      <c r="D4305" s="792" t="s">
        <v>930</v>
      </c>
      <c r="E4305" s="793"/>
      <c r="F4305" s="793"/>
      <c r="G4305" s="793"/>
      <c r="H4305" s="793"/>
      <c r="I4305" s="793"/>
      <c r="J4305" s="793"/>
      <c r="K4305" s="793"/>
      <c r="L4305" s="793"/>
      <c r="M4305" s="793"/>
      <c r="N4305" s="793"/>
      <c r="O4305" s="793"/>
      <c r="P4305" s="793"/>
      <c r="Q4305" s="794"/>
    </row>
    <row r="4306" spans="4:17" s="62" customFormat="1" x14ac:dyDescent="0.3">
      <c r="D4306" s="790" t="s">
        <v>1838</v>
      </c>
      <c r="E4306" s="791"/>
      <c r="F4306" s="791"/>
      <c r="G4306" s="791"/>
      <c r="H4306" s="791"/>
      <c r="I4306" s="175">
        <f t="shared" ref="I4306:Q4306" si="4878">SUM(I4307:I4309)</f>
        <v>0</v>
      </c>
      <c r="J4306" s="175">
        <f t="shared" si="4878"/>
        <v>13.0284</v>
      </c>
      <c r="K4306" s="175">
        <f t="shared" si="4878"/>
        <v>0</v>
      </c>
      <c r="L4306" s="175">
        <f t="shared" si="4878"/>
        <v>16.163400000000003</v>
      </c>
      <c r="M4306" s="175">
        <f t="shared" si="4878"/>
        <v>0</v>
      </c>
      <c r="N4306" s="175">
        <f t="shared" si="4878"/>
        <v>0</v>
      </c>
      <c r="O4306" s="175">
        <f t="shared" si="4878"/>
        <v>0</v>
      </c>
      <c r="P4306" s="175">
        <f t="shared" si="4878"/>
        <v>0</v>
      </c>
      <c r="Q4306" s="175">
        <f t="shared" si="4878"/>
        <v>0</v>
      </c>
    </row>
    <row r="4307" spans="4:17" s="62" customFormat="1" x14ac:dyDescent="0.3">
      <c r="D4307" s="235">
        <v>5</v>
      </c>
      <c r="E4307" s="237">
        <v>180</v>
      </c>
      <c r="F4307" s="238">
        <v>5</v>
      </c>
      <c r="G4307" s="242">
        <v>0.47</v>
      </c>
      <c r="H4307" s="239">
        <f>E4307*G4307</f>
        <v>84.6</v>
      </c>
      <c r="I4307" s="122">
        <f>IF($F4307=4.2,H4307*$B$23,0)</f>
        <v>0</v>
      </c>
      <c r="J4307" s="29">
        <f>IF($F4307=5,$H4307*$B$24,0)</f>
        <v>13.0284</v>
      </c>
      <c r="K4307" s="29">
        <f>IF($F4307=6.3,$H4307*$B$25,0)</f>
        <v>0</v>
      </c>
      <c r="L4307" s="29">
        <f>IF($F4307=8,$H4307*$B$26,0)</f>
        <v>0</v>
      </c>
      <c r="M4307" s="29">
        <f>IF($F4307=10,$H4307*$B$27,0)</f>
        <v>0</v>
      </c>
      <c r="N4307" s="29">
        <f>IF($F4307=12.5,$H4307*$B$28,0)</f>
        <v>0</v>
      </c>
      <c r="O4307" s="29">
        <f>IF($F4307=16,$H4307*$B$29,0)</f>
        <v>0</v>
      </c>
      <c r="P4307" s="29">
        <f>IF($F4307=20,$H4307*$B$30,0)</f>
        <v>0</v>
      </c>
      <c r="Q4307" s="37">
        <f>IF($F4307=25,$H4307*$B$31,0)</f>
        <v>0</v>
      </c>
    </row>
    <row r="4308" spans="4:17" s="62" customFormat="1" x14ac:dyDescent="0.3">
      <c r="D4308" s="235">
        <v>6</v>
      </c>
      <c r="E4308" s="240">
        <v>2</v>
      </c>
      <c r="F4308" s="241">
        <v>8</v>
      </c>
      <c r="G4308" s="242">
        <v>10.23</v>
      </c>
      <c r="H4308" s="239">
        <f>E4308*G4308</f>
        <v>20.46</v>
      </c>
      <c r="I4308" s="122">
        <f>IF($F4308=4.2,H4308*$B$23,0)</f>
        <v>0</v>
      </c>
      <c r="J4308" s="29">
        <f>IF($F4308=5,$H4308*$B$24,0)</f>
        <v>0</v>
      </c>
      <c r="K4308" s="29">
        <f>IF($F4308=6.3,$H4308*$B$25,0)</f>
        <v>0</v>
      </c>
      <c r="L4308" s="29">
        <f>IF($F4308=8,$H4308*$B$26,0)</f>
        <v>8.0817000000000014</v>
      </c>
      <c r="M4308" s="29">
        <f>IF($F4308=10,$H4308*$B$27,0)</f>
        <v>0</v>
      </c>
      <c r="N4308" s="29">
        <f>IF($F4308=12.5,$H4308*$B$28,0)</f>
        <v>0</v>
      </c>
      <c r="O4308" s="29">
        <f>IF($F4308=16,$H4308*$B$29,0)</f>
        <v>0</v>
      </c>
      <c r="P4308" s="29">
        <f>IF($F4308=20,$H4308*$B$30,0)</f>
        <v>0</v>
      </c>
      <c r="Q4308" s="37">
        <f>IF($F4308=25,$H4308*$B$31,0)</f>
        <v>0</v>
      </c>
    </row>
    <row r="4309" spans="4:17" s="62" customFormat="1" x14ac:dyDescent="0.3">
      <c r="D4309" s="235">
        <v>7</v>
      </c>
      <c r="E4309" s="240">
        <v>2</v>
      </c>
      <c r="F4309" s="241">
        <v>8</v>
      </c>
      <c r="G4309" s="242">
        <v>10.23</v>
      </c>
      <c r="H4309" s="239">
        <f>E4309*G4309</f>
        <v>20.46</v>
      </c>
      <c r="I4309" s="122">
        <f>IF($F4309=4.2,H4309*$B$23,0)</f>
        <v>0</v>
      </c>
      <c r="J4309" s="29">
        <f>IF($F4309=5,$H4309*$B$24,0)</f>
        <v>0</v>
      </c>
      <c r="K4309" s="29">
        <f>IF($F4309=6.3,$H4309*$B$25,0)</f>
        <v>0</v>
      </c>
      <c r="L4309" s="29">
        <f>IF($F4309=8,$H4309*$B$26,0)</f>
        <v>8.0817000000000014</v>
      </c>
      <c r="M4309" s="29">
        <f>IF($F4309=10,$H4309*$B$27,0)</f>
        <v>0</v>
      </c>
      <c r="N4309" s="29">
        <f>IF($F4309=12.5,$H4309*$B$28,0)</f>
        <v>0</v>
      </c>
      <c r="O4309" s="29">
        <f>IF($F4309=16,$H4309*$B$29,0)</f>
        <v>0</v>
      </c>
      <c r="P4309" s="29">
        <f>IF($F4309=20,$H4309*$B$30,0)</f>
        <v>0</v>
      </c>
      <c r="Q4309" s="37">
        <f>IF($F4309=25,$H4309*$B$31,0)</f>
        <v>0</v>
      </c>
    </row>
    <row r="4310" spans="4:17" s="62" customFormat="1" x14ac:dyDescent="0.3">
      <c r="D4310" s="307"/>
      <c r="E4310" s="26"/>
      <c r="F4310" s="206"/>
      <c r="G4310" s="207"/>
      <c r="H4310" s="207"/>
      <c r="I4310" s="51"/>
      <c r="J4310" s="308"/>
      <c r="K4310" s="308"/>
      <c r="L4310" s="308"/>
      <c r="M4310" s="308"/>
      <c r="N4310" s="308"/>
      <c r="O4310" s="308"/>
      <c r="P4310" s="308"/>
      <c r="Q4310" s="309"/>
    </row>
    <row r="4311" spans="4:17" s="62" customFormat="1" x14ac:dyDescent="0.3">
      <c r="D4311" s="790" t="s">
        <v>1839</v>
      </c>
      <c r="E4311" s="791"/>
      <c r="F4311" s="791"/>
      <c r="G4311" s="791"/>
      <c r="H4311" s="791"/>
      <c r="I4311" s="175">
        <f t="shared" ref="I4311:Q4311" si="4879">SUM(I4312:I4316)</f>
        <v>0</v>
      </c>
      <c r="J4311" s="175">
        <f t="shared" si="4879"/>
        <v>16.430260000000001</v>
      </c>
      <c r="K4311" s="175">
        <f t="shared" si="4879"/>
        <v>0</v>
      </c>
      <c r="L4311" s="175">
        <f t="shared" si="4879"/>
        <v>19.773700000000005</v>
      </c>
      <c r="M4311" s="175">
        <f t="shared" si="4879"/>
        <v>0</v>
      </c>
      <c r="N4311" s="175">
        <f t="shared" si="4879"/>
        <v>0</v>
      </c>
      <c r="O4311" s="175">
        <f t="shared" si="4879"/>
        <v>0</v>
      </c>
      <c r="P4311" s="175">
        <f t="shared" si="4879"/>
        <v>0</v>
      </c>
      <c r="Q4311" s="175">
        <f t="shared" si="4879"/>
        <v>0</v>
      </c>
    </row>
    <row r="4312" spans="4:17" s="62" customFormat="1" x14ac:dyDescent="0.3">
      <c r="D4312" s="235">
        <v>5</v>
      </c>
      <c r="E4312" s="237">
        <v>227</v>
      </c>
      <c r="F4312" s="238">
        <v>5</v>
      </c>
      <c r="G4312" s="242">
        <v>0.47</v>
      </c>
      <c r="H4312" s="239">
        <f>E4312*G4312</f>
        <v>106.69</v>
      </c>
      <c r="I4312" s="122">
        <f>IF($F4312=4.2,H4312*$B$23,0)</f>
        <v>0</v>
      </c>
      <c r="J4312" s="29">
        <f>IF($F4312=5,$H4312*$B$24,0)</f>
        <v>16.430260000000001</v>
      </c>
      <c r="K4312" s="29">
        <f>IF($F4312=6.3,$H4312*$B$25,0)</f>
        <v>0</v>
      </c>
      <c r="L4312" s="29">
        <f>IF($F4312=8,$H4312*$B$26,0)</f>
        <v>0</v>
      </c>
      <c r="M4312" s="29">
        <f>IF($F4312=10,$H4312*$B$27,0)</f>
        <v>0</v>
      </c>
      <c r="N4312" s="29">
        <f>IF($F4312=12.5,$H4312*$B$28,0)</f>
        <v>0</v>
      </c>
      <c r="O4312" s="29">
        <f>IF($F4312=16,$H4312*$B$29,0)</f>
        <v>0</v>
      </c>
      <c r="P4312" s="29">
        <f>IF($F4312=20,$H4312*$B$30,0)</f>
        <v>0</v>
      </c>
      <c r="Q4312" s="37">
        <f>IF($F4312=25,$H4312*$B$31,0)</f>
        <v>0</v>
      </c>
    </row>
    <row r="4313" spans="4:17" s="62" customFormat="1" x14ac:dyDescent="0.3">
      <c r="D4313" s="235">
        <v>8</v>
      </c>
      <c r="E4313" s="240">
        <v>2</v>
      </c>
      <c r="F4313" s="241">
        <v>8</v>
      </c>
      <c r="G4313" s="242">
        <v>11.32</v>
      </c>
      <c r="H4313" s="239">
        <f>E4313*G4313</f>
        <v>22.64</v>
      </c>
      <c r="I4313" s="122">
        <f>IF($F4313=4.2,H4313*$B$23,0)</f>
        <v>0</v>
      </c>
      <c r="J4313" s="29">
        <f>IF($F4313=5,$H4313*$B$24,0)</f>
        <v>0</v>
      </c>
      <c r="K4313" s="29">
        <f>IF($F4313=6.3,$H4313*$B$25,0)</f>
        <v>0</v>
      </c>
      <c r="L4313" s="29">
        <f>IF($F4313=8,$H4313*$B$26,0)</f>
        <v>8.9428000000000001</v>
      </c>
      <c r="M4313" s="29">
        <f>IF($F4313=10,$H4313*$B$27,0)</f>
        <v>0</v>
      </c>
      <c r="N4313" s="29">
        <f>IF($F4313=12.5,$H4313*$B$28,0)</f>
        <v>0</v>
      </c>
      <c r="O4313" s="29">
        <f>IF($F4313=16,$H4313*$B$29,0)</f>
        <v>0</v>
      </c>
      <c r="P4313" s="29">
        <f>IF($F4313=20,$H4313*$B$30,0)</f>
        <v>0</v>
      </c>
      <c r="Q4313" s="37">
        <f>IF($F4313=25,$H4313*$B$31,0)</f>
        <v>0</v>
      </c>
    </row>
    <row r="4314" spans="4:17" s="62" customFormat="1" x14ac:dyDescent="0.3">
      <c r="D4314" s="235">
        <v>9</v>
      </c>
      <c r="E4314" s="240">
        <v>2</v>
      </c>
      <c r="F4314" s="241">
        <v>8</v>
      </c>
      <c r="G4314" s="242">
        <v>0.95</v>
      </c>
      <c r="H4314" s="239">
        <f>E4314*G4314</f>
        <v>1.9</v>
      </c>
      <c r="I4314" s="122">
        <f>IF($F4314=4.2,H4314*$B$23,0)</f>
        <v>0</v>
      </c>
      <c r="J4314" s="29">
        <f>IF($F4314=5,$H4314*$B$24,0)</f>
        <v>0</v>
      </c>
      <c r="K4314" s="29">
        <f>IF($F4314=6.3,$H4314*$B$25,0)</f>
        <v>0</v>
      </c>
      <c r="L4314" s="29">
        <f>IF($F4314=8,$H4314*$B$26,0)</f>
        <v>0.75049999999999994</v>
      </c>
      <c r="M4314" s="29">
        <f>IF($F4314=10,$H4314*$B$27,0)</f>
        <v>0</v>
      </c>
      <c r="N4314" s="29">
        <f>IF($F4314=12.5,$H4314*$B$28,0)</f>
        <v>0</v>
      </c>
      <c r="O4314" s="29">
        <f>IF($F4314=16,$H4314*$B$29,0)</f>
        <v>0</v>
      </c>
      <c r="P4314" s="29">
        <f>IF($F4314=20,$H4314*$B$30,0)</f>
        <v>0</v>
      </c>
      <c r="Q4314" s="37">
        <f>IF($F4314=25,$H4314*$B$31,0)</f>
        <v>0</v>
      </c>
    </row>
    <row r="4315" spans="4:17" s="62" customFormat="1" x14ac:dyDescent="0.3">
      <c r="D4315" s="235">
        <v>10</v>
      </c>
      <c r="E4315" s="240">
        <v>2</v>
      </c>
      <c r="F4315" s="241">
        <v>8</v>
      </c>
      <c r="G4315" s="242">
        <v>11.13</v>
      </c>
      <c r="H4315" s="239">
        <f>E4315*G4315</f>
        <v>22.26</v>
      </c>
      <c r="I4315" s="122">
        <f>IF($F4315=4.2,H4315*$B$23,0)</f>
        <v>0</v>
      </c>
      <c r="J4315" s="29">
        <f>IF($F4315=5,$H4315*$B$24,0)</f>
        <v>0</v>
      </c>
      <c r="K4315" s="29">
        <f>IF($F4315=6.3,$H4315*$B$25,0)</f>
        <v>0</v>
      </c>
      <c r="L4315" s="29">
        <f>IF($F4315=8,$H4315*$B$26,0)</f>
        <v>8.7927000000000017</v>
      </c>
      <c r="M4315" s="29">
        <f>IF($F4315=10,$H4315*$B$27,0)</f>
        <v>0</v>
      </c>
      <c r="N4315" s="29">
        <f>IF($F4315=12.5,$H4315*$B$28,0)</f>
        <v>0</v>
      </c>
      <c r="O4315" s="29">
        <f>IF($F4315=16,$H4315*$B$29,0)</f>
        <v>0</v>
      </c>
      <c r="P4315" s="29">
        <f>IF($F4315=20,$H4315*$B$30,0)</f>
        <v>0</v>
      </c>
      <c r="Q4315" s="37">
        <f>IF($F4315=25,$H4315*$B$31,0)</f>
        <v>0</v>
      </c>
    </row>
    <row r="4316" spans="4:17" s="62" customFormat="1" x14ac:dyDescent="0.3">
      <c r="D4316" s="235">
        <v>11</v>
      </c>
      <c r="E4316" s="240">
        <v>2</v>
      </c>
      <c r="F4316" s="241">
        <v>8</v>
      </c>
      <c r="G4316" s="242">
        <v>1.63</v>
      </c>
      <c r="H4316" s="239">
        <f>E4316*G4316</f>
        <v>3.26</v>
      </c>
      <c r="I4316" s="122">
        <f>IF($F4316=4.2,H4316*$B$23,0)</f>
        <v>0</v>
      </c>
      <c r="J4316" s="29">
        <f>IF($F4316=5,$H4316*$B$24,0)</f>
        <v>0</v>
      </c>
      <c r="K4316" s="29">
        <f>IF($F4316=6.3,$H4316*$B$25,0)</f>
        <v>0</v>
      </c>
      <c r="L4316" s="29">
        <f>IF($F4316=8,$H4316*$B$26,0)</f>
        <v>1.2877000000000001</v>
      </c>
      <c r="M4316" s="29">
        <f>IF($F4316=10,$H4316*$B$27,0)</f>
        <v>0</v>
      </c>
      <c r="N4316" s="29">
        <f>IF($F4316=12.5,$H4316*$B$28,0)</f>
        <v>0</v>
      </c>
      <c r="O4316" s="29">
        <f>IF($F4316=16,$H4316*$B$29,0)</f>
        <v>0</v>
      </c>
      <c r="P4316" s="29">
        <f>IF($F4316=20,$H4316*$B$30,0)</f>
        <v>0</v>
      </c>
      <c r="Q4316" s="37">
        <f>IF($F4316=25,$H4316*$B$31,0)</f>
        <v>0</v>
      </c>
    </row>
    <row r="4317" spans="4:17" s="62" customFormat="1" x14ac:dyDescent="0.3">
      <c r="D4317" s="307"/>
      <c r="E4317" s="26"/>
      <c r="F4317" s="206"/>
      <c r="G4317" s="207"/>
      <c r="H4317" s="207"/>
      <c r="I4317" s="51"/>
      <c r="J4317" s="308"/>
      <c r="K4317" s="308"/>
      <c r="L4317" s="308"/>
      <c r="M4317" s="308"/>
      <c r="N4317" s="308"/>
      <c r="O4317" s="308"/>
      <c r="P4317" s="308"/>
      <c r="Q4317" s="309"/>
    </row>
    <row r="4318" spans="4:17" s="62" customFormat="1" x14ac:dyDescent="0.3">
      <c r="D4318" s="790" t="s">
        <v>1840</v>
      </c>
      <c r="E4318" s="791"/>
      <c r="F4318" s="791"/>
      <c r="G4318" s="791"/>
      <c r="H4318" s="791"/>
      <c r="I4318" s="175">
        <f t="shared" ref="I4318:Q4318" si="4880">SUM(I4319:I4323)</f>
        <v>0</v>
      </c>
      <c r="J4318" s="175">
        <f t="shared" si="4880"/>
        <v>14.69314</v>
      </c>
      <c r="K4318" s="175">
        <f t="shared" si="4880"/>
        <v>0</v>
      </c>
      <c r="L4318" s="175">
        <f t="shared" si="4880"/>
        <v>20.0581</v>
      </c>
      <c r="M4318" s="175">
        <f t="shared" si="4880"/>
        <v>0</v>
      </c>
      <c r="N4318" s="175">
        <f t="shared" si="4880"/>
        <v>0</v>
      </c>
      <c r="O4318" s="175">
        <f t="shared" si="4880"/>
        <v>0</v>
      </c>
      <c r="P4318" s="175">
        <f t="shared" si="4880"/>
        <v>0</v>
      </c>
      <c r="Q4318" s="175">
        <f t="shared" si="4880"/>
        <v>0</v>
      </c>
    </row>
    <row r="4319" spans="4:17" s="62" customFormat="1" x14ac:dyDescent="0.3">
      <c r="D4319" s="235">
        <v>5</v>
      </c>
      <c r="E4319" s="237">
        <v>203</v>
      </c>
      <c r="F4319" s="238">
        <v>5</v>
      </c>
      <c r="G4319" s="242">
        <v>0.47</v>
      </c>
      <c r="H4319" s="239">
        <f>E4319*G4319</f>
        <v>95.41</v>
      </c>
      <c r="I4319" s="122">
        <f>IF($F4319=4.2,H4319*$B$23,0)</f>
        <v>0</v>
      </c>
      <c r="J4319" s="29">
        <f>IF($F4319=5,$H4319*$B$24,0)</f>
        <v>14.69314</v>
      </c>
      <c r="K4319" s="29">
        <f>IF($F4319=6.3,$H4319*$B$25,0)</f>
        <v>0</v>
      </c>
      <c r="L4319" s="29">
        <f>IF($F4319=8,$H4319*$B$26,0)</f>
        <v>0</v>
      </c>
      <c r="M4319" s="29">
        <f>IF($F4319=10,$H4319*$B$27,0)</f>
        <v>0</v>
      </c>
      <c r="N4319" s="29">
        <f>IF($F4319=12.5,$H4319*$B$28,0)</f>
        <v>0</v>
      </c>
      <c r="O4319" s="29">
        <f>IF($F4319=16,$H4319*$B$29,0)</f>
        <v>0</v>
      </c>
      <c r="P4319" s="29">
        <f>IF($F4319=20,$H4319*$B$30,0)</f>
        <v>0</v>
      </c>
      <c r="Q4319" s="37">
        <f>IF($F4319=25,$H4319*$B$31,0)</f>
        <v>0</v>
      </c>
    </row>
    <row r="4320" spans="4:17" s="62" customFormat="1" x14ac:dyDescent="0.3">
      <c r="D4320" s="235">
        <v>12</v>
      </c>
      <c r="E4320" s="240">
        <v>2</v>
      </c>
      <c r="F4320" s="241">
        <v>8</v>
      </c>
      <c r="G4320" s="242">
        <v>6.96</v>
      </c>
      <c r="H4320" s="239">
        <f>E4320*G4320</f>
        <v>13.92</v>
      </c>
      <c r="I4320" s="122">
        <f>IF($F4320=4.2,H4320*$B$23,0)</f>
        <v>0</v>
      </c>
      <c r="J4320" s="29">
        <f>IF($F4320=5,$H4320*$B$24,0)</f>
        <v>0</v>
      </c>
      <c r="K4320" s="29">
        <f>IF($F4320=6.3,$H4320*$B$25,0)</f>
        <v>0</v>
      </c>
      <c r="L4320" s="29">
        <f>IF($F4320=8,$H4320*$B$26,0)</f>
        <v>5.4984000000000002</v>
      </c>
      <c r="M4320" s="29">
        <f>IF($F4320=10,$H4320*$B$27,0)</f>
        <v>0</v>
      </c>
      <c r="N4320" s="29">
        <f>IF($F4320=12.5,$H4320*$B$28,0)</f>
        <v>0</v>
      </c>
      <c r="O4320" s="29">
        <f>IF($F4320=16,$H4320*$B$29,0)</f>
        <v>0</v>
      </c>
      <c r="P4320" s="29">
        <f>IF($F4320=20,$H4320*$B$30,0)</f>
        <v>0</v>
      </c>
      <c r="Q4320" s="37">
        <f>IF($F4320=25,$H4320*$B$31,0)</f>
        <v>0</v>
      </c>
    </row>
    <row r="4321" spans="4:17" s="62" customFormat="1" x14ac:dyDescent="0.3">
      <c r="D4321" s="235">
        <v>13</v>
      </c>
      <c r="E4321" s="240">
        <v>2</v>
      </c>
      <c r="F4321" s="241">
        <v>8</v>
      </c>
      <c r="G4321" s="242">
        <v>5.7</v>
      </c>
      <c r="H4321" s="239">
        <f>E4321*G4321</f>
        <v>11.4</v>
      </c>
      <c r="I4321" s="122">
        <f>IF($F4321=4.2,H4321*$B$23,0)</f>
        <v>0</v>
      </c>
      <c r="J4321" s="29">
        <f>IF($F4321=5,$H4321*$B$24,0)</f>
        <v>0</v>
      </c>
      <c r="K4321" s="29">
        <f>IF($F4321=6.3,$H4321*$B$25,0)</f>
        <v>0</v>
      </c>
      <c r="L4321" s="29">
        <f>IF($F4321=8,$H4321*$B$26,0)</f>
        <v>4.5030000000000001</v>
      </c>
      <c r="M4321" s="29">
        <f>IF($F4321=10,$H4321*$B$27,0)</f>
        <v>0</v>
      </c>
      <c r="N4321" s="29">
        <f>IF($F4321=12.5,$H4321*$B$28,0)</f>
        <v>0</v>
      </c>
      <c r="O4321" s="29">
        <f>IF($F4321=16,$H4321*$B$29,0)</f>
        <v>0</v>
      </c>
      <c r="P4321" s="29">
        <f>IF($F4321=20,$H4321*$B$30,0)</f>
        <v>0</v>
      </c>
      <c r="Q4321" s="37">
        <f>IF($F4321=25,$H4321*$B$31,0)</f>
        <v>0</v>
      </c>
    </row>
    <row r="4322" spans="4:17" s="62" customFormat="1" x14ac:dyDescent="0.3">
      <c r="D4322" s="235">
        <v>14</v>
      </c>
      <c r="E4322" s="240">
        <v>2</v>
      </c>
      <c r="F4322" s="241">
        <v>8</v>
      </c>
      <c r="G4322" s="242">
        <v>10.93</v>
      </c>
      <c r="H4322" s="239">
        <f>E4322*G4322</f>
        <v>21.86</v>
      </c>
      <c r="I4322" s="122">
        <f>IF($F4322=4.2,H4322*$B$23,0)</f>
        <v>0</v>
      </c>
      <c r="J4322" s="29">
        <f>IF($F4322=5,$H4322*$B$24,0)</f>
        <v>0</v>
      </c>
      <c r="K4322" s="29">
        <f>IF($F4322=6.3,$H4322*$B$25,0)</f>
        <v>0</v>
      </c>
      <c r="L4322" s="29">
        <f>IF($F4322=8,$H4322*$B$26,0)</f>
        <v>8.6347000000000005</v>
      </c>
      <c r="M4322" s="29">
        <f>IF($F4322=10,$H4322*$B$27,0)</f>
        <v>0</v>
      </c>
      <c r="N4322" s="29">
        <f>IF($F4322=12.5,$H4322*$B$28,0)</f>
        <v>0</v>
      </c>
      <c r="O4322" s="29">
        <f>IF($F4322=16,$H4322*$B$29,0)</f>
        <v>0</v>
      </c>
      <c r="P4322" s="29">
        <f>IF($F4322=20,$H4322*$B$30,0)</f>
        <v>0</v>
      </c>
      <c r="Q4322" s="37">
        <f>IF($F4322=25,$H4322*$B$31,0)</f>
        <v>0</v>
      </c>
    </row>
    <row r="4323" spans="4:17" s="62" customFormat="1" x14ac:dyDescent="0.3">
      <c r="D4323" s="235">
        <v>15</v>
      </c>
      <c r="E4323" s="240">
        <v>2</v>
      </c>
      <c r="F4323" s="241">
        <v>8</v>
      </c>
      <c r="G4323" s="242">
        <v>1.8</v>
      </c>
      <c r="H4323" s="239">
        <f>E4323*G4323</f>
        <v>3.6</v>
      </c>
      <c r="I4323" s="122">
        <f>IF($F4323=4.2,H4323*$B$23,0)</f>
        <v>0</v>
      </c>
      <c r="J4323" s="29">
        <f>IF($F4323=5,$H4323*$B$24,0)</f>
        <v>0</v>
      </c>
      <c r="K4323" s="29">
        <f>IF($F4323=6.3,$H4323*$B$25,0)</f>
        <v>0</v>
      </c>
      <c r="L4323" s="29">
        <f>IF($F4323=8,$H4323*$B$26,0)</f>
        <v>1.4220000000000002</v>
      </c>
      <c r="M4323" s="29">
        <f>IF($F4323=10,$H4323*$B$27,0)</f>
        <v>0</v>
      </c>
      <c r="N4323" s="29">
        <f>IF($F4323=12.5,$H4323*$B$28,0)</f>
        <v>0</v>
      </c>
      <c r="O4323" s="29">
        <f>IF($F4323=16,$H4323*$B$29,0)</f>
        <v>0</v>
      </c>
      <c r="P4323" s="29">
        <f>IF($F4323=20,$H4323*$B$30,0)</f>
        <v>0</v>
      </c>
      <c r="Q4323" s="37">
        <f>IF($F4323=25,$H4323*$B$31,0)</f>
        <v>0</v>
      </c>
    </row>
    <row r="4324" spans="4:17" s="62" customFormat="1" x14ac:dyDescent="0.3">
      <c r="D4324" s="307"/>
      <c r="E4324" s="26"/>
      <c r="F4324" s="206"/>
      <c r="G4324" s="207"/>
      <c r="H4324" s="207"/>
      <c r="I4324" s="51"/>
      <c r="J4324" s="308"/>
      <c r="K4324" s="308"/>
      <c r="L4324" s="308"/>
      <c r="M4324" s="308"/>
      <c r="N4324" s="308"/>
      <c r="O4324" s="308"/>
      <c r="P4324" s="308"/>
      <c r="Q4324" s="309"/>
    </row>
    <row r="4325" spans="4:17" s="62" customFormat="1" x14ac:dyDescent="0.3">
      <c r="D4325" s="790" t="s">
        <v>1841</v>
      </c>
      <c r="E4325" s="791"/>
      <c r="F4325" s="791"/>
      <c r="G4325" s="791"/>
      <c r="H4325" s="791"/>
      <c r="I4325" s="175">
        <f t="shared" ref="I4325:Q4325" si="4881">SUM(I4326:I4328)</f>
        <v>0</v>
      </c>
      <c r="J4325" s="175">
        <f t="shared" si="4881"/>
        <v>13.7522</v>
      </c>
      <c r="K4325" s="175">
        <f t="shared" si="4881"/>
        <v>0</v>
      </c>
      <c r="L4325" s="175">
        <f t="shared" si="4881"/>
        <v>17.372100000000003</v>
      </c>
      <c r="M4325" s="175">
        <f t="shared" si="4881"/>
        <v>0</v>
      </c>
      <c r="N4325" s="175">
        <f t="shared" si="4881"/>
        <v>0</v>
      </c>
      <c r="O4325" s="175">
        <f t="shared" si="4881"/>
        <v>0</v>
      </c>
      <c r="P4325" s="175">
        <f t="shared" si="4881"/>
        <v>0</v>
      </c>
      <c r="Q4325" s="175">
        <f t="shared" si="4881"/>
        <v>0</v>
      </c>
    </row>
    <row r="4326" spans="4:17" s="62" customFormat="1" x14ac:dyDescent="0.3">
      <c r="D4326" s="235">
        <v>12</v>
      </c>
      <c r="E4326" s="237">
        <v>190</v>
      </c>
      <c r="F4326" s="238">
        <v>5</v>
      </c>
      <c r="G4326" s="242">
        <v>0.47</v>
      </c>
      <c r="H4326" s="239">
        <f>E4326*G4326</f>
        <v>89.3</v>
      </c>
      <c r="I4326" s="122">
        <f>IF($F4326=4.2,H4326*$B$23,0)</f>
        <v>0</v>
      </c>
      <c r="J4326" s="29">
        <f>IF($F4326=5,$H4326*$B$24,0)</f>
        <v>13.7522</v>
      </c>
      <c r="K4326" s="29">
        <f>IF($F4326=6.3,$H4326*$B$25,0)</f>
        <v>0</v>
      </c>
      <c r="L4326" s="29">
        <f>IF($F4326=8,$H4326*$B$26,0)</f>
        <v>0</v>
      </c>
      <c r="M4326" s="29">
        <f>IF($F4326=10,$H4326*$B$27,0)</f>
        <v>0</v>
      </c>
      <c r="N4326" s="29">
        <f>IF($F4326=12.5,$H4326*$B$28,0)</f>
        <v>0</v>
      </c>
      <c r="O4326" s="29">
        <f>IF($F4326=16,$H4326*$B$29,0)</f>
        <v>0</v>
      </c>
      <c r="P4326" s="29">
        <f>IF($F4326=20,$H4326*$B$30,0)</f>
        <v>0</v>
      </c>
      <c r="Q4326" s="37">
        <f>IF($F4326=25,$H4326*$B$31,0)</f>
        <v>0</v>
      </c>
    </row>
    <row r="4327" spans="4:17" s="62" customFormat="1" x14ac:dyDescent="0.3">
      <c r="D4327" s="235">
        <v>13</v>
      </c>
      <c r="E4327" s="240">
        <v>2</v>
      </c>
      <c r="F4327" s="241">
        <v>8</v>
      </c>
      <c r="G4327" s="242">
        <v>10.92</v>
      </c>
      <c r="H4327" s="239">
        <f>E4327*G4327</f>
        <v>21.84</v>
      </c>
      <c r="I4327" s="122">
        <f>IF($F4327=4.2,H4327*$B$23,0)</f>
        <v>0</v>
      </c>
      <c r="J4327" s="29">
        <f>IF($F4327=5,$H4327*$B$24,0)</f>
        <v>0</v>
      </c>
      <c r="K4327" s="29">
        <f>IF($F4327=6.3,$H4327*$B$25,0)</f>
        <v>0</v>
      </c>
      <c r="L4327" s="29">
        <f>IF($F4327=8,$H4327*$B$26,0)</f>
        <v>8.6268000000000011</v>
      </c>
      <c r="M4327" s="29">
        <f>IF($F4327=10,$H4327*$B$27,0)</f>
        <v>0</v>
      </c>
      <c r="N4327" s="29">
        <f>IF($F4327=12.5,$H4327*$B$28,0)</f>
        <v>0</v>
      </c>
      <c r="O4327" s="29">
        <f>IF($F4327=16,$H4327*$B$29,0)</f>
        <v>0</v>
      </c>
      <c r="P4327" s="29">
        <f>IF($F4327=20,$H4327*$B$30,0)</f>
        <v>0</v>
      </c>
      <c r="Q4327" s="37">
        <f>IF($F4327=25,$H4327*$B$31,0)</f>
        <v>0</v>
      </c>
    </row>
    <row r="4328" spans="4:17" s="62" customFormat="1" x14ac:dyDescent="0.3">
      <c r="D4328" s="235">
        <v>14</v>
      </c>
      <c r="E4328" s="240">
        <v>2</v>
      </c>
      <c r="F4328" s="241">
        <v>8</v>
      </c>
      <c r="G4328" s="242">
        <v>11.07</v>
      </c>
      <c r="H4328" s="239">
        <f>E4328*G4328</f>
        <v>22.14</v>
      </c>
      <c r="I4328" s="122">
        <f>IF($F4328=4.2,H4328*$B$23,0)</f>
        <v>0</v>
      </c>
      <c r="J4328" s="29">
        <f>IF($F4328=5,$H4328*$B$24,0)</f>
        <v>0</v>
      </c>
      <c r="K4328" s="29">
        <f>IF($F4328=6.3,$H4328*$B$25,0)</f>
        <v>0</v>
      </c>
      <c r="L4328" s="29">
        <f>IF($F4328=8,$H4328*$B$26,0)</f>
        <v>8.7453000000000003</v>
      </c>
      <c r="M4328" s="29">
        <f>IF($F4328=10,$H4328*$B$27,0)</f>
        <v>0</v>
      </c>
      <c r="N4328" s="29">
        <f>IF($F4328=12.5,$H4328*$B$28,0)</f>
        <v>0</v>
      </c>
      <c r="O4328" s="29">
        <f>IF($F4328=16,$H4328*$B$29,0)</f>
        <v>0</v>
      </c>
      <c r="P4328" s="29">
        <f>IF($F4328=20,$H4328*$B$30,0)</f>
        <v>0</v>
      </c>
      <c r="Q4328" s="37">
        <f>IF($F4328=25,$H4328*$B$31,0)</f>
        <v>0</v>
      </c>
    </row>
    <row r="4329" spans="4:17" s="62" customFormat="1" x14ac:dyDescent="0.3">
      <c r="D4329" s="307"/>
      <c r="E4329" s="26"/>
      <c r="F4329" s="206"/>
      <c r="G4329" s="207"/>
      <c r="H4329" s="207"/>
      <c r="I4329" s="51"/>
      <c r="J4329" s="308"/>
      <c r="K4329" s="308"/>
      <c r="L4329" s="308"/>
      <c r="M4329" s="308"/>
      <c r="N4329" s="308"/>
      <c r="O4329" s="308"/>
      <c r="P4329" s="308"/>
      <c r="Q4329" s="309"/>
    </row>
    <row r="4330" spans="4:17" s="62" customFormat="1" x14ac:dyDescent="0.3">
      <c r="D4330" s="790" t="s">
        <v>1842</v>
      </c>
      <c r="E4330" s="791"/>
      <c r="F4330" s="791"/>
      <c r="G4330" s="791"/>
      <c r="H4330" s="791"/>
      <c r="I4330" s="175">
        <f t="shared" ref="I4330:Q4330" si="4882">SUM(I4331:I4333)</f>
        <v>0</v>
      </c>
      <c r="J4330" s="175">
        <f t="shared" si="4882"/>
        <v>13.173159999999999</v>
      </c>
      <c r="K4330" s="175">
        <f t="shared" si="4882"/>
        <v>0</v>
      </c>
      <c r="L4330" s="175">
        <f t="shared" si="4882"/>
        <v>16.116</v>
      </c>
      <c r="M4330" s="175">
        <f t="shared" si="4882"/>
        <v>0</v>
      </c>
      <c r="N4330" s="175">
        <f t="shared" si="4882"/>
        <v>0</v>
      </c>
      <c r="O4330" s="175">
        <f t="shared" si="4882"/>
        <v>0</v>
      </c>
      <c r="P4330" s="175">
        <f t="shared" si="4882"/>
        <v>0</v>
      </c>
      <c r="Q4330" s="175">
        <f t="shared" si="4882"/>
        <v>0</v>
      </c>
    </row>
    <row r="4331" spans="4:17" s="62" customFormat="1" x14ac:dyDescent="0.3">
      <c r="D4331" s="235">
        <v>12</v>
      </c>
      <c r="E4331" s="237">
        <v>182</v>
      </c>
      <c r="F4331" s="238">
        <v>5</v>
      </c>
      <c r="G4331" s="242">
        <v>0.47</v>
      </c>
      <c r="H4331" s="239">
        <f>E4331*G4331</f>
        <v>85.539999999999992</v>
      </c>
      <c r="I4331" s="122">
        <f>IF($F4331=4.2,H4331*$B$23,0)</f>
        <v>0</v>
      </c>
      <c r="J4331" s="29">
        <f>IF($F4331=5,$H4331*$B$24,0)</f>
        <v>13.173159999999999</v>
      </c>
      <c r="K4331" s="29">
        <f>IF($F4331=6.3,$H4331*$B$25,0)</f>
        <v>0</v>
      </c>
      <c r="L4331" s="29">
        <f>IF($F4331=8,$H4331*$B$26,0)</f>
        <v>0</v>
      </c>
      <c r="M4331" s="29">
        <f>IF($F4331=10,$H4331*$B$27,0)</f>
        <v>0</v>
      </c>
      <c r="N4331" s="29">
        <f>IF($F4331=12.5,$H4331*$B$28,0)</f>
        <v>0</v>
      </c>
      <c r="O4331" s="29">
        <f>IF($F4331=16,$H4331*$B$29,0)</f>
        <v>0</v>
      </c>
      <c r="P4331" s="29">
        <f>IF($F4331=20,$H4331*$B$30,0)</f>
        <v>0</v>
      </c>
      <c r="Q4331" s="37">
        <f>IF($F4331=25,$H4331*$B$31,0)</f>
        <v>0</v>
      </c>
    </row>
    <row r="4332" spans="4:17" s="62" customFormat="1" x14ac:dyDescent="0.3">
      <c r="D4332" s="235">
        <v>15</v>
      </c>
      <c r="E4332" s="240">
        <v>2</v>
      </c>
      <c r="F4332" s="241">
        <v>8</v>
      </c>
      <c r="G4332" s="242">
        <v>10.16</v>
      </c>
      <c r="H4332" s="239">
        <f>E4332*G4332</f>
        <v>20.32</v>
      </c>
      <c r="I4332" s="122">
        <f>IF($F4332=4.2,H4332*$B$23,0)</f>
        <v>0</v>
      </c>
      <c r="J4332" s="29">
        <f>IF($F4332=5,$H4332*$B$24,0)</f>
        <v>0</v>
      </c>
      <c r="K4332" s="29">
        <f>IF($F4332=6.3,$H4332*$B$25,0)</f>
        <v>0</v>
      </c>
      <c r="L4332" s="29">
        <f>IF($F4332=8,$H4332*$B$26,0)</f>
        <v>8.0264000000000006</v>
      </c>
      <c r="M4332" s="29">
        <f>IF($F4332=10,$H4332*$B$27,0)</f>
        <v>0</v>
      </c>
      <c r="N4332" s="29">
        <f>IF($F4332=12.5,$H4332*$B$28,0)</f>
        <v>0</v>
      </c>
      <c r="O4332" s="29">
        <f>IF($F4332=16,$H4332*$B$29,0)</f>
        <v>0</v>
      </c>
      <c r="P4332" s="29">
        <f>IF($F4332=20,$H4332*$B$30,0)</f>
        <v>0</v>
      </c>
      <c r="Q4332" s="37">
        <f>IF($F4332=25,$H4332*$B$31,0)</f>
        <v>0</v>
      </c>
    </row>
    <row r="4333" spans="4:17" s="62" customFormat="1" x14ac:dyDescent="0.3">
      <c r="D4333" s="235">
        <v>16</v>
      </c>
      <c r="E4333" s="240">
        <v>2</v>
      </c>
      <c r="F4333" s="241">
        <v>8</v>
      </c>
      <c r="G4333" s="242">
        <v>10.24</v>
      </c>
      <c r="H4333" s="239">
        <f>E4333*G4333</f>
        <v>20.48</v>
      </c>
      <c r="I4333" s="122">
        <f>IF($F4333=4.2,H4333*$B$23,0)</f>
        <v>0</v>
      </c>
      <c r="J4333" s="29">
        <f>IF($F4333=5,$H4333*$B$24,0)</f>
        <v>0</v>
      </c>
      <c r="K4333" s="29">
        <f>IF($F4333=6.3,$H4333*$B$25,0)</f>
        <v>0</v>
      </c>
      <c r="L4333" s="29">
        <f>IF($F4333=8,$H4333*$B$26,0)</f>
        <v>8.0896000000000008</v>
      </c>
      <c r="M4333" s="29">
        <f>IF($F4333=10,$H4333*$B$27,0)</f>
        <v>0</v>
      </c>
      <c r="N4333" s="29">
        <f>IF($F4333=12.5,$H4333*$B$28,0)</f>
        <v>0</v>
      </c>
      <c r="O4333" s="29">
        <f>IF($F4333=16,$H4333*$B$29,0)</f>
        <v>0</v>
      </c>
      <c r="P4333" s="29">
        <f>IF($F4333=20,$H4333*$B$30,0)</f>
        <v>0</v>
      </c>
      <c r="Q4333" s="37">
        <f>IF($F4333=25,$H4333*$B$31,0)</f>
        <v>0</v>
      </c>
    </row>
    <row r="4334" spans="4:17" s="62" customFormat="1" x14ac:dyDescent="0.3">
      <c r="D4334" s="307"/>
      <c r="E4334" s="26"/>
      <c r="F4334" s="206"/>
      <c r="G4334" s="207"/>
      <c r="H4334" s="207"/>
      <c r="I4334" s="51"/>
      <c r="J4334" s="308"/>
      <c r="K4334" s="308"/>
      <c r="L4334" s="308"/>
      <c r="M4334" s="308"/>
      <c r="N4334" s="308"/>
      <c r="O4334" s="308"/>
      <c r="P4334" s="308"/>
      <c r="Q4334" s="309"/>
    </row>
    <row r="4335" spans="4:17" s="62" customFormat="1" x14ac:dyDescent="0.3">
      <c r="D4335" s="790" t="s">
        <v>1843</v>
      </c>
      <c r="E4335" s="791"/>
      <c r="F4335" s="791"/>
      <c r="G4335" s="791"/>
      <c r="H4335" s="791"/>
      <c r="I4335" s="175">
        <f t="shared" ref="I4335:Q4335" si="4883">SUM(I4336:I4338)</f>
        <v>0</v>
      </c>
      <c r="J4335" s="175">
        <f t="shared" si="4883"/>
        <v>11.001759999999999</v>
      </c>
      <c r="K4335" s="175">
        <f t="shared" si="4883"/>
        <v>0</v>
      </c>
      <c r="L4335" s="175">
        <f t="shared" si="4883"/>
        <v>13.003399999999999</v>
      </c>
      <c r="M4335" s="175">
        <f t="shared" si="4883"/>
        <v>0</v>
      </c>
      <c r="N4335" s="175">
        <f t="shared" si="4883"/>
        <v>0</v>
      </c>
      <c r="O4335" s="175">
        <f t="shared" si="4883"/>
        <v>0</v>
      </c>
      <c r="P4335" s="175">
        <f t="shared" si="4883"/>
        <v>0</v>
      </c>
      <c r="Q4335" s="175">
        <f t="shared" si="4883"/>
        <v>0</v>
      </c>
    </row>
    <row r="4336" spans="4:17" s="62" customFormat="1" x14ac:dyDescent="0.3">
      <c r="D4336" s="235">
        <v>12</v>
      </c>
      <c r="E4336" s="237">
        <v>152</v>
      </c>
      <c r="F4336" s="238">
        <v>5</v>
      </c>
      <c r="G4336" s="242">
        <v>0.47</v>
      </c>
      <c r="H4336" s="239">
        <f>E4336*G4336</f>
        <v>71.44</v>
      </c>
      <c r="I4336" s="122">
        <f>IF($F4336=4.2,H4336*$B$23,0)</f>
        <v>0</v>
      </c>
      <c r="J4336" s="29">
        <f>IF($F4336=5,$H4336*$B$24,0)</f>
        <v>11.001759999999999</v>
      </c>
      <c r="K4336" s="29">
        <f>IF($F4336=6.3,$H4336*$B$25,0)</f>
        <v>0</v>
      </c>
      <c r="L4336" s="29">
        <f>IF($F4336=8,$H4336*$B$26,0)</f>
        <v>0</v>
      </c>
      <c r="M4336" s="29">
        <f>IF($F4336=10,$H4336*$B$27,0)</f>
        <v>0</v>
      </c>
      <c r="N4336" s="29">
        <f>IF($F4336=12.5,$H4336*$B$28,0)</f>
        <v>0</v>
      </c>
      <c r="O4336" s="29">
        <f>IF($F4336=16,$H4336*$B$29,0)</f>
        <v>0</v>
      </c>
      <c r="P4336" s="29">
        <f>IF($F4336=20,$H4336*$B$30,0)</f>
        <v>0</v>
      </c>
      <c r="Q4336" s="37">
        <f>IF($F4336=25,$H4336*$B$31,0)</f>
        <v>0</v>
      </c>
    </row>
    <row r="4337" spans="4:17" s="62" customFormat="1" x14ac:dyDescent="0.3">
      <c r="D4337" s="235">
        <v>17</v>
      </c>
      <c r="E4337" s="240">
        <v>2</v>
      </c>
      <c r="F4337" s="241">
        <v>8</v>
      </c>
      <c r="G4337" s="242">
        <v>8.19</v>
      </c>
      <c r="H4337" s="239">
        <f>E4337*G4337</f>
        <v>16.38</v>
      </c>
      <c r="I4337" s="122">
        <f>IF($F4337=4.2,H4337*$B$23,0)</f>
        <v>0</v>
      </c>
      <c r="J4337" s="29">
        <f>IF($F4337=5,$H4337*$B$24,0)</f>
        <v>0</v>
      </c>
      <c r="K4337" s="29">
        <f>IF($F4337=6.3,$H4337*$B$25,0)</f>
        <v>0</v>
      </c>
      <c r="L4337" s="29">
        <f>IF($F4337=8,$H4337*$B$26,0)</f>
        <v>6.4700999999999995</v>
      </c>
      <c r="M4337" s="29">
        <f>IF($F4337=10,$H4337*$B$27,0)</f>
        <v>0</v>
      </c>
      <c r="N4337" s="29">
        <f>IF($F4337=12.5,$H4337*$B$28,0)</f>
        <v>0</v>
      </c>
      <c r="O4337" s="29">
        <f>IF($F4337=16,$H4337*$B$29,0)</f>
        <v>0</v>
      </c>
      <c r="P4337" s="29">
        <f>IF($F4337=20,$H4337*$B$30,0)</f>
        <v>0</v>
      </c>
      <c r="Q4337" s="37">
        <f>IF($F4337=25,$H4337*$B$31,0)</f>
        <v>0</v>
      </c>
    </row>
    <row r="4338" spans="4:17" s="62" customFormat="1" x14ac:dyDescent="0.3">
      <c r="D4338" s="235">
        <v>18</v>
      </c>
      <c r="E4338" s="240">
        <v>2</v>
      </c>
      <c r="F4338" s="241">
        <v>8</v>
      </c>
      <c r="G4338" s="242">
        <v>8.27</v>
      </c>
      <c r="H4338" s="239">
        <f>E4338*G4338</f>
        <v>16.54</v>
      </c>
      <c r="I4338" s="122">
        <f>IF($F4338=4.2,H4338*$B$23,0)</f>
        <v>0</v>
      </c>
      <c r="J4338" s="29">
        <f>IF($F4338=5,$H4338*$B$24,0)</f>
        <v>0</v>
      </c>
      <c r="K4338" s="29">
        <f>IF($F4338=6.3,$H4338*$B$25,0)</f>
        <v>0</v>
      </c>
      <c r="L4338" s="29">
        <f>IF($F4338=8,$H4338*$B$26,0)</f>
        <v>6.5332999999999997</v>
      </c>
      <c r="M4338" s="29">
        <f>IF($F4338=10,$H4338*$B$27,0)</f>
        <v>0</v>
      </c>
      <c r="N4338" s="29">
        <f>IF($F4338=12.5,$H4338*$B$28,0)</f>
        <v>0</v>
      </c>
      <c r="O4338" s="29">
        <f>IF($F4338=16,$H4338*$B$29,0)</f>
        <v>0</v>
      </c>
      <c r="P4338" s="29">
        <f>IF($F4338=20,$H4338*$B$30,0)</f>
        <v>0</v>
      </c>
      <c r="Q4338" s="37">
        <f>IF($F4338=25,$H4338*$B$31,0)</f>
        <v>0</v>
      </c>
    </row>
    <row r="4339" spans="4:17" s="62" customFormat="1" x14ac:dyDescent="0.3">
      <c r="D4339" s="307"/>
      <c r="E4339" s="26"/>
      <c r="F4339" s="206"/>
      <c r="G4339" s="207"/>
      <c r="H4339" s="207"/>
      <c r="I4339" s="51"/>
      <c r="J4339" s="308"/>
      <c r="K4339" s="308"/>
      <c r="L4339" s="308"/>
      <c r="M4339" s="308"/>
      <c r="N4339" s="308"/>
      <c r="O4339" s="308"/>
      <c r="P4339" s="308"/>
      <c r="Q4339" s="309"/>
    </row>
    <row r="4340" spans="4:17" s="62" customFormat="1" x14ac:dyDescent="0.3">
      <c r="D4340" s="790" t="s">
        <v>1844</v>
      </c>
      <c r="E4340" s="791"/>
      <c r="F4340" s="791"/>
      <c r="G4340" s="791"/>
      <c r="H4340" s="791"/>
      <c r="I4340" s="175">
        <f t="shared" ref="I4340:Q4340" si="4884">SUM(I4341:I4343)</f>
        <v>0</v>
      </c>
      <c r="J4340" s="175">
        <f t="shared" si="4884"/>
        <v>12.59412</v>
      </c>
      <c r="K4340" s="175">
        <f t="shared" si="4884"/>
        <v>0</v>
      </c>
      <c r="L4340" s="175">
        <f t="shared" si="4884"/>
        <v>14.7651</v>
      </c>
      <c r="M4340" s="175">
        <f t="shared" si="4884"/>
        <v>0</v>
      </c>
      <c r="N4340" s="175">
        <f t="shared" si="4884"/>
        <v>0</v>
      </c>
      <c r="O4340" s="175">
        <f t="shared" si="4884"/>
        <v>0</v>
      </c>
      <c r="P4340" s="175">
        <f t="shared" si="4884"/>
        <v>0</v>
      </c>
      <c r="Q4340" s="175">
        <f t="shared" si="4884"/>
        <v>0</v>
      </c>
    </row>
    <row r="4341" spans="4:17" s="62" customFormat="1" x14ac:dyDescent="0.3">
      <c r="D4341" s="235">
        <v>12</v>
      </c>
      <c r="E4341" s="237">
        <v>174</v>
      </c>
      <c r="F4341" s="238">
        <v>5</v>
      </c>
      <c r="G4341" s="242">
        <v>0.47</v>
      </c>
      <c r="H4341" s="239">
        <f>E4341*G4341</f>
        <v>81.78</v>
      </c>
      <c r="I4341" s="122">
        <f>IF($F4341=4.2,H4341*$B$23,0)</f>
        <v>0</v>
      </c>
      <c r="J4341" s="29">
        <f>IF($F4341=5,$H4341*$B$24,0)</f>
        <v>12.59412</v>
      </c>
      <c r="K4341" s="29">
        <f>IF($F4341=6.3,$H4341*$B$25,0)</f>
        <v>0</v>
      </c>
      <c r="L4341" s="29">
        <f>IF($F4341=8,$H4341*$B$26,0)</f>
        <v>0</v>
      </c>
      <c r="M4341" s="29">
        <f>IF($F4341=10,$H4341*$B$27,0)</f>
        <v>0</v>
      </c>
      <c r="N4341" s="29">
        <f>IF($F4341=12.5,$H4341*$B$28,0)</f>
        <v>0</v>
      </c>
      <c r="O4341" s="29">
        <f>IF($F4341=16,$H4341*$B$29,0)</f>
        <v>0</v>
      </c>
      <c r="P4341" s="29">
        <f>IF($F4341=20,$H4341*$B$30,0)</f>
        <v>0</v>
      </c>
      <c r="Q4341" s="37">
        <f>IF($F4341=25,$H4341*$B$31,0)</f>
        <v>0</v>
      </c>
    </row>
    <row r="4342" spans="4:17" s="62" customFormat="1" x14ac:dyDescent="0.3">
      <c r="D4342" s="235">
        <v>19</v>
      </c>
      <c r="E4342" s="240">
        <v>2</v>
      </c>
      <c r="F4342" s="241">
        <v>8</v>
      </c>
      <c r="G4342" s="242">
        <v>9.31</v>
      </c>
      <c r="H4342" s="239">
        <f>E4342*G4342</f>
        <v>18.62</v>
      </c>
      <c r="I4342" s="122">
        <f>IF($F4342=4.2,H4342*$B$23,0)</f>
        <v>0</v>
      </c>
      <c r="J4342" s="29">
        <f>IF($F4342=5,$H4342*$B$24,0)</f>
        <v>0</v>
      </c>
      <c r="K4342" s="29">
        <f>IF($F4342=6.3,$H4342*$B$25,0)</f>
        <v>0</v>
      </c>
      <c r="L4342" s="29">
        <f>IF($F4342=8,$H4342*$B$26,0)</f>
        <v>7.3549000000000007</v>
      </c>
      <c r="M4342" s="29">
        <f>IF($F4342=10,$H4342*$B$27,0)</f>
        <v>0</v>
      </c>
      <c r="N4342" s="29">
        <f>IF($F4342=12.5,$H4342*$B$28,0)</f>
        <v>0</v>
      </c>
      <c r="O4342" s="29">
        <f>IF($F4342=16,$H4342*$B$29,0)</f>
        <v>0</v>
      </c>
      <c r="P4342" s="29">
        <f>IF($F4342=20,$H4342*$B$30,0)</f>
        <v>0</v>
      </c>
      <c r="Q4342" s="37">
        <f>IF($F4342=25,$H4342*$B$31,0)</f>
        <v>0</v>
      </c>
    </row>
    <row r="4343" spans="4:17" s="62" customFormat="1" x14ac:dyDescent="0.3">
      <c r="D4343" s="235">
        <v>20</v>
      </c>
      <c r="E4343" s="240">
        <v>2</v>
      </c>
      <c r="F4343" s="241">
        <v>8</v>
      </c>
      <c r="G4343" s="242">
        <v>9.3800000000000008</v>
      </c>
      <c r="H4343" s="239">
        <f>E4343*G4343</f>
        <v>18.760000000000002</v>
      </c>
      <c r="I4343" s="122">
        <f>IF($F4343=4.2,H4343*$B$23,0)</f>
        <v>0</v>
      </c>
      <c r="J4343" s="29">
        <f>IF($F4343=5,$H4343*$B$24,0)</f>
        <v>0</v>
      </c>
      <c r="K4343" s="29">
        <f>IF($F4343=6.3,$H4343*$B$25,0)</f>
        <v>0</v>
      </c>
      <c r="L4343" s="29">
        <f>IF($F4343=8,$H4343*$B$26,0)</f>
        <v>7.4102000000000006</v>
      </c>
      <c r="M4343" s="29">
        <f>IF($F4343=10,$H4343*$B$27,0)</f>
        <v>0</v>
      </c>
      <c r="N4343" s="29">
        <f>IF($F4343=12.5,$H4343*$B$28,0)</f>
        <v>0</v>
      </c>
      <c r="O4343" s="29">
        <f>IF($F4343=16,$H4343*$B$29,0)</f>
        <v>0</v>
      </c>
      <c r="P4343" s="29">
        <f>IF($F4343=20,$H4343*$B$30,0)</f>
        <v>0</v>
      </c>
      <c r="Q4343" s="37">
        <f>IF($F4343=25,$H4343*$B$31,0)</f>
        <v>0</v>
      </c>
    </row>
    <row r="4344" spans="4:17" s="62" customFormat="1" ht="15" thickBot="1" x14ac:dyDescent="0.35">
      <c r="D4344" s="307"/>
      <c r="E4344" s="26"/>
      <c r="F4344" s="206"/>
      <c r="G4344" s="207"/>
      <c r="H4344" s="207"/>
      <c r="I4344" s="51"/>
      <c r="J4344" s="308"/>
      <c r="K4344" s="308"/>
      <c r="L4344" s="308"/>
      <c r="M4344" s="308"/>
      <c r="N4344" s="308"/>
      <c r="O4344" s="308"/>
      <c r="P4344" s="308"/>
      <c r="Q4344" s="309"/>
    </row>
    <row r="4345" spans="4:17" s="62" customFormat="1" ht="15" thickBot="1" x14ac:dyDescent="0.35">
      <c r="D4345" s="792" t="s">
        <v>1985</v>
      </c>
      <c r="E4345" s="793"/>
      <c r="F4345" s="793"/>
      <c r="G4345" s="793"/>
      <c r="H4345" s="793"/>
      <c r="I4345" s="793"/>
      <c r="J4345" s="793"/>
      <c r="K4345" s="793"/>
      <c r="L4345" s="793"/>
      <c r="M4345" s="793"/>
      <c r="N4345" s="793"/>
      <c r="O4345" s="793"/>
      <c r="P4345" s="793"/>
      <c r="Q4345" s="794"/>
    </row>
    <row r="4346" spans="4:17" s="62" customFormat="1" x14ac:dyDescent="0.3">
      <c r="D4346" s="790" t="s">
        <v>2061</v>
      </c>
      <c r="E4346" s="791"/>
      <c r="F4346" s="791"/>
      <c r="G4346" s="791"/>
      <c r="H4346" s="791"/>
      <c r="I4346" s="175">
        <f t="shared" ref="I4346:Q4346" si="4885">SUM(I4347:I4351)</f>
        <v>0</v>
      </c>
      <c r="J4346" s="175">
        <f t="shared" si="4885"/>
        <v>10.856999999999999</v>
      </c>
      <c r="K4346" s="175">
        <f t="shared" si="4885"/>
        <v>0</v>
      </c>
      <c r="L4346" s="175">
        <f t="shared" si="4885"/>
        <v>13.177199999999999</v>
      </c>
      <c r="M4346" s="175">
        <f t="shared" si="4885"/>
        <v>0</v>
      </c>
      <c r="N4346" s="175">
        <f t="shared" si="4885"/>
        <v>0</v>
      </c>
      <c r="O4346" s="175">
        <f t="shared" si="4885"/>
        <v>0</v>
      </c>
      <c r="P4346" s="175">
        <f t="shared" si="4885"/>
        <v>0</v>
      </c>
      <c r="Q4346" s="175">
        <f t="shared" si="4885"/>
        <v>0</v>
      </c>
    </row>
    <row r="4347" spans="4:17" s="62" customFormat="1" x14ac:dyDescent="0.3">
      <c r="D4347" s="235">
        <v>18</v>
      </c>
      <c r="E4347" s="237">
        <f>2*75</f>
        <v>150</v>
      </c>
      <c r="F4347" s="238">
        <v>5</v>
      </c>
      <c r="G4347" s="242">
        <v>0.47</v>
      </c>
      <c r="H4347" s="239">
        <f>E4347*G4347</f>
        <v>70.5</v>
      </c>
      <c r="I4347" s="122">
        <f>IF($F4347=4.2,H4347*$B$23,0)</f>
        <v>0</v>
      </c>
      <c r="J4347" s="29">
        <f>IF($F4347=5,$H4347*$B$24,0)</f>
        <v>10.856999999999999</v>
      </c>
      <c r="K4347" s="29">
        <f>IF($F4347=6.3,$H4347*$B$25,0)</f>
        <v>0</v>
      </c>
      <c r="L4347" s="29">
        <f>IF($F4347=8,$H4347*$B$26,0)</f>
        <v>0</v>
      </c>
      <c r="M4347" s="29">
        <f>IF($F4347=10,$H4347*$B$27,0)</f>
        <v>0</v>
      </c>
      <c r="N4347" s="29">
        <f>IF($F4347=12.5,$H4347*$B$28,0)</f>
        <v>0</v>
      </c>
      <c r="O4347" s="29">
        <f>IF($F4347=16,$H4347*$B$29,0)</f>
        <v>0</v>
      </c>
      <c r="P4347" s="29">
        <f>IF($F4347=20,$H4347*$B$30,0)</f>
        <v>0</v>
      </c>
      <c r="Q4347" s="37">
        <f>IF($F4347=25,$H4347*$B$31,0)</f>
        <v>0</v>
      </c>
    </row>
    <row r="4348" spans="4:17" s="62" customFormat="1" x14ac:dyDescent="0.3">
      <c r="D4348" s="235">
        <v>19</v>
      </c>
      <c r="E4348" s="240">
        <f>2*2</f>
        <v>4</v>
      </c>
      <c r="F4348" s="241">
        <v>8</v>
      </c>
      <c r="G4348" s="242">
        <v>4.09</v>
      </c>
      <c r="H4348" s="239">
        <f>E4348*G4348</f>
        <v>16.36</v>
      </c>
      <c r="I4348" s="122">
        <f>IF($F4348=4.2,H4348*$B$23,0)</f>
        <v>0</v>
      </c>
      <c r="J4348" s="29">
        <f>IF($F4348=5,$H4348*$B$24,0)</f>
        <v>0</v>
      </c>
      <c r="K4348" s="29">
        <f>IF($F4348=6.3,$H4348*$B$25,0)</f>
        <v>0</v>
      </c>
      <c r="L4348" s="29">
        <f>IF($F4348=8,$H4348*$B$26,0)</f>
        <v>6.4622000000000002</v>
      </c>
      <c r="M4348" s="29">
        <f>IF($F4348=10,$H4348*$B$27,0)</f>
        <v>0</v>
      </c>
      <c r="N4348" s="29">
        <f>IF($F4348=12.5,$H4348*$B$28,0)</f>
        <v>0</v>
      </c>
      <c r="O4348" s="29">
        <f>IF($F4348=16,$H4348*$B$29,0)</f>
        <v>0</v>
      </c>
      <c r="P4348" s="29">
        <f>IF($F4348=20,$H4348*$B$30,0)</f>
        <v>0</v>
      </c>
      <c r="Q4348" s="37">
        <f>IF($F4348=25,$H4348*$B$31,0)</f>
        <v>0</v>
      </c>
    </row>
    <row r="4349" spans="4:17" s="62" customFormat="1" x14ac:dyDescent="0.3">
      <c r="D4349" s="235">
        <v>20</v>
      </c>
      <c r="E4349" s="240">
        <f>2*2</f>
        <v>4</v>
      </c>
      <c r="F4349" s="241">
        <v>8</v>
      </c>
      <c r="G4349" s="242">
        <v>4.25</v>
      </c>
      <c r="H4349" s="239">
        <f>E4349*G4349</f>
        <v>17</v>
      </c>
      <c r="I4349" s="122">
        <f>IF($F4349=4.2,H4349*$B$23,0)</f>
        <v>0</v>
      </c>
      <c r="J4349" s="29">
        <f>IF($F4349=5,$H4349*$B$24,0)</f>
        <v>0</v>
      </c>
      <c r="K4349" s="29">
        <f>IF($F4349=6.3,$H4349*$B$25,0)</f>
        <v>0</v>
      </c>
      <c r="L4349" s="29">
        <f>IF($F4349=8,$H4349*$B$26,0)</f>
        <v>6.7149999999999999</v>
      </c>
      <c r="M4349" s="29">
        <f>IF($F4349=10,$H4349*$B$27,0)</f>
        <v>0</v>
      </c>
      <c r="N4349" s="29">
        <f>IF($F4349=12.5,$H4349*$B$28,0)</f>
        <v>0</v>
      </c>
      <c r="O4349" s="29">
        <f>IF($F4349=16,$H4349*$B$29,0)</f>
        <v>0</v>
      </c>
      <c r="P4349" s="29">
        <f>IF($F4349=20,$H4349*$B$30,0)</f>
        <v>0</v>
      </c>
      <c r="Q4349" s="37">
        <f>IF($F4349=25,$H4349*$B$31,0)</f>
        <v>0</v>
      </c>
    </row>
    <row r="4350" spans="4:17" s="62" customFormat="1" x14ac:dyDescent="0.3">
      <c r="D4350" s="235"/>
      <c r="E4350" s="240"/>
      <c r="F4350" s="241"/>
      <c r="G4350" s="242"/>
      <c r="H4350" s="239">
        <f>E4350*G4350</f>
        <v>0</v>
      </c>
      <c r="I4350" s="122">
        <f>IF($F4350=4.2,H4350*$B$23,0)</f>
        <v>0</v>
      </c>
      <c r="J4350" s="29">
        <f>IF($F4350=5,$H4350*$B$24,0)</f>
        <v>0</v>
      </c>
      <c r="K4350" s="29">
        <f>IF($F4350=6.3,$H4350*$B$25,0)</f>
        <v>0</v>
      </c>
      <c r="L4350" s="29">
        <f>IF($F4350=8,$H4350*$B$26,0)</f>
        <v>0</v>
      </c>
      <c r="M4350" s="29">
        <f>IF($F4350=10,$H4350*$B$27,0)</f>
        <v>0</v>
      </c>
      <c r="N4350" s="29">
        <f>IF($F4350=12.5,$H4350*$B$28,0)</f>
        <v>0</v>
      </c>
      <c r="O4350" s="29">
        <f>IF($F4350=16,$H4350*$B$29,0)</f>
        <v>0</v>
      </c>
      <c r="P4350" s="29">
        <f>IF($F4350=20,$H4350*$B$30,0)</f>
        <v>0</v>
      </c>
      <c r="Q4350" s="37">
        <f>IF($F4350=25,$H4350*$B$31,0)</f>
        <v>0</v>
      </c>
    </row>
    <row r="4351" spans="4:17" s="62" customFormat="1" x14ac:dyDescent="0.3">
      <c r="D4351" s="235"/>
      <c r="E4351" s="240"/>
      <c r="F4351" s="241"/>
      <c r="G4351" s="242"/>
      <c r="H4351" s="239">
        <f>E4351*G4351</f>
        <v>0</v>
      </c>
      <c r="I4351" s="122">
        <f>IF($F4351=4.2,H4351*$B$23,0)</f>
        <v>0</v>
      </c>
      <c r="J4351" s="29">
        <f>IF($F4351=5,$H4351*$B$24,0)</f>
        <v>0</v>
      </c>
      <c r="K4351" s="29">
        <f>IF($F4351=6.3,$H4351*$B$25,0)</f>
        <v>0</v>
      </c>
      <c r="L4351" s="29">
        <f>IF($F4351=8,$H4351*$B$26,0)</f>
        <v>0</v>
      </c>
      <c r="M4351" s="29">
        <f>IF($F4351=10,$H4351*$B$27,0)</f>
        <v>0</v>
      </c>
      <c r="N4351" s="29">
        <f>IF($F4351=12.5,$H4351*$B$28,0)</f>
        <v>0</v>
      </c>
      <c r="O4351" s="29">
        <f>IF($F4351=16,$H4351*$B$29,0)</f>
        <v>0</v>
      </c>
      <c r="P4351" s="29">
        <f>IF($F4351=20,$H4351*$B$30,0)</f>
        <v>0</v>
      </c>
      <c r="Q4351" s="37">
        <f>IF($F4351=25,$H4351*$B$31,0)</f>
        <v>0</v>
      </c>
    </row>
    <row r="4352" spans="4:17" s="62" customFormat="1" x14ac:dyDescent="0.3">
      <c r="D4352" s="307"/>
      <c r="E4352" s="26"/>
      <c r="F4352" s="206"/>
      <c r="G4352" s="207"/>
      <c r="H4352" s="207"/>
      <c r="I4352" s="51"/>
      <c r="J4352" s="308"/>
      <c r="K4352" s="308"/>
      <c r="L4352" s="308"/>
      <c r="M4352" s="308"/>
      <c r="N4352" s="308"/>
      <c r="O4352" s="308"/>
      <c r="P4352" s="308"/>
      <c r="Q4352" s="309"/>
    </row>
    <row r="4353" spans="4:17" s="62" customFormat="1" x14ac:dyDescent="0.3">
      <c r="D4353" s="790" t="s">
        <v>2062</v>
      </c>
      <c r="E4353" s="791"/>
      <c r="F4353" s="791"/>
      <c r="G4353" s="791"/>
      <c r="H4353" s="791"/>
      <c r="I4353" s="175">
        <f t="shared" ref="I4353:Q4353" si="4886">SUM(I4354:I4358)</f>
        <v>0</v>
      </c>
      <c r="J4353" s="175">
        <f t="shared" si="4886"/>
        <v>12.015079999999999</v>
      </c>
      <c r="K4353" s="175">
        <f t="shared" si="4886"/>
        <v>0</v>
      </c>
      <c r="L4353" s="175">
        <f t="shared" si="4886"/>
        <v>8.2476000000000003</v>
      </c>
      <c r="M4353" s="175">
        <f t="shared" si="4886"/>
        <v>12.642329999999999</v>
      </c>
      <c r="N4353" s="175">
        <f t="shared" si="4886"/>
        <v>0</v>
      </c>
      <c r="O4353" s="175">
        <f t="shared" si="4886"/>
        <v>0</v>
      </c>
      <c r="P4353" s="175">
        <f t="shared" si="4886"/>
        <v>0</v>
      </c>
      <c r="Q4353" s="175">
        <f t="shared" si="4886"/>
        <v>0</v>
      </c>
    </row>
    <row r="4354" spans="4:17" s="62" customFormat="1" x14ac:dyDescent="0.3">
      <c r="D4354" s="235">
        <v>18</v>
      </c>
      <c r="E4354" s="237">
        <v>166</v>
      </c>
      <c r="F4354" s="238">
        <v>5</v>
      </c>
      <c r="G4354" s="242">
        <v>0.47</v>
      </c>
      <c r="H4354" s="239">
        <f>E4354*G4354</f>
        <v>78.02</v>
      </c>
      <c r="I4354" s="122">
        <f>IF($F4354=4.2,H4354*$B$23,0)</f>
        <v>0</v>
      </c>
      <c r="J4354" s="29">
        <f>IF($F4354=5,$H4354*$B$24,0)</f>
        <v>12.015079999999999</v>
      </c>
      <c r="K4354" s="29">
        <f>IF($F4354=6.3,$H4354*$B$25,0)</f>
        <v>0</v>
      </c>
      <c r="L4354" s="29">
        <f>IF($F4354=8,$H4354*$B$26,0)</f>
        <v>0</v>
      </c>
      <c r="M4354" s="29">
        <f>IF($F4354=10,$H4354*$B$27,0)</f>
        <v>0</v>
      </c>
      <c r="N4354" s="29">
        <f>IF($F4354=12.5,$H4354*$B$28,0)</f>
        <v>0</v>
      </c>
      <c r="O4354" s="29">
        <f>IF($F4354=16,$H4354*$B$29,0)</f>
        <v>0</v>
      </c>
      <c r="P4354" s="29">
        <f>IF($F4354=20,$H4354*$B$30,0)</f>
        <v>0</v>
      </c>
      <c r="Q4354" s="37">
        <f>IF($F4354=25,$H4354*$B$31,0)</f>
        <v>0</v>
      </c>
    </row>
    <row r="4355" spans="4:17" s="62" customFormat="1" x14ac:dyDescent="0.3">
      <c r="D4355" s="235">
        <v>21</v>
      </c>
      <c r="E4355" s="240">
        <v>4</v>
      </c>
      <c r="F4355" s="241">
        <v>8</v>
      </c>
      <c r="G4355" s="242">
        <v>5.22</v>
      </c>
      <c r="H4355" s="239">
        <f>E4355*G4355</f>
        <v>20.88</v>
      </c>
      <c r="I4355" s="122">
        <f>IF($F4355=4.2,H4355*$B$23,0)</f>
        <v>0</v>
      </c>
      <c r="J4355" s="29">
        <f>IF($F4355=5,$H4355*$B$24,0)</f>
        <v>0</v>
      </c>
      <c r="K4355" s="29">
        <f>IF($F4355=6.3,$H4355*$B$25,0)</f>
        <v>0</v>
      </c>
      <c r="L4355" s="29">
        <f>IF($F4355=8,$H4355*$B$26,0)</f>
        <v>8.2476000000000003</v>
      </c>
      <c r="M4355" s="29">
        <f>IF($F4355=10,$H4355*$B$27,0)</f>
        <v>0</v>
      </c>
      <c r="N4355" s="29">
        <f>IF($F4355=12.5,$H4355*$B$28,0)</f>
        <v>0</v>
      </c>
      <c r="O4355" s="29">
        <f>IF($F4355=16,$H4355*$B$29,0)</f>
        <v>0</v>
      </c>
      <c r="P4355" s="29">
        <f>IF($F4355=20,$H4355*$B$30,0)</f>
        <v>0</v>
      </c>
      <c r="Q4355" s="37">
        <f>IF($F4355=25,$H4355*$B$31,0)</f>
        <v>0</v>
      </c>
    </row>
    <row r="4356" spans="4:17" s="62" customFormat="1" x14ac:dyDescent="0.3">
      <c r="D4356" s="235">
        <v>40</v>
      </c>
      <c r="E4356" s="240">
        <v>1</v>
      </c>
      <c r="F4356" s="241">
        <v>10</v>
      </c>
      <c r="G4356" s="242">
        <v>5.07</v>
      </c>
      <c r="H4356" s="239">
        <f>E4356*G4356</f>
        <v>5.07</v>
      </c>
      <c r="I4356" s="122">
        <f>IF($F4356=4.2,H4356*$B$23,0)</f>
        <v>0</v>
      </c>
      <c r="J4356" s="29">
        <f>IF($F4356=5,$H4356*$B$24,0)</f>
        <v>0</v>
      </c>
      <c r="K4356" s="29">
        <f>IF($F4356=6.3,$H4356*$B$25,0)</f>
        <v>0</v>
      </c>
      <c r="L4356" s="29">
        <f>IF($F4356=8,$H4356*$B$26,0)</f>
        <v>0</v>
      </c>
      <c r="M4356" s="29">
        <f>IF($F4356=10,$H4356*$B$27,0)</f>
        <v>3.12819</v>
      </c>
      <c r="N4356" s="29">
        <f>IF($F4356=12.5,$H4356*$B$28,0)</f>
        <v>0</v>
      </c>
      <c r="O4356" s="29">
        <f>IF($F4356=16,$H4356*$B$29,0)</f>
        <v>0</v>
      </c>
      <c r="P4356" s="29">
        <f>IF($F4356=20,$H4356*$B$30,0)</f>
        <v>0</v>
      </c>
      <c r="Q4356" s="37">
        <f>IF($F4356=25,$H4356*$B$31,0)</f>
        <v>0</v>
      </c>
    </row>
    <row r="4357" spans="4:17" s="62" customFormat="1" x14ac:dyDescent="0.3">
      <c r="D4357" s="235">
        <v>41</v>
      </c>
      <c r="E4357" s="240">
        <v>3</v>
      </c>
      <c r="F4357" s="241">
        <v>10</v>
      </c>
      <c r="G4357" s="242">
        <v>5.14</v>
      </c>
      <c r="H4357" s="239">
        <f>E4357*G4357</f>
        <v>15.419999999999998</v>
      </c>
      <c r="I4357" s="122">
        <f>IF($F4357=4.2,H4357*$B$23,0)</f>
        <v>0</v>
      </c>
      <c r="J4357" s="29">
        <f>IF($F4357=5,$H4357*$B$24,0)</f>
        <v>0</v>
      </c>
      <c r="K4357" s="29">
        <f>IF($F4357=6.3,$H4357*$B$25,0)</f>
        <v>0</v>
      </c>
      <c r="L4357" s="29">
        <f>IF($F4357=8,$H4357*$B$26,0)</f>
        <v>0</v>
      </c>
      <c r="M4357" s="29">
        <f>IF($F4357=10,$H4357*$B$27,0)</f>
        <v>9.5141399999999994</v>
      </c>
      <c r="N4357" s="29">
        <f>IF($F4357=12.5,$H4357*$B$28,0)</f>
        <v>0</v>
      </c>
      <c r="O4357" s="29">
        <f>IF($F4357=16,$H4357*$B$29,0)</f>
        <v>0</v>
      </c>
      <c r="P4357" s="29">
        <f>IF($F4357=20,$H4357*$B$30,0)</f>
        <v>0</v>
      </c>
      <c r="Q4357" s="37">
        <f>IF($F4357=25,$H4357*$B$31,0)</f>
        <v>0</v>
      </c>
    </row>
    <row r="4358" spans="4:17" s="62" customFormat="1" x14ac:dyDescent="0.3">
      <c r="D4358" s="235"/>
      <c r="E4358" s="240"/>
      <c r="F4358" s="241"/>
      <c r="G4358" s="242"/>
      <c r="H4358" s="239">
        <f>E4358*G4358</f>
        <v>0</v>
      </c>
      <c r="I4358" s="122">
        <f>IF($F4358=4.2,H4358*$B$23,0)</f>
        <v>0</v>
      </c>
      <c r="J4358" s="29">
        <f>IF($F4358=5,$H4358*$B$24,0)</f>
        <v>0</v>
      </c>
      <c r="K4358" s="29">
        <f>IF($F4358=6.3,$H4358*$B$25,0)</f>
        <v>0</v>
      </c>
      <c r="L4358" s="29">
        <f>IF($F4358=8,$H4358*$B$26,0)</f>
        <v>0</v>
      </c>
      <c r="M4358" s="29">
        <f>IF($F4358=10,$H4358*$B$27,0)</f>
        <v>0</v>
      </c>
      <c r="N4358" s="29">
        <f>IF($F4358=12.5,$H4358*$B$28,0)</f>
        <v>0</v>
      </c>
      <c r="O4358" s="29">
        <f>IF($F4358=16,$H4358*$B$29,0)</f>
        <v>0</v>
      </c>
      <c r="P4358" s="29">
        <f>IF($F4358=20,$H4358*$B$30,0)</f>
        <v>0</v>
      </c>
      <c r="Q4358" s="37">
        <f>IF($F4358=25,$H4358*$B$31,0)</f>
        <v>0</v>
      </c>
    </row>
    <row r="4359" spans="4:17" s="62" customFormat="1" x14ac:dyDescent="0.3">
      <c r="D4359" s="307"/>
      <c r="E4359" s="26"/>
      <c r="F4359" s="206"/>
      <c r="G4359" s="207"/>
      <c r="H4359" s="207"/>
      <c r="I4359" s="51"/>
      <c r="J4359" s="308"/>
      <c r="K4359" s="308"/>
      <c r="L4359" s="308"/>
      <c r="M4359" s="308"/>
      <c r="N4359" s="308"/>
      <c r="O4359" s="308"/>
      <c r="P4359" s="308"/>
      <c r="Q4359" s="309"/>
    </row>
    <row r="4360" spans="4:17" s="62" customFormat="1" x14ac:dyDescent="0.3">
      <c r="D4360" s="790" t="s">
        <v>2063</v>
      </c>
      <c r="E4360" s="791"/>
      <c r="F4360" s="791"/>
      <c r="G4360" s="791"/>
      <c r="H4360" s="791"/>
      <c r="I4360" s="175">
        <f t="shared" ref="I4360:Q4360" si="4887">SUM(I4361:I4365)</f>
        <v>0</v>
      </c>
      <c r="J4360" s="175">
        <f t="shared" si="4887"/>
        <v>5.1389799999999992</v>
      </c>
      <c r="K4360" s="175">
        <f t="shared" si="4887"/>
        <v>0</v>
      </c>
      <c r="L4360" s="175">
        <f t="shared" si="4887"/>
        <v>6.6834000000000007</v>
      </c>
      <c r="M4360" s="175">
        <f t="shared" si="4887"/>
        <v>0</v>
      </c>
      <c r="N4360" s="175">
        <f t="shared" si="4887"/>
        <v>0</v>
      </c>
      <c r="O4360" s="175">
        <f t="shared" si="4887"/>
        <v>0</v>
      </c>
      <c r="P4360" s="175">
        <f t="shared" si="4887"/>
        <v>0</v>
      </c>
      <c r="Q4360" s="175">
        <f t="shared" si="4887"/>
        <v>0</v>
      </c>
    </row>
    <row r="4361" spans="4:17" s="62" customFormat="1" x14ac:dyDescent="0.3">
      <c r="D4361" s="235">
        <v>18</v>
      </c>
      <c r="E4361" s="237">
        <v>71</v>
      </c>
      <c r="F4361" s="238">
        <v>5</v>
      </c>
      <c r="G4361" s="242">
        <v>0.47</v>
      </c>
      <c r="H4361" s="239">
        <f>E4361*G4361</f>
        <v>33.369999999999997</v>
      </c>
      <c r="I4361" s="122">
        <f>IF($F4361=4.2,H4361*$B$23,0)</f>
        <v>0</v>
      </c>
      <c r="J4361" s="29">
        <f>IF($F4361=5,$H4361*$B$24,0)</f>
        <v>5.1389799999999992</v>
      </c>
      <c r="K4361" s="29">
        <f>IF($F4361=6.3,$H4361*$B$25,0)</f>
        <v>0</v>
      </c>
      <c r="L4361" s="29">
        <f>IF($F4361=8,$H4361*$B$26,0)</f>
        <v>0</v>
      </c>
      <c r="M4361" s="29">
        <f>IF($F4361=10,$H4361*$B$27,0)</f>
        <v>0</v>
      </c>
      <c r="N4361" s="29">
        <f>IF($F4361=12.5,$H4361*$B$28,0)</f>
        <v>0</v>
      </c>
      <c r="O4361" s="29">
        <f>IF($F4361=16,$H4361*$B$29,0)</f>
        <v>0</v>
      </c>
      <c r="P4361" s="29">
        <f>IF($F4361=20,$H4361*$B$30,0)</f>
        <v>0</v>
      </c>
      <c r="Q4361" s="37">
        <f>IF($F4361=25,$H4361*$B$31,0)</f>
        <v>0</v>
      </c>
    </row>
    <row r="4362" spans="4:17" s="62" customFormat="1" x14ac:dyDescent="0.3">
      <c r="D4362" s="235">
        <v>22</v>
      </c>
      <c r="E4362" s="240">
        <v>2</v>
      </c>
      <c r="F4362" s="241">
        <v>8</v>
      </c>
      <c r="G4362" s="242">
        <v>4.12</v>
      </c>
      <c r="H4362" s="239">
        <f>E4362*G4362</f>
        <v>8.24</v>
      </c>
      <c r="I4362" s="122">
        <f>IF($F4362=4.2,H4362*$B$23,0)</f>
        <v>0</v>
      </c>
      <c r="J4362" s="29">
        <f>IF($F4362=5,$H4362*$B$24,0)</f>
        <v>0</v>
      </c>
      <c r="K4362" s="29">
        <f>IF($F4362=6.3,$H4362*$B$25,0)</f>
        <v>0</v>
      </c>
      <c r="L4362" s="29">
        <f>IF($F4362=8,$H4362*$B$26,0)</f>
        <v>3.2548000000000004</v>
      </c>
      <c r="M4362" s="29">
        <f>IF($F4362=10,$H4362*$B$27,0)</f>
        <v>0</v>
      </c>
      <c r="N4362" s="29">
        <f>IF($F4362=12.5,$H4362*$B$28,0)</f>
        <v>0</v>
      </c>
      <c r="O4362" s="29">
        <f>IF($F4362=16,$H4362*$B$29,0)</f>
        <v>0</v>
      </c>
      <c r="P4362" s="29">
        <f>IF($F4362=20,$H4362*$B$30,0)</f>
        <v>0</v>
      </c>
      <c r="Q4362" s="37">
        <f>IF($F4362=25,$H4362*$B$31,0)</f>
        <v>0</v>
      </c>
    </row>
    <row r="4363" spans="4:17" s="62" customFormat="1" x14ac:dyDescent="0.3">
      <c r="D4363" s="235">
        <v>23</v>
      </c>
      <c r="E4363" s="240">
        <v>2</v>
      </c>
      <c r="F4363" s="241">
        <v>8</v>
      </c>
      <c r="G4363" s="242">
        <v>4.34</v>
      </c>
      <c r="H4363" s="239">
        <f>E4363*G4363</f>
        <v>8.68</v>
      </c>
      <c r="I4363" s="122">
        <f>IF($F4363=4.2,H4363*$B$23,0)</f>
        <v>0</v>
      </c>
      <c r="J4363" s="29">
        <f>IF($F4363=5,$H4363*$B$24,0)</f>
        <v>0</v>
      </c>
      <c r="K4363" s="29">
        <f>IF($F4363=6.3,$H4363*$B$25,0)</f>
        <v>0</v>
      </c>
      <c r="L4363" s="29">
        <f>IF($F4363=8,$H4363*$B$26,0)</f>
        <v>3.4285999999999999</v>
      </c>
      <c r="M4363" s="29">
        <f>IF($F4363=10,$H4363*$B$27,0)</f>
        <v>0</v>
      </c>
      <c r="N4363" s="29">
        <f>IF($F4363=12.5,$H4363*$B$28,0)</f>
        <v>0</v>
      </c>
      <c r="O4363" s="29">
        <f>IF($F4363=16,$H4363*$B$29,0)</f>
        <v>0</v>
      </c>
      <c r="P4363" s="29">
        <f>IF($F4363=20,$H4363*$B$30,0)</f>
        <v>0</v>
      </c>
      <c r="Q4363" s="37">
        <f>IF($F4363=25,$H4363*$B$31,0)</f>
        <v>0</v>
      </c>
    </row>
    <row r="4364" spans="4:17" s="62" customFormat="1" x14ac:dyDescent="0.3">
      <c r="D4364" s="235"/>
      <c r="E4364" s="240"/>
      <c r="F4364" s="241"/>
      <c r="G4364" s="242"/>
      <c r="H4364" s="239">
        <f>E4364*G4364</f>
        <v>0</v>
      </c>
      <c r="I4364" s="122">
        <f>IF($F4364=4.2,H4364*$B$23,0)</f>
        <v>0</v>
      </c>
      <c r="J4364" s="29">
        <f>IF($F4364=5,$H4364*$B$24,0)</f>
        <v>0</v>
      </c>
      <c r="K4364" s="29">
        <f>IF($F4364=6.3,$H4364*$B$25,0)</f>
        <v>0</v>
      </c>
      <c r="L4364" s="29">
        <f>IF($F4364=8,$H4364*$B$26,0)</f>
        <v>0</v>
      </c>
      <c r="M4364" s="29">
        <f>IF($F4364=10,$H4364*$B$27,0)</f>
        <v>0</v>
      </c>
      <c r="N4364" s="29">
        <f>IF($F4364=12.5,$H4364*$B$28,0)</f>
        <v>0</v>
      </c>
      <c r="O4364" s="29">
        <f>IF($F4364=16,$H4364*$B$29,0)</f>
        <v>0</v>
      </c>
      <c r="P4364" s="29">
        <f>IF($F4364=20,$H4364*$B$30,0)</f>
        <v>0</v>
      </c>
      <c r="Q4364" s="37">
        <f>IF($F4364=25,$H4364*$B$31,0)</f>
        <v>0</v>
      </c>
    </row>
    <row r="4365" spans="4:17" s="62" customFormat="1" x14ac:dyDescent="0.3">
      <c r="D4365" s="235"/>
      <c r="E4365" s="240"/>
      <c r="F4365" s="241"/>
      <c r="G4365" s="242"/>
      <c r="H4365" s="239">
        <f>E4365*G4365</f>
        <v>0</v>
      </c>
      <c r="I4365" s="122">
        <f>IF($F4365=4.2,H4365*$B$23,0)</f>
        <v>0</v>
      </c>
      <c r="J4365" s="29">
        <f>IF($F4365=5,$H4365*$B$24,0)</f>
        <v>0</v>
      </c>
      <c r="K4365" s="29">
        <f>IF($F4365=6.3,$H4365*$B$25,0)</f>
        <v>0</v>
      </c>
      <c r="L4365" s="29">
        <f>IF($F4365=8,$H4365*$B$26,0)</f>
        <v>0</v>
      </c>
      <c r="M4365" s="29">
        <f>IF($F4365=10,$H4365*$B$27,0)</f>
        <v>0</v>
      </c>
      <c r="N4365" s="29">
        <f>IF($F4365=12.5,$H4365*$B$28,0)</f>
        <v>0</v>
      </c>
      <c r="O4365" s="29">
        <f>IF($F4365=16,$H4365*$B$29,0)</f>
        <v>0</v>
      </c>
      <c r="P4365" s="29">
        <f>IF($F4365=20,$H4365*$B$30,0)</f>
        <v>0</v>
      </c>
      <c r="Q4365" s="37">
        <f>IF($F4365=25,$H4365*$B$31,0)</f>
        <v>0</v>
      </c>
    </row>
    <row r="4366" spans="4:17" s="62" customFormat="1" x14ac:dyDescent="0.3">
      <c r="D4366" s="307"/>
      <c r="E4366" s="26"/>
      <c r="F4366" s="206"/>
      <c r="G4366" s="207"/>
      <c r="H4366" s="207"/>
      <c r="I4366" s="51"/>
      <c r="J4366" s="308"/>
      <c r="K4366" s="308"/>
      <c r="L4366" s="308"/>
      <c r="M4366" s="308"/>
      <c r="N4366" s="308"/>
      <c r="O4366" s="308"/>
      <c r="P4366" s="308"/>
      <c r="Q4366" s="309"/>
    </row>
    <row r="4367" spans="4:17" s="62" customFormat="1" x14ac:dyDescent="0.3">
      <c r="D4367" s="790" t="s">
        <v>2064</v>
      </c>
      <c r="E4367" s="791"/>
      <c r="F4367" s="791"/>
      <c r="G4367" s="791"/>
      <c r="H4367" s="791"/>
      <c r="I4367" s="175">
        <f t="shared" ref="I4367:Q4367" si="4888">SUM(I4368:I4372)</f>
        <v>0</v>
      </c>
      <c r="J4367" s="175">
        <f t="shared" si="4888"/>
        <v>16.430260000000001</v>
      </c>
      <c r="K4367" s="175">
        <f t="shared" si="4888"/>
        <v>0</v>
      </c>
      <c r="L4367" s="175">
        <f t="shared" si="4888"/>
        <v>19.331300000000002</v>
      </c>
      <c r="M4367" s="175">
        <f t="shared" si="4888"/>
        <v>0</v>
      </c>
      <c r="N4367" s="175">
        <f t="shared" si="4888"/>
        <v>0</v>
      </c>
      <c r="O4367" s="175">
        <f t="shared" si="4888"/>
        <v>0</v>
      </c>
      <c r="P4367" s="175">
        <f t="shared" si="4888"/>
        <v>0</v>
      </c>
      <c r="Q4367" s="175">
        <f t="shared" si="4888"/>
        <v>0</v>
      </c>
    </row>
    <row r="4368" spans="4:17" s="62" customFormat="1" x14ac:dyDescent="0.3">
      <c r="D4368" s="235">
        <v>18</v>
      </c>
      <c r="E4368" s="237">
        <v>227</v>
      </c>
      <c r="F4368" s="238">
        <v>5</v>
      </c>
      <c r="G4368" s="242">
        <v>0.47</v>
      </c>
      <c r="H4368" s="239">
        <f>E4368*G4368</f>
        <v>106.69</v>
      </c>
      <c r="I4368" s="122">
        <f>IF($F4368=4.2,H4368*$B$23,0)</f>
        <v>0</v>
      </c>
      <c r="J4368" s="29">
        <f>IF($F4368=5,$H4368*$B$24,0)</f>
        <v>16.430260000000001</v>
      </c>
      <c r="K4368" s="29">
        <f>IF($F4368=6.3,$H4368*$B$25,0)</f>
        <v>0</v>
      </c>
      <c r="L4368" s="29">
        <f>IF($F4368=8,$H4368*$B$26,0)</f>
        <v>0</v>
      </c>
      <c r="M4368" s="29">
        <f>IF($F4368=10,$H4368*$B$27,0)</f>
        <v>0</v>
      </c>
      <c r="N4368" s="29">
        <f>IF($F4368=12.5,$H4368*$B$28,0)</f>
        <v>0</v>
      </c>
      <c r="O4368" s="29">
        <f>IF($F4368=16,$H4368*$B$29,0)</f>
        <v>0</v>
      </c>
      <c r="P4368" s="29">
        <f>IF($F4368=20,$H4368*$B$30,0)</f>
        <v>0</v>
      </c>
      <c r="Q4368" s="37">
        <f>IF($F4368=25,$H4368*$B$31,0)</f>
        <v>0</v>
      </c>
    </row>
    <row r="4369" spans="4:17" s="62" customFormat="1" x14ac:dyDescent="0.3">
      <c r="D4369" s="235">
        <v>24</v>
      </c>
      <c r="E4369" s="240">
        <v>2</v>
      </c>
      <c r="F4369" s="241">
        <v>8</v>
      </c>
      <c r="G4369" s="242">
        <v>8.02</v>
      </c>
      <c r="H4369" s="239">
        <f>E4369*G4369</f>
        <v>16.04</v>
      </c>
      <c r="I4369" s="122">
        <f>IF($F4369=4.2,H4369*$B$23,0)</f>
        <v>0</v>
      </c>
      <c r="J4369" s="29">
        <f>IF($F4369=5,$H4369*$B$24,0)</f>
        <v>0</v>
      </c>
      <c r="K4369" s="29">
        <f>IF($F4369=6.3,$H4369*$B$25,0)</f>
        <v>0</v>
      </c>
      <c r="L4369" s="29">
        <f>IF($F4369=8,$H4369*$B$26,0)</f>
        <v>6.3357999999999999</v>
      </c>
      <c r="M4369" s="29">
        <f>IF($F4369=10,$H4369*$B$27,0)</f>
        <v>0</v>
      </c>
      <c r="N4369" s="29">
        <f>IF($F4369=12.5,$H4369*$B$28,0)</f>
        <v>0</v>
      </c>
      <c r="O4369" s="29">
        <f>IF($F4369=16,$H4369*$B$29,0)</f>
        <v>0</v>
      </c>
      <c r="P4369" s="29">
        <f>IF($F4369=20,$H4369*$B$30,0)</f>
        <v>0</v>
      </c>
      <c r="Q4369" s="37">
        <f>IF($F4369=25,$H4369*$B$31,0)</f>
        <v>0</v>
      </c>
    </row>
    <row r="4370" spans="4:17" s="62" customFormat="1" x14ac:dyDescent="0.3">
      <c r="D4370" s="235">
        <v>25</v>
      </c>
      <c r="E4370" s="240">
        <v>2</v>
      </c>
      <c r="F4370" s="241">
        <v>8</v>
      </c>
      <c r="G4370" s="242">
        <v>4.0199999999999996</v>
      </c>
      <c r="H4370" s="239">
        <f>E4370*G4370</f>
        <v>8.0399999999999991</v>
      </c>
      <c r="I4370" s="122">
        <f>IF($F4370=4.2,H4370*$B$23,0)</f>
        <v>0</v>
      </c>
      <c r="J4370" s="29">
        <f>IF($F4370=5,$H4370*$B$24,0)</f>
        <v>0</v>
      </c>
      <c r="K4370" s="29">
        <f>IF($F4370=6.3,$H4370*$B$25,0)</f>
        <v>0</v>
      </c>
      <c r="L4370" s="29">
        <f>IF($F4370=8,$H4370*$B$26,0)</f>
        <v>3.1757999999999997</v>
      </c>
      <c r="M4370" s="29">
        <f>IF($F4370=10,$H4370*$B$27,0)</f>
        <v>0</v>
      </c>
      <c r="N4370" s="29">
        <f>IF($F4370=12.5,$H4370*$B$28,0)</f>
        <v>0</v>
      </c>
      <c r="O4370" s="29">
        <f>IF($F4370=16,$H4370*$B$29,0)</f>
        <v>0</v>
      </c>
      <c r="P4370" s="29">
        <f>IF($F4370=20,$H4370*$B$30,0)</f>
        <v>0</v>
      </c>
      <c r="Q4370" s="37">
        <f>IF($F4370=25,$H4370*$B$31,0)</f>
        <v>0</v>
      </c>
    </row>
    <row r="4371" spans="4:17" s="62" customFormat="1" x14ac:dyDescent="0.3">
      <c r="D4371" s="235">
        <v>26</v>
      </c>
      <c r="E4371" s="240">
        <v>2</v>
      </c>
      <c r="F4371" s="241">
        <v>8</v>
      </c>
      <c r="G4371" s="242">
        <v>10.96</v>
      </c>
      <c r="H4371" s="239">
        <f>E4371*G4371</f>
        <v>21.92</v>
      </c>
      <c r="I4371" s="122">
        <f>IF($F4371=4.2,H4371*$B$23,0)</f>
        <v>0</v>
      </c>
      <c r="J4371" s="29">
        <f>IF($F4371=5,$H4371*$B$24,0)</f>
        <v>0</v>
      </c>
      <c r="K4371" s="29">
        <f>IF($F4371=6.3,$H4371*$B$25,0)</f>
        <v>0</v>
      </c>
      <c r="L4371" s="29">
        <f>IF($F4371=8,$H4371*$B$26,0)</f>
        <v>8.6584000000000003</v>
      </c>
      <c r="M4371" s="29">
        <f>IF($F4371=10,$H4371*$B$27,0)</f>
        <v>0</v>
      </c>
      <c r="N4371" s="29">
        <f>IF($F4371=12.5,$H4371*$B$28,0)</f>
        <v>0</v>
      </c>
      <c r="O4371" s="29">
        <f>IF($F4371=16,$H4371*$B$29,0)</f>
        <v>0</v>
      </c>
      <c r="P4371" s="29">
        <f>IF($F4371=20,$H4371*$B$30,0)</f>
        <v>0</v>
      </c>
      <c r="Q4371" s="37">
        <f>IF($F4371=25,$H4371*$B$31,0)</f>
        <v>0</v>
      </c>
    </row>
    <row r="4372" spans="4:17" s="62" customFormat="1" x14ac:dyDescent="0.3">
      <c r="D4372" s="235">
        <v>27</v>
      </c>
      <c r="E4372" s="240">
        <v>2</v>
      </c>
      <c r="F4372" s="241">
        <v>8</v>
      </c>
      <c r="G4372" s="242">
        <v>1.47</v>
      </c>
      <c r="H4372" s="239">
        <f>E4372*G4372</f>
        <v>2.94</v>
      </c>
      <c r="I4372" s="122">
        <f>IF($F4372=4.2,H4372*$B$23,0)</f>
        <v>0</v>
      </c>
      <c r="J4372" s="29">
        <f>IF($F4372=5,$H4372*$B$24,0)</f>
        <v>0</v>
      </c>
      <c r="K4372" s="29">
        <f>IF($F4372=6.3,$H4372*$B$25,0)</f>
        <v>0</v>
      </c>
      <c r="L4372" s="29">
        <f>IF($F4372=8,$H4372*$B$26,0)</f>
        <v>1.1613</v>
      </c>
      <c r="M4372" s="29">
        <f>IF($F4372=10,$H4372*$B$27,0)</f>
        <v>0</v>
      </c>
      <c r="N4372" s="29">
        <f>IF($F4372=12.5,$H4372*$B$28,0)</f>
        <v>0</v>
      </c>
      <c r="O4372" s="29">
        <f>IF($F4372=16,$H4372*$B$29,0)</f>
        <v>0</v>
      </c>
      <c r="P4372" s="29">
        <f>IF($F4372=20,$H4372*$B$30,0)</f>
        <v>0</v>
      </c>
      <c r="Q4372" s="37">
        <f>IF($F4372=25,$H4372*$B$31,0)</f>
        <v>0</v>
      </c>
    </row>
    <row r="4373" spans="4:17" s="62" customFormat="1" x14ac:dyDescent="0.3">
      <c r="D4373" s="307"/>
      <c r="E4373" s="26"/>
      <c r="F4373" s="206"/>
      <c r="G4373" s="207"/>
      <c r="H4373" s="207"/>
      <c r="I4373" s="51"/>
      <c r="J4373" s="308"/>
      <c r="K4373" s="308"/>
      <c r="L4373" s="308"/>
      <c r="M4373" s="308"/>
      <c r="N4373" s="308"/>
      <c r="O4373" s="308"/>
      <c r="P4373" s="308"/>
      <c r="Q4373" s="309"/>
    </row>
    <row r="4374" spans="4:17" s="62" customFormat="1" x14ac:dyDescent="0.3">
      <c r="D4374" s="790" t="s">
        <v>2065</v>
      </c>
      <c r="E4374" s="791"/>
      <c r="F4374" s="791"/>
      <c r="G4374" s="791"/>
      <c r="H4374" s="791"/>
      <c r="I4374" s="175">
        <f t="shared" ref="I4374:Q4374" si="4889">SUM(I4375:I4379)</f>
        <v>0</v>
      </c>
      <c r="J4374" s="175">
        <f t="shared" si="4889"/>
        <v>30.399599999999996</v>
      </c>
      <c r="K4374" s="175">
        <f t="shared" si="4889"/>
        <v>0</v>
      </c>
      <c r="L4374" s="175">
        <f t="shared" si="4889"/>
        <v>19.781600000000001</v>
      </c>
      <c r="M4374" s="175">
        <f t="shared" si="4889"/>
        <v>29.270479999999999</v>
      </c>
      <c r="N4374" s="175">
        <f t="shared" si="4889"/>
        <v>0</v>
      </c>
      <c r="O4374" s="175">
        <f t="shared" si="4889"/>
        <v>0</v>
      </c>
      <c r="P4374" s="175">
        <f t="shared" si="4889"/>
        <v>0</v>
      </c>
      <c r="Q4374" s="175">
        <f t="shared" si="4889"/>
        <v>0</v>
      </c>
    </row>
    <row r="4375" spans="4:17" s="62" customFormat="1" x14ac:dyDescent="0.3">
      <c r="D4375" s="235">
        <v>18</v>
      </c>
      <c r="E4375" s="237">
        <v>420</v>
      </c>
      <c r="F4375" s="238">
        <v>5</v>
      </c>
      <c r="G4375" s="242">
        <v>0.47</v>
      </c>
      <c r="H4375" s="239">
        <f>E4375*G4375</f>
        <v>197.39999999999998</v>
      </c>
      <c r="I4375" s="122">
        <f>IF($F4375=4.2,H4375*$B$23,0)</f>
        <v>0</v>
      </c>
      <c r="J4375" s="29">
        <f>IF($F4375=5,$H4375*$B$24,0)</f>
        <v>30.399599999999996</v>
      </c>
      <c r="K4375" s="29">
        <f>IF($F4375=6.3,$H4375*$B$25,0)</f>
        <v>0</v>
      </c>
      <c r="L4375" s="29">
        <f>IF($F4375=8,$H4375*$B$26,0)</f>
        <v>0</v>
      </c>
      <c r="M4375" s="29">
        <f>IF($F4375=10,$H4375*$B$27,0)</f>
        <v>0</v>
      </c>
      <c r="N4375" s="29">
        <f>IF($F4375=12.5,$H4375*$B$28,0)</f>
        <v>0</v>
      </c>
      <c r="O4375" s="29">
        <f>IF($F4375=16,$H4375*$B$29,0)</f>
        <v>0</v>
      </c>
      <c r="P4375" s="29">
        <f>IF($F4375=20,$H4375*$B$30,0)</f>
        <v>0</v>
      </c>
      <c r="Q4375" s="37">
        <f>IF($F4375=25,$H4375*$B$31,0)</f>
        <v>0</v>
      </c>
    </row>
    <row r="4376" spans="4:17" s="62" customFormat="1" x14ac:dyDescent="0.3">
      <c r="D4376" s="235">
        <v>28</v>
      </c>
      <c r="E4376" s="240">
        <v>4</v>
      </c>
      <c r="F4376" s="241">
        <v>8</v>
      </c>
      <c r="G4376" s="242">
        <v>11.04</v>
      </c>
      <c r="H4376" s="239">
        <f>E4376*G4376</f>
        <v>44.16</v>
      </c>
      <c r="I4376" s="122">
        <f>IF($F4376=4.2,H4376*$B$23,0)</f>
        <v>0</v>
      </c>
      <c r="J4376" s="29">
        <f>IF($F4376=5,$H4376*$B$24,0)</f>
        <v>0</v>
      </c>
      <c r="K4376" s="29">
        <f>IF($F4376=6.3,$H4376*$B$25,0)</f>
        <v>0</v>
      </c>
      <c r="L4376" s="29">
        <f>IF($F4376=8,$H4376*$B$26,0)</f>
        <v>17.443200000000001</v>
      </c>
      <c r="M4376" s="29">
        <f>IF($F4376=10,$H4376*$B$27,0)</f>
        <v>0</v>
      </c>
      <c r="N4376" s="29">
        <f>IF($F4376=12.5,$H4376*$B$28,0)</f>
        <v>0</v>
      </c>
      <c r="O4376" s="29">
        <f>IF($F4376=16,$H4376*$B$29,0)</f>
        <v>0</v>
      </c>
      <c r="P4376" s="29">
        <f>IF($F4376=20,$H4376*$B$30,0)</f>
        <v>0</v>
      </c>
      <c r="Q4376" s="37">
        <f>IF($F4376=25,$H4376*$B$31,0)</f>
        <v>0</v>
      </c>
    </row>
    <row r="4377" spans="4:17" s="62" customFormat="1" x14ac:dyDescent="0.3">
      <c r="D4377" s="235">
        <v>29</v>
      </c>
      <c r="E4377" s="240">
        <v>4</v>
      </c>
      <c r="F4377" s="241">
        <v>8</v>
      </c>
      <c r="G4377" s="242">
        <v>1.48</v>
      </c>
      <c r="H4377" s="239">
        <f>E4377*G4377</f>
        <v>5.92</v>
      </c>
      <c r="I4377" s="122">
        <f>IF($F4377=4.2,H4377*$B$23,0)</f>
        <v>0</v>
      </c>
      <c r="J4377" s="29">
        <f>IF($F4377=5,$H4377*$B$24,0)</f>
        <v>0</v>
      </c>
      <c r="K4377" s="29">
        <f>IF($F4377=6.3,$H4377*$B$25,0)</f>
        <v>0</v>
      </c>
      <c r="L4377" s="29">
        <f>IF($F4377=8,$H4377*$B$26,0)</f>
        <v>2.3384</v>
      </c>
      <c r="M4377" s="29">
        <f>IF($F4377=10,$H4377*$B$27,0)</f>
        <v>0</v>
      </c>
      <c r="N4377" s="29">
        <f>IF($F4377=12.5,$H4377*$B$28,0)</f>
        <v>0</v>
      </c>
      <c r="O4377" s="29">
        <f>IF($F4377=16,$H4377*$B$29,0)</f>
        <v>0</v>
      </c>
      <c r="P4377" s="29">
        <f>IF($F4377=20,$H4377*$B$30,0)</f>
        <v>0</v>
      </c>
      <c r="Q4377" s="37">
        <f>IF($F4377=25,$H4377*$B$31,0)</f>
        <v>0</v>
      </c>
    </row>
    <row r="4378" spans="4:17" s="62" customFormat="1" x14ac:dyDescent="0.3">
      <c r="D4378" s="235">
        <v>42</v>
      </c>
      <c r="E4378" s="240">
        <v>4</v>
      </c>
      <c r="F4378" s="241">
        <v>10</v>
      </c>
      <c r="G4378" s="242">
        <v>7.74</v>
      </c>
      <c r="H4378" s="239">
        <f>E4378*G4378</f>
        <v>30.96</v>
      </c>
      <c r="I4378" s="122">
        <f>IF($F4378=4.2,H4378*$B$23,0)</f>
        <v>0</v>
      </c>
      <c r="J4378" s="29">
        <f>IF($F4378=5,$H4378*$B$24,0)</f>
        <v>0</v>
      </c>
      <c r="K4378" s="29">
        <f>IF($F4378=6.3,$H4378*$B$25,0)</f>
        <v>0</v>
      </c>
      <c r="L4378" s="29">
        <f>IF($F4378=8,$H4378*$B$26,0)</f>
        <v>0</v>
      </c>
      <c r="M4378" s="29">
        <f>IF($F4378=10,$H4378*$B$27,0)</f>
        <v>19.102319999999999</v>
      </c>
      <c r="N4378" s="29">
        <f>IF($F4378=12.5,$H4378*$B$28,0)</f>
        <v>0</v>
      </c>
      <c r="O4378" s="29">
        <f>IF($F4378=16,$H4378*$B$29,0)</f>
        <v>0</v>
      </c>
      <c r="P4378" s="29">
        <f>IF($F4378=20,$H4378*$B$30,0)</f>
        <v>0</v>
      </c>
      <c r="Q4378" s="37">
        <f>IF($F4378=25,$H4378*$B$31,0)</f>
        <v>0</v>
      </c>
    </row>
    <row r="4379" spans="4:17" s="62" customFormat="1" x14ac:dyDescent="0.3">
      <c r="D4379" s="235">
        <v>43</v>
      </c>
      <c r="E4379" s="240">
        <v>4</v>
      </c>
      <c r="F4379" s="241">
        <v>10</v>
      </c>
      <c r="G4379" s="242">
        <v>4.12</v>
      </c>
      <c r="H4379" s="239">
        <f>E4379*G4379</f>
        <v>16.48</v>
      </c>
      <c r="I4379" s="122">
        <f>IF($F4379=4.2,H4379*$B$23,0)</f>
        <v>0</v>
      </c>
      <c r="J4379" s="29">
        <f>IF($F4379=5,$H4379*$B$24,0)</f>
        <v>0</v>
      </c>
      <c r="K4379" s="29">
        <f>IF($F4379=6.3,$H4379*$B$25,0)</f>
        <v>0</v>
      </c>
      <c r="L4379" s="29">
        <f>IF($F4379=8,$H4379*$B$26,0)</f>
        <v>0</v>
      </c>
      <c r="M4379" s="29">
        <f>IF($F4379=10,$H4379*$B$27,0)</f>
        <v>10.16816</v>
      </c>
      <c r="N4379" s="29">
        <f>IF($F4379=12.5,$H4379*$B$28,0)</f>
        <v>0</v>
      </c>
      <c r="O4379" s="29">
        <f>IF($F4379=16,$H4379*$B$29,0)</f>
        <v>0</v>
      </c>
      <c r="P4379" s="29">
        <f>IF($F4379=20,$H4379*$B$30,0)</f>
        <v>0</v>
      </c>
      <c r="Q4379" s="37">
        <f>IF($F4379=25,$H4379*$B$31,0)</f>
        <v>0</v>
      </c>
    </row>
    <row r="4380" spans="4:17" s="62" customFormat="1" x14ac:dyDescent="0.3">
      <c r="D4380" s="307"/>
      <c r="E4380" s="26"/>
      <c r="F4380" s="206"/>
      <c r="G4380" s="207"/>
      <c r="H4380" s="207"/>
      <c r="I4380" s="51"/>
      <c r="J4380" s="308"/>
      <c r="K4380" s="308"/>
      <c r="L4380" s="308"/>
      <c r="M4380" s="308"/>
      <c r="N4380" s="308"/>
      <c r="O4380" s="308"/>
      <c r="P4380" s="308"/>
      <c r="Q4380" s="309"/>
    </row>
    <row r="4381" spans="4:17" s="62" customFormat="1" x14ac:dyDescent="0.3">
      <c r="D4381" s="790" t="s">
        <v>2066</v>
      </c>
      <c r="E4381" s="791"/>
      <c r="F4381" s="791"/>
      <c r="G4381" s="791"/>
      <c r="H4381" s="791"/>
      <c r="I4381" s="175">
        <f t="shared" ref="I4381:Q4381" si="4890">SUM(I4382:I4386)</f>
        <v>0</v>
      </c>
      <c r="J4381" s="175">
        <f t="shared" si="4890"/>
        <v>22.582559999999997</v>
      </c>
      <c r="K4381" s="175">
        <f t="shared" si="4890"/>
        <v>0</v>
      </c>
      <c r="L4381" s="175">
        <f t="shared" si="4890"/>
        <v>28.3294</v>
      </c>
      <c r="M4381" s="175">
        <f t="shared" si="4890"/>
        <v>0</v>
      </c>
      <c r="N4381" s="175">
        <f t="shared" si="4890"/>
        <v>0</v>
      </c>
      <c r="O4381" s="175">
        <f t="shared" si="4890"/>
        <v>0</v>
      </c>
      <c r="P4381" s="175">
        <f t="shared" si="4890"/>
        <v>0</v>
      </c>
      <c r="Q4381" s="175">
        <f t="shared" si="4890"/>
        <v>0</v>
      </c>
    </row>
    <row r="4382" spans="4:17" s="62" customFormat="1" x14ac:dyDescent="0.3">
      <c r="D4382" s="235">
        <v>18</v>
      </c>
      <c r="E4382" s="237">
        <f>2*156</f>
        <v>312</v>
      </c>
      <c r="F4382" s="238">
        <v>5</v>
      </c>
      <c r="G4382" s="242">
        <v>0.47</v>
      </c>
      <c r="H4382" s="239">
        <f>E4382*G4382</f>
        <v>146.63999999999999</v>
      </c>
      <c r="I4382" s="122">
        <f>IF($F4382=4.2,H4382*$B$23,0)</f>
        <v>0</v>
      </c>
      <c r="J4382" s="29">
        <f>IF($F4382=5,$H4382*$B$24,0)</f>
        <v>22.582559999999997</v>
      </c>
      <c r="K4382" s="29">
        <f>IF($F4382=6.3,$H4382*$B$25,0)</f>
        <v>0</v>
      </c>
      <c r="L4382" s="29">
        <f>IF($F4382=8,$H4382*$B$26,0)</f>
        <v>0</v>
      </c>
      <c r="M4382" s="29">
        <f>IF($F4382=10,$H4382*$B$27,0)</f>
        <v>0</v>
      </c>
      <c r="N4382" s="29">
        <f>IF($F4382=12.5,$H4382*$B$28,0)</f>
        <v>0</v>
      </c>
      <c r="O4382" s="29">
        <f>IF($F4382=16,$H4382*$B$29,0)</f>
        <v>0</v>
      </c>
      <c r="P4382" s="29">
        <f>IF($F4382=20,$H4382*$B$30,0)</f>
        <v>0</v>
      </c>
      <c r="Q4382" s="37">
        <f>IF($F4382=25,$H4382*$B$31,0)</f>
        <v>0</v>
      </c>
    </row>
    <row r="4383" spans="4:17" s="62" customFormat="1" x14ac:dyDescent="0.3">
      <c r="D4383" s="235">
        <v>30</v>
      </c>
      <c r="E4383" s="240">
        <f>2*2</f>
        <v>4</v>
      </c>
      <c r="F4383" s="241">
        <v>8</v>
      </c>
      <c r="G4383" s="242">
        <v>8.89</v>
      </c>
      <c r="H4383" s="239">
        <f>E4383*G4383</f>
        <v>35.56</v>
      </c>
      <c r="I4383" s="122">
        <f>IF($F4383=4.2,H4383*$B$23,0)</f>
        <v>0</v>
      </c>
      <c r="J4383" s="29">
        <f>IF($F4383=5,$H4383*$B$24,0)</f>
        <v>0</v>
      </c>
      <c r="K4383" s="29">
        <f>IF($F4383=6.3,$H4383*$B$25,0)</f>
        <v>0</v>
      </c>
      <c r="L4383" s="29">
        <f>IF($F4383=8,$H4383*$B$26,0)</f>
        <v>14.046200000000001</v>
      </c>
      <c r="M4383" s="29">
        <f>IF($F4383=10,$H4383*$B$27,0)</f>
        <v>0</v>
      </c>
      <c r="N4383" s="29">
        <f>IF($F4383=12.5,$H4383*$B$28,0)</f>
        <v>0</v>
      </c>
      <c r="O4383" s="29">
        <f>IF($F4383=16,$H4383*$B$29,0)</f>
        <v>0</v>
      </c>
      <c r="P4383" s="29">
        <f>IF($F4383=20,$H4383*$B$30,0)</f>
        <v>0</v>
      </c>
      <c r="Q4383" s="37">
        <f>IF($F4383=25,$H4383*$B$31,0)</f>
        <v>0</v>
      </c>
    </row>
    <row r="4384" spans="4:17" s="62" customFormat="1" x14ac:dyDescent="0.3">
      <c r="D4384" s="235">
        <v>31</v>
      </c>
      <c r="E4384" s="240">
        <f>2*2</f>
        <v>4</v>
      </c>
      <c r="F4384" s="241">
        <v>8</v>
      </c>
      <c r="G4384" s="242">
        <v>9.0399999999999991</v>
      </c>
      <c r="H4384" s="239">
        <f>E4384*G4384</f>
        <v>36.159999999999997</v>
      </c>
      <c r="I4384" s="122">
        <f>IF($F4384=4.2,H4384*$B$23,0)</f>
        <v>0</v>
      </c>
      <c r="J4384" s="29">
        <f>IF($F4384=5,$H4384*$B$24,0)</f>
        <v>0</v>
      </c>
      <c r="K4384" s="29">
        <f>IF($F4384=6.3,$H4384*$B$25,0)</f>
        <v>0</v>
      </c>
      <c r="L4384" s="29">
        <f>IF($F4384=8,$H4384*$B$26,0)</f>
        <v>14.283199999999999</v>
      </c>
      <c r="M4384" s="29">
        <f>IF($F4384=10,$H4384*$B$27,0)</f>
        <v>0</v>
      </c>
      <c r="N4384" s="29">
        <f>IF($F4384=12.5,$H4384*$B$28,0)</f>
        <v>0</v>
      </c>
      <c r="O4384" s="29">
        <f>IF($F4384=16,$H4384*$B$29,0)</f>
        <v>0</v>
      </c>
      <c r="P4384" s="29">
        <f>IF($F4384=20,$H4384*$B$30,0)</f>
        <v>0</v>
      </c>
      <c r="Q4384" s="37">
        <f>IF($F4384=25,$H4384*$B$31,0)</f>
        <v>0</v>
      </c>
    </row>
    <row r="4385" spans="4:17" s="62" customFormat="1" x14ac:dyDescent="0.3">
      <c r="D4385" s="235"/>
      <c r="E4385" s="240"/>
      <c r="F4385" s="241"/>
      <c r="G4385" s="242"/>
      <c r="H4385" s="239">
        <f>E4385*G4385</f>
        <v>0</v>
      </c>
      <c r="I4385" s="122">
        <f>IF($F4385=4.2,H4385*$B$23,0)</f>
        <v>0</v>
      </c>
      <c r="J4385" s="29">
        <f>IF($F4385=5,$H4385*$B$24,0)</f>
        <v>0</v>
      </c>
      <c r="K4385" s="29">
        <f>IF($F4385=6.3,$H4385*$B$25,0)</f>
        <v>0</v>
      </c>
      <c r="L4385" s="29">
        <f>IF($F4385=8,$H4385*$B$26,0)</f>
        <v>0</v>
      </c>
      <c r="M4385" s="29">
        <f>IF($F4385=10,$H4385*$B$27,0)</f>
        <v>0</v>
      </c>
      <c r="N4385" s="29">
        <f>IF($F4385=12.5,$H4385*$B$28,0)</f>
        <v>0</v>
      </c>
      <c r="O4385" s="29">
        <f>IF($F4385=16,$H4385*$B$29,0)</f>
        <v>0</v>
      </c>
      <c r="P4385" s="29">
        <f>IF($F4385=20,$H4385*$B$30,0)</f>
        <v>0</v>
      </c>
      <c r="Q4385" s="37">
        <f>IF($F4385=25,$H4385*$B$31,0)</f>
        <v>0</v>
      </c>
    </row>
    <row r="4386" spans="4:17" s="62" customFormat="1" x14ac:dyDescent="0.3">
      <c r="D4386" s="235"/>
      <c r="E4386" s="240"/>
      <c r="F4386" s="241"/>
      <c r="G4386" s="242"/>
      <c r="H4386" s="239">
        <f>E4386*G4386</f>
        <v>0</v>
      </c>
      <c r="I4386" s="122">
        <f>IF($F4386=4.2,H4386*$B$23,0)</f>
        <v>0</v>
      </c>
      <c r="J4386" s="29">
        <f>IF($F4386=5,$H4386*$B$24,0)</f>
        <v>0</v>
      </c>
      <c r="K4386" s="29">
        <f>IF($F4386=6.3,$H4386*$B$25,0)</f>
        <v>0</v>
      </c>
      <c r="L4386" s="29">
        <f>IF($F4386=8,$H4386*$B$26,0)</f>
        <v>0</v>
      </c>
      <c r="M4386" s="29">
        <f>IF($F4386=10,$H4386*$B$27,0)</f>
        <v>0</v>
      </c>
      <c r="N4386" s="29">
        <f>IF($F4386=12.5,$H4386*$B$28,0)</f>
        <v>0</v>
      </c>
      <c r="O4386" s="29">
        <f>IF($F4386=16,$H4386*$B$29,0)</f>
        <v>0</v>
      </c>
      <c r="P4386" s="29">
        <f>IF($F4386=20,$H4386*$B$30,0)</f>
        <v>0</v>
      </c>
      <c r="Q4386" s="37">
        <f>IF($F4386=25,$H4386*$B$31,0)</f>
        <v>0</v>
      </c>
    </row>
    <row r="4387" spans="4:17" s="62" customFormat="1" x14ac:dyDescent="0.3">
      <c r="D4387" s="307"/>
      <c r="E4387" s="26"/>
      <c r="F4387" s="206"/>
      <c r="G4387" s="207"/>
      <c r="H4387" s="207"/>
      <c r="I4387" s="51"/>
      <c r="J4387" s="308"/>
      <c r="K4387" s="308"/>
      <c r="L4387" s="308"/>
      <c r="M4387" s="308"/>
      <c r="N4387" s="308"/>
      <c r="O4387" s="308"/>
      <c r="P4387" s="308"/>
      <c r="Q4387" s="309"/>
    </row>
    <row r="4388" spans="4:17" s="62" customFormat="1" x14ac:dyDescent="0.3">
      <c r="D4388" s="790" t="s">
        <v>2067</v>
      </c>
      <c r="E4388" s="791"/>
      <c r="F4388" s="791"/>
      <c r="G4388" s="791"/>
      <c r="H4388" s="791"/>
      <c r="I4388" s="175">
        <f t="shared" ref="I4388:Q4388" si="4891">SUM(I4389:I4393)</f>
        <v>0</v>
      </c>
      <c r="J4388" s="175">
        <f t="shared" si="4891"/>
        <v>15.634079999999999</v>
      </c>
      <c r="K4388" s="175">
        <f t="shared" si="4891"/>
        <v>0</v>
      </c>
      <c r="L4388" s="175">
        <f t="shared" si="4891"/>
        <v>19.702600000000004</v>
      </c>
      <c r="M4388" s="175">
        <f t="shared" si="4891"/>
        <v>0</v>
      </c>
      <c r="N4388" s="175">
        <f t="shared" si="4891"/>
        <v>0</v>
      </c>
      <c r="O4388" s="175">
        <f t="shared" si="4891"/>
        <v>0</v>
      </c>
      <c r="P4388" s="175">
        <f t="shared" si="4891"/>
        <v>0</v>
      </c>
      <c r="Q4388" s="175">
        <f t="shared" si="4891"/>
        <v>0</v>
      </c>
    </row>
    <row r="4389" spans="4:17" s="62" customFormat="1" x14ac:dyDescent="0.3">
      <c r="D4389" s="235">
        <v>18</v>
      </c>
      <c r="E4389" s="237">
        <v>216</v>
      </c>
      <c r="F4389" s="238">
        <v>5</v>
      </c>
      <c r="G4389" s="242">
        <v>0.47</v>
      </c>
      <c r="H4389" s="239">
        <f>E4389*G4389</f>
        <v>101.52</v>
      </c>
      <c r="I4389" s="122">
        <f>IF($F4389=4.2,H4389*$B$23,0)</f>
        <v>0</v>
      </c>
      <c r="J4389" s="29">
        <f>IF($F4389=5,$H4389*$B$24,0)</f>
        <v>15.634079999999999</v>
      </c>
      <c r="K4389" s="29">
        <f>IF($F4389=6.3,$H4389*$B$25,0)</f>
        <v>0</v>
      </c>
      <c r="L4389" s="29">
        <f>IF($F4389=8,$H4389*$B$26,0)</f>
        <v>0</v>
      </c>
      <c r="M4389" s="29">
        <f>IF($F4389=10,$H4389*$B$27,0)</f>
        <v>0</v>
      </c>
      <c r="N4389" s="29">
        <f>IF($F4389=12.5,$H4389*$B$28,0)</f>
        <v>0</v>
      </c>
      <c r="O4389" s="29">
        <f>IF($F4389=16,$H4389*$B$29,0)</f>
        <v>0</v>
      </c>
      <c r="P4389" s="29">
        <f>IF($F4389=20,$H4389*$B$30,0)</f>
        <v>0</v>
      </c>
      <c r="Q4389" s="37">
        <f>IF($F4389=25,$H4389*$B$31,0)</f>
        <v>0</v>
      </c>
    </row>
    <row r="4390" spans="4:17" s="62" customFormat="1" x14ac:dyDescent="0.3">
      <c r="D4390" s="235">
        <v>32</v>
      </c>
      <c r="E4390" s="240">
        <v>2</v>
      </c>
      <c r="F4390" s="241">
        <v>8</v>
      </c>
      <c r="G4390" s="242">
        <v>8.2200000000000006</v>
      </c>
      <c r="H4390" s="239">
        <f>E4390*G4390</f>
        <v>16.440000000000001</v>
      </c>
      <c r="I4390" s="122">
        <f>IF($F4390=4.2,H4390*$B$23,0)</f>
        <v>0</v>
      </c>
      <c r="J4390" s="29">
        <f>IF($F4390=5,$H4390*$B$24,0)</f>
        <v>0</v>
      </c>
      <c r="K4390" s="29">
        <f>IF($F4390=6.3,$H4390*$B$25,0)</f>
        <v>0</v>
      </c>
      <c r="L4390" s="29">
        <f>IF($F4390=8,$H4390*$B$26,0)</f>
        <v>6.4938000000000011</v>
      </c>
      <c r="M4390" s="29">
        <f>IF($F4390=10,$H4390*$B$27,0)</f>
        <v>0</v>
      </c>
      <c r="N4390" s="29">
        <f>IF($F4390=12.5,$H4390*$B$28,0)</f>
        <v>0</v>
      </c>
      <c r="O4390" s="29">
        <f>IF($F4390=16,$H4390*$B$29,0)</f>
        <v>0</v>
      </c>
      <c r="P4390" s="29">
        <f>IF($F4390=20,$H4390*$B$30,0)</f>
        <v>0</v>
      </c>
      <c r="Q4390" s="37">
        <f>IF($F4390=25,$H4390*$B$31,0)</f>
        <v>0</v>
      </c>
    </row>
    <row r="4391" spans="4:17" s="62" customFormat="1" x14ac:dyDescent="0.3">
      <c r="D4391" s="235">
        <v>33</v>
      </c>
      <c r="E4391" s="240">
        <v>2</v>
      </c>
      <c r="F4391" s="241">
        <v>8</v>
      </c>
      <c r="G4391" s="242">
        <v>3.94</v>
      </c>
      <c r="H4391" s="239">
        <f>E4391*G4391</f>
        <v>7.88</v>
      </c>
      <c r="I4391" s="122">
        <f>IF($F4391=4.2,H4391*$B$23,0)</f>
        <v>0</v>
      </c>
      <c r="J4391" s="29">
        <f>IF($F4391=5,$H4391*$B$24,0)</f>
        <v>0</v>
      </c>
      <c r="K4391" s="29">
        <f>IF($F4391=6.3,$H4391*$B$25,0)</f>
        <v>0</v>
      </c>
      <c r="L4391" s="29">
        <f>IF($F4391=8,$H4391*$B$26,0)</f>
        <v>3.1126</v>
      </c>
      <c r="M4391" s="29">
        <f>IF($F4391=10,$H4391*$B$27,0)</f>
        <v>0</v>
      </c>
      <c r="N4391" s="29">
        <f>IF($F4391=12.5,$H4391*$B$28,0)</f>
        <v>0</v>
      </c>
      <c r="O4391" s="29">
        <f>IF($F4391=16,$H4391*$B$29,0)</f>
        <v>0</v>
      </c>
      <c r="P4391" s="29">
        <f>IF($F4391=20,$H4391*$B$30,0)</f>
        <v>0</v>
      </c>
      <c r="Q4391" s="37">
        <f>IF($F4391=25,$H4391*$B$31,0)</f>
        <v>0</v>
      </c>
    </row>
    <row r="4392" spans="4:17" s="62" customFormat="1" x14ac:dyDescent="0.3">
      <c r="D4392" s="235">
        <v>34</v>
      </c>
      <c r="E4392" s="240">
        <v>2</v>
      </c>
      <c r="F4392" s="241">
        <v>8</v>
      </c>
      <c r="G4392" s="242">
        <v>11.26</v>
      </c>
      <c r="H4392" s="239">
        <f>E4392*G4392</f>
        <v>22.52</v>
      </c>
      <c r="I4392" s="122">
        <f>IF($F4392=4.2,H4392*$B$23,0)</f>
        <v>0</v>
      </c>
      <c r="J4392" s="29">
        <f>IF($F4392=5,$H4392*$B$24,0)</f>
        <v>0</v>
      </c>
      <c r="K4392" s="29">
        <f>IF($F4392=6.3,$H4392*$B$25,0)</f>
        <v>0</v>
      </c>
      <c r="L4392" s="29">
        <f>IF($F4392=8,$H4392*$B$26,0)</f>
        <v>8.8954000000000004</v>
      </c>
      <c r="M4392" s="29">
        <f>IF($F4392=10,$H4392*$B$27,0)</f>
        <v>0</v>
      </c>
      <c r="N4392" s="29">
        <f>IF($F4392=12.5,$H4392*$B$28,0)</f>
        <v>0</v>
      </c>
      <c r="O4392" s="29">
        <f>IF($F4392=16,$H4392*$B$29,0)</f>
        <v>0</v>
      </c>
      <c r="P4392" s="29">
        <f>IF($F4392=20,$H4392*$B$30,0)</f>
        <v>0</v>
      </c>
      <c r="Q4392" s="37">
        <f>IF($F4392=25,$H4392*$B$31,0)</f>
        <v>0</v>
      </c>
    </row>
    <row r="4393" spans="4:17" s="62" customFormat="1" x14ac:dyDescent="0.3">
      <c r="D4393" s="235">
        <v>35</v>
      </c>
      <c r="E4393" s="240">
        <v>2</v>
      </c>
      <c r="F4393" s="241">
        <v>8</v>
      </c>
      <c r="G4393" s="242">
        <v>1.52</v>
      </c>
      <c r="H4393" s="239">
        <f>E4393*G4393</f>
        <v>3.04</v>
      </c>
      <c r="I4393" s="122">
        <f>IF($F4393=4.2,H4393*$B$23,0)</f>
        <v>0</v>
      </c>
      <c r="J4393" s="29">
        <f>IF($F4393=5,$H4393*$B$24,0)</f>
        <v>0</v>
      </c>
      <c r="K4393" s="29">
        <f>IF($F4393=6.3,$H4393*$B$25,0)</f>
        <v>0</v>
      </c>
      <c r="L4393" s="29">
        <f>IF($F4393=8,$H4393*$B$26,0)</f>
        <v>1.2008000000000001</v>
      </c>
      <c r="M4393" s="29">
        <f>IF($F4393=10,$H4393*$B$27,0)</f>
        <v>0</v>
      </c>
      <c r="N4393" s="29">
        <f>IF($F4393=12.5,$H4393*$B$28,0)</f>
        <v>0</v>
      </c>
      <c r="O4393" s="29">
        <f>IF($F4393=16,$H4393*$B$29,0)</f>
        <v>0</v>
      </c>
      <c r="P4393" s="29">
        <f>IF($F4393=20,$H4393*$B$30,0)</f>
        <v>0</v>
      </c>
      <c r="Q4393" s="37">
        <f>IF($F4393=25,$H4393*$B$31,0)</f>
        <v>0</v>
      </c>
    </row>
    <row r="4394" spans="4:17" s="62" customFormat="1" x14ac:dyDescent="0.3">
      <c r="D4394" s="307"/>
      <c r="E4394" s="26"/>
      <c r="F4394" s="206"/>
      <c r="G4394" s="207"/>
      <c r="H4394" s="207"/>
      <c r="I4394" s="51"/>
      <c r="J4394" s="308"/>
      <c r="K4394" s="308"/>
      <c r="L4394" s="308"/>
      <c r="M4394" s="308"/>
      <c r="N4394" s="308"/>
      <c r="O4394" s="308"/>
      <c r="P4394" s="308"/>
      <c r="Q4394" s="309"/>
    </row>
    <row r="4395" spans="4:17" s="62" customFormat="1" x14ac:dyDescent="0.3">
      <c r="D4395" s="790" t="s">
        <v>2068</v>
      </c>
      <c r="E4395" s="791"/>
      <c r="F4395" s="791"/>
      <c r="G4395" s="791"/>
      <c r="H4395" s="791"/>
      <c r="I4395" s="175">
        <f t="shared" ref="I4395:Q4395" si="4892">SUM(I4396:I4400)</f>
        <v>0</v>
      </c>
      <c r="J4395" s="175">
        <f t="shared" si="4892"/>
        <v>26.780599999999996</v>
      </c>
      <c r="K4395" s="175">
        <f t="shared" si="4892"/>
        <v>0</v>
      </c>
      <c r="L4395" s="175">
        <f t="shared" si="4892"/>
        <v>32.927199999999999</v>
      </c>
      <c r="M4395" s="175">
        <f t="shared" si="4892"/>
        <v>0</v>
      </c>
      <c r="N4395" s="175">
        <f t="shared" si="4892"/>
        <v>0</v>
      </c>
      <c r="O4395" s="175">
        <f t="shared" si="4892"/>
        <v>0</v>
      </c>
      <c r="P4395" s="175">
        <f t="shared" si="4892"/>
        <v>0</v>
      </c>
      <c r="Q4395" s="175">
        <f t="shared" si="4892"/>
        <v>0</v>
      </c>
    </row>
    <row r="4396" spans="4:17" s="62" customFormat="1" x14ac:dyDescent="0.3">
      <c r="D4396" s="235">
        <v>18</v>
      </c>
      <c r="E4396" s="237">
        <f>2*185</f>
        <v>370</v>
      </c>
      <c r="F4396" s="238">
        <v>5</v>
      </c>
      <c r="G4396" s="242">
        <v>0.47</v>
      </c>
      <c r="H4396" s="239">
        <f>E4396*G4396</f>
        <v>173.89999999999998</v>
      </c>
      <c r="I4396" s="122">
        <f>IF($F4396=4.2,H4396*$B$23,0)</f>
        <v>0</v>
      </c>
      <c r="J4396" s="29">
        <f>IF($F4396=5,$H4396*$B$24,0)</f>
        <v>26.780599999999996</v>
      </c>
      <c r="K4396" s="29">
        <f>IF($F4396=6.3,$H4396*$B$25,0)</f>
        <v>0</v>
      </c>
      <c r="L4396" s="29">
        <f>IF($F4396=8,$H4396*$B$26,0)</f>
        <v>0</v>
      </c>
      <c r="M4396" s="29">
        <f>IF($F4396=10,$H4396*$B$27,0)</f>
        <v>0</v>
      </c>
      <c r="N4396" s="29">
        <f>IF($F4396=12.5,$H4396*$B$28,0)</f>
        <v>0</v>
      </c>
      <c r="O4396" s="29">
        <f>IF($F4396=16,$H4396*$B$29,0)</f>
        <v>0</v>
      </c>
      <c r="P4396" s="29">
        <f>IF($F4396=20,$H4396*$B$30,0)</f>
        <v>0</v>
      </c>
      <c r="Q4396" s="37">
        <f>IF($F4396=25,$H4396*$B$31,0)</f>
        <v>0</v>
      </c>
    </row>
    <row r="4397" spans="4:17" s="62" customFormat="1" x14ac:dyDescent="0.3">
      <c r="D4397" s="235">
        <v>36</v>
      </c>
      <c r="E4397" s="240">
        <f>2*2</f>
        <v>4</v>
      </c>
      <c r="F4397" s="241">
        <v>8</v>
      </c>
      <c r="G4397" s="242">
        <v>10.38</v>
      </c>
      <c r="H4397" s="239">
        <f>E4397*G4397</f>
        <v>41.52</v>
      </c>
      <c r="I4397" s="122">
        <f>IF($F4397=4.2,H4397*$B$23,0)</f>
        <v>0</v>
      </c>
      <c r="J4397" s="29">
        <f>IF($F4397=5,$H4397*$B$24,0)</f>
        <v>0</v>
      </c>
      <c r="K4397" s="29">
        <f>IF($F4397=6.3,$H4397*$B$25,0)</f>
        <v>0</v>
      </c>
      <c r="L4397" s="29">
        <f>IF($F4397=8,$H4397*$B$26,0)</f>
        <v>16.400400000000001</v>
      </c>
      <c r="M4397" s="29">
        <f>IF($F4397=10,$H4397*$B$27,0)</f>
        <v>0</v>
      </c>
      <c r="N4397" s="29">
        <f>IF($F4397=12.5,$H4397*$B$28,0)</f>
        <v>0</v>
      </c>
      <c r="O4397" s="29">
        <f>IF($F4397=16,$H4397*$B$29,0)</f>
        <v>0</v>
      </c>
      <c r="P4397" s="29">
        <f>IF($F4397=20,$H4397*$B$30,0)</f>
        <v>0</v>
      </c>
      <c r="Q4397" s="37">
        <f>IF($F4397=25,$H4397*$B$31,0)</f>
        <v>0</v>
      </c>
    </row>
    <row r="4398" spans="4:17" s="62" customFormat="1" x14ac:dyDescent="0.3">
      <c r="D4398" s="235">
        <v>37</v>
      </c>
      <c r="E4398" s="240">
        <f>2*2</f>
        <v>4</v>
      </c>
      <c r="F4398" s="241">
        <v>8</v>
      </c>
      <c r="G4398" s="242">
        <v>10.46</v>
      </c>
      <c r="H4398" s="239">
        <f>E4398*G4398</f>
        <v>41.84</v>
      </c>
      <c r="I4398" s="122">
        <f>IF($F4398=4.2,H4398*$B$23,0)</f>
        <v>0</v>
      </c>
      <c r="J4398" s="29">
        <f>IF($F4398=5,$H4398*$B$24,0)</f>
        <v>0</v>
      </c>
      <c r="K4398" s="29">
        <f>IF($F4398=6.3,$H4398*$B$25,0)</f>
        <v>0</v>
      </c>
      <c r="L4398" s="29">
        <f>IF($F4398=8,$H4398*$B$26,0)</f>
        <v>16.526800000000001</v>
      </c>
      <c r="M4398" s="29">
        <f>IF($F4398=10,$H4398*$B$27,0)</f>
        <v>0</v>
      </c>
      <c r="N4398" s="29">
        <f>IF($F4398=12.5,$H4398*$B$28,0)</f>
        <v>0</v>
      </c>
      <c r="O4398" s="29">
        <f>IF($F4398=16,$H4398*$B$29,0)</f>
        <v>0</v>
      </c>
      <c r="P4398" s="29">
        <f>IF($F4398=20,$H4398*$B$30,0)</f>
        <v>0</v>
      </c>
      <c r="Q4398" s="37">
        <f>IF($F4398=25,$H4398*$B$31,0)</f>
        <v>0</v>
      </c>
    </row>
    <row r="4399" spans="4:17" s="62" customFormat="1" x14ac:dyDescent="0.3">
      <c r="D4399" s="235"/>
      <c r="E4399" s="240"/>
      <c r="F4399" s="241"/>
      <c r="G4399" s="242"/>
      <c r="H4399" s="239">
        <f>E4399*G4399</f>
        <v>0</v>
      </c>
      <c r="I4399" s="122">
        <f>IF($F4399=4.2,H4399*$B$23,0)</f>
        <v>0</v>
      </c>
      <c r="J4399" s="29">
        <f>IF($F4399=5,$H4399*$B$24,0)</f>
        <v>0</v>
      </c>
      <c r="K4399" s="29">
        <f>IF($F4399=6.3,$H4399*$B$25,0)</f>
        <v>0</v>
      </c>
      <c r="L4399" s="29">
        <f>IF($F4399=8,$H4399*$B$26,0)</f>
        <v>0</v>
      </c>
      <c r="M4399" s="29">
        <f>IF($F4399=10,$H4399*$B$27,0)</f>
        <v>0</v>
      </c>
      <c r="N4399" s="29">
        <f>IF($F4399=12.5,$H4399*$B$28,0)</f>
        <v>0</v>
      </c>
      <c r="O4399" s="29">
        <f>IF($F4399=16,$H4399*$B$29,0)</f>
        <v>0</v>
      </c>
      <c r="P4399" s="29">
        <f>IF($F4399=20,$H4399*$B$30,0)</f>
        <v>0</v>
      </c>
      <c r="Q4399" s="37">
        <f>IF($F4399=25,$H4399*$B$31,0)</f>
        <v>0</v>
      </c>
    </row>
    <row r="4400" spans="4:17" s="62" customFormat="1" x14ac:dyDescent="0.3">
      <c r="D4400" s="235"/>
      <c r="E4400" s="240"/>
      <c r="F4400" s="241"/>
      <c r="G4400" s="242"/>
      <c r="H4400" s="239">
        <f>E4400*G4400</f>
        <v>0</v>
      </c>
      <c r="I4400" s="122">
        <f>IF($F4400=4.2,H4400*$B$23,0)</f>
        <v>0</v>
      </c>
      <c r="J4400" s="29">
        <f>IF($F4400=5,$H4400*$B$24,0)</f>
        <v>0</v>
      </c>
      <c r="K4400" s="29">
        <f>IF($F4400=6.3,$H4400*$B$25,0)</f>
        <v>0</v>
      </c>
      <c r="L4400" s="29">
        <f>IF($F4400=8,$H4400*$B$26,0)</f>
        <v>0</v>
      </c>
      <c r="M4400" s="29">
        <f>IF($F4400=10,$H4400*$B$27,0)</f>
        <v>0</v>
      </c>
      <c r="N4400" s="29">
        <f>IF($F4400=12.5,$H4400*$B$28,0)</f>
        <v>0</v>
      </c>
      <c r="O4400" s="29">
        <f>IF($F4400=16,$H4400*$B$29,0)</f>
        <v>0</v>
      </c>
      <c r="P4400" s="29">
        <f>IF($F4400=20,$H4400*$B$30,0)</f>
        <v>0</v>
      </c>
      <c r="Q4400" s="37">
        <f>IF($F4400=25,$H4400*$B$31,0)</f>
        <v>0</v>
      </c>
    </row>
    <row r="4401" spans="4:17" s="62" customFormat="1" x14ac:dyDescent="0.3">
      <c r="D4401" s="307"/>
      <c r="E4401" s="26"/>
      <c r="F4401" s="206"/>
      <c r="G4401" s="207"/>
      <c r="H4401" s="207"/>
      <c r="I4401" s="51"/>
      <c r="J4401" s="308"/>
      <c r="K4401" s="308"/>
      <c r="L4401" s="308"/>
      <c r="M4401" s="308"/>
      <c r="N4401" s="308"/>
      <c r="O4401" s="308"/>
      <c r="P4401" s="308"/>
      <c r="Q4401" s="309"/>
    </row>
    <row r="4402" spans="4:17" s="62" customFormat="1" x14ac:dyDescent="0.3">
      <c r="D4402" s="790" t="s">
        <v>2069</v>
      </c>
      <c r="E4402" s="791"/>
      <c r="F4402" s="791"/>
      <c r="G4402" s="791"/>
      <c r="H4402" s="791"/>
      <c r="I4402" s="175">
        <f t="shared" ref="I4402:Q4402" si="4893">SUM(I4403:I4407)</f>
        <v>0</v>
      </c>
      <c r="J4402" s="175">
        <f t="shared" si="4893"/>
        <v>16.647399999999998</v>
      </c>
      <c r="K4402" s="175">
        <f t="shared" si="4893"/>
        <v>0</v>
      </c>
      <c r="L4402" s="175">
        <f t="shared" si="4893"/>
        <v>19.805299999999999</v>
      </c>
      <c r="M4402" s="175">
        <f t="shared" si="4893"/>
        <v>0</v>
      </c>
      <c r="N4402" s="175">
        <f t="shared" si="4893"/>
        <v>0</v>
      </c>
      <c r="O4402" s="175">
        <f t="shared" si="4893"/>
        <v>0</v>
      </c>
      <c r="P4402" s="175">
        <f t="shared" si="4893"/>
        <v>0</v>
      </c>
      <c r="Q4402" s="175">
        <f t="shared" si="4893"/>
        <v>0</v>
      </c>
    </row>
    <row r="4403" spans="4:17" s="62" customFormat="1" x14ac:dyDescent="0.3">
      <c r="D4403" s="235">
        <v>1</v>
      </c>
      <c r="E4403" s="237">
        <v>230</v>
      </c>
      <c r="F4403" s="238">
        <v>5</v>
      </c>
      <c r="G4403" s="242">
        <v>0.47</v>
      </c>
      <c r="H4403" s="239">
        <f>E4403*G4403</f>
        <v>108.1</v>
      </c>
      <c r="I4403" s="122">
        <f>IF($F4403=4.2,H4403*$B$23,0)</f>
        <v>0</v>
      </c>
      <c r="J4403" s="29">
        <f>IF($F4403=5,$H4403*$B$24,0)</f>
        <v>16.647399999999998</v>
      </c>
      <c r="K4403" s="29">
        <f>IF($F4403=6.3,$H4403*$B$25,0)</f>
        <v>0</v>
      </c>
      <c r="L4403" s="29">
        <f>IF($F4403=8,$H4403*$B$26,0)</f>
        <v>0</v>
      </c>
      <c r="M4403" s="29">
        <f>IF($F4403=10,$H4403*$B$27,0)</f>
        <v>0</v>
      </c>
      <c r="N4403" s="29">
        <f>IF($F4403=12.5,$H4403*$B$28,0)</f>
        <v>0</v>
      </c>
      <c r="O4403" s="29">
        <f>IF($F4403=16,$H4403*$B$29,0)</f>
        <v>0</v>
      </c>
      <c r="P4403" s="29">
        <f>IF($F4403=20,$H4403*$B$30,0)</f>
        <v>0</v>
      </c>
      <c r="Q4403" s="37">
        <f>IF($F4403=25,$H4403*$B$31,0)</f>
        <v>0</v>
      </c>
    </row>
    <row r="4404" spans="4:17" s="62" customFormat="1" x14ac:dyDescent="0.3">
      <c r="D4404" s="235">
        <v>2</v>
      </c>
      <c r="E4404" s="240">
        <v>2</v>
      </c>
      <c r="F4404" s="241">
        <v>8</v>
      </c>
      <c r="G4404" s="242">
        <v>8.35</v>
      </c>
      <c r="H4404" s="239">
        <f>E4404*G4404</f>
        <v>16.7</v>
      </c>
      <c r="I4404" s="122">
        <f>IF($F4404=4.2,H4404*$B$23,0)</f>
        <v>0</v>
      </c>
      <c r="J4404" s="29">
        <f>IF($F4404=5,$H4404*$B$24,0)</f>
        <v>0</v>
      </c>
      <c r="K4404" s="29">
        <f>IF($F4404=6.3,$H4404*$B$25,0)</f>
        <v>0</v>
      </c>
      <c r="L4404" s="29">
        <f>IF($F4404=8,$H4404*$B$26,0)</f>
        <v>6.5964999999999998</v>
      </c>
      <c r="M4404" s="29">
        <f>IF($F4404=10,$H4404*$B$27,0)</f>
        <v>0</v>
      </c>
      <c r="N4404" s="29">
        <f>IF($F4404=12.5,$H4404*$B$28,0)</f>
        <v>0</v>
      </c>
      <c r="O4404" s="29">
        <f>IF($F4404=16,$H4404*$B$29,0)</f>
        <v>0</v>
      </c>
      <c r="P4404" s="29">
        <f>IF($F4404=20,$H4404*$B$30,0)</f>
        <v>0</v>
      </c>
      <c r="Q4404" s="37">
        <f>IF($F4404=25,$H4404*$B$31,0)</f>
        <v>0</v>
      </c>
    </row>
    <row r="4405" spans="4:17" s="62" customFormat="1" x14ac:dyDescent="0.3">
      <c r="D4405" s="235">
        <v>3</v>
      </c>
      <c r="E4405" s="240">
        <v>2</v>
      </c>
      <c r="F4405" s="241">
        <v>8</v>
      </c>
      <c r="G4405" s="242">
        <v>3.89</v>
      </c>
      <c r="H4405" s="239">
        <f>E4405*G4405</f>
        <v>7.78</v>
      </c>
      <c r="I4405" s="122">
        <f>IF($F4405=4.2,H4405*$B$23,0)</f>
        <v>0</v>
      </c>
      <c r="J4405" s="29">
        <f>IF($F4405=5,$H4405*$B$24,0)</f>
        <v>0</v>
      </c>
      <c r="K4405" s="29">
        <f>IF($F4405=6.3,$H4405*$B$25,0)</f>
        <v>0</v>
      </c>
      <c r="L4405" s="29">
        <f>IF($F4405=8,$H4405*$B$26,0)</f>
        <v>3.0731000000000002</v>
      </c>
      <c r="M4405" s="29">
        <f>IF($F4405=10,$H4405*$B$27,0)</f>
        <v>0</v>
      </c>
      <c r="N4405" s="29">
        <f>IF($F4405=12.5,$H4405*$B$28,0)</f>
        <v>0</v>
      </c>
      <c r="O4405" s="29">
        <f>IF($F4405=16,$H4405*$B$29,0)</f>
        <v>0</v>
      </c>
      <c r="P4405" s="29">
        <f>IF($F4405=20,$H4405*$B$30,0)</f>
        <v>0</v>
      </c>
      <c r="Q4405" s="37">
        <f>IF($F4405=25,$H4405*$B$31,0)</f>
        <v>0</v>
      </c>
    </row>
    <row r="4406" spans="4:17" s="62" customFormat="1" x14ac:dyDescent="0.3">
      <c r="D4406" s="235">
        <v>4</v>
      </c>
      <c r="E4406" s="240">
        <v>2</v>
      </c>
      <c r="F4406" s="241">
        <v>8</v>
      </c>
      <c r="G4406" s="242">
        <v>11.26</v>
      </c>
      <c r="H4406" s="239">
        <f>E4406*G4406</f>
        <v>22.52</v>
      </c>
      <c r="I4406" s="122">
        <f>IF($F4406=4.2,H4406*$B$23,0)</f>
        <v>0</v>
      </c>
      <c r="J4406" s="29">
        <f>IF($F4406=5,$H4406*$B$24,0)</f>
        <v>0</v>
      </c>
      <c r="K4406" s="29">
        <f>IF($F4406=6.3,$H4406*$B$25,0)</f>
        <v>0</v>
      </c>
      <c r="L4406" s="29">
        <f>IF($F4406=8,$H4406*$B$26,0)</f>
        <v>8.8954000000000004</v>
      </c>
      <c r="M4406" s="29">
        <f>IF($F4406=10,$H4406*$B$27,0)</f>
        <v>0</v>
      </c>
      <c r="N4406" s="29">
        <f>IF($F4406=12.5,$H4406*$B$28,0)</f>
        <v>0</v>
      </c>
      <c r="O4406" s="29">
        <f>IF($F4406=16,$H4406*$B$29,0)</f>
        <v>0</v>
      </c>
      <c r="P4406" s="29">
        <f>IF($F4406=20,$H4406*$B$30,0)</f>
        <v>0</v>
      </c>
      <c r="Q4406" s="37">
        <f>IF($F4406=25,$H4406*$B$31,0)</f>
        <v>0</v>
      </c>
    </row>
    <row r="4407" spans="4:17" s="62" customFormat="1" x14ac:dyDescent="0.3">
      <c r="D4407" s="235">
        <v>5</v>
      </c>
      <c r="E4407" s="240">
        <v>2</v>
      </c>
      <c r="F4407" s="241">
        <v>8</v>
      </c>
      <c r="G4407" s="242">
        <v>1.57</v>
      </c>
      <c r="H4407" s="239">
        <f>E4407*G4407</f>
        <v>3.14</v>
      </c>
      <c r="I4407" s="122">
        <f>IF($F4407=4.2,H4407*$B$23,0)</f>
        <v>0</v>
      </c>
      <c r="J4407" s="29">
        <f>IF($F4407=5,$H4407*$B$24,0)</f>
        <v>0</v>
      </c>
      <c r="K4407" s="29">
        <f>IF($F4407=6.3,$H4407*$B$25,0)</f>
        <v>0</v>
      </c>
      <c r="L4407" s="29">
        <f>IF($F4407=8,$H4407*$B$26,0)</f>
        <v>1.2403000000000002</v>
      </c>
      <c r="M4407" s="29">
        <f>IF($F4407=10,$H4407*$B$27,0)</f>
        <v>0</v>
      </c>
      <c r="N4407" s="29">
        <f>IF($F4407=12.5,$H4407*$B$28,0)</f>
        <v>0</v>
      </c>
      <c r="O4407" s="29">
        <f>IF($F4407=16,$H4407*$B$29,0)</f>
        <v>0</v>
      </c>
      <c r="P4407" s="29">
        <f>IF($F4407=20,$H4407*$B$30,0)</f>
        <v>0</v>
      </c>
      <c r="Q4407" s="37">
        <f>IF($F4407=25,$H4407*$B$31,0)</f>
        <v>0</v>
      </c>
    </row>
    <row r="4408" spans="4:17" s="62" customFormat="1" x14ac:dyDescent="0.3">
      <c r="D4408" s="307"/>
      <c r="E4408" s="26"/>
      <c r="F4408" s="206"/>
      <c r="G4408" s="207"/>
      <c r="H4408" s="207"/>
      <c r="I4408" s="51"/>
      <c r="J4408" s="308"/>
      <c r="K4408" s="308"/>
      <c r="L4408" s="308"/>
      <c r="M4408" s="308"/>
      <c r="N4408" s="308"/>
      <c r="O4408" s="308"/>
      <c r="P4408" s="308"/>
      <c r="Q4408" s="309"/>
    </row>
    <row r="4409" spans="4:17" s="62" customFormat="1" x14ac:dyDescent="0.3">
      <c r="D4409" s="790" t="s">
        <v>95</v>
      </c>
      <c r="E4409" s="791"/>
      <c r="F4409" s="791"/>
      <c r="G4409" s="791"/>
      <c r="H4409" s="791"/>
      <c r="I4409" s="175">
        <f t="shared" ref="I4409:Q4409" si="4894">SUM(I4410:I4414)</f>
        <v>0</v>
      </c>
      <c r="J4409" s="175">
        <f t="shared" si="4894"/>
        <v>0</v>
      </c>
      <c r="K4409" s="175">
        <f t="shared" si="4894"/>
        <v>0</v>
      </c>
      <c r="L4409" s="175">
        <f t="shared" si="4894"/>
        <v>0</v>
      </c>
      <c r="M4409" s="175">
        <f t="shared" si="4894"/>
        <v>0</v>
      </c>
      <c r="N4409" s="175">
        <f t="shared" si="4894"/>
        <v>0</v>
      </c>
      <c r="O4409" s="175">
        <f t="shared" si="4894"/>
        <v>0</v>
      </c>
      <c r="P4409" s="175">
        <f t="shared" si="4894"/>
        <v>0</v>
      </c>
      <c r="Q4409" s="175">
        <f t="shared" si="4894"/>
        <v>0</v>
      </c>
    </row>
    <row r="4410" spans="4:17" s="62" customFormat="1" x14ac:dyDescent="0.3">
      <c r="D4410" s="235"/>
      <c r="E4410" s="237"/>
      <c r="F4410" s="238"/>
      <c r="G4410" s="242"/>
      <c r="H4410" s="239">
        <f>E4410*G4410</f>
        <v>0</v>
      </c>
      <c r="I4410" s="122">
        <f>IF($F4410=4.2,H4410*$B$23,0)</f>
        <v>0</v>
      </c>
      <c r="J4410" s="29">
        <f>IF($F4410=5,$H4410*$B$24,0)</f>
        <v>0</v>
      </c>
      <c r="K4410" s="29">
        <f>IF($F4410=6.3,$H4410*$B$25,0)</f>
        <v>0</v>
      </c>
      <c r="L4410" s="29">
        <f>IF($F4410=8,$H4410*$B$26,0)</f>
        <v>0</v>
      </c>
      <c r="M4410" s="29">
        <f>IF($F4410=10,$H4410*$B$27,0)</f>
        <v>0</v>
      </c>
      <c r="N4410" s="29">
        <f>IF($F4410=12.5,$H4410*$B$28,0)</f>
        <v>0</v>
      </c>
      <c r="O4410" s="29">
        <f>IF($F4410=16,$H4410*$B$29,0)</f>
        <v>0</v>
      </c>
      <c r="P4410" s="29">
        <f>IF($F4410=20,$H4410*$B$30,0)</f>
        <v>0</v>
      </c>
      <c r="Q4410" s="37">
        <f>IF($F4410=25,$H4410*$B$31,0)</f>
        <v>0</v>
      </c>
    </row>
    <row r="4411" spans="4:17" s="62" customFormat="1" x14ac:dyDescent="0.3">
      <c r="D4411" s="235"/>
      <c r="E4411" s="240"/>
      <c r="F4411" s="241"/>
      <c r="G4411" s="242"/>
      <c r="H4411" s="239">
        <f>E4411*G4411</f>
        <v>0</v>
      </c>
      <c r="I4411" s="122">
        <f>IF($F4411=4.2,H4411*$B$23,0)</f>
        <v>0</v>
      </c>
      <c r="J4411" s="29">
        <f>IF($F4411=5,$H4411*$B$24,0)</f>
        <v>0</v>
      </c>
      <c r="K4411" s="29">
        <f>IF($F4411=6.3,$H4411*$B$25,0)</f>
        <v>0</v>
      </c>
      <c r="L4411" s="29">
        <f>IF($F4411=8,$H4411*$B$26,0)</f>
        <v>0</v>
      </c>
      <c r="M4411" s="29">
        <f>IF($F4411=10,$H4411*$B$27,0)</f>
        <v>0</v>
      </c>
      <c r="N4411" s="29">
        <f>IF($F4411=12.5,$H4411*$B$28,0)</f>
        <v>0</v>
      </c>
      <c r="O4411" s="29">
        <f>IF($F4411=16,$H4411*$B$29,0)</f>
        <v>0</v>
      </c>
      <c r="P4411" s="29">
        <f>IF($F4411=20,$H4411*$B$30,0)</f>
        <v>0</v>
      </c>
      <c r="Q4411" s="37">
        <f>IF($F4411=25,$H4411*$B$31,0)</f>
        <v>0</v>
      </c>
    </row>
    <row r="4412" spans="4:17" s="62" customFormat="1" x14ac:dyDescent="0.3">
      <c r="D4412" s="235"/>
      <c r="E4412" s="240"/>
      <c r="F4412" s="241"/>
      <c r="G4412" s="242"/>
      <c r="H4412" s="239">
        <f>E4412*G4412</f>
        <v>0</v>
      </c>
      <c r="I4412" s="122">
        <f>IF($F4412=4.2,H4412*$B$23,0)</f>
        <v>0</v>
      </c>
      <c r="J4412" s="29">
        <f>IF($F4412=5,$H4412*$B$24,0)</f>
        <v>0</v>
      </c>
      <c r="K4412" s="29">
        <f>IF($F4412=6.3,$H4412*$B$25,0)</f>
        <v>0</v>
      </c>
      <c r="L4412" s="29">
        <f>IF($F4412=8,$H4412*$B$26,0)</f>
        <v>0</v>
      </c>
      <c r="M4412" s="29">
        <f>IF($F4412=10,$H4412*$B$27,0)</f>
        <v>0</v>
      </c>
      <c r="N4412" s="29">
        <f>IF($F4412=12.5,$H4412*$B$28,0)</f>
        <v>0</v>
      </c>
      <c r="O4412" s="29">
        <f>IF($F4412=16,$H4412*$B$29,0)</f>
        <v>0</v>
      </c>
      <c r="P4412" s="29">
        <f>IF($F4412=20,$H4412*$B$30,0)</f>
        <v>0</v>
      </c>
      <c r="Q4412" s="37">
        <f>IF($F4412=25,$H4412*$B$31,0)</f>
        <v>0</v>
      </c>
    </row>
    <row r="4413" spans="4:17" s="62" customFormat="1" x14ac:dyDescent="0.3">
      <c r="D4413" s="235"/>
      <c r="E4413" s="240"/>
      <c r="F4413" s="241"/>
      <c r="G4413" s="242"/>
      <c r="H4413" s="239">
        <f>E4413*G4413</f>
        <v>0</v>
      </c>
      <c r="I4413" s="122">
        <f>IF($F4413=4.2,H4413*$B$23,0)</f>
        <v>0</v>
      </c>
      <c r="J4413" s="29">
        <f>IF($F4413=5,$H4413*$B$24,0)</f>
        <v>0</v>
      </c>
      <c r="K4413" s="29">
        <f>IF($F4413=6.3,$H4413*$B$25,0)</f>
        <v>0</v>
      </c>
      <c r="L4413" s="29">
        <f>IF($F4413=8,$H4413*$B$26,0)</f>
        <v>0</v>
      </c>
      <c r="M4413" s="29">
        <f>IF($F4413=10,$H4413*$B$27,0)</f>
        <v>0</v>
      </c>
      <c r="N4413" s="29">
        <f>IF($F4413=12.5,$H4413*$B$28,0)</f>
        <v>0</v>
      </c>
      <c r="O4413" s="29">
        <f>IF($F4413=16,$H4413*$B$29,0)</f>
        <v>0</v>
      </c>
      <c r="P4413" s="29">
        <f>IF($F4413=20,$H4413*$B$30,0)</f>
        <v>0</v>
      </c>
      <c r="Q4413" s="37">
        <f>IF($F4413=25,$H4413*$B$31,0)</f>
        <v>0</v>
      </c>
    </row>
    <row r="4414" spans="4:17" s="62" customFormat="1" x14ac:dyDescent="0.3">
      <c r="D4414" s="235"/>
      <c r="E4414" s="240"/>
      <c r="F4414" s="241"/>
      <c r="G4414" s="242"/>
      <c r="H4414" s="239">
        <f>E4414*G4414</f>
        <v>0</v>
      </c>
      <c r="I4414" s="122">
        <f>IF($F4414=4.2,H4414*$B$23,0)</f>
        <v>0</v>
      </c>
      <c r="J4414" s="29">
        <f>IF($F4414=5,$H4414*$B$24,0)</f>
        <v>0</v>
      </c>
      <c r="K4414" s="29">
        <f>IF($F4414=6.3,$H4414*$B$25,0)</f>
        <v>0</v>
      </c>
      <c r="L4414" s="29">
        <f>IF($F4414=8,$H4414*$B$26,0)</f>
        <v>0</v>
      </c>
      <c r="M4414" s="29">
        <f>IF($F4414=10,$H4414*$B$27,0)</f>
        <v>0</v>
      </c>
      <c r="N4414" s="29">
        <f>IF($F4414=12.5,$H4414*$B$28,0)</f>
        <v>0</v>
      </c>
      <c r="O4414" s="29">
        <f>IF($F4414=16,$H4414*$B$29,0)</f>
        <v>0</v>
      </c>
      <c r="P4414" s="29">
        <f>IF($F4414=20,$H4414*$B$30,0)</f>
        <v>0</v>
      </c>
      <c r="Q4414" s="37">
        <f>IF($F4414=25,$H4414*$B$31,0)</f>
        <v>0</v>
      </c>
    </row>
    <row r="4415" spans="4:17" s="62" customFormat="1" x14ac:dyDescent="0.3">
      <c r="D4415" s="307"/>
      <c r="E4415" s="26"/>
      <c r="F4415" s="206"/>
      <c r="G4415" s="207"/>
      <c r="H4415" s="207"/>
      <c r="I4415" s="51"/>
      <c r="J4415" s="308"/>
      <c r="K4415" s="308"/>
      <c r="L4415" s="308"/>
      <c r="M4415" s="308"/>
      <c r="N4415" s="308"/>
      <c r="O4415" s="308"/>
      <c r="P4415" s="308"/>
      <c r="Q4415" s="309"/>
    </row>
    <row r="4416" spans="4:17" s="62" customFormat="1" x14ac:dyDescent="0.3">
      <c r="D4416" s="790" t="s">
        <v>95</v>
      </c>
      <c r="E4416" s="791"/>
      <c r="F4416" s="791"/>
      <c r="G4416" s="791"/>
      <c r="H4416" s="791"/>
      <c r="I4416" s="175">
        <f t="shared" ref="I4416:Q4416" si="4895">SUM(I4417:I4421)</f>
        <v>0</v>
      </c>
      <c r="J4416" s="175">
        <f t="shared" si="4895"/>
        <v>0</v>
      </c>
      <c r="K4416" s="175">
        <f t="shared" si="4895"/>
        <v>0</v>
      </c>
      <c r="L4416" s="175">
        <f t="shared" si="4895"/>
        <v>0</v>
      </c>
      <c r="M4416" s="175">
        <f t="shared" si="4895"/>
        <v>0</v>
      </c>
      <c r="N4416" s="175">
        <f t="shared" si="4895"/>
        <v>0</v>
      </c>
      <c r="O4416" s="175">
        <f t="shared" si="4895"/>
        <v>0</v>
      </c>
      <c r="P4416" s="175">
        <f t="shared" si="4895"/>
        <v>0</v>
      </c>
      <c r="Q4416" s="175">
        <f t="shared" si="4895"/>
        <v>0</v>
      </c>
    </row>
    <row r="4417" spans="4:17" s="62" customFormat="1" x14ac:dyDescent="0.3">
      <c r="D4417" s="235"/>
      <c r="E4417" s="237"/>
      <c r="F4417" s="238"/>
      <c r="G4417" s="242"/>
      <c r="H4417" s="239">
        <f>E4417*G4417</f>
        <v>0</v>
      </c>
      <c r="I4417" s="122">
        <f>IF($F4417=4.2,H4417*$B$23,0)</f>
        <v>0</v>
      </c>
      <c r="J4417" s="29">
        <f>IF($F4417=5,$H4417*$B$24,0)</f>
        <v>0</v>
      </c>
      <c r="K4417" s="29">
        <f>IF($F4417=6.3,$H4417*$B$25,0)</f>
        <v>0</v>
      </c>
      <c r="L4417" s="29">
        <f>IF($F4417=8,$H4417*$B$26,0)</f>
        <v>0</v>
      </c>
      <c r="M4417" s="29">
        <f>IF($F4417=10,$H4417*$B$27,0)</f>
        <v>0</v>
      </c>
      <c r="N4417" s="29">
        <f>IF($F4417=12.5,$H4417*$B$28,0)</f>
        <v>0</v>
      </c>
      <c r="O4417" s="29">
        <f>IF($F4417=16,$H4417*$B$29,0)</f>
        <v>0</v>
      </c>
      <c r="P4417" s="29">
        <f>IF($F4417=20,$H4417*$B$30,0)</f>
        <v>0</v>
      </c>
      <c r="Q4417" s="37">
        <f>IF($F4417=25,$H4417*$B$31,0)</f>
        <v>0</v>
      </c>
    </row>
    <row r="4418" spans="4:17" s="62" customFormat="1" x14ac:dyDescent="0.3">
      <c r="D4418" s="235"/>
      <c r="E4418" s="240"/>
      <c r="F4418" s="241"/>
      <c r="G4418" s="242"/>
      <c r="H4418" s="239">
        <f>E4418*G4418</f>
        <v>0</v>
      </c>
      <c r="I4418" s="122">
        <f>IF($F4418=4.2,H4418*$B$23,0)</f>
        <v>0</v>
      </c>
      <c r="J4418" s="29">
        <f>IF($F4418=5,$H4418*$B$24,0)</f>
        <v>0</v>
      </c>
      <c r="K4418" s="29">
        <f>IF($F4418=6.3,$H4418*$B$25,0)</f>
        <v>0</v>
      </c>
      <c r="L4418" s="29">
        <f>IF($F4418=8,$H4418*$B$26,0)</f>
        <v>0</v>
      </c>
      <c r="M4418" s="29">
        <f>IF($F4418=10,$H4418*$B$27,0)</f>
        <v>0</v>
      </c>
      <c r="N4418" s="29">
        <f>IF($F4418=12.5,$H4418*$B$28,0)</f>
        <v>0</v>
      </c>
      <c r="O4418" s="29">
        <f>IF($F4418=16,$H4418*$B$29,0)</f>
        <v>0</v>
      </c>
      <c r="P4418" s="29">
        <f>IF($F4418=20,$H4418*$B$30,0)</f>
        <v>0</v>
      </c>
      <c r="Q4418" s="37">
        <f>IF($F4418=25,$H4418*$B$31,0)</f>
        <v>0</v>
      </c>
    </row>
    <row r="4419" spans="4:17" s="62" customFormat="1" x14ac:dyDescent="0.3">
      <c r="D4419" s="235"/>
      <c r="E4419" s="240"/>
      <c r="F4419" s="241"/>
      <c r="G4419" s="242"/>
      <c r="H4419" s="239">
        <f>E4419*G4419</f>
        <v>0</v>
      </c>
      <c r="I4419" s="122">
        <f>IF($F4419=4.2,H4419*$B$23,0)</f>
        <v>0</v>
      </c>
      <c r="J4419" s="29">
        <f>IF($F4419=5,$H4419*$B$24,0)</f>
        <v>0</v>
      </c>
      <c r="K4419" s="29">
        <f>IF($F4419=6.3,$H4419*$B$25,0)</f>
        <v>0</v>
      </c>
      <c r="L4419" s="29">
        <f>IF($F4419=8,$H4419*$B$26,0)</f>
        <v>0</v>
      </c>
      <c r="M4419" s="29">
        <f>IF($F4419=10,$H4419*$B$27,0)</f>
        <v>0</v>
      </c>
      <c r="N4419" s="29">
        <f>IF($F4419=12.5,$H4419*$B$28,0)</f>
        <v>0</v>
      </c>
      <c r="O4419" s="29">
        <f>IF($F4419=16,$H4419*$B$29,0)</f>
        <v>0</v>
      </c>
      <c r="P4419" s="29">
        <f>IF($F4419=20,$H4419*$B$30,0)</f>
        <v>0</v>
      </c>
      <c r="Q4419" s="37">
        <f>IF($F4419=25,$H4419*$B$31,0)</f>
        <v>0</v>
      </c>
    </row>
    <row r="4420" spans="4:17" s="62" customFormat="1" x14ac:dyDescent="0.3">
      <c r="D4420" s="235"/>
      <c r="E4420" s="240"/>
      <c r="F4420" s="241"/>
      <c r="G4420" s="242"/>
      <c r="H4420" s="239">
        <f>E4420*G4420</f>
        <v>0</v>
      </c>
      <c r="I4420" s="122">
        <f>IF($F4420=4.2,H4420*$B$23,0)</f>
        <v>0</v>
      </c>
      <c r="J4420" s="29">
        <f>IF($F4420=5,$H4420*$B$24,0)</f>
        <v>0</v>
      </c>
      <c r="K4420" s="29">
        <f>IF($F4420=6.3,$H4420*$B$25,0)</f>
        <v>0</v>
      </c>
      <c r="L4420" s="29">
        <f>IF($F4420=8,$H4420*$B$26,0)</f>
        <v>0</v>
      </c>
      <c r="M4420" s="29">
        <f>IF($F4420=10,$H4420*$B$27,0)</f>
        <v>0</v>
      </c>
      <c r="N4420" s="29">
        <f>IF($F4420=12.5,$H4420*$B$28,0)</f>
        <v>0</v>
      </c>
      <c r="O4420" s="29">
        <f>IF($F4420=16,$H4420*$B$29,0)</f>
        <v>0</v>
      </c>
      <c r="P4420" s="29">
        <f>IF($F4420=20,$H4420*$B$30,0)</f>
        <v>0</v>
      </c>
      <c r="Q4420" s="37">
        <f>IF($F4420=25,$H4420*$B$31,0)</f>
        <v>0</v>
      </c>
    </row>
    <row r="4421" spans="4:17" s="62" customFormat="1" x14ac:dyDescent="0.3">
      <c r="D4421" s="235"/>
      <c r="E4421" s="240"/>
      <c r="F4421" s="241"/>
      <c r="G4421" s="242"/>
      <c r="H4421" s="239">
        <f>E4421*G4421</f>
        <v>0</v>
      </c>
      <c r="I4421" s="122">
        <f>IF($F4421=4.2,H4421*$B$23,0)</f>
        <v>0</v>
      </c>
      <c r="J4421" s="29">
        <f>IF($F4421=5,$H4421*$B$24,0)</f>
        <v>0</v>
      </c>
      <c r="K4421" s="29">
        <f>IF($F4421=6.3,$H4421*$B$25,0)</f>
        <v>0</v>
      </c>
      <c r="L4421" s="29">
        <f>IF($F4421=8,$H4421*$B$26,0)</f>
        <v>0</v>
      </c>
      <c r="M4421" s="29">
        <f>IF($F4421=10,$H4421*$B$27,0)</f>
        <v>0</v>
      </c>
      <c r="N4421" s="29">
        <f>IF($F4421=12.5,$H4421*$B$28,0)</f>
        <v>0</v>
      </c>
      <c r="O4421" s="29">
        <f>IF($F4421=16,$H4421*$B$29,0)</f>
        <v>0</v>
      </c>
      <c r="P4421" s="29">
        <f>IF($F4421=20,$H4421*$B$30,0)</f>
        <v>0</v>
      </c>
      <c r="Q4421" s="37">
        <f>IF($F4421=25,$H4421*$B$31,0)</f>
        <v>0</v>
      </c>
    </row>
    <row r="4422" spans="4:17" s="62" customFormat="1" x14ac:dyDescent="0.3">
      <c r="D4422" s="307"/>
      <c r="E4422" s="26"/>
      <c r="F4422" s="206"/>
      <c r="G4422" s="207"/>
      <c r="H4422" s="207"/>
      <c r="I4422" s="51"/>
      <c r="J4422" s="308"/>
      <c r="K4422" s="308"/>
      <c r="L4422" s="308"/>
      <c r="M4422" s="308"/>
      <c r="N4422" s="308"/>
      <c r="O4422" s="308"/>
      <c r="P4422" s="308"/>
      <c r="Q4422" s="309"/>
    </row>
    <row r="4423" spans="4:17" s="62" customFormat="1" x14ac:dyDescent="0.3">
      <c r="D4423" s="790" t="s">
        <v>95</v>
      </c>
      <c r="E4423" s="791"/>
      <c r="F4423" s="791"/>
      <c r="G4423" s="791"/>
      <c r="H4423" s="791"/>
      <c r="I4423" s="175">
        <f t="shared" ref="I4423:Q4423" si="4896">SUM(I4424:I4428)</f>
        <v>0</v>
      </c>
      <c r="J4423" s="175">
        <f t="shared" si="4896"/>
        <v>0</v>
      </c>
      <c r="K4423" s="175">
        <f t="shared" si="4896"/>
        <v>0</v>
      </c>
      <c r="L4423" s="175">
        <f t="shared" si="4896"/>
        <v>0</v>
      </c>
      <c r="M4423" s="175">
        <f t="shared" si="4896"/>
        <v>0</v>
      </c>
      <c r="N4423" s="175">
        <f t="shared" si="4896"/>
        <v>0</v>
      </c>
      <c r="O4423" s="175">
        <f t="shared" si="4896"/>
        <v>0</v>
      </c>
      <c r="P4423" s="175">
        <f t="shared" si="4896"/>
        <v>0</v>
      </c>
      <c r="Q4423" s="175">
        <f t="shared" si="4896"/>
        <v>0</v>
      </c>
    </row>
    <row r="4424" spans="4:17" s="62" customFormat="1" x14ac:dyDescent="0.3">
      <c r="D4424" s="235"/>
      <c r="E4424" s="237"/>
      <c r="F4424" s="238"/>
      <c r="G4424" s="242"/>
      <c r="H4424" s="239">
        <f>E4424*G4424</f>
        <v>0</v>
      </c>
      <c r="I4424" s="122">
        <f>IF($F4424=4.2,H4424*$B$23,0)</f>
        <v>0</v>
      </c>
      <c r="J4424" s="29">
        <f>IF($F4424=5,$H4424*$B$24,0)</f>
        <v>0</v>
      </c>
      <c r="K4424" s="29">
        <f>IF($F4424=6.3,$H4424*$B$25,0)</f>
        <v>0</v>
      </c>
      <c r="L4424" s="29">
        <f>IF($F4424=8,$H4424*$B$26,0)</f>
        <v>0</v>
      </c>
      <c r="M4424" s="29">
        <f>IF($F4424=10,$H4424*$B$27,0)</f>
        <v>0</v>
      </c>
      <c r="N4424" s="29">
        <f>IF($F4424=12.5,$H4424*$B$28,0)</f>
        <v>0</v>
      </c>
      <c r="O4424" s="29">
        <f>IF($F4424=16,$H4424*$B$29,0)</f>
        <v>0</v>
      </c>
      <c r="P4424" s="29">
        <f>IF($F4424=20,$H4424*$B$30,0)</f>
        <v>0</v>
      </c>
      <c r="Q4424" s="37">
        <f>IF($F4424=25,$H4424*$B$31,0)</f>
        <v>0</v>
      </c>
    </row>
    <row r="4425" spans="4:17" s="62" customFormat="1" x14ac:dyDescent="0.3">
      <c r="D4425" s="235"/>
      <c r="E4425" s="240"/>
      <c r="F4425" s="241"/>
      <c r="G4425" s="242"/>
      <c r="H4425" s="239">
        <f>E4425*G4425</f>
        <v>0</v>
      </c>
      <c r="I4425" s="122">
        <f>IF($F4425=4.2,H4425*$B$23,0)</f>
        <v>0</v>
      </c>
      <c r="J4425" s="29">
        <f>IF($F4425=5,$H4425*$B$24,0)</f>
        <v>0</v>
      </c>
      <c r="K4425" s="29">
        <f>IF($F4425=6.3,$H4425*$B$25,0)</f>
        <v>0</v>
      </c>
      <c r="L4425" s="29">
        <f>IF($F4425=8,$H4425*$B$26,0)</f>
        <v>0</v>
      </c>
      <c r="M4425" s="29">
        <f>IF($F4425=10,$H4425*$B$27,0)</f>
        <v>0</v>
      </c>
      <c r="N4425" s="29">
        <f>IF($F4425=12.5,$H4425*$B$28,0)</f>
        <v>0</v>
      </c>
      <c r="O4425" s="29">
        <f>IF($F4425=16,$H4425*$B$29,0)</f>
        <v>0</v>
      </c>
      <c r="P4425" s="29">
        <f>IF($F4425=20,$H4425*$B$30,0)</f>
        <v>0</v>
      </c>
      <c r="Q4425" s="37">
        <f>IF($F4425=25,$H4425*$B$31,0)</f>
        <v>0</v>
      </c>
    </row>
    <row r="4426" spans="4:17" s="62" customFormat="1" x14ac:dyDescent="0.3">
      <c r="D4426" s="235"/>
      <c r="E4426" s="240"/>
      <c r="F4426" s="241"/>
      <c r="G4426" s="242"/>
      <c r="H4426" s="239">
        <f>E4426*G4426</f>
        <v>0</v>
      </c>
      <c r="I4426" s="122">
        <f>IF($F4426=4.2,H4426*$B$23,0)</f>
        <v>0</v>
      </c>
      <c r="J4426" s="29">
        <f>IF($F4426=5,$H4426*$B$24,0)</f>
        <v>0</v>
      </c>
      <c r="K4426" s="29">
        <f>IF($F4426=6.3,$H4426*$B$25,0)</f>
        <v>0</v>
      </c>
      <c r="L4426" s="29">
        <f>IF($F4426=8,$H4426*$B$26,0)</f>
        <v>0</v>
      </c>
      <c r="M4426" s="29">
        <f>IF($F4426=10,$H4426*$B$27,0)</f>
        <v>0</v>
      </c>
      <c r="N4426" s="29">
        <f>IF($F4426=12.5,$H4426*$B$28,0)</f>
        <v>0</v>
      </c>
      <c r="O4426" s="29">
        <f>IF($F4426=16,$H4426*$B$29,0)</f>
        <v>0</v>
      </c>
      <c r="P4426" s="29">
        <f>IF($F4426=20,$H4426*$B$30,0)</f>
        <v>0</v>
      </c>
      <c r="Q4426" s="37">
        <f>IF($F4426=25,$H4426*$B$31,0)</f>
        <v>0</v>
      </c>
    </row>
    <row r="4427" spans="4:17" s="62" customFormat="1" x14ac:dyDescent="0.3">
      <c r="D4427" s="235"/>
      <c r="E4427" s="240"/>
      <c r="F4427" s="241"/>
      <c r="G4427" s="242"/>
      <c r="H4427" s="239">
        <f>E4427*G4427</f>
        <v>0</v>
      </c>
      <c r="I4427" s="122">
        <f>IF($F4427=4.2,H4427*$B$23,0)</f>
        <v>0</v>
      </c>
      <c r="J4427" s="29">
        <f>IF($F4427=5,$H4427*$B$24,0)</f>
        <v>0</v>
      </c>
      <c r="K4427" s="29">
        <f>IF($F4427=6.3,$H4427*$B$25,0)</f>
        <v>0</v>
      </c>
      <c r="L4427" s="29">
        <f>IF($F4427=8,$H4427*$B$26,0)</f>
        <v>0</v>
      </c>
      <c r="M4427" s="29">
        <f>IF($F4427=10,$H4427*$B$27,0)</f>
        <v>0</v>
      </c>
      <c r="N4427" s="29">
        <f>IF($F4427=12.5,$H4427*$B$28,0)</f>
        <v>0</v>
      </c>
      <c r="O4427" s="29">
        <f>IF($F4427=16,$H4427*$B$29,0)</f>
        <v>0</v>
      </c>
      <c r="P4427" s="29">
        <f>IF($F4427=20,$H4427*$B$30,0)</f>
        <v>0</v>
      </c>
      <c r="Q4427" s="37">
        <f>IF($F4427=25,$H4427*$B$31,0)</f>
        <v>0</v>
      </c>
    </row>
    <row r="4428" spans="4:17" s="62" customFormat="1" x14ac:dyDescent="0.3">
      <c r="D4428" s="235"/>
      <c r="E4428" s="240"/>
      <c r="F4428" s="241"/>
      <c r="G4428" s="242"/>
      <c r="H4428" s="239">
        <f>E4428*G4428</f>
        <v>0</v>
      </c>
      <c r="I4428" s="122">
        <f>IF($F4428=4.2,H4428*$B$23,0)</f>
        <v>0</v>
      </c>
      <c r="J4428" s="29">
        <f>IF($F4428=5,$H4428*$B$24,0)</f>
        <v>0</v>
      </c>
      <c r="K4428" s="29">
        <f>IF($F4428=6.3,$H4428*$B$25,0)</f>
        <v>0</v>
      </c>
      <c r="L4428" s="29">
        <f>IF($F4428=8,$H4428*$B$26,0)</f>
        <v>0</v>
      </c>
      <c r="M4428" s="29">
        <f>IF($F4428=10,$H4428*$B$27,0)</f>
        <v>0</v>
      </c>
      <c r="N4428" s="29">
        <f>IF($F4428=12.5,$H4428*$B$28,0)</f>
        <v>0</v>
      </c>
      <c r="O4428" s="29">
        <f>IF($F4428=16,$H4428*$B$29,0)</f>
        <v>0</v>
      </c>
      <c r="P4428" s="29">
        <f>IF($F4428=20,$H4428*$B$30,0)</f>
        <v>0</v>
      </c>
      <c r="Q4428" s="37">
        <f>IF($F4428=25,$H4428*$B$31,0)</f>
        <v>0</v>
      </c>
    </row>
    <row r="4429" spans="4:17" s="62" customFormat="1" x14ac:dyDescent="0.3">
      <c r="D4429" s="307"/>
      <c r="E4429" s="26"/>
      <c r="F4429" s="206"/>
      <c r="G4429" s="207"/>
      <c r="H4429" s="207"/>
      <c r="I4429" s="51"/>
      <c r="J4429" s="308"/>
      <c r="K4429" s="308"/>
      <c r="L4429" s="308"/>
      <c r="M4429" s="308"/>
      <c r="N4429" s="308"/>
      <c r="O4429" s="308"/>
      <c r="P4429" s="308"/>
      <c r="Q4429" s="309"/>
    </row>
    <row r="4430" spans="4:17" s="62" customFormat="1" x14ac:dyDescent="0.3">
      <c r="D4430" s="790" t="s">
        <v>95</v>
      </c>
      <c r="E4430" s="791"/>
      <c r="F4430" s="791"/>
      <c r="G4430" s="791"/>
      <c r="H4430" s="791"/>
      <c r="I4430" s="175">
        <f t="shared" ref="I4430:Q4430" si="4897">SUM(I4431:I4435)</f>
        <v>0</v>
      </c>
      <c r="J4430" s="175">
        <f t="shared" si="4897"/>
        <v>0</v>
      </c>
      <c r="K4430" s="175">
        <f t="shared" si="4897"/>
        <v>0</v>
      </c>
      <c r="L4430" s="175">
        <f t="shared" si="4897"/>
        <v>0</v>
      </c>
      <c r="M4430" s="175">
        <f t="shared" si="4897"/>
        <v>0</v>
      </c>
      <c r="N4430" s="175">
        <f t="shared" si="4897"/>
        <v>0</v>
      </c>
      <c r="O4430" s="175">
        <f t="shared" si="4897"/>
        <v>0</v>
      </c>
      <c r="P4430" s="175">
        <f t="shared" si="4897"/>
        <v>0</v>
      </c>
      <c r="Q4430" s="175">
        <f t="shared" si="4897"/>
        <v>0</v>
      </c>
    </row>
    <row r="4431" spans="4:17" s="62" customFormat="1" x14ac:dyDescent="0.3">
      <c r="D4431" s="235"/>
      <c r="E4431" s="237"/>
      <c r="F4431" s="238"/>
      <c r="G4431" s="242"/>
      <c r="H4431" s="239">
        <f>E4431*G4431</f>
        <v>0</v>
      </c>
      <c r="I4431" s="122">
        <f>IF($F4431=4.2,H4431*$B$23,0)</f>
        <v>0</v>
      </c>
      <c r="J4431" s="29">
        <f>IF($F4431=5,$H4431*$B$24,0)</f>
        <v>0</v>
      </c>
      <c r="K4431" s="29">
        <f>IF($F4431=6.3,$H4431*$B$25,0)</f>
        <v>0</v>
      </c>
      <c r="L4431" s="29">
        <f>IF($F4431=8,$H4431*$B$26,0)</f>
        <v>0</v>
      </c>
      <c r="M4431" s="29">
        <f>IF($F4431=10,$H4431*$B$27,0)</f>
        <v>0</v>
      </c>
      <c r="N4431" s="29">
        <f>IF($F4431=12.5,$H4431*$B$28,0)</f>
        <v>0</v>
      </c>
      <c r="O4431" s="29">
        <f>IF($F4431=16,$H4431*$B$29,0)</f>
        <v>0</v>
      </c>
      <c r="P4431" s="29">
        <f>IF($F4431=20,$H4431*$B$30,0)</f>
        <v>0</v>
      </c>
      <c r="Q4431" s="37">
        <f>IF($F4431=25,$H4431*$B$31,0)</f>
        <v>0</v>
      </c>
    </row>
    <row r="4432" spans="4:17" s="62" customFormat="1" x14ac:dyDescent="0.3">
      <c r="D4432" s="235"/>
      <c r="E4432" s="240"/>
      <c r="F4432" s="241"/>
      <c r="G4432" s="242"/>
      <c r="H4432" s="239">
        <f>E4432*G4432</f>
        <v>0</v>
      </c>
      <c r="I4432" s="122">
        <f>IF($F4432=4.2,H4432*$B$23,0)</f>
        <v>0</v>
      </c>
      <c r="J4432" s="29">
        <f>IF($F4432=5,$H4432*$B$24,0)</f>
        <v>0</v>
      </c>
      <c r="K4432" s="29">
        <f>IF($F4432=6.3,$H4432*$B$25,0)</f>
        <v>0</v>
      </c>
      <c r="L4432" s="29">
        <f>IF($F4432=8,$H4432*$B$26,0)</f>
        <v>0</v>
      </c>
      <c r="M4432" s="29">
        <f>IF($F4432=10,$H4432*$B$27,0)</f>
        <v>0</v>
      </c>
      <c r="N4432" s="29">
        <f>IF($F4432=12.5,$H4432*$B$28,0)</f>
        <v>0</v>
      </c>
      <c r="O4432" s="29">
        <f>IF($F4432=16,$H4432*$B$29,0)</f>
        <v>0</v>
      </c>
      <c r="P4432" s="29">
        <f>IF($F4432=20,$H4432*$B$30,0)</f>
        <v>0</v>
      </c>
      <c r="Q4432" s="37">
        <f>IF($F4432=25,$H4432*$B$31,0)</f>
        <v>0</v>
      </c>
    </row>
    <row r="4433" spans="4:17" s="62" customFormat="1" x14ac:dyDescent="0.3">
      <c r="D4433" s="235"/>
      <c r="E4433" s="240"/>
      <c r="F4433" s="241"/>
      <c r="G4433" s="242"/>
      <c r="H4433" s="239">
        <f>E4433*G4433</f>
        <v>0</v>
      </c>
      <c r="I4433" s="122">
        <f>IF($F4433=4.2,H4433*$B$23,0)</f>
        <v>0</v>
      </c>
      <c r="J4433" s="29">
        <f>IF($F4433=5,$H4433*$B$24,0)</f>
        <v>0</v>
      </c>
      <c r="K4433" s="29">
        <f>IF($F4433=6.3,$H4433*$B$25,0)</f>
        <v>0</v>
      </c>
      <c r="L4433" s="29">
        <f>IF($F4433=8,$H4433*$B$26,0)</f>
        <v>0</v>
      </c>
      <c r="M4433" s="29">
        <f>IF($F4433=10,$H4433*$B$27,0)</f>
        <v>0</v>
      </c>
      <c r="N4433" s="29">
        <f>IF($F4433=12.5,$H4433*$B$28,0)</f>
        <v>0</v>
      </c>
      <c r="O4433" s="29">
        <f>IF($F4433=16,$H4433*$B$29,0)</f>
        <v>0</v>
      </c>
      <c r="P4433" s="29">
        <f>IF($F4433=20,$H4433*$B$30,0)</f>
        <v>0</v>
      </c>
      <c r="Q4433" s="37">
        <f>IF($F4433=25,$H4433*$B$31,0)</f>
        <v>0</v>
      </c>
    </row>
    <row r="4434" spans="4:17" s="62" customFormat="1" x14ac:dyDescent="0.3">
      <c r="D4434" s="235"/>
      <c r="E4434" s="240"/>
      <c r="F4434" s="241"/>
      <c r="G4434" s="242"/>
      <c r="H4434" s="239">
        <f>E4434*G4434</f>
        <v>0</v>
      </c>
      <c r="I4434" s="122">
        <f>IF($F4434=4.2,H4434*$B$23,0)</f>
        <v>0</v>
      </c>
      <c r="J4434" s="29">
        <f>IF($F4434=5,$H4434*$B$24,0)</f>
        <v>0</v>
      </c>
      <c r="K4434" s="29">
        <f>IF($F4434=6.3,$H4434*$B$25,0)</f>
        <v>0</v>
      </c>
      <c r="L4434" s="29">
        <f>IF($F4434=8,$H4434*$B$26,0)</f>
        <v>0</v>
      </c>
      <c r="M4434" s="29">
        <f>IF($F4434=10,$H4434*$B$27,0)</f>
        <v>0</v>
      </c>
      <c r="N4434" s="29">
        <f>IF($F4434=12.5,$H4434*$B$28,0)</f>
        <v>0</v>
      </c>
      <c r="O4434" s="29">
        <f>IF($F4434=16,$H4434*$B$29,0)</f>
        <v>0</v>
      </c>
      <c r="P4434" s="29">
        <f>IF($F4434=20,$H4434*$B$30,0)</f>
        <v>0</v>
      </c>
      <c r="Q4434" s="37">
        <f>IF($F4434=25,$H4434*$B$31,0)</f>
        <v>0</v>
      </c>
    </row>
    <row r="4435" spans="4:17" s="62" customFormat="1" x14ac:dyDescent="0.3">
      <c r="D4435" s="235"/>
      <c r="E4435" s="240"/>
      <c r="F4435" s="241"/>
      <c r="G4435" s="242"/>
      <c r="H4435" s="239">
        <f>E4435*G4435</f>
        <v>0</v>
      </c>
      <c r="I4435" s="122">
        <f>IF($F4435=4.2,H4435*$B$23,0)</f>
        <v>0</v>
      </c>
      <c r="J4435" s="29">
        <f>IF($F4435=5,$H4435*$B$24,0)</f>
        <v>0</v>
      </c>
      <c r="K4435" s="29">
        <f>IF($F4435=6.3,$H4435*$B$25,0)</f>
        <v>0</v>
      </c>
      <c r="L4435" s="29">
        <f>IF($F4435=8,$H4435*$B$26,0)</f>
        <v>0</v>
      </c>
      <c r="M4435" s="29">
        <f>IF($F4435=10,$H4435*$B$27,0)</f>
        <v>0</v>
      </c>
      <c r="N4435" s="29">
        <f>IF($F4435=12.5,$H4435*$B$28,0)</f>
        <v>0</v>
      </c>
      <c r="O4435" s="29">
        <f>IF($F4435=16,$H4435*$B$29,0)</f>
        <v>0</v>
      </c>
      <c r="P4435" s="29">
        <f>IF($F4435=20,$H4435*$B$30,0)</f>
        <v>0</v>
      </c>
      <c r="Q4435" s="37">
        <f>IF($F4435=25,$H4435*$B$31,0)</f>
        <v>0</v>
      </c>
    </row>
    <row r="4436" spans="4:17" s="62" customFormat="1" x14ac:dyDescent="0.3">
      <c r="D4436" s="307"/>
      <c r="E4436" s="26"/>
      <c r="F4436" s="206"/>
      <c r="G4436" s="207"/>
      <c r="H4436" s="207"/>
      <c r="I4436" s="51"/>
      <c r="J4436" s="308"/>
      <c r="K4436" s="308"/>
      <c r="L4436" s="308"/>
      <c r="M4436" s="308"/>
      <c r="N4436" s="308"/>
      <c r="O4436" s="308"/>
      <c r="P4436" s="308"/>
      <c r="Q4436" s="309"/>
    </row>
    <row r="4437" spans="4:17" s="62" customFormat="1" x14ac:dyDescent="0.3">
      <c r="D4437" s="790" t="s">
        <v>95</v>
      </c>
      <c r="E4437" s="791"/>
      <c r="F4437" s="791"/>
      <c r="G4437" s="791"/>
      <c r="H4437" s="791"/>
      <c r="I4437" s="175">
        <f t="shared" ref="I4437:Q4437" si="4898">SUM(I4438:I4442)</f>
        <v>0</v>
      </c>
      <c r="J4437" s="175">
        <f t="shared" si="4898"/>
        <v>0</v>
      </c>
      <c r="K4437" s="175">
        <f t="shared" si="4898"/>
        <v>0</v>
      </c>
      <c r="L4437" s="175">
        <f t="shared" si="4898"/>
        <v>0</v>
      </c>
      <c r="M4437" s="175">
        <f t="shared" si="4898"/>
        <v>0</v>
      </c>
      <c r="N4437" s="175">
        <f t="shared" si="4898"/>
        <v>0</v>
      </c>
      <c r="O4437" s="175">
        <f t="shared" si="4898"/>
        <v>0</v>
      </c>
      <c r="P4437" s="175">
        <f t="shared" si="4898"/>
        <v>0</v>
      </c>
      <c r="Q4437" s="175">
        <f t="shared" si="4898"/>
        <v>0</v>
      </c>
    </row>
    <row r="4438" spans="4:17" s="62" customFormat="1" x14ac:dyDescent="0.3">
      <c r="D4438" s="235"/>
      <c r="E4438" s="237"/>
      <c r="F4438" s="238"/>
      <c r="G4438" s="242"/>
      <c r="H4438" s="239">
        <f>E4438*G4438</f>
        <v>0</v>
      </c>
      <c r="I4438" s="122">
        <f>IF($F4438=4.2,H4438*$B$23,0)</f>
        <v>0</v>
      </c>
      <c r="J4438" s="29">
        <f>IF($F4438=5,$H4438*$B$24,0)</f>
        <v>0</v>
      </c>
      <c r="K4438" s="29">
        <f>IF($F4438=6.3,$H4438*$B$25,0)</f>
        <v>0</v>
      </c>
      <c r="L4438" s="29">
        <f>IF($F4438=8,$H4438*$B$26,0)</f>
        <v>0</v>
      </c>
      <c r="M4438" s="29">
        <f>IF($F4438=10,$H4438*$B$27,0)</f>
        <v>0</v>
      </c>
      <c r="N4438" s="29">
        <f>IF($F4438=12.5,$H4438*$B$28,0)</f>
        <v>0</v>
      </c>
      <c r="O4438" s="29">
        <f>IF($F4438=16,$H4438*$B$29,0)</f>
        <v>0</v>
      </c>
      <c r="P4438" s="29">
        <f>IF($F4438=20,$H4438*$B$30,0)</f>
        <v>0</v>
      </c>
      <c r="Q4438" s="37">
        <f>IF($F4438=25,$H4438*$B$31,0)</f>
        <v>0</v>
      </c>
    </row>
    <row r="4439" spans="4:17" s="62" customFormat="1" x14ac:dyDescent="0.3">
      <c r="D4439" s="235"/>
      <c r="E4439" s="240"/>
      <c r="F4439" s="241"/>
      <c r="G4439" s="242"/>
      <c r="H4439" s="239">
        <f>E4439*G4439</f>
        <v>0</v>
      </c>
      <c r="I4439" s="122">
        <f>IF($F4439=4.2,H4439*$B$23,0)</f>
        <v>0</v>
      </c>
      <c r="J4439" s="29">
        <f>IF($F4439=5,$H4439*$B$24,0)</f>
        <v>0</v>
      </c>
      <c r="K4439" s="29">
        <f>IF($F4439=6.3,$H4439*$B$25,0)</f>
        <v>0</v>
      </c>
      <c r="L4439" s="29">
        <f>IF($F4439=8,$H4439*$B$26,0)</f>
        <v>0</v>
      </c>
      <c r="M4439" s="29">
        <f>IF($F4439=10,$H4439*$B$27,0)</f>
        <v>0</v>
      </c>
      <c r="N4439" s="29">
        <f>IF($F4439=12.5,$H4439*$B$28,0)</f>
        <v>0</v>
      </c>
      <c r="O4439" s="29">
        <f>IF($F4439=16,$H4439*$B$29,0)</f>
        <v>0</v>
      </c>
      <c r="P4439" s="29">
        <f>IF($F4439=20,$H4439*$B$30,0)</f>
        <v>0</v>
      </c>
      <c r="Q4439" s="37">
        <f>IF($F4439=25,$H4439*$B$31,0)</f>
        <v>0</v>
      </c>
    </row>
    <row r="4440" spans="4:17" s="62" customFormat="1" x14ac:dyDescent="0.3">
      <c r="D4440" s="235"/>
      <c r="E4440" s="240"/>
      <c r="F4440" s="241"/>
      <c r="G4440" s="242"/>
      <c r="H4440" s="239">
        <f>E4440*G4440</f>
        <v>0</v>
      </c>
      <c r="I4440" s="122">
        <f>IF($F4440=4.2,H4440*$B$23,0)</f>
        <v>0</v>
      </c>
      <c r="J4440" s="29">
        <f>IF($F4440=5,$H4440*$B$24,0)</f>
        <v>0</v>
      </c>
      <c r="K4440" s="29">
        <f>IF($F4440=6.3,$H4440*$B$25,0)</f>
        <v>0</v>
      </c>
      <c r="L4440" s="29">
        <f>IF($F4440=8,$H4440*$B$26,0)</f>
        <v>0</v>
      </c>
      <c r="M4440" s="29">
        <f>IF($F4440=10,$H4440*$B$27,0)</f>
        <v>0</v>
      </c>
      <c r="N4440" s="29">
        <f>IF($F4440=12.5,$H4440*$B$28,0)</f>
        <v>0</v>
      </c>
      <c r="O4440" s="29">
        <f>IF($F4440=16,$H4440*$B$29,0)</f>
        <v>0</v>
      </c>
      <c r="P4440" s="29">
        <f>IF($F4440=20,$H4440*$B$30,0)</f>
        <v>0</v>
      </c>
      <c r="Q4440" s="37">
        <f>IF($F4440=25,$H4440*$B$31,0)</f>
        <v>0</v>
      </c>
    </row>
    <row r="4441" spans="4:17" s="62" customFormat="1" x14ac:dyDescent="0.3">
      <c r="D4441" s="235"/>
      <c r="E4441" s="240"/>
      <c r="F4441" s="241"/>
      <c r="G4441" s="242"/>
      <c r="H4441" s="239">
        <f>E4441*G4441</f>
        <v>0</v>
      </c>
      <c r="I4441" s="122">
        <f>IF($F4441=4.2,H4441*$B$23,0)</f>
        <v>0</v>
      </c>
      <c r="J4441" s="29">
        <f>IF($F4441=5,$H4441*$B$24,0)</f>
        <v>0</v>
      </c>
      <c r="K4441" s="29">
        <f>IF($F4441=6.3,$H4441*$B$25,0)</f>
        <v>0</v>
      </c>
      <c r="L4441" s="29">
        <f>IF($F4441=8,$H4441*$B$26,0)</f>
        <v>0</v>
      </c>
      <c r="M4441" s="29">
        <f>IF($F4441=10,$H4441*$B$27,0)</f>
        <v>0</v>
      </c>
      <c r="N4441" s="29">
        <f>IF($F4441=12.5,$H4441*$B$28,0)</f>
        <v>0</v>
      </c>
      <c r="O4441" s="29">
        <f>IF($F4441=16,$H4441*$B$29,0)</f>
        <v>0</v>
      </c>
      <c r="P4441" s="29">
        <f>IF($F4441=20,$H4441*$B$30,0)</f>
        <v>0</v>
      </c>
      <c r="Q4441" s="37">
        <f>IF($F4441=25,$H4441*$B$31,0)</f>
        <v>0</v>
      </c>
    </row>
    <row r="4442" spans="4:17" s="62" customFormat="1" x14ac:dyDescent="0.3">
      <c r="D4442" s="235"/>
      <c r="E4442" s="240"/>
      <c r="F4442" s="241"/>
      <c r="G4442" s="242"/>
      <c r="H4442" s="239">
        <f>E4442*G4442</f>
        <v>0</v>
      </c>
      <c r="I4442" s="122">
        <f>IF($F4442=4.2,H4442*$B$23,0)</f>
        <v>0</v>
      </c>
      <c r="J4442" s="29">
        <f>IF($F4442=5,$H4442*$B$24,0)</f>
        <v>0</v>
      </c>
      <c r="K4442" s="29">
        <f>IF($F4442=6.3,$H4442*$B$25,0)</f>
        <v>0</v>
      </c>
      <c r="L4442" s="29">
        <f>IF($F4442=8,$H4442*$B$26,0)</f>
        <v>0</v>
      </c>
      <c r="M4442" s="29">
        <f>IF($F4442=10,$H4442*$B$27,0)</f>
        <v>0</v>
      </c>
      <c r="N4442" s="29">
        <f>IF($F4442=12.5,$H4442*$B$28,0)</f>
        <v>0</v>
      </c>
      <c r="O4442" s="29">
        <f>IF($F4442=16,$H4442*$B$29,0)</f>
        <v>0</v>
      </c>
      <c r="P4442" s="29">
        <f>IF($F4442=20,$H4442*$B$30,0)</f>
        <v>0</v>
      </c>
      <c r="Q4442" s="37">
        <f>IF($F4442=25,$H4442*$B$31,0)</f>
        <v>0</v>
      </c>
    </row>
    <row r="4443" spans="4:17" s="62" customFormat="1" x14ac:dyDescent="0.3">
      <c r="D4443" s="307"/>
      <c r="E4443" s="26"/>
      <c r="F4443" s="206"/>
      <c r="G4443" s="207"/>
      <c r="H4443" s="207"/>
      <c r="I4443" s="51"/>
      <c r="J4443" s="308"/>
      <c r="K4443" s="308"/>
      <c r="L4443" s="308"/>
      <c r="M4443" s="308"/>
      <c r="N4443" s="308"/>
      <c r="O4443" s="308"/>
      <c r="P4443" s="308"/>
      <c r="Q4443" s="309"/>
    </row>
    <row r="4444" spans="4:17" s="62" customFormat="1" x14ac:dyDescent="0.3">
      <c r="D4444" s="790" t="s">
        <v>95</v>
      </c>
      <c r="E4444" s="791"/>
      <c r="F4444" s="791"/>
      <c r="G4444" s="791"/>
      <c r="H4444" s="791"/>
      <c r="I4444" s="175">
        <f t="shared" ref="I4444:Q4444" si="4899">SUM(I4445:I4449)</f>
        <v>0</v>
      </c>
      <c r="J4444" s="175">
        <f t="shared" si="4899"/>
        <v>0</v>
      </c>
      <c r="K4444" s="175">
        <f t="shared" si="4899"/>
        <v>0</v>
      </c>
      <c r="L4444" s="175">
        <f t="shared" si="4899"/>
        <v>0</v>
      </c>
      <c r="M4444" s="175">
        <f t="shared" si="4899"/>
        <v>0</v>
      </c>
      <c r="N4444" s="175">
        <f t="shared" si="4899"/>
        <v>0</v>
      </c>
      <c r="O4444" s="175">
        <f t="shared" si="4899"/>
        <v>0</v>
      </c>
      <c r="P4444" s="175">
        <f t="shared" si="4899"/>
        <v>0</v>
      </c>
      <c r="Q4444" s="175">
        <f t="shared" si="4899"/>
        <v>0</v>
      </c>
    </row>
    <row r="4445" spans="4:17" s="62" customFormat="1" x14ac:dyDescent="0.3">
      <c r="D4445" s="235"/>
      <c r="E4445" s="237"/>
      <c r="F4445" s="238"/>
      <c r="G4445" s="242"/>
      <c r="H4445" s="239">
        <f>E4445*G4445</f>
        <v>0</v>
      </c>
      <c r="I4445" s="122">
        <f>IF($F4445=4.2,H4445*$B$23,0)</f>
        <v>0</v>
      </c>
      <c r="J4445" s="29">
        <f>IF($F4445=5,$H4445*$B$24,0)</f>
        <v>0</v>
      </c>
      <c r="K4445" s="29">
        <f>IF($F4445=6.3,$H4445*$B$25,0)</f>
        <v>0</v>
      </c>
      <c r="L4445" s="29">
        <f>IF($F4445=8,$H4445*$B$26,0)</f>
        <v>0</v>
      </c>
      <c r="M4445" s="29">
        <f>IF($F4445=10,$H4445*$B$27,0)</f>
        <v>0</v>
      </c>
      <c r="N4445" s="29">
        <f>IF($F4445=12.5,$H4445*$B$28,0)</f>
        <v>0</v>
      </c>
      <c r="O4445" s="29">
        <f>IF($F4445=16,$H4445*$B$29,0)</f>
        <v>0</v>
      </c>
      <c r="P4445" s="29">
        <f>IF($F4445=20,$H4445*$B$30,0)</f>
        <v>0</v>
      </c>
      <c r="Q4445" s="37">
        <f>IF($F4445=25,$H4445*$B$31,0)</f>
        <v>0</v>
      </c>
    </row>
    <row r="4446" spans="4:17" s="62" customFormat="1" x14ac:dyDescent="0.3">
      <c r="D4446" s="235"/>
      <c r="E4446" s="240"/>
      <c r="F4446" s="241"/>
      <c r="G4446" s="242"/>
      <c r="H4446" s="239">
        <f>E4446*G4446</f>
        <v>0</v>
      </c>
      <c r="I4446" s="122">
        <f>IF($F4446=4.2,H4446*$B$23,0)</f>
        <v>0</v>
      </c>
      <c r="J4446" s="29">
        <f>IF($F4446=5,$H4446*$B$24,0)</f>
        <v>0</v>
      </c>
      <c r="K4446" s="29">
        <f>IF($F4446=6.3,$H4446*$B$25,0)</f>
        <v>0</v>
      </c>
      <c r="L4446" s="29">
        <f>IF($F4446=8,$H4446*$B$26,0)</f>
        <v>0</v>
      </c>
      <c r="M4446" s="29">
        <f>IF($F4446=10,$H4446*$B$27,0)</f>
        <v>0</v>
      </c>
      <c r="N4446" s="29">
        <f>IF($F4446=12.5,$H4446*$B$28,0)</f>
        <v>0</v>
      </c>
      <c r="O4446" s="29">
        <f>IF($F4446=16,$H4446*$B$29,0)</f>
        <v>0</v>
      </c>
      <c r="P4446" s="29">
        <f>IF($F4446=20,$H4446*$B$30,0)</f>
        <v>0</v>
      </c>
      <c r="Q4446" s="37">
        <f>IF($F4446=25,$H4446*$B$31,0)</f>
        <v>0</v>
      </c>
    </row>
    <row r="4447" spans="4:17" s="62" customFormat="1" x14ac:dyDescent="0.3">
      <c r="D4447" s="235"/>
      <c r="E4447" s="240"/>
      <c r="F4447" s="241"/>
      <c r="G4447" s="242"/>
      <c r="H4447" s="239">
        <f>E4447*G4447</f>
        <v>0</v>
      </c>
      <c r="I4447" s="122">
        <f>IF($F4447=4.2,H4447*$B$23,0)</f>
        <v>0</v>
      </c>
      <c r="J4447" s="29">
        <f>IF($F4447=5,$H4447*$B$24,0)</f>
        <v>0</v>
      </c>
      <c r="K4447" s="29">
        <f>IF($F4447=6.3,$H4447*$B$25,0)</f>
        <v>0</v>
      </c>
      <c r="L4447" s="29">
        <f>IF($F4447=8,$H4447*$B$26,0)</f>
        <v>0</v>
      </c>
      <c r="M4447" s="29">
        <f>IF($F4447=10,$H4447*$B$27,0)</f>
        <v>0</v>
      </c>
      <c r="N4447" s="29">
        <f>IF($F4447=12.5,$H4447*$B$28,0)</f>
        <v>0</v>
      </c>
      <c r="O4447" s="29">
        <f>IF($F4447=16,$H4447*$B$29,0)</f>
        <v>0</v>
      </c>
      <c r="P4447" s="29">
        <f>IF($F4447=20,$H4447*$B$30,0)</f>
        <v>0</v>
      </c>
      <c r="Q4447" s="37">
        <f>IF($F4447=25,$H4447*$B$31,0)</f>
        <v>0</v>
      </c>
    </row>
    <row r="4448" spans="4:17" s="62" customFormat="1" x14ac:dyDescent="0.3">
      <c r="D4448" s="235"/>
      <c r="E4448" s="240"/>
      <c r="F4448" s="241"/>
      <c r="G4448" s="242"/>
      <c r="H4448" s="239">
        <f>E4448*G4448</f>
        <v>0</v>
      </c>
      <c r="I4448" s="122">
        <f>IF($F4448=4.2,H4448*$B$23,0)</f>
        <v>0</v>
      </c>
      <c r="J4448" s="29">
        <f>IF($F4448=5,$H4448*$B$24,0)</f>
        <v>0</v>
      </c>
      <c r="K4448" s="29">
        <f>IF($F4448=6.3,$H4448*$B$25,0)</f>
        <v>0</v>
      </c>
      <c r="L4448" s="29">
        <f>IF($F4448=8,$H4448*$B$26,0)</f>
        <v>0</v>
      </c>
      <c r="M4448" s="29">
        <f>IF($F4448=10,$H4448*$B$27,0)</f>
        <v>0</v>
      </c>
      <c r="N4448" s="29">
        <f>IF($F4448=12.5,$H4448*$B$28,0)</f>
        <v>0</v>
      </c>
      <c r="O4448" s="29">
        <f>IF($F4448=16,$H4448*$B$29,0)</f>
        <v>0</v>
      </c>
      <c r="P4448" s="29">
        <f>IF($F4448=20,$H4448*$B$30,0)</f>
        <v>0</v>
      </c>
      <c r="Q4448" s="37">
        <f>IF($F4448=25,$H4448*$B$31,0)</f>
        <v>0</v>
      </c>
    </row>
    <row r="4449" spans="4:17" s="62" customFormat="1" x14ac:dyDescent="0.3">
      <c r="D4449" s="235"/>
      <c r="E4449" s="240"/>
      <c r="F4449" s="241"/>
      <c r="G4449" s="242"/>
      <c r="H4449" s="239">
        <f>E4449*G4449</f>
        <v>0</v>
      </c>
      <c r="I4449" s="122">
        <f>IF($F4449=4.2,H4449*$B$23,0)</f>
        <v>0</v>
      </c>
      <c r="J4449" s="29">
        <f>IF($F4449=5,$H4449*$B$24,0)</f>
        <v>0</v>
      </c>
      <c r="K4449" s="29">
        <f>IF($F4449=6.3,$H4449*$B$25,0)</f>
        <v>0</v>
      </c>
      <c r="L4449" s="29">
        <f>IF($F4449=8,$H4449*$B$26,0)</f>
        <v>0</v>
      </c>
      <c r="M4449" s="29">
        <f>IF($F4449=10,$H4449*$B$27,0)</f>
        <v>0</v>
      </c>
      <c r="N4449" s="29">
        <f>IF($F4449=12.5,$H4449*$B$28,0)</f>
        <v>0</v>
      </c>
      <c r="O4449" s="29">
        <f>IF($F4449=16,$H4449*$B$29,0)</f>
        <v>0</v>
      </c>
      <c r="P4449" s="29">
        <f>IF($F4449=20,$H4449*$B$30,0)</f>
        <v>0</v>
      </c>
      <c r="Q4449" s="37">
        <f>IF($F4449=25,$H4449*$B$31,0)</f>
        <v>0</v>
      </c>
    </row>
    <row r="4450" spans="4:17" s="62" customFormat="1" x14ac:dyDescent="0.3">
      <c r="D4450" s="307"/>
      <c r="E4450" s="26"/>
      <c r="F4450" s="206"/>
      <c r="G4450" s="207"/>
      <c r="H4450" s="207"/>
      <c r="I4450" s="51"/>
      <c r="J4450" s="308"/>
      <c r="K4450" s="308"/>
      <c r="L4450" s="308"/>
      <c r="M4450" s="308"/>
      <c r="N4450" s="308"/>
      <c r="O4450" s="308"/>
      <c r="P4450" s="308"/>
      <c r="Q4450" s="309"/>
    </row>
    <row r="4451" spans="4:17" s="62" customFormat="1" x14ac:dyDescent="0.3">
      <c r="D4451" s="790" t="s">
        <v>95</v>
      </c>
      <c r="E4451" s="791"/>
      <c r="F4451" s="791"/>
      <c r="G4451" s="791"/>
      <c r="H4451" s="791"/>
      <c r="I4451" s="175">
        <f t="shared" ref="I4451:Q4451" si="4900">SUM(I4452:I4456)</f>
        <v>0</v>
      </c>
      <c r="J4451" s="175">
        <f t="shared" si="4900"/>
        <v>0</v>
      </c>
      <c r="K4451" s="175">
        <f t="shared" si="4900"/>
        <v>0</v>
      </c>
      <c r="L4451" s="175">
        <f t="shared" si="4900"/>
        <v>0</v>
      </c>
      <c r="M4451" s="175">
        <f t="shared" si="4900"/>
        <v>0</v>
      </c>
      <c r="N4451" s="175">
        <f t="shared" si="4900"/>
        <v>0</v>
      </c>
      <c r="O4451" s="175">
        <f t="shared" si="4900"/>
        <v>0</v>
      </c>
      <c r="P4451" s="175">
        <f t="shared" si="4900"/>
        <v>0</v>
      </c>
      <c r="Q4451" s="175">
        <f t="shared" si="4900"/>
        <v>0</v>
      </c>
    </row>
    <row r="4452" spans="4:17" s="62" customFormat="1" x14ac:dyDescent="0.3">
      <c r="D4452" s="235"/>
      <c r="E4452" s="237"/>
      <c r="F4452" s="238"/>
      <c r="G4452" s="242"/>
      <c r="H4452" s="239">
        <f>E4452*G4452</f>
        <v>0</v>
      </c>
      <c r="I4452" s="122">
        <f>IF($F4452=4.2,H4452*$B$23,0)</f>
        <v>0</v>
      </c>
      <c r="J4452" s="29">
        <f>IF($F4452=5,$H4452*$B$24,0)</f>
        <v>0</v>
      </c>
      <c r="K4452" s="29">
        <f>IF($F4452=6.3,$H4452*$B$25,0)</f>
        <v>0</v>
      </c>
      <c r="L4452" s="29">
        <f>IF($F4452=8,$H4452*$B$26,0)</f>
        <v>0</v>
      </c>
      <c r="M4452" s="29">
        <f>IF($F4452=10,$H4452*$B$27,0)</f>
        <v>0</v>
      </c>
      <c r="N4452" s="29">
        <f>IF($F4452=12.5,$H4452*$B$28,0)</f>
        <v>0</v>
      </c>
      <c r="O4452" s="29">
        <f>IF($F4452=16,$H4452*$B$29,0)</f>
        <v>0</v>
      </c>
      <c r="P4452" s="29">
        <f>IF($F4452=20,$H4452*$B$30,0)</f>
        <v>0</v>
      </c>
      <c r="Q4452" s="37">
        <f>IF($F4452=25,$H4452*$B$31,0)</f>
        <v>0</v>
      </c>
    </row>
    <row r="4453" spans="4:17" s="62" customFormat="1" x14ac:dyDescent="0.3">
      <c r="D4453" s="235"/>
      <c r="E4453" s="240"/>
      <c r="F4453" s="241"/>
      <c r="G4453" s="242"/>
      <c r="H4453" s="239">
        <f>E4453*G4453</f>
        <v>0</v>
      </c>
      <c r="I4453" s="122">
        <f>IF($F4453=4.2,H4453*$B$23,0)</f>
        <v>0</v>
      </c>
      <c r="J4453" s="29">
        <f>IF($F4453=5,$H4453*$B$24,0)</f>
        <v>0</v>
      </c>
      <c r="K4453" s="29">
        <f>IF($F4453=6.3,$H4453*$B$25,0)</f>
        <v>0</v>
      </c>
      <c r="L4453" s="29">
        <f>IF($F4453=8,$H4453*$B$26,0)</f>
        <v>0</v>
      </c>
      <c r="M4453" s="29">
        <f>IF($F4453=10,$H4453*$B$27,0)</f>
        <v>0</v>
      </c>
      <c r="N4453" s="29">
        <f>IF($F4453=12.5,$H4453*$B$28,0)</f>
        <v>0</v>
      </c>
      <c r="O4453" s="29">
        <f>IF($F4453=16,$H4453*$B$29,0)</f>
        <v>0</v>
      </c>
      <c r="P4453" s="29">
        <f>IF($F4453=20,$H4453*$B$30,0)</f>
        <v>0</v>
      </c>
      <c r="Q4453" s="37">
        <f>IF($F4453=25,$H4453*$B$31,0)</f>
        <v>0</v>
      </c>
    </row>
    <row r="4454" spans="4:17" s="62" customFormat="1" x14ac:dyDescent="0.3">
      <c r="D4454" s="235"/>
      <c r="E4454" s="240"/>
      <c r="F4454" s="241"/>
      <c r="G4454" s="242"/>
      <c r="H4454" s="239">
        <f>E4454*G4454</f>
        <v>0</v>
      </c>
      <c r="I4454" s="122">
        <f>IF($F4454=4.2,H4454*$B$23,0)</f>
        <v>0</v>
      </c>
      <c r="J4454" s="29">
        <f>IF($F4454=5,$H4454*$B$24,0)</f>
        <v>0</v>
      </c>
      <c r="K4454" s="29">
        <f>IF($F4454=6.3,$H4454*$B$25,0)</f>
        <v>0</v>
      </c>
      <c r="L4454" s="29">
        <f>IF($F4454=8,$H4454*$B$26,0)</f>
        <v>0</v>
      </c>
      <c r="M4454" s="29">
        <f>IF($F4454=10,$H4454*$B$27,0)</f>
        <v>0</v>
      </c>
      <c r="N4454" s="29">
        <f>IF($F4454=12.5,$H4454*$B$28,0)</f>
        <v>0</v>
      </c>
      <c r="O4454" s="29">
        <f>IF($F4454=16,$H4454*$B$29,0)</f>
        <v>0</v>
      </c>
      <c r="P4454" s="29">
        <f>IF($F4454=20,$H4454*$B$30,0)</f>
        <v>0</v>
      </c>
      <c r="Q4454" s="37">
        <f>IF($F4454=25,$H4454*$B$31,0)</f>
        <v>0</v>
      </c>
    </row>
    <row r="4455" spans="4:17" s="62" customFormat="1" x14ac:dyDescent="0.3">
      <c r="D4455" s="235"/>
      <c r="E4455" s="240"/>
      <c r="F4455" s="241"/>
      <c r="G4455" s="242"/>
      <c r="H4455" s="239">
        <f>E4455*G4455</f>
        <v>0</v>
      </c>
      <c r="I4455" s="122">
        <f>IF($F4455=4.2,H4455*$B$23,0)</f>
        <v>0</v>
      </c>
      <c r="J4455" s="29">
        <f>IF($F4455=5,$H4455*$B$24,0)</f>
        <v>0</v>
      </c>
      <c r="K4455" s="29">
        <f>IF($F4455=6.3,$H4455*$B$25,0)</f>
        <v>0</v>
      </c>
      <c r="L4455" s="29">
        <f>IF($F4455=8,$H4455*$B$26,0)</f>
        <v>0</v>
      </c>
      <c r="M4455" s="29">
        <f>IF($F4455=10,$H4455*$B$27,0)</f>
        <v>0</v>
      </c>
      <c r="N4455" s="29">
        <f>IF($F4455=12.5,$H4455*$B$28,0)</f>
        <v>0</v>
      </c>
      <c r="O4455" s="29">
        <f>IF($F4455=16,$H4455*$B$29,0)</f>
        <v>0</v>
      </c>
      <c r="P4455" s="29">
        <f>IF($F4455=20,$H4455*$B$30,0)</f>
        <v>0</v>
      </c>
      <c r="Q4455" s="37">
        <f>IF($F4455=25,$H4455*$B$31,0)</f>
        <v>0</v>
      </c>
    </row>
    <row r="4456" spans="4:17" s="62" customFormat="1" x14ac:dyDescent="0.3">
      <c r="D4456" s="235"/>
      <c r="E4456" s="240"/>
      <c r="F4456" s="241"/>
      <c r="G4456" s="242"/>
      <c r="H4456" s="239">
        <f>E4456*G4456</f>
        <v>0</v>
      </c>
      <c r="I4456" s="122">
        <f>IF($F4456=4.2,H4456*$B$23,0)</f>
        <v>0</v>
      </c>
      <c r="J4456" s="29">
        <f>IF($F4456=5,$H4456*$B$24,0)</f>
        <v>0</v>
      </c>
      <c r="K4456" s="29">
        <f>IF($F4456=6.3,$H4456*$B$25,0)</f>
        <v>0</v>
      </c>
      <c r="L4456" s="29">
        <f>IF($F4456=8,$H4456*$B$26,0)</f>
        <v>0</v>
      </c>
      <c r="M4456" s="29">
        <f>IF($F4456=10,$H4456*$B$27,0)</f>
        <v>0</v>
      </c>
      <c r="N4456" s="29">
        <f>IF($F4456=12.5,$H4456*$B$28,0)</f>
        <v>0</v>
      </c>
      <c r="O4456" s="29">
        <f>IF($F4456=16,$H4456*$B$29,0)</f>
        <v>0</v>
      </c>
      <c r="P4456" s="29">
        <f>IF($F4456=20,$H4456*$B$30,0)</f>
        <v>0</v>
      </c>
      <c r="Q4456" s="37">
        <f>IF($F4456=25,$H4456*$B$31,0)</f>
        <v>0</v>
      </c>
    </row>
    <row r="4457" spans="4:17" s="62" customFormat="1" x14ac:dyDescent="0.3">
      <c r="D4457" s="307"/>
      <c r="E4457" s="26"/>
      <c r="F4457" s="206"/>
      <c r="G4457" s="207"/>
      <c r="H4457" s="207"/>
      <c r="I4457" s="51"/>
      <c r="J4457" s="308"/>
      <c r="K4457" s="308"/>
      <c r="L4457" s="308"/>
      <c r="M4457" s="308"/>
      <c r="N4457" s="308"/>
      <c r="O4457" s="308"/>
      <c r="P4457" s="308"/>
      <c r="Q4457" s="309"/>
    </row>
    <row r="4458" spans="4:17" s="62" customFormat="1" x14ac:dyDescent="0.3">
      <c r="D4458" s="790" t="s">
        <v>95</v>
      </c>
      <c r="E4458" s="791"/>
      <c r="F4458" s="791"/>
      <c r="G4458" s="791"/>
      <c r="H4458" s="791"/>
      <c r="I4458" s="175">
        <f t="shared" ref="I4458:Q4458" si="4901">SUM(I4459:I4463)</f>
        <v>0</v>
      </c>
      <c r="J4458" s="175">
        <f t="shared" si="4901"/>
        <v>0</v>
      </c>
      <c r="K4458" s="175">
        <f t="shared" si="4901"/>
        <v>0</v>
      </c>
      <c r="L4458" s="175">
        <f t="shared" si="4901"/>
        <v>0</v>
      </c>
      <c r="M4458" s="175">
        <f t="shared" si="4901"/>
        <v>0</v>
      </c>
      <c r="N4458" s="175">
        <f t="shared" si="4901"/>
        <v>0</v>
      </c>
      <c r="O4458" s="175">
        <f t="shared" si="4901"/>
        <v>0</v>
      </c>
      <c r="P4458" s="175">
        <f t="shared" si="4901"/>
        <v>0</v>
      </c>
      <c r="Q4458" s="175">
        <f t="shared" si="4901"/>
        <v>0</v>
      </c>
    </row>
    <row r="4459" spans="4:17" s="62" customFormat="1" x14ac:dyDescent="0.3">
      <c r="D4459" s="235"/>
      <c r="E4459" s="237"/>
      <c r="F4459" s="238"/>
      <c r="G4459" s="242"/>
      <c r="H4459" s="239">
        <f>E4459*G4459</f>
        <v>0</v>
      </c>
      <c r="I4459" s="122">
        <f>IF($F4459=4.2,H4459*$B$23,0)</f>
        <v>0</v>
      </c>
      <c r="J4459" s="29">
        <f>IF($F4459=5,$H4459*$B$24,0)</f>
        <v>0</v>
      </c>
      <c r="K4459" s="29">
        <f>IF($F4459=6.3,$H4459*$B$25,0)</f>
        <v>0</v>
      </c>
      <c r="L4459" s="29">
        <f>IF($F4459=8,$H4459*$B$26,0)</f>
        <v>0</v>
      </c>
      <c r="M4459" s="29">
        <f>IF($F4459=10,$H4459*$B$27,0)</f>
        <v>0</v>
      </c>
      <c r="N4459" s="29">
        <f>IF($F4459=12.5,$H4459*$B$28,0)</f>
        <v>0</v>
      </c>
      <c r="O4459" s="29">
        <f>IF($F4459=16,$H4459*$B$29,0)</f>
        <v>0</v>
      </c>
      <c r="P4459" s="29">
        <f>IF($F4459=20,$H4459*$B$30,0)</f>
        <v>0</v>
      </c>
      <c r="Q4459" s="37">
        <f>IF($F4459=25,$H4459*$B$31,0)</f>
        <v>0</v>
      </c>
    </row>
    <row r="4460" spans="4:17" s="62" customFormat="1" x14ac:dyDescent="0.3">
      <c r="D4460" s="235"/>
      <c r="E4460" s="240"/>
      <c r="F4460" s="241"/>
      <c r="G4460" s="242"/>
      <c r="H4460" s="239">
        <f>E4460*G4460</f>
        <v>0</v>
      </c>
      <c r="I4460" s="122">
        <f>IF($F4460=4.2,H4460*$B$23,0)</f>
        <v>0</v>
      </c>
      <c r="J4460" s="29">
        <f>IF($F4460=5,$H4460*$B$24,0)</f>
        <v>0</v>
      </c>
      <c r="K4460" s="29">
        <f>IF($F4460=6.3,$H4460*$B$25,0)</f>
        <v>0</v>
      </c>
      <c r="L4460" s="29">
        <f>IF($F4460=8,$H4460*$B$26,0)</f>
        <v>0</v>
      </c>
      <c r="M4460" s="29">
        <f>IF($F4460=10,$H4460*$B$27,0)</f>
        <v>0</v>
      </c>
      <c r="N4460" s="29">
        <f>IF($F4460=12.5,$H4460*$B$28,0)</f>
        <v>0</v>
      </c>
      <c r="O4460" s="29">
        <f>IF($F4460=16,$H4460*$B$29,0)</f>
        <v>0</v>
      </c>
      <c r="P4460" s="29">
        <f>IF($F4460=20,$H4460*$B$30,0)</f>
        <v>0</v>
      </c>
      <c r="Q4460" s="37">
        <f>IF($F4460=25,$H4460*$B$31,0)</f>
        <v>0</v>
      </c>
    </row>
    <row r="4461" spans="4:17" s="62" customFormat="1" x14ac:dyDescent="0.3">
      <c r="D4461" s="235"/>
      <c r="E4461" s="240"/>
      <c r="F4461" s="241"/>
      <c r="G4461" s="242"/>
      <c r="H4461" s="239">
        <f>E4461*G4461</f>
        <v>0</v>
      </c>
      <c r="I4461" s="122">
        <f>IF($F4461=4.2,H4461*$B$23,0)</f>
        <v>0</v>
      </c>
      <c r="J4461" s="29">
        <f>IF($F4461=5,$H4461*$B$24,0)</f>
        <v>0</v>
      </c>
      <c r="K4461" s="29">
        <f>IF($F4461=6.3,$H4461*$B$25,0)</f>
        <v>0</v>
      </c>
      <c r="L4461" s="29">
        <f>IF($F4461=8,$H4461*$B$26,0)</f>
        <v>0</v>
      </c>
      <c r="M4461" s="29">
        <f>IF($F4461=10,$H4461*$B$27,0)</f>
        <v>0</v>
      </c>
      <c r="N4461" s="29">
        <f>IF($F4461=12.5,$H4461*$B$28,0)</f>
        <v>0</v>
      </c>
      <c r="O4461" s="29">
        <f>IF($F4461=16,$H4461*$B$29,0)</f>
        <v>0</v>
      </c>
      <c r="P4461" s="29">
        <f>IF($F4461=20,$H4461*$B$30,0)</f>
        <v>0</v>
      </c>
      <c r="Q4461" s="37">
        <f>IF($F4461=25,$H4461*$B$31,0)</f>
        <v>0</v>
      </c>
    </row>
    <row r="4462" spans="4:17" s="62" customFormat="1" x14ac:dyDescent="0.3">
      <c r="D4462" s="235"/>
      <c r="E4462" s="240"/>
      <c r="F4462" s="241"/>
      <c r="G4462" s="242"/>
      <c r="H4462" s="239">
        <f>E4462*G4462</f>
        <v>0</v>
      </c>
      <c r="I4462" s="122">
        <f>IF($F4462=4.2,H4462*$B$23,0)</f>
        <v>0</v>
      </c>
      <c r="J4462" s="29">
        <f>IF($F4462=5,$H4462*$B$24,0)</f>
        <v>0</v>
      </c>
      <c r="K4462" s="29">
        <f>IF($F4462=6.3,$H4462*$B$25,0)</f>
        <v>0</v>
      </c>
      <c r="L4462" s="29">
        <f>IF($F4462=8,$H4462*$B$26,0)</f>
        <v>0</v>
      </c>
      <c r="M4462" s="29">
        <f>IF($F4462=10,$H4462*$B$27,0)</f>
        <v>0</v>
      </c>
      <c r="N4462" s="29">
        <f>IF($F4462=12.5,$H4462*$B$28,0)</f>
        <v>0</v>
      </c>
      <c r="O4462" s="29">
        <f>IF($F4462=16,$H4462*$B$29,0)</f>
        <v>0</v>
      </c>
      <c r="P4462" s="29">
        <f>IF($F4462=20,$H4462*$B$30,0)</f>
        <v>0</v>
      </c>
      <c r="Q4462" s="37">
        <f>IF($F4462=25,$H4462*$B$31,0)</f>
        <v>0</v>
      </c>
    </row>
    <row r="4463" spans="4:17" s="62" customFormat="1" x14ac:dyDescent="0.3">
      <c r="D4463" s="235"/>
      <c r="E4463" s="240"/>
      <c r="F4463" s="241"/>
      <c r="G4463" s="242"/>
      <c r="H4463" s="239">
        <f>E4463*G4463</f>
        <v>0</v>
      </c>
      <c r="I4463" s="122">
        <f>IF($F4463=4.2,H4463*$B$23,0)</f>
        <v>0</v>
      </c>
      <c r="J4463" s="29">
        <f>IF($F4463=5,$H4463*$B$24,0)</f>
        <v>0</v>
      </c>
      <c r="K4463" s="29">
        <f>IF($F4463=6.3,$H4463*$B$25,0)</f>
        <v>0</v>
      </c>
      <c r="L4463" s="29">
        <f>IF($F4463=8,$H4463*$B$26,0)</f>
        <v>0</v>
      </c>
      <c r="M4463" s="29">
        <f>IF($F4463=10,$H4463*$B$27,0)</f>
        <v>0</v>
      </c>
      <c r="N4463" s="29">
        <f>IF($F4463=12.5,$H4463*$B$28,0)</f>
        <v>0</v>
      </c>
      <c r="O4463" s="29">
        <f>IF($F4463=16,$H4463*$B$29,0)</f>
        <v>0</v>
      </c>
      <c r="P4463" s="29">
        <f>IF($F4463=20,$H4463*$B$30,0)</f>
        <v>0</v>
      </c>
      <c r="Q4463" s="37">
        <f>IF($F4463=25,$H4463*$B$31,0)</f>
        <v>0</v>
      </c>
    </row>
    <row r="4464" spans="4:17" s="62" customFormat="1" x14ac:dyDescent="0.3">
      <c r="D4464" s="307"/>
      <c r="E4464" s="26"/>
      <c r="F4464" s="206"/>
      <c r="G4464" s="207"/>
      <c r="H4464" s="207"/>
      <c r="I4464" s="51"/>
      <c r="J4464" s="308"/>
      <c r="K4464" s="308"/>
      <c r="L4464" s="308"/>
      <c r="M4464" s="308"/>
      <c r="N4464" s="308"/>
      <c r="O4464" s="308"/>
      <c r="P4464" s="308"/>
      <c r="Q4464" s="309"/>
    </row>
    <row r="4465" spans="4:17" s="62" customFormat="1" x14ac:dyDescent="0.3">
      <c r="D4465" s="790" t="s">
        <v>95</v>
      </c>
      <c r="E4465" s="791"/>
      <c r="F4465" s="791"/>
      <c r="G4465" s="791"/>
      <c r="H4465" s="791"/>
      <c r="I4465" s="175">
        <f t="shared" ref="I4465:Q4465" si="4902">SUM(I4466:I4470)</f>
        <v>0</v>
      </c>
      <c r="J4465" s="175">
        <f t="shared" si="4902"/>
        <v>0</v>
      </c>
      <c r="K4465" s="175">
        <f t="shared" si="4902"/>
        <v>0</v>
      </c>
      <c r="L4465" s="175">
        <f t="shared" si="4902"/>
        <v>0</v>
      </c>
      <c r="M4465" s="175">
        <f t="shared" si="4902"/>
        <v>0</v>
      </c>
      <c r="N4465" s="175">
        <f t="shared" si="4902"/>
        <v>0</v>
      </c>
      <c r="O4465" s="175">
        <f t="shared" si="4902"/>
        <v>0</v>
      </c>
      <c r="P4465" s="175">
        <f t="shared" si="4902"/>
        <v>0</v>
      </c>
      <c r="Q4465" s="175">
        <f t="shared" si="4902"/>
        <v>0</v>
      </c>
    </row>
    <row r="4466" spans="4:17" s="62" customFormat="1" x14ac:dyDescent="0.3">
      <c r="D4466" s="235"/>
      <c r="E4466" s="237"/>
      <c r="F4466" s="238"/>
      <c r="G4466" s="242"/>
      <c r="H4466" s="239">
        <f>E4466*G4466</f>
        <v>0</v>
      </c>
      <c r="I4466" s="122">
        <f>IF($F4466=4.2,H4466*$B$23,0)</f>
        <v>0</v>
      </c>
      <c r="J4466" s="29">
        <f>IF($F4466=5,$H4466*$B$24,0)</f>
        <v>0</v>
      </c>
      <c r="K4466" s="29">
        <f>IF($F4466=6.3,$H4466*$B$25,0)</f>
        <v>0</v>
      </c>
      <c r="L4466" s="29">
        <f>IF($F4466=8,$H4466*$B$26,0)</f>
        <v>0</v>
      </c>
      <c r="M4466" s="29">
        <f>IF($F4466=10,$H4466*$B$27,0)</f>
        <v>0</v>
      </c>
      <c r="N4466" s="29">
        <f>IF($F4466=12.5,$H4466*$B$28,0)</f>
        <v>0</v>
      </c>
      <c r="O4466" s="29">
        <f>IF($F4466=16,$H4466*$B$29,0)</f>
        <v>0</v>
      </c>
      <c r="P4466" s="29">
        <f>IF($F4466=20,$H4466*$B$30,0)</f>
        <v>0</v>
      </c>
      <c r="Q4466" s="37">
        <f>IF($F4466=25,$H4466*$B$31,0)</f>
        <v>0</v>
      </c>
    </row>
    <row r="4467" spans="4:17" s="62" customFormat="1" x14ac:dyDescent="0.3">
      <c r="D4467" s="235"/>
      <c r="E4467" s="240"/>
      <c r="F4467" s="241"/>
      <c r="G4467" s="242"/>
      <c r="H4467" s="239">
        <f>E4467*G4467</f>
        <v>0</v>
      </c>
      <c r="I4467" s="122">
        <f>IF($F4467=4.2,H4467*$B$23,0)</f>
        <v>0</v>
      </c>
      <c r="J4467" s="29">
        <f>IF($F4467=5,$H4467*$B$24,0)</f>
        <v>0</v>
      </c>
      <c r="K4467" s="29">
        <f>IF($F4467=6.3,$H4467*$B$25,0)</f>
        <v>0</v>
      </c>
      <c r="L4467" s="29">
        <f>IF($F4467=8,$H4467*$B$26,0)</f>
        <v>0</v>
      </c>
      <c r="M4467" s="29">
        <f>IF($F4467=10,$H4467*$B$27,0)</f>
        <v>0</v>
      </c>
      <c r="N4467" s="29">
        <f>IF($F4467=12.5,$H4467*$B$28,0)</f>
        <v>0</v>
      </c>
      <c r="O4467" s="29">
        <f>IF($F4467=16,$H4467*$B$29,0)</f>
        <v>0</v>
      </c>
      <c r="P4467" s="29">
        <f>IF($F4467=20,$H4467*$B$30,0)</f>
        <v>0</v>
      </c>
      <c r="Q4467" s="37">
        <f>IF($F4467=25,$H4467*$B$31,0)</f>
        <v>0</v>
      </c>
    </row>
    <row r="4468" spans="4:17" s="62" customFormat="1" x14ac:dyDescent="0.3">
      <c r="D4468" s="235"/>
      <c r="E4468" s="240"/>
      <c r="F4468" s="241"/>
      <c r="G4468" s="242"/>
      <c r="H4468" s="239">
        <f>E4468*G4468</f>
        <v>0</v>
      </c>
      <c r="I4468" s="122">
        <f>IF($F4468=4.2,H4468*$B$23,0)</f>
        <v>0</v>
      </c>
      <c r="J4468" s="29">
        <f>IF($F4468=5,$H4468*$B$24,0)</f>
        <v>0</v>
      </c>
      <c r="K4468" s="29">
        <f>IF($F4468=6.3,$H4468*$B$25,0)</f>
        <v>0</v>
      </c>
      <c r="L4468" s="29">
        <f>IF($F4468=8,$H4468*$B$26,0)</f>
        <v>0</v>
      </c>
      <c r="M4468" s="29">
        <f>IF($F4468=10,$H4468*$B$27,0)</f>
        <v>0</v>
      </c>
      <c r="N4468" s="29">
        <f>IF($F4468=12.5,$H4468*$B$28,0)</f>
        <v>0</v>
      </c>
      <c r="O4468" s="29">
        <f>IF($F4468=16,$H4468*$B$29,0)</f>
        <v>0</v>
      </c>
      <c r="P4468" s="29">
        <f>IF($F4468=20,$H4468*$B$30,0)</f>
        <v>0</v>
      </c>
      <c r="Q4468" s="37">
        <f>IF($F4468=25,$H4468*$B$31,0)</f>
        <v>0</v>
      </c>
    </row>
    <row r="4469" spans="4:17" s="62" customFormat="1" x14ac:dyDescent="0.3">
      <c r="D4469" s="235"/>
      <c r="E4469" s="240"/>
      <c r="F4469" s="241"/>
      <c r="G4469" s="242"/>
      <c r="H4469" s="239">
        <f>E4469*G4469</f>
        <v>0</v>
      </c>
      <c r="I4469" s="122">
        <f>IF($F4469=4.2,H4469*$B$23,0)</f>
        <v>0</v>
      </c>
      <c r="J4469" s="29">
        <f>IF($F4469=5,$H4469*$B$24,0)</f>
        <v>0</v>
      </c>
      <c r="K4469" s="29">
        <f>IF($F4469=6.3,$H4469*$B$25,0)</f>
        <v>0</v>
      </c>
      <c r="L4469" s="29">
        <f>IF($F4469=8,$H4469*$B$26,0)</f>
        <v>0</v>
      </c>
      <c r="M4469" s="29">
        <f>IF($F4469=10,$H4469*$B$27,0)</f>
        <v>0</v>
      </c>
      <c r="N4469" s="29">
        <f>IF($F4469=12.5,$H4469*$B$28,0)</f>
        <v>0</v>
      </c>
      <c r="O4469" s="29">
        <f>IF($F4469=16,$H4469*$B$29,0)</f>
        <v>0</v>
      </c>
      <c r="P4469" s="29">
        <f>IF($F4469=20,$H4469*$B$30,0)</f>
        <v>0</v>
      </c>
      <c r="Q4469" s="37">
        <f>IF($F4469=25,$H4469*$B$31,0)</f>
        <v>0</v>
      </c>
    </row>
    <row r="4470" spans="4:17" s="62" customFormat="1" x14ac:dyDescent="0.3">
      <c r="D4470" s="235"/>
      <c r="E4470" s="240"/>
      <c r="F4470" s="241"/>
      <c r="G4470" s="242"/>
      <c r="H4470" s="239">
        <f>E4470*G4470</f>
        <v>0</v>
      </c>
      <c r="I4470" s="122">
        <f>IF($F4470=4.2,H4470*$B$23,0)</f>
        <v>0</v>
      </c>
      <c r="J4470" s="29">
        <f>IF($F4470=5,$H4470*$B$24,0)</f>
        <v>0</v>
      </c>
      <c r="K4470" s="29">
        <f>IF($F4470=6.3,$H4470*$B$25,0)</f>
        <v>0</v>
      </c>
      <c r="L4470" s="29">
        <f>IF($F4470=8,$H4470*$B$26,0)</f>
        <v>0</v>
      </c>
      <c r="M4470" s="29">
        <f>IF($F4470=10,$H4470*$B$27,0)</f>
        <v>0</v>
      </c>
      <c r="N4470" s="29">
        <f>IF($F4470=12.5,$H4470*$B$28,0)</f>
        <v>0</v>
      </c>
      <c r="O4470" s="29">
        <f>IF($F4470=16,$H4470*$B$29,0)</f>
        <v>0</v>
      </c>
      <c r="P4470" s="29">
        <f>IF($F4470=20,$H4470*$B$30,0)</f>
        <v>0</v>
      </c>
      <c r="Q4470" s="37">
        <f>IF($F4470=25,$H4470*$B$31,0)</f>
        <v>0</v>
      </c>
    </row>
    <row r="4471" spans="4:17" s="62" customFormat="1" x14ac:dyDescent="0.3">
      <c r="D4471" s="307"/>
      <c r="E4471" s="26"/>
      <c r="F4471" s="206"/>
      <c r="G4471" s="207"/>
      <c r="H4471" s="207"/>
      <c r="I4471" s="51"/>
      <c r="J4471" s="308"/>
      <c r="K4471" s="308"/>
      <c r="L4471" s="308"/>
      <c r="M4471" s="308"/>
      <c r="N4471" s="308"/>
      <c r="O4471" s="308"/>
      <c r="P4471" s="308"/>
      <c r="Q4471" s="309"/>
    </row>
    <row r="4472" spans="4:17" s="62" customFormat="1" x14ac:dyDescent="0.3">
      <c r="D4472" s="790" t="s">
        <v>95</v>
      </c>
      <c r="E4472" s="791"/>
      <c r="F4472" s="791"/>
      <c r="G4472" s="791"/>
      <c r="H4472" s="791"/>
      <c r="I4472" s="175">
        <f t="shared" ref="I4472:Q4472" si="4903">SUM(I4473:I4477)</f>
        <v>0</v>
      </c>
      <c r="J4472" s="175">
        <f t="shared" si="4903"/>
        <v>0</v>
      </c>
      <c r="K4472" s="175">
        <f t="shared" si="4903"/>
        <v>0</v>
      </c>
      <c r="L4472" s="175">
        <f t="shared" si="4903"/>
        <v>0</v>
      </c>
      <c r="M4472" s="175">
        <f t="shared" si="4903"/>
        <v>0</v>
      </c>
      <c r="N4472" s="175">
        <f t="shared" si="4903"/>
        <v>0</v>
      </c>
      <c r="O4472" s="175">
        <f t="shared" si="4903"/>
        <v>0</v>
      </c>
      <c r="P4472" s="175">
        <f t="shared" si="4903"/>
        <v>0</v>
      </c>
      <c r="Q4472" s="175">
        <f t="shared" si="4903"/>
        <v>0</v>
      </c>
    </row>
    <row r="4473" spans="4:17" s="62" customFormat="1" x14ac:dyDescent="0.3">
      <c r="D4473" s="235"/>
      <c r="E4473" s="237"/>
      <c r="F4473" s="238"/>
      <c r="G4473" s="242"/>
      <c r="H4473" s="239">
        <f>E4473*G4473</f>
        <v>0</v>
      </c>
      <c r="I4473" s="122">
        <f>IF($F4473=4.2,H4473*$B$23,0)</f>
        <v>0</v>
      </c>
      <c r="J4473" s="29">
        <f>IF($F4473=5,$H4473*$B$24,0)</f>
        <v>0</v>
      </c>
      <c r="K4473" s="29">
        <f>IF($F4473=6.3,$H4473*$B$25,0)</f>
        <v>0</v>
      </c>
      <c r="L4473" s="29">
        <f>IF($F4473=8,$H4473*$B$26,0)</f>
        <v>0</v>
      </c>
      <c r="M4473" s="29">
        <f>IF($F4473=10,$H4473*$B$27,0)</f>
        <v>0</v>
      </c>
      <c r="N4473" s="29">
        <f>IF($F4473=12.5,$H4473*$B$28,0)</f>
        <v>0</v>
      </c>
      <c r="O4473" s="29">
        <f>IF($F4473=16,$H4473*$B$29,0)</f>
        <v>0</v>
      </c>
      <c r="P4473" s="29">
        <f>IF($F4473=20,$H4473*$B$30,0)</f>
        <v>0</v>
      </c>
      <c r="Q4473" s="37">
        <f>IF($F4473=25,$H4473*$B$31,0)</f>
        <v>0</v>
      </c>
    </row>
    <row r="4474" spans="4:17" s="62" customFormat="1" x14ac:dyDescent="0.3">
      <c r="D4474" s="235"/>
      <c r="E4474" s="240"/>
      <c r="F4474" s="241"/>
      <c r="G4474" s="242"/>
      <c r="H4474" s="239">
        <f>E4474*G4474</f>
        <v>0</v>
      </c>
      <c r="I4474" s="122">
        <f>IF($F4474=4.2,H4474*$B$23,0)</f>
        <v>0</v>
      </c>
      <c r="J4474" s="29">
        <f>IF($F4474=5,$H4474*$B$24,0)</f>
        <v>0</v>
      </c>
      <c r="K4474" s="29">
        <f>IF($F4474=6.3,$H4474*$B$25,0)</f>
        <v>0</v>
      </c>
      <c r="L4474" s="29">
        <f>IF($F4474=8,$H4474*$B$26,0)</f>
        <v>0</v>
      </c>
      <c r="M4474" s="29">
        <f>IF($F4474=10,$H4474*$B$27,0)</f>
        <v>0</v>
      </c>
      <c r="N4474" s="29">
        <f>IF($F4474=12.5,$H4474*$B$28,0)</f>
        <v>0</v>
      </c>
      <c r="O4474" s="29">
        <f>IF($F4474=16,$H4474*$B$29,0)</f>
        <v>0</v>
      </c>
      <c r="P4474" s="29">
        <f>IF($F4474=20,$H4474*$B$30,0)</f>
        <v>0</v>
      </c>
      <c r="Q4474" s="37">
        <f>IF($F4474=25,$H4474*$B$31,0)</f>
        <v>0</v>
      </c>
    </row>
    <row r="4475" spans="4:17" s="62" customFormat="1" x14ac:dyDescent="0.3">
      <c r="D4475" s="235"/>
      <c r="E4475" s="240"/>
      <c r="F4475" s="241"/>
      <c r="G4475" s="242"/>
      <c r="H4475" s="239">
        <f>E4475*G4475</f>
        <v>0</v>
      </c>
      <c r="I4475" s="122">
        <f>IF($F4475=4.2,H4475*$B$23,0)</f>
        <v>0</v>
      </c>
      <c r="J4475" s="29">
        <f>IF($F4475=5,$H4475*$B$24,0)</f>
        <v>0</v>
      </c>
      <c r="K4475" s="29">
        <f>IF($F4475=6.3,$H4475*$B$25,0)</f>
        <v>0</v>
      </c>
      <c r="L4475" s="29">
        <f>IF($F4475=8,$H4475*$B$26,0)</f>
        <v>0</v>
      </c>
      <c r="M4475" s="29">
        <f>IF($F4475=10,$H4475*$B$27,0)</f>
        <v>0</v>
      </c>
      <c r="N4475" s="29">
        <f>IF($F4475=12.5,$H4475*$B$28,0)</f>
        <v>0</v>
      </c>
      <c r="O4475" s="29">
        <f>IF($F4475=16,$H4475*$B$29,0)</f>
        <v>0</v>
      </c>
      <c r="P4475" s="29">
        <f>IF($F4475=20,$H4475*$B$30,0)</f>
        <v>0</v>
      </c>
      <c r="Q4475" s="37">
        <f>IF($F4475=25,$H4475*$B$31,0)</f>
        <v>0</v>
      </c>
    </row>
    <row r="4476" spans="4:17" s="62" customFormat="1" x14ac:dyDescent="0.3">
      <c r="D4476" s="235"/>
      <c r="E4476" s="240"/>
      <c r="F4476" s="241"/>
      <c r="G4476" s="242"/>
      <c r="H4476" s="239">
        <f>E4476*G4476</f>
        <v>0</v>
      </c>
      <c r="I4476" s="122">
        <f>IF($F4476=4.2,H4476*$B$23,0)</f>
        <v>0</v>
      </c>
      <c r="J4476" s="29">
        <f>IF($F4476=5,$H4476*$B$24,0)</f>
        <v>0</v>
      </c>
      <c r="K4476" s="29">
        <f>IF($F4476=6.3,$H4476*$B$25,0)</f>
        <v>0</v>
      </c>
      <c r="L4476" s="29">
        <f>IF($F4476=8,$H4476*$B$26,0)</f>
        <v>0</v>
      </c>
      <c r="M4476" s="29">
        <f>IF($F4476=10,$H4476*$B$27,0)</f>
        <v>0</v>
      </c>
      <c r="N4476" s="29">
        <f>IF($F4476=12.5,$H4476*$B$28,0)</f>
        <v>0</v>
      </c>
      <c r="O4476" s="29">
        <f>IF($F4476=16,$H4476*$B$29,0)</f>
        <v>0</v>
      </c>
      <c r="P4476" s="29">
        <f>IF($F4476=20,$H4476*$B$30,0)</f>
        <v>0</v>
      </c>
      <c r="Q4476" s="37">
        <f>IF($F4476=25,$H4476*$B$31,0)</f>
        <v>0</v>
      </c>
    </row>
    <row r="4477" spans="4:17" s="62" customFormat="1" x14ac:dyDescent="0.3">
      <c r="D4477" s="235"/>
      <c r="E4477" s="240"/>
      <c r="F4477" s="241"/>
      <c r="G4477" s="242"/>
      <c r="H4477" s="239">
        <f>E4477*G4477</f>
        <v>0</v>
      </c>
      <c r="I4477" s="122">
        <f>IF($F4477=4.2,H4477*$B$23,0)</f>
        <v>0</v>
      </c>
      <c r="J4477" s="29">
        <f>IF($F4477=5,$H4477*$B$24,0)</f>
        <v>0</v>
      </c>
      <c r="K4477" s="29">
        <f>IF($F4477=6.3,$H4477*$B$25,0)</f>
        <v>0</v>
      </c>
      <c r="L4477" s="29">
        <f>IF($F4477=8,$H4477*$B$26,0)</f>
        <v>0</v>
      </c>
      <c r="M4477" s="29">
        <f>IF($F4477=10,$H4477*$B$27,0)</f>
        <v>0</v>
      </c>
      <c r="N4477" s="29">
        <f>IF($F4477=12.5,$H4477*$B$28,0)</f>
        <v>0</v>
      </c>
      <c r="O4477" s="29">
        <f>IF($F4477=16,$H4477*$B$29,0)</f>
        <v>0</v>
      </c>
      <c r="P4477" s="29">
        <f>IF($F4477=20,$H4477*$B$30,0)</f>
        <v>0</v>
      </c>
      <c r="Q4477" s="37">
        <f>IF($F4477=25,$H4477*$B$31,0)</f>
        <v>0</v>
      </c>
    </row>
    <row r="4478" spans="4:17" s="62" customFormat="1" x14ac:dyDescent="0.3">
      <c r="D4478" s="307"/>
      <c r="E4478" s="26"/>
      <c r="F4478" s="206"/>
      <c r="G4478" s="207"/>
      <c r="H4478" s="207"/>
      <c r="I4478" s="51"/>
      <c r="J4478" s="308"/>
      <c r="K4478" s="308"/>
      <c r="L4478" s="308"/>
      <c r="M4478" s="308"/>
      <c r="N4478" s="308"/>
      <c r="O4478" s="308"/>
      <c r="P4478" s="308"/>
      <c r="Q4478" s="309"/>
    </row>
    <row r="4479" spans="4:17" s="62" customFormat="1" x14ac:dyDescent="0.3">
      <c r="D4479" s="790" t="s">
        <v>95</v>
      </c>
      <c r="E4479" s="791"/>
      <c r="F4479" s="791"/>
      <c r="G4479" s="791"/>
      <c r="H4479" s="791"/>
      <c r="I4479" s="175">
        <f t="shared" ref="I4479:Q4479" si="4904">SUM(I4480:I4484)</f>
        <v>0</v>
      </c>
      <c r="J4479" s="175">
        <f t="shared" si="4904"/>
        <v>0</v>
      </c>
      <c r="K4479" s="175">
        <f t="shared" si="4904"/>
        <v>0</v>
      </c>
      <c r="L4479" s="175">
        <f t="shared" si="4904"/>
        <v>0</v>
      </c>
      <c r="M4479" s="175">
        <f t="shared" si="4904"/>
        <v>0</v>
      </c>
      <c r="N4479" s="175">
        <f t="shared" si="4904"/>
        <v>0</v>
      </c>
      <c r="O4479" s="175">
        <f t="shared" si="4904"/>
        <v>0</v>
      </c>
      <c r="P4479" s="175">
        <f t="shared" si="4904"/>
        <v>0</v>
      </c>
      <c r="Q4479" s="175">
        <f t="shared" si="4904"/>
        <v>0</v>
      </c>
    </row>
    <row r="4480" spans="4:17" s="62" customFormat="1" x14ac:dyDescent="0.3">
      <c r="D4480" s="235"/>
      <c r="E4480" s="237"/>
      <c r="F4480" s="238"/>
      <c r="G4480" s="242"/>
      <c r="H4480" s="239">
        <f>E4480*G4480</f>
        <v>0</v>
      </c>
      <c r="I4480" s="122">
        <f>IF($F4480=4.2,H4480*$B$23,0)</f>
        <v>0</v>
      </c>
      <c r="J4480" s="29">
        <f>IF($F4480=5,$H4480*$B$24,0)</f>
        <v>0</v>
      </c>
      <c r="K4480" s="29">
        <f>IF($F4480=6.3,$H4480*$B$25,0)</f>
        <v>0</v>
      </c>
      <c r="L4480" s="29">
        <f>IF($F4480=8,$H4480*$B$26,0)</f>
        <v>0</v>
      </c>
      <c r="M4480" s="29">
        <f>IF($F4480=10,$H4480*$B$27,0)</f>
        <v>0</v>
      </c>
      <c r="N4480" s="29">
        <f>IF($F4480=12.5,$H4480*$B$28,0)</f>
        <v>0</v>
      </c>
      <c r="O4480" s="29">
        <f>IF($F4480=16,$H4480*$B$29,0)</f>
        <v>0</v>
      </c>
      <c r="P4480" s="29">
        <f>IF($F4480=20,$H4480*$B$30,0)</f>
        <v>0</v>
      </c>
      <c r="Q4480" s="37">
        <f>IF($F4480=25,$H4480*$B$31,0)</f>
        <v>0</v>
      </c>
    </row>
    <row r="4481" spans="4:17" s="62" customFormat="1" x14ac:dyDescent="0.3">
      <c r="D4481" s="235"/>
      <c r="E4481" s="240"/>
      <c r="F4481" s="241"/>
      <c r="G4481" s="242"/>
      <c r="H4481" s="239">
        <f>E4481*G4481</f>
        <v>0</v>
      </c>
      <c r="I4481" s="122">
        <f>IF($F4481=4.2,H4481*$B$23,0)</f>
        <v>0</v>
      </c>
      <c r="J4481" s="29">
        <f>IF($F4481=5,$H4481*$B$24,0)</f>
        <v>0</v>
      </c>
      <c r="K4481" s="29">
        <f>IF($F4481=6.3,$H4481*$B$25,0)</f>
        <v>0</v>
      </c>
      <c r="L4481" s="29">
        <f>IF($F4481=8,$H4481*$B$26,0)</f>
        <v>0</v>
      </c>
      <c r="M4481" s="29">
        <f>IF($F4481=10,$H4481*$B$27,0)</f>
        <v>0</v>
      </c>
      <c r="N4481" s="29">
        <f>IF($F4481=12.5,$H4481*$B$28,0)</f>
        <v>0</v>
      </c>
      <c r="O4481" s="29">
        <f>IF($F4481=16,$H4481*$B$29,0)</f>
        <v>0</v>
      </c>
      <c r="P4481" s="29">
        <f>IF($F4481=20,$H4481*$B$30,0)</f>
        <v>0</v>
      </c>
      <c r="Q4481" s="37">
        <f>IF($F4481=25,$H4481*$B$31,0)</f>
        <v>0</v>
      </c>
    </row>
    <row r="4482" spans="4:17" s="62" customFormat="1" x14ac:dyDescent="0.3">
      <c r="D4482" s="235"/>
      <c r="E4482" s="240"/>
      <c r="F4482" s="241"/>
      <c r="G4482" s="242"/>
      <c r="H4482" s="239">
        <f>E4482*G4482</f>
        <v>0</v>
      </c>
      <c r="I4482" s="122">
        <f>IF($F4482=4.2,H4482*$B$23,0)</f>
        <v>0</v>
      </c>
      <c r="J4482" s="29">
        <f>IF($F4482=5,$H4482*$B$24,0)</f>
        <v>0</v>
      </c>
      <c r="K4482" s="29">
        <f>IF($F4482=6.3,$H4482*$B$25,0)</f>
        <v>0</v>
      </c>
      <c r="L4482" s="29">
        <f>IF($F4482=8,$H4482*$B$26,0)</f>
        <v>0</v>
      </c>
      <c r="M4482" s="29">
        <f>IF($F4482=10,$H4482*$B$27,0)</f>
        <v>0</v>
      </c>
      <c r="N4482" s="29">
        <f>IF($F4482=12.5,$H4482*$B$28,0)</f>
        <v>0</v>
      </c>
      <c r="O4482" s="29">
        <f>IF($F4482=16,$H4482*$B$29,0)</f>
        <v>0</v>
      </c>
      <c r="P4482" s="29">
        <f>IF($F4482=20,$H4482*$B$30,0)</f>
        <v>0</v>
      </c>
      <c r="Q4482" s="37">
        <f>IF($F4482=25,$H4482*$B$31,0)</f>
        <v>0</v>
      </c>
    </row>
    <row r="4483" spans="4:17" s="62" customFormat="1" x14ac:dyDescent="0.3">
      <c r="D4483" s="235"/>
      <c r="E4483" s="240"/>
      <c r="F4483" s="241"/>
      <c r="G4483" s="242"/>
      <c r="H4483" s="239">
        <f>E4483*G4483</f>
        <v>0</v>
      </c>
      <c r="I4483" s="122">
        <f>IF($F4483=4.2,H4483*$B$23,0)</f>
        <v>0</v>
      </c>
      <c r="J4483" s="29">
        <f>IF($F4483=5,$H4483*$B$24,0)</f>
        <v>0</v>
      </c>
      <c r="K4483" s="29">
        <f>IF($F4483=6.3,$H4483*$B$25,0)</f>
        <v>0</v>
      </c>
      <c r="L4483" s="29">
        <f>IF($F4483=8,$H4483*$B$26,0)</f>
        <v>0</v>
      </c>
      <c r="M4483" s="29">
        <f>IF($F4483=10,$H4483*$B$27,0)</f>
        <v>0</v>
      </c>
      <c r="N4483" s="29">
        <f>IF($F4483=12.5,$H4483*$B$28,0)</f>
        <v>0</v>
      </c>
      <c r="O4483" s="29">
        <f>IF($F4483=16,$H4483*$B$29,0)</f>
        <v>0</v>
      </c>
      <c r="P4483" s="29">
        <f>IF($F4483=20,$H4483*$B$30,0)</f>
        <v>0</v>
      </c>
      <c r="Q4483" s="37">
        <f>IF($F4483=25,$H4483*$B$31,0)</f>
        <v>0</v>
      </c>
    </row>
    <row r="4484" spans="4:17" s="62" customFormat="1" x14ac:dyDescent="0.3">
      <c r="D4484" s="235"/>
      <c r="E4484" s="240"/>
      <c r="F4484" s="241"/>
      <c r="G4484" s="242"/>
      <c r="H4484" s="239">
        <f>E4484*G4484</f>
        <v>0</v>
      </c>
      <c r="I4484" s="122">
        <f>IF($F4484=4.2,H4484*$B$23,0)</f>
        <v>0</v>
      </c>
      <c r="J4484" s="29">
        <f>IF($F4484=5,$H4484*$B$24,0)</f>
        <v>0</v>
      </c>
      <c r="K4484" s="29">
        <f>IF($F4484=6.3,$H4484*$B$25,0)</f>
        <v>0</v>
      </c>
      <c r="L4484" s="29">
        <f>IF($F4484=8,$H4484*$B$26,0)</f>
        <v>0</v>
      </c>
      <c r="M4484" s="29">
        <f>IF($F4484=10,$H4484*$B$27,0)</f>
        <v>0</v>
      </c>
      <c r="N4484" s="29">
        <f>IF($F4484=12.5,$H4484*$B$28,0)</f>
        <v>0</v>
      </c>
      <c r="O4484" s="29">
        <f>IF($F4484=16,$H4484*$B$29,0)</f>
        <v>0</v>
      </c>
      <c r="P4484" s="29">
        <f>IF($F4484=20,$H4484*$B$30,0)</f>
        <v>0</v>
      </c>
      <c r="Q4484" s="37">
        <f>IF($F4484=25,$H4484*$B$31,0)</f>
        <v>0</v>
      </c>
    </row>
    <row r="4485" spans="4:17" s="62" customFormat="1" x14ac:dyDescent="0.3">
      <c r="D4485" s="307"/>
      <c r="E4485" s="26"/>
      <c r="F4485" s="206"/>
      <c r="G4485" s="207"/>
      <c r="H4485" s="207"/>
      <c r="I4485" s="51"/>
      <c r="J4485" s="308"/>
      <c r="K4485" s="308"/>
      <c r="L4485" s="308"/>
      <c r="M4485" s="308"/>
      <c r="N4485" s="308"/>
      <c r="O4485" s="308"/>
      <c r="P4485" s="308"/>
      <c r="Q4485" s="309"/>
    </row>
    <row r="4486" spans="4:17" s="62" customFormat="1" x14ac:dyDescent="0.3">
      <c r="D4486" s="790" t="s">
        <v>95</v>
      </c>
      <c r="E4486" s="791"/>
      <c r="F4486" s="791"/>
      <c r="G4486" s="791"/>
      <c r="H4486" s="791"/>
      <c r="I4486" s="175">
        <f t="shared" ref="I4486:Q4486" si="4905">SUM(I4487:I4491)</f>
        <v>0</v>
      </c>
      <c r="J4486" s="175">
        <f t="shared" si="4905"/>
        <v>0</v>
      </c>
      <c r="K4486" s="175">
        <f t="shared" si="4905"/>
        <v>0</v>
      </c>
      <c r="L4486" s="175">
        <f t="shared" si="4905"/>
        <v>0</v>
      </c>
      <c r="M4486" s="175">
        <f t="shared" si="4905"/>
        <v>0</v>
      </c>
      <c r="N4486" s="175">
        <f t="shared" si="4905"/>
        <v>0</v>
      </c>
      <c r="O4486" s="175">
        <f t="shared" si="4905"/>
        <v>0</v>
      </c>
      <c r="P4486" s="175">
        <f t="shared" si="4905"/>
        <v>0</v>
      </c>
      <c r="Q4486" s="175">
        <f t="shared" si="4905"/>
        <v>0</v>
      </c>
    </row>
    <row r="4487" spans="4:17" s="62" customFormat="1" x14ac:dyDescent="0.3">
      <c r="D4487" s="235"/>
      <c r="E4487" s="237"/>
      <c r="F4487" s="238"/>
      <c r="G4487" s="242"/>
      <c r="H4487" s="239">
        <f>E4487*G4487</f>
        <v>0</v>
      </c>
      <c r="I4487" s="122">
        <f>IF($F4487=4.2,H4487*$B$23,0)</f>
        <v>0</v>
      </c>
      <c r="J4487" s="29">
        <f>IF($F4487=5,$H4487*$B$24,0)</f>
        <v>0</v>
      </c>
      <c r="K4487" s="29">
        <f>IF($F4487=6.3,$H4487*$B$25,0)</f>
        <v>0</v>
      </c>
      <c r="L4487" s="29">
        <f>IF($F4487=8,$H4487*$B$26,0)</f>
        <v>0</v>
      </c>
      <c r="M4487" s="29">
        <f>IF($F4487=10,$H4487*$B$27,0)</f>
        <v>0</v>
      </c>
      <c r="N4487" s="29">
        <f>IF($F4487=12.5,$H4487*$B$28,0)</f>
        <v>0</v>
      </c>
      <c r="O4487" s="29">
        <f>IF($F4487=16,$H4487*$B$29,0)</f>
        <v>0</v>
      </c>
      <c r="P4487" s="29">
        <f>IF($F4487=20,$H4487*$B$30,0)</f>
        <v>0</v>
      </c>
      <c r="Q4487" s="37">
        <f>IF($F4487=25,$H4487*$B$31,0)</f>
        <v>0</v>
      </c>
    </row>
    <row r="4488" spans="4:17" s="62" customFormat="1" x14ac:dyDescent="0.3">
      <c r="D4488" s="235"/>
      <c r="E4488" s="240"/>
      <c r="F4488" s="241"/>
      <c r="G4488" s="242"/>
      <c r="H4488" s="239">
        <f>E4488*G4488</f>
        <v>0</v>
      </c>
      <c r="I4488" s="122">
        <f>IF($F4488=4.2,H4488*$B$23,0)</f>
        <v>0</v>
      </c>
      <c r="J4488" s="29">
        <f>IF($F4488=5,$H4488*$B$24,0)</f>
        <v>0</v>
      </c>
      <c r="K4488" s="29">
        <f>IF($F4488=6.3,$H4488*$B$25,0)</f>
        <v>0</v>
      </c>
      <c r="L4488" s="29">
        <f>IF($F4488=8,$H4488*$B$26,0)</f>
        <v>0</v>
      </c>
      <c r="M4488" s="29">
        <f>IF($F4488=10,$H4488*$B$27,0)</f>
        <v>0</v>
      </c>
      <c r="N4488" s="29">
        <f>IF($F4488=12.5,$H4488*$B$28,0)</f>
        <v>0</v>
      </c>
      <c r="O4488" s="29">
        <f>IF($F4488=16,$H4488*$B$29,0)</f>
        <v>0</v>
      </c>
      <c r="P4488" s="29">
        <f>IF($F4488=20,$H4488*$B$30,0)</f>
        <v>0</v>
      </c>
      <c r="Q4488" s="37">
        <f>IF($F4488=25,$H4488*$B$31,0)</f>
        <v>0</v>
      </c>
    </row>
    <row r="4489" spans="4:17" s="62" customFormat="1" x14ac:dyDescent="0.3">
      <c r="D4489" s="235"/>
      <c r="E4489" s="240"/>
      <c r="F4489" s="241"/>
      <c r="G4489" s="242"/>
      <c r="H4489" s="239">
        <f>E4489*G4489</f>
        <v>0</v>
      </c>
      <c r="I4489" s="122">
        <f>IF($F4489=4.2,H4489*$B$23,0)</f>
        <v>0</v>
      </c>
      <c r="J4489" s="29">
        <f>IF($F4489=5,$H4489*$B$24,0)</f>
        <v>0</v>
      </c>
      <c r="K4489" s="29">
        <f>IF($F4489=6.3,$H4489*$B$25,0)</f>
        <v>0</v>
      </c>
      <c r="L4489" s="29">
        <f>IF($F4489=8,$H4489*$B$26,0)</f>
        <v>0</v>
      </c>
      <c r="M4489" s="29">
        <f>IF($F4489=10,$H4489*$B$27,0)</f>
        <v>0</v>
      </c>
      <c r="N4489" s="29">
        <f>IF($F4489=12.5,$H4489*$B$28,0)</f>
        <v>0</v>
      </c>
      <c r="O4489" s="29">
        <f>IF($F4489=16,$H4489*$B$29,0)</f>
        <v>0</v>
      </c>
      <c r="P4489" s="29">
        <f>IF($F4489=20,$H4489*$B$30,0)</f>
        <v>0</v>
      </c>
      <c r="Q4489" s="37">
        <f>IF($F4489=25,$H4489*$B$31,0)</f>
        <v>0</v>
      </c>
    </row>
    <row r="4490" spans="4:17" s="62" customFormat="1" x14ac:dyDescent="0.3">
      <c r="D4490" s="235"/>
      <c r="E4490" s="240"/>
      <c r="F4490" s="241"/>
      <c r="G4490" s="242"/>
      <c r="H4490" s="239">
        <f>E4490*G4490</f>
        <v>0</v>
      </c>
      <c r="I4490" s="122">
        <f>IF($F4490=4.2,H4490*$B$23,0)</f>
        <v>0</v>
      </c>
      <c r="J4490" s="29">
        <f>IF($F4490=5,$H4490*$B$24,0)</f>
        <v>0</v>
      </c>
      <c r="K4490" s="29">
        <f>IF($F4490=6.3,$H4490*$B$25,0)</f>
        <v>0</v>
      </c>
      <c r="L4490" s="29">
        <f>IF($F4490=8,$H4490*$B$26,0)</f>
        <v>0</v>
      </c>
      <c r="M4490" s="29">
        <f>IF($F4490=10,$H4490*$B$27,0)</f>
        <v>0</v>
      </c>
      <c r="N4490" s="29">
        <f>IF($F4490=12.5,$H4490*$B$28,0)</f>
        <v>0</v>
      </c>
      <c r="O4490" s="29">
        <f>IF($F4490=16,$H4490*$B$29,0)</f>
        <v>0</v>
      </c>
      <c r="P4490" s="29">
        <f>IF($F4490=20,$H4490*$B$30,0)</f>
        <v>0</v>
      </c>
      <c r="Q4490" s="37">
        <f>IF($F4490=25,$H4490*$B$31,0)</f>
        <v>0</v>
      </c>
    </row>
    <row r="4491" spans="4:17" s="62" customFormat="1" x14ac:dyDescent="0.3">
      <c r="D4491" s="235"/>
      <c r="E4491" s="240"/>
      <c r="F4491" s="241"/>
      <c r="G4491" s="242"/>
      <c r="H4491" s="239">
        <f>E4491*G4491</f>
        <v>0</v>
      </c>
      <c r="I4491" s="122">
        <f>IF($F4491=4.2,H4491*$B$23,0)</f>
        <v>0</v>
      </c>
      <c r="J4491" s="29">
        <f>IF($F4491=5,$H4491*$B$24,0)</f>
        <v>0</v>
      </c>
      <c r="K4491" s="29">
        <f>IF($F4491=6.3,$H4491*$B$25,0)</f>
        <v>0</v>
      </c>
      <c r="L4491" s="29">
        <f>IF($F4491=8,$H4491*$B$26,0)</f>
        <v>0</v>
      </c>
      <c r="M4491" s="29">
        <f>IF($F4491=10,$H4491*$B$27,0)</f>
        <v>0</v>
      </c>
      <c r="N4491" s="29">
        <f>IF($F4491=12.5,$H4491*$B$28,0)</f>
        <v>0</v>
      </c>
      <c r="O4491" s="29">
        <f>IF($F4491=16,$H4491*$B$29,0)</f>
        <v>0</v>
      </c>
      <c r="P4491" s="29">
        <f>IF($F4491=20,$H4491*$B$30,0)</f>
        <v>0</v>
      </c>
      <c r="Q4491" s="37">
        <f>IF($F4491=25,$H4491*$B$31,0)</f>
        <v>0</v>
      </c>
    </row>
    <row r="4492" spans="4:17" s="62" customFormat="1" x14ac:dyDescent="0.3">
      <c r="D4492" s="307"/>
      <c r="E4492" s="26"/>
      <c r="F4492" s="206"/>
      <c r="G4492" s="207"/>
      <c r="H4492" s="207"/>
      <c r="I4492" s="51"/>
      <c r="J4492" s="308"/>
      <c r="K4492" s="308"/>
      <c r="L4492" s="308"/>
      <c r="M4492" s="308"/>
      <c r="N4492" s="308"/>
      <c r="O4492" s="308"/>
      <c r="P4492" s="308"/>
      <c r="Q4492" s="309"/>
    </row>
    <row r="4493" spans="4:17" s="62" customFormat="1" ht="15" thickBot="1" x14ac:dyDescent="0.35">
      <c r="D4493" s="307"/>
      <c r="E4493" s="26"/>
      <c r="F4493" s="206"/>
      <c r="G4493" s="207"/>
      <c r="H4493" s="207"/>
      <c r="I4493" s="51"/>
      <c r="J4493" s="308"/>
      <c r="K4493" s="308"/>
      <c r="L4493" s="308"/>
      <c r="M4493" s="308"/>
      <c r="N4493" s="308"/>
      <c r="O4493" s="308"/>
      <c r="P4493" s="308"/>
      <c r="Q4493" s="309"/>
    </row>
    <row r="4494" spans="4:17" ht="15" thickBot="1" x14ac:dyDescent="0.35">
      <c r="D4494" s="805" t="s">
        <v>35</v>
      </c>
      <c r="E4494" s="806"/>
      <c r="F4494" s="806"/>
      <c r="G4494" s="806"/>
      <c r="H4494" s="806"/>
      <c r="I4494" s="125">
        <f t="shared" ref="I4494:Q4494" si="4906">SUM(I3975:I4493)/2</f>
        <v>0</v>
      </c>
      <c r="J4494" s="125">
        <f t="shared" si="4906"/>
        <v>906.46864000000016</v>
      </c>
      <c r="K4494" s="125">
        <f t="shared" si="4906"/>
        <v>55.120100000000008</v>
      </c>
      <c r="L4494" s="125">
        <f t="shared" si="4906"/>
        <v>1008.2691000000007</v>
      </c>
      <c r="M4494" s="125">
        <f t="shared" si="4906"/>
        <v>41.912809999999993</v>
      </c>
      <c r="N4494" s="125">
        <f t="shared" si="4906"/>
        <v>0</v>
      </c>
      <c r="O4494" s="125">
        <f t="shared" si="4906"/>
        <v>0</v>
      </c>
      <c r="P4494" s="125">
        <f t="shared" si="4906"/>
        <v>0</v>
      </c>
      <c r="Q4494" s="125">
        <f t="shared" si="4906"/>
        <v>0</v>
      </c>
    </row>
    <row r="4495" spans="4:17" ht="15" thickTop="1" x14ac:dyDescent="0.3"/>
  </sheetData>
  <mergeCells count="658">
    <mergeCell ref="D4223:Q4223"/>
    <mergeCell ref="S4222:T4222"/>
    <mergeCell ref="D4367:H4367"/>
    <mergeCell ref="D4298:H4298"/>
    <mergeCell ref="D4360:H4360"/>
    <mergeCell ref="D4268:H4268"/>
    <mergeCell ref="D4279:H4279"/>
    <mergeCell ref="D4286:H4286"/>
    <mergeCell ref="D4293:H4293"/>
    <mergeCell ref="D4224:H4224"/>
    <mergeCell ref="D4229:H4229"/>
    <mergeCell ref="D4234:H4234"/>
    <mergeCell ref="D4239:H4239"/>
    <mergeCell ref="D4244:H4244"/>
    <mergeCell ref="D4249:H4249"/>
    <mergeCell ref="D4254:H4254"/>
    <mergeCell ref="D4261:H4261"/>
    <mergeCell ref="D4345:Q4345"/>
    <mergeCell ref="D1388:H1388"/>
    <mergeCell ref="D1521:H1521"/>
    <mergeCell ref="D1533:H1533"/>
    <mergeCell ref="D1545:H1545"/>
    <mergeCell ref="D1557:H1557"/>
    <mergeCell ref="D1569:H1569"/>
    <mergeCell ref="D3838:Q3838"/>
    <mergeCell ref="D1400:Q1400"/>
    <mergeCell ref="S1400:T1400"/>
    <mergeCell ref="D1629:H1629"/>
    <mergeCell ref="D1641:H1641"/>
    <mergeCell ref="D1653:H1653"/>
    <mergeCell ref="D1261:H1261"/>
    <mergeCell ref="D1271:H1271"/>
    <mergeCell ref="D1276:H1276"/>
    <mergeCell ref="D1281:H1281"/>
    <mergeCell ref="D1235:Q1235"/>
    <mergeCell ref="D1286:H1286"/>
    <mergeCell ref="D1665:H1665"/>
    <mergeCell ref="D1291:H1291"/>
    <mergeCell ref="D1296:H1296"/>
    <mergeCell ref="D1301:H1301"/>
    <mergeCell ref="D1308:H1308"/>
    <mergeCell ref="D1313:H1313"/>
    <mergeCell ref="D1320:H1320"/>
    <mergeCell ref="D1327:H1327"/>
    <mergeCell ref="D1332:H1332"/>
    <mergeCell ref="D1393:H1393"/>
    <mergeCell ref="D1338:H1338"/>
    <mergeCell ref="D1343:H1343"/>
    <mergeCell ref="D1350:H1350"/>
    <mergeCell ref="D1355:H1355"/>
    <mergeCell ref="D1363:H1363"/>
    <mergeCell ref="D1372:H1372"/>
    <mergeCell ref="D1376:H1376"/>
    <mergeCell ref="D1383:H1383"/>
    <mergeCell ref="D1119:H1119"/>
    <mergeCell ref="D1124:H1124"/>
    <mergeCell ref="D1129:H1129"/>
    <mergeCell ref="D1136:H1136"/>
    <mergeCell ref="D1143:H1143"/>
    <mergeCell ref="D1150:H1150"/>
    <mergeCell ref="D1242:H1242"/>
    <mergeCell ref="D1248:H1248"/>
    <mergeCell ref="D1255:H1255"/>
    <mergeCell ref="D1223:H1223"/>
    <mergeCell ref="D1236:H1236"/>
    <mergeCell ref="D1058:H1058"/>
    <mergeCell ref="D1063:H1063"/>
    <mergeCell ref="D1068:H1068"/>
    <mergeCell ref="D1073:H1073"/>
    <mergeCell ref="D1077:H1077"/>
    <mergeCell ref="D1084:H1084"/>
    <mergeCell ref="D1088:H1088"/>
    <mergeCell ref="D1092:H1092"/>
    <mergeCell ref="D1099:H1099"/>
    <mergeCell ref="D1098:Q1098"/>
    <mergeCell ref="D1165:H1165"/>
    <mergeCell ref="D1170:H1170"/>
    <mergeCell ref="D1179:H1179"/>
    <mergeCell ref="D1187:H1187"/>
    <mergeCell ref="D1193:H1193"/>
    <mergeCell ref="D1199:H1199"/>
    <mergeCell ref="D1206:H1206"/>
    <mergeCell ref="D1211:H1211"/>
    <mergeCell ref="D1218:H1218"/>
    <mergeCell ref="D1104:H1104"/>
    <mergeCell ref="D1109:H1109"/>
    <mergeCell ref="D1114:H1114"/>
    <mergeCell ref="D1017:H1017"/>
    <mergeCell ref="D1021:H1021"/>
    <mergeCell ref="D1026:H1026"/>
    <mergeCell ref="D1031:H1031"/>
    <mergeCell ref="D1035:H1035"/>
    <mergeCell ref="D1039:H1039"/>
    <mergeCell ref="D1043:H1043"/>
    <mergeCell ref="D1048:H1048"/>
    <mergeCell ref="D1053:H1053"/>
    <mergeCell ref="D1581:H1581"/>
    <mergeCell ref="D1593:H1593"/>
    <mergeCell ref="D1605:H1605"/>
    <mergeCell ref="D1617:H1617"/>
    <mergeCell ref="D1809:H1809"/>
    <mergeCell ref="D1821:H1821"/>
    <mergeCell ref="D1833:H1833"/>
    <mergeCell ref="D1845:H1845"/>
    <mergeCell ref="D1749:H1749"/>
    <mergeCell ref="D1761:H1761"/>
    <mergeCell ref="D1773:H1773"/>
    <mergeCell ref="D1785:H1785"/>
    <mergeCell ref="D1797:H1797"/>
    <mergeCell ref="D1677:H1677"/>
    <mergeCell ref="D1689:H1689"/>
    <mergeCell ref="D1857:H1857"/>
    <mergeCell ref="D1869:H1869"/>
    <mergeCell ref="D1881:H1881"/>
    <mergeCell ref="D1401:H1401"/>
    <mergeCell ref="D1408:H1408"/>
    <mergeCell ref="D1413:H1413"/>
    <mergeCell ref="D1418:H1418"/>
    <mergeCell ref="D1424:H1424"/>
    <mergeCell ref="D1429:H1429"/>
    <mergeCell ref="D1435:H1435"/>
    <mergeCell ref="D1442:H1442"/>
    <mergeCell ref="D1450:H1450"/>
    <mergeCell ref="D1454:H1454"/>
    <mergeCell ref="D1458:H1458"/>
    <mergeCell ref="D1463:H1463"/>
    <mergeCell ref="D1468:H1468"/>
    <mergeCell ref="D1473:H1473"/>
    <mergeCell ref="D1485:H1485"/>
    <mergeCell ref="D1497:H1497"/>
    <mergeCell ref="D1509:H1509"/>
    <mergeCell ref="D1701:H1701"/>
    <mergeCell ref="D1713:H1713"/>
    <mergeCell ref="D1725:H1725"/>
    <mergeCell ref="D1737:H1737"/>
    <mergeCell ref="D2025:H2025"/>
    <mergeCell ref="D1893:H1893"/>
    <mergeCell ref="D1905:H1905"/>
    <mergeCell ref="D1917:H1917"/>
    <mergeCell ref="D1929:H1929"/>
    <mergeCell ref="D1941:H1941"/>
    <mergeCell ref="D1953:H1953"/>
    <mergeCell ref="D1965:H1965"/>
    <mergeCell ref="D1977:H1977"/>
    <mergeCell ref="S4146:T4146"/>
    <mergeCell ref="D814:Q814"/>
    <mergeCell ref="S814:T814"/>
    <mergeCell ref="D4132:H4132"/>
    <mergeCell ref="D4137:H4137"/>
    <mergeCell ref="D4142:H4142"/>
    <mergeCell ref="D579:Q579"/>
    <mergeCell ref="S579:T579"/>
    <mergeCell ref="D4073:Q4073"/>
    <mergeCell ref="S4072:T4072"/>
    <mergeCell ref="D4079:H4079"/>
    <mergeCell ref="D4084:H4084"/>
    <mergeCell ref="D4093:H4093"/>
    <mergeCell ref="D4098:H4098"/>
    <mergeCell ref="D4103:H4103"/>
    <mergeCell ref="D4108:H4108"/>
    <mergeCell ref="D4115:H4115"/>
    <mergeCell ref="D4122:H4122"/>
    <mergeCell ref="D4127:H4127"/>
    <mergeCell ref="D4028:Q4028"/>
    <mergeCell ref="S4027:T4027"/>
    <mergeCell ref="D3987:Q3987"/>
    <mergeCell ref="S3986:T3986"/>
    <mergeCell ref="D2073:H2073"/>
    <mergeCell ref="D488:H488"/>
    <mergeCell ref="D532:H532"/>
    <mergeCell ref="D537:H537"/>
    <mergeCell ref="D528:H528"/>
    <mergeCell ref="D4486:H4486"/>
    <mergeCell ref="D4374:H4374"/>
    <mergeCell ref="D4209:H4209"/>
    <mergeCell ref="D4216:H4216"/>
    <mergeCell ref="D4188:H4188"/>
    <mergeCell ref="D4195:H4195"/>
    <mergeCell ref="D4202:H4202"/>
    <mergeCell ref="D4148:H4148"/>
    <mergeCell ref="D4153:H4153"/>
    <mergeCell ref="D4162:H4162"/>
    <mergeCell ref="D4167:H4167"/>
    <mergeCell ref="D4176:H4176"/>
    <mergeCell ref="D4181:H4181"/>
    <mergeCell ref="D4147:Q4147"/>
    <mergeCell ref="D2061:H2061"/>
    <mergeCell ref="D2037:H2037"/>
    <mergeCell ref="D2049:H2049"/>
    <mergeCell ref="D1989:H1989"/>
    <mergeCell ref="D2001:H2001"/>
    <mergeCell ref="D2013:H2013"/>
    <mergeCell ref="D545:H545"/>
    <mergeCell ref="D550:H550"/>
    <mergeCell ref="D560:H560"/>
    <mergeCell ref="D567:H567"/>
    <mergeCell ref="D572:H572"/>
    <mergeCell ref="D580:H580"/>
    <mergeCell ref="D2195:H2195"/>
    <mergeCell ref="D2118:H2118"/>
    <mergeCell ref="D2125:H2125"/>
    <mergeCell ref="D2135:H2135"/>
    <mergeCell ref="D2108:H2108"/>
    <mergeCell ref="D2146:H2146"/>
    <mergeCell ref="D2157:H2157"/>
    <mergeCell ref="D1013:H1013"/>
    <mergeCell ref="D1001:H1001"/>
    <mergeCell ref="D1007:H1007"/>
    <mergeCell ref="D977:H977"/>
    <mergeCell ref="D983:H983"/>
    <mergeCell ref="D989:H989"/>
    <mergeCell ref="D934:H934"/>
    <mergeCell ref="D944:H944"/>
    <mergeCell ref="D949:H949"/>
    <mergeCell ref="D955:H955"/>
    <mergeCell ref="D961:H961"/>
    <mergeCell ref="D340:H340"/>
    <mergeCell ref="D345:H345"/>
    <mergeCell ref="D350:H350"/>
    <mergeCell ref="D354:H354"/>
    <mergeCell ref="D362:H362"/>
    <mergeCell ref="D371:H371"/>
    <mergeCell ref="D381:H381"/>
    <mergeCell ref="D516:H516"/>
    <mergeCell ref="D521:H521"/>
    <mergeCell ref="D386:H386"/>
    <mergeCell ref="D390:H390"/>
    <mergeCell ref="D394:H394"/>
    <mergeCell ref="D400:H400"/>
    <mergeCell ref="D405:H405"/>
    <mergeCell ref="D415:H415"/>
    <mergeCell ref="D424:H424"/>
    <mergeCell ref="D434:H434"/>
    <mergeCell ref="D440:H440"/>
    <mergeCell ref="D445:H445"/>
    <mergeCell ref="D450:H450"/>
    <mergeCell ref="D455:H455"/>
    <mergeCell ref="D460:H460"/>
    <mergeCell ref="D466:H466"/>
    <mergeCell ref="D476:H476"/>
    <mergeCell ref="D292:H292"/>
    <mergeCell ref="D298:H298"/>
    <mergeCell ref="D305:H305"/>
    <mergeCell ref="D312:H312"/>
    <mergeCell ref="D316:H316"/>
    <mergeCell ref="D320:H320"/>
    <mergeCell ref="D325:H325"/>
    <mergeCell ref="D330:H330"/>
    <mergeCell ref="D335:H335"/>
    <mergeCell ref="S2107:T2107"/>
    <mergeCell ref="D2145:Q2145"/>
    <mergeCell ref="S2145:T2145"/>
    <mergeCell ref="D3974:Q3974"/>
    <mergeCell ref="S3973:T3973"/>
    <mergeCell ref="D3967:H3967"/>
    <mergeCell ref="D2253:H2253"/>
    <mergeCell ref="D2268:H2268"/>
    <mergeCell ref="D2281:H2281"/>
    <mergeCell ref="D3959:H3959"/>
    <mergeCell ref="D2207:H2207"/>
    <mergeCell ref="D2221:H2221"/>
    <mergeCell ref="D2234:H2234"/>
    <mergeCell ref="D2240:H2240"/>
    <mergeCell ref="D2246:H2246"/>
    <mergeCell ref="D2168:H2168"/>
    <mergeCell ref="D2183:H2183"/>
    <mergeCell ref="D3973:G3973"/>
    <mergeCell ref="D3969:Q3969"/>
    <mergeCell ref="D3970:Q3970"/>
    <mergeCell ref="D3971:H3971"/>
    <mergeCell ref="I3971:Q3971"/>
    <mergeCell ref="D2233:Q2233"/>
    <mergeCell ref="S2233:T2233"/>
    <mergeCell ref="S218:T218"/>
    <mergeCell ref="D690:H690"/>
    <mergeCell ref="D677:H677"/>
    <mergeCell ref="D684:H684"/>
    <mergeCell ref="D644:H644"/>
    <mergeCell ref="D653:H653"/>
    <mergeCell ref="D662:H662"/>
    <mergeCell ref="D672:H672"/>
    <mergeCell ref="D587:H587"/>
    <mergeCell ref="D595:H595"/>
    <mergeCell ref="D602:H602"/>
    <mergeCell ref="D609:H609"/>
    <mergeCell ref="D619:H619"/>
    <mergeCell ref="D626:H626"/>
    <mergeCell ref="D630:H630"/>
    <mergeCell ref="D634:H634"/>
    <mergeCell ref="D492:H492"/>
    <mergeCell ref="D496:H496"/>
    <mergeCell ref="D501:H501"/>
    <mergeCell ref="D506:H506"/>
    <mergeCell ref="D511:H511"/>
    <mergeCell ref="D219:H219"/>
    <mergeCell ref="D236:H236"/>
    <mergeCell ref="D555:H555"/>
    <mergeCell ref="D130:H130"/>
    <mergeCell ref="D135:H135"/>
    <mergeCell ref="D142:H142"/>
    <mergeCell ref="D148:H148"/>
    <mergeCell ref="D157:H157"/>
    <mergeCell ref="D164:H164"/>
    <mergeCell ref="D169:H169"/>
    <mergeCell ref="D2107:Q2107"/>
    <mergeCell ref="D243:H243"/>
    <mergeCell ref="D247:H247"/>
    <mergeCell ref="D187:H187"/>
    <mergeCell ref="D226:H226"/>
    <mergeCell ref="D251:H251"/>
    <mergeCell ref="D261:H261"/>
    <mergeCell ref="D271:H271"/>
    <mergeCell ref="D276:H276"/>
    <mergeCell ref="D282:H282"/>
    <mergeCell ref="D2106:G2106"/>
    <mergeCell ref="D695:H695"/>
    <mergeCell ref="D2085:H2085"/>
    <mergeCell ref="D177:H177"/>
    <mergeCell ref="D2103:Q2103"/>
    <mergeCell ref="D208:H208"/>
    <mergeCell ref="D218:Q218"/>
    <mergeCell ref="S64:T64"/>
    <mergeCell ref="D69:H69"/>
    <mergeCell ref="D76:H76"/>
    <mergeCell ref="D80:H80"/>
    <mergeCell ref="D89:H89"/>
    <mergeCell ref="D96:H96"/>
    <mergeCell ref="D102:H102"/>
    <mergeCell ref="D110:H110"/>
    <mergeCell ref="D115:H115"/>
    <mergeCell ref="D109:Q109"/>
    <mergeCell ref="S109:T109"/>
    <mergeCell ref="D1:Q1"/>
    <mergeCell ref="D2:Q2"/>
    <mergeCell ref="D3:Q3"/>
    <mergeCell ref="D198:H198"/>
    <mergeCell ref="D19:H19"/>
    <mergeCell ref="D21:H21"/>
    <mergeCell ref="D22:H22"/>
    <mergeCell ref="D29:H29"/>
    <mergeCell ref="D4:Q4"/>
    <mergeCell ref="D5:Q5"/>
    <mergeCell ref="D6:Q6"/>
    <mergeCell ref="D12:Q12"/>
    <mergeCell ref="D13:Q13"/>
    <mergeCell ref="D50:H50"/>
    <mergeCell ref="D10:Q10"/>
    <mergeCell ref="D38:H38"/>
    <mergeCell ref="D57:H57"/>
    <mergeCell ref="D65:H65"/>
    <mergeCell ref="D173:H173"/>
    <mergeCell ref="D8:K8"/>
    <mergeCell ref="D9:K9"/>
    <mergeCell ref="D64:Q64"/>
    <mergeCell ref="D120:H120"/>
    <mergeCell ref="D125:H125"/>
    <mergeCell ref="S47:T47"/>
    <mergeCell ref="U14:Z14"/>
    <mergeCell ref="D24:Q24"/>
    <mergeCell ref="D25:Q25"/>
    <mergeCell ref="I26:Q26"/>
    <mergeCell ref="D26:H26"/>
    <mergeCell ref="I14:Q14"/>
    <mergeCell ref="D17:H17"/>
    <mergeCell ref="D14:H15"/>
    <mergeCell ref="I15:J15"/>
    <mergeCell ref="K15:Q15"/>
    <mergeCell ref="D18:H18"/>
    <mergeCell ref="S28:T28"/>
    <mergeCell ref="D28:Q28"/>
    <mergeCell ref="S43:T43"/>
    <mergeCell ref="I2104:Q2104"/>
    <mergeCell ref="D2104:H2104"/>
    <mergeCell ref="D2091:H2091"/>
    <mergeCell ref="D2102:Q2102"/>
    <mergeCell ref="D4063:H4063"/>
    <mergeCell ref="D4068:H4068"/>
    <mergeCell ref="D4074:H4074"/>
    <mergeCell ref="D4494:H4494"/>
    <mergeCell ref="D20:H20"/>
    <mergeCell ref="D4034:H4034"/>
    <mergeCell ref="D4041:H4041"/>
    <mergeCell ref="D4046:H4046"/>
    <mergeCell ref="D4051:H4051"/>
    <mergeCell ref="D4058:H4058"/>
    <mergeCell ref="D4005:H4005"/>
    <mergeCell ref="D4010:H4010"/>
    <mergeCell ref="D4017:H4017"/>
    <mergeCell ref="D4022:H4022"/>
    <mergeCell ref="D4029:H4029"/>
    <mergeCell ref="D3975:H3975"/>
    <mergeCell ref="D3980:H3980"/>
    <mergeCell ref="D3988:H3988"/>
    <mergeCell ref="D3993:H3993"/>
    <mergeCell ref="D4000:H4000"/>
    <mergeCell ref="D2295:H2295"/>
    <mergeCell ref="D2301:H2301"/>
    <mergeCell ref="D2314:H2314"/>
    <mergeCell ref="D2329:H2329"/>
    <mergeCell ref="D2336:H2336"/>
    <mergeCell ref="D2343:H2343"/>
    <mergeCell ref="D2351:H2351"/>
    <mergeCell ref="D2358:H2358"/>
    <mergeCell ref="D2372:H2372"/>
    <mergeCell ref="D2379:H2379"/>
    <mergeCell ref="D2386:H2386"/>
    <mergeCell ref="D2393:H2393"/>
    <mergeCell ref="D2404:H2404"/>
    <mergeCell ref="D2418:H2418"/>
    <mergeCell ref="D2426:H2426"/>
    <mergeCell ref="D2433:H2433"/>
    <mergeCell ref="D2450:H2450"/>
    <mergeCell ref="D2461:H2461"/>
    <mergeCell ref="D2467:H2467"/>
    <mergeCell ref="D2473:H2473"/>
    <mergeCell ref="D2482:H2482"/>
    <mergeCell ref="D2491:H2491"/>
    <mergeCell ref="D2502:H2502"/>
    <mergeCell ref="D2512:H2512"/>
    <mergeCell ref="D2518:H2518"/>
    <mergeCell ref="D2501:Q2501"/>
    <mergeCell ref="D2525:H2525"/>
    <mergeCell ref="D2533:H2533"/>
    <mergeCell ref="D2541:H2541"/>
    <mergeCell ref="D2548:H2548"/>
    <mergeCell ref="D2554:H2554"/>
    <mergeCell ref="D2561:H2561"/>
    <mergeCell ref="D2571:H2571"/>
    <mergeCell ref="D2578:H2578"/>
    <mergeCell ref="D2591:H2591"/>
    <mergeCell ref="D2732:H2732"/>
    <mergeCell ref="D2737:H2737"/>
    <mergeCell ref="D2751:H2751"/>
    <mergeCell ref="D2604:H2604"/>
    <mergeCell ref="D2616:H2616"/>
    <mergeCell ref="D2632:H2632"/>
    <mergeCell ref="D2642:H2642"/>
    <mergeCell ref="D2649:H2649"/>
    <mergeCell ref="D2657:H2657"/>
    <mergeCell ref="D2666:H2666"/>
    <mergeCell ref="D2671:H2671"/>
    <mergeCell ref="D2676:H2676"/>
    <mergeCell ref="S2501:T2501"/>
    <mergeCell ref="D361:Q361"/>
    <mergeCell ref="S361:T361"/>
    <mergeCell ref="D2357:Q2357"/>
    <mergeCell ref="S2357:T2357"/>
    <mergeCell ref="D3903:H3903"/>
    <mergeCell ref="D3917:H3917"/>
    <mergeCell ref="D3931:H3931"/>
    <mergeCell ref="D3945:H3945"/>
    <mergeCell ref="D2756:H2756"/>
    <mergeCell ref="D2766:H2766"/>
    <mergeCell ref="D2771:H2771"/>
    <mergeCell ref="D2779:H2779"/>
    <mergeCell ref="D2787:H2787"/>
    <mergeCell ref="D3882:H3882"/>
    <mergeCell ref="D3888:H3888"/>
    <mergeCell ref="D3893:H3893"/>
    <mergeCell ref="D3898:H3898"/>
    <mergeCell ref="D2681:H2681"/>
    <mergeCell ref="D2687:H2687"/>
    <mergeCell ref="D2694:H2694"/>
    <mergeCell ref="D2700:H2700"/>
    <mergeCell ref="D2714:H2714"/>
    <mergeCell ref="D2724:H2724"/>
    <mergeCell ref="D967:H967"/>
    <mergeCell ref="D854:H854"/>
    <mergeCell ref="D864:H864"/>
    <mergeCell ref="D871:H871"/>
    <mergeCell ref="D876:H876"/>
    <mergeCell ref="D880:H880"/>
    <mergeCell ref="D884:H884"/>
    <mergeCell ref="D888:H888"/>
    <mergeCell ref="D892:H892"/>
    <mergeCell ref="D898:H898"/>
    <mergeCell ref="D904:H904"/>
    <mergeCell ref="D915:H915"/>
    <mergeCell ref="D925:H925"/>
    <mergeCell ref="D705:H705"/>
    <mergeCell ref="D711:H711"/>
    <mergeCell ref="D717:H717"/>
    <mergeCell ref="D728:H728"/>
    <mergeCell ref="D734:H734"/>
    <mergeCell ref="D740:H740"/>
    <mergeCell ref="D748:H748"/>
    <mergeCell ref="D752:H752"/>
    <mergeCell ref="D756:H756"/>
    <mergeCell ref="D807:H807"/>
    <mergeCell ref="D815:H815"/>
    <mergeCell ref="D823:H823"/>
    <mergeCell ref="D830:H830"/>
    <mergeCell ref="D840:H840"/>
    <mergeCell ref="D847:H847"/>
    <mergeCell ref="D761:H761"/>
    <mergeCell ref="D766:H766"/>
    <mergeCell ref="D771:H771"/>
    <mergeCell ref="D776:H776"/>
    <mergeCell ref="D781:H781"/>
    <mergeCell ref="D786:H786"/>
    <mergeCell ref="D790:H790"/>
    <mergeCell ref="D797:H797"/>
    <mergeCell ref="D803:H803"/>
    <mergeCell ref="D3875:H3875"/>
    <mergeCell ref="D3678:H3678"/>
    <mergeCell ref="D3683:H3683"/>
    <mergeCell ref="D3694:H3694"/>
    <mergeCell ref="D3708:H3708"/>
    <mergeCell ref="D3719:H3719"/>
    <mergeCell ref="D3726:H3726"/>
    <mergeCell ref="D3735:H3735"/>
    <mergeCell ref="D3743:H3743"/>
    <mergeCell ref="D3757:H3757"/>
    <mergeCell ref="D3762:H3762"/>
    <mergeCell ref="D3770:H3770"/>
    <mergeCell ref="D3784:H3784"/>
    <mergeCell ref="D3792:H3792"/>
    <mergeCell ref="D3797:H3797"/>
    <mergeCell ref="D3811:H3811"/>
    <mergeCell ref="D3816:H3816"/>
    <mergeCell ref="D3824:H3824"/>
    <mergeCell ref="D3839:H3839"/>
    <mergeCell ref="D3846:H3846"/>
    <mergeCell ref="D3852:H3852"/>
    <mergeCell ref="D3858:H3858"/>
    <mergeCell ref="D3863:H3863"/>
    <mergeCell ref="D3868:H3868"/>
    <mergeCell ref="D3551:H3551"/>
    <mergeCell ref="D3560:H3560"/>
    <mergeCell ref="D3575:H3575"/>
    <mergeCell ref="D3589:H3589"/>
    <mergeCell ref="D3599:H3599"/>
    <mergeCell ref="D3622:H3622"/>
    <mergeCell ref="D3164:H3164"/>
    <mergeCell ref="D3178:H3178"/>
    <mergeCell ref="D3193:H3193"/>
    <mergeCell ref="D3205:H3205"/>
    <mergeCell ref="D3365:H3365"/>
    <mergeCell ref="D3353:H3353"/>
    <mergeCell ref="D3359:H3359"/>
    <mergeCell ref="D3464:H3464"/>
    <mergeCell ref="D3475:H3475"/>
    <mergeCell ref="D3493:H3493"/>
    <mergeCell ref="D3506:H3506"/>
    <mergeCell ref="D3511:H3511"/>
    <mergeCell ref="D3518:H3518"/>
    <mergeCell ref="D3524:H3524"/>
    <mergeCell ref="D3530:H3530"/>
    <mergeCell ref="D3542:H3542"/>
    <mergeCell ref="D3129:H3129"/>
    <mergeCell ref="D3134:H3134"/>
    <mergeCell ref="D3145:H3145"/>
    <mergeCell ref="D3153:H3153"/>
    <mergeCell ref="D3441:Q3441"/>
    <mergeCell ref="D3427:H3427"/>
    <mergeCell ref="D3387:H3387"/>
    <mergeCell ref="D3393:H3393"/>
    <mergeCell ref="D3405:H3405"/>
    <mergeCell ref="D3412:H3412"/>
    <mergeCell ref="D3419:H3419"/>
    <mergeCell ref="D3372:H3372"/>
    <mergeCell ref="D3216:H3216"/>
    <mergeCell ref="D3227:H3227"/>
    <mergeCell ref="D3256:H3256"/>
    <mergeCell ref="D3265:H3265"/>
    <mergeCell ref="D3273:H3273"/>
    <mergeCell ref="D3281:H3281"/>
    <mergeCell ref="D3289:H3289"/>
    <mergeCell ref="D3297:H3297"/>
    <mergeCell ref="D3304:H3304"/>
    <mergeCell ref="D3379:H3379"/>
    <mergeCell ref="D3237:H3237"/>
    <mergeCell ref="D3246:H3246"/>
    <mergeCell ref="D2862:H2862"/>
    <mergeCell ref="D2873:H2873"/>
    <mergeCell ref="D2886:H2886"/>
    <mergeCell ref="D2900:H2900"/>
    <mergeCell ref="D2912:H2912"/>
    <mergeCell ref="D2919:H2919"/>
    <mergeCell ref="D2927:H2927"/>
    <mergeCell ref="D2934:H2934"/>
    <mergeCell ref="D2940:H2940"/>
    <mergeCell ref="D3050:H3050"/>
    <mergeCell ref="D3065:H3065"/>
    <mergeCell ref="D3073:H3073"/>
    <mergeCell ref="D3081:H3081"/>
    <mergeCell ref="D3089:H3089"/>
    <mergeCell ref="D3103:H3103"/>
    <mergeCell ref="D3109:H3109"/>
    <mergeCell ref="D3121:H3121"/>
    <mergeCell ref="D2948:H2948"/>
    <mergeCell ref="D2954:H2954"/>
    <mergeCell ref="D2962:H2962"/>
    <mergeCell ref="D2968:H2968"/>
    <mergeCell ref="D3064:Q3064"/>
    <mergeCell ref="S1098:T1098"/>
    <mergeCell ref="S3064:T3064"/>
    <mergeCell ref="D2798:Q2798"/>
    <mergeCell ref="S2798:T2798"/>
    <mergeCell ref="D3311:H3311"/>
    <mergeCell ref="D3318:H3318"/>
    <mergeCell ref="D3323:H3323"/>
    <mergeCell ref="D3336:H3336"/>
    <mergeCell ref="D2979:H2979"/>
    <mergeCell ref="D2985:H2985"/>
    <mergeCell ref="D2991:H2991"/>
    <mergeCell ref="D2999:H2999"/>
    <mergeCell ref="D3006:H3006"/>
    <mergeCell ref="D3015:H3015"/>
    <mergeCell ref="D3021:H3021"/>
    <mergeCell ref="D3035:H3035"/>
    <mergeCell ref="D3041:H3041"/>
    <mergeCell ref="D2799:H2799"/>
    <mergeCell ref="D2812:H2812"/>
    <mergeCell ref="D2824:H2824"/>
    <mergeCell ref="D2837:H2837"/>
    <mergeCell ref="D2848:H2848"/>
    <mergeCell ref="S1235:T1235"/>
    <mergeCell ref="D2855:H2855"/>
    <mergeCell ref="D3636:Q3636"/>
    <mergeCell ref="S3441:T3441"/>
    <mergeCell ref="D4340:H4340"/>
    <mergeCell ref="D4346:H4346"/>
    <mergeCell ref="D4353:H4353"/>
    <mergeCell ref="D4306:H4306"/>
    <mergeCell ref="D4311:H4311"/>
    <mergeCell ref="D4318:H4318"/>
    <mergeCell ref="D4325:H4325"/>
    <mergeCell ref="D4330:H4330"/>
    <mergeCell ref="D4335:H4335"/>
    <mergeCell ref="D4305:Q4305"/>
    <mergeCell ref="S4304:T4304"/>
    <mergeCell ref="D3651:H3651"/>
    <mergeCell ref="D3658:H3658"/>
    <mergeCell ref="D3663:H3663"/>
    <mergeCell ref="D3668:H3668"/>
    <mergeCell ref="D3673:H3673"/>
    <mergeCell ref="D3637:H3637"/>
    <mergeCell ref="D3442:H3442"/>
    <mergeCell ref="D3450:H3450"/>
    <mergeCell ref="D3456:H3456"/>
    <mergeCell ref="D3608:H3608"/>
    <mergeCell ref="D3616:H3616"/>
    <mergeCell ref="D4479:H4479"/>
    <mergeCell ref="D4465:H4465"/>
    <mergeCell ref="D4472:H4472"/>
    <mergeCell ref="D4437:H4437"/>
    <mergeCell ref="D4444:H4444"/>
    <mergeCell ref="D4451:H4451"/>
    <mergeCell ref="D4458:H4458"/>
    <mergeCell ref="D4381:H4381"/>
    <mergeCell ref="D4388:H4388"/>
    <mergeCell ref="D4395:H4395"/>
    <mergeCell ref="D4402:H4402"/>
    <mergeCell ref="D4409:H4409"/>
    <mergeCell ref="D4416:H4416"/>
    <mergeCell ref="D4423:H4423"/>
    <mergeCell ref="D4430:H443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7" fitToHeight="0" orientation="portrait" r:id="rId1"/>
  <headerFooter>
    <oddFooter>&amp;C&amp;8Rua Ferreira Pena, 1.109 – Centro – Manaus/AM – Cel: (0**92) 98415-0793, Fone: (0**92) 3306-0045 – e-mail: enge.ifam@ifam.edu.br 
DIRETORIA DE INFRAESTURURA - DINFRA&amp;R&amp;8Página &amp;P/&amp;N</oddFooter>
  </headerFooter>
  <rowBreaks count="2" manualBreakCount="2">
    <brk id="2156" min="2" max="16" man="1"/>
    <brk id="2245" min="2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7fff33c-ea10-4d21-89ed-1d5228e4597c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19C36AA8A13D4696D8D661A22175F9" ma:contentTypeVersion="18" ma:contentTypeDescription="Create a new document." ma:contentTypeScope="" ma:versionID="efc00cf491a239948f0108bf8f1ead2e">
  <xsd:schema xmlns:xsd="http://www.w3.org/2001/XMLSchema" xmlns:xs="http://www.w3.org/2001/XMLSchema" xmlns:p="http://schemas.microsoft.com/office/2006/metadata/properties" xmlns:ns3="5ea28c26-d95d-407e-93ce-086b7e64b9ea" xmlns:ns4="f7fff33c-ea10-4d21-89ed-1d5228e4597c" targetNamespace="http://schemas.microsoft.com/office/2006/metadata/properties" ma:root="true" ma:fieldsID="aef0fcdd2428bd90a102614b3ea7d332" ns3:_="" ns4:_="">
    <xsd:import namespace="5ea28c26-d95d-407e-93ce-086b7e64b9ea"/>
    <xsd:import namespace="f7fff33c-ea10-4d21-89ed-1d5228e4597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LengthInSeconds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ServiceObjectDetectorVersions" minOccurs="0"/>
                <xsd:element ref="ns4:_activity" minOccurs="0"/>
                <xsd:element ref="ns4:MediaServiceSystemTag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a28c26-d95d-407e-93ce-086b7e64b9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fff33c-ea10-4d21-89ed-1d5228e459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2DAD37-115A-4851-9A8F-77796DD3B8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4CA852C-E09E-480C-8791-DC8A831DD8F3}">
  <ds:schemaRefs>
    <ds:schemaRef ds:uri="http://purl.org/dc/elements/1.1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f7fff33c-ea10-4d21-89ed-1d5228e4597c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5ea28c26-d95d-407e-93ce-086b7e64b9ea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CCF6D8D-D2B6-497C-B76F-E0CCA40F41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ea28c26-d95d-407e-93ce-086b7e64b9ea"/>
    <ds:schemaRef ds:uri="f7fff33c-ea10-4d21-89ed-1d5228e4597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22</vt:i4>
      </vt:variant>
    </vt:vector>
  </HeadingPairs>
  <TitlesOfParts>
    <vt:vector size="34" baseType="lpstr">
      <vt:lpstr>Lev Blocos</vt:lpstr>
      <vt:lpstr>Lev Pilares</vt:lpstr>
      <vt:lpstr>Lev. Vigas</vt:lpstr>
      <vt:lpstr>Lev Lajes</vt:lpstr>
      <vt:lpstr>RESUMO LEV.</vt:lpstr>
      <vt:lpstr>Aço Estacas</vt:lpstr>
      <vt:lpstr>Aço Blocos</vt:lpstr>
      <vt:lpstr>Aço Pilares</vt:lpstr>
      <vt:lpstr> Aço Vigas </vt:lpstr>
      <vt:lpstr>Aço Lajes</vt:lpstr>
      <vt:lpstr>RESUMO AÇO</vt:lpstr>
      <vt:lpstr>MEMÓRIA</vt:lpstr>
      <vt:lpstr>' Aço Vigas '!Area_de_impressao</vt:lpstr>
      <vt:lpstr>'Aço Blocos'!Area_de_impressao</vt:lpstr>
      <vt:lpstr>'Aço Estacas'!Area_de_impressao</vt:lpstr>
      <vt:lpstr>'Aço Lajes'!Area_de_impressao</vt:lpstr>
      <vt:lpstr>'Aço Pilares'!Area_de_impressao</vt:lpstr>
      <vt:lpstr>'Lev Blocos'!Area_de_impressao</vt:lpstr>
      <vt:lpstr>'Lev Lajes'!Area_de_impressao</vt:lpstr>
      <vt:lpstr>'Lev Pilares'!Area_de_impressao</vt:lpstr>
      <vt:lpstr>'Lev. Vigas'!Area_de_impressao</vt:lpstr>
      <vt:lpstr>MEMÓRIA!Area_de_impressao</vt:lpstr>
      <vt:lpstr>'RESUMO AÇO'!Area_de_impressao</vt:lpstr>
      <vt:lpstr>'RESUMO LEV.'!Area_de_impressao</vt:lpstr>
      <vt:lpstr>' Aço Vigas '!Titulos_de_impressao</vt:lpstr>
      <vt:lpstr>'Aço Blocos'!Titulos_de_impressao</vt:lpstr>
      <vt:lpstr>'Aço Estacas'!Titulos_de_impressao</vt:lpstr>
      <vt:lpstr>'Aço Lajes'!Titulos_de_impressao</vt:lpstr>
      <vt:lpstr>'Aço Pilares'!Titulos_de_impressao</vt:lpstr>
      <vt:lpstr>'Lev Blocos'!Titulos_de_impressao</vt:lpstr>
      <vt:lpstr>'Lev Lajes'!Titulos_de_impressao</vt:lpstr>
      <vt:lpstr>'Lev Pilares'!Titulos_de_impressao</vt:lpstr>
      <vt:lpstr>'Lev. Vigas'!Titulos_de_impressao</vt:lpstr>
      <vt:lpstr>MEMÓRIA!Titulos_de_impressao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Pericles Teixeira Veiga</dc:creator>
  <cp:lastModifiedBy>Gabriel Silveira Alencar</cp:lastModifiedBy>
  <cp:lastPrinted>2024-08-07T15:51:32Z</cp:lastPrinted>
  <dcterms:created xsi:type="dcterms:W3CDTF">2016-08-30T12:09:12Z</dcterms:created>
  <dcterms:modified xsi:type="dcterms:W3CDTF">2025-01-17T21:05:09Z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0x0101006219C36AA8A13D4696D8D661A22175F9</vt:lpwstr>
  </property>
</Properties>
</file>